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78e14061b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eceaf93b36ec49be"/>
    <x:sheet xmlns:r="http://schemas.openxmlformats.org/officeDocument/2006/relationships" name="Fleet dates" sheetId="2" r:id="Rb8d8ee80ab65455b"/>
    <x:sheet xmlns:r="http://schemas.openxmlformats.org/officeDocument/2006/relationships" name="Overdue" sheetId="3" r:id="Re26a53c77db64cc6"/>
    <x:sheet xmlns:r="http://schemas.openxmlformats.org/officeDocument/2006/relationships" name="Due today" sheetId="4" r:id="Rf4be17630db340fc"/>
    <x:sheet xmlns:r="http://schemas.openxmlformats.org/officeDocument/2006/relationships" name="Due soon" sheetId="5" r:id="R90bc155f82f94ea3"/>
    <x:sheet xmlns:r="http://schemas.openxmlformats.org/officeDocument/2006/relationships" name="Needs review" sheetId="6" r:id="Rebb30631d8cf4522"/>
    <x:sheet xmlns:r="http://schemas.openxmlformats.org/officeDocument/2006/relationships" name="Reviewed N-A" sheetId="7" r:id="Rc03e02376e7e48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0"/>
    <x:numFmt numFmtId="202" formatCode="#,##0"/>
  </x:numFmts>
  <x:fonts count="17">
    <x:font>
      <x:sz val="11"/>
      <x:name val="Carlito"/>
    </x:font>
    <x:font>
      <x:sz val="11"/>
      <x:name val="Arial"/>
    </x:font>
    <x:font>
      <x:sz val="11"/>
      <x:color rgb="FF20282E"/>
      <x:name val="Arial"/>
    </x:font>
    <x:font>
      <x:sz val="23"/>
      <x:color rgb="FF20282E"/>
      <x:name val="Arial"/>
    </x:font>
    <x:font>
      <x:b/>
      <x:sz val="23"/>
      <x:color rgb="FF20282E"/>
      <x:name val="Arial"/>
    </x:font>
    <x:font>
      <x:sz val="11"/>
      <x:color rgb="FF20282E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0"/>
      <x:color rgb="FF20282E"/>
      <x:name val="Arial"/>
    </x:font>
    <x:font>
      <x:b/>
      <x:sz val="11"/>
      <x:color rgb="FF20282E"/>
      <x:name val="Arial"/>
    </x:font>
    <x:font>
      <x:sz val="13"/>
      <x:color rgb="FF20282E"/>
      <x:name val="Arial"/>
    </x:font>
    <x:font>
      <x:b/>
      <x:sz val="13"/>
      <x:color rgb="FF20282E"/>
      <x:name val="Arial"/>
    </x:font>
    <x:font>
      <x:b/>
      <x:sz val="13"/>
      <x:color rgb="FFFFFFFF"/>
      <x:name val="Arial"/>
    </x:font>
    <x:font>
      <x:sz val="12"/>
      <x:color rgb="FF20282E"/>
      <x:name val="Arial"/>
    </x:font>
    <x:font>
      <x:sz val="12"/>
      <x:color rgb="FF20282E"/>
      <x:name val="Arial"/>
    </x:font>
    <x:font>
      <x:b/>
      <x:sz val="16"/>
      <x:color rgb="FF20282E"/>
      <x:name val="Arial"/>
    </x:font>
    <x:font>
      <x:sz val="10"/>
      <x:color rgb="FF20282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ECF02"/>
      </x:patternFill>
    </x:fill>
    <x:fill>
      <x:patternFill patternType="solid">
        <x:fgColor rgb="FFFFFFFF"/>
      </x:patternFill>
    </x:fill>
    <x:fill>
      <x:patternFill patternType="solid">
        <x:fgColor rgb="FFF3F4F5"/>
      </x:patternFill>
    </x:fill>
    <x:fill>
      <x:patternFill patternType="solid">
        <x:fgColor rgb="FF20282E"/>
      </x:patternFill>
    </x:fill>
  </x:fills>
  <x:borders count="1">
    <x:border/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/>
    <x:xf numFmtId="0" fontId="6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vertical="center"/>
    </x:xf>
    <x:xf numFmtId="0" fontId="12" fillId="5" borderId="0" xfId="0" applyNumberFormat="1" applyFont="1" applyFill="1" applyBorder="1" applyAlignment="1">
      <x:alignment vertical="center"/>
    </x:xf>
    <x:xf numFmtId="0" fontId="13" fillId="3" borderId="0" xfId="0" applyNumberFormat="1" applyFont="1" applyFill="1" applyBorder="1"/>
    <x:xf numFmtId="0" fontId="14" fillId="3" borderId="0" xfId="0" applyNumberFormat="1" applyFont="1" applyFill="1" applyBorder="1"/>
    <x:xf numFmtId="0" fontId="14" fillId="3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/>
    <x:xf numFmtId="201" fontId="9" fillId="3" borderId="0" xfId="0" applyNumberFormat="1" applyFont="1" applyFill="1" applyBorder="1"/>
    <x:xf numFmtId="201" fontId="15" fillId="3" borderId="0" xfId="0" applyNumberFormat="1" applyFont="1" applyFill="1" applyBorder="1"/>
    <x:xf numFmtId="0" fontId="13" fillId="4" borderId="0" xfId="0" applyNumberFormat="1" applyFont="1" applyFill="1" applyBorder="1"/>
    <x:xf numFmtId="0" fontId="14" fillId="4" borderId="0" xfId="0" applyNumberFormat="1" applyFont="1" applyFill="1" applyBorder="1"/>
    <x:xf numFmtId="0" fontId="14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/>
    <x:xf numFmtId="201" fontId="9" fillId="4" borderId="0" xfId="0" applyNumberFormat="1" applyFont="1" applyFill="1" applyBorder="1"/>
    <x:xf numFmtId="201" fontId="15" fillId="4" borderId="0" xfId="0" applyNumberFormat="1" applyFont="1" applyFill="1" applyBorder="1"/>
    <x:xf numFmtId="0" fontId="16" fillId="3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2" fontId="2" fillId="0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 applyProtection="1">
      <x:alignment vertical="center" wrapText="1"/>
      <x:protection locked="0"/>
    </x:xf>
    <x:xf numFmtId="200" fontId="2" fillId="3" borderId="0" xfId="0" applyNumberFormat="1" applyFont="1" applyFill="1" applyBorder="1" applyAlignment="1" applyProtection="1">
      <x:alignment vertical="center" wrapText="1"/>
      <x:protection locked="0"/>
    </x:xf>
  </x:cellXfs>
  <x:cellStyles count="1">
    <x:cellStyle name="Normal" xfId="0"/>
  </x:cellStyles>
  <x:dxfs count="4">
    <x:dxf>
      <x:font>
        <x:color rgb="FF9E241E"/>
      </x:font>
      <x:fill>
        <x:patternFill patternType="solid">
          <x:bgColor rgb="FFFCE8E6"/>
        </x:patternFill>
      </x:fill>
    </x:dxf>
    <x:dxf>
      <x:font>
        <x:color rgb="FF754D00"/>
      </x:font>
      <x:fill>
        <x:patternFill patternType="solid">
          <x:bgColor rgb="FFFFF2CC"/>
        </x:patternFill>
      </x:fill>
    </x:dxf>
    <x:dxf>
      <x:font>
        <x:color rgb="FF9E241E"/>
      </x:font>
      <x:fill>
        <x:patternFill patternType="solid">
          <x:bgColor rgb="FFFCE8E6"/>
        </x:patternFill>
      </x:fill>
    </x:dxf>
    <x:dxf>
      <x:font>
        <x:color rgb="FF754D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7861f26f84b16" /><Relationship Type="http://schemas.openxmlformats.org/officeDocument/2006/relationships/theme" Target="/xl/theme/theme1.xml" Id="R60d2119a92834b3b" /><Relationship Type="http://schemas.openxmlformats.org/officeDocument/2006/relationships/sharedStrings" Target="/xl/sharedStrings.xml" Id="R8532f534e0ee49fc" /><Relationship Type="http://schemas.openxmlformats.org/officeDocument/2006/relationships/worksheet" Target="/xl/worksheets/sheet1.xml" Id="Receaf93b36ec49be" /><Relationship Type="http://schemas.openxmlformats.org/officeDocument/2006/relationships/worksheet" Target="/xl/worksheets/sheet2.xml" Id="Rb8d8ee80ab65455b" /><Relationship Type="http://schemas.openxmlformats.org/officeDocument/2006/relationships/worksheet" Target="/xl/worksheets/sheet3.xml" Id="Re26a53c77db64cc6" /><Relationship Type="http://schemas.openxmlformats.org/officeDocument/2006/relationships/worksheet" Target="/xl/worksheets/sheet4.xml" Id="Rf4be17630db340fc" /><Relationship Type="http://schemas.openxmlformats.org/officeDocument/2006/relationships/worksheet" Target="/xl/worksheets/sheet5.xml" Id="R90bc155f82f94ea3" /><Relationship Type="http://schemas.openxmlformats.org/officeDocument/2006/relationships/worksheet" Target="/xl/worksheets/sheet6.xml" Id="Rebb30631d8cf4522" /><Relationship Type="http://schemas.openxmlformats.org/officeDocument/2006/relationships/worksheet" Target="/xl/worksheets/sheet7.xml" Id="Rc03e02376e7e48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fdd05ea629f46a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bd2ba95805d745b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8d9a81eacc91404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a414079c45624e9b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3838feb7322f4cc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3b0d9b9090ef43c6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cb8fadfd2bf7446e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76200</xdr:rowOff>
    </xdr:from>
    <xdr:ext cx="857250" cy="857250"/>
    <xdr:pic>
      <xdr:nvPicPr>
        <xdr:cNvPr id="1" name="1d4d916a-fb4f-4f17-a2f2-f8b1f3c7bf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dd05ea629f46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76200</xdr:rowOff>
    </xdr:from>
    <xdr:ext cx="857250" cy="857250"/>
    <xdr:pic>
      <xdr:nvPicPr>
        <xdr:cNvPr id="1" name="8b3129f8-c0f4-44c0-8ab6-8379ed07e8c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2ba95805d745b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76200</xdr:rowOff>
    </xdr:from>
    <xdr:ext cx="857250" cy="857250"/>
    <xdr:pic>
      <xdr:nvPicPr>
        <xdr:cNvPr id="1" name="d47264cc-2288-4867-b4de-e63b9f5606c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9a81eacc91404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76200</xdr:rowOff>
    </xdr:from>
    <xdr:ext cx="857250" cy="857250"/>
    <xdr:pic>
      <xdr:nvPicPr>
        <xdr:cNvPr id="1" name="1bc6ab84-d126-49ae-b299-74d1245aeb8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14079c45624e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76200</xdr:rowOff>
    </xdr:from>
    <xdr:ext cx="857250" cy="857250"/>
    <xdr:pic>
      <xdr:nvPicPr>
        <xdr:cNvPr id="1" name="3c52030c-5b20-423e-ac2a-1f859876dc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38feb7322f4c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76200</xdr:rowOff>
    </xdr:from>
    <xdr:ext cx="857250" cy="857250"/>
    <xdr:pic>
      <xdr:nvPicPr>
        <xdr:cNvPr id="1" name="2a58f69c-917f-4f35-9f1d-6ab681317d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0d9b9090ef43c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76200</xdr:rowOff>
    </xdr:from>
    <xdr:ext cx="857250" cy="857250"/>
    <xdr:pic>
      <xdr:nvPicPr>
        <xdr:cNvPr id="1" name="f90cff8d-f2db-4f66-a69b-ac0ef50f2fe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8fadfd2bf7446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FleetDates" displayName="FleetDates" ref="A8:I1008" headerRowCount="1" totalsRowCount="0" totalsRowShown="0">
  <x:autoFilter ref="A8:I1008"/>
  <x:tableColumns count="9">
    <x:tableColumn id="1" name="Vehicle registration"/>
    <x:tableColumn id="2" name="Vehicle label"/>
    <x:tableColumn id="3" name="MOT due"/>
    <x:tableColumn id="4" name="Tax due"/>
    <x:tableColumn id="5" name="Insurance due"/>
    <x:tableColumn id="6" name="Next service due"/>
    <x:tableColumn id="7" name="Responsible person"/>
    <x:tableColumn id="8" name="Date review (automatic)"/>
    <x:tableColumn id="9" name="Notes / exemp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c31aef4c78d499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b7ba6bf28824130" /><Relationship Type="http://schemas.openxmlformats.org/officeDocument/2006/relationships/table" Target="/xl/tables/table1.xml" Id="Rb1e3381eeaa5481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4d57540bbf62487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b7c8fd3494a94de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0ec49fde692e4d9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e5c38885b3814e8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414e6c60f5544382" /></Relationships>
</file>

<file path=xl/worksheets/sheet1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6.670000076293945" hidden="0" customWidth="1"/>
    <x:col min="2" max="2" width="15.5600004196167" hidden="0" customWidth="1"/>
    <x:col min="3" max="3" width="15.5600004196167" hidden="0" customWidth="1"/>
    <x:col min="4" max="4" width="15.5600004196167" hidden="0" customWidth="1"/>
    <x:col min="5" max="5" width="14.4399995803833" hidden="0" customWidth="1"/>
    <x:col min="6" max="6" width="14.4399995803833" hidden="0" customWidth="1"/>
  </x:cols>
  <x:sheetData>
    <x:row r="1" ht="40" customHeight="1">
      <x:c r="A1" s="3"/>
      <x:c r="B1" s="6" t="str">
        <x:v>Fleet dates summary</x:v>
      </x:c>
      <x:c r="C1" s="6" t="str">
        <x:v>Fleet dates summary</x:v>
      </x:c>
      <x:c r="D1" s="6" t="str">
        <x:v>Fleet dates summary</x:v>
      </x:c>
      <x:c r="E1" s="6" t="str">
        <x:v>Fleet dates summary</x:v>
      </x:c>
      <x:c r="F1" s="6" t="str">
        <x:v>Fleet dates summary</x:v>
      </x:c>
    </x:row>
    <x:row r="2" ht="40" customHeight="1">
      <x:c r="A2" s="3"/>
      <x:c r="B2" s="6" t="str">
        <x:v>Fleet dates summary</x:v>
      </x:c>
      <x:c r="C2" s="6" t="str">
        <x:v>Fleet dates summary</x:v>
      </x:c>
      <x:c r="D2" s="6" t="str">
        <x:v>Fleet dates summary</x:v>
      </x:c>
      <x:c r="E2" s="6" t="str">
        <x:v>Fleet dates summary</x:v>
      </x:c>
      <x:c r="F2" s="6" t="str">
        <x:v>Fleet dates summary</x:v>
      </x:c>
    </x:row>
    <x:row r="3" ht="28" customHeight="1">
      <x:c r="A3" s="2"/>
      <x:c r="B3" s="2"/>
      <x:c r="C3" s="2"/>
      <x:c r="D3" s="2"/>
      <x:c r="E3" s="2"/>
      <x:c r="F3" s="2"/>
    </x:row>
    <x:row r="4" ht="28" customHeight="1">
      <x:c r="A4" s="26" t="str">
        <x:v>Date of review</x:v>
      </x:c>
      <x:c r="B4" s="26" t="str">
        <x:v>Date of review</x:v>
      </x:c>
      <x:c r="C4" s="26" t="str">
        <x:v>Date of review</x:v>
      </x:c>
      <x:c r="D4" s="26" t="str">
        <x:v>Date of review</x:v>
      </x:c>
      <x:c r="E4" s="27" t="n">
        <x:f>TODAY()</x:f>
        <x:v>46302</x:v>
      </x:c>
      <x:c r="F4" s="2"/>
    </x:row>
    <x:row r="5" ht="28" customHeight="1">
      <x:c r="A5" s="2"/>
      <x:c r="B5" s="2"/>
      <x:c r="C5" s="2"/>
      <x:c r="D5" s="2"/>
      <x:c r="E5" s="2"/>
      <x:c r="F5" s="2"/>
    </x:row>
    <x:row r="6" ht="36" customHeight="1">
      <x:c r="A6" s="28" t="str">
        <x:v>Click a total or its label to open the matching vehicles. Edit records on Fleet dates.</x:v>
      </x:c>
      <x:c r="B6" s="28" t="str">
        <x:v>Click a total or its label to open the matching vehicles. Edit records on Fleet dates.</x:v>
      </x:c>
      <x:c r="C6" s="28" t="str">
        <x:v>Click a total or its label to open the matching vehicles. Edit records on Fleet dates.</x:v>
      </x:c>
      <x:c r="D6" s="28" t="str">
        <x:v>Click a total or its label to open the matching vehicles. Edit records on Fleet dates.</x:v>
      </x:c>
      <x:c r="E6" s="28" t="str">
        <x:v>Click a total or its label to open the matching vehicles. Edit records on Fleet dates.</x:v>
      </x:c>
      <x:c r="F6" s="28" t="str">
        <x:v>Click a total or its label to open the matching vehicles. Edit records on Fleet dates.</x:v>
      </x:c>
    </x:row>
    <x:row r="7" ht="28" customHeight="1">
      <x:c r="A7" s="2"/>
      <x:c r="B7" s="2"/>
      <x:c r="C7" s="2"/>
      <x:c r="D7" s="2"/>
      <x:c r="E7" s="2"/>
      <x:c r="F7" s="2"/>
    </x:row>
    <x:row r="8" ht="28" customHeight="1">
      <x:c r="A8" s="32" t="str">
        <x:v>Today’s date review</x:v>
      </x:c>
      <x:c r="B8" s="32" t="str">
        <x:v>Today’s date review</x:v>
      </x:c>
      <x:c r="C8" s="32" t="str">
        <x:v>Today’s date review</x:v>
      </x:c>
      <x:c r="D8" s="32" t="str">
        <x:v>Today’s date review</x:v>
      </x:c>
      <x:c r="E8" s="32" t="str">
        <x:v>Total</x:v>
      </x:c>
      <x:c r="F8" s="32" t="str">
        <x:v>Total</x:v>
      </x:c>
    </x:row>
    <x:row r="9" ht="36" customHeight="1">
      <x:c r="A9" s="35" t="str">
        <x:v>Registered vehicles</x:v>
      </x:c>
      <x:c r="B9" s="35" t="str">
        <x:v>Registered vehicles</x:v>
      </x:c>
      <x:c r="C9" s="35" t="str">
        <x:v>Registered vehicles</x:v>
      </x:c>
      <x:c r="D9" s="35" t="str">
        <x:v>Registered vehicles</x:v>
      </x:c>
      <x:c r="E9" s="38" t="n">
        <x:f>COUNTA('Fleet dates'!A9:A1008)</x:f>
        <x:v>0</x:v>
      </x:c>
      <x:c r="F9" s="7"/>
    </x:row>
    <x:row r="10" ht="36" customHeight="1">
      <x:c r="A10" s="41" t="str">
        <x:v>Overdue dates</x:v>
      </x:c>
      <x:c r="B10" s="41" t="str">
        <x:v>Overdue dates</x:v>
      </x:c>
      <x:c r="C10" s="41" t="str">
        <x:v>Overdue dates</x:v>
      </x:c>
      <x:c r="D10" s="41" t="str">
        <x:v>Overdue dates</x:v>
      </x:c>
      <x:c r="E10" s="44" t="n">
        <x:f>COUNTIFS('Fleet dates'!$A$9:$A$1008,"&lt;&gt;",'Fleet dates'!$C$9:$C$1008,"&gt;=36526",'Fleet dates'!$C$9:$C$1008,"&lt;"&amp;TODAY())+COUNTIFS('Fleet dates'!$A$9:$A$1008,"&lt;&gt;",'Fleet dates'!$D$9:$D$1008,"&gt;=36526",'Fleet dates'!$D$9:$D$1008,"&lt;"&amp;TODAY())+COUNTIFS('Fleet dates'!$A$9:$A$1008,"&lt;&gt;",'Fleet dates'!$E$9:$E$1008,"&gt;=36526",'Fleet dates'!$E$9:$E$1008,"&lt;"&amp;TODAY())+COUNTIFS('Fleet dates'!$A$9:$A$1008,"&lt;&gt;",'Fleet dates'!$F$9:$F$1008,"&gt;=36526",'Fleet dates'!$F$9:$F$1008,"&lt;"&amp;TODAY())</x:f>
        <x:v>0</x:v>
      </x:c>
      <x:c r="F10" s="10"/>
    </x:row>
    <x:row r="11" ht="36" customHeight="1">
      <x:c r="A11" s="35" t="str">
        <x:v>Dates due today</x:v>
      </x:c>
      <x:c r="B11" s="35" t="str">
        <x:v>Dates due today</x:v>
      </x:c>
      <x:c r="C11" s="35" t="str">
        <x:v>Dates due today</x:v>
      </x:c>
      <x:c r="D11" s="35" t="str">
        <x:v>Dates due today</x:v>
      </x:c>
      <x:c r="E11" s="38" t="n">
        <x:f>COUNTIFS('Fleet dates'!$A$9:$A$1008,"&lt;&gt;",'Fleet dates'!$C$9:$C$1008,"&gt;=36526",'Fleet dates'!$C$9:$C$1008,TODAY())+COUNTIFS('Fleet dates'!$A$9:$A$1008,"&lt;&gt;",'Fleet dates'!$D$9:$D$1008,"&gt;=36526",'Fleet dates'!$D$9:$D$1008,TODAY())+COUNTIFS('Fleet dates'!$A$9:$A$1008,"&lt;&gt;",'Fleet dates'!$E$9:$E$1008,"&gt;=36526",'Fleet dates'!$E$9:$E$1008,TODAY())+COUNTIFS('Fleet dates'!$A$9:$A$1008,"&lt;&gt;",'Fleet dates'!$F$9:$F$1008,"&gt;=36526",'Fleet dates'!$F$9:$F$1008,TODAY())</x:f>
        <x:v>0</x:v>
      </x:c>
      <x:c r="F11" s="7"/>
    </x:row>
    <x:row r="12" ht="36" customHeight="1">
      <x:c r="A12" s="41" t="str">
        <x:v>Dates due tomorrow to 30 days</x:v>
      </x:c>
      <x:c r="B12" s="41" t="str">
        <x:v>Dates due tomorrow to 30 days</x:v>
      </x:c>
      <x:c r="C12" s="41" t="str">
        <x:v>Dates due tomorrow to 30 days</x:v>
      </x:c>
      <x:c r="D12" s="41" t="str">
        <x:v>Dates due tomorrow to 30 days</x:v>
      </x:c>
      <x:c r="E12" s="44" t="n">
        <x:f>COUNTIFS('Fleet dates'!$A$9:$A$1008,"&lt;&gt;",'Fleet dates'!$C$9:$C$1008,"&gt;"&amp;TODAY(),'Fleet dates'!$C$9:$C$1008,"&lt;="&amp;TODAY()+30)+COUNTIFS('Fleet dates'!$A$9:$A$1008,"&lt;&gt;",'Fleet dates'!$D$9:$D$1008,"&gt;"&amp;TODAY(),'Fleet dates'!$D$9:$D$1008,"&lt;="&amp;TODAY()+30)+COUNTIFS('Fleet dates'!$A$9:$A$1008,"&lt;&gt;",'Fleet dates'!$E$9:$E$1008,"&gt;"&amp;TODAY(),'Fleet dates'!$E$9:$E$1008,"&lt;="&amp;TODAY()+30)+COUNTIFS('Fleet dates'!$A$9:$A$1008,"&lt;&gt;",'Fleet dates'!$F$9:$F$1008,"&gt;"&amp;TODAY(),'Fleet dates'!$F$9:$F$1008,"&lt;="&amp;TODAY()+30)</x:f>
        <x:v>0</x:v>
      </x:c>
      <x:c r="F12" s="10"/>
    </x:row>
    <x:row r="13" ht="36" customHeight="1">
      <x:c r="A13" s="35" t="str">
        <x:v>Rows needing details or review</x:v>
      </x:c>
      <x:c r="B13" s="35" t="str">
        <x:v>Rows needing details or review</x:v>
      </x:c>
      <x:c r="C13" s="35" t="str">
        <x:v>Rows needing details or review</x:v>
      </x:c>
      <x:c r="D13" s="35" t="str">
        <x:v>Rows needing details or review</x:v>
      </x:c>
      <x:c r="E13" s="38" t="n">
        <x:f>COUNTIFS('Fleet dates'!H9:H1008,"Missing dates; *")+COUNTIFS('Fleet dates'!H9:H1008,"Add N/A reason; *")+COUNTIFS('Fleet dates'!H9:H1008,"Add dates")+COUNTIFS('Fleet dates'!H9:H1008,"Add registration")+COUNTIFS('Fleet dates'!H9:H1008,"Check date format")</x:f>
        <x:v>0</x:v>
      </x:c>
      <x:c r="F13" s="7"/>
    </x:row>
    <x:row r="14" ht="36" customHeight="1">
      <x:c r="A14" s="41" t="str">
        <x:v>Reviewed N/A entries</x:v>
      </x:c>
      <x:c r="B14" s="41" t="str">
        <x:v>Reviewed N/A entries</x:v>
      </x:c>
      <x:c r="C14" s="41" t="str">
        <x:v>Reviewed N/A entries</x:v>
      </x:c>
      <x:c r="D14" s="41" t="str">
        <x:v>Reviewed N/A entries</x:v>
      </x:c>
      <x:c r="E14" s="44" t="n">
        <x:f>COUNTIFS('Fleet dates'!C9:F1008,"Reviewed N/A")</x:f>
        <x:v>0</x:v>
      </x:c>
      <x:c r="F14" s="10"/>
    </x:row>
    <x:row r="15" ht="28" customHeight="1">
      <x:c r="A15" s="2"/>
      <x:c r="B15" s="2"/>
      <x:c r="C15" s="2"/>
      <x:c r="D15" s="2"/>
      <x:c r="E15" s="2"/>
      <x:c r="F15" s="2"/>
    </x:row>
    <x:row r="16" ht="28" customHeight="1">
      <x:c r="A16" s="47" t="str">
        <x:v>Counts include all 1,000 vehicle rows, including filtered-out rows. Deadline totals count dates, so one vehicle can appear in several categories.</x:v>
      </x:c>
      <x:c r="B16" s="47" t="str">
        <x:v>Counts include all 1,000 vehicle rows, including filtered-out rows. Deadline totals count dates, so one vehicle can appear in several categories.</x:v>
      </x:c>
      <x:c r="C16" s="47" t="str">
        <x:v>Counts include all 1,000 vehicle rows, including filtered-out rows. Deadline totals count dates, so one vehicle can appear in several categories.</x:v>
      </x:c>
      <x:c r="D16" s="47" t="str">
        <x:v>Counts include all 1,000 vehicle rows, including filtered-out rows. Deadline totals count dates, so one vehicle can appear in several categories.</x:v>
      </x:c>
      <x:c r="E16" s="47" t="str">
        <x:v>Counts include all 1,000 vehicle rows, including filtered-out rows. Deadline totals count dates, so one vehicle can appear in several categories.</x:v>
      </x:c>
      <x:c r="F16" s="47" t="str">
        <x:v>Counts include all 1,000 vehicle rows, including filtered-out rows. Deadline totals count dates, so one vehicle can appear in several categories.</x:v>
      </x:c>
    </x:row>
    <x:row r="17" ht="28" customHeight="1">
      <x:c r="A17" s="47" t="str">
        <x:v>Counts include all 1,000 vehicle rows, including filtered-out rows. Deadline totals count dates, so one vehicle can appear in several categories.</x:v>
      </x:c>
      <x:c r="B17" s="47" t="str">
        <x:v>Counts include all 1,000 vehicle rows, including filtered-out rows. Deadline totals count dates, so one vehicle can appear in several categories.</x:v>
      </x:c>
      <x:c r="C17" s="47" t="str">
        <x:v>Counts include all 1,000 vehicle rows, including filtered-out rows. Deadline totals count dates, so one vehicle can appear in several categories.</x:v>
      </x:c>
      <x:c r="D17" s="47" t="str">
        <x:v>Counts include all 1,000 vehicle rows, including filtered-out rows. Deadline totals count dates, so one vehicle can appear in several categories.</x:v>
      </x:c>
      <x:c r="E17" s="47" t="str">
        <x:v>Counts include all 1,000 vehicle rows, including filtered-out rows. Deadline totals count dates, so one vehicle can appear in several categories.</x:v>
      </x:c>
      <x:c r="F17" s="47" t="str">
        <x:v>Counts include all 1,000 vehicle rows, including filtered-out rows. Deadline totals count dates, so one vehicle can appear in several categories.</x:v>
      </x:c>
    </x:row>
    <x:row r="18" ht="28" customHeight="1">
      <x:c r="A18" s="47" t="str">
        <x:v>Blank dates are unknown. Reviewed N/A records your applicability check; add the reason, who checked and when in Notes. No compliance verdict is given.</x:v>
      </x:c>
      <x:c r="B18" s="47" t="str">
        <x:v>Blank dates are unknown. Reviewed N/A records your applicability check; add the reason, who checked and when in Notes. No compliance verdict is given.</x:v>
      </x:c>
      <x:c r="C18" s="47" t="str">
        <x:v>Blank dates are unknown. Reviewed N/A records your applicability check; add the reason, who checked and when in Notes. No compliance verdict is given.</x:v>
      </x:c>
      <x:c r="D18" s="47" t="str">
        <x:v>Blank dates are unknown. Reviewed N/A records your applicability check; add the reason, who checked and when in Notes. No compliance verdict is given.</x:v>
      </x:c>
      <x:c r="E18" s="47" t="str">
        <x:v>Blank dates are unknown. Reviewed N/A records your applicability check; add the reason, who checked and when in Notes. No compliance verdict is given.</x:v>
      </x:c>
      <x:c r="F18" s="47" t="str">
        <x:v>Blank dates are unknown. Reviewed N/A records your applicability check; add the reason, who checked and when in Notes. No compliance verdict is given.</x:v>
      </x:c>
    </x:row>
    <x:row r="19" ht="28" customHeight="1">
      <x:c r="A19" s="47" t="str">
        <x:v>Blank dates are unknown. Reviewed N/A records your applicability check; add the reason, who checked and when in Notes. No compliance verdict is given.</x:v>
      </x:c>
      <x:c r="B19" s="47" t="str">
        <x:v>Blank dates are unknown. Reviewed N/A records your applicability check; add the reason, who checked and when in Notes. No compliance verdict is given.</x:v>
      </x:c>
      <x:c r="C19" s="47" t="str">
        <x:v>Blank dates are unknown. Reviewed N/A records your applicability check; add the reason, who checked and when in Notes. No compliance verdict is given.</x:v>
      </x:c>
      <x:c r="D19" s="47" t="str">
        <x:v>Blank dates are unknown. Reviewed N/A records your applicability check; add the reason, who checked and when in Notes. No compliance verdict is given.</x:v>
      </x:c>
      <x:c r="E19" s="47" t="str">
        <x:v>Blank dates are unknown. Reviewed N/A records your applicability check; add the reason, who checked and when in Notes. No compliance verdict is given.</x:v>
      </x:c>
      <x:c r="F19" s="47" t="str">
        <x:v>Blank dates are unknown. Reviewed N/A records your applicability check; add the reason, who checked and when in Notes. No compliance verdict is given.</x:v>
      </x:c>
    </x:row>
    <x:row r="20" ht="28" customHeight="1">
      <x:c r="A20" s="47" t="str">
        <x:v>This workbook stores your entries locally. It does not connect to Fleetkeep or look up dates. Open it regularly to review deadlines.</x:v>
      </x:c>
      <x:c r="B20" s="47" t="str">
        <x:v>This workbook stores your entries locally. It does not connect to Fleetkeep or look up dates. Open it regularly to review deadlines.</x:v>
      </x:c>
      <x:c r="C20" s="47" t="str">
        <x:v>This workbook stores your entries locally. It does not connect to Fleetkeep or look up dates. Open it regularly to review deadlines.</x:v>
      </x:c>
      <x:c r="D20" s="47" t="str">
        <x:v>This workbook stores your entries locally. It does not connect to Fleetkeep or look up dates. Open it regularly to review deadlines.</x:v>
      </x:c>
      <x:c r="E20" s="47" t="str">
        <x:v>This workbook stores your entries locally. It does not connect to Fleetkeep or look up dates. Open it regularly to review deadlines.</x:v>
      </x:c>
      <x:c r="F20" s="47" t="str">
        <x:v>This workbook stores your entries locally. It does not connect to Fleetkeep or look up dates. Open it regularly to review deadlines.</x:v>
      </x:c>
    </x:row>
    <x:row r="21" ht="28" customHeight="1">
      <x:c r="A21" s="47" t="str">
        <x:v>This workbook stores your entries locally. It does not connect to Fleetkeep or look up dates. Open it regularly to review deadlines.</x:v>
      </x:c>
      <x:c r="B21" s="47" t="str">
        <x:v>This workbook stores your entries locally. It does not connect to Fleetkeep or look up dates. Open it regularly to review deadlines.</x:v>
      </x:c>
      <x:c r="C21" s="47" t="str">
        <x:v>This workbook stores your entries locally. It does not connect to Fleetkeep or look up dates. Open it regularly to review deadlines.</x:v>
      </x:c>
      <x:c r="D21" s="47" t="str">
        <x:v>This workbook stores your entries locally. It does not connect to Fleetkeep or look up dates. Open it regularly to review deadlines.</x:v>
      </x:c>
      <x:c r="E21" s="47" t="str">
        <x:v>This workbook stores your entries locally. It does not connect to Fleetkeep or look up dates. Open it regularly to review deadlines.</x:v>
      </x:c>
      <x:c r="F21" s="47" t="str">
        <x:v>This workbook stores your entries locally. It does not connect to Fleetkeep or look up dates. Open it regularly to review deadlines.</x:v>
      </x:c>
    </x:row>
    <x:row r="22" ht="28" customHeight="1">
      <x:c r="A22" s="47" t="str">
        <x:v>For automatic email reminders and shared vehicle records, visit fleetkeep.co.uk. Import with the separate CSV template.</x:v>
      </x:c>
      <x:c r="B22" s="47" t="str">
        <x:v>For automatic email reminders and shared vehicle records, visit fleetkeep.co.uk. Import with the separate CSV template.</x:v>
      </x:c>
      <x:c r="C22" s="47" t="str">
        <x:v>For automatic email reminders and shared vehicle records, visit fleetkeep.co.uk. Import with the separate CSV template.</x:v>
      </x:c>
      <x:c r="D22" s="47" t="str">
        <x:v>For automatic email reminders and shared vehicle records, visit fleetkeep.co.uk. Import with the separate CSV template.</x:v>
      </x:c>
      <x:c r="E22" s="47" t="str">
        <x:v>For automatic email reminders and shared vehicle records, visit fleetkeep.co.uk. Import with the separate CSV template.</x:v>
      </x:c>
      <x:c r="F22" s="47" t="str">
        <x:v>For automatic email reminders and shared vehicle records, visit fleetkeep.co.uk. Import with the separate CSV template.</x:v>
      </x:c>
    </x:row>
    <x:row r="23" ht="28" customHeight="1">
      <x:c r="A23" s="47" t="str">
        <x:v>For automatic email reminders and shared vehicle records, visit fleetkeep.co.uk. Import with the separate CSV template.</x:v>
      </x:c>
      <x:c r="B23" s="47" t="str">
        <x:v>For automatic email reminders and shared vehicle records, visit fleetkeep.co.uk. Import with the separate CSV template.</x:v>
      </x:c>
      <x:c r="C23" s="47" t="str">
        <x:v>For automatic email reminders and shared vehicle records, visit fleetkeep.co.uk. Import with the separate CSV template.</x:v>
      </x:c>
      <x:c r="D23" s="47" t="str">
        <x:v>For automatic email reminders and shared vehicle records, visit fleetkeep.co.uk. Import with the separate CSV template.</x:v>
      </x:c>
      <x:c r="E23" s="47" t="str">
        <x:v>For automatic email reminders and shared vehicle records, visit fleetkeep.co.uk. Import with the separate CSV template.</x:v>
      </x:c>
      <x:c r="F23" s="47" t="str">
        <x:v>For automatic email reminders and shared vehicle records, visit fleetkeep.co.uk. Import with the separate CSV template.</x:v>
      </x:c>
    </x:row>
  </x:sheetData>
  <x:sheetProtection sheet="1" objects="1" scenarios="1" autoFilter="0" selectLockedCells="0" selectUnlockedCells="0"/>
  <x:mergeCells>
    <x:mergeCell ref="B1:F2"/>
    <x:mergeCell ref="A4:D4"/>
    <x:mergeCell ref="E4:F4"/>
    <x:mergeCell ref="A6:F6"/>
    <x:mergeCell ref="A8:D8"/>
    <x:mergeCell ref="E8:F8"/>
    <x:mergeCell ref="A9:D9"/>
    <x:mergeCell ref="E9:F9"/>
    <x:mergeCell ref="A10:D10"/>
    <x:mergeCell ref="E10:F10"/>
    <x:mergeCell ref="A11:D11"/>
    <x:mergeCell ref="E11:F11"/>
    <x:mergeCell ref="A12:D12"/>
    <x:mergeCell ref="E12:F12"/>
    <x:mergeCell ref="A13:D13"/>
    <x:mergeCell ref="E13:F13"/>
    <x:mergeCell ref="A14:D14"/>
    <x:mergeCell ref="E14:F14"/>
    <x:mergeCell ref="A16:F17"/>
    <x:mergeCell ref="A18:F19"/>
    <x:mergeCell ref="A20:F21"/>
    <x:mergeCell ref="A22:F23"/>
  </x:mergeCells>
  <x:pageMargins left="0.7" right="0.7" top="0.75" bottom="0.75" header="0.3" footer="0.3"/>
  <x:hyperlinks>
    <x:hyperlink ref="A9" location="'Fleet dates'!A8" tooltip="Open matching vehicles"/>
    <x:hyperlink ref="E9" location="'Fleet dates'!A8" tooltip="Open matching vehicles"/>
    <x:hyperlink ref="A10" location="'Overdue'!A8" tooltip="Open matching vehicles"/>
    <x:hyperlink ref="E10" location="'Overdue'!A8" tooltip="Open matching vehicles"/>
    <x:hyperlink ref="A11" location="'Due today'!A8" tooltip="Open matching vehicles"/>
    <x:hyperlink ref="E11" location="'Due today'!A8" tooltip="Open matching vehicles"/>
    <x:hyperlink ref="A12" location="'Due soon'!A8" tooltip="Open matching vehicles"/>
    <x:hyperlink ref="E12" location="'Due soon'!A8" tooltip="Open matching vehicles"/>
    <x:hyperlink ref="A13" location="'Needs review'!A8" tooltip="Open matching vehicles"/>
    <x:hyperlink ref="E13" location="'Needs review'!A8" tooltip="Open matching vehicles"/>
    <x:hyperlink ref="A14" location="'Reviewed N-A'!A8" tooltip="Open matching vehicles"/>
    <x:hyperlink ref="E14" location="'Reviewed N-A'!A8" tooltip="Open matching vehicles"/>
  </x:hyperlinks>
  <x:drawing ns1:id="Rdc31aef4c78d4991"/>
</x:worksheet>
</file>

<file path=xl/worksheets/sheet2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.670000076293945" hidden="0" customWidth="1"/>
    <x:col min="2" max="2" width="20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5.5600004196167" hidden="0" customWidth="1"/>
    <x:col min="7" max="7" width="18.329999923706055" hidden="0" customWidth="1"/>
    <x:col min="8" max="8" width="37.779998779296875" hidden="0" customWidth="1"/>
    <x:col min="9" max="9" width="28.889999389648438" hidden="0" customWidth="1"/>
    <x:col min="10" max="19" hidden="1" width="14" customWidth="1"/>
  </x:cols>
  <x:sheetData>
    <x:row r="1" ht="40" customHeight="1">
      <x:c r="A1" s="3"/>
      <x:c r="B1" s="6" t="str">
        <x:v>Fleet dates tracker</x:v>
      </x:c>
      <x:c r="C1" s="6" t="str">
        <x:v>Fleet dates tracker</x:v>
      </x:c>
      <x:c r="D1" s="6" t="str">
        <x:v>Fleet dates tracker</x:v>
      </x:c>
      <x:c r="E1" s="6" t="str">
        <x:v>Fleet dates tracker</x:v>
      </x:c>
      <x:c r="F1" s="6" t="str">
        <x:v>Fleet dates tracker</x:v>
      </x:c>
      <x:c r="G1" s="6" t="str">
        <x:v>Fleet dates tracker</x:v>
      </x:c>
      <x:c r="H1" s="6" t="str">
        <x:v>Fleet dates tracker</x:v>
      </x:c>
      <x:c r="I1" s="6" t="str">
        <x:v>Fleet dates tracker</x:v>
      </x:c>
    </x:row>
    <x:row r="2" ht="40" customHeight="1">
      <x:c r="A2" s="3"/>
      <x:c r="B2" s="6" t="str">
        <x:v>Fleet dates tracker</x:v>
      </x:c>
      <x:c r="C2" s="6" t="str">
        <x:v>Fleet dates tracker</x:v>
      </x:c>
      <x:c r="D2" s="6" t="str">
        <x:v>Fleet dates tracker</x:v>
      </x:c>
      <x:c r="E2" s="6" t="str">
        <x:v>Fleet dates tracker</x:v>
      </x:c>
      <x:c r="F2" s="6" t="str">
        <x:v>Fleet dates tracker</x:v>
      </x:c>
      <x:c r="G2" s="6" t="str">
        <x:v>Fleet dates tracker</x:v>
      </x:c>
      <x:c r="H2" s="6" t="str">
        <x:v>Fleet dates tracker</x:v>
      </x:c>
      <x:c r="I2" s="6" t="str">
        <x:v>Fleet dates tracker</x:v>
      </x:c>
    </x:row>
    <x:row r="3" ht="20" customHeight="1">
      <x:c r="A3" s="22" t="str">
        <x:v>Enter up to 1,000 vehicles in rows 9–1008. Filter Date review for the earliest date. Open the Summary tab for today’s totals.</x:v>
      </x:c>
      <x:c r="B3" s="22" t="str">
        <x:v>Enter up to 1,000 vehicles in rows 9–1008. Filter Date review for the earliest date. Open the Summary tab for today’s totals.</x:v>
      </x:c>
      <x:c r="C3" s="22" t="str">
        <x:v>Enter up to 1,000 vehicles in rows 9–1008. Filter Date review for the earliest date. Open the Summary tab for today’s totals.</x:v>
      </x:c>
      <x:c r="D3" s="22" t="str">
        <x:v>Enter up to 1,000 vehicles in rows 9–1008. Filter Date review for the earliest date. Open the Summary tab for today’s totals.</x:v>
      </x:c>
      <x:c r="E3" s="22" t="str">
        <x:v>Enter up to 1,000 vehicles in rows 9–1008. Filter Date review for the earliest date. Open the Summary tab for today’s totals.</x:v>
      </x:c>
      <x:c r="F3" s="22" t="str">
        <x:v>Enter up to 1,000 vehicles in rows 9–1008. Filter Date review for the earliest date. Open the Summary tab for today’s totals.</x:v>
      </x:c>
      <x:c r="G3" s="22" t="str">
        <x:v>Enter up to 1,000 vehicles in rows 9–1008. Filter Date review for the earliest date. Open the Summary tab for today’s totals.</x:v>
      </x:c>
      <x:c r="H3" s="22" t="str">
        <x:v>Enter up to 1,000 vehicles in rows 9–1008. Filter Date review for the earliest date. Open the Summary tab for today’s totals.</x:v>
      </x:c>
      <x:c r="I3" s="22" t="str">
        <x:v>Enter up to 1,000 vehicles in rows 9–1008. Filter Date review for the earliest date. Open the Summary tab for today’s totals.</x:v>
      </x:c>
    </x:row>
    <x:row r="4" ht="20" customHeight="1">
      <x:c r="A4" s="22" t="str">
        <x:v>Use real dates or Reviewed N/A only after checking applicability. Explain each N/A in Notes, including who checked it and when. No compliance verdict is given.</x:v>
      </x:c>
      <x:c r="B4" s="22" t="str">
        <x:v>Use real dates or Reviewed N/A only after checking applicability. Explain each N/A in Notes, including who checked it and when. No compliance verdict is given.</x:v>
      </x:c>
      <x:c r="C4" s="22" t="str">
        <x:v>Use real dates or Reviewed N/A only after checking applicability. Explain each N/A in Notes, including who checked it and when. No compliance verdict is given.</x:v>
      </x:c>
      <x:c r="D4" s="22" t="str">
        <x:v>Use real dates or Reviewed N/A only after checking applicability. Explain each N/A in Notes, including who checked it and when. No compliance verdict is given.</x:v>
      </x:c>
      <x:c r="E4" s="22" t="str">
        <x:v>Use real dates or Reviewed N/A only after checking applicability. Explain each N/A in Notes, including who checked it and when. No compliance verdict is given.</x:v>
      </x:c>
      <x:c r="F4" s="22" t="str">
        <x:v>Use real dates or Reviewed N/A only after checking applicability. Explain each N/A in Notes, including who checked it and when. No compliance verdict is given.</x:v>
      </x:c>
      <x:c r="G4" s="22" t="str">
        <x:v>Use real dates or Reviewed N/A only after checking applicability. Explain each N/A in Notes, including who checked it and when. No compliance verdict is given.</x:v>
      </x:c>
      <x:c r="H4" s="22" t="str">
        <x:v>Use real dates or Reviewed N/A only after checking applicability. Explain each N/A in Notes, including who checked it and when. No compliance verdict is given.</x:v>
      </x:c>
      <x:c r="I4" s="22" t="str">
        <x:v>Use real dates or Reviewed N/A only after checking applicability. Explain each N/A in Notes, including who checked it and when. No compliance verdict is given.</x:v>
      </x:c>
    </x:row>
    <x:row r="5" ht="20" customHeight="1">
      <x:c r="A5" s="23" t="str">
        <x:v>White cells = your records  |  Grey column = calculated  |  Red = past date  |  Amber = due within 30 days  |  Missing dates = review needed</x:v>
      </x:c>
      <x:c r="B5" s="23" t="str">
        <x:v>White cells = your records  |  Grey column = calculated  |  Red = past date  |  Amber = due within 30 days  |  Missing dates = review needed</x:v>
      </x:c>
      <x:c r="C5" s="23" t="str">
        <x:v>White cells = your records  |  Grey column = calculated  |  Red = past date  |  Amber = due within 30 days  |  Missing dates = review needed</x:v>
      </x:c>
      <x:c r="D5" s="23" t="str">
        <x:v>White cells = your records  |  Grey column = calculated  |  Red = past date  |  Amber = due within 30 days  |  Missing dates = review needed</x:v>
      </x:c>
      <x:c r="E5" s="23" t="str">
        <x:v>White cells = your records  |  Grey column = calculated  |  Red = past date  |  Amber = due within 30 days  |  Missing dates = review needed</x:v>
      </x:c>
      <x:c r="F5" s="23" t="str">
        <x:v>White cells = your records  |  Grey column = calculated  |  Red = past date  |  Amber = due within 30 days  |  Missing dates = review needed</x:v>
      </x:c>
      <x:c r="G5" s="23" t="str">
        <x:v>White cells = your records  |  Grey column = calculated  |  Red = past date  |  Amber = due within 30 days  |  Missing dates = review needed</x:v>
      </x:c>
      <x:c r="H5" s="23" t="str">
        <x:v>White cells = your records  |  Grey column = calculated  |  Red = past date  |  Amber = due within 30 days  |  Missing dates = review needed</x:v>
      </x:c>
      <x:c r="I5" s="23" t="str">
        <x:v>White cells = your records  |  Grey column = calculated  |  Red = past date  |  Amber = due within 30 days  |  Missing dates = review needed</x:v>
      </x:c>
    </x:row>
    <x:row r="6" ht="20" customHeight="1">
      <x:c r="A6" s="22" t="str">
        <x:v>No official lookup or email alerts. Import using the separate CSV. Grey cells are protected; Review &gt; Unprotect Sheet (no password) removes that safeguard.</x:v>
      </x:c>
      <x:c r="B6" s="22" t="str">
        <x:v>No official lookup or email alerts. Import using the separate CSV. Grey cells are protected; Review &gt; Unprotect Sheet (no password) removes that safeguard.</x:v>
      </x:c>
      <x:c r="C6" s="22" t="str">
        <x:v>No official lookup or email alerts. Import using the separate CSV. Grey cells are protected; Review &gt; Unprotect Sheet (no password) removes that safeguard.</x:v>
      </x:c>
      <x:c r="D6" s="22" t="str">
        <x:v>No official lookup or email alerts. Import using the separate CSV. Grey cells are protected; Review &gt; Unprotect Sheet (no password) removes that safeguard.</x:v>
      </x:c>
      <x:c r="E6" s="22" t="str">
        <x:v>No official lookup or email alerts. Import using the separate CSV. Grey cells are protected; Review &gt; Unprotect Sheet (no password) removes that safeguard.</x:v>
      </x:c>
      <x:c r="F6" s="22" t="str">
        <x:v>No official lookup or email alerts. Import using the separate CSV. Grey cells are protected; Review &gt; Unprotect Sheet (no password) removes that safeguard.</x:v>
      </x:c>
      <x:c r="G6" s="22" t="str">
        <x:v>No official lookup or email alerts. Import using the separate CSV. Grey cells are protected; Review &gt; Unprotect Sheet (no password) removes that safeguard.</x:v>
      </x:c>
      <x:c r="H6" s="22" t="str">
        <x:v>No official lookup or email alerts. Import using the separate CSV. Grey cells are protected; Review &gt; Unprotect Sheet (no password) removes that safeguard.</x:v>
      </x:c>
      <x:c r="I6" s="22" t="str">
        <x:v>No official lookup or email alerts. Import using the separate CSV. Grey cells are protected; Review &gt; Unprotect Sheet (no password) removes that safeguard.</x:v>
      </x:c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6" customHeight="1">
      <x:c r="A8" s="18" t="str">
        <x:v>Vehicle registration</x:v>
      </x:c>
      <x:c r="B8" s="18" t="str">
        <x:v>Vehicle label</x:v>
      </x:c>
      <x:c r="C8" s="18" t="str">
        <x:v>MOT due</x:v>
      </x:c>
      <x:c r="D8" s="18" t="str">
        <x:v>Tax due</x:v>
      </x:c>
      <x:c r="E8" s="18" t="str">
        <x:v>Insurance due</x:v>
      </x:c>
      <x:c r="F8" s="18" t="str">
        <x:v>Next service due</x:v>
      </x:c>
      <x:c r="G8" s="18" t="str">
        <x:v>Responsible person</x:v>
      </x:c>
      <x:c r="H8" s="18" t="str">
        <x:v>Date review (automatic)</x:v>
      </x:c>
      <x:c r="I8" s="18" t="str">
        <x:v>Notes / exemptions</x:v>
      </x:c>
      <x:c r="J8" t="str">
        <x:v>Overdue list order</x:v>
      </x:c>
      <x:c r="K8" t="str">
        <x:v>Due today list order</x:v>
      </x:c>
      <x:c r="L8" t="str">
        <x:v>Due soon list order</x:v>
      </x:c>
      <x:c r="M8" t="str">
        <x:v>Needs review list order</x:v>
      </x:c>
      <x:c r="N8" t="str">
        <x:v>Reviewed N-A list order</x:v>
      </x:c>
      <x:c r="O8" t="n">
        <x:v>0</x:v>
      </x:c>
      <x:c r="P8" t="n">
        <x:v>0</x:v>
      </x:c>
      <x:c r="Q8" t="n">
        <x:v>0</x:v>
      </x:c>
      <x:c r="R8" t="n">
        <x:v>0</x:v>
      </x:c>
      <x:c r="S8" t="n">
        <x:v>0</x:v>
      </x:c>
    </x:row>
    <x:row r="9" ht="48" customHeight="1">
      <x:c r="A9" s="52"/>
      <x:c r="B9" s="52"/>
      <x:c r="C9" s="53"/>
      <x:c r="D9" s="53"/>
      <x:c r="E9" s="53"/>
      <x:c r="F9" s="53"/>
      <x:c r="G9" s="52"/>
      <x:c r="H9" s="21" t="str">
        <x:f>IF(COUNTA(A9:G9,I9)=0,"",IF(A9="","Add registration",IF(OR(COUNTA(C9:F9)&gt;COUNT(C9:F9)+COUNTIFS(C9:F9,"Reviewed N/A"),AND(COUNT(C9:F9)&gt;0,OR(MIN(C9:F9)&lt;36526,MAX(C9:F9)&gt;109574))),"Check date format",IF(AND(COUNTIFS(C9:F9,"Reviewed N/A")&gt;0,I9=""),"Add N/A reason; ","")&amp;IF(COUNT(C9:F9)=0,IF(COUNTIFS(C9:F9,"Reviewed N/A")=4,"No applicable dates recorded","Add dates"),IF(COUNT(C9:F9)+COUNTIFS(C9:F9,"Reviewed N/A")&lt;4,"Missing dates; ","")&amp;IF(MIN(C9:F9)&lt;TODAY(),"Overdue: ",IF(MIN(C9:F9)=TODAY(),"Due today: ",IF(MIN(C9:F9)&lt;=TODAY()+30,"Due within 30 days: ","Next: ")))&amp;INDEX($C$8:$F$8,1,MATCH(MIN(C9:F9),C9:F9,0))&amp;" "&amp;TEXT(MIN(C9:F9),"dd mmm yyyy")))))</x:f>
      </x:c>
      <x:c r="I9" s="52"/>
      <x:c r="J9" t="str">
        <x:f>IF(AND(A9&lt;&gt;"",COUNTIFS(C9,"&gt;=36526",C9,"&lt;"&amp;TODAY())+COUNTIFS(D9,"&gt;=36526",D9,"&lt;"&amp;TODAY())+COUNTIFS(E9,"&gt;=36526",E9,"&lt;"&amp;TODAY())+COUNTIFS(F9,"&gt;=36526",F9,"&lt;"&amp;TODAY())&gt;0),O9,"")</x:f>
      </x:c>
      <x:c r="K9" t="str">
        <x:f>IF(AND(A9&lt;&gt;"",COUNTIFS(C9,"&gt;=36526",C9,TODAY())+COUNTIFS(D9,"&gt;=36526",D9,TODAY())+COUNTIFS(E9,"&gt;=36526",E9,TODAY())+COUNTIFS(F9,"&gt;=36526",F9,TODAY())&gt;0),P9,"")</x:f>
      </x:c>
      <x:c r="L9" t="str">
        <x:f>IF(AND(A9&lt;&gt;"",COUNTIFS(C9,"&gt;"&amp;TODAY(),C9,"&lt;="&amp;TODAY()+30)+COUNTIFS(D9,"&gt;"&amp;TODAY(),D9,"&lt;="&amp;TODAY()+30)+COUNTIFS(E9,"&gt;"&amp;TODAY(),E9,"&lt;="&amp;TODAY()+30)+COUNTIFS(F9,"&gt;"&amp;TODAY(),F9,"&lt;="&amp;TODAY()+30)&gt;0),Q9,"")</x:f>
      </x:c>
      <x:c r="M9" t="str">
        <x:f>IF(OR(LEFT(H9,15)="Missing dates; ",LEFT(H9,16)="Add N/A reason; ",H9="Add dates",H9="Add registration",H9="Check date format"),R9,"")</x:f>
      </x:c>
      <x:c r="N9" t="str">
        <x:f>IF(COUNTIFS(C9:F9,"Reviewed N/A")&gt;0,S9,"")</x:f>
      </x:c>
      <x:c r="O9" t="n">
        <x:f>O8+IF(AND(A9&lt;&gt;"",COUNTIFS(C9,"&gt;=36526",C9,"&lt;"&amp;TODAY())+COUNTIFS(D9,"&gt;=36526",D9,"&lt;"&amp;TODAY())+COUNTIFS(E9,"&gt;=36526",E9,"&lt;"&amp;TODAY())+COUNTIFS(F9,"&gt;=36526",F9,"&lt;"&amp;TODAY())&gt;0),1,0)</x:f>
        <x:v>0</x:v>
      </x:c>
      <x:c r="P9" t="n">
        <x:f>P8+IF(AND(A9&lt;&gt;"",COUNTIFS(C9,"&gt;=36526",C9,TODAY())+COUNTIFS(D9,"&gt;=36526",D9,TODAY())+COUNTIFS(E9,"&gt;=36526",E9,TODAY())+COUNTIFS(F9,"&gt;=36526",F9,TODAY())&gt;0),1,0)</x:f>
        <x:v>0</x:v>
      </x:c>
      <x:c r="Q9" t="n">
        <x:f>Q8+IF(AND(A9&lt;&gt;"",COUNTIFS(C9,"&gt;"&amp;TODAY(),C9,"&lt;="&amp;TODAY()+30)+COUNTIFS(D9,"&gt;"&amp;TODAY(),D9,"&lt;="&amp;TODAY()+30)+COUNTIFS(E9,"&gt;"&amp;TODAY(),E9,"&lt;="&amp;TODAY()+30)+COUNTIFS(F9,"&gt;"&amp;TODAY(),F9,"&lt;="&amp;TODAY()+30)&gt;0),1,0)</x:f>
        <x:v>0</x:v>
      </x:c>
      <x:c r="R9" t="n">
        <x:f>R8+IF(OR(LEFT(H9,15)="Missing dates; ",LEFT(H9,16)="Add N/A reason; ",H9="Add dates",H9="Add registration",H9="Check date format"),1,0)</x:f>
        <x:v>0</x:v>
      </x:c>
      <x:c r="S9" t="n">
        <x:f>S8+IF(COUNTIFS(C9:F9,"Reviewed N/A")&gt;0,1,0)</x:f>
        <x:v>0</x:v>
      </x:c>
    </x:row>
    <x:row r="10" ht="48" customHeight="1">
      <x:c r="A10" s="52"/>
      <x:c r="B10" s="52"/>
      <x:c r="C10" s="53"/>
      <x:c r="D10" s="53"/>
      <x:c r="E10" s="53"/>
      <x:c r="F10" s="53"/>
      <x:c r="G10" s="52"/>
      <x:c r="H10" s="21" t="str">
        <x:f>IF(COUNTA(A10:G10,I10)=0,"",IF(A10="","Add registration",IF(OR(COUNTA(C10:F10)&gt;COUNT(C10:F10)+COUNTIFS(C10:F10,"Reviewed N/A"),AND(COUNT(C10:F10)&gt;0,OR(MIN(C10:F10)&lt;36526,MAX(C10:F10)&gt;109574))),"Check date format",IF(AND(COUNTIFS(C10:F10,"Reviewed N/A")&gt;0,I10=""),"Add N/A reason; ","")&amp;IF(COUNT(C10:F10)=0,IF(COUNTIFS(C10:F10,"Reviewed N/A")=4,"No applicable dates recorded","Add dates"),IF(COUNT(C10:F10)+COUNTIFS(C10:F10,"Reviewed N/A")&lt;4,"Missing dates; ","")&amp;IF(MIN(C10:F10)&lt;TODAY(),"Overdue: ",IF(MIN(C10:F10)=TODAY(),"Due today: ",IF(MIN(C10:F10)&lt;=TODAY()+30,"Due within 30 days: ","Next: ")))&amp;INDEX($C$8:$F$8,1,MATCH(MIN(C10:F10),C10:F10,0))&amp;" "&amp;TEXT(MIN(C10:F10),"dd mmm yyyy")))))</x:f>
      </x:c>
      <x:c r="I10" s="52"/>
      <x:c r="J10" t="str">
        <x:f>IF(AND(A10&lt;&gt;"",COUNTIFS(C10,"&gt;=36526",C10,"&lt;"&amp;TODAY())+COUNTIFS(D10,"&gt;=36526",D10,"&lt;"&amp;TODAY())+COUNTIFS(E10,"&gt;=36526",E10,"&lt;"&amp;TODAY())+COUNTIFS(F10,"&gt;=36526",F10,"&lt;"&amp;TODAY())&gt;0),O10,"")</x:f>
      </x:c>
      <x:c r="K10" t="str">
        <x:f>IF(AND(A10&lt;&gt;"",COUNTIFS(C10,"&gt;=36526",C10,TODAY())+COUNTIFS(D10,"&gt;=36526",D10,TODAY())+COUNTIFS(E10,"&gt;=36526",E10,TODAY())+COUNTIFS(F10,"&gt;=36526",F10,TODAY())&gt;0),P10,"")</x:f>
      </x:c>
      <x:c r="L10" t="str">
        <x:f>IF(AND(A10&lt;&gt;"",COUNTIFS(C10,"&gt;"&amp;TODAY(),C10,"&lt;="&amp;TODAY()+30)+COUNTIFS(D10,"&gt;"&amp;TODAY(),D10,"&lt;="&amp;TODAY()+30)+COUNTIFS(E10,"&gt;"&amp;TODAY(),E10,"&lt;="&amp;TODAY()+30)+COUNTIFS(F10,"&gt;"&amp;TODAY(),F10,"&lt;="&amp;TODAY()+30)&gt;0),Q10,"")</x:f>
      </x:c>
      <x:c r="M10" t="str">
        <x:f>IF(OR(LEFT(H10,15)="Missing dates; ",LEFT(H10,16)="Add N/A reason; ",H10="Add dates",H10="Add registration",H10="Check date format"),R10,"")</x:f>
      </x:c>
      <x:c r="N10" t="str">
        <x:f>IF(COUNTIFS(C10:F10,"Reviewed N/A")&gt;0,S10,"")</x:f>
      </x:c>
      <x:c r="O10" t="n">
        <x:f>O9+IF(AND(A10&lt;&gt;"",COUNTIFS(C10,"&gt;=36526",C10,"&lt;"&amp;TODAY())+COUNTIFS(D10,"&gt;=36526",D10,"&lt;"&amp;TODAY())+COUNTIFS(E10,"&gt;=36526",E10,"&lt;"&amp;TODAY())+COUNTIFS(F10,"&gt;=36526",F10,"&lt;"&amp;TODAY())&gt;0),1,0)</x:f>
        <x:v>0</x:v>
      </x:c>
      <x:c r="P10" t="n">
        <x:f>P9+IF(AND(A10&lt;&gt;"",COUNTIFS(C10,"&gt;=36526",C10,TODAY())+COUNTIFS(D10,"&gt;=36526",D10,TODAY())+COUNTIFS(E10,"&gt;=36526",E10,TODAY())+COUNTIFS(F10,"&gt;=36526",F10,TODAY())&gt;0),1,0)</x:f>
        <x:v>0</x:v>
      </x:c>
      <x:c r="Q10" t="n">
        <x:f>Q9+IF(AND(A10&lt;&gt;"",COUNTIFS(C10,"&gt;"&amp;TODAY(),C10,"&lt;="&amp;TODAY()+30)+COUNTIFS(D10,"&gt;"&amp;TODAY(),D10,"&lt;="&amp;TODAY()+30)+COUNTIFS(E10,"&gt;"&amp;TODAY(),E10,"&lt;="&amp;TODAY()+30)+COUNTIFS(F10,"&gt;"&amp;TODAY(),F10,"&lt;="&amp;TODAY()+30)&gt;0),1,0)</x:f>
        <x:v>0</x:v>
      </x:c>
      <x:c r="R10" t="n">
        <x:f>R9+IF(OR(LEFT(H10,15)="Missing dates; ",LEFT(H10,16)="Add N/A reason; ",H10="Add dates",H10="Add registration",H10="Check date format"),1,0)</x:f>
        <x:v>0</x:v>
      </x:c>
      <x:c r="S10" t="n">
        <x:f>S9+IF(COUNTIFS(C10:F10,"Reviewed N/A")&gt;0,1,0)</x:f>
        <x:v>0</x:v>
      </x:c>
    </x:row>
    <x:row r="11" ht="48" customHeight="1">
      <x:c r="A11" s="52"/>
      <x:c r="B11" s="52"/>
      <x:c r="C11" s="53"/>
      <x:c r="D11" s="53"/>
      <x:c r="E11" s="53"/>
      <x:c r="F11" s="53"/>
      <x:c r="G11" s="52"/>
      <x:c r="H11" s="21" t="str">
        <x:f>IF(COUNTA(A11:G11,I11)=0,"",IF(A11="","Add registration",IF(OR(COUNTA(C11:F11)&gt;COUNT(C11:F11)+COUNTIFS(C11:F11,"Reviewed N/A"),AND(COUNT(C11:F11)&gt;0,OR(MIN(C11:F11)&lt;36526,MAX(C11:F11)&gt;109574))),"Check date format",IF(AND(COUNTIFS(C11:F11,"Reviewed N/A")&gt;0,I11=""),"Add N/A reason; ","")&amp;IF(COUNT(C11:F11)=0,IF(COUNTIFS(C11:F11,"Reviewed N/A")=4,"No applicable dates recorded","Add dates"),IF(COUNT(C11:F11)+COUNTIFS(C11:F11,"Reviewed N/A")&lt;4,"Missing dates; ","")&amp;IF(MIN(C11:F11)&lt;TODAY(),"Overdue: ",IF(MIN(C11:F11)=TODAY(),"Due today: ",IF(MIN(C11:F11)&lt;=TODAY()+30,"Due within 30 days: ","Next: ")))&amp;INDEX($C$8:$F$8,1,MATCH(MIN(C11:F11),C11:F11,0))&amp;" "&amp;TEXT(MIN(C11:F11),"dd mmm yyyy")))))</x:f>
      </x:c>
      <x:c r="I11" s="52"/>
      <x:c r="J11" t="str">
        <x:f>IF(AND(A11&lt;&gt;"",COUNTIFS(C11,"&gt;=36526",C11,"&lt;"&amp;TODAY())+COUNTIFS(D11,"&gt;=36526",D11,"&lt;"&amp;TODAY())+COUNTIFS(E11,"&gt;=36526",E11,"&lt;"&amp;TODAY())+COUNTIFS(F11,"&gt;=36526",F11,"&lt;"&amp;TODAY())&gt;0),O11,"")</x:f>
      </x:c>
      <x:c r="K11" t="str">
        <x:f>IF(AND(A11&lt;&gt;"",COUNTIFS(C11,"&gt;=36526",C11,TODAY())+COUNTIFS(D11,"&gt;=36526",D11,TODAY())+COUNTIFS(E11,"&gt;=36526",E11,TODAY())+COUNTIFS(F11,"&gt;=36526",F11,TODAY())&gt;0),P11,"")</x:f>
      </x:c>
      <x:c r="L11" t="str">
        <x:f>IF(AND(A11&lt;&gt;"",COUNTIFS(C11,"&gt;"&amp;TODAY(),C11,"&lt;="&amp;TODAY()+30)+COUNTIFS(D11,"&gt;"&amp;TODAY(),D11,"&lt;="&amp;TODAY()+30)+COUNTIFS(E11,"&gt;"&amp;TODAY(),E11,"&lt;="&amp;TODAY()+30)+COUNTIFS(F11,"&gt;"&amp;TODAY(),F11,"&lt;="&amp;TODAY()+30)&gt;0),Q11,"")</x:f>
      </x:c>
      <x:c r="M11" t="str">
        <x:f>IF(OR(LEFT(H11,15)="Missing dates; ",LEFT(H11,16)="Add N/A reason; ",H11="Add dates",H11="Add registration",H11="Check date format"),R11,"")</x:f>
      </x:c>
      <x:c r="N11" t="str">
        <x:f>IF(COUNTIFS(C11:F11,"Reviewed N/A")&gt;0,S11,"")</x:f>
      </x:c>
      <x:c r="O11" t="n">
        <x:f>O10+IF(AND(A11&lt;&gt;"",COUNTIFS(C11,"&gt;=36526",C11,"&lt;"&amp;TODAY())+COUNTIFS(D11,"&gt;=36526",D11,"&lt;"&amp;TODAY())+COUNTIFS(E11,"&gt;=36526",E11,"&lt;"&amp;TODAY())+COUNTIFS(F11,"&gt;=36526",F11,"&lt;"&amp;TODAY())&gt;0),1,0)</x:f>
        <x:v>0</x:v>
      </x:c>
      <x:c r="P11" t="n">
        <x:f>P10+IF(AND(A11&lt;&gt;"",COUNTIFS(C11,"&gt;=36526",C11,TODAY())+COUNTIFS(D11,"&gt;=36526",D11,TODAY())+COUNTIFS(E11,"&gt;=36526",E11,TODAY())+COUNTIFS(F11,"&gt;=36526",F11,TODAY())&gt;0),1,0)</x:f>
        <x:v>0</x:v>
      </x:c>
      <x:c r="Q11" t="n">
        <x:f>Q10+IF(AND(A11&lt;&gt;"",COUNTIFS(C11,"&gt;"&amp;TODAY(),C11,"&lt;="&amp;TODAY()+30)+COUNTIFS(D11,"&gt;"&amp;TODAY(),D11,"&lt;="&amp;TODAY()+30)+COUNTIFS(E11,"&gt;"&amp;TODAY(),E11,"&lt;="&amp;TODAY()+30)+COUNTIFS(F11,"&gt;"&amp;TODAY(),F11,"&lt;="&amp;TODAY()+30)&gt;0),1,0)</x:f>
        <x:v>0</x:v>
      </x:c>
      <x:c r="R11" t="n">
        <x:f>R10+IF(OR(LEFT(H11,15)="Missing dates; ",LEFT(H11,16)="Add N/A reason; ",H11="Add dates",H11="Add registration",H11="Check date format"),1,0)</x:f>
        <x:v>0</x:v>
      </x:c>
      <x:c r="S11" t="n">
        <x:f>S10+IF(COUNTIFS(C11:F11,"Reviewed N/A")&gt;0,1,0)</x:f>
        <x:v>0</x:v>
      </x:c>
    </x:row>
    <x:row r="12" ht="48" customHeight="1">
      <x:c r="A12" s="52"/>
      <x:c r="B12" s="52"/>
      <x:c r="C12" s="53"/>
      <x:c r="D12" s="53"/>
      <x:c r="E12" s="53"/>
      <x:c r="F12" s="53"/>
      <x:c r="G12" s="52"/>
      <x:c r="H12" s="21" t="str">
        <x:f>IF(COUNTA(A12:G12,I12)=0,"",IF(A12="","Add registration",IF(OR(COUNTA(C12:F12)&gt;COUNT(C12:F12)+COUNTIFS(C12:F12,"Reviewed N/A"),AND(COUNT(C12:F12)&gt;0,OR(MIN(C12:F12)&lt;36526,MAX(C12:F12)&gt;109574))),"Check date format",IF(AND(COUNTIFS(C12:F12,"Reviewed N/A")&gt;0,I12=""),"Add N/A reason; ","")&amp;IF(COUNT(C12:F12)=0,IF(COUNTIFS(C12:F12,"Reviewed N/A")=4,"No applicable dates recorded","Add dates"),IF(COUNT(C12:F12)+COUNTIFS(C12:F12,"Reviewed N/A")&lt;4,"Missing dates; ","")&amp;IF(MIN(C12:F12)&lt;TODAY(),"Overdue: ",IF(MIN(C12:F12)=TODAY(),"Due today: ",IF(MIN(C12:F12)&lt;=TODAY()+30,"Due within 30 days: ","Next: ")))&amp;INDEX($C$8:$F$8,1,MATCH(MIN(C12:F12),C12:F12,0))&amp;" "&amp;TEXT(MIN(C12:F12),"dd mmm yyyy")))))</x:f>
      </x:c>
      <x:c r="I12" s="52"/>
      <x:c r="J12" t="str">
        <x:f>IF(AND(A12&lt;&gt;"",COUNTIFS(C12,"&gt;=36526",C12,"&lt;"&amp;TODAY())+COUNTIFS(D12,"&gt;=36526",D12,"&lt;"&amp;TODAY())+COUNTIFS(E12,"&gt;=36526",E12,"&lt;"&amp;TODAY())+COUNTIFS(F12,"&gt;=36526",F12,"&lt;"&amp;TODAY())&gt;0),O12,"")</x:f>
      </x:c>
      <x:c r="K12" t="str">
        <x:f>IF(AND(A12&lt;&gt;"",COUNTIFS(C12,"&gt;=36526",C12,TODAY())+COUNTIFS(D12,"&gt;=36526",D12,TODAY())+COUNTIFS(E12,"&gt;=36526",E12,TODAY())+COUNTIFS(F12,"&gt;=36526",F12,TODAY())&gt;0),P12,"")</x:f>
      </x:c>
      <x:c r="L12" t="str">
        <x:f>IF(AND(A12&lt;&gt;"",COUNTIFS(C12,"&gt;"&amp;TODAY(),C12,"&lt;="&amp;TODAY()+30)+COUNTIFS(D12,"&gt;"&amp;TODAY(),D12,"&lt;="&amp;TODAY()+30)+COUNTIFS(E12,"&gt;"&amp;TODAY(),E12,"&lt;="&amp;TODAY()+30)+COUNTIFS(F12,"&gt;"&amp;TODAY(),F12,"&lt;="&amp;TODAY()+30)&gt;0),Q12,"")</x:f>
      </x:c>
      <x:c r="M12" t="str">
        <x:f>IF(OR(LEFT(H12,15)="Missing dates; ",LEFT(H12,16)="Add N/A reason; ",H12="Add dates",H12="Add registration",H12="Check date format"),R12,"")</x:f>
      </x:c>
      <x:c r="N12" t="str">
        <x:f>IF(COUNTIFS(C12:F12,"Reviewed N/A")&gt;0,S12,"")</x:f>
      </x:c>
      <x:c r="O12" t="n">
        <x:f>O11+IF(AND(A12&lt;&gt;"",COUNTIFS(C12,"&gt;=36526",C12,"&lt;"&amp;TODAY())+COUNTIFS(D12,"&gt;=36526",D12,"&lt;"&amp;TODAY())+COUNTIFS(E12,"&gt;=36526",E12,"&lt;"&amp;TODAY())+COUNTIFS(F12,"&gt;=36526",F12,"&lt;"&amp;TODAY())&gt;0),1,0)</x:f>
        <x:v>0</x:v>
      </x:c>
      <x:c r="P12" t="n">
        <x:f>P11+IF(AND(A12&lt;&gt;"",COUNTIFS(C12,"&gt;=36526",C12,TODAY())+COUNTIFS(D12,"&gt;=36526",D12,TODAY())+COUNTIFS(E12,"&gt;=36526",E12,TODAY())+COUNTIFS(F12,"&gt;=36526",F12,TODAY())&gt;0),1,0)</x:f>
        <x:v>0</x:v>
      </x:c>
      <x:c r="Q12" t="n">
        <x:f>Q11+IF(AND(A12&lt;&gt;"",COUNTIFS(C12,"&gt;"&amp;TODAY(),C12,"&lt;="&amp;TODAY()+30)+COUNTIFS(D12,"&gt;"&amp;TODAY(),D12,"&lt;="&amp;TODAY()+30)+COUNTIFS(E12,"&gt;"&amp;TODAY(),E12,"&lt;="&amp;TODAY()+30)+COUNTIFS(F12,"&gt;"&amp;TODAY(),F12,"&lt;="&amp;TODAY()+30)&gt;0),1,0)</x:f>
        <x:v>0</x:v>
      </x:c>
      <x:c r="R12" t="n">
        <x:f>R11+IF(OR(LEFT(H12,15)="Missing dates; ",LEFT(H12,16)="Add N/A reason; ",H12="Add dates",H12="Add registration",H12="Check date format"),1,0)</x:f>
        <x:v>0</x:v>
      </x:c>
      <x:c r="S12" t="n">
        <x:f>S11+IF(COUNTIFS(C12:F12,"Reviewed N/A")&gt;0,1,0)</x:f>
        <x:v>0</x:v>
      </x:c>
    </x:row>
    <x:row r="13" ht="48" customHeight="1">
      <x:c r="A13" s="52"/>
      <x:c r="B13" s="52"/>
      <x:c r="C13" s="53"/>
      <x:c r="D13" s="53"/>
      <x:c r="E13" s="53"/>
      <x:c r="F13" s="53"/>
      <x:c r="G13" s="52"/>
      <x:c r="H13" s="21" t="str">
        <x:f>IF(COUNTA(A13:G13,I13)=0,"",IF(A13="","Add registration",IF(OR(COUNTA(C13:F13)&gt;COUNT(C13:F13)+COUNTIFS(C13:F13,"Reviewed N/A"),AND(COUNT(C13:F13)&gt;0,OR(MIN(C13:F13)&lt;36526,MAX(C13:F13)&gt;109574))),"Check date format",IF(AND(COUNTIFS(C13:F13,"Reviewed N/A")&gt;0,I13=""),"Add N/A reason; ","")&amp;IF(COUNT(C13:F13)=0,IF(COUNTIFS(C13:F13,"Reviewed N/A")=4,"No applicable dates recorded","Add dates"),IF(COUNT(C13:F13)+COUNTIFS(C13:F13,"Reviewed N/A")&lt;4,"Missing dates; ","")&amp;IF(MIN(C13:F13)&lt;TODAY(),"Overdue: ",IF(MIN(C13:F13)=TODAY(),"Due today: ",IF(MIN(C13:F13)&lt;=TODAY()+30,"Due within 30 days: ","Next: ")))&amp;INDEX($C$8:$F$8,1,MATCH(MIN(C13:F13),C13:F13,0))&amp;" "&amp;TEXT(MIN(C13:F13),"dd mmm yyyy")))))</x:f>
      </x:c>
      <x:c r="I13" s="52"/>
      <x:c r="J13" t="str">
        <x:f>IF(AND(A13&lt;&gt;"",COUNTIFS(C13,"&gt;=36526",C13,"&lt;"&amp;TODAY())+COUNTIFS(D13,"&gt;=36526",D13,"&lt;"&amp;TODAY())+COUNTIFS(E13,"&gt;=36526",E13,"&lt;"&amp;TODAY())+COUNTIFS(F13,"&gt;=36526",F13,"&lt;"&amp;TODAY())&gt;0),O13,"")</x:f>
      </x:c>
      <x:c r="K13" t="str">
        <x:f>IF(AND(A13&lt;&gt;"",COUNTIFS(C13,"&gt;=36526",C13,TODAY())+COUNTIFS(D13,"&gt;=36526",D13,TODAY())+COUNTIFS(E13,"&gt;=36526",E13,TODAY())+COUNTIFS(F13,"&gt;=36526",F13,TODAY())&gt;0),P13,"")</x:f>
      </x:c>
      <x:c r="L13" t="str">
        <x:f>IF(AND(A13&lt;&gt;"",COUNTIFS(C13,"&gt;"&amp;TODAY(),C13,"&lt;="&amp;TODAY()+30)+COUNTIFS(D13,"&gt;"&amp;TODAY(),D13,"&lt;="&amp;TODAY()+30)+COUNTIFS(E13,"&gt;"&amp;TODAY(),E13,"&lt;="&amp;TODAY()+30)+COUNTIFS(F13,"&gt;"&amp;TODAY(),F13,"&lt;="&amp;TODAY()+30)&gt;0),Q13,"")</x:f>
      </x:c>
      <x:c r="M13" t="str">
        <x:f>IF(OR(LEFT(H13,15)="Missing dates; ",LEFT(H13,16)="Add N/A reason; ",H13="Add dates",H13="Add registration",H13="Check date format"),R13,"")</x:f>
      </x:c>
      <x:c r="N13" t="str">
        <x:f>IF(COUNTIFS(C13:F13,"Reviewed N/A")&gt;0,S13,"")</x:f>
      </x:c>
      <x:c r="O13" t="n">
        <x:f>O12+IF(AND(A13&lt;&gt;"",COUNTIFS(C13,"&gt;=36526",C13,"&lt;"&amp;TODAY())+COUNTIFS(D13,"&gt;=36526",D13,"&lt;"&amp;TODAY())+COUNTIFS(E13,"&gt;=36526",E13,"&lt;"&amp;TODAY())+COUNTIFS(F13,"&gt;=36526",F13,"&lt;"&amp;TODAY())&gt;0),1,0)</x:f>
        <x:v>0</x:v>
      </x:c>
      <x:c r="P13" t="n">
        <x:f>P12+IF(AND(A13&lt;&gt;"",COUNTIFS(C13,"&gt;=36526",C13,TODAY())+COUNTIFS(D13,"&gt;=36526",D13,TODAY())+COUNTIFS(E13,"&gt;=36526",E13,TODAY())+COUNTIFS(F13,"&gt;=36526",F13,TODAY())&gt;0),1,0)</x:f>
        <x:v>0</x:v>
      </x:c>
      <x:c r="Q13" t="n">
        <x:f>Q12+IF(AND(A13&lt;&gt;"",COUNTIFS(C13,"&gt;"&amp;TODAY(),C13,"&lt;="&amp;TODAY()+30)+COUNTIFS(D13,"&gt;"&amp;TODAY(),D13,"&lt;="&amp;TODAY()+30)+COUNTIFS(E13,"&gt;"&amp;TODAY(),E13,"&lt;="&amp;TODAY()+30)+COUNTIFS(F13,"&gt;"&amp;TODAY(),F13,"&lt;="&amp;TODAY()+30)&gt;0),1,0)</x:f>
        <x:v>0</x:v>
      </x:c>
      <x:c r="R13" t="n">
        <x:f>R12+IF(OR(LEFT(H13,15)="Missing dates; ",LEFT(H13,16)="Add N/A reason; ",H13="Add dates",H13="Add registration",H13="Check date format"),1,0)</x:f>
        <x:v>0</x:v>
      </x:c>
      <x:c r="S13" t="n">
        <x:f>S12+IF(COUNTIFS(C13:F13,"Reviewed N/A")&gt;0,1,0)</x:f>
        <x:v>0</x:v>
      </x:c>
    </x:row>
    <x:row r="14" ht="48" customHeight="1">
      <x:c r="A14" s="52"/>
      <x:c r="B14" s="52"/>
      <x:c r="C14" s="53"/>
      <x:c r="D14" s="53"/>
      <x:c r="E14" s="53"/>
      <x:c r="F14" s="53"/>
      <x:c r="G14" s="52"/>
      <x:c r="H14" s="21" t="str">
        <x:f>IF(COUNTA(A14:G14,I14)=0,"",IF(A14="","Add registration",IF(OR(COUNTA(C14:F14)&gt;COUNT(C14:F14)+COUNTIFS(C14:F14,"Reviewed N/A"),AND(COUNT(C14:F14)&gt;0,OR(MIN(C14:F14)&lt;36526,MAX(C14:F14)&gt;109574))),"Check date format",IF(AND(COUNTIFS(C14:F14,"Reviewed N/A")&gt;0,I14=""),"Add N/A reason; ","")&amp;IF(COUNT(C14:F14)=0,IF(COUNTIFS(C14:F14,"Reviewed N/A")=4,"No applicable dates recorded","Add dates"),IF(COUNT(C14:F14)+COUNTIFS(C14:F14,"Reviewed N/A")&lt;4,"Missing dates; ","")&amp;IF(MIN(C14:F14)&lt;TODAY(),"Overdue: ",IF(MIN(C14:F14)=TODAY(),"Due today: ",IF(MIN(C14:F14)&lt;=TODAY()+30,"Due within 30 days: ","Next: ")))&amp;INDEX($C$8:$F$8,1,MATCH(MIN(C14:F14),C14:F14,0))&amp;" "&amp;TEXT(MIN(C14:F14),"dd mmm yyyy")))))</x:f>
      </x:c>
      <x:c r="I14" s="52"/>
      <x:c r="J14" t="str">
        <x:f>IF(AND(A14&lt;&gt;"",COUNTIFS(C14,"&gt;=36526",C14,"&lt;"&amp;TODAY())+COUNTIFS(D14,"&gt;=36526",D14,"&lt;"&amp;TODAY())+COUNTIFS(E14,"&gt;=36526",E14,"&lt;"&amp;TODAY())+COUNTIFS(F14,"&gt;=36526",F14,"&lt;"&amp;TODAY())&gt;0),O14,"")</x:f>
      </x:c>
      <x:c r="K14" t="str">
        <x:f>IF(AND(A14&lt;&gt;"",COUNTIFS(C14,"&gt;=36526",C14,TODAY())+COUNTIFS(D14,"&gt;=36526",D14,TODAY())+COUNTIFS(E14,"&gt;=36526",E14,TODAY())+COUNTIFS(F14,"&gt;=36526",F14,TODAY())&gt;0),P14,"")</x:f>
      </x:c>
      <x:c r="L14" t="str">
        <x:f>IF(AND(A14&lt;&gt;"",COUNTIFS(C14,"&gt;"&amp;TODAY(),C14,"&lt;="&amp;TODAY()+30)+COUNTIFS(D14,"&gt;"&amp;TODAY(),D14,"&lt;="&amp;TODAY()+30)+COUNTIFS(E14,"&gt;"&amp;TODAY(),E14,"&lt;="&amp;TODAY()+30)+COUNTIFS(F14,"&gt;"&amp;TODAY(),F14,"&lt;="&amp;TODAY()+30)&gt;0),Q14,"")</x:f>
      </x:c>
      <x:c r="M14" t="str">
        <x:f>IF(OR(LEFT(H14,15)="Missing dates; ",LEFT(H14,16)="Add N/A reason; ",H14="Add dates",H14="Add registration",H14="Check date format"),R14,"")</x:f>
      </x:c>
      <x:c r="N14" t="str">
        <x:f>IF(COUNTIFS(C14:F14,"Reviewed N/A")&gt;0,S14,"")</x:f>
      </x:c>
      <x:c r="O14" t="n">
        <x:f>O13+IF(AND(A14&lt;&gt;"",COUNTIFS(C14,"&gt;=36526",C14,"&lt;"&amp;TODAY())+COUNTIFS(D14,"&gt;=36526",D14,"&lt;"&amp;TODAY())+COUNTIFS(E14,"&gt;=36526",E14,"&lt;"&amp;TODAY())+COUNTIFS(F14,"&gt;=36526",F14,"&lt;"&amp;TODAY())&gt;0),1,0)</x:f>
        <x:v>0</x:v>
      </x:c>
      <x:c r="P14" t="n">
        <x:f>P13+IF(AND(A14&lt;&gt;"",COUNTIFS(C14,"&gt;=36526",C14,TODAY())+COUNTIFS(D14,"&gt;=36526",D14,TODAY())+COUNTIFS(E14,"&gt;=36526",E14,TODAY())+COUNTIFS(F14,"&gt;=36526",F14,TODAY())&gt;0),1,0)</x:f>
        <x:v>0</x:v>
      </x:c>
      <x:c r="Q14" t="n">
        <x:f>Q13+IF(AND(A14&lt;&gt;"",COUNTIFS(C14,"&gt;"&amp;TODAY(),C14,"&lt;="&amp;TODAY()+30)+COUNTIFS(D14,"&gt;"&amp;TODAY(),D14,"&lt;="&amp;TODAY()+30)+COUNTIFS(E14,"&gt;"&amp;TODAY(),E14,"&lt;="&amp;TODAY()+30)+COUNTIFS(F14,"&gt;"&amp;TODAY(),F14,"&lt;="&amp;TODAY()+30)&gt;0),1,0)</x:f>
        <x:v>0</x:v>
      </x:c>
      <x:c r="R14" t="n">
        <x:f>R13+IF(OR(LEFT(H14,15)="Missing dates; ",LEFT(H14,16)="Add N/A reason; ",H14="Add dates",H14="Add registration",H14="Check date format"),1,0)</x:f>
        <x:v>0</x:v>
      </x:c>
      <x:c r="S14" t="n">
        <x:f>S13+IF(COUNTIFS(C14:F14,"Reviewed N/A")&gt;0,1,0)</x:f>
        <x:v>0</x:v>
      </x:c>
    </x:row>
    <x:row r="15" ht="48" customHeight="1">
      <x:c r="A15" s="52"/>
      <x:c r="B15" s="52"/>
      <x:c r="C15" s="53"/>
      <x:c r="D15" s="53"/>
      <x:c r="E15" s="53"/>
      <x:c r="F15" s="53"/>
      <x:c r="G15" s="52"/>
      <x:c r="H15" s="21" t="str">
        <x:f>IF(COUNTA(A15:G15,I15)=0,"",IF(A15="","Add registration",IF(OR(COUNTA(C15:F15)&gt;COUNT(C15:F15)+COUNTIFS(C15:F15,"Reviewed N/A"),AND(COUNT(C15:F15)&gt;0,OR(MIN(C15:F15)&lt;36526,MAX(C15:F15)&gt;109574))),"Check date format",IF(AND(COUNTIFS(C15:F15,"Reviewed N/A")&gt;0,I15=""),"Add N/A reason; ","")&amp;IF(COUNT(C15:F15)=0,IF(COUNTIFS(C15:F15,"Reviewed N/A")=4,"No applicable dates recorded","Add dates"),IF(COUNT(C15:F15)+COUNTIFS(C15:F15,"Reviewed N/A")&lt;4,"Missing dates; ","")&amp;IF(MIN(C15:F15)&lt;TODAY(),"Overdue: ",IF(MIN(C15:F15)=TODAY(),"Due today: ",IF(MIN(C15:F15)&lt;=TODAY()+30,"Due within 30 days: ","Next: ")))&amp;INDEX($C$8:$F$8,1,MATCH(MIN(C15:F15),C15:F15,0))&amp;" "&amp;TEXT(MIN(C15:F15),"dd mmm yyyy")))))</x:f>
      </x:c>
      <x:c r="I15" s="52"/>
      <x:c r="J15" t="str">
        <x:f>IF(AND(A15&lt;&gt;"",COUNTIFS(C15,"&gt;=36526",C15,"&lt;"&amp;TODAY())+COUNTIFS(D15,"&gt;=36526",D15,"&lt;"&amp;TODAY())+COUNTIFS(E15,"&gt;=36526",E15,"&lt;"&amp;TODAY())+COUNTIFS(F15,"&gt;=36526",F15,"&lt;"&amp;TODAY())&gt;0),O15,"")</x:f>
      </x:c>
      <x:c r="K15" t="str">
        <x:f>IF(AND(A15&lt;&gt;"",COUNTIFS(C15,"&gt;=36526",C15,TODAY())+COUNTIFS(D15,"&gt;=36526",D15,TODAY())+COUNTIFS(E15,"&gt;=36526",E15,TODAY())+COUNTIFS(F15,"&gt;=36526",F15,TODAY())&gt;0),P15,"")</x:f>
      </x:c>
      <x:c r="L15" t="str">
        <x:f>IF(AND(A15&lt;&gt;"",COUNTIFS(C15,"&gt;"&amp;TODAY(),C15,"&lt;="&amp;TODAY()+30)+COUNTIFS(D15,"&gt;"&amp;TODAY(),D15,"&lt;="&amp;TODAY()+30)+COUNTIFS(E15,"&gt;"&amp;TODAY(),E15,"&lt;="&amp;TODAY()+30)+COUNTIFS(F15,"&gt;"&amp;TODAY(),F15,"&lt;="&amp;TODAY()+30)&gt;0),Q15,"")</x:f>
      </x:c>
      <x:c r="M15" t="str">
        <x:f>IF(OR(LEFT(H15,15)="Missing dates; ",LEFT(H15,16)="Add N/A reason; ",H15="Add dates",H15="Add registration",H15="Check date format"),R15,"")</x:f>
      </x:c>
      <x:c r="N15" t="str">
        <x:f>IF(COUNTIFS(C15:F15,"Reviewed N/A")&gt;0,S15,"")</x:f>
      </x:c>
      <x:c r="O15" t="n">
        <x:f>O14+IF(AND(A15&lt;&gt;"",COUNTIFS(C15,"&gt;=36526",C15,"&lt;"&amp;TODAY())+COUNTIFS(D15,"&gt;=36526",D15,"&lt;"&amp;TODAY())+COUNTIFS(E15,"&gt;=36526",E15,"&lt;"&amp;TODAY())+COUNTIFS(F15,"&gt;=36526",F15,"&lt;"&amp;TODAY())&gt;0),1,0)</x:f>
        <x:v>0</x:v>
      </x:c>
      <x:c r="P15" t="n">
        <x:f>P14+IF(AND(A15&lt;&gt;"",COUNTIFS(C15,"&gt;=36526",C15,TODAY())+COUNTIFS(D15,"&gt;=36526",D15,TODAY())+COUNTIFS(E15,"&gt;=36526",E15,TODAY())+COUNTIFS(F15,"&gt;=36526",F15,TODAY())&gt;0),1,0)</x:f>
        <x:v>0</x:v>
      </x:c>
      <x:c r="Q15" t="n">
        <x:f>Q14+IF(AND(A15&lt;&gt;"",COUNTIFS(C15,"&gt;"&amp;TODAY(),C15,"&lt;="&amp;TODAY()+30)+COUNTIFS(D15,"&gt;"&amp;TODAY(),D15,"&lt;="&amp;TODAY()+30)+COUNTIFS(E15,"&gt;"&amp;TODAY(),E15,"&lt;="&amp;TODAY()+30)+COUNTIFS(F15,"&gt;"&amp;TODAY(),F15,"&lt;="&amp;TODAY()+30)&gt;0),1,0)</x:f>
        <x:v>0</x:v>
      </x:c>
      <x:c r="R15" t="n">
        <x:f>R14+IF(OR(LEFT(H15,15)="Missing dates; ",LEFT(H15,16)="Add N/A reason; ",H15="Add dates",H15="Add registration",H15="Check date format"),1,0)</x:f>
        <x:v>0</x:v>
      </x:c>
      <x:c r="S15" t="n">
        <x:f>S14+IF(COUNTIFS(C15:F15,"Reviewed N/A")&gt;0,1,0)</x:f>
        <x:v>0</x:v>
      </x:c>
    </x:row>
    <x:row r="16" ht="48" customHeight="1">
      <x:c r="A16" s="52"/>
      <x:c r="B16" s="52"/>
      <x:c r="C16" s="53"/>
      <x:c r="D16" s="53"/>
      <x:c r="E16" s="53"/>
      <x:c r="F16" s="53"/>
      <x:c r="G16" s="52"/>
      <x:c r="H16" s="21" t="str">
        <x:f>IF(COUNTA(A16:G16,I16)=0,"",IF(A16="","Add registration",IF(OR(COUNTA(C16:F16)&gt;COUNT(C16:F16)+COUNTIFS(C16:F16,"Reviewed N/A"),AND(COUNT(C16:F16)&gt;0,OR(MIN(C16:F16)&lt;36526,MAX(C16:F16)&gt;109574))),"Check date format",IF(AND(COUNTIFS(C16:F16,"Reviewed N/A")&gt;0,I16=""),"Add N/A reason; ","")&amp;IF(COUNT(C16:F16)=0,IF(COUNTIFS(C16:F16,"Reviewed N/A")=4,"No applicable dates recorded","Add dates"),IF(COUNT(C16:F16)+COUNTIFS(C16:F16,"Reviewed N/A")&lt;4,"Missing dates; ","")&amp;IF(MIN(C16:F16)&lt;TODAY(),"Overdue: ",IF(MIN(C16:F16)=TODAY(),"Due today: ",IF(MIN(C16:F16)&lt;=TODAY()+30,"Due within 30 days: ","Next: ")))&amp;INDEX($C$8:$F$8,1,MATCH(MIN(C16:F16),C16:F16,0))&amp;" "&amp;TEXT(MIN(C16:F16),"dd mmm yyyy")))))</x:f>
      </x:c>
      <x:c r="I16" s="52"/>
      <x:c r="J16" t="str">
        <x:f>IF(AND(A16&lt;&gt;"",COUNTIFS(C16,"&gt;=36526",C16,"&lt;"&amp;TODAY())+COUNTIFS(D16,"&gt;=36526",D16,"&lt;"&amp;TODAY())+COUNTIFS(E16,"&gt;=36526",E16,"&lt;"&amp;TODAY())+COUNTIFS(F16,"&gt;=36526",F16,"&lt;"&amp;TODAY())&gt;0),O16,"")</x:f>
      </x:c>
      <x:c r="K16" t="str">
        <x:f>IF(AND(A16&lt;&gt;"",COUNTIFS(C16,"&gt;=36526",C16,TODAY())+COUNTIFS(D16,"&gt;=36526",D16,TODAY())+COUNTIFS(E16,"&gt;=36526",E16,TODAY())+COUNTIFS(F16,"&gt;=36526",F16,TODAY())&gt;0),P16,"")</x:f>
      </x:c>
      <x:c r="L16" t="str">
        <x:f>IF(AND(A16&lt;&gt;"",COUNTIFS(C16,"&gt;"&amp;TODAY(),C16,"&lt;="&amp;TODAY()+30)+COUNTIFS(D16,"&gt;"&amp;TODAY(),D16,"&lt;="&amp;TODAY()+30)+COUNTIFS(E16,"&gt;"&amp;TODAY(),E16,"&lt;="&amp;TODAY()+30)+COUNTIFS(F16,"&gt;"&amp;TODAY(),F16,"&lt;="&amp;TODAY()+30)&gt;0),Q16,"")</x:f>
      </x:c>
      <x:c r="M16" t="str">
        <x:f>IF(OR(LEFT(H16,15)="Missing dates; ",LEFT(H16,16)="Add N/A reason; ",H16="Add dates",H16="Add registration",H16="Check date format"),R16,"")</x:f>
      </x:c>
      <x:c r="N16" t="str">
        <x:f>IF(COUNTIFS(C16:F16,"Reviewed N/A")&gt;0,S16,"")</x:f>
      </x:c>
      <x:c r="O16" t="n">
        <x:f>O15+IF(AND(A16&lt;&gt;"",COUNTIFS(C16,"&gt;=36526",C16,"&lt;"&amp;TODAY())+COUNTIFS(D16,"&gt;=36526",D16,"&lt;"&amp;TODAY())+COUNTIFS(E16,"&gt;=36526",E16,"&lt;"&amp;TODAY())+COUNTIFS(F16,"&gt;=36526",F16,"&lt;"&amp;TODAY())&gt;0),1,0)</x:f>
        <x:v>0</x:v>
      </x:c>
      <x:c r="P16" t="n">
        <x:f>P15+IF(AND(A16&lt;&gt;"",COUNTIFS(C16,"&gt;=36526",C16,TODAY())+COUNTIFS(D16,"&gt;=36526",D16,TODAY())+COUNTIFS(E16,"&gt;=36526",E16,TODAY())+COUNTIFS(F16,"&gt;=36526",F16,TODAY())&gt;0),1,0)</x:f>
        <x:v>0</x:v>
      </x:c>
      <x:c r="Q16" t="n">
        <x:f>Q15+IF(AND(A16&lt;&gt;"",COUNTIFS(C16,"&gt;"&amp;TODAY(),C16,"&lt;="&amp;TODAY()+30)+COUNTIFS(D16,"&gt;"&amp;TODAY(),D16,"&lt;="&amp;TODAY()+30)+COUNTIFS(E16,"&gt;"&amp;TODAY(),E16,"&lt;="&amp;TODAY()+30)+COUNTIFS(F16,"&gt;"&amp;TODAY(),F16,"&lt;="&amp;TODAY()+30)&gt;0),1,0)</x:f>
        <x:v>0</x:v>
      </x:c>
      <x:c r="R16" t="n">
        <x:f>R15+IF(OR(LEFT(H16,15)="Missing dates; ",LEFT(H16,16)="Add N/A reason; ",H16="Add dates",H16="Add registration",H16="Check date format"),1,0)</x:f>
        <x:v>0</x:v>
      </x:c>
      <x:c r="S16" t="n">
        <x:f>S15+IF(COUNTIFS(C16:F16,"Reviewed N/A")&gt;0,1,0)</x:f>
        <x:v>0</x:v>
      </x:c>
    </x:row>
    <x:row r="17" ht="48" customHeight="1">
      <x:c r="A17" s="52"/>
      <x:c r="B17" s="52"/>
      <x:c r="C17" s="53"/>
      <x:c r="D17" s="53"/>
      <x:c r="E17" s="53"/>
      <x:c r="F17" s="53"/>
      <x:c r="G17" s="52"/>
      <x:c r="H17" s="21" t="str">
        <x:f>IF(COUNTA(A17:G17,I17)=0,"",IF(A17="","Add registration",IF(OR(COUNTA(C17:F17)&gt;COUNT(C17:F17)+COUNTIFS(C17:F17,"Reviewed N/A"),AND(COUNT(C17:F17)&gt;0,OR(MIN(C17:F17)&lt;36526,MAX(C17:F17)&gt;109574))),"Check date format",IF(AND(COUNTIFS(C17:F17,"Reviewed N/A")&gt;0,I17=""),"Add N/A reason; ","")&amp;IF(COUNT(C17:F17)=0,IF(COUNTIFS(C17:F17,"Reviewed N/A")=4,"No applicable dates recorded","Add dates"),IF(COUNT(C17:F17)+COUNTIFS(C17:F17,"Reviewed N/A")&lt;4,"Missing dates; ","")&amp;IF(MIN(C17:F17)&lt;TODAY(),"Overdue: ",IF(MIN(C17:F17)=TODAY(),"Due today: ",IF(MIN(C17:F17)&lt;=TODAY()+30,"Due within 30 days: ","Next: ")))&amp;INDEX($C$8:$F$8,1,MATCH(MIN(C17:F17),C17:F17,0))&amp;" "&amp;TEXT(MIN(C17:F17),"dd mmm yyyy")))))</x:f>
      </x:c>
      <x:c r="I17" s="52"/>
      <x:c r="J17" t="str">
        <x:f>IF(AND(A17&lt;&gt;"",COUNTIFS(C17,"&gt;=36526",C17,"&lt;"&amp;TODAY())+COUNTIFS(D17,"&gt;=36526",D17,"&lt;"&amp;TODAY())+COUNTIFS(E17,"&gt;=36526",E17,"&lt;"&amp;TODAY())+COUNTIFS(F17,"&gt;=36526",F17,"&lt;"&amp;TODAY())&gt;0),O17,"")</x:f>
      </x:c>
      <x:c r="K17" t="str">
        <x:f>IF(AND(A17&lt;&gt;"",COUNTIFS(C17,"&gt;=36526",C17,TODAY())+COUNTIFS(D17,"&gt;=36526",D17,TODAY())+COUNTIFS(E17,"&gt;=36526",E17,TODAY())+COUNTIFS(F17,"&gt;=36526",F17,TODAY())&gt;0),P17,"")</x:f>
      </x:c>
      <x:c r="L17" t="str">
        <x:f>IF(AND(A17&lt;&gt;"",COUNTIFS(C17,"&gt;"&amp;TODAY(),C17,"&lt;="&amp;TODAY()+30)+COUNTIFS(D17,"&gt;"&amp;TODAY(),D17,"&lt;="&amp;TODAY()+30)+COUNTIFS(E17,"&gt;"&amp;TODAY(),E17,"&lt;="&amp;TODAY()+30)+COUNTIFS(F17,"&gt;"&amp;TODAY(),F17,"&lt;="&amp;TODAY()+30)&gt;0),Q17,"")</x:f>
      </x:c>
      <x:c r="M17" t="str">
        <x:f>IF(OR(LEFT(H17,15)="Missing dates; ",LEFT(H17,16)="Add N/A reason; ",H17="Add dates",H17="Add registration",H17="Check date format"),R17,"")</x:f>
      </x:c>
      <x:c r="N17" t="str">
        <x:f>IF(COUNTIFS(C17:F17,"Reviewed N/A")&gt;0,S17,"")</x:f>
      </x:c>
      <x:c r="O17" t="n">
        <x:f>O16+IF(AND(A17&lt;&gt;"",COUNTIFS(C17,"&gt;=36526",C17,"&lt;"&amp;TODAY())+COUNTIFS(D17,"&gt;=36526",D17,"&lt;"&amp;TODAY())+COUNTIFS(E17,"&gt;=36526",E17,"&lt;"&amp;TODAY())+COUNTIFS(F17,"&gt;=36526",F17,"&lt;"&amp;TODAY())&gt;0),1,0)</x:f>
        <x:v>0</x:v>
      </x:c>
      <x:c r="P17" t="n">
        <x:f>P16+IF(AND(A17&lt;&gt;"",COUNTIFS(C17,"&gt;=36526",C17,TODAY())+COUNTIFS(D17,"&gt;=36526",D17,TODAY())+COUNTIFS(E17,"&gt;=36526",E17,TODAY())+COUNTIFS(F17,"&gt;=36526",F17,TODAY())&gt;0),1,0)</x:f>
        <x:v>0</x:v>
      </x:c>
      <x:c r="Q17" t="n">
        <x:f>Q16+IF(AND(A17&lt;&gt;"",COUNTIFS(C17,"&gt;"&amp;TODAY(),C17,"&lt;="&amp;TODAY()+30)+COUNTIFS(D17,"&gt;"&amp;TODAY(),D17,"&lt;="&amp;TODAY()+30)+COUNTIFS(E17,"&gt;"&amp;TODAY(),E17,"&lt;="&amp;TODAY()+30)+COUNTIFS(F17,"&gt;"&amp;TODAY(),F17,"&lt;="&amp;TODAY()+30)&gt;0),1,0)</x:f>
        <x:v>0</x:v>
      </x:c>
      <x:c r="R17" t="n">
        <x:f>R16+IF(OR(LEFT(H17,15)="Missing dates; ",LEFT(H17,16)="Add N/A reason; ",H17="Add dates",H17="Add registration",H17="Check date format"),1,0)</x:f>
        <x:v>0</x:v>
      </x:c>
      <x:c r="S17" t="n">
        <x:f>S16+IF(COUNTIFS(C17:F17,"Reviewed N/A")&gt;0,1,0)</x:f>
        <x:v>0</x:v>
      </x:c>
    </x:row>
    <x:row r="18" ht="48" customHeight="1">
      <x:c r="A18" s="52"/>
      <x:c r="B18" s="52"/>
      <x:c r="C18" s="53"/>
      <x:c r="D18" s="53"/>
      <x:c r="E18" s="53"/>
      <x:c r="F18" s="53"/>
      <x:c r="G18" s="52"/>
      <x:c r="H18" s="21" t="str">
        <x:f>IF(COUNTA(A18:G18,I18)=0,"",IF(A18="","Add registration",IF(OR(COUNTA(C18:F18)&gt;COUNT(C18:F18)+COUNTIFS(C18:F18,"Reviewed N/A"),AND(COUNT(C18:F18)&gt;0,OR(MIN(C18:F18)&lt;36526,MAX(C18:F18)&gt;109574))),"Check date format",IF(AND(COUNTIFS(C18:F18,"Reviewed N/A")&gt;0,I18=""),"Add N/A reason; ","")&amp;IF(COUNT(C18:F18)=0,IF(COUNTIFS(C18:F18,"Reviewed N/A")=4,"No applicable dates recorded","Add dates"),IF(COUNT(C18:F18)+COUNTIFS(C18:F18,"Reviewed N/A")&lt;4,"Missing dates; ","")&amp;IF(MIN(C18:F18)&lt;TODAY(),"Overdue: ",IF(MIN(C18:F18)=TODAY(),"Due today: ",IF(MIN(C18:F18)&lt;=TODAY()+30,"Due within 30 days: ","Next: ")))&amp;INDEX($C$8:$F$8,1,MATCH(MIN(C18:F18),C18:F18,0))&amp;" "&amp;TEXT(MIN(C18:F18),"dd mmm yyyy")))))</x:f>
      </x:c>
      <x:c r="I18" s="52"/>
      <x:c r="J18" t="str">
        <x:f>IF(AND(A18&lt;&gt;"",COUNTIFS(C18,"&gt;=36526",C18,"&lt;"&amp;TODAY())+COUNTIFS(D18,"&gt;=36526",D18,"&lt;"&amp;TODAY())+COUNTIFS(E18,"&gt;=36526",E18,"&lt;"&amp;TODAY())+COUNTIFS(F18,"&gt;=36526",F18,"&lt;"&amp;TODAY())&gt;0),O18,"")</x:f>
      </x:c>
      <x:c r="K18" t="str">
        <x:f>IF(AND(A18&lt;&gt;"",COUNTIFS(C18,"&gt;=36526",C18,TODAY())+COUNTIFS(D18,"&gt;=36526",D18,TODAY())+COUNTIFS(E18,"&gt;=36526",E18,TODAY())+COUNTIFS(F18,"&gt;=36526",F18,TODAY())&gt;0),P18,"")</x:f>
      </x:c>
      <x:c r="L18" t="str">
        <x:f>IF(AND(A18&lt;&gt;"",COUNTIFS(C18,"&gt;"&amp;TODAY(),C18,"&lt;="&amp;TODAY()+30)+COUNTIFS(D18,"&gt;"&amp;TODAY(),D18,"&lt;="&amp;TODAY()+30)+COUNTIFS(E18,"&gt;"&amp;TODAY(),E18,"&lt;="&amp;TODAY()+30)+COUNTIFS(F18,"&gt;"&amp;TODAY(),F18,"&lt;="&amp;TODAY()+30)&gt;0),Q18,"")</x:f>
      </x:c>
      <x:c r="M18" t="str">
        <x:f>IF(OR(LEFT(H18,15)="Missing dates; ",LEFT(H18,16)="Add N/A reason; ",H18="Add dates",H18="Add registration",H18="Check date format"),R18,"")</x:f>
      </x:c>
      <x:c r="N18" t="str">
        <x:f>IF(COUNTIFS(C18:F18,"Reviewed N/A")&gt;0,S18,"")</x:f>
      </x:c>
      <x:c r="O18" t="n">
        <x:f>O17+IF(AND(A18&lt;&gt;"",COUNTIFS(C18,"&gt;=36526",C18,"&lt;"&amp;TODAY())+COUNTIFS(D18,"&gt;=36526",D18,"&lt;"&amp;TODAY())+COUNTIFS(E18,"&gt;=36526",E18,"&lt;"&amp;TODAY())+COUNTIFS(F18,"&gt;=36526",F18,"&lt;"&amp;TODAY())&gt;0),1,0)</x:f>
        <x:v>0</x:v>
      </x:c>
      <x:c r="P18" t="n">
        <x:f>P17+IF(AND(A18&lt;&gt;"",COUNTIFS(C18,"&gt;=36526",C18,TODAY())+COUNTIFS(D18,"&gt;=36526",D18,TODAY())+COUNTIFS(E18,"&gt;=36526",E18,TODAY())+COUNTIFS(F18,"&gt;=36526",F18,TODAY())&gt;0),1,0)</x:f>
        <x:v>0</x:v>
      </x:c>
      <x:c r="Q18" t="n">
        <x:f>Q17+IF(AND(A18&lt;&gt;"",COUNTIFS(C18,"&gt;"&amp;TODAY(),C18,"&lt;="&amp;TODAY()+30)+COUNTIFS(D18,"&gt;"&amp;TODAY(),D18,"&lt;="&amp;TODAY()+30)+COUNTIFS(E18,"&gt;"&amp;TODAY(),E18,"&lt;="&amp;TODAY()+30)+COUNTIFS(F18,"&gt;"&amp;TODAY(),F18,"&lt;="&amp;TODAY()+30)&gt;0),1,0)</x:f>
        <x:v>0</x:v>
      </x:c>
      <x:c r="R18" t="n">
        <x:f>R17+IF(OR(LEFT(H18,15)="Missing dates; ",LEFT(H18,16)="Add N/A reason; ",H18="Add dates",H18="Add registration",H18="Check date format"),1,0)</x:f>
        <x:v>0</x:v>
      </x:c>
      <x:c r="S18" t="n">
        <x:f>S17+IF(COUNTIFS(C18:F18,"Reviewed N/A")&gt;0,1,0)</x:f>
        <x:v>0</x:v>
      </x:c>
    </x:row>
    <x:row r="19" ht="48" customHeight="1">
      <x:c r="A19" s="52"/>
      <x:c r="B19" s="52"/>
      <x:c r="C19" s="53"/>
      <x:c r="D19" s="53"/>
      <x:c r="E19" s="53"/>
      <x:c r="F19" s="53"/>
      <x:c r="G19" s="52"/>
      <x:c r="H19" s="21" t="str">
        <x:f>IF(COUNTA(A19:G19,I19)=0,"",IF(A19="","Add registration",IF(OR(COUNTA(C19:F19)&gt;COUNT(C19:F19)+COUNTIFS(C19:F19,"Reviewed N/A"),AND(COUNT(C19:F19)&gt;0,OR(MIN(C19:F19)&lt;36526,MAX(C19:F19)&gt;109574))),"Check date format",IF(AND(COUNTIFS(C19:F19,"Reviewed N/A")&gt;0,I19=""),"Add N/A reason; ","")&amp;IF(COUNT(C19:F19)=0,IF(COUNTIFS(C19:F19,"Reviewed N/A")=4,"No applicable dates recorded","Add dates"),IF(COUNT(C19:F19)+COUNTIFS(C19:F19,"Reviewed N/A")&lt;4,"Missing dates; ","")&amp;IF(MIN(C19:F19)&lt;TODAY(),"Overdue: ",IF(MIN(C19:F19)=TODAY(),"Due today: ",IF(MIN(C19:F19)&lt;=TODAY()+30,"Due within 30 days: ","Next: ")))&amp;INDEX($C$8:$F$8,1,MATCH(MIN(C19:F19),C19:F19,0))&amp;" "&amp;TEXT(MIN(C19:F19),"dd mmm yyyy")))))</x:f>
      </x:c>
      <x:c r="I19" s="52"/>
      <x:c r="J19" t="str">
        <x:f>IF(AND(A19&lt;&gt;"",COUNTIFS(C19,"&gt;=36526",C19,"&lt;"&amp;TODAY())+COUNTIFS(D19,"&gt;=36526",D19,"&lt;"&amp;TODAY())+COUNTIFS(E19,"&gt;=36526",E19,"&lt;"&amp;TODAY())+COUNTIFS(F19,"&gt;=36526",F19,"&lt;"&amp;TODAY())&gt;0),O19,"")</x:f>
      </x:c>
      <x:c r="K19" t="str">
        <x:f>IF(AND(A19&lt;&gt;"",COUNTIFS(C19,"&gt;=36526",C19,TODAY())+COUNTIFS(D19,"&gt;=36526",D19,TODAY())+COUNTIFS(E19,"&gt;=36526",E19,TODAY())+COUNTIFS(F19,"&gt;=36526",F19,TODAY())&gt;0),P19,"")</x:f>
      </x:c>
      <x:c r="L19" t="str">
        <x:f>IF(AND(A19&lt;&gt;"",COUNTIFS(C19,"&gt;"&amp;TODAY(),C19,"&lt;="&amp;TODAY()+30)+COUNTIFS(D19,"&gt;"&amp;TODAY(),D19,"&lt;="&amp;TODAY()+30)+COUNTIFS(E19,"&gt;"&amp;TODAY(),E19,"&lt;="&amp;TODAY()+30)+COUNTIFS(F19,"&gt;"&amp;TODAY(),F19,"&lt;="&amp;TODAY()+30)&gt;0),Q19,"")</x:f>
      </x:c>
      <x:c r="M19" t="str">
        <x:f>IF(OR(LEFT(H19,15)="Missing dates; ",LEFT(H19,16)="Add N/A reason; ",H19="Add dates",H19="Add registration",H19="Check date format"),R19,"")</x:f>
      </x:c>
      <x:c r="N19" t="str">
        <x:f>IF(COUNTIFS(C19:F19,"Reviewed N/A")&gt;0,S19,"")</x:f>
      </x:c>
      <x:c r="O19" t="n">
        <x:f>O18+IF(AND(A19&lt;&gt;"",COUNTIFS(C19,"&gt;=36526",C19,"&lt;"&amp;TODAY())+COUNTIFS(D19,"&gt;=36526",D19,"&lt;"&amp;TODAY())+COUNTIFS(E19,"&gt;=36526",E19,"&lt;"&amp;TODAY())+COUNTIFS(F19,"&gt;=36526",F19,"&lt;"&amp;TODAY())&gt;0),1,0)</x:f>
        <x:v>0</x:v>
      </x:c>
      <x:c r="P19" t="n">
        <x:f>P18+IF(AND(A19&lt;&gt;"",COUNTIFS(C19,"&gt;=36526",C19,TODAY())+COUNTIFS(D19,"&gt;=36526",D19,TODAY())+COUNTIFS(E19,"&gt;=36526",E19,TODAY())+COUNTIFS(F19,"&gt;=36526",F19,TODAY())&gt;0),1,0)</x:f>
        <x:v>0</x:v>
      </x:c>
      <x:c r="Q19" t="n">
        <x:f>Q18+IF(AND(A19&lt;&gt;"",COUNTIFS(C19,"&gt;"&amp;TODAY(),C19,"&lt;="&amp;TODAY()+30)+COUNTIFS(D19,"&gt;"&amp;TODAY(),D19,"&lt;="&amp;TODAY()+30)+COUNTIFS(E19,"&gt;"&amp;TODAY(),E19,"&lt;="&amp;TODAY()+30)+COUNTIFS(F19,"&gt;"&amp;TODAY(),F19,"&lt;="&amp;TODAY()+30)&gt;0),1,0)</x:f>
        <x:v>0</x:v>
      </x:c>
      <x:c r="R19" t="n">
        <x:f>R18+IF(OR(LEFT(H19,15)="Missing dates; ",LEFT(H19,16)="Add N/A reason; ",H19="Add dates",H19="Add registration",H19="Check date format"),1,0)</x:f>
        <x:v>0</x:v>
      </x:c>
      <x:c r="S19" t="n">
        <x:f>S18+IF(COUNTIFS(C19:F19,"Reviewed N/A")&gt;0,1,0)</x:f>
        <x:v>0</x:v>
      </x:c>
    </x:row>
    <x:row r="20" ht="48" customHeight="1">
      <x:c r="A20" s="52"/>
      <x:c r="B20" s="52"/>
      <x:c r="C20" s="53"/>
      <x:c r="D20" s="53"/>
      <x:c r="E20" s="53"/>
      <x:c r="F20" s="53"/>
      <x:c r="G20" s="52"/>
      <x:c r="H20" s="21" t="str">
        <x:f>IF(COUNTA(A20:G20,I20)=0,"",IF(A20="","Add registration",IF(OR(COUNTA(C20:F20)&gt;COUNT(C20:F20)+COUNTIFS(C20:F20,"Reviewed N/A"),AND(COUNT(C20:F20)&gt;0,OR(MIN(C20:F20)&lt;36526,MAX(C20:F20)&gt;109574))),"Check date format",IF(AND(COUNTIFS(C20:F20,"Reviewed N/A")&gt;0,I20=""),"Add N/A reason; ","")&amp;IF(COUNT(C20:F20)=0,IF(COUNTIFS(C20:F20,"Reviewed N/A")=4,"No applicable dates recorded","Add dates"),IF(COUNT(C20:F20)+COUNTIFS(C20:F20,"Reviewed N/A")&lt;4,"Missing dates; ","")&amp;IF(MIN(C20:F20)&lt;TODAY(),"Overdue: ",IF(MIN(C20:F20)=TODAY(),"Due today: ",IF(MIN(C20:F20)&lt;=TODAY()+30,"Due within 30 days: ","Next: ")))&amp;INDEX($C$8:$F$8,1,MATCH(MIN(C20:F20),C20:F20,0))&amp;" "&amp;TEXT(MIN(C20:F20),"dd mmm yyyy")))))</x:f>
      </x:c>
      <x:c r="I20" s="52"/>
      <x:c r="J20" t="str">
        <x:f>IF(AND(A20&lt;&gt;"",COUNTIFS(C20,"&gt;=36526",C20,"&lt;"&amp;TODAY())+COUNTIFS(D20,"&gt;=36526",D20,"&lt;"&amp;TODAY())+COUNTIFS(E20,"&gt;=36526",E20,"&lt;"&amp;TODAY())+COUNTIFS(F20,"&gt;=36526",F20,"&lt;"&amp;TODAY())&gt;0),O20,"")</x:f>
      </x:c>
      <x:c r="K20" t="str">
        <x:f>IF(AND(A20&lt;&gt;"",COUNTIFS(C20,"&gt;=36526",C20,TODAY())+COUNTIFS(D20,"&gt;=36526",D20,TODAY())+COUNTIFS(E20,"&gt;=36526",E20,TODAY())+COUNTIFS(F20,"&gt;=36526",F20,TODAY())&gt;0),P20,"")</x:f>
      </x:c>
      <x:c r="L20" t="str">
        <x:f>IF(AND(A20&lt;&gt;"",COUNTIFS(C20,"&gt;"&amp;TODAY(),C20,"&lt;="&amp;TODAY()+30)+COUNTIFS(D20,"&gt;"&amp;TODAY(),D20,"&lt;="&amp;TODAY()+30)+COUNTIFS(E20,"&gt;"&amp;TODAY(),E20,"&lt;="&amp;TODAY()+30)+COUNTIFS(F20,"&gt;"&amp;TODAY(),F20,"&lt;="&amp;TODAY()+30)&gt;0),Q20,"")</x:f>
      </x:c>
      <x:c r="M20" t="str">
        <x:f>IF(OR(LEFT(H20,15)="Missing dates; ",LEFT(H20,16)="Add N/A reason; ",H20="Add dates",H20="Add registration",H20="Check date format"),R20,"")</x:f>
      </x:c>
      <x:c r="N20" t="str">
        <x:f>IF(COUNTIFS(C20:F20,"Reviewed N/A")&gt;0,S20,"")</x:f>
      </x:c>
      <x:c r="O20" t="n">
        <x:f>O19+IF(AND(A20&lt;&gt;"",COUNTIFS(C20,"&gt;=36526",C20,"&lt;"&amp;TODAY())+COUNTIFS(D20,"&gt;=36526",D20,"&lt;"&amp;TODAY())+COUNTIFS(E20,"&gt;=36526",E20,"&lt;"&amp;TODAY())+COUNTIFS(F20,"&gt;=36526",F20,"&lt;"&amp;TODAY())&gt;0),1,0)</x:f>
        <x:v>0</x:v>
      </x:c>
      <x:c r="P20" t="n">
        <x:f>P19+IF(AND(A20&lt;&gt;"",COUNTIFS(C20,"&gt;=36526",C20,TODAY())+COUNTIFS(D20,"&gt;=36526",D20,TODAY())+COUNTIFS(E20,"&gt;=36526",E20,TODAY())+COUNTIFS(F20,"&gt;=36526",F20,TODAY())&gt;0),1,0)</x:f>
        <x:v>0</x:v>
      </x:c>
      <x:c r="Q20" t="n">
        <x:f>Q19+IF(AND(A20&lt;&gt;"",COUNTIFS(C20,"&gt;"&amp;TODAY(),C20,"&lt;="&amp;TODAY()+30)+COUNTIFS(D20,"&gt;"&amp;TODAY(),D20,"&lt;="&amp;TODAY()+30)+COUNTIFS(E20,"&gt;"&amp;TODAY(),E20,"&lt;="&amp;TODAY()+30)+COUNTIFS(F20,"&gt;"&amp;TODAY(),F20,"&lt;="&amp;TODAY()+30)&gt;0),1,0)</x:f>
        <x:v>0</x:v>
      </x:c>
      <x:c r="R20" t="n">
        <x:f>R19+IF(OR(LEFT(H20,15)="Missing dates; ",LEFT(H20,16)="Add N/A reason; ",H20="Add dates",H20="Add registration",H20="Check date format"),1,0)</x:f>
        <x:v>0</x:v>
      </x:c>
      <x:c r="S20" t="n">
        <x:f>S19+IF(COUNTIFS(C20:F20,"Reviewed N/A")&gt;0,1,0)</x:f>
        <x:v>0</x:v>
      </x:c>
    </x:row>
    <x:row r="21" ht="48" customHeight="1">
      <x:c r="A21" s="52"/>
      <x:c r="B21" s="52"/>
      <x:c r="C21" s="53"/>
      <x:c r="D21" s="53"/>
      <x:c r="E21" s="53"/>
      <x:c r="F21" s="53"/>
      <x:c r="G21" s="52"/>
      <x:c r="H21" s="21" t="str">
        <x:f>IF(COUNTA(A21:G21,I21)=0,"",IF(A21="","Add registration",IF(OR(COUNTA(C21:F21)&gt;COUNT(C21:F21)+COUNTIFS(C21:F21,"Reviewed N/A"),AND(COUNT(C21:F21)&gt;0,OR(MIN(C21:F21)&lt;36526,MAX(C21:F21)&gt;109574))),"Check date format",IF(AND(COUNTIFS(C21:F21,"Reviewed N/A")&gt;0,I21=""),"Add N/A reason; ","")&amp;IF(COUNT(C21:F21)=0,IF(COUNTIFS(C21:F21,"Reviewed N/A")=4,"No applicable dates recorded","Add dates"),IF(COUNT(C21:F21)+COUNTIFS(C21:F21,"Reviewed N/A")&lt;4,"Missing dates; ","")&amp;IF(MIN(C21:F21)&lt;TODAY(),"Overdue: ",IF(MIN(C21:F21)=TODAY(),"Due today: ",IF(MIN(C21:F21)&lt;=TODAY()+30,"Due within 30 days: ","Next: ")))&amp;INDEX($C$8:$F$8,1,MATCH(MIN(C21:F21),C21:F21,0))&amp;" "&amp;TEXT(MIN(C21:F21),"dd mmm yyyy")))))</x:f>
      </x:c>
      <x:c r="I21" s="52"/>
      <x:c r="J21" t="str">
        <x:f>IF(AND(A21&lt;&gt;"",COUNTIFS(C21,"&gt;=36526",C21,"&lt;"&amp;TODAY())+COUNTIFS(D21,"&gt;=36526",D21,"&lt;"&amp;TODAY())+COUNTIFS(E21,"&gt;=36526",E21,"&lt;"&amp;TODAY())+COUNTIFS(F21,"&gt;=36526",F21,"&lt;"&amp;TODAY())&gt;0),O21,"")</x:f>
      </x:c>
      <x:c r="K21" t="str">
        <x:f>IF(AND(A21&lt;&gt;"",COUNTIFS(C21,"&gt;=36526",C21,TODAY())+COUNTIFS(D21,"&gt;=36526",D21,TODAY())+COUNTIFS(E21,"&gt;=36526",E21,TODAY())+COUNTIFS(F21,"&gt;=36526",F21,TODAY())&gt;0),P21,"")</x:f>
      </x:c>
      <x:c r="L21" t="str">
        <x:f>IF(AND(A21&lt;&gt;"",COUNTIFS(C21,"&gt;"&amp;TODAY(),C21,"&lt;="&amp;TODAY()+30)+COUNTIFS(D21,"&gt;"&amp;TODAY(),D21,"&lt;="&amp;TODAY()+30)+COUNTIFS(E21,"&gt;"&amp;TODAY(),E21,"&lt;="&amp;TODAY()+30)+COUNTIFS(F21,"&gt;"&amp;TODAY(),F21,"&lt;="&amp;TODAY()+30)&gt;0),Q21,"")</x:f>
      </x:c>
      <x:c r="M21" t="str">
        <x:f>IF(OR(LEFT(H21,15)="Missing dates; ",LEFT(H21,16)="Add N/A reason; ",H21="Add dates",H21="Add registration",H21="Check date format"),R21,"")</x:f>
      </x:c>
      <x:c r="N21" t="str">
        <x:f>IF(COUNTIFS(C21:F21,"Reviewed N/A")&gt;0,S21,"")</x:f>
      </x:c>
      <x:c r="O21" t="n">
        <x:f>O20+IF(AND(A21&lt;&gt;"",COUNTIFS(C21,"&gt;=36526",C21,"&lt;"&amp;TODAY())+COUNTIFS(D21,"&gt;=36526",D21,"&lt;"&amp;TODAY())+COUNTIFS(E21,"&gt;=36526",E21,"&lt;"&amp;TODAY())+COUNTIFS(F21,"&gt;=36526",F21,"&lt;"&amp;TODAY())&gt;0),1,0)</x:f>
        <x:v>0</x:v>
      </x:c>
      <x:c r="P21" t="n">
        <x:f>P20+IF(AND(A21&lt;&gt;"",COUNTIFS(C21,"&gt;=36526",C21,TODAY())+COUNTIFS(D21,"&gt;=36526",D21,TODAY())+COUNTIFS(E21,"&gt;=36526",E21,TODAY())+COUNTIFS(F21,"&gt;=36526",F21,TODAY())&gt;0),1,0)</x:f>
        <x:v>0</x:v>
      </x:c>
      <x:c r="Q21" t="n">
        <x:f>Q20+IF(AND(A21&lt;&gt;"",COUNTIFS(C21,"&gt;"&amp;TODAY(),C21,"&lt;="&amp;TODAY()+30)+COUNTIFS(D21,"&gt;"&amp;TODAY(),D21,"&lt;="&amp;TODAY()+30)+COUNTIFS(E21,"&gt;"&amp;TODAY(),E21,"&lt;="&amp;TODAY()+30)+COUNTIFS(F21,"&gt;"&amp;TODAY(),F21,"&lt;="&amp;TODAY()+30)&gt;0),1,0)</x:f>
        <x:v>0</x:v>
      </x:c>
      <x:c r="R21" t="n">
        <x:f>R20+IF(OR(LEFT(H21,15)="Missing dates; ",LEFT(H21,16)="Add N/A reason; ",H21="Add dates",H21="Add registration",H21="Check date format"),1,0)</x:f>
        <x:v>0</x:v>
      </x:c>
      <x:c r="S21" t="n">
        <x:f>S20+IF(COUNTIFS(C21:F21,"Reviewed N/A")&gt;0,1,0)</x:f>
        <x:v>0</x:v>
      </x:c>
    </x:row>
    <x:row r="22" ht="48" customHeight="1">
      <x:c r="A22" s="52"/>
      <x:c r="B22" s="52"/>
      <x:c r="C22" s="53"/>
      <x:c r="D22" s="53"/>
      <x:c r="E22" s="53"/>
      <x:c r="F22" s="53"/>
      <x:c r="G22" s="52"/>
      <x:c r="H22" s="21" t="str">
        <x:f>IF(COUNTA(A22:G22,I22)=0,"",IF(A22="","Add registration",IF(OR(COUNTA(C22:F22)&gt;COUNT(C22:F22)+COUNTIFS(C22:F22,"Reviewed N/A"),AND(COUNT(C22:F22)&gt;0,OR(MIN(C22:F22)&lt;36526,MAX(C22:F22)&gt;109574))),"Check date format",IF(AND(COUNTIFS(C22:F22,"Reviewed N/A")&gt;0,I22=""),"Add N/A reason; ","")&amp;IF(COUNT(C22:F22)=0,IF(COUNTIFS(C22:F22,"Reviewed N/A")=4,"No applicable dates recorded","Add dates"),IF(COUNT(C22:F22)+COUNTIFS(C22:F22,"Reviewed N/A")&lt;4,"Missing dates; ","")&amp;IF(MIN(C22:F22)&lt;TODAY(),"Overdue: ",IF(MIN(C22:F22)=TODAY(),"Due today: ",IF(MIN(C22:F22)&lt;=TODAY()+30,"Due within 30 days: ","Next: ")))&amp;INDEX($C$8:$F$8,1,MATCH(MIN(C22:F22),C22:F22,0))&amp;" "&amp;TEXT(MIN(C22:F22),"dd mmm yyyy")))))</x:f>
      </x:c>
      <x:c r="I22" s="52"/>
      <x:c r="J22" t="str">
        <x:f>IF(AND(A22&lt;&gt;"",COUNTIFS(C22,"&gt;=36526",C22,"&lt;"&amp;TODAY())+COUNTIFS(D22,"&gt;=36526",D22,"&lt;"&amp;TODAY())+COUNTIFS(E22,"&gt;=36526",E22,"&lt;"&amp;TODAY())+COUNTIFS(F22,"&gt;=36526",F22,"&lt;"&amp;TODAY())&gt;0),O22,"")</x:f>
      </x:c>
      <x:c r="K22" t="str">
        <x:f>IF(AND(A22&lt;&gt;"",COUNTIFS(C22,"&gt;=36526",C22,TODAY())+COUNTIFS(D22,"&gt;=36526",D22,TODAY())+COUNTIFS(E22,"&gt;=36526",E22,TODAY())+COUNTIFS(F22,"&gt;=36526",F22,TODAY())&gt;0),P22,"")</x:f>
      </x:c>
      <x:c r="L22" t="str">
        <x:f>IF(AND(A22&lt;&gt;"",COUNTIFS(C22,"&gt;"&amp;TODAY(),C22,"&lt;="&amp;TODAY()+30)+COUNTIFS(D22,"&gt;"&amp;TODAY(),D22,"&lt;="&amp;TODAY()+30)+COUNTIFS(E22,"&gt;"&amp;TODAY(),E22,"&lt;="&amp;TODAY()+30)+COUNTIFS(F22,"&gt;"&amp;TODAY(),F22,"&lt;="&amp;TODAY()+30)&gt;0),Q22,"")</x:f>
      </x:c>
      <x:c r="M22" t="str">
        <x:f>IF(OR(LEFT(H22,15)="Missing dates; ",LEFT(H22,16)="Add N/A reason; ",H22="Add dates",H22="Add registration",H22="Check date format"),R22,"")</x:f>
      </x:c>
      <x:c r="N22" t="str">
        <x:f>IF(COUNTIFS(C22:F22,"Reviewed N/A")&gt;0,S22,"")</x:f>
      </x:c>
      <x:c r="O22" t="n">
        <x:f>O21+IF(AND(A22&lt;&gt;"",COUNTIFS(C22,"&gt;=36526",C22,"&lt;"&amp;TODAY())+COUNTIFS(D22,"&gt;=36526",D22,"&lt;"&amp;TODAY())+COUNTIFS(E22,"&gt;=36526",E22,"&lt;"&amp;TODAY())+COUNTIFS(F22,"&gt;=36526",F22,"&lt;"&amp;TODAY())&gt;0),1,0)</x:f>
        <x:v>0</x:v>
      </x:c>
      <x:c r="P22" t="n">
        <x:f>P21+IF(AND(A22&lt;&gt;"",COUNTIFS(C22,"&gt;=36526",C22,TODAY())+COUNTIFS(D22,"&gt;=36526",D22,TODAY())+COUNTIFS(E22,"&gt;=36526",E22,TODAY())+COUNTIFS(F22,"&gt;=36526",F22,TODAY())&gt;0),1,0)</x:f>
        <x:v>0</x:v>
      </x:c>
      <x:c r="Q22" t="n">
        <x:f>Q21+IF(AND(A22&lt;&gt;"",COUNTIFS(C22,"&gt;"&amp;TODAY(),C22,"&lt;="&amp;TODAY()+30)+COUNTIFS(D22,"&gt;"&amp;TODAY(),D22,"&lt;="&amp;TODAY()+30)+COUNTIFS(E22,"&gt;"&amp;TODAY(),E22,"&lt;="&amp;TODAY()+30)+COUNTIFS(F22,"&gt;"&amp;TODAY(),F22,"&lt;="&amp;TODAY()+30)&gt;0),1,0)</x:f>
        <x:v>0</x:v>
      </x:c>
      <x:c r="R22" t="n">
        <x:f>R21+IF(OR(LEFT(H22,15)="Missing dates; ",LEFT(H22,16)="Add N/A reason; ",H22="Add dates",H22="Add registration",H22="Check date format"),1,0)</x:f>
        <x:v>0</x:v>
      </x:c>
      <x:c r="S22" t="n">
        <x:f>S21+IF(COUNTIFS(C22:F22,"Reviewed N/A")&gt;0,1,0)</x:f>
        <x:v>0</x:v>
      </x:c>
    </x:row>
    <x:row r="23" ht="48" customHeight="1">
      <x:c r="A23" s="52"/>
      <x:c r="B23" s="52"/>
      <x:c r="C23" s="53"/>
      <x:c r="D23" s="53"/>
      <x:c r="E23" s="53"/>
      <x:c r="F23" s="53"/>
      <x:c r="G23" s="52"/>
      <x:c r="H23" s="21" t="str">
        <x:f>IF(COUNTA(A23:G23,I23)=0,"",IF(A23="","Add registration",IF(OR(COUNTA(C23:F23)&gt;COUNT(C23:F23)+COUNTIFS(C23:F23,"Reviewed N/A"),AND(COUNT(C23:F23)&gt;0,OR(MIN(C23:F23)&lt;36526,MAX(C23:F23)&gt;109574))),"Check date format",IF(AND(COUNTIFS(C23:F23,"Reviewed N/A")&gt;0,I23=""),"Add N/A reason; ","")&amp;IF(COUNT(C23:F23)=0,IF(COUNTIFS(C23:F23,"Reviewed N/A")=4,"No applicable dates recorded","Add dates"),IF(COUNT(C23:F23)+COUNTIFS(C23:F23,"Reviewed N/A")&lt;4,"Missing dates; ","")&amp;IF(MIN(C23:F23)&lt;TODAY(),"Overdue: ",IF(MIN(C23:F23)=TODAY(),"Due today: ",IF(MIN(C23:F23)&lt;=TODAY()+30,"Due within 30 days: ","Next: ")))&amp;INDEX($C$8:$F$8,1,MATCH(MIN(C23:F23),C23:F23,0))&amp;" "&amp;TEXT(MIN(C23:F23),"dd mmm yyyy")))))</x:f>
      </x:c>
      <x:c r="I23" s="52"/>
      <x:c r="J23" t="str">
        <x:f>IF(AND(A23&lt;&gt;"",COUNTIFS(C23,"&gt;=36526",C23,"&lt;"&amp;TODAY())+COUNTIFS(D23,"&gt;=36526",D23,"&lt;"&amp;TODAY())+COUNTIFS(E23,"&gt;=36526",E23,"&lt;"&amp;TODAY())+COUNTIFS(F23,"&gt;=36526",F23,"&lt;"&amp;TODAY())&gt;0),O23,"")</x:f>
      </x:c>
      <x:c r="K23" t="str">
        <x:f>IF(AND(A23&lt;&gt;"",COUNTIFS(C23,"&gt;=36526",C23,TODAY())+COUNTIFS(D23,"&gt;=36526",D23,TODAY())+COUNTIFS(E23,"&gt;=36526",E23,TODAY())+COUNTIFS(F23,"&gt;=36526",F23,TODAY())&gt;0),P23,"")</x:f>
      </x:c>
      <x:c r="L23" t="str">
        <x:f>IF(AND(A23&lt;&gt;"",COUNTIFS(C23,"&gt;"&amp;TODAY(),C23,"&lt;="&amp;TODAY()+30)+COUNTIFS(D23,"&gt;"&amp;TODAY(),D23,"&lt;="&amp;TODAY()+30)+COUNTIFS(E23,"&gt;"&amp;TODAY(),E23,"&lt;="&amp;TODAY()+30)+COUNTIFS(F23,"&gt;"&amp;TODAY(),F23,"&lt;="&amp;TODAY()+30)&gt;0),Q23,"")</x:f>
      </x:c>
      <x:c r="M23" t="str">
        <x:f>IF(OR(LEFT(H23,15)="Missing dates; ",LEFT(H23,16)="Add N/A reason; ",H23="Add dates",H23="Add registration",H23="Check date format"),R23,"")</x:f>
      </x:c>
      <x:c r="N23" t="str">
        <x:f>IF(COUNTIFS(C23:F23,"Reviewed N/A")&gt;0,S23,"")</x:f>
      </x:c>
      <x:c r="O23" t="n">
        <x:f>O22+IF(AND(A23&lt;&gt;"",COUNTIFS(C23,"&gt;=36526",C23,"&lt;"&amp;TODAY())+COUNTIFS(D23,"&gt;=36526",D23,"&lt;"&amp;TODAY())+COUNTIFS(E23,"&gt;=36526",E23,"&lt;"&amp;TODAY())+COUNTIFS(F23,"&gt;=36526",F23,"&lt;"&amp;TODAY())&gt;0),1,0)</x:f>
        <x:v>0</x:v>
      </x:c>
      <x:c r="P23" t="n">
        <x:f>P22+IF(AND(A23&lt;&gt;"",COUNTIFS(C23,"&gt;=36526",C23,TODAY())+COUNTIFS(D23,"&gt;=36526",D23,TODAY())+COUNTIFS(E23,"&gt;=36526",E23,TODAY())+COUNTIFS(F23,"&gt;=36526",F23,TODAY())&gt;0),1,0)</x:f>
        <x:v>0</x:v>
      </x:c>
      <x:c r="Q23" t="n">
        <x:f>Q22+IF(AND(A23&lt;&gt;"",COUNTIFS(C23,"&gt;"&amp;TODAY(),C23,"&lt;="&amp;TODAY()+30)+COUNTIFS(D23,"&gt;"&amp;TODAY(),D23,"&lt;="&amp;TODAY()+30)+COUNTIFS(E23,"&gt;"&amp;TODAY(),E23,"&lt;="&amp;TODAY()+30)+COUNTIFS(F23,"&gt;"&amp;TODAY(),F23,"&lt;="&amp;TODAY()+30)&gt;0),1,0)</x:f>
        <x:v>0</x:v>
      </x:c>
      <x:c r="R23" t="n">
        <x:f>R22+IF(OR(LEFT(H23,15)="Missing dates; ",LEFT(H23,16)="Add N/A reason; ",H23="Add dates",H23="Add registration",H23="Check date format"),1,0)</x:f>
        <x:v>0</x:v>
      </x:c>
      <x:c r="S23" t="n">
        <x:f>S22+IF(COUNTIFS(C23:F23,"Reviewed N/A")&gt;0,1,0)</x:f>
        <x:v>0</x:v>
      </x:c>
    </x:row>
    <x:row r="24" ht="48" customHeight="1">
      <x:c r="A24" s="52"/>
      <x:c r="B24" s="52"/>
      <x:c r="C24" s="53"/>
      <x:c r="D24" s="53"/>
      <x:c r="E24" s="53"/>
      <x:c r="F24" s="53"/>
      <x:c r="G24" s="52"/>
      <x:c r="H24" s="21" t="str">
        <x:f>IF(COUNTA(A24:G24,I24)=0,"",IF(A24="","Add registration",IF(OR(COUNTA(C24:F24)&gt;COUNT(C24:F24)+COUNTIFS(C24:F24,"Reviewed N/A"),AND(COUNT(C24:F24)&gt;0,OR(MIN(C24:F24)&lt;36526,MAX(C24:F24)&gt;109574))),"Check date format",IF(AND(COUNTIFS(C24:F24,"Reviewed N/A")&gt;0,I24=""),"Add N/A reason; ","")&amp;IF(COUNT(C24:F24)=0,IF(COUNTIFS(C24:F24,"Reviewed N/A")=4,"No applicable dates recorded","Add dates"),IF(COUNT(C24:F24)+COUNTIFS(C24:F24,"Reviewed N/A")&lt;4,"Missing dates; ","")&amp;IF(MIN(C24:F24)&lt;TODAY(),"Overdue: ",IF(MIN(C24:F24)=TODAY(),"Due today: ",IF(MIN(C24:F24)&lt;=TODAY()+30,"Due within 30 days: ","Next: ")))&amp;INDEX($C$8:$F$8,1,MATCH(MIN(C24:F24),C24:F24,0))&amp;" "&amp;TEXT(MIN(C24:F24),"dd mmm yyyy")))))</x:f>
      </x:c>
      <x:c r="I24" s="52"/>
      <x:c r="J24" t="str">
        <x:f>IF(AND(A24&lt;&gt;"",COUNTIFS(C24,"&gt;=36526",C24,"&lt;"&amp;TODAY())+COUNTIFS(D24,"&gt;=36526",D24,"&lt;"&amp;TODAY())+COUNTIFS(E24,"&gt;=36526",E24,"&lt;"&amp;TODAY())+COUNTIFS(F24,"&gt;=36526",F24,"&lt;"&amp;TODAY())&gt;0),O24,"")</x:f>
      </x:c>
      <x:c r="K24" t="str">
        <x:f>IF(AND(A24&lt;&gt;"",COUNTIFS(C24,"&gt;=36526",C24,TODAY())+COUNTIFS(D24,"&gt;=36526",D24,TODAY())+COUNTIFS(E24,"&gt;=36526",E24,TODAY())+COUNTIFS(F24,"&gt;=36526",F24,TODAY())&gt;0),P24,"")</x:f>
      </x:c>
      <x:c r="L24" t="str">
        <x:f>IF(AND(A24&lt;&gt;"",COUNTIFS(C24,"&gt;"&amp;TODAY(),C24,"&lt;="&amp;TODAY()+30)+COUNTIFS(D24,"&gt;"&amp;TODAY(),D24,"&lt;="&amp;TODAY()+30)+COUNTIFS(E24,"&gt;"&amp;TODAY(),E24,"&lt;="&amp;TODAY()+30)+COUNTIFS(F24,"&gt;"&amp;TODAY(),F24,"&lt;="&amp;TODAY()+30)&gt;0),Q24,"")</x:f>
      </x:c>
      <x:c r="M24" t="str">
        <x:f>IF(OR(LEFT(H24,15)="Missing dates; ",LEFT(H24,16)="Add N/A reason; ",H24="Add dates",H24="Add registration",H24="Check date format"),R24,"")</x:f>
      </x:c>
      <x:c r="N24" t="str">
        <x:f>IF(COUNTIFS(C24:F24,"Reviewed N/A")&gt;0,S24,"")</x:f>
      </x:c>
      <x:c r="O24" t="n">
        <x:f>O23+IF(AND(A24&lt;&gt;"",COUNTIFS(C24,"&gt;=36526",C24,"&lt;"&amp;TODAY())+COUNTIFS(D24,"&gt;=36526",D24,"&lt;"&amp;TODAY())+COUNTIFS(E24,"&gt;=36526",E24,"&lt;"&amp;TODAY())+COUNTIFS(F24,"&gt;=36526",F24,"&lt;"&amp;TODAY())&gt;0),1,0)</x:f>
        <x:v>0</x:v>
      </x:c>
      <x:c r="P24" t="n">
        <x:f>P23+IF(AND(A24&lt;&gt;"",COUNTIFS(C24,"&gt;=36526",C24,TODAY())+COUNTIFS(D24,"&gt;=36526",D24,TODAY())+COUNTIFS(E24,"&gt;=36526",E24,TODAY())+COUNTIFS(F24,"&gt;=36526",F24,TODAY())&gt;0),1,0)</x:f>
        <x:v>0</x:v>
      </x:c>
      <x:c r="Q24" t="n">
        <x:f>Q23+IF(AND(A24&lt;&gt;"",COUNTIFS(C24,"&gt;"&amp;TODAY(),C24,"&lt;="&amp;TODAY()+30)+COUNTIFS(D24,"&gt;"&amp;TODAY(),D24,"&lt;="&amp;TODAY()+30)+COUNTIFS(E24,"&gt;"&amp;TODAY(),E24,"&lt;="&amp;TODAY()+30)+COUNTIFS(F24,"&gt;"&amp;TODAY(),F24,"&lt;="&amp;TODAY()+30)&gt;0),1,0)</x:f>
        <x:v>0</x:v>
      </x:c>
      <x:c r="R24" t="n">
        <x:f>R23+IF(OR(LEFT(H24,15)="Missing dates; ",LEFT(H24,16)="Add N/A reason; ",H24="Add dates",H24="Add registration",H24="Check date format"),1,0)</x:f>
        <x:v>0</x:v>
      </x:c>
      <x:c r="S24" t="n">
        <x:f>S23+IF(COUNTIFS(C24:F24,"Reviewed N/A")&gt;0,1,0)</x:f>
        <x:v>0</x:v>
      </x:c>
    </x:row>
    <x:row r="25" ht="48" customHeight="1">
      <x:c r="A25" s="52"/>
      <x:c r="B25" s="52"/>
      <x:c r="C25" s="53"/>
      <x:c r="D25" s="53"/>
      <x:c r="E25" s="53"/>
      <x:c r="F25" s="53"/>
      <x:c r="G25" s="52"/>
      <x:c r="H25" s="21" t="str">
        <x:f>IF(COUNTA(A25:G25,I25)=0,"",IF(A25="","Add registration",IF(OR(COUNTA(C25:F25)&gt;COUNT(C25:F25)+COUNTIFS(C25:F25,"Reviewed N/A"),AND(COUNT(C25:F25)&gt;0,OR(MIN(C25:F25)&lt;36526,MAX(C25:F25)&gt;109574))),"Check date format",IF(AND(COUNTIFS(C25:F25,"Reviewed N/A")&gt;0,I25=""),"Add N/A reason; ","")&amp;IF(COUNT(C25:F25)=0,IF(COUNTIFS(C25:F25,"Reviewed N/A")=4,"No applicable dates recorded","Add dates"),IF(COUNT(C25:F25)+COUNTIFS(C25:F25,"Reviewed N/A")&lt;4,"Missing dates; ","")&amp;IF(MIN(C25:F25)&lt;TODAY(),"Overdue: ",IF(MIN(C25:F25)=TODAY(),"Due today: ",IF(MIN(C25:F25)&lt;=TODAY()+30,"Due within 30 days: ","Next: ")))&amp;INDEX($C$8:$F$8,1,MATCH(MIN(C25:F25),C25:F25,0))&amp;" "&amp;TEXT(MIN(C25:F25),"dd mmm yyyy")))))</x:f>
      </x:c>
      <x:c r="I25" s="52"/>
      <x:c r="J25" t="str">
        <x:f>IF(AND(A25&lt;&gt;"",COUNTIFS(C25,"&gt;=36526",C25,"&lt;"&amp;TODAY())+COUNTIFS(D25,"&gt;=36526",D25,"&lt;"&amp;TODAY())+COUNTIFS(E25,"&gt;=36526",E25,"&lt;"&amp;TODAY())+COUNTIFS(F25,"&gt;=36526",F25,"&lt;"&amp;TODAY())&gt;0),O25,"")</x:f>
      </x:c>
      <x:c r="K25" t="str">
        <x:f>IF(AND(A25&lt;&gt;"",COUNTIFS(C25,"&gt;=36526",C25,TODAY())+COUNTIFS(D25,"&gt;=36526",D25,TODAY())+COUNTIFS(E25,"&gt;=36526",E25,TODAY())+COUNTIFS(F25,"&gt;=36526",F25,TODAY())&gt;0),P25,"")</x:f>
      </x:c>
      <x:c r="L25" t="str">
        <x:f>IF(AND(A25&lt;&gt;"",COUNTIFS(C25,"&gt;"&amp;TODAY(),C25,"&lt;="&amp;TODAY()+30)+COUNTIFS(D25,"&gt;"&amp;TODAY(),D25,"&lt;="&amp;TODAY()+30)+COUNTIFS(E25,"&gt;"&amp;TODAY(),E25,"&lt;="&amp;TODAY()+30)+COUNTIFS(F25,"&gt;"&amp;TODAY(),F25,"&lt;="&amp;TODAY()+30)&gt;0),Q25,"")</x:f>
      </x:c>
      <x:c r="M25" t="str">
        <x:f>IF(OR(LEFT(H25,15)="Missing dates; ",LEFT(H25,16)="Add N/A reason; ",H25="Add dates",H25="Add registration",H25="Check date format"),R25,"")</x:f>
      </x:c>
      <x:c r="N25" t="str">
        <x:f>IF(COUNTIFS(C25:F25,"Reviewed N/A")&gt;0,S25,"")</x:f>
      </x:c>
      <x:c r="O25" t="n">
        <x:f>O24+IF(AND(A25&lt;&gt;"",COUNTIFS(C25,"&gt;=36526",C25,"&lt;"&amp;TODAY())+COUNTIFS(D25,"&gt;=36526",D25,"&lt;"&amp;TODAY())+COUNTIFS(E25,"&gt;=36526",E25,"&lt;"&amp;TODAY())+COUNTIFS(F25,"&gt;=36526",F25,"&lt;"&amp;TODAY())&gt;0),1,0)</x:f>
        <x:v>0</x:v>
      </x:c>
      <x:c r="P25" t="n">
        <x:f>P24+IF(AND(A25&lt;&gt;"",COUNTIFS(C25,"&gt;=36526",C25,TODAY())+COUNTIFS(D25,"&gt;=36526",D25,TODAY())+COUNTIFS(E25,"&gt;=36526",E25,TODAY())+COUNTIFS(F25,"&gt;=36526",F25,TODAY())&gt;0),1,0)</x:f>
        <x:v>0</x:v>
      </x:c>
      <x:c r="Q25" t="n">
        <x:f>Q24+IF(AND(A25&lt;&gt;"",COUNTIFS(C25,"&gt;"&amp;TODAY(),C25,"&lt;="&amp;TODAY()+30)+COUNTIFS(D25,"&gt;"&amp;TODAY(),D25,"&lt;="&amp;TODAY()+30)+COUNTIFS(E25,"&gt;"&amp;TODAY(),E25,"&lt;="&amp;TODAY()+30)+COUNTIFS(F25,"&gt;"&amp;TODAY(),F25,"&lt;="&amp;TODAY()+30)&gt;0),1,0)</x:f>
        <x:v>0</x:v>
      </x:c>
      <x:c r="R25" t="n">
        <x:f>R24+IF(OR(LEFT(H25,15)="Missing dates; ",LEFT(H25,16)="Add N/A reason; ",H25="Add dates",H25="Add registration",H25="Check date format"),1,0)</x:f>
        <x:v>0</x:v>
      </x:c>
      <x:c r="S25" t="n">
        <x:f>S24+IF(COUNTIFS(C25:F25,"Reviewed N/A")&gt;0,1,0)</x:f>
        <x:v>0</x:v>
      </x:c>
    </x:row>
    <x:row r="26" ht="48" customHeight="1">
      <x:c r="A26" s="52"/>
      <x:c r="B26" s="52"/>
      <x:c r="C26" s="53"/>
      <x:c r="D26" s="53"/>
      <x:c r="E26" s="53"/>
      <x:c r="F26" s="53"/>
      <x:c r="G26" s="52"/>
      <x:c r="H26" s="21" t="str">
        <x:f>IF(COUNTA(A26:G26,I26)=0,"",IF(A26="","Add registration",IF(OR(COUNTA(C26:F26)&gt;COUNT(C26:F26)+COUNTIFS(C26:F26,"Reviewed N/A"),AND(COUNT(C26:F26)&gt;0,OR(MIN(C26:F26)&lt;36526,MAX(C26:F26)&gt;109574))),"Check date format",IF(AND(COUNTIFS(C26:F26,"Reviewed N/A")&gt;0,I26=""),"Add N/A reason; ","")&amp;IF(COUNT(C26:F26)=0,IF(COUNTIFS(C26:F26,"Reviewed N/A")=4,"No applicable dates recorded","Add dates"),IF(COUNT(C26:F26)+COUNTIFS(C26:F26,"Reviewed N/A")&lt;4,"Missing dates; ","")&amp;IF(MIN(C26:F26)&lt;TODAY(),"Overdue: ",IF(MIN(C26:F26)=TODAY(),"Due today: ",IF(MIN(C26:F26)&lt;=TODAY()+30,"Due within 30 days: ","Next: ")))&amp;INDEX($C$8:$F$8,1,MATCH(MIN(C26:F26),C26:F26,0))&amp;" "&amp;TEXT(MIN(C26:F26),"dd mmm yyyy")))))</x:f>
      </x:c>
      <x:c r="I26" s="52"/>
      <x:c r="J26" t="str">
        <x:f>IF(AND(A26&lt;&gt;"",COUNTIFS(C26,"&gt;=36526",C26,"&lt;"&amp;TODAY())+COUNTIFS(D26,"&gt;=36526",D26,"&lt;"&amp;TODAY())+COUNTIFS(E26,"&gt;=36526",E26,"&lt;"&amp;TODAY())+COUNTIFS(F26,"&gt;=36526",F26,"&lt;"&amp;TODAY())&gt;0),O26,"")</x:f>
      </x:c>
      <x:c r="K26" t="str">
        <x:f>IF(AND(A26&lt;&gt;"",COUNTIFS(C26,"&gt;=36526",C26,TODAY())+COUNTIFS(D26,"&gt;=36526",D26,TODAY())+COUNTIFS(E26,"&gt;=36526",E26,TODAY())+COUNTIFS(F26,"&gt;=36526",F26,TODAY())&gt;0),P26,"")</x:f>
      </x:c>
      <x:c r="L26" t="str">
        <x:f>IF(AND(A26&lt;&gt;"",COUNTIFS(C26,"&gt;"&amp;TODAY(),C26,"&lt;="&amp;TODAY()+30)+COUNTIFS(D26,"&gt;"&amp;TODAY(),D26,"&lt;="&amp;TODAY()+30)+COUNTIFS(E26,"&gt;"&amp;TODAY(),E26,"&lt;="&amp;TODAY()+30)+COUNTIFS(F26,"&gt;"&amp;TODAY(),F26,"&lt;="&amp;TODAY()+30)&gt;0),Q26,"")</x:f>
      </x:c>
      <x:c r="M26" t="str">
        <x:f>IF(OR(LEFT(H26,15)="Missing dates; ",LEFT(H26,16)="Add N/A reason; ",H26="Add dates",H26="Add registration",H26="Check date format"),R26,"")</x:f>
      </x:c>
      <x:c r="N26" t="str">
        <x:f>IF(COUNTIFS(C26:F26,"Reviewed N/A")&gt;0,S26,"")</x:f>
      </x:c>
      <x:c r="O26" t="n">
        <x:f>O25+IF(AND(A26&lt;&gt;"",COUNTIFS(C26,"&gt;=36526",C26,"&lt;"&amp;TODAY())+COUNTIFS(D26,"&gt;=36526",D26,"&lt;"&amp;TODAY())+COUNTIFS(E26,"&gt;=36526",E26,"&lt;"&amp;TODAY())+COUNTIFS(F26,"&gt;=36526",F26,"&lt;"&amp;TODAY())&gt;0),1,0)</x:f>
        <x:v>0</x:v>
      </x:c>
      <x:c r="P26" t="n">
        <x:f>P25+IF(AND(A26&lt;&gt;"",COUNTIFS(C26,"&gt;=36526",C26,TODAY())+COUNTIFS(D26,"&gt;=36526",D26,TODAY())+COUNTIFS(E26,"&gt;=36526",E26,TODAY())+COUNTIFS(F26,"&gt;=36526",F26,TODAY())&gt;0),1,0)</x:f>
        <x:v>0</x:v>
      </x:c>
      <x:c r="Q26" t="n">
        <x:f>Q25+IF(AND(A26&lt;&gt;"",COUNTIFS(C26,"&gt;"&amp;TODAY(),C26,"&lt;="&amp;TODAY()+30)+COUNTIFS(D26,"&gt;"&amp;TODAY(),D26,"&lt;="&amp;TODAY()+30)+COUNTIFS(E26,"&gt;"&amp;TODAY(),E26,"&lt;="&amp;TODAY()+30)+COUNTIFS(F26,"&gt;"&amp;TODAY(),F26,"&lt;="&amp;TODAY()+30)&gt;0),1,0)</x:f>
        <x:v>0</x:v>
      </x:c>
      <x:c r="R26" t="n">
        <x:f>R25+IF(OR(LEFT(H26,15)="Missing dates; ",LEFT(H26,16)="Add N/A reason; ",H26="Add dates",H26="Add registration",H26="Check date format"),1,0)</x:f>
        <x:v>0</x:v>
      </x:c>
      <x:c r="S26" t="n">
        <x:f>S25+IF(COUNTIFS(C26:F26,"Reviewed N/A")&gt;0,1,0)</x:f>
        <x:v>0</x:v>
      </x:c>
    </x:row>
    <x:row r="27" ht="48" customHeight="1">
      <x:c r="A27" s="52"/>
      <x:c r="B27" s="52"/>
      <x:c r="C27" s="53"/>
      <x:c r="D27" s="53"/>
      <x:c r="E27" s="53"/>
      <x:c r="F27" s="53"/>
      <x:c r="G27" s="52"/>
      <x:c r="H27" s="21" t="str">
        <x:f>IF(COUNTA(A27:G27,I27)=0,"",IF(A27="","Add registration",IF(OR(COUNTA(C27:F27)&gt;COUNT(C27:F27)+COUNTIFS(C27:F27,"Reviewed N/A"),AND(COUNT(C27:F27)&gt;0,OR(MIN(C27:F27)&lt;36526,MAX(C27:F27)&gt;109574))),"Check date format",IF(AND(COUNTIFS(C27:F27,"Reviewed N/A")&gt;0,I27=""),"Add N/A reason; ","")&amp;IF(COUNT(C27:F27)=0,IF(COUNTIFS(C27:F27,"Reviewed N/A")=4,"No applicable dates recorded","Add dates"),IF(COUNT(C27:F27)+COUNTIFS(C27:F27,"Reviewed N/A")&lt;4,"Missing dates; ","")&amp;IF(MIN(C27:F27)&lt;TODAY(),"Overdue: ",IF(MIN(C27:F27)=TODAY(),"Due today: ",IF(MIN(C27:F27)&lt;=TODAY()+30,"Due within 30 days: ","Next: ")))&amp;INDEX($C$8:$F$8,1,MATCH(MIN(C27:F27),C27:F27,0))&amp;" "&amp;TEXT(MIN(C27:F27),"dd mmm yyyy")))))</x:f>
      </x:c>
      <x:c r="I27" s="52"/>
      <x:c r="J27" t="str">
        <x:f>IF(AND(A27&lt;&gt;"",COUNTIFS(C27,"&gt;=36526",C27,"&lt;"&amp;TODAY())+COUNTIFS(D27,"&gt;=36526",D27,"&lt;"&amp;TODAY())+COUNTIFS(E27,"&gt;=36526",E27,"&lt;"&amp;TODAY())+COUNTIFS(F27,"&gt;=36526",F27,"&lt;"&amp;TODAY())&gt;0),O27,"")</x:f>
      </x:c>
      <x:c r="K27" t="str">
        <x:f>IF(AND(A27&lt;&gt;"",COUNTIFS(C27,"&gt;=36526",C27,TODAY())+COUNTIFS(D27,"&gt;=36526",D27,TODAY())+COUNTIFS(E27,"&gt;=36526",E27,TODAY())+COUNTIFS(F27,"&gt;=36526",F27,TODAY())&gt;0),P27,"")</x:f>
      </x:c>
      <x:c r="L27" t="str">
        <x:f>IF(AND(A27&lt;&gt;"",COUNTIFS(C27,"&gt;"&amp;TODAY(),C27,"&lt;="&amp;TODAY()+30)+COUNTIFS(D27,"&gt;"&amp;TODAY(),D27,"&lt;="&amp;TODAY()+30)+COUNTIFS(E27,"&gt;"&amp;TODAY(),E27,"&lt;="&amp;TODAY()+30)+COUNTIFS(F27,"&gt;"&amp;TODAY(),F27,"&lt;="&amp;TODAY()+30)&gt;0),Q27,"")</x:f>
      </x:c>
      <x:c r="M27" t="str">
        <x:f>IF(OR(LEFT(H27,15)="Missing dates; ",LEFT(H27,16)="Add N/A reason; ",H27="Add dates",H27="Add registration",H27="Check date format"),R27,"")</x:f>
      </x:c>
      <x:c r="N27" t="str">
        <x:f>IF(COUNTIFS(C27:F27,"Reviewed N/A")&gt;0,S27,"")</x:f>
      </x:c>
      <x:c r="O27" t="n">
        <x:f>O26+IF(AND(A27&lt;&gt;"",COUNTIFS(C27,"&gt;=36526",C27,"&lt;"&amp;TODAY())+COUNTIFS(D27,"&gt;=36526",D27,"&lt;"&amp;TODAY())+COUNTIFS(E27,"&gt;=36526",E27,"&lt;"&amp;TODAY())+COUNTIFS(F27,"&gt;=36526",F27,"&lt;"&amp;TODAY())&gt;0),1,0)</x:f>
        <x:v>0</x:v>
      </x:c>
      <x:c r="P27" t="n">
        <x:f>P26+IF(AND(A27&lt;&gt;"",COUNTIFS(C27,"&gt;=36526",C27,TODAY())+COUNTIFS(D27,"&gt;=36526",D27,TODAY())+COUNTIFS(E27,"&gt;=36526",E27,TODAY())+COUNTIFS(F27,"&gt;=36526",F27,TODAY())&gt;0),1,0)</x:f>
        <x:v>0</x:v>
      </x:c>
      <x:c r="Q27" t="n">
        <x:f>Q26+IF(AND(A27&lt;&gt;"",COUNTIFS(C27,"&gt;"&amp;TODAY(),C27,"&lt;="&amp;TODAY()+30)+COUNTIFS(D27,"&gt;"&amp;TODAY(),D27,"&lt;="&amp;TODAY()+30)+COUNTIFS(E27,"&gt;"&amp;TODAY(),E27,"&lt;="&amp;TODAY()+30)+COUNTIFS(F27,"&gt;"&amp;TODAY(),F27,"&lt;="&amp;TODAY()+30)&gt;0),1,0)</x:f>
        <x:v>0</x:v>
      </x:c>
      <x:c r="R27" t="n">
        <x:f>R26+IF(OR(LEFT(H27,15)="Missing dates; ",LEFT(H27,16)="Add N/A reason; ",H27="Add dates",H27="Add registration",H27="Check date format"),1,0)</x:f>
        <x:v>0</x:v>
      </x:c>
      <x:c r="S27" t="n">
        <x:f>S26+IF(COUNTIFS(C27:F27,"Reviewed N/A")&gt;0,1,0)</x:f>
        <x:v>0</x:v>
      </x:c>
    </x:row>
    <x:row r="28" ht="48" customHeight="1">
      <x:c r="A28" s="52"/>
      <x:c r="B28" s="52"/>
      <x:c r="C28" s="53"/>
      <x:c r="D28" s="53"/>
      <x:c r="E28" s="53"/>
      <x:c r="F28" s="53"/>
      <x:c r="G28" s="52"/>
      <x:c r="H28" s="21" t="str">
        <x:f>IF(COUNTA(A28:G28,I28)=0,"",IF(A28="","Add registration",IF(OR(COUNTA(C28:F28)&gt;COUNT(C28:F28)+COUNTIFS(C28:F28,"Reviewed N/A"),AND(COUNT(C28:F28)&gt;0,OR(MIN(C28:F28)&lt;36526,MAX(C28:F28)&gt;109574))),"Check date format",IF(AND(COUNTIFS(C28:F28,"Reviewed N/A")&gt;0,I28=""),"Add N/A reason; ","")&amp;IF(COUNT(C28:F28)=0,IF(COUNTIFS(C28:F28,"Reviewed N/A")=4,"No applicable dates recorded","Add dates"),IF(COUNT(C28:F28)+COUNTIFS(C28:F28,"Reviewed N/A")&lt;4,"Missing dates; ","")&amp;IF(MIN(C28:F28)&lt;TODAY(),"Overdue: ",IF(MIN(C28:F28)=TODAY(),"Due today: ",IF(MIN(C28:F28)&lt;=TODAY()+30,"Due within 30 days: ","Next: ")))&amp;INDEX($C$8:$F$8,1,MATCH(MIN(C28:F28),C28:F28,0))&amp;" "&amp;TEXT(MIN(C28:F28),"dd mmm yyyy")))))</x:f>
      </x:c>
      <x:c r="I28" s="52"/>
      <x:c r="J28" t="str">
        <x:f>IF(AND(A28&lt;&gt;"",COUNTIFS(C28,"&gt;=36526",C28,"&lt;"&amp;TODAY())+COUNTIFS(D28,"&gt;=36526",D28,"&lt;"&amp;TODAY())+COUNTIFS(E28,"&gt;=36526",E28,"&lt;"&amp;TODAY())+COUNTIFS(F28,"&gt;=36526",F28,"&lt;"&amp;TODAY())&gt;0),O28,"")</x:f>
      </x:c>
      <x:c r="K28" t="str">
        <x:f>IF(AND(A28&lt;&gt;"",COUNTIFS(C28,"&gt;=36526",C28,TODAY())+COUNTIFS(D28,"&gt;=36526",D28,TODAY())+COUNTIFS(E28,"&gt;=36526",E28,TODAY())+COUNTIFS(F28,"&gt;=36526",F28,TODAY())&gt;0),P28,"")</x:f>
      </x:c>
      <x:c r="L28" t="str">
        <x:f>IF(AND(A28&lt;&gt;"",COUNTIFS(C28,"&gt;"&amp;TODAY(),C28,"&lt;="&amp;TODAY()+30)+COUNTIFS(D28,"&gt;"&amp;TODAY(),D28,"&lt;="&amp;TODAY()+30)+COUNTIFS(E28,"&gt;"&amp;TODAY(),E28,"&lt;="&amp;TODAY()+30)+COUNTIFS(F28,"&gt;"&amp;TODAY(),F28,"&lt;="&amp;TODAY()+30)&gt;0),Q28,"")</x:f>
      </x:c>
      <x:c r="M28" t="str">
        <x:f>IF(OR(LEFT(H28,15)="Missing dates; ",LEFT(H28,16)="Add N/A reason; ",H28="Add dates",H28="Add registration",H28="Check date format"),R28,"")</x:f>
      </x:c>
      <x:c r="N28" t="str">
        <x:f>IF(COUNTIFS(C28:F28,"Reviewed N/A")&gt;0,S28,"")</x:f>
      </x:c>
      <x:c r="O28" t="n">
        <x:f>O27+IF(AND(A28&lt;&gt;"",COUNTIFS(C28,"&gt;=36526",C28,"&lt;"&amp;TODAY())+COUNTIFS(D28,"&gt;=36526",D28,"&lt;"&amp;TODAY())+COUNTIFS(E28,"&gt;=36526",E28,"&lt;"&amp;TODAY())+COUNTIFS(F28,"&gt;=36526",F28,"&lt;"&amp;TODAY())&gt;0),1,0)</x:f>
        <x:v>0</x:v>
      </x:c>
      <x:c r="P28" t="n">
        <x:f>P27+IF(AND(A28&lt;&gt;"",COUNTIFS(C28,"&gt;=36526",C28,TODAY())+COUNTIFS(D28,"&gt;=36526",D28,TODAY())+COUNTIFS(E28,"&gt;=36526",E28,TODAY())+COUNTIFS(F28,"&gt;=36526",F28,TODAY())&gt;0),1,0)</x:f>
        <x:v>0</x:v>
      </x:c>
      <x:c r="Q28" t="n">
        <x:f>Q27+IF(AND(A28&lt;&gt;"",COUNTIFS(C28,"&gt;"&amp;TODAY(),C28,"&lt;="&amp;TODAY()+30)+COUNTIFS(D28,"&gt;"&amp;TODAY(),D28,"&lt;="&amp;TODAY()+30)+COUNTIFS(E28,"&gt;"&amp;TODAY(),E28,"&lt;="&amp;TODAY()+30)+COUNTIFS(F28,"&gt;"&amp;TODAY(),F28,"&lt;="&amp;TODAY()+30)&gt;0),1,0)</x:f>
        <x:v>0</x:v>
      </x:c>
      <x:c r="R28" t="n">
        <x:f>R27+IF(OR(LEFT(H28,15)="Missing dates; ",LEFT(H28,16)="Add N/A reason; ",H28="Add dates",H28="Add registration",H28="Check date format"),1,0)</x:f>
        <x:v>0</x:v>
      </x:c>
      <x:c r="S28" t="n">
        <x:f>S27+IF(COUNTIFS(C28:F28,"Reviewed N/A")&gt;0,1,0)</x:f>
        <x:v>0</x:v>
      </x:c>
    </x:row>
    <x:row r="29" ht="48" customHeight="1">
      <x:c r="A29" s="52"/>
      <x:c r="B29" s="52"/>
      <x:c r="C29" s="53"/>
      <x:c r="D29" s="53"/>
      <x:c r="E29" s="53"/>
      <x:c r="F29" s="53"/>
      <x:c r="G29" s="52"/>
      <x:c r="H29" s="21" t="str">
        <x:f>IF(COUNTA(A29:G29,I29)=0,"",IF(A29="","Add registration",IF(OR(COUNTA(C29:F29)&gt;COUNT(C29:F29)+COUNTIFS(C29:F29,"Reviewed N/A"),AND(COUNT(C29:F29)&gt;0,OR(MIN(C29:F29)&lt;36526,MAX(C29:F29)&gt;109574))),"Check date format",IF(AND(COUNTIFS(C29:F29,"Reviewed N/A")&gt;0,I29=""),"Add N/A reason; ","")&amp;IF(COUNT(C29:F29)=0,IF(COUNTIFS(C29:F29,"Reviewed N/A")=4,"No applicable dates recorded","Add dates"),IF(COUNT(C29:F29)+COUNTIFS(C29:F29,"Reviewed N/A")&lt;4,"Missing dates; ","")&amp;IF(MIN(C29:F29)&lt;TODAY(),"Overdue: ",IF(MIN(C29:F29)=TODAY(),"Due today: ",IF(MIN(C29:F29)&lt;=TODAY()+30,"Due within 30 days: ","Next: ")))&amp;INDEX($C$8:$F$8,1,MATCH(MIN(C29:F29),C29:F29,0))&amp;" "&amp;TEXT(MIN(C29:F29),"dd mmm yyyy")))))</x:f>
      </x:c>
      <x:c r="I29" s="52"/>
      <x:c r="J29" t="str">
        <x:f>IF(AND(A29&lt;&gt;"",COUNTIFS(C29,"&gt;=36526",C29,"&lt;"&amp;TODAY())+COUNTIFS(D29,"&gt;=36526",D29,"&lt;"&amp;TODAY())+COUNTIFS(E29,"&gt;=36526",E29,"&lt;"&amp;TODAY())+COUNTIFS(F29,"&gt;=36526",F29,"&lt;"&amp;TODAY())&gt;0),O29,"")</x:f>
      </x:c>
      <x:c r="K29" t="str">
        <x:f>IF(AND(A29&lt;&gt;"",COUNTIFS(C29,"&gt;=36526",C29,TODAY())+COUNTIFS(D29,"&gt;=36526",D29,TODAY())+COUNTIFS(E29,"&gt;=36526",E29,TODAY())+COUNTIFS(F29,"&gt;=36526",F29,TODAY())&gt;0),P29,"")</x:f>
      </x:c>
      <x:c r="L29" t="str">
        <x:f>IF(AND(A29&lt;&gt;"",COUNTIFS(C29,"&gt;"&amp;TODAY(),C29,"&lt;="&amp;TODAY()+30)+COUNTIFS(D29,"&gt;"&amp;TODAY(),D29,"&lt;="&amp;TODAY()+30)+COUNTIFS(E29,"&gt;"&amp;TODAY(),E29,"&lt;="&amp;TODAY()+30)+COUNTIFS(F29,"&gt;"&amp;TODAY(),F29,"&lt;="&amp;TODAY()+30)&gt;0),Q29,"")</x:f>
      </x:c>
      <x:c r="M29" t="str">
        <x:f>IF(OR(LEFT(H29,15)="Missing dates; ",LEFT(H29,16)="Add N/A reason; ",H29="Add dates",H29="Add registration",H29="Check date format"),R29,"")</x:f>
      </x:c>
      <x:c r="N29" t="str">
        <x:f>IF(COUNTIFS(C29:F29,"Reviewed N/A")&gt;0,S29,"")</x:f>
      </x:c>
      <x:c r="O29" t="n">
        <x:f>O28+IF(AND(A29&lt;&gt;"",COUNTIFS(C29,"&gt;=36526",C29,"&lt;"&amp;TODAY())+COUNTIFS(D29,"&gt;=36526",D29,"&lt;"&amp;TODAY())+COUNTIFS(E29,"&gt;=36526",E29,"&lt;"&amp;TODAY())+COUNTIFS(F29,"&gt;=36526",F29,"&lt;"&amp;TODAY())&gt;0),1,0)</x:f>
        <x:v>0</x:v>
      </x:c>
      <x:c r="P29" t="n">
        <x:f>P28+IF(AND(A29&lt;&gt;"",COUNTIFS(C29,"&gt;=36526",C29,TODAY())+COUNTIFS(D29,"&gt;=36526",D29,TODAY())+COUNTIFS(E29,"&gt;=36526",E29,TODAY())+COUNTIFS(F29,"&gt;=36526",F29,TODAY())&gt;0),1,0)</x:f>
        <x:v>0</x:v>
      </x:c>
      <x:c r="Q29" t="n">
        <x:f>Q28+IF(AND(A29&lt;&gt;"",COUNTIFS(C29,"&gt;"&amp;TODAY(),C29,"&lt;="&amp;TODAY()+30)+COUNTIFS(D29,"&gt;"&amp;TODAY(),D29,"&lt;="&amp;TODAY()+30)+COUNTIFS(E29,"&gt;"&amp;TODAY(),E29,"&lt;="&amp;TODAY()+30)+COUNTIFS(F29,"&gt;"&amp;TODAY(),F29,"&lt;="&amp;TODAY()+30)&gt;0),1,0)</x:f>
        <x:v>0</x:v>
      </x:c>
      <x:c r="R29" t="n">
        <x:f>R28+IF(OR(LEFT(H29,15)="Missing dates; ",LEFT(H29,16)="Add N/A reason; ",H29="Add dates",H29="Add registration",H29="Check date format"),1,0)</x:f>
        <x:v>0</x:v>
      </x:c>
      <x:c r="S29" t="n">
        <x:f>S28+IF(COUNTIFS(C29:F29,"Reviewed N/A")&gt;0,1,0)</x:f>
        <x:v>0</x:v>
      </x:c>
    </x:row>
    <x:row r="30" ht="48" customHeight="1">
      <x:c r="A30" s="52"/>
      <x:c r="B30" s="52"/>
      <x:c r="C30" s="53"/>
      <x:c r="D30" s="53"/>
      <x:c r="E30" s="53"/>
      <x:c r="F30" s="53"/>
      <x:c r="G30" s="52"/>
      <x:c r="H30" s="21" t="str">
        <x:f>IF(COUNTA(A30:G30,I30)=0,"",IF(A30="","Add registration",IF(OR(COUNTA(C30:F30)&gt;COUNT(C30:F30)+COUNTIFS(C30:F30,"Reviewed N/A"),AND(COUNT(C30:F30)&gt;0,OR(MIN(C30:F30)&lt;36526,MAX(C30:F30)&gt;109574))),"Check date format",IF(AND(COUNTIFS(C30:F30,"Reviewed N/A")&gt;0,I30=""),"Add N/A reason; ","")&amp;IF(COUNT(C30:F30)=0,IF(COUNTIFS(C30:F30,"Reviewed N/A")=4,"No applicable dates recorded","Add dates"),IF(COUNT(C30:F30)+COUNTIFS(C30:F30,"Reviewed N/A")&lt;4,"Missing dates; ","")&amp;IF(MIN(C30:F30)&lt;TODAY(),"Overdue: ",IF(MIN(C30:F30)=TODAY(),"Due today: ",IF(MIN(C30:F30)&lt;=TODAY()+30,"Due within 30 days: ","Next: ")))&amp;INDEX($C$8:$F$8,1,MATCH(MIN(C30:F30),C30:F30,0))&amp;" "&amp;TEXT(MIN(C30:F30),"dd mmm yyyy")))))</x:f>
      </x:c>
      <x:c r="I30" s="52"/>
      <x:c r="J30" t="str">
        <x:f>IF(AND(A30&lt;&gt;"",COUNTIFS(C30,"&gt;=36526",C30,"&lt;"&amp;TODAY())+COUNTIFS(D30,"&gt;=36526",D30,"&lt;"&amp;TODAY())+COUNTIFS(E30,"&gt;=36526",E30,"&lt;"&amp;TODAY())+COUNTIFS(F30,"&gt;=36526",F30,"&lt;"&amp;TODAY())&gt;0),O30,"")</x:f>
      </x:c>
      <x:c r="K30" t="str">
        <x:f>IF(AND(A30&lt;&gt;"",COUNTIFS(C30,"&gt;=36526",C30,TODAY())+COUNTIFS(D30,"&gt;=36526",D30,TODAY())+COUNTIFS(E30,"&gt;=36526",E30,TODAY())+COUNTIFS(F30,"&gt;=36526",F30,TODAY())&gt;0),P30,"")</x:f>
      </x:c>
      <x:c r="L30" t="str">
        <x:f>IF(AND(A30&lt;&gt;"",COUNTIFS(C30,"&gt;"&amp;TODAY(),C30,"&lt;="&amp;TODAY()+30)+COUNTIFS(D30,"&gt;"&amp;TODAY(),D30,"&lt;="&amp;TODAY()+30)+COUNTIFS(E30,"&gt;"&amp;TODAY(),E30,"&lt;="&amp;TODAY()+30)+COUNTIFS(F30,"&gt;"&amp;TODAY(),F30,"&lt;="&amp;TODAY()+30)&gt;0),Q30,"")</x:f>
      </x:c>
      <x:c r="M30" t="str">
        <x:f>IF(OR(LEFT(H30,15)="Missing dates; ",LEFT(H30,16)="Add N/A reason; ",H30="Add dates",H30="Add registration",H30="Check date format"),R30,"")</x:f>
      </x:c>
      <x:c r="N30" t="str">
        <x:f>IF(COUNTIFS(C30:F30,"Reviewed N/A")&gt;0,S30,"")</x:f>
      </x:c>
      <x:c r="O30" t="n">
        <x:f>O29+IF(AND(A30&lt;&gt;"",COUNTIFS(C30,"&gt;=36526",C30,"&lt;"&amp;TODAY())+COUNTIFS(D30,"&gt;=36526",D30,"&lt;"&amp;TODAY())+COUNTIFS(E30,"&gt;=36526",E30,"&lt;"&amp;TODAY())+COUNTIFS(F30,"&gt;=36526",F30,"&lt;"&amp;TODAY())&gt;0),1,0)</x:f>
        <x:v>0</x:v>
      </x:c>
      <x:c r="P30" t="n">
        <x:f>P29+IF(AND(A30&lt;&gt;"",COUNTIFS(C30,"&gt;=36526",C30,TODAY())+COUNTIFS(D30,"&gt;=36526",D30,TODAY())+COUNTIFS(E30,"&gt;=36526",E30,TODAY())+COUNTIFS(F30,"&gt;=36526",F30,TODAY())&gt;0),1,0)</x:f>
        <x:v>0</x:v>
      </x:c>
      <x:c r="Q30" t="n">
        <x:f>Q29+IF(AND(A30&lt;&gt;"",COUNTIFS(C30,"&gt;"&amp;TODAY(),C30,"&lt;="&amp;TODAY()+30)+COUNTIFS(D30,"&gt;"&amp;TODAY(),D30,"&lt;="&amp;TODAY()+30)+COUNTIFS(E30,"&gt;"&amp;TODAY(),E30,"&lt;="&amp;TODAY()+30)+COUNTIFS(F30,"&gt;"&amp;TODAY(),F30,"&lt;="&amp;TODAY()+30)&gt;0),1,0)</x:f>
        <x:v>0</x:v>
      </x:c>
      <x:c r="R30" t="n">
        <x:f>R29+IF(OR(LEFT(H30,15)="Missing dates; ",LEFT(H30,16)="Add N/A reason; ",H30="Add dates",H30="Add registration",H30="Check date format"),1,0)</x:f>
        <x:v>0</x:v>
      </x:c>
      <x:c r="S30" t="n">
        <x:f>S29+IF(COUNTIFS(C30:F30,"Reviewed N/A")&gt;0,1,0)</x:f>
        <x:v>0</x:v>
      </x:c>
    </x:row>
    <x:row r="31" ht="48" customHeight="1">
      <x:c r="A31" s="52"/>
      <x:c r="B31" s="52"/>
      <x:c r="C31" s="53"/>
      <x:c r="D31" s="53"/>
      <x:c r="E31" s="53"/>
      <x:c r="F31" s="53"/>
      <x:c r="G31" s="52"/>
      <x:c r="H31" s="21" t="str">
        <x:f>IF(COUNTA(A31:G31,I31)=0,"",IF(A31="","Add registration",IF(OR(COUNTA(C31:F31)&gt;COUNT(C31:F31)+COUNTIFS(C31:F31,"Reviewed N/A"),AND(COUNT(C31:F31)&gt;0,OR(MIN(C31:F31)&lt;36526,MAX(C31:F31)&gt;109574))),"Check date format",IF(AND(COUNTIFS(C31:F31,"Reviewed N/A")&gt;0,I31=""),"Add N/A reason; ","")&amp;IF(COUNT(C31:F31)=0,IF(COUNTIFS(C31:F31,"Reviewed N/A")=4,"No applicable dates recorded","Add dates"),IF(COUNT(C31:F31)+COUNTIFS(C31:F31,"Reviewed N/A")&lt;4,"Missing dates; ","")&amp;IF(MIN(C31:F31)&lt;TODAY(),"Overdue: ",IF(MIN(C31:F31)=TODAY(),"Due today: ",IF(MIN(C31:F31)&lt;=TODAY()+30,"Due within 30 days: ","Next: ")))&amp;INDEX($C$8:$F$8,1,MATCH(MIN(C31:F31),C31:F31,0))&amp;" "&amp;TEXT(MIN(C31:F31),"dd mmm yyyy")))))</x:f>
      </x:c>
      <x:c r="I31" s="52"/>
      <x:c r="J31" t="str">
        <x:f>IF(AND(A31&lt;&gt;"",COUNTIFS(C31,"&gt;=36526",C31,"&lt;"&amp;TODAY())+COUNTIFS(D31,"&gt;=36526",D31,"&lt;"&amp;TODAY())+COUNTIFS(E31,"&gt;=36526",E31,"&lt;"&amp;TODAY())+COUNTIFS(F31,"&gt;=36526",F31,"&lt;"&amp;TODAY())&gt;0),O31,"")</x:f>
      </x:c>
      <x:c r="K31" t="str">
        <x:f>IF(AND(A31&lt;&gt;"",COUNTIFS(C31,"&gt;=36526",C31,TODAY())+COUNTIFS(D31,"&gt;=36526",D31,TODAY())+COUNTIFS(E31,"&gt;=36526",E31,TODAY())+COUNTIFS(F31,"&gt;=36526",F31,TODAY())&gt;0),P31,"")</x:f>
      </x:c>
      <x:c r="L31" t="str">
        <x:f>IF(AND(A31&lt;&gt;"",COUNTIFS(C31,"&gt;"&amp;TODAY(),C31,"&lt;="&amp;TODAY()+30)+COUNTIFS(D31,"&gt;"&amp;TODAY(),D31,"&lt;="&amp;TODAY()+30)+COUNTIFS(E31,"&gt;"&amp;TODAY(),E31,"&lt;="&amp;TODAY()+30)+COUNTIFS(F31,"&gt;"&amp;TODAY(),F31,"&lt;="&amp;TODAY()+30)&gt;0),Q31,"")</x:f>
      </x:c>
      <x:c r="M31" t="str">
        <x:f>IF(OR(LEFT(H31,15)="Missing dates; ",LEFT(H31,16)="Add N/A reason; ",H31="Add dates",H31="Add registration",H31="Check date format"),R31,"")</x:f>
      </x:c>
      <x:c r="N31" t="str">
        <x:f>IF(COUNTIFS(C31:F31,"Reviewed N/A")&gt;0,S31,"")</x:f>
      </x:c>
      <x:c r="O31" t="n">
        <x:f>O30+IF(AND(A31&lt;&gt;"",COUNTIFS(C31,"&gt;=36526",C31,"&lt;"&amp;TODAY())+COUNTIFS(D31,"&gt;=36526",D31,"&lt;"&amp;TODAY())+COUNTIFS(E31,"&gt;=36526",E31,"&lt;"&amp;TODAY())+COUNTIFS(F31,"&gt;=36526",F31,"&lt;"&amp;TODAY())&gt;0),1,0)</x:f>
        <x:v>0</x:v>
      </x:c>
      <x:c r="P31" t="n">
        <x:f>P30+IF(AND(A31&lt;&gt;"",COUNTIFS(C31,"&gt;=36526",C31,TODAY())+COUNTIFS(D31,"&gt;=36526",D31,TODAY())+COUNTIFS(E31,"&gt;=36526",E31,TODAY())+COUNTIFS(F31,"&gt;=36526",F31,TODAY())&gt;0),1,0)</x:f>
        <x:v>0</x:v>
      </x:c>
      <x:c r="Q31" t="n">
        <x:f>Q30+IF(AND(A31&lt;&gt;"",COUNTIFS(C31,"&gt;"&amp;TODAY(),C31,"&lt;="&amp;TODAY()+30)+COUNTIFS(D31,"&gt;"&amp;TODAY(),D31,"&lt;="&amp;TODAY()+30)+COUNTIFS(E31,"&gt;"&amp;TODAY(),E31,"&lt;="&amp;TODAY()+30)+COUNTIFS(F31,"&gt;"&amp;TODAY(),F31,"&lt;="&amp;TODAY()+30)&gt;0),1,0)</x:f>
        <x:v>0</x:v>
      </x:c>
      <x:c r="R31" t="n">
        <x:f>R30+IF(OR(LEFT(H31,15)="Missing dates; ",LEFT(H31,16)="Add N/A reason; ",H31="Add dates",H31="Add registration",H31="Check date format"),1,0)</x:f>
        <x:v>0</x:v>
      </x:c>
      <x:c r="S31" t="n">
        <x:f>S30+IF(COUNTIFS(C31:F31,"Reviewed N/A")&gt;0,1,0)</x:f>
        <x:v>0</x:v>
      </x:c>
    </x:row>
    <x:row r="32" ht="48" customHeight="1">
      <x:c r="A32" s="52"/>
      <x:c r="B32" s="52"/>
      <x:c r="C32" s="53"/>
      <x:c r="D32" s="53"/>
      <x:c r="E32" s="53"/>
      <x:c r="F32" s="53"/>
      <x:c r="G32" s="52"/>
      <x:c r="H32" s="21" t="str">
        <x:f>IF(COUNTA(A32:G32,I32)=0,"",IF(A32="","Add registration",IF(OR(COUNTA(C32:F32)&gt;COUNT(C32:F32)+COUNTIFS(C32:F32,"Reviewed N/A"),AND(COUNT(C32:F32)&gt;0,OR(MIN(C32:F32)&lt;36526,MAX(C32:F32)&gt;109574))),"Check date format",IF(AND(COUNTIFS(C32:F32,"Reviewed N/A")&gt;0,I32=""),"Add N/A reason; ","")&amp;IF(COUNT(C32:F32)=0,IF(COUNTIFS(C32:F32,"Reviewed N/A")=4,"No applicable dates recorded","Add dates"),IF(COUNT(C32:F32)+COUNTIFS(C32:F32,"Reviewed N/A")&lt;4,"Missing dates; ","")&amp;IF(MIN(C32:F32)&lt;TODAY(),"Overdue: ",IF(MIN(C32:F32)=TODAY(),"Due today: ",IF(MIN(C32:F32)&lt;=TODAY()+30,"Due within 30 days: ","Next: ")))&amp;INDEX($C$8:$F$8,1,MATCH(MIN(C32:F32),C32:F32,0))&amp;" "&amp;TEXT(MIN(C32:F32),"dd mmm yyyy")))))</x:f>
      </x:c>
      <x:c r="I32" s="52"/>
      <x:c r="J32" t="str">
        <x:f>IF(AND(A32&lt;&gt;"",COUNTIFS(C32,"&gt;=36526",C32,"&lt;"&amp;TODAY())+COUNTIFS(D32,"&gt;=36526",D32,"&lt;"&amp;TODAY())+COUNTIFS(E32,"&gt;=36526",E32,"&lt;"&amp;TODAY())+COUNTIFS(F32,"&gt;=36526",F32,"&lt;"&amp;TODAY())&gt;0),O32,"")</x:f>
      </x:c>
      <x:c r="K32" t="str">
        <x:f>IF(AND(A32&lt;&gt;"",COUNTIFS(C32,"&gt;=36526",C32,TODAY())+COUNTIFS(D32,"&gt;=36526",D32,TODAY())+COUNTIFS(E32,"&gt;=36526",E32,TODAY())+COUNTIFS(F32,"&gt;=36526",F32,TODAY())&gt;0),P32,"")</x:f>
      </x:c>
      <x:c r="L32" t="str">
        <x:f>IF(AND(A32&lt;&gt;"",COUNTIFS(C32,"&gt;"&amp;TODAY(),C32,"&lt;="&amp;TODAY()+30)+COUNTIFS(D32,"&gt;"&amp;TODAY(),D32,"&lt;="&amp;TODAY()+30)+COUNTIFS(E32,"&gt;"&amp;TODAY(),E32,"&lt;="&amp;TODAY()+30)+COUNTIFS(F32,"&gt;"&amp;TODAY(),F32,"&lt;="&amp;TODAY()+30)&gt;0),Q32,"")</x:f>
      </x:c>
      <x:c r="M32" t="str">
        <x:f>IF(OR(LEFT(H32,15)="Missing dates; ",LEFT(H32,16)="Add N/A reason; ",H32="Add dates",H32="Add registration",H32="Check date format"),R32,"")</x:f>
      </x:c>
      <x:c r="N32" t="str">
        <x:f>IF(COUNTIFS(C32:F32,"Reviewed N/A")&gt;0,S32,"")</x:f>
      </x:c>
      <x:c r="O32" t="n">
        <x:f>O31+IF(AND(A32&lt;&gt;"",COUNTIFS(C32,"&gt;=36526",C32,"&lt;"&amp;TODAY())+COUNTIFS(D32,"&gt;=36526",D32,"&lt;"&amp;TODAY())+COUNTIFS(E32,"&gt;=36526",E32,"&lt;"&amp;TODAY())+COUNTIFS(F32,"&gt;=36526",F32,"&lt;"&amp;TODAY())&gt;0),1,0)</x:f>
        <x:v>0</x:v>
      </x:c>
      <x:c r="P32" t="n">
        <x:f>P31+IF(AND(A32&lt;&gt;"",COUNTIFS(C32,"&gt;=36526",C32,TODAY())+COUNTIFS(D32,"&gt;=36526",D32,TODAY())+COUNTIFS(E32,"&gt;=36526",E32,TODAY())+COUNTIFS(F32,"&gt;=36526",F32,TODAY())&gt;0),1,0)</x:f>
        <x:v>0</x:v>
      </x:c>
      <x:c r="Q32" t="n">
        <x:f>Q31+IF(AND(A32&lt;&gt;"",COUNTIFS(C32,"&gt;"&amp;TODAY(),C32,"&lt;="&amp;TODAY()+30)+COUNTIFS(D32,"&gt;"&amp;TODAY(),D32,"&lt;="&amp;TODAY()+30)+COUNTIFS(E32,"&gt;"&amp;TODAY(),E32,"&lt;="&amp;TODAY()+30)+COUNTIFS(F32,"&gt;"&amp;TODAY(),F32,"&lt;="&amp;TODAY()+30)&gt;0),1,0)</x:f>
        <x:v>0</x:v>
      </x:c>
      <x:c r="R32" t="n">
        <x:f>R31+IF(OR(LEFT(H32,15)="Missing dates; ",LEFT(H32,16)="Add N/A reason; ",H32="Add dates",H32="Add registration",H32="Check date format"),1,0)</x:f>
        <x:v>0</x:v>
      </x:c>
      <x:c r="S32" t="n">
        <x:f>S31+IF(COUNTIFS(C32:F32,"Reviewed N/A")&gt;0,1,0)</x:f>
        <x:v>0</x:v>
      </x:c>
    </x:row>
    <x:row r="33" ht="48" customHeight="1">
      <x:c r="A33" s="52"/>
      <x:c r="B33" s="52"/>
      <x:c r="C33" s="53"/>
      <x:c r="D33" s="53"/>
      <x:c r="E33" s="53"/>
      <x:c r="F33" s="53"/>
      <x:c r="G33" s="52"/>
      <x:c r="H33" s="21" t="str">
        <x:f>IF(COUNTA(A33:G33,I33)=0,"",IF(A33="","Add registration",IF(OR(COUNTA(C33:F33)&gt;COUNT(C33:F33)+COUNTIFS(C33:F33,"Reviewed N/A"),AND(COUNT(C33:F33)&gt;0,OR(MIN(C33:F33)&lt;36526,MAX(C33:F33)&gt;109574))),"Check date format",IF(AND(COUNTIFS(C33:F33,"Reviewed N/A")&gt;0,I33=""),"Add N/A reason; ","")&amp;IF(COUNT(C33:F33)=0,IF(COUNTIFS(C33:F33,"Reviewed N/A")=4,"No applicable dates recorded","Add dates"),IF(COUNT(C33:F33)+COUNTIFS(C33:F33,"Reviewed N/A")&lt;4,"Missing dates; ","")&amp;IF(MIN(C33:F33)&lt;TODAY(),"Overdue: ",IF(MIN(C33:F33)=TODAY(),"Due today: ",IF(MIN(C33:F33)&lt;=TODAY()+30,"Due within 30 days: ","Next: ")))&amp;INDEX($C$8:$F$8,1,MATCH(MIN(C33:F33),C33:F33,0))&amp;" "&amp;TEXT(MIN(C33:F33),"dd mmm yyyy")))))</x:f>
      </x:c>
      <x:c r="I33" s="52"/>
      <x:c r="J33" t="str">
        <x:f>IF(AND(A33&lt;&gt;"",COUNTIFS(C33,"&gt;=36526",C33,"&lt;"&amp;TODAY())+COUNTIFS(D33,"&gt;=36526",D33,"&lt;"&amp;TODAY())+COUNTIFS(E33,"&gt;=36526",E33,"&lt;"&amp;TODAY())+COUNTIFS(F33,"&gt;=36526",F33,"&lt;"&amp;TODAY())&gt;0),O33,"")</x:f>
      </x:c>
      <x:c r="K33" t="str">
        <x:f>IF(AND(A33&lt;&gt;"",COUNTIFS(C33,"&gt;=36526",C33,TODAY())+COUNTIFS(D33,"&gt;=36526",D33,TODAY())+COUNTIFS(E33,"&gt;=36526",E33,TODAY())+COUNTIFS(F33,"&gt;=36526",F33,TODAY())&gt;0),P33,"")</x:f>
      </x:c>
      <x:c r="L33" t="str">
        <x:f>IF(AND(A33&lt;&gt;"",COUNTIFS(C33,"&gt;"&amp;TODAY(),C33,"&lt;="&amp;TODAY()+30)+COUNTIFS(D33,"&gt;"&amp;TODAY(),D33,"&lt;="&amp;TODAY()+30)+COUNTIFS(E33,"&gt;"&amp;TODAY(),E33,"&lt;="&amp;TODAY()+30)+COUNTIFS(F33,"&gt;"&amp;TODAY(),F33,"&lt;="&amp;TODAY()+30)&gt;0),Q33,"")</x:f>
      </x:c>
      <x:c r="M33" t="str">
        <x:f>IF(OR(LEFT(H33,15)="Missing dates; ",LEFT(H33,16)="Add N/A reason; ",H33="Add dates",H33="Add registration",H33="Check date format"),R33,"")</x:f>
      </x:c>
      <x:c r="N33" t="str">
        <x:f>IF(COUNTIFS(C33:F33,"Reviewed N/A")&gt;0,S33,"")</x:f>
      </x:c>
      <x:c r="O33" t="n">
        <x:f>O32+IF(AND(A33&lt;&gt;"",COUNTIFS(C33,"&gt;=36526",C33,"&lt;"&amp;TODAY())+COUNTIFS(D33,"&gt;=36526",D33,"&lt;"&amp;TODAY())+COUNTIFS(E33,"&gt;=36526",E33,"&lt;"&amp;TODAY())+COUNTIFS(F33,"&gt;=36526",F33,"&lt;"&amp;TODAY())&gt;0),1,0)</x:f>
        <x:v>0</x:v>
      </x:c>
      <x:c r="P33" t="n">
        <x:f>P32+IF(AND(A33&lt;&gt;"",COUNTIFS(C33,"&gt;=36526",C33,TODAY())+COUNTIFS(D33,"&gt;=36526",D33,TODAY())+COUNTIFS(E33,"&gt;=36526",E33,TODAY())+COUNTIFS(F33,"&gt;=36526",F33,TODAY())&gt;0),1,0)</x:f>
        <x:v>0</x:v>
      </x:c>
      <x:c r="Q33" t="n">
        <x:f>Q32+IF(AND(A33&lt;&gt;"",COUNTIFS(C33,"&gt;"&amp;TODAY(),C33,"&lt;="&amp;TODAY()+30)+COUNTIFS(D33,"&gt;"&amp;TODAY(),D33,"&lt;="&amp;TODAY()+30)+COUNTIFS(E33,"&gt;"&amp;TODAY(),E33,"&lt;="&amp;TODAY()+30)+COUNTIFS(F33,"&gt;"&amp;TODAY(),F33,"&lt;="&amp;TODAY()+30)&gt;0),1,0)</x:f>
        <x:v>0</x:v>
      </x:c>
      <x:c r="R33" t="n">
        <x:f>R32+IF(OR(LEFT(H33,15)="Missing dates; ",LEFT(H33,16)="Add N/A reason; ",H33="Add dates",H33="Add registration",H33="Check date format"),1,0)</x:f>
        <x:v>0</x:v>
      </x:c>
      <x:c r="S33" t="n">
        <x:f>S32+IF(COUNTIFS(C33:F33,"Reviewed N/A")&gt;0,1,0)</x:f>
        <x:v>0</x:v>
      </x:c>
    </x:row>
    <x:row r="34" ht="48" customHeight="1">
      <x:c r="A34" s="52"/>
      <x:c r="B34" s="52"/>
      <x:c r="C34" s="53"/>
      <x:c r="D34" s="53"/>
      <x:c r="E34" s="53"/>
      <x:c r="F34" s="53"/>
      <x:c r="G34" s="52"/>
      <x:c r="H34" s="21" t="str">
        <x:f>IF(COUNTA(A34:G34,I34)=0,"",IF(A34="","Add registration",IF(OR(COUNTA(C34:F34)&gt;COUNT(C34:F34)+COUNTIFS(C34:F34,"Reviewed N/A"),AND(COUNT(C34:F34)&gt;0,OR(MIN(C34:F34)&lt;36526,MAX(C34:F34)&gt;109574))),"Check date format",IF(AND(COUNTIFS(C34:F34,"Reviewed N/A")&gt;0,I34=""),"Add N/A reason; ","")&amp;IF(COUNT(C34:F34)=0,IF(COUNTIFS(C34:F34,"Reviewed N/A")=4,"No applicable dates recorded","Add dates"),IF(COUNT(C34:F34)+COUNTIFS(C34:F34,"Reviewed N/A")&lt;4,"Missing dates; ","")&amp;IF(MIN(C34:F34)&lt;TODAY(),"Overdue: ",IF(MIN(C34:F34)=TODAY(),"Due today: ",IF(MIN(C34:F34)&lt;=TODAY()+30,"Due within 30 days: ","Next: ")))&amp;INDEX($C$8:$F$8,1,MATCH(MIN(C34:F34),C34:F34,0))&amp;" "&amp;TEXT(MIN(C34:F34),"dd mmm yyyy")))))</x:f>
      </x:c>
      <x:c r="I34" s="52"/>
      <x:c r="J34" t="str">
        <x:f>IF(AND(A34&lt;&gt;"",COUNTIFS(C34,"&gt;=36526",C34,"&lt;"&amp;TODAY())+COUNTIFS(D34,"&gt;=36526",D34,"&lt;"&amp;TODAY())+COUNTIFS(E34,"&gt;=36526",E34,"&lt;"&amp;TODAY())+COUNTIFS(F34,"&gt;=36526",F34,"&lt;"&amp;TODAY())&gt;0),O34,"")</x:f>
      </x:c>
      <x:c r="K34" t="str">
        <x:f>IF(AND(A34&lt;&gt;"",COUNTIFS(C34,"&gt;=36526",C34,TODAY())+COUNTIFS(D34,"&gt;=36526",D34,TODAY())+COUNTIFS(E34,"&gt;=36526",E34,TODAY())+COUNTIFS(F34,"&gt;=36526",F34,TODAY())&gt;0),P34,"")</x:f>
      </x:c>
      <x:c r="L34" t="str">
        <x:f>IF(AND(A34&lt;&gt;"",COUNTIFS(C34,"&gt;"&amp;TODAY(),C34,"&lt;="&amp;TODAY()+30)+COUNTIFS(D34,"&gt;"&amp;TODAY(),D34,"&lt;="&amp;TODAY()+30)+COUNTIFS(E34,"&gt;"&amp;TODAY(),E34,"&lt;="&amp;TODAY()+30)+COUNTIFS(F34,"&gt;"&amp;TODAY(),F34,"&lt;="&amp;TODAY()+30)&gt;0),Q34,"")</x:f>
      </x:c>
      <x:c r="M34" t="str">
        <x:f>IF(OR(LEFT(H34,15)="Missing dates; ",LEFT(H34,16)="Add N/A reason; ",H34="Add dates",H34="Add registration",H34="Check date format"),R34,"")</x:f>
      </x:c>
      <x:c r="N34" t="str">
        <x:f>IF(COUNTIFS(C34:F34,"Reviewed N/A")&gt;0,S34,"")</x:f>
      </x:c>
      <x:c r="O34" t="n">
        <x:f>O33+IF(AND(A34&lt;&gt;"",COUNTIFS(C34,"&gt;=36526",C34,"&lt;"&amp;TODAY())+COUNTIFS(D34,"&gt;=36526",D34,"&lt;"&amp;TODAY())+COUNTIFS(E34,"&gt;=36526",E34,"&lt;"&amp;TODAY())+COUNTIFS(F34,"&gt;=36526",F34,"&lt;"&amp;TODAY())&gt;0),1,0)</x:f>
        <x:v>0</x:v>
      </x:c>
      <x:c r="P34" t="n">
        <x:f>P33+IF(AND(A34&lt;&gt;"",COUNTIFS(C34,"&gt;=36526",C34,TODAY())+COUNTIFS(D34,"&gt;=36526",D34,TODAY())+COUNTIFS(E34,"&gt;=36526",E34,TODAY())+COUNTIFS(F34,"&gt;=36526",F34,TODAY())&gt;0),1,0)</x:f>
        <x:v>0</x:v>
      </x:c>
      <x:c r="Q34" t="n">
        <x:f>Q33+IF(AND(A34&lt;&gt;"",COUNTIFS(C34,"&gt;"&amp;TODAY(),C34,"&lt;="&amp;TODAY()+30)+COUNTIFS(D34,"&gt;"&amp;TODAY(),D34,"&lt;="&amp;TODAY()+30)+COUNTIFS(E34,"&gt;"&amp;TODAY(),E34,"&lt;="&amp;TODAY()+30)+COUNTIFS(F34,"&gt;"&amp;TODAY(),F34,"&lt;="&amp;TODAY()+30)&gt;0),1,0)</x:f>
        <x:v>0</x:v>
      </x:c>
      <x:c r="R34" t="n">
        <x:f>R33+IF(OR(LEFT(H34,15)="Missing dates; ",LEFT(H34,16)="Add N/A reason; ",H34="Add dates",H34="Add registration",H34="Check date format"),1,0)</x:f>
        <x:v>0</x:v>
      </x:c>
      <x:c r="S34" t="n">
        <x:f>S33+IF(COUNTIFS(C34:F34,"Reviewed N/A")&gt;0,1,0)</x:f>
        <x:v>0</x:v>
      </x:c>
    </x:row>
    <x:row r="35" ht="48" customHeight="1">
      <x:c r="A35" s="52"/>
      <x:c r="B35" s="52"/>
      <x:c r="C35" s="53"/>
      <x:c r="D35" s="53"/>
      <x:c r="E35" s="53"/>
      <x:c r="F35" s="53"/>
      <x:c r="G35" s="52"/>
      <x:c r="H35" s="21" t="str">
        <x:f>IF(COUNTA(A35:G35,I35)=0,"",IF(A35="","Add registration",IF(OR(COUNTA(C35:F35)&gt;COUNT(C35:F35)+COUNTIFS(C35:F35,"Reviewed N/A"),AND(COUNT(C35:F35)&gt;0,OR(MIN(C35:F35)&lt;36526,MAX(C35:F35)&gt;109574))),"Check date format",IF(AND(COUNTIFS(C35:F35,"Reviewed N/A")&gt;0,I35=""),"Add N/A reason; ","")&amp;IF(COUNT(C35:F35)=0,IF(COUNTIFS(C35:F35,"Reviewed N/A")=4,"No applicable dates recorded","Add dates"),IF(COUNT(C35:F35)+COUNTIFS(C35:F35,"Reviewed N/A")&lt;4,"Missing dates; ","")&amp;IF(MIN(C35:F35)&lt;TODAY(),"Overdue: ",IF(MIN(C35:F35)=TODAY(),"Due today: ",IF(MIN(C35:F35)&lt;=TODAY()+30,"Due within 30 days: ","Next: ")))&amp;INDEX($C$8:$F$8,1,MATCH(MIN(C35:F35),C35:F35,0))&amp;" "&amp;TEXT(MIN(C35:F35),"dd mmm yyyy")))))</x:f>
      </x:c>
      <x:c r="I35" s="52"/>
      <x:c r="J35" t="str">
        <x:f>IF(AND(A35&lt;&gt;"",COUNTIFS(C35,"&gt;=36526",C35,"&lt;"&amp;TODAY())+COUNTIFS(D35,"&gt;=36526",D35,"&lt;"&amp;TODAY())+COUNTIFS(E35,"&gt;=36526",E35,"&lt;"&amp;TODAY())+COUNTIFS(F35,"&gt;=36526",F35,"&lt;"&amp;TODAY())&gt;0),O35,"")</x:f>
      </x:c>
      <x:c r="K35" t="str">
        <x:f>IF(AND(A35&lt;&gt;"",COUNTIFS(C35,"&gt;=36526",C35,TODAY())+COUNTIFS(D35,"&gt;=36526",D35,TODAY())+COUNTIFS(E35,"&gt;=36526",E35,TODAY())+COUNTIFS(F35,"&gt;=36526",F35,TODAY())&gt;0),P35,"")</x:f>
      </x:c>
      <x:c r="L35" t="str">
        <x:f>IF(AND(A35&lt;&gt;"",COUNTIFS(C35,"&gt;"&amp;TODAY(),C35,"&lt;="&amp;TODAY()+30)+COUNTIFS(D35,"&gt;"&amp;TODAY(),D35,"&lt;="&amp;TODAY()+30)+COUNTIFS(E35,"&gt;"&amp;TODAY(),E35,"&lt;="&amp;TODAY()+30)+COUNTIFS(F35,"&gt;"&amp;TODAY(),F35,"&lt;="&amp;TODAY()+30)&gt;0),Q35,"")</x:f>
      </x:c>
      <x:c r="M35" t="str">
        <x:f>IF(OR(LEFT(H35,15)="Missing dates; ",LEFT(H35,16)="Add N/A reason; ",H35="Add dates",H35="Add registration",H35="Check date format"),R35,"")</x:f>
      </x:c>
      <x:c r="N35" t="str">
        <x:f>IF(COUNTIFS(C35:F35,"Reviewed N/A")&gt;0,S35,"")</x:f>
      </x:c>
      <x:c r="O35" t="n">
        <x:f>O34+IF(AND(A35&lt;&gt;"",COUNTIFS(C35,"&gt;=36526",C35,"&lt;"&amp;TODAY())+COUNTIFS(D35,"&gt;=36526",D35,"&lt;"&amp;TODAY())+COUNTIFS(E35,"&gt;=36526",E35,"&lt;"&amp;TODAY())+COUNTIFS(F35,"&gt;=36526",F35,"&lt;"&amp;TODAY())&gt;0),1,0)</x:f>
        <x:v>0</x:v>
      </x:c>
      <x:c r="P35" t="n">
        <x:f>P34+IF(AND(A35&lt;&gt;"",COUNTIFS(C35,"&gt;=36526",C35,TODAY())+COUNTIFS(D35,"&gt;=36526",D35,TODAY())+COUNTIFS(E35,"&gt;=36526",E35,TODAY())+COUNTIFS(F35,"&gt;=36526",F35,TODAY())&gt;0),1,0)</x:f>
        <x:v>0</x:v>
      </x:c>
      <x:c r="Q35" t="n">
        <x:f>Q34+IF(AND(A35&lt;&gt;"",COUNTIFS(C35,"&gt;"&amp;TODAY(),C35,"&lt;="&amp;TODAY()+30)+COUNTIFS(D35,"&gt;"&amp;TODAY(),D35,"&lt;="&amp;TODAY()+30)+COUNTIFS(E35,"&gt;"&amp;TODAY(),E35,"&lt;="&amp;TODAY()+30)+COUNTIFS(F35,"&gt;"&amp;TODAY(),F35,"&lt;="&amp;TODAY()+30)&gt;0),1,0)</x:f>
        <x:v>0</x:v>
      </x:c>
      <x:c r="R35" t="n">
        <x:f>R34+IF(OR(LEFT(H35,15)="Missing dates; ",LEFT(H35,16)="Add N/A reason; ",H35="Add dates",H35="Add registration",H35="Check date format"),1,0)</x:f>
        <x:v>0</x:v>
      </x:c>
      <x:c r="S35" t="n">
        <x:f>S34+IF(COUNTIFS(C35:F35,"Reviewed N/A")&gt;0,1,0)</x:f>
        <x:v>0</x:v>
      </x:c>
    </x:row>
    <x:row r="36" ht="48" customHeight="1">
      <x:c r="A36" s="52"/>
      <x:c r="B36" s="52"/>
      <x:c r="C36" s="53"/>
      <x:c r="D36" s="53"/>
      <x:c r="E36" s="53"/>
      <x:c r="F36" s="53"/>
      <x:c r="G36" s="52"/>
      <x:c r="H36" s="21" t="str">
        <x:f>IF(COUNTA(A36:G36,I36)=0,"",IF(A36="","Add registration",IF(OR(COUNTA(C36:F36)&gt;COUNT(C36:F36)+COUNTIFS(C36:F36,"Reviewed N/A"),AND(COUNT(C36:F36)&gt;0,OR(MIN(C36:F36)&lt;36526,MAX(C36:F36)&gt;109574))),"Check date format",IF(AND(COUNTIFS(C36:F36,"Reviewed N/A")&gt;0,I36=""),"Add N/A reason; ","")&amp;IF(COUNT(C36:F36)=0,IF(COUNTIFS(C36:F36,"Reviewed N/A")=4,"No applicable dates recorded","Add dates"),IF(COUNT(C36:F36)+COUNTIFS(C36:F36,"Reviewed N/A")&lt;4,"Missing dates; ","")&amp;IF(MIN(C36:F36)&lt;TODAY(),"Overdue: ",IF(MIN(C36:F36)=TODAY(),"Due today: ",IF(MIN(C36:F36)&lt;=TODAY()+30,"Due within 30 days: ","Next: ")))&amp;INDEX($C$8:$F$8,1,MATCH(MIN(C36:F36),C36:F36,0))&amp;" "&amp;TEXT(MIN(C36:F36),"dd mmm yyyy")))))</x:f>
      </x:c>
      <x:c r="I36" s="52"/>
      <x:c r="J36" t="str">
        <x:f>IF(AND(A36&lt;&gt;"",COUNTIFS(C36,"&gt;=36526",C36,"&lt;"&amp;TODAY())+COUNTIFS(D36,"&gt;=36526",D36,"&lt;"&amp;TODAY())+COUNTIFS(E36,"&gt;=36526",E36,"&lt;"&amp;TODAY())+COUNTIFS(F36,"&gt;=36526",F36,"&lt;"&amp;TODAY())&gt;0),O36,"")</x:f>
      </x:c>
      <x:c r="K36" t="str">
        <x:f>IF(AND(A36&lt;&gt;"",COUNTIFS(C36,"&gt;=36526",C36,TODAY())+COUNTIFS(D36,"&gt;=36526",D36,TODAY())+COUNTIFS(E36,"&gt;=36526",E36,TODAY())+COUNTIFS(F36,"&gt;=36526",F36,TODAY())&gt;0),P36,"")</x:f>
      </x:c>
      <x:c r="L36" t="str">
        <x:f>IF(AND(A36&lt;&gt;"",COUNTIFS(C36,"&gt;"&amp;TODAY(),C36,"&lt;="&amp;TODAY()+30)+COUNTIFS(D36,"&gt;"&amp;TODAY(),D36,"&lt;="&amp;TODAY()+30)+COUNTIFS(E36,"&gt;"&amp;TODAY(),E36,"&lt;="&amp;TODAY()+30)+COUNTIFS(F36,"&gt;"&amp;TODAY(),F36,"&lt;="&amp;TODAY()+30)&gt;0),Q36,"")</x:f>
      </x:c>
      <x:c r="M36" t="str">
        <x:f>IF(OR(LEFT(H36,15)="Missing dates; ",LEFT(H36,16)="Add N/A reason; ",H36="Add dates",H36="Add registration",H36="Check date format"),R36,"")</x:f>
      </x:c>
      <x:c r="N36" t="str">
        <x:f>IF(COUNTIFS(C36:F36,"Reviewed N/A")&gt;0,S36,"")</x:f>
      </x:c>
      <x:c r="O36" t="n">
        <x:f>O35+IF(AND(A36&lt;&gt;"",COUNTIFS(C36,"&gt;=36526",C36,"&lt;"&amp;TODAY())+COUNTIFS(D36,"&gt;=36526",D36,"&lt;"&amp;TODAY())+COUNTIFS(E36,"&gt;=36526",E36,"&lt;"&amp;TODAY())+COUNTIFS(F36,"&gt;=36526",F36,"&lt;"&amp;TODAY())&gt;0),1,0)</x:f>
        <x:v>0</x:v>
      </x:c>
      <x:c r="P36" t="n">
        <x:f>P35+IF(AND(A36&lt;&gt;"",COUNTIFS(C36,"&gt;=36526",C36,TODAY())+COUNTIFS(D36,"&gt;=36526",D36,TODAY())+COUNTIFS(E36,"&gt;=36526",E36,TODAY())+COUNTIFS(F36,"&gt;=36526",F36,TODAY())&gt;0),1,0)</x:f>
        <x:v>0</x:v>
      </x:c>
      <x:c r="Q36" t="n">
        <x:f>Q35+IF(AND(A36&lt;&gt;"",COUNTIFS(C36,"&gt;"&amp;TODAY(),C36,"&lt;="&amp;TODAY()+30)+COUNTIFS(D36,"&gt;"&amp;TODAY(),D36,"&lt;="&amp;TODAY()+30)+COUNTIFS(E36,"&gt;"&amp;TODAY(),E36,"&lt;="&amp;TODAY()+30)+COUNTIFS(F36,"&gt;"&amp;TODAY(),F36,"&lt;="&amp;TODAY()+30)&gt;0),1,0)</x:f>
        <x:v>0</x:v>
      </x:c>
      <x:c r="R36" t="n">
        <x:f>R35+IF(OR(LEFT(H36,15)="Missing dates; ",LEFT(H36,16)="Add N/A reason; ",H36="Add dates",H36="Add registration",H36="Check date format"),1,0)</x:f>
        <x:v>0</x:v>
      </x:c>
      <x:c r="S36" t="n">
        <x:f>S35+IF(COUNTIFS(C36:F36,"Reviewed N/A")&gt;0,1,0)</x:f>
        <x:v>0</x:v>
      </x:c>
    </x:row>
    <x:row r="37" ht="48" customHeight="1">
      <x:c r="A37" s="52"/>
      <x:c r="B37" s="52"/>
      <x:c r="C37" s="53"/>
      <x:c r="D37" s="53"/>
      <x:c r="E37" s="53"/>
      <x:c r="F37" s="53"/>
      <x:c r="G37" s="52"/>
      <x:c r="H37" s="21" t="str">
        <x:f>IF(COUNTA(A37:G37,I37)=0,"",IF(A37="","Add registration",IF(OR(COUNTA(C37:F37)&gt;COUNT(C37:F37)+COUNTIFS(C37:F37,"Reviewed N/A"),AND(COUNT(C37:F37)&gt;0,OR(MIN(C37:F37)&lt;36526,MAX(C37:F37)&gt;109574))),"Check date format",IF(AND(COUNTIFS(C37:F37,"Reviewed N/A")&gt;0,I37=""),"Add N/A reason; ","")&amp;IF(COUNT(C37:F37)=0,IF(COUNTIFS(C37:F37,"Reviewed N/A")=4,"No applicable dates recorded","Add dates"),IF(COUNT(C37:F37)+COUNTIFS(C37:F37,"Reviewed N/A")&lt;4,"Missing dates; ","")&amp;IF(MIN(C37:F37)&lt;TODAY(),"Overdue: ",IF(MIN(C37:F37)=TODAY(),"Due today: ",IF(MIN(C37:F37)&lt;=TODAY()+30,"Due within 30 days: ","Next: ")))&amp;INDEX($C$8:$F$8,1,MATCH(MIN(C37:F37),C37:F37,0))&amp;" "&amp;TEXT(MIN(C37:F37),"dd mmm yyyy")))))</x:f>
      </x:c>
      <x:c r="I37" s="52"/>
      <x:c r="J37" t="str">
        <x:f>IF(AND(A37&lt;&gt;"",COUNTIFS(C37,"&gt;=36526",C37,"&lt;"&amp;TODAY())+COUNTIFS(D37,"&gt;=36526",D37,"&lt;"&amp;TODAY())+COUNTIFS(E37,"&gt;=36526",E37,"&lt;"&amp;TODAY())+COUNTIFS(F37,"&gt;=36526",F37,"&lt;"&amp;TODAY())&gt;0),O37,"")</x:f>
      </x:c>
      <x:c r="K37" t="str">
        <x:f>IF(AND(A37&lt;&gt;"",COUNTIFS(C37,"&gt;=36526",C37,TODAY())+COUNTIFS(D37,"&gt;=36526",D37,TODAY())+COUNTIFS(E37,"&gt;=36526",E37,TODAY())+COUNTIFS(F37,"&gt;=36526",F37,TODAY())&gt;0),P37,"")</x:f>
      </x:c>
      <x:c r="L37" t="str">
        <x:f>IF(AND(A37&lt;&gt;"",COUNTIFS(C37,"&gt;"&amp;TODAY(),C37,"&lt;="&amp;TODAY()+30)+COUNTIFS(D37,"&gt;"&amp;TODAY(),D37,"&lt;="&amp;TODAY()+30)+COUNTIFS(E37,"&gt;"&amp;TODAY(),E37,"&lt;="&amp;TODAY()+30)+COUNTIFS(F37,"&gt;"&amp;TODAY(),F37,"&lt;="&amp;TODAY()+30)&gt;0),Q37,"")</x:f>
      </x:c>
      <x:c r="M37" t="str">
        <x:f>IF(OR(LEFT(H37,15)="Missing dates; ",LEFT(H37,16)="Add N/A reason; ",H37="Add dates",H37="Add registration",H37="Check date format"),R37,"")</x:f>
      </x:c>
      <x:c r="N37" t="str">
        <x:f>IF(COUNTIFS(C37:F37,"Reviewed N/A")&gt;0,S37,"")</x:f>
      </x:c>
      <x:c r="O37" t="n">
        <x:f>O36+IF(AND(A37&lt;&gt;"",COUNTIFS(C37,"&gt;=36526",C37,"&lt;"&amp;TODAY())+COUNTIFS(D37,"&gt;=36526",D37,"&lt;"&amp;TODAY())+COUNTIFS(E37,"&gt;=36526",E37,"&lt;"&amp;TODAY())+COUNTIFS(F37,"&gt;=36526",F37,"&lt;"&amp;TODAY())&gt;0),1,0)</x:f>
        <x:v>0</x:v>
      </x:c>
      <x:c r="P37" t="n">
        <x:f>P36+IF(AND(A37&lt;&gt;"",COUNTIFS(C37,"&gt;=36526",C37,TODAY())+COUNTIFS(D37,"&gt;=36526",D37,TODAY())+COUNTIFS(E37,"&gt;=36526",E37,TODAY())+COUNTIFS(F37,"&gt;=36526",F37,TODAY())&gt;0),1,0)</x:f>
        <x:v>0</x:v>
      </x:c>
      <x:c r="Q37" t="n">
        <x:f>Q36+IF(AND(A37&lt;&gt;"",COUNTIFS(C37,"&gt;"&amp;TODAY(),C37,"&lt;="&amp;TODAY()+30)+COUNTIFS(D37,"&gt;"&amp;TODAY(),D37,"&lt;="&amp;TODAY()+30)+COUNTIFS(E37,"&gt;"&amp;TODAY(),E37,"&lt;="&amp;TODAY()+30)+COUNTIFS(F37,"&gt;"&amp;TODAY(),F37,"&lt;="&amp;TODAY()+30)&gt;0),1,0)</x:f>
        <x:v>0</x:v>
      </x:c>
      <x:c r="R37" t="n">
        <x:f>R36+IF(OR(LEFT(H37,15)="Missing dates; ",LEFT(H37,16)="Add N/A reason; ",H37="Add dates",H37="Add registration",H37="Check date format"),1,0)</x:f>
        <x:v>0</x:v>
      </x:c>
      <x:c r="S37" t="n">
        <x:f>S36+IF(COUNTIFS(C37:F37,"Reviewed N/A")&gt;0,1,0)</x:f>
        <x:v>0</x:v>
      </x:c>
    </x:row>
    <x:row r="38" ht="48" customHeight="1">
      <x:c r="A38" s="52"/>
      <x:c r="B38" s="52"/>
      <x:c r="C38" s="53"/>
      <x:c r="D38" s="53"/>
      <x:c r="E38" s="53"/>
      <x:c r="F38" s="53"/>
      <x:c r="G38" s="52"/>
      <x:c r="H38" s="21" t="str">
        <x:f>IF(COUNTA(A38:G38,I38)=0,"",IF(A38="","Add registration",IF(OR(COUNTA(C38:F38)&gt;COUNT(C38:F38)+COUNTIFS(C38:F38,"Reviewed N/A"),AND(COUNT(C38:F38)&gt;0,OR(MIN(C38:F38)&lt;36526,MAX(C38:F38)&gt;109574))),"Check date format",IF(AND(COUNTIFS(C38:F38,"Reviewed N/A")&gt;0,I38=""),"Add N/A reason; ","")&amp;IF(COUNT(C38:F38)=0,IF(COUNTIFS(C38:F38,"Reviewed N/A")=4,"No applicable dates recorded","Add dates"),IF(COUNT(C38:F38)+COUNTIFS(C38:F38,"Reviewed N/A")&lt;4,"Missing dates; ","")&amp;IF(MIN(C38:F38)&lt;TODAY(),"Overdue: ",IF(MIN(C38:F38)=TODAY(),"Due today: ",IF(MIN(C38:F38)&lt;=TODAY()+30,"Due within 30 days: ","Next: ")))&amp;INDEX($C$8:$F$8,1,MATCH(MIN(C38:F38),C38:F38,0))&amp;" "&amp;TEXT(MIN(C38:F38),"dd mmm yyyy")))))</x:f>
      </x:c>
      <x:c r="I38" s="52"/>
      <x:c r="J38" t="str">
        <x:f>IF(AND(A38&lt;&gt;"",COUNTIFS(C38,"&gt;=36526",C38,"&lt;"&amp;TODAY())+COUNTIFS(D38,"&gt;=36526",D38,"&lt;"&amp;TODAY())+COUNTIFS(E38,"&gt;=36526",E38,"&lt;"&amp;TODAY())+COUNTIFS(F38,"&gt;=36526",F38,"&lt;"&amp;TODAY())&gt;0),O38,"")</x:f>
      </x:c>
      <x:c r="K38" t="str">
        <x:f>IF(AND(A38&lt;&gt;"",COUNTIFS(C38,"&gt;=36526",C38,TODAY())+COUNTIFS(D38,"&gt;=36526",D38,TODAY())+COUNTIFS(E38,"&gt;=36526",E38,TODAY())+COUNTIFS(F38,"&gt;=36526",F38,TODAY())&gt;0),P38,"")</x:f>
      </x:c>
      <x:c r="L38" t="str">
        <x:f>IF(AND(A38&lt;&gt;"",COUNTIFS(C38,"&gt;"&amp;TODAY(),C38,"&lt;="&amp;TODAY()+30)+COUNTIFS(D38,"&gt;"&amp;TODAY(),D38,"&lt;="&amp;TODAY()+30)+COUNTIFS(E38,"&gt;"&amp;TODAY(),E38,"&lt;="&amp;TODAY()+30)+COUNTIFS(F38,"&gt;"&amp;TODAY(),F38,"&lt;="&amp;TODAY()+30)&gt;0),Q38,"")</x:f>
      </x:c>
      <x:c r="M38" t="str">
        <x:f>IF(OR(LEFT(H38,15)="Missing dates; ",LEFT(H38,16)="Add N/A reason; ",H38="Add dates",H38="Add registration",H38="Check date format"),R38,"")</x:f>
      </x:c>
      <x:c r="N38" t="str">
        <x:f>IF(COUNTIFS(C38:F38,"Reviewed N/A")&gt;0,S38,"")</x:f>
      </x:c>
      <x:c r="O38" t="n">
        <x:f>O37+IF(AND(A38&lt;&gt;"",COUNTIFS(C38,"&gt;=36526",C38,"&lt;"&amp;TODAY())+COUNTIFS(D38,"&gt;=36526",D38,"&lt;"&amp;TODAY())+COUNTIFS(E38,"&gt;=36526",E38,"&lt;"&amp;TODAY())+COUNTIFS(F38,"&gt;=36526",F38,"&lt;"&amp;TODAY())&gt;0),1,0)</x:f>
        <x:v>0</x:v>
      </x:c>
      <x:c r="P38" t="n">
        <x:f>P37+IF(AND(A38&lt;&gt;"",COUNTIFS(C38,"&gt;=36526",C38,TODAY())+COUNTIFS(D38,"&gt;=36526",D38,TODAY())+COUNTIFS(E38,"&gt;=36526",E38,TODAY())+COUNTIFS(F38,"&gt;=36526",F38,TODAY())&gt;0),1,0)</x:f>
        <x:v>0</x:v>
      </x:c>
      <x:c r="Q38" t="n">
        <x:f>Q37+IF(AND(A38&lt;&gt;"",COUNTIFS(C38,"&gt;"&amp;TODAY(),C38,"&lt;="&amp;TODAY()+30)+COUNTIFS(D38,"&gt;"&amp;TODAY(),D38,"&lt;="&amp;TODAY()+30)+COUNTIFS(E38,"&gt;"&amp;TODAY(),E38,"&lt;="&amp;TODAY()+30)+COUNTIFS(F38,"&gt;"&amp;TODAY(),F38,"&lt;="&amp;TODAY()+30)&gt;0),1,0)</x:f>
        <x:v>0</x:v>
      </x:c>
      <x:c r="R38" t="n">
        <x:f>R37+IF(OR(LEFT(H38,15)="Missing dates; ",LEFT(H38,16)="Add N/A reason; ",H38="Add dates",H38="Add registration",H38="Check date format"),1,0)</x:f>
        <x:v>0</x:v>
      </x:c>
      <x:c r="S38" t="n">
        <x:f>S37+IF(COUNTIFS(C38:F38,"Reviewed N/A")&gt;0,1,0)</x:f>
        <x:v>0</x:v>
      </x:c>
    </x:row>
    <x:row r="39" ht="48" customHeight="1">
      <x:c r="A39" s="52"/>
      <x:c r="B39" s="52"/>
      <x:c r="C39" s="53"/>
      <x:c r="D39" s="53"/>
      <x:c r="E39" s="53"/>
      <x:c r="F39" s="53"/>
      <x:c r="G39" s="52"/>
      <x:c r="H39" s="21" t="str">
        <x:f>IF(COUNTA(A39:G39,I39)=0,"",IF(A39="","Add registration",IF(OR(COUNTA(C39:F39)&gt;COUNT(C39:F39)+COUNTIFS(C39:F39,"Reviewed N/A"),AND(COUNT(C39:F39)&gt;0,OR(MIN(C39:F39)&lt;36526,MAX(C39:F39)&gt;109574))),"Check date format",IF(AND(COUNTIFS(C39:F39,"Reviewed N/A")&gt;0,I39=""),"Add N/A reason; ","")&amp;IF(COUNT(C39:F39)=0,IF(COUNTIFS(C39:F39,"Reviewed N/A")=4,"No applicable dates recorded","Add dates"),IF(COUNT(C39:F39)+COUNTIFS(C39:F39,"Reviewed N/A")&lt;4,"Missing dates; ","")&amp;IF(MIN(C39:F39)&lt;TODAY(),"Overdue: ",IF(MIN(C39:F39)=TODAY(),"Due today: ",IF(MIN(C39:F39)&lt;=TODAY()+30,"Due within 30 days: ","Next: ")))&amp;INDEX($C$8:$F$8,1,MATCH(MIN(C39:F39),C39:F39,0))&amp;" "&amp;TEXT(MIN(C39:F39),"dd mmm yyyy")))))</x:f>
      </x:c>
      <x:c r="I39" s="52"/>
      <x:c r="J39" t="str">
        <x:f>IF(AND(A39&lt;&gt;"",COUNTIFS(C39,"&gt;=36526",C39,"&lt;"&amp;TODAY())+COUNTIFS(D39,"&gt;=36526",D39,"&lt;"&amp;TODAY())+COUNTIFS(E39,"&gt;=36526",E39,"&lt;"&amp;TODAY())+COUNTIFS(F39,"&gt;=36526",F39,"&lt;"&amp;TODAY())&gt;0),O39,"")</x:f>
      </x:c>
      <x:c r="K39" t="str">
        <x:f>IF(AND(A39&lt;&gt;"",COUNTIFS(C39,"&gt;=36526",C39,TODAY())+COUNTIFS(D39,"&gt;=36526",D39,TODAY())+COUNTIFS(E39,"&gt;=36526",E39,TODAY())+COUNTIFS(F39,"&gt;=36526",F39,TODAY())&gt;0),P39,"")</x:f>
      </x:c>
      <x:c r="L39" t="str">
        <x:f>IF(AND(A39&lt;&gt;"",COUNTIFS(C39,"&gt;"&amp;TODAY(),C39,"&lt;="&amp;TODAY()+30)+COUNTIFS(D39,"&gt;"&amp;TODAY(),D39,"&lt;="&amp;TODAY()+30)+COUNTIFS(E39,"&gt;"&amp;TODAY(),E39,"&lt;="&amp;TODAY()+30)+COUNTIFS(F39,"&gt;"&amp;TODAY(),F39,"&lt;="&amp;TODAY()+30)&gt;0),Q39,"")</x:f>
      </x:c>
      <x:c r="M39" t="str">
        <x:f>IF(OR(LEFT(H39,15)="Missing dates; ",LEFT(H39,16)="Add N/A reason; ",H39="Add dates",H39="Add registration",H39="Check date format"),R39,"")</x:f>
      </x:c>
      <x:c r="N39" t="str">
        <x:f>IF(COUNTIFS(C39:F39,"Reviewed N/A")&gt;0,S39,"")</x:f>
      </x:c>
      <x:c r="O39" t="n">
        <x:f>O38+IF(AND(A39&lt;&gt;"",COUNTIFS(C39,"&gt;=36526",C39,"&lt;"&amp;TODAY())+COUNTIFS(D39,"&gt;=36526",D39,"&lt;"&amp;TODAY())+COUNTIFS(E39,"&gt;=36526",E39,"&lt;"&amp;TODAY())+COUNTIFS(F39,"&gt;=36526",F39,"&lt;"&amp;TODAY())&gt;0),1,0)</x:f>
        <x:v>0</x:v>
      </x:c>
      <x:c r="P39" t="n">
        <x:f>P38+IF(AND(A39&lt;&gt;"",COUNTIFS(C39,"&gt;=36526",C39,TODAY())+COUNTIFS(D39,"&gt;=36526",D39,TODAY())+COUNTIFS(E39,"&gt;=36526",E39,TODAY())+COUNTIFS(F39,"&gt;=36526",F39,TODAY())&gt;0),1,0)</x:f>
        <x:v>0</x:v>
      </x:c>
      <x:c r="Q39" t="n">
        <x:f>Q38+IF(AND(A39&lt;&gt;"",COUNTIFS(C39,"&gt;"&amp;TODAY(),C39,"&lt;="&amp;TODAY()+30)+COUNTIFS(D39,"&gt;"&amp;TODAY(),D39,"&lt;="&amp;TODAY()+30)+COUNTIFS(E39,"&gt;"&amp;TODAY(),E39,"&lt;="&amp;TODAY()+30)+COUNTIFS(F39,"&gt;"&amp;TODAY(),F39,"&lt;="&amp;TODAY()+30)&gt;0),1,0)</x:f>
        <x:v>0</x:v>
      </x:c>
      <x:c r="R39" t="n">
        <x:f>R38+IF(OR(LEFT(H39,15)="Missing dates; ",LEFT(H39,16)="Add N/A reason; ",H39="Add dates",H39="Add registration",H39="Check date format"),1,0)</x:f>
        <x:v>0</x:v>
      </x:c>
      <x:c r="S39" t="n">
        <x:f>S38+IF(COUNTIFS(C39:F39,"Reviewed N/A")&gt;0,1,0)</x:f>
        <x:v>0</x:v>
      </x:c>
    </x:row>
    <x:row r="40" ht="48" customHeight="1">
      <x:c r="A40" s="52"/>
      <x:c r="B40" s="52"/>
      <x:c r="C40" s="53"/>
      <x:c r="D40" s="53"/>
      <x:c r="E40" s="53"/>
      <x:c r="F40" s="53"/>
      <x:c r="G40" s="52"/>
      <x:c r="H40" s="21" t="str">
        <x:f>IF(COUNTA(A40:G40,I40)=0,"",IF(A40="","Add registration",IF(OR(COUNTA(C40:F40)&gt;COUNT(C40:F40)+COUNTIFS(C40:F40,"Reviewed N/A"),AND(COUNT(C40:F40)&gt;0,OR(MIN(C40:F40)&lt;36526,MAX(C40:F40)&gt;109574))),"Check date format",IF(AND(COUNTIFS(C40:F40,"Reviewed N/A")&gt;0,I40=""),"Add N/A reason; ","")&amp;IF(COUNT(C40:F40)=0,IF(COUNTIFS(C40:F40,"Reviewed N/A")=4,"No applicable dates recorded","Add dates"),IF(COUNT(C40:F40)+COUNTIFS(C40:F40,"Reviewed N/A")&lt;4,"Missing dates; ","")&amp;IF(MIN(C40:F40)&lt;TODAY(),"Overdue: ",IF(MIN(C40:F40)=TODAY(),"Due today: ",IF(MIN(C40:F40)&lt;=TODAY()+30,"Due within 30 days: ","Next: ")))&amp;INDEX($C$8:$F$8,1,MATCH(MIN(C40:F40),C40:F40,0))&amp;" "&amp;TEXT(MIN(C40:F40),"dd mmm yyyy")))))</x:f>
      </x:c>
      <x:c r="I40" s="52"/>
      <x:c r="J40" t="str">
        <x:f>IF(AND(A40&lt;&gt;"",COUNTIFS(C40,"&gt;=36526",C40,"&lt;"&amp;TODAY())+COUNTIFS(D40,"&gt;=36526",D40,"&lt;"&amp;TODAY())+COUNTIFS(E40,"&gt;=36526",E40,"&lt;"&amp;TODAY())+COUNTIFS(F40,"&gt;=36526",F40,"&lt;"&amp;TODAY())&gt;0),O40,"")</x:f>
      </x:c>
      <x:c r="K40" t="str">
        <x:f>IF(AND(A40&lt;&gt;"",COUNTIFS(C40,"&gt;=36526",C40,TODAY())+COUNTIFS(D40,"&gt;=36526",D40,TODAY())+COUNTIFS(E40,"&gt;=36526",E40,TODAY())+COUNTIFS(F40,"&gt;=36526",F40,TODAY())&gt;0),P40,"")</x:f>
      </x:c>
      <x:c r="L40" t="str">
        <x:f>IF(AND(A40&lt;&gt;"",COUNTIFS(C40,"&gt;"&amp;TODAY(),C40,"&lt;="&amp;TODAY()+30)+COUNTIFS(D40,"&gt;"&amp;TODAY(),D40,"&lt;="&amp;TODAY()+30)+COUNTIFS(E40,"&gt;"&amp;TODAY(),E40,"&lt;="&amp;TODAY()+30)+COUNTIFS(F40,"&gt;"&amp;TODAY(),F40,"&lt;="&amp;TODAY()+30)&gt;0),Q40,"")</x:f>
      </x:c>
      <x:c r="M40" t="str">
        <x:f>IF(OR(LEFT(H40,15)="Missing dates; ",LEFT(H40,16)="Add N/A reason; ",H40="Add dates",H40="Add registration",H40="Check date format"),R40,"")</x:f>
      </x:c>
      <x:c r="N40" t="str">
        <x:f>IF(COUNTIFS(C40:F40,"Reviewed N/A")&gt;0,S40,"")</x:f>
      </x:c>
      <x:c r="O40" t="n">
        <x:f>O39+IF(AND(A40&lt;&gt;"",COUNTIFS(C40,"&gt;=36526",C40,"&lt;"&amp;TODAY())+COUNTIFS(D40,"&gt;=36526",D40,"&lt;"&amp;TODAY())+COUNTIFS(E40,"&gt;=36526",E40,"&lt;"&amp;TODAY())+COUNTIFS(F40,"&gt;=36526",F40,"&lt;"&amp;TODAY())&gt;0),1,0)</x:f>
        <x:v>0</x:v>
      </x:c>
      <x:c r="P40" t="n">
        <x:f>P39+IF(AND(A40&lt;&gt;"",COUNTIFS(C40,"&gt;=36526",C40,TODAY())+COUNTIFS(D40,"&gt;=36526",D40,TODAY())+COUNTIFS(E40,"&gt;=36526",E40,TODAY())+COUNTIFS(F40,"&gt;=36526",F40,TODAY())&gt;0),1,0)</x:f>
        <x:v>0</x:v>
      </x:c>
      <x:c r="Q40" t="n">
        <x:f>Q39+IF(AND(A40&lt;&gt;"",COUNTIFS(C40,"&gt;"&amp;TODAY(),C40,"&lt;="&amp;TODAY()+30)+COUNTIFS(D40,"&gt;"&amp;TODAY(),D40,"&lt;="&amp;TODAY()+30)+COUNTIFS(E40,"&gt;"&amp;TODAY(),E40,"&lt;="&amp;TODAY()+30)+COUNTIFS(F40,"&gt;"&amp;TODAY(),F40,"&lt;="&amp;TODAY()+30)&gt;0),1,0)</x:f>
        <x:v>0</x:v>
      </x:c>
      <x:c r="R40" t="n">
        <x:f>R39+IF(OR(LEFT(H40,15)="Missing dates; ",LEFT(H40,16)="Add N/A reason; ",H40="Add dates",H40="Add registration",H40="Check date format"),1,0)</x:f>
        <x:v>0</x:v>
      </x:c>
      <x:c r="S40" t="n">
        <x:f>S39+IF(COUNTIFS(C40:F40,"Reviewed N/A")&gt;0,1,0)</x:f>
        <x:v>0</x:v>
      </x:c>
    </x:row>
    <x:row r="41" ht="48" customHeight="1">
      <x:c r="A41" s="52"/>
      <x:c r="B41" s="52"/>
      <x:c r="C41" s="53"/>
      <x:c r="D41" s="53"/>
      <x:c r="E41" s="53"/>
      <x:c r="F41" s="53"/>
      <x:c r="G41" s="52"/>
      <x:c r="H41" s="21" t="str">
        <x:f>IF(COUNTA(A41:G41,I41)=0,"",IF(A41="","Add registration",IF(OR(COUNTA(C41:F41)&gt;COUNT(C41:F41)+COUNTIFS(C41:F41,"Reviewed N/A"),AND(COUNT(C41:F41)&gt;0,OR(MIN(C41:F41)&lt;36526,MAX(C41:F41)&gt;109574))),"Check date format",IF(AND(COUNTIFS(C41:F41,"Reviewed N/A")&gt;0,I41=""),"Add N/A reason; ","")&amp;IF(COUNT(C41:F41)=0,IF(COUNTIFS(C41:F41,"Reviewed N/A")=4,"No applicable dates recorded","Add dates"),IF(COUNT(C41:F41)+COUNTIFS(C41:F41,"Reviewed N/A")&lt;4,"Missing dates; ","")&amp;IF(MIN(C41:F41)&lt;TODAY(),"Overdue: ",IF(MIN(C41:F41)=TODAY(),"Due today: ",IF(MIN(C41:F41)&lt;=TODAY()+30,"Due within 30 days: ","Next: ")))&amp;INDEX($C$8:$F$8,1,MATCH(MIN(C41:F41),C41:F41,0))&amp;" "&amp;TEXT(MIN(C41:F41),"dd mmm yyyy")))))</x:f>
      </x:c>
      <x:c r="I41" s="52"/>
      <x:c r="J41" t="str">
        <x:f>IF(AND(A41&lt;&gt;"",COUNTIFS(C41,"&gt;=36526",C41,"&lt;"&amp;TODAY())+COUNTIFS(D41,"&gt;=36526",D41,"&lt;"&amp;TODAY())+COUNTIFS(E41,"&gt;=36526",E41,"&lt;"&amp;TODAY())+COUNTIFS(F41,"&gt;=36526",F41,"&lt;"&amp;TODAY())&gt;0),O41,"")</x:f>
      </x:c>
      <x:c r="K41" t="str">
        <x:f>IF(AND(A41&lt;&gt;"",COUNTIFS(C41,"&gt;=36526",C41,TODAY())+COUNTIFS(D41,"&gt;=36526",D41,TODAY())+COUNTIFS(E41,"&gt;=36526",E41,TODAY())+COUNTIFS(F41,"&gt;=36526",F41,TODAY())&gt;0),P41,"")</x:f>
      </x:c>
      <x:c r="L41" t="str">
        <x:f>IF(AND(A41&lt;&gt;"",COUNTIFS(C41,"&gt;"&amp;TODAY(),C41,"&lt;="&amp;TODAY()+30)+COUNTIFS(D41,"&gt;"&amp;TODAY(),D41,"&lt;="&amp;TODAY()+30)+COUNTIFS(E41,"&gt;"&amp;TODAY(),E41,"&lt;="&amp;TODAY()+30)+COUNTIFS(F41,"&gt;"&amp;TODAY(),F41,"&lt;="&amp;TODAY()+30)&gt;0),Q41,"")</x:f>
      </x:c>
      <x:c r="M41" t="str">
        <x:f>IF(OR(LEFT(H41,15)="Missing dates; ",LEFT(H41,16)="Add N/A reason; ",H41="Add dates",H41="Add registration",H41="Check date format"),R41,"")</x:f>
      </x:c>
      <x:c r="N41" t="str">
        <x:f>IF(COUNTIFS(C41:F41,"Reviewed N/A")&gt;0,S41,"")</x:f>
      </x:c>
      <x:c r="O41" t="n">
        <x:f>O40+IF(AND(A41&lt;&gt;"",COUNTIFS(C41,"&gt;=36526",C41,"&lt;"&amp;TODAY())+COUNTIFS(D41,"&gt;=36526",D41,"&lt;"&amp;TODAY())+COUNTIFS(E41,"&gt;=36526",E41,"&lt;"&amp;TODAY())+COUNTIFS(F41,"&gt;=36526",F41,"&lt;"&amp;TODAY())&gt;0),1,0)</x:f>
        <x:v>0</x:v>
      </x:c>
      <x:c r="P41" t="n">
        <x:f>P40+IF(AND(A41&lt;&gt;"",COUNTIFS(C41,"&gt;=36526",C41,TODAY())+COUNTIFS(D41,"&gt;=36526",D41,TODAY())+COUNTIFS(E41,"&gt;=36526",E41,TODAY())+COUNTIFS(F41,"&gt;=36526",F41,TODAY())&gt;0),1,0)</x:f>
        <x:v>0</x:v>
      </x:c>
      <x:c r="Q41" t="n">
        <x:f>Q40+IF(AND(A41&lt;&gt;"",COUNTIFS(C41,"&gt;"&amp;TODAY(),C41,"&lt;="&amp;TODAY()+30)+COUNTIFS(D41,"&gt;"&amp;TODAY(),D41,"&lt;="&amp;TODAY()+30)+COUNTIFS(E41,"&gt;"&amp;TODAY(),E41,"&lt;="&amp;TODAY()+30)+COUNTIFS(F41,"&gt;"&amp;TODAY(),F41,"&lt;="&amp;TODAY()+30)&gt;0),1,0)</x:f>
        <x:v>0</x:v>
      </x:c>
      <x:c r="R41" t="n">
        <x:f>R40+IF(OR(LEFT(H41,15)="Missing dates; ",LEFT(H41,16)="Add N/A reason; ",H41="Add dates",H41="Add registration",H41="Check date format"),1,0)</x:f>
        <x:v>0</x:v>
      </x:c>
      <x:c r="S41" t="n">
        <x:f>S40+IF(COUNTIFS(C41:F41,"Reviewed N/A")&gt;0,1,0)</x:f>
        <x:v>0</x:v>
      </x:c>
    </x:row>
    <x:row r="42" ht="48" customHeight="1">
      <x:c r="A42" s="52"/>
      <x:c r="B42" s="52"/>
      <x:c r="C42" s="53"/>
      <x:c r="D42" s="53"/>
      <x:c r="E42" s="53"/>
      <x:c r="F42" s="53"/>
      <x:c r="G42" s="52"/>
      <x:c r="H42" s="21" t="str">
        <x:f>IF(COUNTA(A42:G42,I42)=0,"",IF(A42="","Add registration",IF(OR(COUNTA(C42:F42)&gt;COUNT(C42:F42)+COUNTIFS(C42:F42,"Reviewed N/A"),AND(COUNT(C42:F42)&gt;0,OR(MIN(C42:F42)&lt;36526,MAX(C42:F42)&gt;109574))),"Check date format",IF(AND(COUNTIFS(C42:F42,"Reviewed N/A")&gt;0,I42=""),"Add N/A reason; ","")&amp;IF(COUNT(C42:F42)=0,IF(COUNTIFS(C42:F42,"Reviewed N/A")=4,"No applicable dates recorded","Add dates"),IF(COUNT(C42:F42)+COUNTIFS(C42:F42,"Reviewed N/A")&lt;4,"Missing dates; ","")&amp;IF(MIN(C42:F42)&lt;TODAY(),"Overdue: ",IF(MIN(C42:F42)=TODAY(),"Due today: ",IF(MIN(C42:F42)&lt;=TODAY()+30,"Due within 30 days: ","Next: ")))&amp;INDEX($C$8:$F$8,1,MATCH(MIN(C42:F42),C42:F42,0))&amp;" "&amp;TEXT(MIN(C42:F42),"dd mmm yyyy")))))</x:f>
      </x:c>
      <x:c r="I42" s="52"/>
      <x:c r="J42" t="str">
        <x:f>IF(AND(A42&lt;&gt;"",COUNTIFS(C42,"&gt;=36526",C42,"&lt;"&amp;TODAY())+COUNTIFS(D42,"&gt;=36526",D42,"&lt;"&amp;TODAY())+COUNTIFS(E42,"&gt;=36526",E42,"&lt;"&amp;TODAY())+COUNTIFS(F42,"&gt;=36526",F42,"&lt;"&amp;TODAY())&gt;0),O42,"")</x:f>
      </x:c>
      <x:c r="K42" t="str">
        <x:f>IF(AND(A42&lt;&gt;"",COUNTIFS(C42,"&gt;=36526",C42,TODAY())+COUNTIFS(D42,"&gt;=36526",D42,TODAY())+COUNTIFS(E42,"&gt;=36526",E42,TODAY())+COUNTIFS(F42,"&gt;=36526",F42,TODAY())&gt;0),P42,"")</x:f>
      </x:c>
      <x:c r="L42" t="str">
        <x:f>IF(AND(A42&lt;&gt;"",COUNTIFS(C42,"&gt;"&amp;TODAY(),C42,"&lt;="&amp;TODAY()+30)+COUNTIFS(D42,"&gt;"&amp;TODAY(),D42,"&lt;="&amp;TODAY()+30)+COUNTIFS(E42,"&gt;"&amp;TODAY(),E42,"&lt;="&amp;TODAY()+30)+COUNTIFS(F42,"&gt;"&amp;TODAY(),F42,"&lt;="&amp;TODAY()+30)&gt;0),Q42,"")</x:f>
      </x:c>
      <x:c r="M42" t="str">
        <x:f>IF(OR(LEFT(H42,15)="Missing dates; ",LEFT(H42,16)="Add N/A reason; ",H42="Add dates",H42="Add registration",H42="Check date format"),R42,"")</x:f>
      </x:c>
      <x:c r="N42" t="str">
        <x:f>IF(COUNTIFS(C42:F42,"Reviewed N/A")&gt;0,S42,"")</x:f>
      </x:c>
      <x:c r="O42" t="n">
        <x:f>O41+IF(AND(A42&lt;&gt;"",COUNTIFS(C42,"&gt;=36526",C42,"&lt;"&amp;TODAY())+COUNTIFS(D42,"&gt;=36526",D42,"&lt;"&amp;TODAY())+COUNTIFS(E42,"&gt;=36526",E42,"&lt;"&amp;TODAY())+COUNTIFS(F42,"&gt;=36526",F42,"&lt;"&amp;TODAY())&gt;0),1,0)</x:f>
        <x:v>0</x:v>
      </x:c>
      <x:c r="P42" t="n">
        <x:f>P41+IF(AND(A42&lt;&gt;"",COUNTIFS(C42,"&gt;=36526",C42,TODAY())+COUNTIFS(D42,"&gt;=36526",D42,TODAY())+COUNTIFS(E42,"&gt;=36526",E42,TODAY())+COUNTIFS(F42,"&gt;=36526",F42,TODAY())&gt;0),1,0)</x:f>
        <x:v>0</x:v>
      </x:c>
      <x:c r="Q42" t="n">
        <x:f>Q41+IF(AND(A42&lt;&gt;"",COUNTIFS(C42,"&gt;"&amp;TODAY(),C42,"&lt;="&amp;TODAY()+30)+COUNTIFS(D42,"&gt;"&amp;TODAY(),D42,"&lt;="&amp;TODAY()+30)+COUNTIFS(E42,"&gt;"&amp;TODAY(),E42,"&lt;="&amp;TODAY()+30)+COUNTIFS(F42,"&gt;"&amp;TODAY(),F42,"&lt;="&amp;TODAY()+30)&gt;0),1,0)</x:f>
        <x:v>0</x:v>
      </x:c>
      <x:c r="R42" t="n">
        <x:f>R41+IF(OR(LEFT(H42,15)="Missing dates; ",LEFT(H42,16)="Add N/A reason; ",H42="Add dates",H42="Add registration",H42="Check date format"),1,0)</x:f>
        <x:v>0</x:v>
      </x:c>
      <x:c r="S42" t="n">
        <x:f>S41+IF(COUNTIFS(C42:F42,"Reviewed N/A")&gt;0,1,0)</x:f>
        <x:v>0</x:v>
      </x:c>
    </x:row>
    <x:row r="43" ht="48" customHeight="1">
      <x:c r="A43" s="52"/>
      <x:c r="B43" s="52"/>
      <x:c r="C43" s="53"/>
      <x:c r="D43" s="53"/>
      <x:c r="E43" s="53"/>
      <x:c r="F43" s="53"/>
      <x:c r="G43" s="52"/>
      <x:c r="H43" s="21" t="str">
        <x:f>IF(COUNTA(A43:G43,I43)=0,"",IF(A43="","Add registration",IF(OR(COUNTA(C43:F43)&gt;COUNT(C43:F43)+COUNTIFS(C43:F43,"Reviewed N/A"),AND(COUNT(C43:F43)&gt;0,OR(MIN(C43:F43)&lt;36526,MAX(C43:F43)&gt;109574))),"Check date format",IF(AND(COUNTIFS(C43:F43,"Reviewed N/A")&gt;0,I43=""),"Add N/A reason; ","")&amp;IF(COUNT(C43:F43)=0,IF(COUNTIFS(C43:F43,"Reviewed N/A")=4,"No applicable dates recorded","Add dates"),IF(COUNT(C43:F43)+COUNTIFS(C43:F43,"Reviewed N/A")&lt;4,"Missing dates; ","")&amp;IF(MIN(C43:F43)&lt;TODAY(),"Overdue: ",IF(MIN(C43:F43)=TODAY(),"Due today: ",IF(MIN(C43:F43)&lt;=TODAY()+30,"Due within 30 days: ","Next: ")))&amp;INDEX($C$8:$F$8,1,MATCH(MIN(C43:F43),C43:F43,0))&amp;" "&amp;TEXT(MIN(C43:F43),"dd mmm yyyy")))))</x:f>
      </x:c>
      <x:c r="I43" s="52"/>
      <x:c r="J43" t="str">
        <x:f>IF(AND(A43&lt;&gt;"",COUNTIFS(C43,"&gt;=36526",C43,"&lt;"&amp;TODAY())+COUNTIFS(D43,"&gt;=36526",D43,"&lt;"&amp;TODAY())+COUNTIFS(E43,"&gt;=36526",E43,"&lt;"&amp;TODAY())+COUNTIFS(F43,"&gt;=36526",F43,"&lt;"&amp;TODAY())&gt;0),O43,"")</x:f>
      </x:c>
      <x:c r="K43" t="str">
        <x:f>IF(AND(A43&lt;&gt;"",COUNTIFS(C43,"&gt;=36526",C43,TODAY())+COUNTIFS(D43,"&gt;=36526",D43,TODAY())+COUNTIFS(E43,"&gt;=36526",E43,TODAY())+COUNTIFS(F43,"&gt;=36526",F43,TODAY())&gt;0),P43,"")</x:f>
      </x:c>
      <x:c r="L43" t="str">
        <x:f>IF(AND(A43&lt;&gt;"",COUNTIFS(C43,"&gt;"&amp;TODAY(),C43,"&lt;="&amp;TODAY()+30)+COUNTIFS(D43,"&gt;"&amp;TODAY(),D43,"&lt;="&amp;TODAY()+30)+COUNTIFS(E43,"&gt;"&amp;TODAY(),E43,"&lt;="&amp;TODAY()+30)+COUNTIFS(F43,"&gt;"&amp;TODAY(),F43,"&lt;="&amp;TODAY()+30)&gt;0),Q43,"")</x:f>
      </x:c>
      <x:c r="M43" t="str">
        <x:f>IF(OR(LEFT(H43,15)="Missing dates; ",LEFT(H43,16)="Add N/A reason; ",H43="Add dates",H43="Add registration",H43="Check date format"),R43,"")</x:f>
      </x:c>
      <x:c r="N43" t="str">
        <x:f>IF(COUNTIFS(C43:F43,"Reviewed N/A")&gt;0,S43,"")</x:f>
      </x:c>
      <x:c r="O43" t="n">
        <x:f>O42+IF(AND(A43&lt;&gt;"",COUNTIFS(C43,"&gt;=36526",C43,"&lt;"&amp;TODAY())+COUNTIFS(D43,"&gt;=36526",D43,"&lt;"&amp;TODAY())+COUNTIFS(E43,"&gt;=36526",E43,"&lt;"&amp;TODAY())+COUNTIFS(F43,"&gt;=36526",F43,"&lt;"&amp;TODAY())&gt;0),1,0)</x:f>
        <x:v>0</x:v>
      </x:c>
      <x:c r="P43" t="n">
        <x:f>P42+IF(AND(A43&lt;&gt;"",COUNTIFS(C43,"&gt;=36526",C43,TODAY())+COUNTIFS(D43,"&gt;=36526",D43,TODAY())+COUNTIFS(E43,"&gt;=36526",E43,TODAY())+COUNTIFS(F43,"&gt;=36526",F43,TODAY())&gt;0),1,0)</x:f>
        <x:v>0</x:v>
      </x:c>
      <x:c r="Q43" t="n">
        <x:f>Q42+IF(AND(A43&lt;&gt;"",COUNTIFS(C43,"&gt;"&amp;TODAY(),C43,"&lt;="&amp;TODAY()+30)+COUNTIFS(D43,"&gt;"&amp;TODAY(),D43,"&lt;="&amp;TODAY()+30)+COUNTIFS(E43,"&gt;"&amp;TODAY(),E43,"&lt;="&amp;TODAY()+30)+COUNTIFS(F43,"&gt;"&amp;TODAY(),F43,"&lt;="&amp;TODAY()+30)&gt;0),1,0)</x:f>
        <x:v>0</x:v>
      </x:c>
      <x:c r="R43" t="n">
        <x:f>R42+IF(OR(LEFT(H43,15)="Missing dates; ",LEFT(H43,16)="Add N/A reason; ",H43="Add dates",H43="Add registration",H43="Check date format"),1,0)</x:f>
        <x:v>0</x:v>
      </x:c>
      <x:c r="S43" t="n">
        <x:f>S42+IF(COUNTIFS(C43:F43,"Reviewed N/A")&gt;0,1,0)</x:f>
        <x:v>0</x:v>
      </x:c>
    </x:row>
    <x:row r="44" ht="48" customHeight="1">
      <x:c r="A44" s="52"/>
      <x:c r="B44" s="52"/>
      <x:c r="C44" s="53"/>
      <x:c r="D44" s="53"/>
      <x:c r="E44" s="53"/>
      <x:c r="F44" s="53"/>
      <x:c r="G44" s="52"/>
      <x:c r="H44" s="21" t="str">
        <x:f>IF(COUNTA(A44:G44,I44)=0,"",IF(A44="","Add registration",IF(OR(COUNTA(C44:F44)&gt;COUNT(C44:F44)+COUNTIFS(C44:F44,"Reviewed N/A"),AND(COUNT(C44:F44)&gt;0,OR(MIN(C44:F44)&lt;36526,MAX(C44:F44)&gt;109574))),"Check date format",IF(AND(COUNTIFS(C44:F44,"Reviewed N/A")&gt;0,I44=""),"Add N/A reason; ","")&amp;IF(COUNT(C44:F44)=0,IF(COUNTIFS(C44:F44,"Reviewed N/A")=4,"No applicable dates recorded","Add dates"),IF(COUNT(C44:F44)+COUNTIFS(C44:F44,"Reviewed N/A")&lt;4,"Missing dates; ","")&amp;IF(MIN(C44:F44)&lt;TODAY(),"Overdue: ",IF(MIN(C44:F44)=TODAY(),"Due today: ",IF(MIN(C44:F44)&lt;=TODAY()+30,"Due within 30 days: ","Next: ")))&amp;INDEX($C$8:$F$8,1,MATCH(MIN(C44:F44),C44:F44,0))&amp;" "&amp;TEXT(MIN(C44:F44),"dd mmm yyyy")))))</x:f>
      </x:c>
      <x:c r="I44" s="52"/>
      <x:c r="J44" t="str">
        <x:f>IF(AND(A44&lt;&gt;"",COUNTIFS(C44,"&gt;=36526",C44,"&lt;"&amp;TODAY())+COUNTIFS(D44,"&gt;=36526",D44,"&lt;"&amp;TODAY())+COUNTIFS(E44,"&gt;=36526",E44,"&lt;"&amp;TODAY())+COUNTIFS(F44,"&gt;=36526",F44,"&lt;"&amp;TODAY())&gt;0),O44,"")</x:f>
      </x:c>
      <x:c r="K44" t="str">
        <x:f>IF(AND(A44&lt;&gt;"",COUNTIFS(C44,"&gt;=36526",C44,TODAY())+COUNTIFS(D44,"&gt;=36526",D44,TODAY())+COUNTIFS(E44,"&gt;=36526",E44,TODAY())+COUNTIFS(F44,"&gt;=36526",F44,TODAY())&gt;0),P44,"")</x:f>
      </x:c>
      <x:c r="L44" t="str">
        <x:f>IF(AND(A44&lt;&gt;"",COUNTIFS(C44,"&gt;"&amp;TODAY(),C44,"&lt;="&amp;TODAY()+30)+COUNTIFS(D44,"&gt;"&amp;TODAY(),D44,"&lt;="&amp;TODAY()+30)+COUNTIFS(E44,"&gt;"&amp;TODAY(),E44,"&lt;="&amp;TODAY()+30)+COUNTIFS(F44,"&gt;"&amp;TODAY(),F44,"&lt;="&amp;TODAY()+30)&gt;0),Q44,"")</x:f>
      </x:c>
      <x:c r="M44" t="str">
        <x:f>IF(OR(LEFT(H44,15)="Missing dates; ",LEFT(H44,16)="Add N/A reason; ",H44="Add dates",H44="Add registration",H44="Check date format"),R44,"")</x:f>
      </x:c>
      <x:c r="N44" t="str">
        <x:f>IF(COUNTIFS(C44:F44,"Reviewed N/A")&gt;0,S44,"")</x:f>
      </x:c>
      <x:c r="O44" t="n">
        <x:f>O43+IF(AND(A44&lt;&gt;"",COUNTIFS(C44,"&gt;=36526",C44,"&lt;"&amp;TODAY())+COUNTIFS(D44,"&gt;=36526",D44,"&lt;"&amp;TODAY())+COUNTIFS(E44,"&gt;=36526",E44,"&lt;"&amp;TODAY())+COUNTIFS(F44,"&gt;=36526",F44,"&lt;"&amp;TODAY())&gt;0),1,0)</x:f>
        <x:v>0</x:v>
      </x:c>
      <x:c r="P44" t="n">
        <x:f>P43+IF(AND(A44&lt;&gt;"",COUNTIFS(C44,"&gt;=36526",C44,TODAY())+COUNTIFS(D44,"&gt;=36526",D44,TODAY())+COUNTIFS(E44,"&gt;=36526",E44,TODAY())+COUNTIFS(F44,"&gt;=36526",F44,TODAY())&gt;0),1,0)</x:f>
        <x:v>0</x:v>
      </x:c>
      <x:c r="Q44" t="n">
        <x:f>Q43+IF(AND(A44&lt;&gt;"",COUNTIFS(C44,"&gt;"&amp;TODAY(),C44,"&lt;="&amp;TODAY()+30)+COUNTIFS(D44,"&gt;"&amp;TODAY(),D44,"&lt;="&amp;TODAY()+30)+COUNTIFS(E44,"&gt;"&amp;TODAY(),E44,"&lt;="&amp;TODAY()+30)+COUNTIFS(F44,"&gt;"&amp;TODAY(),F44,"&lt;="&amp;TODAY()+30)&gt;0),1,0)</x:f>
        <x:v>0</x:v>
      </x:c>
      <x:c r="R44" t="n">
        <x:f>R43+IF(OR(LEFT(H44,15)="Missing dates; ",LEFT(H44,16)="Add N/A reason; ",H44="Add dates",H44="Add registration",H44="Check date format"),1,0)</x:f>
        <x:v>0</x:v>
      </x:c>
      <x:c r="S44" t="n">
        <x:f>S43+IF(COUNTIFS(C44:F44,"Reviewed N/A")&gt;0,1,0)</x:f>
        <x:v>0</x:v>
      </x:c>
    </x:row>
    <x:row r="45" ht="48" customHeight="1">
      <x:c r="A45" s="52"/>
      <x:c r="B45" s="52"/>
      <x:c r="C45" s="53"/>
      <x:c r="D45" s="53"/>
      <x:c r="E45" s="53"/>
      <x:c r="F45" s="53"/>
      <x:c r="G45" s="52"/>
      <x:c r="H45" s="21" t="str">
        <x:f>IF(COUNTA(A45:G45,I45)=0,"",IF(A45="","Add registration",IF(OR(COUNTA(C45:F45)&gt;COUNT(C45:F45)+COUNTIFS(C45:F45,"Reviewed N/A"),AND(COUNT(C45:F45)&gt;0,OR(MIN(C45:F45)&lt;36526,MAX(C45:F45)&gt;109574))),"Check date format",IF(AND(COUNTIFS(C45:F45,"Reviewed N/A")&gt;0,I45=""),"Add N/A reason; ","")&amp;IF(COUNT(C45:F45)=0,IF(COUNTIFS(C45:F45,"Reviewed N/A")=4,"No applicable dates recorded","Add dates"),IF(COUNT(C45:F45)+COUNTIFS(C45:F45,"Reviewed N/A")&lt;4,"Missing dates; ","")&amp;IF(MIN(C45:F45)&lt;TODAY(),"Overdue: ",IF(MIN(C45:F45)=TODAY(),"Due today: ",IF(MIN(C45:F45)&lt;=TODAY()+30,"Due within 30 days: ","Next: ")))&amp;INDEX($C$8:$F$8,1,MATCH(MIN(C45:F45),C45:F45,0))&amp;" "&amp;TEXT(MIN(C45:F45),"dd mmm yyyy")))))</x:f>
      </x:c>
      <x:c r="I45" s="52"/>
      <x:c r="J45" t="str">
        <x:f>IF(AND(A45&lt;&gt;"",COUNTIFS(C45,"&gt;=36526",C45,"&lt;"&amp;TODAY())+COUNTIFS(D45,"&gt;=36526",D45,"&lt;"&amp;TODAY())+COUNTIFS(E45,"&gt;=36526",E45,"&lt;"&amp;TODAY())+COUNTIFS(F45,"&gt;=36526",F45,"&lt;"&amp;TODAY())&gt;0),O45,"")</x:f>
      </x:c>
      <x:c r="K45" t="str">
        <x:f>IF(AND(A45&lt;&gt;"",COUNTIFS(C45,"&gt;=36526",C45,TODAY())+COUNTIFS(D45,"&gt;=36526",D45,TODAY())+COUNTIFS(E45,"&gt;=36526",E45,TODAY())+COUNTIFS(F45,"&gt;=36526",F45,TODAY())&gt;0),P45,"")</x:f>
      </x:c>
      <x:c r="L45" t="str">
        <x:f>IF(AND(A45&lt;&gt;"",COUNTIFS(C45,"&gt;"&amp;TODAY(),C45,"&lt;="&amp;TODAY()+30)+COUNTIFS(D45,"&gt;"&amp;TODAY(),D45,"&lt;="&amp;TODAY()+30)+COUNTIFS(E45,"&gt;"&amp;TODAY(),E45,"&lt;="&amp;TODAY()+30)+COUNTIFS(F45,"&gt;"&amp;TODAY(),F45,"&lt;="&amp;TODAY()+30)&gt;0),Q45,"")</x:f>
      </x:c>
      <x:c r="M45" t="str">
        <x:f>IF(OR(LEFT(H45,15)="Missing dates; ",LEFT(H45,16)="Add N/A reason; ",H45="Add dates",H45="Add registration",H45="Check date format"),R45,"")</x:f>
      </x:c>
      <x:c r="N45" t="str">
        <x:f>IF(COUNTIFS(C45:F45,"Reviewed N/A")&gt;0,S45,"")</x:f>
      </x:c>
      <x:c r="O45" t="n">
        <x:f>O44+IF(AND(A45&lt;&gt;"",COUNTIFS(C45,"&gt;=36526",C45,"&lt;"&amp;TODAY())+COUNTIFS(D45,"&gt;=36526",D45,"&lt;"&amp;TODAY())+COUNTIFS(E45,"&gt;=36526",E45,"&lt;"&amp;TODAY())+COUNTIFS(F45,"&gt;=36526",F45,"&lt;"&amp;TODAY())&gt;0),1,0)</x:f>
        <x:v>0</x:v>
      </x:c>
      <x:c r="P45" t="n">
        <x:f>P44+IF(AND(A45&lt;&gt;"",COUNTIFS(C45,"&gt;=36526",C45,TODAY())+COUNTIFS(D45,"&gt;=36526",D45,TODAY())+COUNTIFS(E45,"&gt;=36526",E45,TODAY())+COUNTIFS(F45,"&gt;=36526",F45,TODAY())&gt;0),1,0)</x:f>
        <x:v>0</x:v>
      </x:c>
      <x:c r="Q45" t="n">
        <x:f>Q44+IF(AND(A45&lt;&gt;"",COUNTIFS(C45,"&gt;"&amp;TODAY(),C45,"&lt;="&amp;TODAY()+30)+COUNTIFS(D45,"&gt;"&amp;TODAY(),D45,"&lt;="&amp;TODAY()+30)+COUNTIFS(E45,"&gt;"&amp;TODAY(),E45,"&lt;="&amp;TODAY()+30)+COUNTIFS(F45,"&gt;"&amp;TODAY(),F45,"&lt;="&amp;TODAY()+30)&gt;0),1,0)</x:f>
        <x:v>0</x:v>
      </x:c>
      <x:c r="R45" t="n">
        <x:f>R44+IF(OR(LEFT(H45,15)="Missing dates; ",LEFT(H45,16)="Add N/A reason; ",H45="Add dates",H45="Add registration",H45="Check date format"),1,0)</x:f>
        <x:v>0</x:v>
      </x:c>
      <x:c r="S45" t="n">
        <x:f>S44+IF(COUNTIFS(C45:F45,"Reviewed N/A")&gt;0,1,0)</x:f>
        <x:v>0</x:v>
      </x:c>
    </x:row>
    <x:row r="46" ht="48" customHeight="1">
      <x:c r="A46" s="52"/>
      <x:c r="B46" s="52"/>
      <x:c r="C46" s="53"/>
      <x:c r="D46" s="53"/>
      <x:c r="E46" s="53"/>
      <x:c r="F46" s="53"/>
      <x:c r="G46" s="52"/>
      <x:c r="H46" s="21" t="str">
        <x:f>IF(COUNTA(A46:G46,I46)=0,"",IF(A46="","Add registration",IF(OR(COUNTA(C46:F46)&gt;COUNT(C46:F46)+COUNTIFS(C46:F46,"Reviewed N/A"),AND(COUNT(C46:F46)&gt;0,OR(MIN(C46:F46)&lt;36526,MAX(C46:F46)&gt;109574))),"Check date format",IF(AND(COUNTIFS(C46:F46,"Reviewed N/A")&gt;0,I46=""),"Add N/A reason; ","")&amp;IF(COUNT(C46:F46)=0,IF(COUNTIFS(C46:F46,"Reviewed N/A")=4,"No applicable dates recorded","Add dates"),IF(COUNT(C46:F46)+COUNTIFS(C46:F46,"Reviewed N/A")&lt;4,"Missing dates; ","")&amp;IF(MIN(C46:F46)&lt;TODAY(),"Overdue: ",IF(MIN(C46:F46)=TODAY(),"Due today: ",IF(MIN(C46:F46)&lt;=TODAY()+30,"Due within 30 days: ","Next: ")))&amp;INDEX($C$8:$F$8,1,MATCH(MIN(C46:F46),C46:F46,0))&amp;" "&amp;TEXT(MIN(C46:F46),"dd mmm yyyy")))))</x:f>
      </x:c>
      <x:c r="I46" s="52"/>
      <x:c r="J46" t="str">
        <x:f>IF(AND(A46&lt;&gt;"",COUNTIFS(C46,"&gt;=36526",C46,"&lt;"&amp;TODAY())+COUNTIFS(D46,"&gt;=36526",D46,"&lt;"&amp;TODAY())+COUNTIFS(E46,"&gt;=36526",E46,"&lt;"&amp;TODAY())+COUNTIFS(F46,"&gt;=36526",F46,"&lt;"&amp;TODAY())&gt;0),O46,"")</x:f>
      </x:c>
      <x:c r="K46" t="str">
        <x:f>IF(AND(A46&lt;&gt;"",COUNTIFS(C46,"&gt;=36526",C46,TODAY())+COUNTIFS(D46,"&gt;=36526",D46,TODAY())+COUNTIFS(E46,"&gt;=36526",E46,TODAY())+COUNTIFS(F46,"&gt;=36526",F46,TODAY())&gt;0),P46,"")</x:f>
      </x:c>
      <x:c r="L46" t="str">
        <x:f>IF(AND(A46&lt;&gt;"",COUNTIFS(C46,"&gt;"&amp;TODAY(),C46,"&lt;="&amp;TODAY()+30)+COUNTIFS(D46,"&gt;"&amp;TODAY(),D46,"&lt;="&amp;TODAY()+30)+COUNTIFS(E46,"&gt;"&amp;TODAY(),E46,"&lt;="&amp;TODAY()+30)+COUNTIFS(F46,"&gt;"&amp;TODAY(),F46,"&lt;="&amp;TODAY()+30)&gt;0),Q46,"")</x:f>
      </x:c>
      <x:c r="M46" t="str">
        <x:f>IF(OR(LEFT(H46,15)="Missing dates; ",LEFT(H46,16)="Add N/A reason; ",H46="Add dates",H46="Add registration",H46="Check date format"),R46,"")</x:f>
      </x:c>
      <x:c r="N46" t="str">
        <x:f>IF(COUNTIFS(C46:F46,"Reviewed N/A")&gt;0,S46,"")</x:f>
      </x:c>
      <x:c r="O46" t="n">
        <x:f>O45+IF(AND(A46&lt;&gt;"",COUNTIFS(C46,"&gt;=36526",C46,"&lt;"&amp;TODAY())+COUNTIFS(D46,"&gt;=36526",D46,"&lt;"&amp;TODAY())+COUNTIFS(E46,"&gt;=36526",E46,"&lt;"&amp;TODAY())+COUNTIFS(F46,"&gt;=36526",F46,"&lt;"&amp;TODAY())&gt;0),1,0)</x:f>
        <x:v>0</x:v>
      </x:c>
      <x:c r="P46" t="n">
        <x:f>P45+IF(AND(A46&lt;&gt;"",COUNTIFS(C46,"&gt;=36526",C46,TODAY())+COUNTIFS(D46,"&gt;=36526",D46,TODAY())+COUNTIFS(E46,"&gt;=36526",E46,TODAY())+COUNTIFS(F46,"&gt;=36526",F46,TODAY())&gt;0),1,0)</x:f>
        <x:v>0</x:v>
      </x:c>
      <x:c r="Q46" t="n">
        <x:f>Q45+IF(AND(A46&lt;&gt;"",COUNTIFS(C46,"&gt;"&amp;TODAY(),C46,"&lt;="&amp;TODAY()+30)+COUNTIFS(D46,"&gt;"&amp;TODAY(),D46,"&lt;="&amp;TODAY()+30)+COUNTIFS(E46,"&gt;"&amp;TODAY(),E46,"&lt;="&amp;TODAY()+30)+COUNTIFS(F46,"&gt;"&amp;TODAY(),F46,"&lt;="&amp;TODAY()+30)&gt;0),1,0)</x:f>
        <x:v>0</x:v>
      </x:c>
      <x:c r="R46" t="n">
        <x:f>R45+IF(OR(LEFT(H46,15)="Missing dates; ",LEFT(H46,16)="Add N/A reason; ",H46="Add dates",H46="Add registration",H46="Check date format"),1,0)</x:f>
        <x:v>0</x:v>
      </x:c>
      <x:c r="S46" t="n">
        <x:f>S45+IF(COUNTIFS(C46:F46,"Reviewed N/A")&gt;0,1,0)</x:f>
        <x:v>0</x:v>
      </x:c>
    </x:row>
    <x:row r="47" ht="48" customHeight="1">
      <x:c r="A47" s="52"/>
      <x:c r="B47" s="52"/>
      <x:c r="C47" s="53"/>
      <x:c r="D47" s="53"/>
      <x:c r="E47" s="53"/>
      <x:c r="F47" s="53"/>
      <x:c r="G47" s="52"/>
      <x:c r="H47" s="21" t="str">
        <x:f>IF(COUNTA(A47:G47,I47)=0,"",IF(A47="","Add registration",IF(OR(COUNTA(C47:F47)&gt;COUNT(C47:F47)+COUNTIFS(C47:F47,"Reviewed N/A"),AND(COUNT(C47:F47)&gt;0,OR(MIN(C47:F47)&lt;36526,MAX(C47:F47)&gt;109574))),"Check date format",IF(AND(COUNTIFS(C47:F47,"Reviewed N/A")&gt;0,I47=""),"Add N/A reason; ","")&amp;IF(COUNT(C47:F47)=0,IF(COUNTIFS(C47:F47,"Reviewed N/A")=4,"No applicable dates recorded","Add dates"),IF(COUNT(C47:F47)+COUNTIFS(C47:F47,"Reviewed N/A")&lt;4,"Missing dates; ","")&amp;IF(MIN(C47:F47)&lt;TODAY(),"Overdue: ",IF(MIN(C47:F47)=TODAY(),"Due today: ",IF(MIN(C47:F47)&lt;=TODAY()+30,"Due within 30 days: ","Next: ")))&amp;INDEX($C$8:$F$8,1,MATCH(MIN(C47:F47),C47:F47,0))&amp;" "&amp;TEXT(MIN(C47:F47),"dd mmm yyyy")))))</x:f>
      </x:c>
      <x:c r="I47" s="52"/>
      <x:c r="J47" t="str">
        <x:f>IF(AND(A47&lt;&gt;"",COUNTIFS(C47,"&gt;=36526",C47,"&lt;"&amp;TODAY())+COUNTIFS(D47,"&gt;=36526",D47,"&lt;"&amp;TODAY())+COUNTIFS(E47,"&gt;=36526",E47,"&lt;"&amp;TODAY())+COUNTIFS(F47,"&gt;=36526",F47,"&lt;"&amp;TODAY())&gt;0),O47,"")</x:f>
      </x:c>
      <x:c r="K47" t="str">
        <x:f>IF(AND(A47&lt;&gt;"",COUNTIFS(C47,"&gt;=36526",C47,TODAY())+COUNTIFS(D47,"&gt;=36526",D47,TODAY())+COUNTIFS(E47,"&gt;=36526",E47,TODAY())+COUNTIFS(F47,"&gt;=36526",F47,TODAY())&gt;0),P47,"")</x:f>
      </x:c>
      <x:c r="L47" t="str">
        <x:f>IF(AND(A47&lt;&gt;"",COUNTIFS(C47,"&gt;"&amp;TODAY(),C47,"&lt;="&amp;TODAY()+30)+COUNTIFS(D47,"&gt;"&amp;TODAY(),D47,"&lt;="&amp;TODAY()+30)+COUNTIFS(E47,"&gt;"&amp;TODAY(),E47,"&lt;="&amp;TODAY()+30)+COUNTIFS(F47,"&gt;"&amp;TODAY(),F47,"&lt;="&amp;TODAY()+30)&gt;0),Q47,"")</x:f>
      </x:c>
      <x:c r="M47" t="str">
        <x:f>IF(OR(LEFT(H47,15)="Missing dates; ",LEFT(H47,16)="Add N/A reason; ",H47="Add dates",H47="Add registration",H47="Check date format"),R47,"")</x:f>
      </x:c>
      <x:c r="N47" t="str">
        <x:f>IF(COUNTIFS(C47:F47,"Reviewed N/A")&gt;0,S47,"")</x:f>
      </x:c>
      <x:c r="O47" t="n">
        <x:f>O46+IF(AND(A47&lt;&gt;"",COUNTIFS(C47,"&gt;=36526",C47,"&lt;"&amp;TODAY())+COUNTIFS(D47,"&gt;=36526",D47,"&lt;"&amp;TODAY())+COUNTIFS(E47,"&gt;=36526",E47,"&lt;"&amp;TODAY())+COUNTIFS(F47,"&gt;=36526",F47,"&lt;"&amp;TODAY())&gt;0),1,0)</x:f>
        <x:v>0</x:v>
      </x:c>
      <x:c r="P47" t="n">
        <x:f>P46+IF(AND(A47&lt;&gt;"",COUNTIFS(C47,"&gt;=36526",C47,TODAY())+COUNTIFS(D47,"&gt;=36526",D47,TODAY())+COUNTIFS(E47,"&gt;=36526",E47,TODAY())+COUNTIFS(F47,"&gt;=36526",F47,TODAY())&gt;0),1,0)</x:f>
        <x:v>0</x:v>
      </x:c>
      <x:c r="Q47" t="n">
        <x:f>Q46+IF(AND(A47&lt;&gt;"",COUNTIFS(C47,"&gt;"&amp;TODAY(),C47,"&lt;="&amp;TODAY()+30)+COUNTIFS(D47,"&gt;"&amp;TODAY(),D47,"&lt;="&amp;TODAY()+30)+COUNTIFS(E47,"&gt;"&amp;TODAY(),E47,"&lt;="&amp;TODAY()+30)+COUNTIFS(F47,"&gt;"&amp;TODAY(),F47,"&lt;="&amp;TODAY()+30)&gt;0),1,0)</x:f>
        <x:v>0</x:v>
      </x:c>
      <x:c r="R47" t="n">
        <x:f>R46+IF(OR(LEFT(H47,15)="Missing dates; ",LEFT(H47,16)="Add N/A reason; ",H47="Add dates",H47="Add registration",H47="Check date format"),1,0)</x:f>
        <x:v>0</x:v>
      </x:c>
      <x:c r="S47" t="n">
        <x:f>S46+IF(COUNTIFS(C47:F47,"Reviewed N/A")&gt;0,1,0)</x:f>
        <x:v>0</x:v>
      </x:c>
    </x:row>
    <x:row r="48" ht="48" customHeight="1">
      <x:c r="A48" s="52"/>
      <x:c r="B48" s="52"/>
      <x:c r="C48" s="53"/>
      <x:c r="D48" s="53"/>
      <x:c r="E48" s="53"/>
      <x:c r="F48" s="53"/>
      <x:c r="G48" s="52"/>
      <x:c r="H48" s="21" t="str">
        <x:f>IF(COUNTA(A48:G48,I48)=0,"",IF(A48="","Add registration",IF(OR(COUNTA(C48:F48)&gt;COUNT(C48:F48)+COUNTIFS(C48:F48,"Reviewed N/A"),AND(COUNT(C48:F48)&gt;0,OR(MIN(C48:F48)&lt;36526,MAX(C48:F48)&gt;109574))),"Check date format",IF(AND(COUNTIFS(C48:F48,"Reviewed N/A")&gt;0,I48=""),"Add N/A reason; ","")&amp;IF(COUNT(C48:F48)=0,IF(COUNTIFS(C48:F48,"Reviewed N/A")=4,"No applicable dates recorded","Add dates"),IF(COUNT(C48:F48)+COUNTIFS(C48:F48,"Reviewed N/A")&lt;4,"Missing dates; ","")&amp;IF(MIN(C48:F48)&lt;TODAY(),"Overdue: ",IF(MIN(C48:F48)=TODAY(),"Due today: ",IF(MIN(C48:F48)&lt;=TODAY()+30,"Due within 30 days: ","Next: ")))&amp;INDEX($C$8:$F$8,1,MATCH(MIN(C48:F48),C48:F48,0))&amp;" "&amp;TEXT(MIN(C48:F48),"dd mmm yyyy")))))</x:f>
      </x:c>
      <x:c r="I48" s="52"/>
      <x:c r="J48" t="str">
        <x:f>IF(AND(A48&lt;&gt;"",COUNTIFS(C48,"&gt;=36526",C48,"&lt;"&amp;TODAY())+COUNTIFS(D48,"&gt;=36526",D48,"&lt;"&amp;TODAY())+COUNTIFS(E48,"&gt;=36526",E48,"&lt;"&amp;TODAY())+COUNTIFS(F48,"&gt;=36526",F48,"&lt;"&amp;TODAY())&gt;0),O48,"")</x:f>
      </x:c>
      <x:c r="K48" t="str">
        <x:f>IF(AND(A48&lt;&gt;"",COUNTIFS(C48,"&gt;=36526",C48,TODAY())+COUNTIFS(D48,"&gt;=36526",D48,TODAY())+COUNTIFS(E48,"&gt;=36526",E48,TODAY())+COUNTIFS(F48,"&gt;=36526",F48,TODAY())&gt;0),P48,"")</x:f>
      </x:c>
      <x:c r="L48" t="str">
        <x:f>IF(AND(A48&lt;&gt;"",COUNTIFS(C48,"&gt;"&amp;TODAY(),C48,"&lt;="&amp;TODAY()+30)+COUNTIFS(D48,"&gt;"&amp;TODAY(),D48,"&lt;="&amp;TODAY()+30)+COUNTIFS(E48,"&gt;"&amp;TODAY(),E48,"&lt;="&amp;TODAY()+30)+COUNTIFS(F48,"&gt;"&amp;TODAY(),F48,"&lt;="&amp;TODAY()+30)&gt;0),Q48,"")</x:f>
      </x:c>
      <x:c r="M48" t="str">
        <x:f>IF(OR(LEFT(H48,15)="Missing dates; ",LEFT(H48,16)="Add N/A reason; ",H48="Add dates",H48="Add registration",H48="Check date format"),R48,"")</x:f>
      </x:c>
      <x:c r="N48" t="str">
        <x:f>IF(COUNTIFS(C48:F48,"Reviewed N/A")&gt;0,S48,"")</x:f>
      </x:c>
      <x:c r="O48" t="n">
        <x:f>O47+IF(AND(A48&lt;&gt;"",COUNTIFS(C48,"&gt;=36526",C48,"&lt;"&amp;TODAY())+COUNTIFS(D48,"&gt;=36526",D48,"&lt;"&amp;TODAY())+COUNTIFS(E48,"&gt;=36526",E48,"&lt;"&amp;TODAY())+COUNTIFS(F48,"&gt;=36526",F48,"&lt;"&amp;TODAY())&gt;0),1,0)</x:f>
        <x:v>0</x:v>
      </x:c>
      <x:c r="P48" t="n">
        <x:f>P47+IF(AND(A48&lt;&gt;"",COUNTIFS(C48,"&gt;=36526",C48,TODAY())+COUNTIFS(D48,"&gt;=36526",D48,TODAY())+COUNTIFS(E48,"&gt;=36526",E48,TODAY())+COUNTIFS(F48,"&gt;=36526",F48,TODAY())&gt;0),1,0)</x:f>
        <x:v>0</x:v>
      </x:c>
      <x:c r="Q48" t="n">
        <x:f>Q47+IF(AND(A48&lt;&gt;"",COUNTIFS(C48,"&gt;"&amp;TODAY(),C48,"&lt;="&amp;TODAY()+30)+COUNTIFS(D48,"&gt;"&amp;TODAY(),D48,"&lt;="&amp;TODAY()+30)+COUNTIFS(E48,"&gt;"&amp;TODAY(),E48,"&lt;="&amp;TODAY()+30)+COUNTIFS(F48,"&gt;"&amp;TODAY(),F48,"&lt;="&amp;TODAY()+30)&gt;0),1,0)</x:f>
        <x:v>0</x:v>
      </x:c>
      <x:c r="R48" t="n">
        <x:f>R47+IF(OR(LEFT(H48,15)="Missing dates; ",LEFT(H48,16)="Add N/A reason; ",H48="Add dates",H48="Add registration",H48="Check date format"),1,0)</x:f>
        <x:v>0</x:v>
      </x:c>
      <x:c r="S48" t="n">
        <x:f>S47+IF(COUNTIFS(C48:F48,"Reviewed N/A")&gt;0,1,0)</x:f>
        <x:v>0</x:v>
      </x:c>
    </x:row>
    <x:row r="49" ht="48" customHeight="1">
      <x:c r="A49" s="52"/>
      <x:c r="B49" s="52"/>
      <x:c r="C49" s="53"/>
      <x:c r="D49" s="53"/>
      <x:c r="E49" s="53"/>
      <x:c r="F49" s="53"/>
      <x:c r="G49" s="52"/>
      <x:c r="H49" s="21" t="str">
        <x:f>IF(COUNTA(A49:G49,I49)=0,"",IF(A49="","Add registration",IF(OR(COUNTA(C49:F49)&gt;COUNT(C49:F49)+COUNTIFS(C49:F49,"Reviewed N/A"),AND(COUNT(C49:F49)&gt;0,OR(MIN(C49:F49)&lt;36526,MAX(C49:F49)&gt;109574))),"Check date format",IF(AND(COUNTIFS(C49:F49,"Reviewed N/A")&gt;0,I49=""),"Add N/A reason; ","")&amp;IF(COUNT(C49:F49)=0,IF(COUNTIFS(C49:F49,"Reviewed N/A")=4,"No applicable dates recorded","Add dates"),IF(COUNT(C49:F49)+COUNTIFS(C49:F49,"Reviewed N/A")&lt;4,"Missing dates; ","")&amp;IF(MIN(C49:F49)&lt;TODAY(),"Overdue: ",IF(MIN(C49:F49)=TODAY(),"Due today: ",IF(MIN(C49:F49)&lt;=TODAY()+30,"Due within 30 days: ","Next: ")))&amp;INDEX($C$8:$F$8,1,MATCH(MIN(C49:F49),C49:F49,0))&amp;" "&amp;TEXT(MIN(C49:F49),"dd mmm yyyy")))))</x:f>
      </x:c>
      <x:c r="I49" s="52"/>
      <x:c r="J49" t="str">
        <x:f>IF(AND(A49&lt;&gt;"",COUNTIFS(C49,"&gt;=36526",C49,"&lt;"&amp;TODAY())+COUNTIFS(D49,"&gt;=36526",D49,"&lt;"&amp;TODAY())+COUNTIFS(E49,"&gt;=36526",E49,"&lt;"&amp;TODAY())+COUNTIFS(F49,"&gt;=36526",F49,"&lt;"&amp;TODAY())&gt;0),O49,"")</x:f>
      </x:c>
      <x:c r="K49" t="str">
        <x:f>IF(AND(A49&lt;&gt;"",COUNTIFS(C49,"&gt;=36526",C49,TODAY())+COUNTIFS(D49,"&gt;=36526",D49,TODAY())+COUNTIFS(E49,"&gt;=36526",E49,TODAY())+COUNTIFS(F49,"&gt;=36526",F49,TODAY())&gt;0),P49,"")</x:f>
      </x:c>
      <x:c r="L49" t="str">
        <x:f>IF(AND(A49&lt;&gt;"",COUNTIFS(C49,"&gt;"&amp;TODAY(),C49,"&lt;="&amp;TODAY()+30)+COUNTIFS(D49,"&gt;"&amp;TODAY(),D49,"&lt;="&amp;TODAY()+30)+COUNTIFS(E49,"&gt;"&amp;TODAY(),E49,"&lt;="&amp;TODAY()+30)+COUNTIFS(F49,"&gt;"&amp;TODAY(),F49,"&lt;="&amp;TODAY()+30)&gt;0),Q49,"")</x:f>
      </x:c>
      <x:c r="M49" t="str">
        <x:f>IF(OR(LEFT(H49,15)="Missing dates; ",LEFT(H49,16)="Add N/A reason; ",H49="Add dates",H49="Add registration",H49="Check date format"),R49,"")</x:f>
      </x:c>
      <x:c r="N49" t="str">
        <x:f>IF(COUNTIFS(C49:F49,"Reviewed N/A")&gt;0,S49,"")</x:f>
      </x:c>
      <x:c r="O49" t="n">
        <x:f>O48+IF(AND(A49&lt;&gt;"",COUNTIFS(C49,"&gt;=36526",C49,"&lt;"&amp;TODAY())+COUNTIFS(D49,"&gt;=36526",D49,"&lt;"&amp;TODAY())+COUNTIFS(E49,"&gt;=36526",E49,"&lt;"&amp;TODAY())+COUNTIFS(F49,"&gt;=36526",F49,"&lt;"&amp;TODAY())&gt;0),1,0)</x:f>
        <x:v>0</x:v>
      </x:c>
      <x:c r="P49" t="n">
        <x:f>P48+IF(AND(A49&lt;&gt;"",COUNTIFS(C49,"&gt;=36526",C49,TODAY())+COUNTIFS(D49,"&gt;=36526",D49,TODAY())+COUNTIFS(E49,"&gt;=36526",E49,TODAY())+COUNTIFS(F49,"&gt;=36526",F49,TODAY())&gt;0),1,0)</x:f>
        <x:v>0</x:v>
      </x:c>
      <x:c r="Q49" t="n">
        <x:f>Q48+IF(AND(A49&lt;&gt;"",COUNTIFS(C49,"&gt;"&amp;TODAY(),C49,"&lt;="&amp;TODAY()+30)+COUNTIFS(D49,"&gt;"&amp;TODAY(),D49,"&lt;="&amp;TODAY()+30)+COUNTIFS(E49,"&gt;"&amp;TODAY(),E49,"&lt;="&amp;TODAY()+30)+COUNTIFS(F49,"&gt;"&amp;TODAY(),F49,"&lt;="&amp;TODAY()+30)&gt;0),1,0)</x:f>
        <x:v>0</x:v>
      </x:c>
      <x:c r="R49" t="n">
        <x:f>R48+IF(OR(LEFT(H49,15)="Missing dates; ",LEFT(H49,16)="Add N/A reason; ",H49="Add dates",H49="Add registration",H49="Check date format"),1,0)</x:f>
        <x:v>0</x:v>
      </x:c>
      <x:c r="S49" t="n">
        <x:f>S48+IF(COUNTIFS(C49:F49,"Reviewed N/A")&gt;0,1,0)</x:f>
        <x:v>0</x:v>
      </x:c>
    </x:row>
    <x:row r="50" ht="48" customHeight="1">
      <x:c r="A50" s="52"/>
      <x:c r="B50" s="52"/>
      <x:c r="C50" s="53"/>
      <x:c r="D50" s="53"/>
      <x:c r="E50" s="53"/>
      <x:c r="F50" s="53"/>
      <x:c r="G50" s="52"/>
      <x:c r="H50" s="21" t="str">
        <x:f>IF(COUNTA(A50:G50,I50)=0,"",IF(A50="","Add registration",IF(OR(COUNTA(C50:F50)&gt;COUNT(C50:F50)+COUNTIFS(C50:F50,"Reviewed N/A"),AND(COUNT(C50:F50)&gt;0,OR(MIN(C50:F50)&lt;36526,MAX(C50:F50)&gt;109574))),"Check date format",IF(AND(COUNTIFS(C50:F50,"Reviewed N/A")&gt;0,I50=""),"Add N/A reason; ","")&amp;IF(COUNT(C50:F50)=0,IF(COUNTIFS(C50:F50,"Reviewed N/A")=4,"No applicable dates recorded","Add dates"),IF(COUNT(C50:F50)+COUNTIFS(C50:F50,"Reviewed N/A")&lt;4,"Missing dates; ","")&amp;IF(MIN(C50:F50)&lt;TODAY(),"Overdue: ",IF(MIN(C50:F50)=TODAY(),"Due today: ",IF(MIN(C50:F50)&lt;=TODAY()+30,"Due within 30 days: ","Next: ")))&amp;INDEX($C$8:$F$8,1,MATCH(MIN(C50:F50),C50:F50,0))&amp;" "&amp;TEXT(MIN(C50:F50),"dd mmm yyyy")))))</x:f>
      </x:c>
      <x:c r="I50" s="52"/>
      <x:c r="J50" t="str">
        <x:f>IF(AND(A50&lt;&gt;"",COUNTIFS(C50,"&gt;=36526",C50,"&lt;"&amp;TODAY())+COUNTIFS(D50,"&gt;=36526",D50,"&lt;"&amp;TODAY())+COUNTIFS(E50,"&gt;=36526",E50,"&lt;"&amp;TODAY())+COUNTIFS(F50,"&gt;=36526",F50,"&lt;"&amp;TODAY())&gt;0),O50,"")</x:f>
      </x:c>
      <x:c r="K50" t="str">
        <x:f>IF(AND(A50&lt;&gt;"",COUNTIFS(C50,"&gt;=36526",C50,TODAY())+COUNTIFS(D50,"&gt;=36526",D50,TODAY())+COUNTIFS(E50,"&gt;=36526",E50,TODAY())+COUNTIFS(F50,"&gt;=36526",F50,TODAY())&gt;0),P50,"")</x:f>
      </x:c>
      <x:c r="L50" t="str">
        <x:f>IF(AND(A50&lt;&gt;"",COUNTIFS(C50,"&gt;"&amp;TODAY(),C50,"&lt;="&amp;TODAY()+30)+COUNTIFS(D50,"&gt;"&amp;TODAY(),D50,"&lt;="&amp;TODAY()+30)+COUNTIFS(E50,"&gt;"&amp;TODAY(),E50,"&lt;="&amp;TODAY()+30)+COUNTIFS(F50,"&gt;"&amp;TODAY(),F50,"&lt;="&amp;TODAY()+30)&gt;0),Q50,"")</x:f>
      </x:c>
      <x:c r="M50" t="str">
        <x:f>IF(OR(LEFT(H50,15)="Missing dates; ",LEFT(H50,16)="Add N/A reason; ",H50="Add dates",H50="Add registration",H50="Check date format"),R50,"")</x:f>
      </x:c>
      <x:c r="N50" t="str">
        <x:f>IF(COUNTIFS(C50:F50,"Reviewed N/A")&gt;0,S50,"")</x:f>
      </x:c>
      <x:c r="O50" t="n">
        <x:f>O49+IF(AND(A50&lt;&gt;"",COUNTIFS(C50,"&gt;=36526",C50,"&lt;"&amp;TODAY())+COUNTIFS(D50,"&gt;=36526",D50,"&lt;"&amp;TODAY())+COUNTIFS(E50,"&gt;=36526",E50,"&lt;"&amp;TODAY())+COUNTIFS(F50,"&gt;=36526",F50,"&lt;"&amp;TODAY())&gt;0),1,0)</x:f>
        <x:v>0</x:v>
      </x:c>
      <x:c r="P50" t="n">
        <x:f>P49+IF(AND(A50&lt;&gt;"",COUNTIFS(C50,"&gt;=36526",C50,TODAY())+COUNTIFS(D50,"&gt;=36526",D50,TODAY())+COUNTIFS(E50,"&gt;=36526",E50,TODAY())+COUNTIFS(F50,"&gt;=36526",F50,TODAY())&gt;0),1,0)</x:f>
        <x:v>0</x:v>
      </x:c>
      <x:c r="Q50" t="n">
        <x:f>Q49+IF(AND(A50&lt;&gt;"",COUNTIFS(C50,"&gt;"&amp;TODAY(),C50,"&lt;="&amp;TODAY()+30)+COUNTIFS(D50,"&gt;"&amp;TODAY(),D50,"&lt;="&amp;TODAY()+30)+COUNTIFS(E50,"&gt;"&amp;TODAY(),E50,"&lt;="&amp;TODAY()+30)+COUNTIFS(F50,"&gt;"&amp;TODAY(),F50,"&lt;="&amp;TODAY()+30)&gt;0),1,0)</x:f>
        <x:v>0</x:v>
      </x:c>
      <x:c r="R50" t="n">
        <x:f>R49+IF(OR(LEFT(H50,15)="Missing dates; ",LEFT(H50,16)="Add N/A reason; ",H50="Add dates",H50="Add registration",H50="Check date format"),1,0)</x:f>
        <x:v>0</x:v>
      </x:c>
      <x:c r="S50" t="n">
        <x:f>S49+IF(COUNTIFS(C50:F50,"Reviewed N/A")&gt;0,1,0)</x:f>
        <x:v>0</x:v>
      </x:c>
    </x:row>
    <x:row r="51" ht="48" customHeight="1">
      <x:c r="A51" s="52"/>
      <x:c r="B51" s="52"/>
      <x:c r="C51" s="53"/>
      <x:c r="D51" s="53"/>
      <x:c r="E51" s="53"/>
      <x:c r="F51" s="53"/>
      <x:c r="G51" s="52"/>
      <x:c r="H51" s="21" t="str">
        <x:f>IF(COUNTA(A51:G51,I51)=0,"",IF(A51="","Add registration",IF(OR(COUNTA(C51:F51)&gt;COUNT(C51:F51)+COUNTIFS(C51:F51,"Reviewed N/A"),AND(COUNT(C51:F51)&gt;0,OR(MIN(C51:F51)&lt;36526,MAX(C51:F51)&gt;109574))),"Check date format",IF(AND(COUNTIFS(C51:F51,"Reviewed N/A")&gt;0,I51=""),"Add N/A reason; ","")&amp;IF(COUNT(C51:F51)=0,IF(COUNTIFS(C51:F51,"Reviewed N/A")=4,"No applicable dates recorded","Add dates"),IF(COUNT(C51:F51)+COUNTIFS(C51:F51,"Reviewed N/A")&lt;4,"Missing dates; ","")&amp;IF(MIN(C51:F51)&lt;TODAY(),"Overdue: ",IF(MIN(C51:F51)=TODAY(),"Due today: ",IF(MIN(C51:F51)&lt;=TODAY()+30,"Due within 30 days: ","Next: ")))&amp;INDEX($C$8:$F$8,1,MATCH(MIN(C51:F51),C51:F51,0))&amp;" "&amp;TEXT(MIN(C51:F51),"dd mmm yyyy")))))</x:f>
      </x:c>
      <x:c r="I51" s="52"/>
      <x:c r="J51" t="str">
        <x:f>IF(AND(A51&lt;&gt;"",COUNTIFS(C51,"&gt;=36526",C51,"&lt;"&amp;TODAY())+COUNTIFS(D51,"&gt;=36526",D51,"&lt;"&amp;TODAY())+COUNTIFS(E51,"&gt;=36526",E51,"&lt;"&amp;TODAY())+COUNTIFS(F51,"&gt;=36526",F51,"&lt;"&amp;TODAY())&gt;0),O51,"")</x:f>
      </x:c>
      <x:c r="K51" t="str">
        <x:f>IF(AND(A51&lt;&gt;"",COUNTIFS(C51,"&gt;=36526",C51,TODAY())+COUNTIFS(D51,"&gt;=36526",D51,TODAY())+COUNTIFS(E51,"&gt;=36526",E51,TODAY())+COUNTIFS(F51,"&gt;=36526",F51,TODAY())&gt;0),P51,"")</x:f>
      </x:c>
      <x:c r="L51" t="str">
        <x:f>IF(AND(A51&lt;&gt;"",COUNTIFS(C51,"&gt;"&amp;TODAY(),C51,"&lt;="&amp;TODAY()+30)+COUNTIFS(D51,"&gt;"&amp;TODAY(),D51,"&lt;="&amp;TODAY()+30)+COUNTIFS(E51,"&gt;"&amp;TODAY(),E51,"&lt;="&amp;TODAY()+30)+COUNTIFS(F51,"&gt;"&amp;TODAY(),F51,"&lt;="&amp;TODAY()+30)&gt;0),Q51,"")</x:f>
      </x:c>
      <x:c r="M51" t="str">
        <x:f>IF(OR(LEFT(H51,15)="Missing dates; ",LEFT(H51,16)="Add N/A reason; ",H51="Add dates",H51="Add registration",H51="Check date format"),R51,"")</x:f>
      </x:c>
      <x:c r="N51" t="str">
        <x:f>IF(COUNTIFS(C51:F51,"Reviewed N/A")&gt;0,S51,"")</x:f>
      </x:c>
      <x:c r="O51" t="n">
        <x:f>O50+IF(AND(A51&lt;&gt;"",COUNTIFS(C51,"&gt;=36526",C51,"&lt;"&amp;TODAY())+COUNTIFS(D51,"&gt;=36526",D51,"&lt;"&amp;TODAY())+COUNTIFS(E51,"&gt;=36526",E51,"&lt;"&amp;TODAY())+COUNTIFS(F51,"&gt;=36526",F51,"&lt;"&amp;TODAY())&gt;0),1,0)</x:f>
        <x:v>0</x:v>
      </x:c>
      <x:c r="P51" t="n">
        <x:f>P50+IF(AND(A51&lt;&gt;"",COUNTIFS(C51,"&gt;=36526",C51,TODAY())+COUNTIFS(D51,"&gt;=36526",D51,TODAY())+COUNTIFS(E51,"&gt;=36526",E51,TODAY())+COUNTIFS(F51,"&gt;=36526",F51,TODAY())&gt;0),1,0)</x:f>
        <x:v>0</x:v>
      </x:c>
      <x:c r="Q51" t="n">
        <x:f>Q50+IF(AND(A51&lt;&gt;"",COUNTIFS(C51,"&gt;"&amp;TODAY(),C51,"&lt;="&amp;TODAY()+30)+COUNTIFS(D51,"&gt;"&amp;TODAY(),D51,"&lt;="&amp;TODAY()+30)+COUNTIFS(E51,"&gt;"&amp;TODAY(),E51,"&lt;="&amp;TODAY()+30)+COUNTIFS(F51,"&gt;"&amp;TODAY(),F51,"&lt;="&amp;TODAY()+30)&gt;0),1,0)</x:f>
        <x:v>0</x:v>
      </x:c>
      <x:c r="R51" t="n">
        <x:f>R50+IF(OR(LEFT(H51,15)="Missing dates; ",LEFT(H51,16)="Add N/A reason; ",H51="Add dates",H51="Add registration",H51="Check date format"),1,0)</x:f>
        <x:v>0</x:v>
      </x:c>
      <x:c r="S51" t="n">
        <x:f>S50+IF(COUNTIFS(C51:F51,"Reviewed N/A")&gt;0,1,0)</x:f>
        <x:v>0</x:v>
      </x:c>
    </x:row>
    <x:row r="52" ht="48" customHeight="1">
      <x:c r="A52" s="52"/>
      <x:c r="B52" s="52"/>
      <x:c r="C52" s="53"/>
      <x:c r="D52" s="53"/>
      <x:c r="E52" s="53"/>
      <x:c r="F52" s="53"/>
      <x:c r="G52" s="52"/>
      <x:c r="H52" s="21" t="str">
        <x:f>IF(COUNTA(A52:G52,I52)=0,"",IF(A52="","Add registration",IF(OR(COUNTA(C52:F52)&gt;COUNT(C52:F52)+COUNTIFS(C52:F52,"Reviewed N/A"),AND(COUNT(C52:F52)&gt;0,OR(MIN(C52:F52)&lt;36526,MAX(C52:F52)&gt;109574))),"Check date format",IF(AND(COUNTIFS(C52:F52,"Reviewed N/A")&gt;0,I52=""),"Add N/A reason; ","")&amp;IF(COUNT(C52:F52)=0,IF(COUNTIFS(C52:F52,"Reviewed N/A")=4,"No applicable dates recorded","Add dates"),IF(COUNT(C52:F52)+COUNTIFS(C52:F52,"Reviewed N/A")&lt;4,"Missing dates; ","")&amp;IF(MIN(C52:F52)&lt;TODAY(),"Overdue: ",IF(MIN(C52:F52)=TODAY(),"Due today: ",IF(MIN(C52:F52)&lt;=TODAY()+30,"Due within 30 days: ","Next: ")))&amp;INDEX($C$8:$F$8,1,MATCH(MIN(C52:F52),C52:F52,0))&amp;" "&amp;TEXT(MIN(C52:F52),"dd mmm yyyy")))))</x:f>
      </x:c>
      <x:c r="I52" s="52"/>
      <x:c r="J52" t="str">
        <x:f>IF(AND(A52&lt;&gt;"",COUNTIFS(C52,"&gt;=36526",C52,"&lt;"&amp;TODAY())+COUNTIFS(D52,"&gt;=36526",D52,"&lt;"&amp;TODAY())+COUNTIFS(E52,"&gt;=36526",E52,"&lt;"&amp;TODAY())+COUNTIFS(F52,"&gt;=36526",F52,"&lt;"&amp;TODAY())&gt;0),O52,"")</x:f>
      </x:c>
      <x:c r="K52" t="str">
        <x:f>IF(AND(A52&lt;&gt;"",COUNTIFS(C52,"&gt;=36526",C52,TODAY())+COUNTIFS(D52,"&gt;=36526",D52,TODAY())+COUNTIFS(E52,"&gt;=36526",E52,TODAY())+COUNTIFS(F52,"&gt;=36526",F52,TODAY())&gt;0),P52,"")</x:f>
      </x:c>
      <x:c r="L52" t="str">
        <x:f>IF(AND(A52&lt;&gt;"",COUNTIFS(C52,"&gt;"&amp;TODAY(),C52,"&lt;="&amp;TODAY()+30)+COUNTIFS(D52,"&gt;"&amp;TODAY(),D52,"&lt;="&amp;TODAY()+30)+COUNTIFS(E52,"&gt;"&amp;TODAY(),E52,"&lt;="&amp;TODAY()+30)+COUNTIFS(F52,"&gt;"&amp;TODAY(),F52,"&lt;="&amp;TODAY()+30)&gt;0),Q52,"")</x:f>
      </x:c>
      <x:c r="M52" t="str">
        <x:f>IF(OR(LEFT(H52,15)="Missing dates; ",LEFT(H52,16)="Add N/A reason; ",H52="Add dates",H52="Add registration",H52="Check date format"),R52,"")</x:f>
      </x:c>
      <x:c r="N52" t="str">
        <x:f>IF(COUNTIFS(C52:F52,"Reviewed N/A")&gt;0,S52,"")</x:f>
      </x:c>
      <x:c r="O52" t="n">
        <x:f>O51+IF(AND(A52&lt;&gt;"",COUNTIFS(C52,"&gt;=36526",C52,"&lt;"&amp;TODAY())+COUNTIFS(D52,"&gt;=36526",D52,"&lt;"&amp;TODAY())+COUNTIFS(E52,"&gt;=36526",E52,"&lt;"&amp;TODAY())+COUNTIFS(F52,"&gt;=36526",F52,"&lt;"&amp;TODAY())&gt;0),1,0)</x:f>
        <x:v>0</x:v>
      </x:c>
      <x:c r="P52" t="n">
        <x:f>P51+IF(AND(A52&lt;&gt;"",COUNTIFS(C52,"&gt;=36526",C52,TODAY())+COUNTIFS(D52,"&gt;=36526",D52,TODAY())+COUNTIFS(E52,"&gt;=36526",E52,TODAY())+COUNTIFS(F52,"&gt;=36526",F52,TODAY())&gt;0),1,0)</x:f>
        <x:v>0</x:v>
      </x:c>
      <x:c r="Q52" t="n">
        <x:f>Q51+IF(AND(A52&lt;&gt;"",COUNTIFS(C52,"&gt;"&amp;TODAY(),C52,"&lt;="&amp;TODAY()+30)+COUNTIFS(D52,"&gt;"&amp;TODAY(),D52,"&lt;="&amp;TODAY()+30)+COUNTIFS(E52,"&gt;"&amp;TODAY(),E52,"&lt;="&amp;TODAY()+30)+COUNTIFS(F52,"&gt;"&amp;TODAY(),F52,"&lt;="&amp;TODAY()+30)&gt;0),1,0)</x:f>
        <x:v>0</x:v>
      </x:c>
      <x:c r="R52" t="n">
        <x:f>R51+IF(OR(LEFT(H52,15)="Missing dates; ",LEFT(H52,16)="Add N/A reason; ",H52="Add dates",H52="Add registration",H52="Check date format"),1,0)</x:f>
        <x:v>0</x:v>
      </x:c>
      <x:c r="S52" t="n">
        <x:f>S51+IF(COUNTIFS(C52:F52,"Reviewed N/A")&gt;0,1,0)</x:f>
        <x:v>0</x:v>
      </x:c>
    </x:row>
    <x:row r="53" ht="48" customHeight="1">
      <x:c r="A53" s="52"/>
      <x:c r="B53" s="52"/>
      <x:c r="C53" s="53"/>
      <x:c r="D53" s="53"/>
      <x:c r="E53" s="53"/>
      <x:c r="F53" s="53"/>
      <x:c r="G53" s="52"/>
      <x:c r="H53" s="21" t="str">
        <x:f>IF(COUNTA(A53:G53,I53)=0,"",IF(A53="","Add registration",IF(OR(COUNTA(C53:F53)&gt;COUNT(C53:F53)+COUNTIFS(C53:F53,"Reviewed N/A"),AND(COUNT(C53:F53)&gt;0,OR(MIN(C53:F53)&lt;36526,MAX(C53:F53)&gt;109574))),"Check date format",IF(AND(COUNTIFS(C53:F53,"Reviewed N/A")&gt;0,I53=""),"Add N/A reason; ","")&amp;IF(COUNT(C53:F53)=0,IF(COUNTIFS(C53:F53,"Reviewed N/A")=4,"No applicable dates recorded","Add dates"),IF(COUNT(C53:F53)+COUNTIFS(C53:F53,"Reviewed N/A")&lt;4,"Missing dates; ","")&amp;IF(MIN(C53:F53)&lt;TODAY(),"Overdue: ",IF(MIN(C53:F53)=TODAY(),"Due today: ",IF(MIN(C53:F53)&lt;=TODAY()+30,"Due within 30 days: ","Next: ")))&amp;INDEX($C$8:$F$8,1,MATCH(MIN(C53:F53),C53:F53,0))&amp;" "&amp;TEXT(MIN(C53:F53),"dd mmm yyyy")))))</x:f>
      </x:c>
      <x:c r="I53" s="52"/>
      <x:c r="J53" t="str">
        <x:f>IF(AND(A53&lt;&gt;"",COUNTIFS(C53,"&gt;=36526",C53,"&lt;"&amp;TODAY())+COUNTIFS(D53,"&gt;=36526",D53,"&lt;"&amp;TODAY())+COUNTIFS(E53,"&gt;=36526",E53,"&lt;"&amp;TODAY())+COUNTIFS(F53,"&gt;=36526",F53,"&lt;"&amp;TODAY())&gt;0),O53,"")</x:f>
      </x:c>
      <x:c r="K53" t="str">
        <x:f>IF(AND(A53&lt;&gt;"",COUNTIFS(C53,"&gt;=36526",C53,TODAY())+COUNTIFS(D53,"&gt;=36526",D53,TODAY())+COUNTIFS(E53,"&gt;=36526",E53,TODAY())+COUNTIFS(F53,"&gt;=36526",F53,TODAY())&gt;0),P53,"")</x:f>
      </x:c>
      <x:c r="L53" t="str">
        <x:f>IF(AND(A53&lt;&gt;"",COUNTIFS(C53,"&gt;"&amp;TODAY(),C53,"&lt;="&amp;TODAY()+30)+COUNTIFS(D53,"&gt;"&amp;TODAY(),D53,"&lt;="&amp;TODAY()+30)+COUNTIFS(E53,"&gt;"&amp;TODAY(),E53,"&lt;="&amp;TODAY()+30)+COUNTIFS(F53,"&gt;"&amp;TODAY(),F53,"&lt;="&amp;TODAY()+30)&gt;0),Q53,"")</x:f>
      </x:c>
      <x:c r="M53" t="str">
        <x:f>IF(OR(LEFT(H53,15)="Missing dates; ",LEFT(H53,16)="Add N/A reason; ",H53="Add dates",H53="Add registration",H53="Check date format"),R53,"")</x:f>
      </x:c>
      <x:c r="N53" t="str">
        <x:f>IF(COUNTIFS(C53:F53,"Reviewed N/A")&gt;0,S53,"")</x:f>
      </x:c>
      <x:c r="O53" t="n">
        <x:f>O52+IF(AND(A53&lt;&gt;"",COUNTIFS(C53,"&gt;=36526",C53,"&lt;"&amp;TODAY())+COUNTIFS(D53,"&gt;=36526",D53,"&lt;"&amp;TODAY())+COUNTIFS(E53,"&gt;=36526",E53,"&lt;"&amp;TODAY())+COUNTIFS(F53,"&gt;=36526",F53,"&lt;"&amp;TODAY())&gt;0),1,0)</x:f>
        <x:v>0</x:v>
      </x:c>
      <x:c r="P53" t="n">
        <x:f>P52+IF(AND(A53&lt;&gt;"",COUNTIFS(C53,"&gt;=36526",C53,TODAY())+COUNTIFS(D53,"&gt;=36526",D53,TODAY())+COUNTIFS(E53,"&gt;=36526",E53,TODAY())+COUNTIFS(F53,"&gt;=36526",F53,TODAY())&gt;0),1,0)</x:f>
        <x:v>0</x:v>
      </x:c>
      <x:c r="Q53" t="n">
        <x:f>Q52+IF(AND(A53&lt;&gt;"",COUNTIFS(C53,"&gt;"&amp;TODAY(),C53,"&lt;="&amp;TODAY()+30)+COUNTIFS(D53,"&gt;"&amp;TODAY(),D53,"&lt;="&amp;TODAY()+30)+COUNTIFS(E53,"&gt;"&amp;TODAY(),E53,"&lt;="&amp;TODAY()+30)+COUNTIFS(F53,"&gt;"&amp;TODAY(),F53,"&lt;="&amp;TODAY()+30)&gt;0),1,0)</x:f>
        <x:v>0</x:v>
      </x:c>
      <x:c r="R53" t="n">
        <x:f>R52+IF(OR(LEFT(H53,15)="Missing dates; ",LEFT(H53,16)="Add N/A reason; ",H53="Add dates",H53="Add registration",H53="Check date format"),1,0)</x:f>
        <x:v>0</x:v>
      </x:c>
      <x:c r="S53" t="n">
        <x:f>S52+IF(COUNTIFS(C53:F53,"Reviewed N/A")&gt;0,1,0)</x:f>
        <x:v>0</x:v>
      </x:c>
    </x:row>
    <x:row r="54" ht="48" customHeight="1">
      <x:c r="A54" s="52"/>
      <x:c r="B54" s="52"/>
      <x:c r="C54" s="53"/>
      <x:c r="D54" s="53"/>
      <x:c r="E54" s="53"/>
      <x:c r="F54" s="53"/>
      <x:c r="G54" s="52"/>
      <x:c r="H54" s="21" t="str">
        <x:f>IF(COUNTA(A54:G54,I54)=0,"",IF(A54="","Add registration",IF(OR(COUNTA(C54:F54)&gt;COUNT(C54:F54)+COUNTIFS(C54:F54,"Reviewed N/A"),AND(COUNT(C54:F54)&gt;0,OR(MIN(C54:F54)&lt;36526,MAX(C54:F54)&gt;109574))),"Check date format",IF(AND(COUNTIFS(C54:F54,"Reviewed N/A")&gt;0,I54=""),"Add N/A reason; ","")&amp;IF(COUNT(C54:F54)=0,IF(COUNTIFS(C54:F54,"Reviewed N/A")=4,"No applicable dates recorded","Add dates"),IF(COUNT(C54:F54)+COUNTIFS(C54:F54,"Reviewed N/A")&lt;4,"Missing dates; ","")&amp;IF(MIN(C54:F54)&lt;TODAY(),"Overdue: ",IF(MIN(C54:F54)=TODAY(),"Due today: ",IF(MIN(C54:F54)&lt;=TODAY()+30,"Due within 30 days: ","Next: ")))&amp;INDEX($C$8:$F$8,1,MATCH(MIN(C54:F54),C54:F54,0))&amp;" "&amp;TEXT(MIN(C54:F54),"dd mmm yyyy")))))</x:f>
      </x:c>
      <x:c r="I54" s="52"/>
      <x:c r="J54" t="str">
        <x:f>IF(AND(A54&lt;&gt;"",COUNTIFS(C54,"&gt;=36526",C54,"&lt;"&amp;TODAY())+COUNTIFS(D54,"&gt;=36526",D54,"&lt;"&amp;TODAY())+COUNTIFS(E54,"&gt;=36526",E54,"&lt;"&amp;TODAY())+COUNTIFS(F54,"&gt;=36526",F54,"&lt;"&amp;TODAY())&gt;0),O54,"")</x:f>
      </x:c>
      <x:c r="K54" t="str">
        <x:f>IF(AND(A54&lt;&gt;"",COUNTIFS(C54,"&gt;=36526",C54,TODAY())+COUNTIFS(D54,"&gt;=36526",D54,TODAY())+COUNTIFS(E54,"&gt;=36526",E54,TODAY())+COUNTIFS(F54,"&gt;=36526",F54,TODAY())&gt;0),P54,"")</x:f>
      </x:c>
      <x:c r="L54" t="str">
        <x:f>IF(AND(A54&lt;&gt;"",COUNTIFS(C54,"&gt;"&amp;TODAY(),C54,"&lt;="&amp;TODAY()+30)+COUNTIFS(D54,"&gt;"&amp;TODAY(),D54,"&lt;="&amp;TODAY()+30)+COUNTIFS(E54,"&gt;"&amp;TODAY(),E54,"&lt;="&amp;TODAY()+30)+COUNTIFS(F54,"&gt;"&amp;TODAY(),F54,"&lt;="&amp;TODAY()+30)&gt;0),Q54,"")</x:f>
      </x:c>
      <x:c r="M54" t="str">
        <x:f>IF(OR(LEFT(H54,15)="Missing dates; ",LEFT(H54,16)="Add N/A reason; ",H54="Add dates",H54="Add registration",H54="Check date format"),R54,"")</x:f>
      </x:c>
      <x:c r="N54" t="str">
        <x:f>IF(COUNTIFS(C54:F54,"Reviewed N/A")&gt;0,S54,"")</x:f>
      </x:c>
      <x:c r="O54" t="n">
        <x:f>O53+IF(AND(A54&lt;&gt;"",COUNTIFS(C54,"&gt;=36526",C54,"&lt;"&amp;TODAY())+COUNTIFS(D54,"&gt;=36526",D54,"&lt;"&amp;TODAY())+COUNTIFS(E54,"&gt;=36526",E54,"&lt;"&amp;TODAY())+COUNTIFS(F54,"&gt;=36526",F54,"&lt;"&amp;TODAY())&gt;0),1,0)</x:f>
        <x:v>0</x:v>
      </x:c>
      <x:c r="P54" t="n">
        <x:f>P53+IF(AND(A54&lt;&gt;"",COUNTIFS(C54,"&gt;=36526",C54,TODAY())+COUNTIFS(D54,"&gt;=36526",D54,TODAY())+COUNTIFS(E54,"&gt;=36526",E54,TODAY())+COUNTIFS(F54,"&gt;=36526",F54,TODAY())&gt;0),1,0)</x:f>
        <x:v>0</x:v>
      </x:c>
      <x:c r="Q54" t="n">
        <x:f>Q53+IF(AND(A54&lt;&gt;"",COUNTIFS(C54,"&gt;"&amp;TODAY(),C54,"&lt;="&amp;TODAY()+30)+COUNTIFS(D54,"&gt;"&amp;TODAY(),D54,"&lt;="&amp;TODAY()+30)+COUNTIFS(E54,"&gt;"&amp;TODAY(),E54,"&lt;="&amp;TODAY()+30)+COUNTIFS(F54,"&gt;"&amp;TODAY(),F54,"&lt;="&amp;TODAY()+30)&gt;0),1,0)</x:f>
        <x:v>0</x:v>
      </x:c>
      <x:c r="R54" t="n">
        <x:f>R53+IF(OR(LEFT(H54,15)="Missing dates; ",LEFT(H54,16)="Add N/A reason; ",H54="Add dates",H54="Add registration",H54="Check date format"),1,0)</x:f>
        <x:v>0</x:v>
      </x:c>
      <x:c r="S54" t="n">
        <x:f>S53+IF(COUNTIFS(C54:F54,"Reviewed N/A")&gt;0,1,0)</x:f>
        <x:v>0</x:v>
      </x:c>
    </x:row>
    <x:row r="55" ht="48" customHeight="1">
      <x:c r="A55" s="52"/>
      <x:c r="B55" s="52"/>
      <x:c r="C55" s="53"/>
      <x:c r="D55" s="53"/>
      <x:c r="E55" s="53"/>
      <x:c r="F55" s="53"/>
      <x:c r="G55" s="52"/>
      <x:c r="H55" s="21" t="str">
        <x:f>IF(COUNTA(A55:G55,I55)=0,"",IF(A55="","Add registration",IF(OR(COUNTA(C55:F55)&gt;COUNT(C55:F55)+COUNTIFS(C55:F55,"Reviewed N/A"),AND(COUNT(C55:F55)&gt;0,OR(MIN(C55:F55)&lt;36526,MAX(C55:F55)&gt;109574))),"Check date format",IF(AND(COUNTIFS(C55:F55,"Reviewed N/A")&gt;0,I55=""),"Add N/A reason; ","")&amp;IF(COUNT(C55:F55)=0,IF(COUNTIFS(C55:F55,"Reviewed N/A")=4,"No applicable dates recorded","Add dates"),IF(COUNT(C55:F55)+COUNTIFS(C55:F55,"Reviewed N/A")&lt;4,"Missing dates; ","")&amp;IF(MIN(C55:F55)&lt;TODAY(),"Overdue: ",IF(MIN(C55:F55)=TODAY(),"Due today: ",IF(MIN(C55:F55)&lt;=TODAY()+30,"Due within 30 days: ","Next: ")))&amp;INDEX($C$8:$F$8,1,MATCH(MIN(C55:F55),C55:F55,0))&amp;" "&amp;TEXT(MIN(C55:F55),"dd mmm yyyy")))))</x:f>
      </x:c>
      <x:c r="I55" s="52"/>
      <x:c r="J55" t="str">
        <x:f>IF(AND(A55&lt;&gt;"",COUNTIFS(C55,"&gt;=36526",C55,"&lt;"&amp;TODAY())+COUNTIFS(D55,"&gt;=36526",D55,"&lt;"&amp;TODAY())+COUNTIFS(E55,"&gt;=36526",E55,"&lt;"&amp;TODAY())+COUNTIFS(F55,"&gt;=36526",F55,"&lt;"&amp;TODAY())&gt;0),O55,"")</x:f>
      </x:c>
      <x:c r="K55" t="str">
        <x:f>IF(AND(A55&lt;&gt;"",COUNTIFS(C55,"&gt;=36526",C55,TODAY())+COUNTIFS(D55,"&gt;=36526",D55,TODAY())+COUNTIFS(E55,"&gt;=36526",E55,TODAY())+COUNTIFS(F55,"&gt;=36526",F55,TODAY())&gt;0),P55,"")</x:f>
      </x:c>
      <x:c r="L55" t="str">
        <x:f>IF(AND(A55&lt;&gt;"",COUNTIFS(C55,"&gt;"&amp;TODAY(),C55,"&lt;="&amp;TODAY()+30)+COUNTIFS(D55,"&gt;"&amp;TODAY(),D55,"&lt;="&amp;TODAY()+30)+COUNTIFS(E55,"&gt;"&amp;TODAY(),E55,"&lt;="&amp;TODAY()+30)+COUNTIFS(F55,"&gt;"&amp;TODAY(),F55,"&lt;="&amp;TODAY()+30)&gt;0),Q55,"")</x:f>
      </x:c>
      <x:c r="M55" t="str">
        <x:f>IF(OR(LEFT(H55,15)="Missing dates; ",LEFT(H55,16)="Add N/A reason; ",H55="Add dates",H55="Add registration",H55="Check date format"),R55,"")</x:f>
      </x:c>
      <x:c r="N55" t="str">
        <x:f>IF(COUNTIFS(C55:F55,"Reviewed N/A")&gt;0,S55,"")</x:f>
      </x:c>
      <x:c r="O55" t="n">
        <x:f>O54+IF(AND(A55&lt;&gt;"",COUNTIFS(C55,"&gt;=36526",C55,"&lt;"&amp;TODAY())+COUNTIFS(D55,"&gt;=36526",D55,"&lt;"&amp;TODAY())+COUNTIFS(E55,"&gt;=36526",E55,"&lt;"&amp;TODAY())+COUNTIFS(F55,"&gt;=36526",F55,"&lt;"&amp;TODAY())&gt;0),1,0)</x:f>
        <x:v>0</x:v>
      </x:c>
      <x:c r="P55" t="n">
        <x:f>P54+IF(AND(A55&lt;&gt;"",COUNTIFS(C55,"&gt;=36526",C55,TODAY())+COUNTIFS(D55,"&gt;=36526",D55,TODAY())+COUNTIFS(E55,"&gt;=36526",E55,TODAY())+COUNTIFS(F55,"&gt;=36526",F55,TODAY())&gt;0),1,0)</x:f>
        <x:v>0</x:v>
      </x:c>
      <x:c r="Q55" t="n">
        <x:f>Q54+IF(AND(A55&lt;&gt;"",COUNTIFS(C55,"&gt;"&amp;TODAY(),C55,"&lt;="&amp;TODAY()+30)+COUNTIFS(D55,"&gt;"&amp;TODAY(),D55,"&lt;="&amp;TODAY()+30)+COUNTIFS(E55,"&gt;"&amp;TODAY(),E55,"&lt;="&amp;TODAY()+30)+COUNTIFS(F55,"&gt;"&amp;TODAY(),F55,"&lt;="&amp;TODAY()+30)&gt;0),1,0)</x:f>
        <x:v>0</x:v>
      </x:c>
      <x:c r="R55" t="n">
        <x:f>R54+IF(OR(LEFT(H55,15)="Missing dates; ",LEFT(H55,16)="Add N/A reason; ",H55="Add dates",H55="Add registration",H55="Check date format"),1,0)</x:f>
        <x:v>0</x:v>
      </x:c>
      <x:c r="S55" t="n">
        <x:f>S54+IF(COUNTIFS(C55:F55,"Reviewed N/A")&gt;0,1,0)</x:f>
        <x:v>0</x:v>
      </x:c>
    </x:row>
    <x:row r="56" ht="48" customHeight="1">
      <x:c r="A56" s="52"/>
      <x:c r="B56" s="52"/>
      <x:c r="C56" s="53"/>
      <x:c r="D56" s="53"/>
      <x:c r="E56" s="53"/>
      <x:c r="F56" s="53"/>
      <x:c r="G56" s="52"/>
      <x:c r="H56" s="21" t="str">
        <x:f>IF(COUNTA(A56:G56,I56)=0,"",IF(A56="","Add registration",IF(OR(COUNTA(C56:F56)&gt;COUNT(C56:F56)+COUNTIFS(C56:F56,"Reviewed N/A"),AND(COUNT(C56:F56)&gt;0,OR(MIN(C56:F56)&lt;36526,MAX(C56:F56)&gt;109574))),"Check date format",IF(AND(COUNTIFS(C56:F56,"Reviewed N/A")&gt;0,I56=""),"Add N/A reason; ","")&amp;IF(COUNT(C56:F56)=0,IF(COUNTIFS(C56:F56,"Reviewed N/A")=4,"No applicable dates recorded","Add dates"),IF(COUNT(C56:F56)+COUNTIFS(C56:F56,"Reviewed N/A")&lt;4,"Missing dates; ","")&amp;IF(MIN(C56:F56)&lt;TODAY(),"Overdue: ",IF(MIN(C56:F56)=TODAY(),"Due today: ",IF(MIN(C56:F56)&lt;=TODAY()+30,"Due within 30 days: ","Next: ")))&amp;INDEX($C$8:$F$8,1,MATCH(MIN(C56:F56),C56:F56,0))&amp;" "&amp;TEXT(MIN(C56:F56),"dd mmm yyyy")))))</x:f>
      </x:c>
      <x:c r="I56" s="52"/>
      <x:c r="J56" t="str">
        <x:f>IF(AND(A56&lt;&gt;"",COUNTIFS(C56,"&gt;=36526",C56,"&lt;"&amp;TODAY())+COUNTIFS(D56,"&gt;=36526",D56,"&lt;"&amp;TODAY())+COUNTIFS(E56,"&gt;=36526",E56,"&lt;"&amp;TODAY())+COUNTIFS(F56,"&gt;=36526",F56,"&lt;"&amp;TODAY())&gt;0),O56,"")</x:f>
      </x:c>
      <x:c r="K56" t="str">
        <x:f>IF(AND(A56&lt;&gt;"",COUNTIFS(C56,"&gt;=36526",C56,TODAY())+COUNTIFS(D56,"&gt;=36526",D56,TODAY())+COUNTIFS(E56,"&gt;=36526",E56,TODAY())+COUNTIFS(F56,"&gt;=36526",F56,TODAY())&gt;0),P56,"")</x:f>
      </x:c>
      <x:c r="L56" t="str">
        <x:f>IF(AND(A56&lt;&gt;"",COUNTIFS(C56,"&gt;"&amp;TODAY(),C56,"&lt;="&amp;TODAY()+30)+COUNTIFS(D56,"&gt;"&amp;TODAY(),D56,"&lt;="&amp;TODAY()+30)+COUNTIFS(E56,"&gt;"&amp;TODAY(),E56,"&lt;="&amp;TODAY()+30)+COUNTIFS(F56,"&gt;"&amp;TODAY(),F56,"&lt;="&amp;TODAY()+30)&gt;0),Q56,"")</x:f>
      </x:c>
      <x:c r="M56" t="str">
        <x:f>IF(OR(LEFT(H56,15)="Missing dates; ",LEFT(H56,16)="Add N/A reason; ",H56="Add dates",H56="Add registration",H56="Check date format"),R56,"")</x:f>
      </x:c>
      <x:c r="N56" t="str">
        <x:f>IF(COUNTIFS(C56:F56,"Reviewed N/A")&gt;0,S56,"")</x:f>
      </x:c>
      <x:c r="O56" t="n">
        <x:f>O55+IF(AND(A56&lt;&gt;"",COUNTIFS(C56,"&gt;=36526",C56,"&lt;"&amp;TODAY())+COUNTIFS(D56,"&gt;=36526",D56,"&lt;"&amp;TODAY())+COUNTIFS(E56,"&gt;=36526",E56,"&lt;"&amp;TODAY())+COUNTIFS(F56,"&gt;=36526",F56,"&lt;"&amp;TODAY())&gt;0),1,0)</x:f>
        <x:v>0</x:v>
      </x:c>
      <x:c r="P56" t="n">
        <x:f>P55+IF(AND(A56&lt;&gt;"",COUNTIFS(C56,"&gt;=36526",C56,TODAY())+COUNTIFS(D56,"&gt;=36526",D56,TODAY())+COUNTIFS(E56,"&gt;=36526",E56,TODAY())+COUNTIFS(F56,"&gt;=36526",F56,TODAY())&gt;0),1,0)</x:f>
        <x:v>0</x:v>
      </x:c>
      <x:c r="Q56" t="n">
        <x:f>Q55+IF(AND(A56&lt;&gt;"",COUNTIFS(C56,"&gt;"&amp;TODAY(),C56,"&lt;="&amp;TODAY()+30)+COUNTIFS(D56,"&gt;"&amp;TODAY(),D56,"&lt;="&amp;TODAY()+30)+COUNTIFS(E56,"&gt;"&amp;TODAY(),E56,"&lt;="&amp;TODAY()+30)+COUNTIFS(F56,"&gt;"&amp;TODAY(),F56,"&lt;="&amp;TODAY()+30)&gt;0),1,0)</x:f>
        <x:v>0</x:v>
      </x:c>
      <x:c r="R56" t="n">
        <x:f>R55+IF(OR(LEFT(H56,15)="Missing dates; ",LEFT(H56,16)="Add N/A reason; ",H56="Add dates",H56="Add registration",H56="Check date format"),1,0)</x:f>
        <x:v>0</x:v>
      </x:c>
      <x:c r="S56" t="n">
        <x:f>S55+IF(COUNTIFS(C56:F56,"Reviewed N/A")&gt;0,1,0)</x:f>
        <x:v>0</x:v>
      </x:c>
    </x:row>
    <x:row r="57" ht="48" customHeight="1">
      <x:c r="A57" s="52"/>
      <x:c r="B57" s="52"/>
      <x:c r="C57" s="53"/>
      <x:c r="D57" s="53"/>
      <x:c r="E57" s="53"/>
      <x:c r="F57" s="53"/>
      <x:c r="G57" s="52"/>
      <x:c r="H57" s="21" t="str">
        <x:f>IF(COUNTA(A57:G57,I57)=0,"",IF(A57="","Add registration",IF(OR(COUNTA(C57:F57)&gt;COUNT(C57:F57)+COUNTIFS(C57:F57,"Reviewed N/A"),AND(COUNT(C57:F57)&gt;0,OR(MIN(C57:F57)&lt;36526,MAX(C57:F57)&gt;109574))),"Check date format",IF(AND(COUNTIFS(C57:F57,"Reviewed N/A")&gt;0,I57=""),"Add N/A reason; ","")&amp;IF(COUNT(C57:F57)=0,IF(COUNTIFS(C57:F57,"Reviewed N/A")=4,"No applicable dates recorded","Add dates"),IF(COUNT(C57:F57)+COUNTIFS(C57:F57,"Reviewed N/A")&lt;4,"Missing dates; ","")&amp;IF(MIN(C57:F57)&lt;TODAY(),"Overdue: ",IF(MIN(C57:F57)=TODAY(),"Due today: ",IF(MIN(C57:F57)&lt;=TODAY()+30,"Due within 30 days: ","Next: ")))&amp;INDEX($C$8:$F$8,1,MATCH(MIN(C57:F57),C57:F57,0))&amp;" "&amp;TEXT(MIN(C57:F57),"dd mmm yyyy")))))</x:f>
      </x:c>
      <x:c r="I57" s="52"/>
      <x:c r="J57" t="str">
        <x:f>IF(AND(A57&lt;&gt;"",COUNTIFS(C57,"&gt;=36526",C57,"&lt;"&amp;TODAY())+COUNTIFS(D57,"&gt;=36526",D57,"&lt;"&amp;TODAY())+COUNTIFS(E57,"&gt;=36526",E57,"&lt;"&amp;TODAY())+COUNTIFS(F57,"&gt;=36526",F57,"&lt;"&amp;TODAY())&gt;0),O57,"")</x:f>
      </x:c>
      <x:c r="K57" t="str">
        <x:f>IF(AND(A57&lt;&gt;"",COUNTIFS(C57,"&gt;=36526",C57,TODAY())+COUNTIFS(D57,"&gt;=36526",D57,TODAY())+COUNTIFS(E57,"&gt;=36526",E57,TODAY())+COUNTIFS(F57,"&gt;=36526",F57,TODAY())&gt;0),P57,"")</x:f>
      </x:c>
      <x:c r="L57" t="str">
        <x:f>IF(AND(A57&lt;&gt;"",COUNTIFS(C57,"&gt;"&amp;TODAY(),C57,"&lt;="&amp;TODAY()+30)+COUNTIFS(D57,"&gt;"&amp;TODAY(),D57,"&lt;="&amp;TODAY()+30)+COUNTIFS(E57,"&gt;"&amp;TODAY(),E57,"&lt;="&amp;TODAY()+30)+COUNTIFS(F57,"&gt;"&amp;TODAY(),F57,"&lt;="&amp;TODAY()+30)&gt;0),Q57,"")</x:f>
      </x:c>
      <x:c r="M57" t="str">
        <x:f>IF(OR(LEFT(H57,15)="Missing dates; ",LEFT(H57,16)="Add N/A reason; ",H57="Add dates",H57="Add registration",H57="Check date format"),R57,"")</x:f>
      </x:c>
      <x:c r="N57" t="str">
        <x:f>IF(COUNTIFS(C57:F57,"Reviewed N/A")&gt;0,S57,"")</x:f>
      </x:c>
      <x:c r="O57" t="n">
        <x:f>O56+IF(AND(A57&lt;&gt;"",COUNTIFS(C57,"&gt;=36526",C57,"&lt;"&amp;TODAY())+COUNTIFS(D57,"&gt;=36526",D57,"&lt;"&amp;TODAY())+COUNTIFS(E57,"&gt;=36526",E57,"&lt;"&amp;TODAY())+COUNTIFS(F57,"&gt;=36526",F57,"&lt;"&amp;TODAY())&gt;0),1,0)</x:f>
        <x:v>0</x:v>
      </x:c>
      <x:c r="P57" t="n">
        <x:f>P56+IF(AND(A57&lt;&gt;"",COUNTIFS(C57,"&gt;=36526",C57,TODAY())+COUNTIFS(D57,"&gt;=36526",D57,TODAY())+COUNTIFS(E57,"&gt;=36526",E57,TODAY())+COUNTIFS(F57,"&gt;=36526",F57,TODAY())&gt;0),1,0)</x:f>
        <x:v>0</x:v>
      </x:c>
      <x:c r="Q57" t="n">
        <x:f>Q56+IF(AND(A57&lt;&gt;"",COUNTIFS(C57,"&gt;"&amp;TODAY(),C57,"&lt;="&amp;TODAY()+30)+COUNTIFS(D57,"&gt;"&amp;TODAY(),D57,"&lt;="&amp;TODAY()+30)+COUNTIFS(E57,"&gt;"&amp;TODAY(),E57,"&lt;="&amp;TODAY()+30)+COUNTIFS(F57,"&gt;"&amp;TODAY(),F57,"&lt;="&amp;TODAY()+30)&gt;0),1,0)</x:f>
        <x:v>0</x:v>
      </x:c>
      <x:c r="R57" t="n">
        <x:f>R56+IF(OR(LEFT(H57,15)="Missing dates; ",LEFT(H57,16)="Add N/A reason; ",H57="Add dates",H57="Add registration",H57="Check date format"),1,0)</x:f>
        <x:v>0</x:v>
      </x:c>
      <x:c r="S57" t="n">
        <x:f>S56+IF(COUNTIFS(C57:F57,"Reviewed N/A")&gt;0,1,0)</x:f>
        <x:v>0</x:v>
      </x:c>
    </x:row>
    <x:row r="58" ht="48" customHeight="1">
      <x:c r="A58" s="52"/>
      <x:c r="B58" s="52"/>
      <x:c r="C58" s="53"/>
      <x:c r="D58" s="53"/>
      <x:c r="E58" s="53"/>
      <x:c r="F58" s="53"/>
      <x:c r="G58" s="52"/>
      <x:c r="H58" s="21" t="str">
        <x:f>IF(COUNTA(A58:G58,I58)=0,"",IF(A58="","Add registration",IF(OR(COUNTA(C58:F58)&gt;COUNT(C58:F58)+COUNTIFS(C58:F58,"Reviewed N/A"),AND(COUNT(C58:F58)&gt;0,OR(MIN(C58:F58)&lt;36526,MAX(C58:F58)&gt;109574))),"Check date format",IF(AND(COUNTIFS(C58:F58,"Reviewed N/A")&gt;0,I58=""),"Add N/A reason; ","")&amp;IF(COUNT(C58:F58)=0,IF(COUNTIFS(C58:F58,"Reviewed N/A")=4,"No applicable dates recorded","Add dates"),IF(COUNT(C58:F58)+COUNTIFS(C58:F58,"Reviewed N/A")&lt;4,"Missing dates; ","")&amp;IF(MIN(C58:F58)&lt;TODAY(),"Overdue: ",IF(MIN(C58:F58)=TODAY(),"Due today: ",IF(MIN(C58:F58)&lt;=TODAY()+30,"Due within 30 days: ","Next: ")))&amp;INDEX($C$8:$F$8,1,MATCH(MIN(C58:F58),C58:F58,0))&amp;" "&amp;TEXT(MIN(C58:F58),"dd mmm yyyy")))))</x:f>
      </x:c>
      <x:c r="I58" s="52"/>
      <x:c r="J58" t="str">
        <x:f>IF(AND(A58&lt;&gt;"",COUNTIFS(C58,"&gt;=36526",C58,"&lt;"&amp;TODAY())+COUNTIFS(D58,"&gt;=36526",D58,"&lt;"&amp;TODAY())+COUNTIFS(E58,"&gt;=36526",E58,"&lt;"&amp;TODAY())+COUNTIFS(F58,"&gt;=36526",F58,"&lt;"&amp;TODAY())&gt;0),O58,"")</x:f>
      </x:c>
      <x:c r="K58" t="str">
        <x:f>IF(AND(A58&lt;&gt;"",COUNTIFS(C58,"&gt;=36526",C58,TODAY())+COUNTIFS(D58,"&gt;=36526",D58,TODAY())+COUNTIFS(E58,"&gt;=36526",E58,TODAY())+COUNTIFS(F58,"&gt;=36526",F58,TODAY())&gt;0),P58,"")</x:f>
      </x:c>
      <x:c r="L58" t="str">
        <x:f>IF(AND(A58&lt;&gt;"",COUNTIFS(C58,"&gt;"&amp;TODAY(),C58,"&lt;="&amp;TODAY()+30)+COUNTIFS(D58,"&gt;"&amp;TODAY(),D58,"&lt;="&amp;TODAY()+30)+COUNTIFS(E58,"&gt;"&amp;TODAY(),E58,"&lt;="&amp;TODAY()+30)+COUNTIFS(F58,"&gt;"&amp;TODAY(),F58,"&lt;="&amp;TODAY()+30)&gt;0),Q58,"")</x:f>
      </x:c>
      <x:c r="M58" t="str">
        <x:f>IF(OR(LEFT(H58,15)="Missing dates; ",LEFT(H58,16)="Add N/A reason; ",H58="Add dates",H58="Add registration",H58="Check date format"),R58,"")</x:f>
      </x:c>
      <x:c r="N58" t="str">
        <x:f>IF(COUNTIFS(C58:F58,"Reviewed N/A")&gt;0,S58,"")</x:f>
      </x:c>
      <x:c r="O58" t="n">
        <x:f>O57+IF(AND(A58&lt;&gt;"",COUNTIFS(C58,"&gt;=36526",C58,"&lt;"&amp;TODAY())+COUNTIFS(D58,"&gt;=36526",D58,"&lt;"&amp;TODAY())+COUNTIFS(E58,"&gt;=36526",E58,"&lt;"&amp;TODAY())+COUNTIFS(F58,"&gt;=36526",F58,"&lt;"&amp;TODAY())&gt;0),1,0)</x:f>
        <x:v>0</x:v>
      </x:c>
      <x:c r="P58" t="n">
        <x:f>P57+IF(AND(A58&lt;&gt;"",COUNTIFS(C58,"&gt;=36526",C58,TODAY())+COUNTIFS(D58,"&gt;=36526",D58,TODAY())+COUNTIFS(E58,"&gt;=36526",E58,TODAY())+COUNTIFS(F58,"&gt;=36526",F58,TODAY())&gt;0),1,0)</x:f>
        <x:v>0</x:v>
      </x:c>
      <x:c r="Q58" t="n">
        <x:f>Q57+IF(AND(A58&lt;&gt;"",COUNTIFS(C58,"&gt;"&amp;TODAY(),C58,"&lt;="&amp;TODAY()+30)+COUNTIFS(D58,"&gt;"&amp;TODAY(),D58,"&lt;="&amp;TODAY()+30)+COUNTIFS(E58,"&gt;"&amp;TODAY(),E58,"&lt;="&amp;TODAY()+30)+COUNTIFS(F58,"&gt;"&amp;TODAY(),F58,"&lt;="&amp;TODAY()+30)&gt;0),1,0)</x:f>
        <x:v>0</x:v>
      </x:c>
      <x:c r="R58" t="n">
        <x:f>R57+IF(OR(LEFT(H58,15)="Missing dates; ",LEFT(H58,16)="Add N/A reason; ",H58="Add dates",H58="Add registration",H58="Check date format"),1,0)</x:f>
        <x:v>0</x:v>
      </x:c>
      <x:c r="S58" t="n">
        <x:f>S57+IF(COUNTIFS(C58:F58,"Reviewed N/A")&gt;0,1,0)</x:f>
        <x:v>0</x:v>
      </x:c>
    </x:row>
    <x:row r="59" ht="48" customHeight="1">
      <x:c r="A59" s="52"/>
      <x:c r="B59" s="52"/>
      <x:c r="C59" s="53"/>
      <x:c r="D59" s="53"/>
      <x:c r="E59" s="53"/>
      <x:c r="F59" s="53"/>
      <x:c r="G59" s="52"/>
      <x:c r="H59" s="21" t="str">
        <x:f>IF(COUNTA(A59:G59,I59)=0,"",IF(A59="","Add registration",IF(OR(COUNTA(C59:F59)&gt;COUNT(C59:F59)+COUNTIFS(C59:F59,"Reviewed N/A"),AND(COUNT(C59:F59)&gt;0,OR(MIN(C59:F59)&lt;36526,MAX(C59:F59)&gt;109574))),"Check date format",IF(AND(COUNTIFS(C59:F59,"Reviewed N/A")&gt;0,I59=""),"Add N/A reason; ","")&amp;IF(COUNT(C59:F59)=0,IF(COUNTIFS(C59:F59,"Reviewed N/A")=4,"No applicable dates recorded","Add dates"),IF(COUNT(C59:F59)+COUNTIFS(C59:F59,"Reviewed N/A")&lt;4,"Missing dates; ","")&amp;IF(MIN(C59:F59)&lt;TODAY(),"Overdue: ",IF(MIN(C59:F59)=TODAY(),"Due today: ",IF(MIN(C59:F59)&lt;=TODAY()+30,"Due within 30 days: ","Next: ")))&amp;INDEX($C$8:$F$8,1,MATCH(MIN(C59:F59),C59:F59,0))&amp;" "&amp;TEXT(MIN(C59:F59),"dd mmm yyyy")))))</x:f>
      </x:c>
      <x:c r="I59" s="52"/>
      <x:c r="J59" t="str">
        <x:f>IF(AND(A59&lt;&gt;"",COUNTIFS(C59,"&gt;=36526",C59,"&lt;"&amp;TODAY())+COUNTIFS(D59,"&gt;=36526",D59,"&lt;"&amp;TODAY())+COUNTIFS(E59,"&gt;=36526",E59,"&lt;"&amp;TODAY())+COUNTIFS(F59,"&gt;=36526",F59,"&lt;"&amp;TODAY())&gt;0),O59,"")</x:f>
      </x:c>
      <x:c r="K59" t="str">
        <x:f>IF(AND(A59&lt;&gt;"",COUNTIFS(C59,"&gt;=36526",C59,TODAY())+COUNTIFS(D59,"&gt;=36526",D59,TODAY())+COUNTIFS(E59,"&gt;=36526",E59,TODAY())+COUNTIFS(F59,"&gt;=36526",F59,TODAY())&gt;0),P59,"")</x:f>
      </x:c>
      <x:c r="L59" t="str">
        <x:f>IF(AND(A59&lt;&gt;"",COUNTIFS(C59,"&gt;"&amp;TODAY(),C59,"&lt;="&amp;TODAY()+30)+COUNTIFS(D59,"&gt;"&amp;TODAY(),D59,"&lt;="&amp;TODAY()+30)+COUNTIFS(E59,"&gt;"&amp;TODAY(),E59,"&lt;="&amp;TODAY()+30)+COUNTIFS(F59,"&gt;"&amp;TODAY(),F59,"&lt;="&amp;TODAY()+30)&gt;0),Q59,"")</x:f>
      </x:c>
      <x:c r="M59" t="str">
        <x:f>IF(OR(LEFT(H59,15)="Missing dates; ",LEFT(H59,16)="Add N/A reason; ",H59="Add dates",H59="Add registration",H59="Check date format"),R59,"")</x:f>
      </x:c>
      <x:c r="N59" t="str">
        <x:f>IF(COUNTIFS(C59:F59,"Reviewed N/A")&gt;0,S59,"")</x:f>
      </x:c>
      <x:c r="O59" t="n">
        <x:f>O58+IF(AND(A59&lt;&gt;"",COUNTIFS(C59,"&gt;=36526",C59,"&lt;"&amp;TODAY())+COUNTIFS(D59,"&gt;=36526",D59,"&lt;"&amp;TODAY())+COUNTIFS(E59,"&gt;=36526",E59,"&lt;"&amp;TODAY())+COUNTIFS(F59,"&gt;=36526",F59,"&lt;"&amp;TODAY())&gt;0),1,0)</x:f>
        <x:v>0</x:v>
      </x:c>
      <x:c r="P59" t="n">
        <x:f>P58+IF(AND(A59&lt;&gt;"",COUNTIFS(C59,"&gt;=36526",C59,TODAY())+COUNTIFS(D59,"&gt;=36526",D59,TODAY())+COUNTIFS(E59,"&gt;=36526",E59,TODAY())+COUNTIFS(F59,"&gt;=36526",F59,TODAY())&gt;0),1,0)</x:f>
        <x:v>0</x:v>
      </x:c>
      <x:c r="Q59" t="n">
        <x:f>Q58+IF(AND(A59&lt;&gt;"",COUNTIFS(C59,"&gt;"&amp;TODAY(),C59,"&lt;="&amp;TODAY()+30)+COUNTIFS(D59,"&gt;"&amp;TODAY(),D59,"&lt;="&amp;TODAY()+30)+COUNTIFS(E59,"&gt;"&amp;TODAY(),E59,"&lt;="&amp;TODAY()+30)+COUNTIFS(F59,"&gt;"&amp;TODAY(),F59,"&lt;="&amp;TODAY()+30)&gt;0),1,0)</x:f>
        <x:v>0</x:v>
      </x:c>
      <x:c r="R59" t="n">
        <x:f>R58+IF(OR(LEFT(H59,15)="Missing dates; ",LEFT(H59,16)="Add N/A reason; ",H59="Add dates",H59="Add registration",H59="Check date format"),1,0)</x:f>
        <x:v>0</x:v>
      </x:c>
      <x:c r="S59" t="n">
        <x:f>S58+IF(COUNTIFS(C59:F59,"Reviewed N/A")&gt;0,1,0)</x:f>
        <x:v>0</x:v>
      </x:c>
    </x:row>
    <x:row r="60" ht="48" customHeight="1">
      <x:c r="A60" s="52"/>
      <x:c r="B60" s="52"/>
      <x:c r="C60" s="53"/>
      <x:c r="D60" s="53"/>
      <x:c r="E60" s="53"/>
      <x:c r="F60" s="53"/>
      <x:c r="G60" s="52"/>
      <x:c r="H60" s="21" t="str">
        <x:f>IF(COUNTA(A60:G60,I60)=0,"",IF(A60="","Add registration",IF(OR(COUNTA(C60:F60)&gt;COUNT(C60:F60)+COUNTIFS(C60:F60,"Reviewed N/A"),AND(COUNT(C60:F60)&gt;0,OR(MIN(C60:F60)&lt;36526,MAX(C60:F60)&gt;109574))),"Check date format",IF(AND(COUNTIFS(C60:F60,"Reviewed N/A")&gt;0,I60=""),"Add N/A reason; ","")&amp;IF(COUNT(C60:F60)=0,IF(COUNTIFS(C60:F60,"Reviewed N/A")=4,"No applicable dates recorded","Add dates"),IF(COUNT(C60:F60)+COUNTIFS(C60:F60,"Reviewed N/A")&lt;4,"Missing dates; ","")&amp;IF(MIN(C60:F60)&lt;TODAY(),"Overdue: ",IF(MIN(C60:F60)=TODAY(),"Due today: ",IF(MIN(C60:F60)&lt;=TODAY()+30,"Due within 30 days: ","Next: ")))&amp;INDEX($C$8:$F$8,1,MATCH(MIN(C60:F60),C60:F60,0))&amp;" "&amp;TEXT(MIN(C60:F60),"dd mmm yyyy")))))</x:f>
      </x:c>
      <x:c r="I60" s="52"/>
      <x:c r="J60" t="str">
        <x:f>IF(AND(A60&lt;&gt;"",COUNTIFS(C60,"&gt;=36526",C60,"&lt;"&amp;TODAY())+COUNTIFS(D60,"&gt;=36526",D60,"&lt;"&amp;TODAY())+COUNTIFS(E60,"&gt;=36526",E60,"&lt;"&amp;TODAY())+COUNTIFS(F60,"&gt;=36526",F60,"&lt;"&amp;TODAY())&gt;0),O60,"")</x:f>
      </x:c>
      <x:c r="K60" t="str">
        <x:f>IF(AND(A60&lt;&gt;"",COUNTIFS(C60,"&gt;=36526",C60,TODAY())+COUNTIFS(D60,"&gt;=36526",D60,TODAY())+COUNTIFS(E60,"&gt;=36526",E60,TODAY())+COUNTIFS(F60,"&gt;=36526",F60,TODAY())&gt;0),P60,"")</x:f>
      </x:c>
      <x:c r="L60" t="str">
        <x:f>IF(AND(A60&lt;&gt;"",COUNTIFS(C60,"&gt;"&amp;TODAY(),C60,"&lt;="&amp;TODAY()+30)+COUNTIFS(D60,"&gt;"&amp;TODAY(),D60,"&lt;="&amp;TODAY()+30)+COUNTIFS(E60,"&gt;"&amp;TODAY(),E60,"&lt;="&amp;TODAY()+30)+COUNTIFS(F60,"&gt;"&amp;TODAY(),F60,"&lt;="&amp;TODAY()+30)&gt;0),Q60,"")</x:f>
      </x:c>
      <x:c r="M60" t="str">
        <x:f>IF(OR(LEFT(H60,15)="Missing dates; ",LEFT(H60,16)="Add N/A reason; ",H60="Add dates",H60="Add registration",H60="Check date format"),R60,"")</x:f>
      </x:c>
      <x:c r="N60" t="str">
        <x:f>IF(COUNTIFS(C60:F60,"Reviewed N/A")&gt;0,S60,"")</x:f>
      </x:c>
      <x:c r="O60" t="n">
        <x:f>O59+IF(AND(A60&lt;&gt;"",COUNTIFS(C60,"&gt;=36526",C60,"&lt;"&amp;TODAY())+COUNTIFS(D60,"&gt;=36526",D60,"&lt;"&amp;TODAY())+COUNTIFS(E60,"&gt;=36526",E60,"&lt;"&amp;TODAY())+COUNTIFS(F60,"&gt;=36526",F60,"&lt;"&amp;TODAY())&gt;0),1,0)</x:f>
        <x:v>0</x:v>
      </x:c>
      <x:c r="P60" t="n">
        <x:f>P59+IF(AND(A60&lt;&gt;"",COUNTIFS(C60,"&gt;=36526",C60,TODAY())+COUNTIFS(D60,"&gt;=36526",D60,TODAY())+COUNTIFS(E60,"&gt;=36526",E60,TODAY())+COUNTIFS(F60,"&gt;=36526",F60,TODAY())&gt;0),1,0)</x:f>
        <x:v>0</x:v>
      </x:c>
      <x:c r="Q60" t="n">
        <x:f>Q59+IF(AND(A60&lt;&gt;"",COUNTIFS(C60,"&gt;"&amp;TODAY(),C60,"&lt;="&amp;TODAY()+30)+COUNTIFS(D60,"&gt;"&amp;TODAY(),D60,"&lt;="&amp;TODAY()+30)+COUNTIFS(E60,"&gt;"&amp;TODAY(),E60,"&lt;="&amp;TODAY()+30)+COUNTIFS(F60,"&gt;"&amp;TODAY(),F60,"&lt;="&amp;TODAY()+30)&gt;0),1,0)</x:f>
        <x:v>0</x:v>
      </x:c>
      <x:c r="R60" t="n">
        <x:f>R59+IF(OR(LEFT(H60,15)="Missing dates; ",LEFT(H60,16)="Add N/A reason; ",H60="Add dates",H60="Add registration",H60="Check date format"),1,0)</x:f>
        <x:v>0</x:v>
      </x:c>
      <x:c r="S60" t="n">
        <x:f>S59+IF(COUNTIFS(C60:F60,"Reviewed N/A")&gt;0,1,0)</x:f>
        <x:v>0</x:v>
      </x:c>
    </x:row>
    <x:row r="61" ht="48" customHeight="1">
      <x:c r="A61" s="52"/>
      <x:c r="B61" s="52"/>
      <x:c r="C61" s="53"/>
      <x:c r="D61" s="53"/>
      <x:c r="E61" s="53"/>
      <x:c r="F61" s="53"/>
      <x:c r="G61" s="52"/>
      <x:c r="H61" s="21" t="str">
        <x:f>IF(COUNTA(A61:G61,I61)=0,"",IF(A61="","Add registration",IF(OR(COUNTA(C61:F61)&gt;COUNT(C61:F61)+COUNTIFS(C61:F61,"Reviewed N/A"),AND(COUNT(C61:F61)&gt;0,OR(MIN(C61:F61)&lt;36526,MAX(C61:F61)&gt;109574))),"Check date format",IF(AND(COUNTIFS(C61:F61,"Reviewed N/A")&gt;0,I61=""),"Add N/A reason; ","")&amp;IF(COUNT(C61:F61)=0,IF(COUNTIFS(C61:F61,"Reviewed N/A")=4,"No applicable dates recorded","Add dates"),IF(COUNT(C61:F61)+COUNTIFS(C61:F61,"Reviewed N/A")&lt;4,"Missing dates; ","")&amp;IF(MIN(C61:F61)&lt;TODAY(),"Overdue: ",IF(MIN(C61:F61)=TODAY(),"Due today: ",IF(MIN(C61:F61)&lt;=TODAY()+30,"Due within 30 days: ","Next: ")))&amp;INDEX($C$8:$F$8,1,MATCH(MIN(C61:F61),C61:F61,0))&amp;" "&amp;TEXT(MIN(C61:F61),"dd mmm yyyy")))))</x:f>
      </x:c>
      <x:c r="I61" s="52"/>
      <x:c r="J61" t="str">
        <x:f>IF(AND(A61&lt;&gt;"",COUNTIFS(C61,"&gt;=36526",C61,"&lt;"&amp;TODAY())+COUNTIFS(D61,"&gt;=36526",D61,"&lt;"&amp;TODAY())+COUNTIFS(E61,"&gt;=36526",E61,"&lt;"&amp;TODAY())+COUNTIFS(F61,"&gt;=36526",F61,"&lt;"&amp;TODAY())&gt;0),O61,"")</x:f>
      </x:c>
      <x:c r="K61" t="str">
        <x:f>IF(AND(A61&lt;&gt;"",COUNTIFS(C61,"&gt;=36526",C61,TODAY())+COUNTIFS(D61,"&gt;=36526",D61,TODAY())+COUNTIFS(E61,"&gt;=36526",E61,TODAY())+COUNTIFS(F61,"&gt;=36526",F61,TODAY())&gt;0),P61,"")</x:f>
      </x:c>
      <x:c r="L61" t="str">
        <x:f>IF(AND(A61&lt;&gt;"",COUNTIFS(C61,"&gt;"&amp;TODAY(),C61,"&lt;="&amp;TODAY()+30)+COUNTIFS(D61,"&gt;"&amp;TODAY(),D61,"&lt;="&amp;TODAY()+30)+COUNTIFS(E61,"&gt;"&amp;TODAY(),E61,"&lt;="&amp;TODAY()+30)+COUNTIFS(F61,"&gt;"&amp;TODAY(),F61,"&lt;="&amp;TODAY()+30)&gt;0),Q61,"")</x:f>
      </x:c>
      <x:c r="M61" t="str">
        <x:f>IF(OR(LEFT(H61,15)="Missing dates; ",LEFT(H61,16)="Add N/A reason; ",H61="Add dates",H61="Add registration",H61="Check date format"),R61,"")</x:f>
      </x:c>
      <x:c r="N61" t="str">
        <x:f>IF(COUNTIFS(C61:F61,"Reviewed N/A")&gt;0,S61,"")</x:f>
      </x:c>
      <x:c r="O61" t="n">
        <x:f>O60+IF(AND(A61&lt;&gt;"",COUNTIFS(C61,"&gt;=36526",C61,"&lt;"&amp;TODAY())+COUNTIFS(D61,"&gt;=36526",D61,"&lt;"&amp;TODAY())+COUNTIFS(E61,"&gt;=36526",E61,"&lt;"&amp;TODAY())+COUNTIFS(F61,"&gt;=36526",F61,"&lt;"&amp;TODAY())&gt;0),1,0)</x:f>
        <x:v>0</x:v>
      </x:c>
      <x:c r="P61" t="n">
        <x:f>P60+IF(AND(A61&lt;&gt;"",COUNTIFS(C61,"&gt;=36526",C61,TODAY())+COUNTIFS(D61,"&gt;=36526",D61,TODAY())+COUNTIFS(E61,"&gt;=36526",E61,TODAY())+COUNTIFS(F61,"&gt;=36526",F61,TODAY())&gt;0),1,0)</x:f>
        <x:v>0</x:v>
      </x:c>
      <x:c r="Q61" t="n">
        <x:f>Q60+IF(AND(A61&lt;&gt;"",COUNTIFS(C61,"&gt;"&amp;TODAY(),C61,"&lt;="&amp;TODAY()+30)+COUNTIFS(D61,"&gt;"&amp;TODAY(),D61,"&lt;="&amp;TODAY()+30)+COUNTIFS(E61,"&gt;"&amp;TODAY(),E61,"&lt;="&amp;TODAY()+30)+COUNTIFS(F61,"&gt;"&amp;TODAY(),F61,"&lt;="&amp;TODAY()+30)&gt;0),1,0)</x:f>
        <x:v>0</x:v>
      </x:c>
      <x:c r="R61" t="n">
        <x:f>R60+IF(OR(LEFT(H61,15)="Missing dates; ",LEFT(H61,16)="Add N/A reason; ",H61="Add dates",H61="Add registration",H61="Check date format"),1,0)</x:f>
        <x:v>0</x:v>
      </x:c>
      <x:c r="S61" t="n">
        <x:f>S60+IF(COUNTIFS(C61:F61,"Reviewed N/A")&gt;0,1,0)</x:f>
        <x:v>0</x:v>
      </x:c>
    </x:row>
    <x:row r="62" ht="48" customHeight="1">
      <x:c r="A62" s="52"/>
      <x:c r="B62" s="52"/>
      <x:c r="C62" s="53"/>
      <x:c r="D62" s="53"/>
      <x:c r="E62" s="53"/>
      <x:c r="F62" s="53"/>
      <x:c r="G62" s="52"/>
      <x:c r="H62" s="21" t="str">
        <x:f>IF(COUNTA(A62:G62,I62)=0,"",IF(A62="","Add registration",IF(OR(COUNTA(C62:F62)&gt;COUNT(C62:F62)+COUNTIFS(C62:F62,"Reviewed N/A"),AND(COUNT(C62:F62)&gt;0,OR(MIN(C62:F62)&lt;36526,MAX(C62:F62)&gt;109574))),"Check date format",IF(AND(COUNTIFS(C62:F62,"Reviewed N/A")&gt;0,I62=""),"Add N/A reason; ","")&amp;IF(COUNT(C62:F62)=0,IF(COUNTIFS(C62:F62,"Reviewed N/A")=4,"No applicable dates recorded","Add dates"),IF(COUNT(C62:F62)+COUNTIFS(C62:F62,"Reviewed N/A")&lt;4,"Missing dates; ","")&amp;IF(MIN(C62:F62)&lt;TODAY(),"Overdue: ",IF(MIN(C62:F62)=TODAY(),"Due today: ",IF(MIN(C62:F62)&lt;=TODAY()+30,"Due within 30 days: ","Next: ")))&amp;INDEX($C$8:$F$8,1,MATCH(MIN(C62:F62),C62:F62,0))&amp;" "&amp;TEXT(MIN(C62:F62),"dd mmm yyyy")))))</x:f>
      </x:c>
      <x:c r="I62" s="52"/>
      <x:c r="J62" t="str">
        <x:f>IF(AND(A62&lt;&gt;"",COUNTIFS(C62,"&gt;=36526",C62,"&lt;"&amp;TODAY())+COUNTIFS(D62,"&gt;=36526",D62,"&lt;"&amp;TODAY())+COUNTIFS(E62,"&gt;=36526",E62,"&lt;"&amp;TODAY())+COUNTIFS(F62,"&gt;=36526",F62,"&lt;"&amp;TODAY())&gt;0),O62,"")</x:f>
      </x:c>
      <x:c r="K62" t="str">
        <x:f>IF(AND(A62&lt;&gt;"",COUNTIFS(C62,"&gt;=36526",C62,TODAY())+COUNTIFS(D62,"&gt;=36526",D62,TODAY())+COUNTIFS(E62,"&gt;=36526",E62,TODAY())+COUNTIFS(F62,"&gt;=36526",F62,TODAY())&gt;0),P62,"")</x:f>
      </x:c>
      <x:c r="L62" t="str">
        <x:f>IF(AND(A62&lt;&gt;"",COUNTIFS(C62,"&gt;"&amp;TODAY(),C62,"&lt;="&amp;TODAY()+30)+COUNTIFS(D62,"&gt;"&amp;TODAY(),D62,"&lt;="&amp;TODAY()+30)+COUNTIFS(E62,"&gt;"&amp;TODAY(),E62,"&lt;="&amp;TODAY()+30)+COUNTIFS(F62,"&gt;"&amp;TODAY(),F62,"&lt;="&amp;TODAY()+30)&gt;0),Q62,"")</x:f>
      </x:c>
      <x:c r="M62" t="str">
        <x:f>IF(OR(LEFT(H62,15)="Missing dates; ",LEFT(H62,16)="Add N/A reason; ",H62="Add dates",H62="Add registration",H62="Check date format"),R62,"")</x:f>
      </x:c>
      <x:c r="N62" t="str">
        <x:f>IF(COUNTIFS(C62:F62,"Reviewed N/A")&gt;0,S62,"")</x:f>
      </x:c>
      <x:c r="O62" t="n">
        <x:f>O61+IF(AND(A62&lt;&gt;"",COUNTIFS(C62,"&gt;=36526",C62,"&lt;"&amp;TODAY())+COUNTIFS(D62,"&gt;=36526",D62,"&lt;"&amp;TODAY())+COUNTIFS(E62,"&gt;=36526",E62,"&lt;"&amp;TODAY())+COUNTIFS(F62,"&gt;=36526",F62,"&lt;"&amp;TODAY())&gt;0),1,0)</x:f>
        <x:v>0</x:v>
      </x:c>
      <x:c r="P62" t="n">
        <x:f>P61+IF(AND(A62&lt;&gt;"",COUNTIFS(C62,"&gt;=36526",C62,TODAY())+COUNTIFS(D62,"&gt;=36526",D62,TODAY())+COUNTIFS(E62,"&gt;=36526",E62,TODAY())+COUNTIFS(F62,"&gt;=36526",F62,TODAY())&gt;0),1,0)</x:f>
        <x:v>0</x:v>
      </x:c>
      <x:c r="Q62" t="n">
        <x:f>Q61+IF(AND(A62&lt;&gt;"",COUNTIFS(C62,"&gt;"&amp;TODAY(),C62,"&lt;="&amp;TODAY()+30)+COUNTIFS(D62,"&gt;"&amp;TODAY(),D62,"&lt;="&amp;TODAY()+30)+COUNTIFS(E62,"&gt;"&amp;TODAY(),E62,"&lt;="&amp;TODAY()+30)+COUNTIFS(F62,"&gt;"&amp;TODAY(),F62,"&lt;="&amp;TODAY()+30)&gt;0),1,0)</x:f>
        <x:v>0</x:v>
      </x:c>
      <x:c r="R62" t="n">
        <x:f>R61+IF(OR(LEFT(H62,15)="Missing dates; ",LEFT(H62,16)="Add N/A reason; ",H62="Add dates",H62="Add registration",H62="Check date format"),1,0)</x:f>
        <x:v>0</x:v>
      </x:c>
      <x:c r="S62" t="n">
        <x:f>S61+IF(COUNTIFS(C62:F62,"Reviewed N/A")&gt;0,1,0)</x:f>
        <x:v>0</x:v>
      </x:c>
    </x:row>
    <x:row r="63" ht="48" customHeight="1">
      <x:c r="A63" s="52"/>
      <x:c r="B63" s="52"/>
      <x:c r="C63" s="53"/>
      <x:c r="D63" s="53"/>
      <x:c r="E63" s="53"/>
      <x:c r="F63" s="53"/>
      <x:c r="G63" s="52"/>
      <x:c r="H63" s="21" t="str">
        <x:f>IF(COUNTA(A63:G63,I63)=0,"",IF(A63="","Add registration",IF(OR(COUNTA(C63:F63)&gt;COUNT(C63:F63)+COUNTIFS(C63:F63,"Reviewed N/A"),AND(COUNT(C63:F63)&gt;0,OR(MIN(C63:F63)&lt;36526,MAX(C63:F63)&gt;109574))),"Check date format",IF(AND(COUNTIFS(C63:F63,"Reviewed N/A")&gt;0,I63=""),"Add N/A reason; ","")&amp;IF(COUNT(C63:F63)=0,IF(COUNTIFS(C63:F63,"Reviewed N/A")=4,"No applicable dates recorded","Add dates"),IF(COUNT(C63:F63)+COUNTIFS(C63:F63,"Reviewed N/A")&lt;4,"Missing dates; ","")&amp;IF(MIN(C63:F63)&lt;TODAY(),"Overdue: ",IF(MIN(C63:F63)=TODAY(),"Due today: ",IF(MIN(C63:F63)&lt;=TODAY()+30,"Due within 30 days: ","Next: ")))&amp;INDEX($C$8:$F$8,1,MATCH(MIN(C63:F63),C63:F63,0))&amp;" "&amp;TEXT(MIN(C63:F63),"dd mmm yyyy")))))</x:f>
      </x:c>
      <x:c r="I63" s="52"/>
      <x:c r="J63" t="str">
        <x:f>IF(AND(A63&lt;&gt;"",COUNTIFS(C63,"&gt;=36526",C63,"&lt;"&amp;TODAY())+COUNTIFS(D63,"&gt;=36526",D63,"&lt;"&amp;TODAY())+COUNTIFS(E63,"&gt;=36526",E63,"&lt;"&amp;TODAY())+COUNTIFS(F63,"&gt;=36526",F63,"&lt;"&amp;TODAY())&gt;0),O63,"")</x:f>
      </x:c>
      <x:c r="K63" t="str">
        <x:f>IF(AND(A63&lt;&gt;"",COUNTIFS(C63,"&gt;=36526",C63,TODAY())+COUNTIFS(D63,"&gt;=36526",D63,TODAY())+COUNTIFS(E63,"&gt;=36526",E63,TODAY())+COUNTIFS(F63,"&gt;=36526",F63,TODAY())&gt;0),P63,"")</x:f>
      </x:c>
      <x:c r="L63" t="str">
        <x:f>IF(AND(A63&lt;&gt;"",COUNTIFS(C63,"&gt;"&amp;TODAY(),C63,"&lt;="&amp;TODAY()+30)+COUNTIFS(D63,"&gt;"&amp;TODAY(),D63,"&lt;="&amp;TODAY()+30)+COUNTIFS(E63,"&gt;"&amp;TODAY(),E63,"&lt;="&amp;TODAY()+30)+COUNTIFS(F63,"&gt;"&amp;TODAY(),F63,"&lt;="&amp;TODAY()+30)&gt;0),Q63,"")</x:f>
      </x:c>
      <x:c r="M63" t="str">
        <x:f>IF(OR(LEFT(H63,15)="Missing dates; ",LEFT(H63,16)="Add N/A reason; ",H63="Add dates",H63="Add registration",H63="Check date format"),R63,"")</x:f>
      </x:c>
      <x:c r="N63" t="str">
        <x:f>IF(COUNTIFS(C63:F63,"Reviewed N/A")&gt;0,S63,"")</x:f>
      </x:c>
      <x:c r="O63" t="n">
        <x:f>O62+IF(AND(A63&lt;&gt;"",COUNTIFS(C63,"&gt;=36526",C63,"&lt;"&amp;TODAY())+COUNTIFS(D63,"&gt;=36526",D63,"&lt;"&amp;TODAY())+COUNTIFS(E63,"&gt;=36526",E63,"&lt;"&amp;TODAY())+COUNTIFS(F63,"&gt;=36526",F63,"&lt;"&amp;TODAY())&gt;0),1,0)</x:f>
        <x:v>0</x:v>
      </x:c>
      <x:c r="P63" t="n">
        <x:f>P62+IF(AND(A63&lt;&gt;"",COUNTIFS(C63,"&gt;=36526",C63,TODAY())+COUNTIFS(D63,"&gt;=36526",D63,TODAY())+COUNTIFS(E63,"&gt;=36526",E63,TODAY())+COUNTIFS(F63,"&gt;=36526",F63,TODAY())&gt;0),1,0)</x:f>
        <x:v>0</x:v>
      </x:c>
      <x:c r="Q63" t="n">
        <x:f>Q62+IF(AND(A63&lt;&gt;"",COUNTIFS(C63,"&gt;"&amp;TODAY(),C63,"&lt;="&amp;TODAY()+30)+COUNTIFS(D63,"&gt;"&amp;TODAY(),D63,"&lt;="&amp;TODAY()+30)+COUNTIFS(E63,"&gt;"&amp;TODAY(),E63,"&lt;="&amp;TODAY()+30)+COUNTIFS(F63,"&gt;"&amp;TODAY(),F63,"&lt;="&amp;TODAY()+30)&gt;0),1,0)</x:f>
        <x:v>0</x:v>
      </x:c>
      <x:c r="R63" t="n">
        <x:f>R62+IF(OR(LEFT(H63,15)="Missing dates; ",LEFT(H63,16)="Add N/A reason; ",H63="Add dates",H63="Add registration",H63="Check date format"),1,0)</x:f>
        <x:v>0</x:v>
      </x:c>
      <x:c r="S63" t="n">
        <x:f>S62+IF(COUNTIFS(C63:F63,"Reviewed N/A")&gt;0,1,0)</x:f>
        <x:v>0</x:v>
      </x:c>
    </x:row>
    <x:row r="64" ht="48" customHeight="1">
      <x:c r="A64" s="52"/>
      <x:c r="B64" s="52"/>
      <x:c r="C64" s="53"/>
      <x:c r="D64" s="53"/>
      <x:c r="E64" s="53"/>
      <x:c r="F64" s="53"/>
      <x:c r="G64" s="52"/>
      <x:c r="H64" s="21" t="str">
        <x:f>IF(COUNTA(A64:G64,I64)=0,"",IF(A64="","Add registration",IF(OR(COUNTA(C64:F64)&gt;COUNT(C64:F64)+COUNTIFS(C64:F64,"Reviewed N/A"),AND(COUNT(C64:F64)&gt;0,OR(MIN(C64:F64)&lt;36526,MAX(C64:F64)&gt;109574))),"Check date format",IF(AND(COUNTIFS(C64:F64,"Reviewed N/A")&gt;0,I64=""),"Add N/A reason; ","")&amp;IF(COUNT(C64:F64)=0,IF(COUNTIFS(C64:F64,"Reviewed N/A")=4,"No applicable dates recorded","Add dates"),IF(COUNT(C64:F64)+COUNTIFS(C64:F64,"Reviewed N/A")&lt;4,"Missing dates; ","")&amp;IF(MIN(C64:F64)&lt;TODAY(),"Overdue: ",IF(MIN(C64:F64)=TODAY(),"Due today: ",IF(MIN(C64:F64)&lt;=TODAY()+30,"Due within 30 days: ","Next: ")))&amp;INDEX($C$8:$F$8,1,MATCH(MIN(C64:F64),C64:F64,0))&amp;" "&amp;TEXT(MIN(C64:F64),"dd mmm yyyy")))))</x:f>
      </x:c>
      <x:c r="I64" s="52"/>
      <x:c r="J64" t="str">
        <x:f>IF(AND(A64&lt;&gt;"",COUNTIFS(C64,"&gt;=36526",C64,"&lt;"&amp;TODAY())+COUNTIFS(D64,"&gt;=36526",D64,"&lt;"&amp;TODAY())+COUNTIFS(E64,"&gt;=36526",E64,"&lt;"&amp;TODAY())+COUNTIFS(F64,"&gt;=36526",F64,"&lt;"&amp;TODAY())&gt;0),O64,"")</x:f>
      </x:c>
      <x:c r="K64" t="str">
        <x:f>IF(AND(A64&lt;&gt;"",COUNTIFS(C64,"&gt;=36526",C64,TODAY())+COUNTIFS(D64,"&gt;=36526",D64,TODAY())+COUNTIFS(E64,"&gt;=36526",E64,TODAY())+COUNTIFS(F64,"&gt;=36526",F64,TODAY())&gt;0),P64,"")</x:f>
      </x:c>
      <x:c r="L64" t="str">
        <x:f>IF(AND(A64&lt;&gt;"",COUNTIFS(C64,"&gt;"&amp;TODAY(),C64,"&lt;="&amp;TODAY()+30)+COUNTIFS(D64,"&gt;"&amp;TODAY(),D64,"&lt;="&amp;TODAY()+30)+COUNTIFS(E64,"&gt;"&amp;TODAY(),E64,"&lt;="&amp;TODAY()+30)+COUNTIFS(F64,"&gt;"&amp;TODAY(),F64,"&lt;="&amp;TODAY()+30)&gt;0),Q64,"")</x:f>
      </x:c>
      <x:c r="M64" t="str">
        <x:f>IF(OR(LEFT(H64,15)="Missing dates; ",LEFT(H64,16)="Add N/A reason; ",H64="Add dates",H64="Add registration",H64="Check date format"),R64,"")</x:f>
      </x:c>
      <x:c r="N64" t="str">
        <x:f>IF(COUNTIFS(C64:F64,"Reviewed N/A")&gt;0,S64,"")</x:f>
      </x:c>
      <x:c r="O64" t="n">
        <x:f>O63+IF(AND(A64&lt;&gt;"",COUNTIFS(C64,"&gt;=36526",C64,"&lt;"&amp;TODAY())+COUNTIFS(D64,"&gt;=36526",D64,"&lt;"&amp;TODAY())+COUNTIFS(E64,"&gt;=36526",E64,"&lt;"&amp;TODAY())+COUNTIFS(F64,"&gt;=36526",F64,"&lt;"&amp;TODAY())&gt;0),1,0)</x:f>
        <x:v>0</x:v>
      </x:c>
      <x:c r="P64" t="n">
        <x:f>P63+IF(AND(A64&lt;&gt;"",COUNTIFS(C64,"&gt;=36526",C64,TODAY())+COUNTIFS(D64,"&gt;=36526",D64,TODAY())+COUNTIFS(E64,"&gt;=36526",E64,TODAY())+COUNTIFS(F64,"&gt;=36526",F64,TODAY())&gt;0),1,0)</x:f>
        <x:v>0</x:v>
      </x:c>
      <x:c r="Q64" t="n">
        <x:f>Q63+IF(AND(A64&lt;&gt;"",COUNTIFS(C64,"&gt;"&amp;TODAY(),C64,"&lt;="&amp;TODAY()+30)+COUNTIFS(D64,"&gt;"&amp;TODAY(),D64,"&lt;="&amp;TODAY()+30)+COUNTIFS(E64,"&gt;"&amp;TODAY(),E64,"&lt;="&amp;TODAY()+30)+COUNTIFS(F64,"&gt;"&amp;TODAY(),F64,"&lt;="&amp;TODAY()+30)&gt;0),1,0)</x:f>
        <x:v>0</x:v>
      </x:c>
      <x:c r="R64" t="n">
        <x:f>R63+IF(OR(LEFT(H64,15)="Missing dates; ",LEFT(H64,16)="Add N/A reason; ",H64="Add dates",H64="Add registration",H64="Check date format"),1,0)</x:f>
        <x:v>0</x:v>
      </x:c>
      <x:c r="S64" t="n">
        <x:f>S63+IF(COUNTIFS(C64:F64,"Reviewed N/A")&gt;0,1,0)</x:f>
        <x:v>0</x:v>
      </x:c>
    </x:row>
    <x:row r="65" ht="48" customHeight="1">
      <x:c r="A65" s="52"/>
      <x:c r="B65" s="52"/>
      <x:c r="C65" s="53"/>
      <x:c r="D65" s="53"/>
      <x:c r="E65" s="53"/>
      <x:c r="F65" s="53"/>
      <x:c r="G65" s="52"/>
      <x:c r="H65" s="21" t="str">
        <x:f>IF(COUNTA(A65:G65,I65)=0,"",IF(A65="","Add registration",IF(OR(COUNTA(C65:F65)&gt;COUNT(C65:F65)+COUNTIFS(C65:F65,"Reviewed N/A"),AND(COUNT(C65:F65)&gt;0,OR(MIN(C65:F65)&lt;36526,MAX(C65:F65)&gt;109574))),"Check date format",IF(AND(COUNTIFS(C65:F65,"Reviewed N/A")&gt;0,I65=""),"Add N/A reason; ","")&amp;IF(COUNT(C65:F65)=0,IF(COUNTIFS(C65:F65,"Reviewed N/A")=4,"No applicable dates recorded","Add dates"),IF(COUNT(C65:F65)+COUNTIFS(C65:F65,"Reviewed N/A")&lt;4,"Missing dates; ","")&amp;IF(MIN(C65:F65)&lt;TODAY(),"Overdue: ",IF(MIN(C65:F65)=TODAY(),"Due today: ",IF(MIN(C65:F65)&lt;=TODAY()+30,"Due within 30 days: ","Next: ")))&amp;INDEX($C$8:$F$8,1,MATCH(MIN(C65:F65),C65:F65,0))&amp;" "&amp;TEXT(MIN(C65:F65),"dd mmm yyyy")))))</x:f>
      </x:c>
      <x:c r="I65" s="52"/>
      <x:c r="J65" t="str">
        <x:f>IF(AND(A65&lt;&gt;"",COUNTIFS(C65,"&gt;=36526",C65,"&lt;"&amp;TODAY())+COUNTIFS(D65,"&gt;=36526",D65,"&lt;"&amp;TODAY())+COUNTIFS(E65,"&gt;=36526",E65,"&lt;"&amp;TODAY())+COUNTIFS(F65,"&gt;=36526",F65,"&lt;"&amp;TODAY())&gt;0),O65,"")</x:f>
      </x:c>
      <x:c r="K65" t="str">
        <x:f>IF(AND(A65&lt;&gt;"",COUNTIFS(C65,"&gt;=36526",C65,TODAY())+COUNTIFS(D65,"&gt;=36526",D65,TODAY())+COUNTIFS(E65,"&gt;=36526",E65,TODAY())+COUNTIFS(F65,"&gt;=36526",F65,TODAY())&gt;0),P65,"")</x:f>
      </x:c>
      <x:c r="L65" t="str">
        <x:f>IF(AND(A65&lt;&gt;"",COUNTIFS(C65,"&gt;"&amp;TODAY(),C65,"&lt;="&amp;TODAY()+30)+COUNTIFS(D65,"&gt;"&amp;TODAY(),D65,"&lt;="&amp;TODAY()+30)+COUNTIFS(E65,"&gt;"&amp;TODAY(),E65,"&lt;="&amp;TODAY()+30)+COUNTIFS(F65,"&gt;"&amp;TODAY(),F65,"&lt;="&amp;TODAY()+30)&gt;0),Q65,"")</x:f>
      </x:c>
      <x:c r="M65" t="str">
        <x:f>IF(OR(LEFT(H65,15)="Missing dates; ",LEFT(H65,16)="Add N/A reason; ",H65="Add dates",H65="Add registration",H65="Check date format"),R65,"")</x:f>
      </x:c>
      <x:c r="N65" t="str">
        <x:f>IF(COUNTIFS(C65:F65,"Reviewed N/A")&gt;0,S65,"")</x:f>
      </x:c>
      <x:c r="O65" t="n">
        <x:f>O64+IF(AND(A65&lt;&gt;"",COUNTIFS(C65,"&gt;=36526",C65,"&lt;"&amp;TODAY())+COUNTIFS(D65,"&gt;=36526",D65,"&lt;"&amp;TODAY())+COUNTIFS(E65,"&gt;=36526",E65,"&lt;"&amp;TODAY())+COUNTIFS(F65,"&gt;=36526",F65,"&lt;"&amp;TODAY())&gt;0),1,0)</x:f>
        <x:v>0</x:v>
      </x:c>
      <x:c r="P65" t="n">
        <x:f>P64+IF(AND(A65&lt;&gt;"",COUNTIFS(C65,"&gt;=36526",C65,TODAY())+COUNTIFS(D65,"&gt;=36526",D65,TODAY())+COUNTIFS(E65,"&gt;=36526",E65,TODAY())+COUNTIFS(F65,"&gt;=36526",F65,TODAY())&gt;0),1,0)</x:f>
        <x:v>0</x:v>
      </x:c>
      <x:c r="Q65" t="n">
        <x:f>Q64+IF(AND(A65&lt;&gt;"",COUNTIFS(C65,"&gt;"&amp;TODAY(),C65,"&lt;="&amp;TODAY()+30)+COUNTIFS(D65,"&gt;"&amp;TODAY(),D65,"&lt;="&amp;TODAY()+30)+COUNTIFS(E65,"&gt;"&amp;TODAY(),E65,"&lt;="&amp;TODAY()+30)+COUNTIFS(F65,"&gt;"&amp;TODAY(),F65,"&lt;="&amp;TODAY()+30)&gt;0),1,0)</x:f>
        <x:v>0</x:v>
      </x:c>
      <x:c r="R65" t="n">
        <x:f>R64+IF(OR(LEFT(H65,15)="Missing dates; ",LEFT(H65,16)="Add N/A reason; ",H65="Add dates",H65="Add registration",H65="Check date format"),1,0)</x:f>
        <x:v>0</x:v>
      </x:c>
      <x:c r="S65" t="n">
        <x:f>S64+IF(COUNTIFS(C65:F65,"Reviewed N/A")&gt;0,1,0)</x:f>
        <x:v>0</x:v>
      </x:c>
    </x:row>
    <x:row r="66" ht="48" customHeight="1">
      <x:c r="A66" s="52"/>
      <x:c r="B66" s="52"/>
      <x:c r="C66" s="53"/>
      <x:c r="D66" s="53"/>
      <x:c r="E66" s="53"/>
      <x:c r="F66" s="53"/>
      <x:c r="G66" s="52"/>
      <x:c r="H66" s="21" t="str">
        <x:f>IF(COUNTA(A66:G66,I66)=0,"",IF(A66="","Add registration",IF(OR(COUNTA(C66:F66)&gt;COUNT(C66:F66)+COUNTIFS(C66:F66,"Reviewed N/A"),AND(COUNT(C66:F66)&gt;0,OR(MIN(C66:F66)&lt;36526,MAX(C66:F66)&gt;109574))),"Check date format",IF(AND(COUNTIFS(C66:F66,"Reviewed N/A")&gt;0,I66=""),"Add N/A reason; ","")&amp;IF(COUNT(C66:F66)=0,IF(COUNTIFS(C66:F66,"Reviewed N/A")=4,"No applicable dates recorded","Add dates"),IF(COUNT(C66:F66)+COUNTIFS(C66:F66,"Reviewed N/A")&lt;4,"Missing dates; ","")&amp;IF(MIN(C66:F66)&lt;TODAY(),"Overdue: ",IF(MIN(C66:F66)=TODAY(),"Due today: ",IF(MIN(C66:F66)&lt;=TODAY()+30,"Due within 30 days: ","Next: ")))&amp;INDEX($C$8:$F$8,1,MATCH(MIN(C66:F66),C66:F66,0))&amp;" "&amp;TEXT(MIN(C66:F66),"dd mmm yyyy")))))</x:f>
      </x:c>
      <x:c r="I66" s="52"/>
      <x:c r="J66" t="str">
        <x:f>IF(AND(A66&lt;&gt;"",COUNTIFS(C66,"&gt;=36526",C66,"&lt;"&amp;TODAY())+COUNTIFS(D66,"&gt;=36526",D66,"&lt;"&amp;TODAY())+COUNTIFS(E66,"&gt;=36526",E66,"&lt;"&amp;TODAY())+COUNTIFS(F66,"&gt;=36526",F66,"&lt;"&amp;TODAY())&gt;0),O66,"")</x:f>
      </x:c>
      <x:c r="K66" t="str">
        <x:f>IF(AND(A66&lt;&gt;"",COUNTIFS(C66,"&gt;=36526",C66,TODAY())+COUNTIFS(D66,"&gt;=36526",D66,TODAY())+COUNTIFS(E66,"&gt;=36526",E66,TODAY())+COUNTIFS(F66,"&gt;=36526",F66,TODAY())&gt;0),P66,"")</x:f>
      </x:c>
      <x:c r="L66" t="str">
        <x:f>IF(AND(A66&lt;&gt;"",COUNTIFS(C66,"&gt;"&amp;TODAY(),C66,"&lt;="&amp;TODAY()+30)+COUNTIFS(D66,"&gt;"&amp;TODAY(),D66,"&lt;="&amp;TODAY()+30)+COUNTIFS(E66,"&gt;"&amp;TODAY(),E66,"&lt;="&amp;TODAY()+30)+COUNTIFS(F66,"&gt;"&amp;TODAY(),F66,"&lt;="&amp;TODAY()+30)&gt;0),Q66,"")</x:f>
      </x:c>
      <x:c r="M66" t="str">
        <x:f>IF(OR(LEFT(H66,15)="Missing dates; ",LEFT(H66,16)="Add N/A reason; ",H66="Add dates",H66="Add registration",H66="Check date format"),R66,"")</x:f>
      </x:c>
      <x:c r="N66" t="str">
        <x:f>IF(COUNTIFS(C66:F66,"Reviewed N/A")&gt;0,S66,"")</x:f>
      </x:c>
      <x:c r="O66" t="n">
        <x:f>O65+IF(AND(A66&lt;&gt;"",COUNTIFS(C66,"&gt;=36526",C66,"&lt;"&amp;TODAY())+COUNTIFS(D66,"&gt;=36526",D66,"&lt;"&amp;TODAY())+COUNTIFS(E66,"&gt;=36526",E66,"&lt;"&amp;TODAY())+COUNTIFS(F66,"&gt;=36526",F66,"&lt;"&amp;TODAY())&gt;0),1,0)</x:f>
        <x:v>0</x:v>
      </x:c>
      <x:c r="P66" t="n">
        <x:f>P65+IF(AND(A66&lt;&gt;"",COUNTIFS(C66,"&gt;=36526",C66,TODAY())+COUNTIFS(D66,"&gt;=36526",D66,TODAY())+COUNTIFS(E66,"&gt;=36526",E66,TODAY())+COUNTIFS(F66,"&gt;=36526",F66,TODAY())&gt;0),1,0)</x:f>
        <x:v>0</x:v>
      </x:c>
      <x:c r="Q66" t="n">
        <x:f>Q65+IF(AND(A66&lt;&gt;"",COUNTIFS(C66,"&gt;"&amp;TODAY(),C66,"&lt;="&amp;TODAY()+30)+COUNTIFS(D66,"&gt;"&amp;TODAY(),D66,"&lt;="&amp;TODAY()+30)+COUNTIFS(E66,"&gt;"&amp;TODAY(),E66,"&lt;="&amp;TODAY()+30)+COUNTIFS(F66,"&gt;"&amp;TODAY(),F66,"&lt;="&amp;TODAY()+30)&gt;0),1,0)</x:f>
        <x:v>0</x:v>
      </x:c>
      <x:c r="R66" t="n">
        <x:f>R65+IF(OR(LEFT(H66,15)="Missing dates; ",LEFT(H66,16)="Add N/A reason; ",H66="Add dates",H66="Add registration",H66="Check date format"),1,0)</x:f>
        <x:v>0</x:v>
      </x:c>
      <x:c r="S66" t="n">
        <x:f>S65+IF(COUNTIFS(C66:F66,"Reviewed N/A")&gt;0,1,0)</x:f>
        <x:v>0</x:v>
      </x:c>
    </x:row>
    <x:row r="67" ht="48" customHeight="1">
      <x:c r="A67" s="52"/>
      <x:c r="B67" s="52"/>
      <x:c r="C67" s="53"/>
      <x:c r="D67" s="53"/>
      <x:c r="E67" s="53"/>
      <x:c r="F67" s="53"/>
      <x:c r="G67" s="52"/>
      <x:c r="H67" s="21" t="str">
        <x:f>IF(COUNTA(A67:G67,I67)=0,"",IF(A67="","Add registration",IF(OR(COUNTA(C67:F67)&gt;COUNT(C67:F67)+COUNTIFS(C67:F67,"Reviewed N/A"),AND(COUNT(C67:F67)&gt;0,OR(MIN(C67:F67)&lt;36526,MAX(C67:F67)&gt;109574))),"Check date format",IF(AND(COUNTIFS(C67:F67,"Reviewed N/A")&gt;0,I67=""),"Add N/A reason; ","")&amp;IF(COUNT(C67:F67)=0,IF(COUNTIFS(C67:F67,"Reviewed N/A")=4,"No applicable dates recorded","Add dates"),IF(COUNT(C67:F67)+COUNTIFS(C67:F67,"Reviewed N/A")&lt;4,"Missing dates; ","")&amp;IF(MIN(C67:F67)&lt;TODAY(),"Overdue: ",IF(MIN(C67:F67)=TODAY(),"Due today: ",IF(MIN(C67:F67)&lt;=TODAY()+30,"Due within 30 days: ","Next: ")))&amp;INDEX($C$8:$F$8,1,MATCH(MIN(C67:F67),C67:F67,0))&amp;" "&amp;TEXT(MIN(C67:F67),"dd mmm yyyy")))))</x:f>
      </x:c>
      <x:c r="I67" s="52"/>
      <x:c r="J67" t="str">
        <x:f>IF(AND(A67&lt;&gt;"",COUNTIFS(C67,"&gt;=36526",C67,"&lt;"&amp;TODAY())+COUNTIFS(D67,"&gt;=36526",D67,"&lt;"&amp;TODAY())+COUNTIFS(E67,"&gt;=36526",E67,"&lt;"&amp;TODAY())+COUNTIFS(F67,"&gt;=36526",F67,"&lt;"&amp;TODAY())&gt;0),O67,"")</x:f>
      </x:c>
      <x:c r="K67" t="str">
        <x:f>IF(AND(A67&lt;&gt;"",COUNTIFS(C67,"&gt;=36526",C67,TODAY())+COUNTIFS(D67,"&gt;=36526",D67,TODAY())+COUNTIFS(E67,"&gt;=36526",E67,TODAY())+COUNTIFS(F67,"&gt;=36526",F67,TODAY())&gt;0),P67,"")</x:f>
      </x:c>
      <x:c r="L67" t="str">
        <x:f>IF(AND(A67&lt;&gt;"",COUNTIFS(C67,"&gt;"&amp;TODAY(),C67,"&lt;="&amp;TODAY()+30)+COUNTIFS(D67,"&gt;"&amp;TODAY(),D67,"&lt;="&amp;TODAY()+30)+COUNTIFS(E67,"&gt;"&amp;TODAY(),E67,"&lt;="&amp;TODAY()+30)+COUNTIFS(F67,"&gt;"&amp;TODAY(),F67,"&lt;="&amp;TODAY()+30)&gt;0),Q67,"")</x:f>
      </x:c>
      <x:c r="M67" t="str">
        <x:f>IF(OR(LEFT(H67,15)="Missing dates; ",LEFT(H67,16)="Add N/A reason; ",H67="Add dates",H67="Add registration",H67="Check date format"),R67,"")</x:f>
      </x:c>
      <x:c r="N67" t="str">
        <x:f>IF(COUNTIFS(C67:F67,"Reviewed N/A")&gt;0,S67,"")</x:f>
      </x:c>
      <x:c r="O67" t="n">
        <x:f>O66+IF(AND(A67&lt;&gt;"",COUNTIFS(C67,"&gt;=36526",C67,"&lt;"&amp;TODAY())+COUNTIFS(D67,"&gt;=36526",D67,"&lt;"&amp;TODAY())+COUNTIFS(E67,"&gt;=36526",E67,"&lt;"&amp;TODAY())+COUNTIFS(F67,"&gt;=36526",F67,"&lt;"&amp;TODAY())&gt;0),1,0)</x:f>
        <x:v>0</x:v>
      </x:c>
      <x:c r="P67" t="n">
        <x:f>P66+IF(AND(A67&lt;&gt;"",COUNTIFS(C67,"&gt;=36526",C67,TODAY())+COUNTIFS(D67,"&gt;=36526",D67,TODAY())+COUNTIFS(E67,"&gt;=36526",E67,TODAY())+COUNTIFS(F67,"&gt;=36526",F67,TODAY())&gt;0),1,0)</x:f>
        <x:v>0</x:v>
      </x:c>
      <x:c r="Q67" t="n">
        <x:f>Q66+IF(AND(A67&lt;&gt;"",COUNTIFS(C67,"&gt;"&amp;TODAY(),C67,"&lt;="&amp;TODAY()+30)+COUNTIFS(D67,"&gt;"&amp;TODAY(),D67,"&lt;="&amp;TODAY()+30)+COUNTIFS(E67,"&gt;"&amp;TODAY(),E67,"&lt;="&amp;TODAY()+30)+COUNTIFS(F67,"&gt;"&amp;TODAY(),F67,"&lt;="&amp;TODAY()+30)&gt;0),1,0)</x:f>
        <x:v>0</x:v>
      </x:c>
      <x:c r="R67" t="n">
        <x:f>R66+IF(OR(LEFT(H67,15)="Missing dates; ",LEFT(H67,16)="Add N/A reason; ",H67="Add dates",H67="Add registration",H67="Check date format"),1,0)</x:f>
        <x:v>0</x:v>
      </x:c>
      <x:c r="S67" t="n">
        <x:f>S66+IF(COUNTIFS(C67:F67,"Reviewed N/A")&gt;0,1,0)</x:f>
        <x:v>0</x:v>
      </x:c>
    </x:row>
    <x:row r="68" ht="48" customHeight="1">
      <x:c r="A68" s="52"/>
      <x:c r="B68" s="52"/>
      <x:c r="C68" s="53"/>
      <x:c r="D68" s="53"/>
      <x:c r="E68" s="53"/>
      <x:c r="F68" s="53"/>
      <x:c r="G68" s="52"/>
      <x:c r="H68" s="21" t="str">
        <x:f>IF(COUNTA(A68:G68,I68)=0,"",IF(A68="","Add registration",IF(OR(COUNTA(C68:F68)&gt;COUNT(C68:F68)+COUNTIFS(C68:F68,"Reviewed N/A"),AND(COUNT(C68:F68)&gt;0,OR(MIN(C68:F68)&lt;36526,MAX(C68:F68)&gt;109574))),"Check date format",IF(AND(COUNTIFS(C68:F68,"Reviewed N/A")&gt;0,I68=""),"Add N/A reason; ","")&amp;IF(COUNT(C68:F68)=0,IF(COUNTIFS(C68:F68,"Reviewed N/A")=4,"No applicable dates recorded","Add dates"),IF(COUNT(C68:F68)+COUNTIFS(C68:F68,"Reviewed N/A")&lt;4,"Missing dates; ","")&amp;IF(MIN(C68:F68)&lt;TODAY(),"Overdue: ",IF(MIN(C68:F68)=TODAY(),"Due today: ",IF(MIN(C68:F68)&lt;=TODAY()+30,"Due within 30 days: ","Next: ")))&amp;INDEX($C$8:$F$8,1,MATCH(MIN(C68:F68),C68:F68,0))&amp;" "&amp;TEXT(MIN(C68:F68),"dd mmm yyyy")))))</x:f>
      </x:c>
      <x:c r="I68" s="52"/>
      <x:c r="J68" t="str">
        <x:f>IF(AND(A68&lt;&gt;"",COUNTIFS(C68,"&gt;=36526",C68,"&lt;"&amp;TODAY())+COUNTIFS(D68,"&gt;=36526",D68,"&lt;"&amp;TODAY())+COUNTIFS(E68,"&gt;=36526",E68,"&lt;"&amp;TODAY())+COUNTIFS(F68,"&gt;=36526",F68,"&lt;"&amp;TODAY())&gt;0),O68,"")</x:f>
      </x:c>
      <x:c r="K68" t="str">
        <x:f>IF(AND(A68&lt;&gt;"",COUNTIFS(C68,"&gt;=36526",C68,TODAY())+COUNTIFS(D68,"&gt;=36526",D68,TODAY())+COUNTIFS(E68,"&gt;=36526",E68,TODAY())+COUNTIFS(F68,"&gt;=36526",F68,TODAY())&gt;0),P68,"")</x:f>
      </x:c>
      <x:c r="L68" t="str">
        <x:f>IF(AND(A68&lt;&gt;"",COUNTIFS(C68,"&gt;"&amp;TODAY(),C68,"&lt;="&amp;TODAY()+30)+COUNTIFS(D68,"&gt;"&amp;TODAY(),D68,"&lt;="&amp;TODAY()+30)+COUNTIFS(E68,"&gt;"&amp;TODAY(),E68,"&lt;="&amp;TODAY()+30)+COUNTIFS(F68,"&gt;"&amp;TODAY(),F68,"&lt;="&amp;TODAY()+30)&gt;0),Q68,"")</x:f>
      </x:c>
      <x:c r="M68" t="str">
        <x:f>IF(OR(LEFT(H68,15)="Missing dates; ",LEFT(H68,16)="Add N/A reason; ",H68="Add dates",H68="Add registration",H68="Check date format"),R68,"")</x:f>
      </x:c>
      <x:c r="N68" t="str">
        <x:f>IF(COUNTIFS(C68:F68,"Reviewed N/A")&gt;0,S68,"")</x:f>
      </x:c>
      <x:c r="O68" t="n">
        <x:f>O67+IF(AND(A68&lt;&gt;"",COUNTIFS(C68,"&gt;=36526",C68,"&lt;"&amp;TODAY())+COUNTIFS(D68,"&gt;=36526",D68,"&lt;"&amp;TODAY())+COUNTIFS(E68,"&gt;=36526",E68,"&lt;"&amp;TODAY())+COUNTIFS(F68,"&gt;=36526",F68,"&lt;"&amp;TODAY())&gt;0),1,0)</x:f>
        <x:v>0</x:v>
      </x:c>
      <x:c r="P68" t="n">
        <x:f>P67+IF(AND(A68&lt;&gt;"",COUNTIFS(C68,"&gt;=36526",C68,TODAY())+COUNTIFS(D68,"&gt;=36526",D68,TODAY())+COUNTIFS(E68,"&gt;=36526",E68,TODAY())+COUNTIFS(F68,"&gt;=36526",F68,TODAY())&gt;0),1,0)</x:f>
        <x:v>0</x:v>
      </x:c>
      <x:c r="Q68" t="n">
        <x:f>Q67+IF(AND(A68&lt;&gt;"",COUNTIFS(C68,"&gt;"&amp;TODAY(),C68,"&lt;="&amp;TODAY()+30)+COUNTIFS(D68,"&gt;"&amp;TODAY(),D68,"&lt;="&amp;TODAY()+30)+COUNTIFS(E68,"&gt;"&amp;TODAY(),E68,"&lt;="&amp;TODAY()+30)+COUNTIFS(F68,"&gt;"&amp;TODAY(),F68,"&lt;="&amp;TODAY()+30)&gt;0),1,0)</x:f>
        <x:v>0</x:v>
      </x:c>
      <x:c r="R68" t="n">
        <x:f>R67+IF(OR(LEFT(H68,15)="Missing dates; ",LEFT(H68,16)="Add N/A reason; ",H68="Add dates",H68="Add registration",H68="Check date format"),1,0)</x:f>
        <x:v>0</x:v>
      </x:c>
      <x:c r="S68" t="n">
        <x:f>S67+IF(COUNTIFS(C68:F68,"Reviewed N/A")&gt;0,1,0)</x:f>
        <x:v>0</x:v>
      </x:c>
    </x:row>
    <x:row r="69" ht="48" customHeight="1">
      <x:c r="A69" s="52"/>
      <x:c r="B69" s="52"/>
      <x:c r="C69" s="53"/>
      <x:c r="D69" s="53"/>
      <x:c r="E69" s="53"/>
      <x:c r="F69" s="53"/>
      <x:c r="G69" s="52"/>
      <x:c r="H69" s="21" t="str">
        <x:f>IF(COUNTA(A69:G69,I69)=0,"",IF(A69="","Add registration",IF(OR(COUNTA(C69:F69)&gt;COUNT(C69:F69)+COUNTIFS(C69:F69,"Reviewed N/A"),AND(COUNT(C69:F69)&gt;0,OR(MIN(C69:F69)&lt;36526,MAX(C69:F69)&gt;109574))),"Check date format",IF(AND(COUNTIFS(C69:F69,"Reviewed N/A")&gt;0,I69=""),"Add N/A reason; ","")&amp;IF(COUNT(C69:F69)=0,IF(COUNTIFS(C69:F69,"Reviewed N/A")=4,"No applicable dates recorded","Add dates"),IF(COUNT(C69:F69)+COUNTIFS(C69:F69,"Reviewed N/A")&lt;4,"Missing dates; ","")&amp;IF(MIN(C69:F69)&lt;TODAY(),"Overdue: ",IF(MIN(C69:F69)=TODAY(),"Due today: ",IF(MIN(C69:F69)&lt;=TODAY()+30,"Due within 30 days: ","Next: ")))&amp;INDEX($C$8:$F$8,1,MATCH(MIN(C69:F69),C69:F69,0))&amp;" "&amp;TEXT(MIN(C69:F69),"dd mmm yyyy")))))</x:f>
      </x:c>
      <x:c r="I69" s="52"/>
      <x:c r="J69" t="str">
        <x:f>IF(AND(A69&lt;&gt;"",COUNTIFS(C69,"&gt;=36526",C69,"&lt;"&amp;TODAY())+COUNTIFS(D69,"&gt;=36526",D69,"&lt;"&amp;TODAY())+COUNTIFS(E69,"&gt;=36526",E69,"&lt;"&amp;TODAY())+COUNTIFS(F69,"&gt;=36526",F69,"&lt;"&amp;TODAY())&gt;0),O69,"")</x:f>
      </x:c>
      <x:c r="K69" t="str">
        <x:f>IF(AND(A69&lt;&gt;"",COUNTIFS(C69,"&gt;=36526",C69,TODAY())+COUNTIFS(D69,"&gt;=36526",D69,TODAY())+COUNTIFS(E69,"&gt;=36526",E69,TODAY())+COUNTIFS(F69,"&gt;=36526",F69,TODAY())&gt;0),P69,"")</x:f>
      </x:c>
      <x:c r="L69" t="str">
        <x:f>IF(AND(A69&lt;&gt;"",COUNTIFS(C69,"&gt;"&amp;TODAY(),C69,"&lt;="&amp;TODAY()+30)+COUNTIFS(D69,"&gt;"&amp;TODAY(),D69,"&lt;="&amp;TODAY()+30)+COUNTIFS(E69,"&gt;"&amp;TODAY(),E69,"&lt;="&amp;TODAY()+30)+COUNTIFS(F69,"&gt;"&amp;TODAY(),F69,"&lt;="&amp;TODAY()+30)&gt;0),Q69,"")</x:f>
      </x:c>
      <x:c r="M69" t="str">
        <x:f>IF(OR(LEFT(H69,15)="Missing dates; ",LEFT(H69,16)="Add N/A reason; ",H69="Add dates",H69="Add registration",H69="Check date format"),R69,"")</x:f>
      </x:c>
      <x:c r="N69" t="str">
        <x:f>IF(COUNTIFS(C69:F69,"Reviewed N/A")&gt;0,S69,"")</x:f>
      </x:c>
      <x:c r="O69" t="n">
        <x:f>O68+IF(AND(A69&lt;&gt;"",COUNTIFS(C69,"&gt;=36526",C69,"&lt;"&amp;TODAY())+COUNTIFS(D69,"&gt;=36526",D69,"&lt;"&amp;TODAY())+COUNTIFS(E69,"&gt;=36526",E69,"&lt;"&amp;TODAY())+COUNTIFS(F69,"&gt;=36526",F69,"&lt;"&amp;TODAY())&gt;0),1,0)</x:f>
        <x:v>0</x:v>
      </x:c>
      <x:c r="P69" t="n">
        <x:f>P68+IF(AND(A69&lt;&gt;"",COUNTIFS(C69,"&gt;=36526",C69,TODAY())+COUNTIFS(D69,"&gt;=36526",D69,TODAY())+COUNTIFS(E69,"&gt;=36526",E69,TODAY())+COUNTIFS(F69,"&gt;=36526",F69,TODAY())&gt;0),1,0)</x:f>
        <x:v>0</x:v>
      </x:c>
      <x:c r="Q69" t="n">
        <x:f>Q68+IF(AND(A69&lt;&gt;"",COUNTIFS(C69,"&gt;"&amp;TODAY(),C69,"&lt;="&amp;TODAY()+30)+COUNTIFS(D69,"&gt;"&amp;TODAY(),D69,"&lt;="&amp;TODAY()+30)+COUNTIFS(E69,"&gt;"&amp;TODAY(),E69,"&lt;="&amp;TODAY()+30)+COUNTIFS(F69,"&gt;"&amp;TODAY(),F69,"&lt;="&amp;TODAY()+30)&gt;0),1,0)</x:f>
        <x:v>0</x:v>
      </x:c>
      <x:c r="R69" t="n">
        <x:f>R68+IF(OR(LEFT(H69,15)="Missing dates; ",LEFT(H69,16)="Add N/A reason; ",H69="Add dates",H69="Add registration",H69="Check date format"),1,0)</x:f>
        <x:v>0</x:v>
      </x:c>
      <x:c r="S69" t="n">
        <x:f>S68+IF(COUNTIFS(C69:F69,"Reviewed N/A")&gt;0,1,0)</x:f>
        <x:v>0</x:v>
      </x:c>
    </x:row>
    <x:row r="70" ht="48" customHeight="1">
      <x:c r="A70" s="52"/>
      <x:c r="B70" s="52"/>
      <x:c r="C70" s="53"/>
      <x:c r="D70" s="53"/>
      <x:c r="E70" s="53"/>
      <x:c r="F70" s="53"/>
      <x:c r="G70" s="52"/>
      <x:c r="H70" s="21" t="str">
        <x:f>IF(COUNTA(A70:G70,I70)=0,"",IF(A70="","Add registration",IF(OR(COUNTA(C70:F70)&gt;COUNT(C70:F70)+COUNTIFS(C70:F70,"Reviewed N/A"),AND(COUNT(C70:F70)&gt;0,OR(MIN(C70:F70)&lt;36526,MAX(C70:F70)&gt;109574))),"Check date format",IF(AND(COUNTIFS(C70:F70,"Reviewed N/A")&gt;0,I70=""),"Add N/A reason; ","")&amp;IF(COUNT(C70:F70)=0,IF(COUNTIFS(C70:F70,"Reviewed N/A")=4,"No applicable dates recorded","Add dates"),IF(COUNT(C70:F70)+COUNTIFS(C70:F70,"Reviewed N/A")&lt;4,"Missing dates; ","")&amp;IF(MIN(C70:F70)&lt;TODAY(),"Overdue: ",IF(MIN(C70:F70)=TODAY(),"Due today: ",IF(MIN(C70:F70)&lt;=TODAY()+30,"Due within 30 days: ","Next: ")))&amp;INDEX($C$8:$F$8,1,MATCH(MIN(C70:F70),C70:F70,0))&amp;" "&amp;TEXT(MIN(C70:F70),"dd mmm yyyy")))))</x:f>
      </x:c>
      <x:c r="I70" s="52"/>
      <x:c r="J70" t="str">
        <x:f>IF(AND(A70&lt;&gt;"",COUNTIFS(C70,"&gt;=36526",C70,"&lt;"&amp;TODAY())+COUNTIFS(D70,"&gt;=36526",D70,"&lt;"&amp;TODAY())+COUNTIFS(E70,"&gt;=36526",E70,"&lt;"&amp;TODAY())+COUNTIFS(F70,"&gt;=36526",F70,"&lt;"&amp;TODAY())&gt;0),O70,"")</x:f>
      </x:c>
      <x:c r="K70" t="str">
        <x:f>IF(AND(A70&lt;&gt;"",COUNTIFS(C70,"&gt;=36526",C70,TODAY())+COUNTIFS(D70,"&gt;=36526",D70,TODAY())+COUNTIFS(E70,"&gt;=36526",E70,TODAY())+COUNTIFS(F70,"&gt;=36526",F70,TODAY())&gt;0),P70,"")</x:f>
      </x:c>
      <x:c r="L70" t="str">
        <x:f>IF(AND(A70&lt;&gt;"",COUNTIFS(C70,"&gt;"&amp;TODAY(),C70,"&lt;="&amp;TODAY()+30)+COUNTIFS(D70,"&gt;"&amp;TODAY(),D70,"&lt;="&amp;TODAY()+30)+COUNTIFS(E70,"&gt;"&amp;TODAY(),E70,"&lt;="&amp;TODAY()+30)+COUNTIFS(F70,"&gt;"&amp;TODAY(),F70,"&lt;="&amp;TODAY()+30)&gt;0),Q70,"")</x:f>
      </x:c>
      <x:c r="M70" t="str">
        <x:f>IF(OR(LEFT(H70,15)="Missing dates; ",LEFT(H70,16)="Add N/A reason; ",H70="Add dates",H70="Add registration",H70="Check date format"),R70,"")</x:f>
      </x:c>
      <x:c r="N70" t="str">
        <x:f>IF(COUNTIFS(C70:F70,"Reviewed N/A")&gt;0,S70,"")</x:f>
      </x:c>
      <x:c r="O70" t="n">
        <x:f>O69+IF(AND(A70&lt;&gt;"",COUNTIFS(C70,"&gt;=36526",C70,"&lt;"&amp;TODAY())+COUNTIFS(D70,"&gt;=36526",D70,"&lt;"&amp;TODAY())+COUNTIFS(E70,"&gt;=36526",E70,"&lt;"&amp;TODAY())+COUNTIFS(F70,"&gt;=36526",F70,"&lt;"&amp;TODAY())&gt;0),1,0)</x:f>
        <x:v>0</x:v>
      </x:c>
      <x:c r="P70" t="n">
        <x:f>P69+IF(AND(A70&lt;&gt;"",COUNTIFS(C70,"&gt;=36526",C70,TODAY())+COUNTIFS(D70,"&gt;=36526",D70,TODAY())+COUNTIFS(E70,"&gt;=36526",E70,TODAY())+COUNTIFS(F70,"&gt;=36526",F70,TODAY())&gt;0),1,0)</x:f>
        <x:v>0</x:v>
      </x:c>
      <x:c r="Q70" t="n">
        <x:f>Q69+IF(AND(A70&lt;&gt;"",COUNTIFS(C70,"&gt;"&amp;TODAY(),C70,"&lt;="&amp;TODAY()+30)+COUNTIFS(D70,"&gt;"&amp;TODAY(),D70,"&lt;="&amp;TODAY()+30)+COUNTIFS(E70,"&gt;"&amp;TODAY(),E70,"&lt;="&amp;TODAY()+30)+COUNTIFS(F70,"&gt;"&amp;TODAY(),F70,"&lt;="&amp;TODAY()+30)&gt;0),1,0)</x:f>
        <x:v>0</x:v>
      </x:c>
      <x:c r="R70" t="n">
        <x:f>R69+IF(OR(LEFT(H70,15)="Missing dates; ",LEFT(H70,16)="Add N/A reason; ",H70="Add dates",H70="Add registration",H70="Check date format"),1,0)</x:f>
        <x:v>0</x:v>
      </x:c>
      <x:c r="S70" t="n">
        <x:f>S69+IF(COUNTIFS(C70:F70,"Reviewed N/A")&gt;0,1,0)</x:f>
        <x:v>0</x:v>
      </x:c>
    </x:row>
    <x:row r="71" ht="48" customHeight="1">
      <x:c r="A71" s="52"/>
      <x:c r="B71" s="52"/>
      <x:c r="C71" s="53"/>
      <x:c r="D71" s="53"/>
      <x:c r="E71" s="53"/>
      <x:c r="F71" s="53"/>
      <x:c r="G71" s="52"/>
      <x:c r="H71" s="21" t="str">
        <x:f>IF(COUNTA(A71:G71,I71)=0,"",IF(A71="","Add registration",IF(OR(COUNTA(C71:F71)&gt;COUNT(C71:F71)+COUNTIFS(C71:F71,"Reviewed N/A"),AND(COUNT(C71:F71)&gt;0,OR(MIN(C71:F71)&lt;36526,MAX(C71:F71)&gt;109574))),"Check date format",IF(AND(COUNTIFS(C71:F71,"Reviewed N/A")&gt;0,I71=""),"Add N/A reason; ","")&amp;IF(COUNT(C71:F71)=0,IF(COUNTIFS(C71:F71,"Reviewed N/A")=4,"No applicable dates recorded","Add dates"),IF(COUNT(C71:F71)+COUNTIFS(C71:F71,"Reviewed N/A")&lt;4,"Missing dates; ","")&amp;IF(MIN(C71:F71)&lt;TODAY(),"Overdue: ",IF(MIN(C71:F71)=TODAY(),"Due today: ",IF(MIN(C71:F71)&lt;=TODAY()+30,"Due within 30 days: ","Next: ")))&amp;INDEX($C$8:$F$8,1,MATCH(MIN(C71:F71),C71:F71,0))&amp;" "&amp;TEXT(MIN(C71:F71),"dd mmm yyyy")))))</x:f>
      </x:c>
      <x:c r="I71" s="52"/>
      <x:c r="J71" t="str">
        <x:f>IF(AND(A71&lt;&gt;"",COUNTIFS(C71,"&gt;=36526",C71,"&lt;"&amp;TODAY())+COUNTIFS(D71,"&gt;=36526",D71,"&lt;"&amp;TODAY())+COUNTIFS(E71,"&gt;=36526",E71,"&lt;"&amp;TODAY())+COUNTIFS(F71,"&gt;=36526",F71,"&lt;"&amp;TODAY())&gt;0),O71,"")</x:f>
      </x:c>
      <x:c r="K71" t="str">
        <x:f>IF(AND(A71&lt;&gt;"",COUNTIFS(C71,"&gt;=36526",C71,TODAY())+COUNTIFS(D71,"&gt;=36526",D71,TODAY())+COUNTIFS(E71,"&gt;=36526",E71,TODAY())+COUNTIFS(F71,"&gt;=36526",F71,TODAY())&gt;0),P71,"")</x:f>
      </x:c>
      <x:c r="L71" t="str">
        <x:f>IF(AND(A71&lt;&gt;"",COUNTIFS(C71,"&gt;"&amp;TODAY(),C71,"&lt;="&amp;TODAY()+30)+COUNTIFS(D71,"&gt;"&amp;TODAY(),D71,"&lt;="&amp;TODAY()+30)+COUNTIFS(E71,"&gt;"&amp;TODAY(),E71,"&lt;="&amp;TODAY()+30)+COUNTIFS(F71,"&gt;"&amp;TODAY(),F71,"&lt;="&amp;TODAY()+30)&gt;0),Q71,"")</x:f>
      </x:c>
      <x:c r="M71" t="str">
        <x:f>IF(OR(LEFT(H71,15)="Missing dates; ",LEFT(H71,16)="Add N/A reason; ",H71="Add dates",H71="Add registration",H71="Check date format"),R71,"")</x:f>
      </x:c>
      <x:c r="N71" t="str">
        <x:f>IF(COUNTIFS(C71:F71,"Reviewed N/A")&gt;0,S71,"")</x:f>
      </x:c>
      <x:c r="O71" t="n">
        <x:f>O70+IF(AND(A71&lt;&gt;"",COUNTIFS(C71,"&gt;=36526",C71,"&lt;"&amp;TODAY())+COUNTIFS(D71,"&gt;=36526",D71,"&lt;"&amp;TODAY())+COUNTIFS(E71,"&gt;=36526",E71,"&lt;"&amp;TODAY())+COUNTIFS(F71,"&gt;=36526",F71,"&lt;"&amp;TODAY())&gt;0),1,0)</x:f>
        <x:v>0</x:v>
      </x:c>
      <x:c r="P71" t="n">
        <x:f>P70+IF(AND(A71&lt;&gt;"",COUNTIFS(C71,"&gt;=36526",C71,TODAY())+COUNTIFS(D71,"&gt;=36526",D71,TODAY())+COUNTIFS(E71,"&gt;=36526",E71,TODAY())+COUNTIFS(F71,"&gt;=36526",F71,TODAY())&gt;0),1,0)</x:f>
        <x:v>0</x:v>
      </x:c>
      <x:c r="Q71" t="n">
        <x:f>Q70+IF(AND(A71&lt;&gt;"",COUNTIFS(C71,"&gt;"&amp;TODAY(),C71,"&lt;="&amp;TODAY()+30)+COUNTIFS(D71,"&gt;"&amp;TODAY(),D71,"&lt;="&amp;TODAY()+30)+COUNTIFS(E71,"&gt;"&amp;TODAY(),E71,"&lt;="&amp;TODAY()+30)+COUNTIFS(F71,"&gt;"&amp;TODAY(),F71,"&lt;="&amp;TODAY()+30)&gt;0),1,0)</x:f>
        <x:v>0</x:v>
      </x:c>
      <x:c r="R71" t="n">
        <x:f>R70+IF(OR(LEFT(H71,15)="Missing dates; ",LEFT(H71,16)="Add N/A reason; ",H71="Add dates",H71="Add registration",H71="Check date format"),1,0)</x:f>
        <x:v>0</x:v>
      </x:c>
      <x:c r="S71" t="n">
        <x:f>S70+IF(COUNTIFS(C71:F71,"Reviewed N/A")&gt;0,1,0)</x:f>
        <x:v>0</x:v>
      </x:c>
    </x:row>
    <x:row r="72" ht="48" customHeight="1">
      <x:c r="A72" s="52"/>
      <x:c r="B72" s="52"/>
      <x:c r="C72" s="53"/>
      <x:c r="D72" s="53"/>
      <x:c r="E72" s="53"/>
      <x:c r="F72" s="53"/>
      <x:c r="G72" s="52"/>
      <x:c r="H72" s="21" t="str">
        <x:f>IF(COUNTA(A72:G72,I72)=0,"",IF(A72="","Add registration",IF(OR(COUNTA(C72:F72)&gt;COUNT(C72:F72)+COUNTIFS(C72:F72,"Reviewed N/A"),AND(COUNT(C72:F72)&gt;0,OR(MIN(C72:F72)&lt;36526,MAX(C72:F72)&gt;109574))),"Check date format",IF(AND(COUNTIFS(C72:F72,"Reviewed N/A")&gt;0,I72=""),"Add N/A reason; ","")&amp;IF(COUNT(C72:F72)=0,IF(COUNTIFS(C72:F72,"Reviewed N/A")=4,"No applicable dates recorded","Add dates"),IF(COUNT(C72:F72)+COUNTIFS(C72:F72,"Reviewed N/A")&lt;4,"Missing dates; ","")&amp;IF(MIN(C72:F72)&lt;TODAY(),"Overdue: ",IF(MIN(C72:F72)=TODAY(),"Due today: ",IF(MIN(C72:F72)&lt;=TODAY()+30,"Due within 30 days: ","Next: ")))&amp;INDEX($C$8:$F$8,1,MATCH(MIN(C72:F72),C72:F72,0))&amp;" "&amp;TEXT(MIN(C72:F72),"dd mmm yyyy")))))</x:f>
      </x:c>
      <x:c r="I72" s="52"/>
      <x:c r="J72" t="str">
        <x:f>IF(AND(A72&lt;&gt;"",COUNTIFS(C72,"&gt;=36526",C72,"&lt;"&amp;TODAY())+COUNTIFS(D72,"&gt;=36526",D72,"&lt;"&amp;TODAY())+COUNTIFS(E72,"&gt;=36526",E72,"&lt;"&amp;TODAY())+COUNTIFS(F72,"&gt;=36526",F72,"&lt;"&amp;TODAY())&gt;0),O72,"")</x:f>
      </x:c>
      <x:c r="K72" t="str">
        <x:f>IF(AND(A72&lt;&gt;"",COUNTIFS(C72,"&gt;=36526",C72,TODAY())+COUNTIFS(D72,"&gt;=36526",D72,TODAY())+COUNTIFS(E72,"&gt;=36526",E72,TODAY())+COUNTIFS(F72,"&gt;=36526",F72,TODAY())&gt;0),P72,"")</x:f>
      </x:c>
      <x:c r="L72" t="str">
        <x:f>IF(AND(A72&lt;&gt;"",COUNTIFS(C72,"&gt;"&amp;TODAY(),C72,"&lt;="&amp;TODAY()+30)+COUNTIFS(D72,"&gt;"&amp;TODAY(),D72,"&lt;="&amp;TODAY()+30)+COUNTIFS(E72,"&gt;"&amp;TODAY(),E72,"&lt;="&amp;TODAY()+30)+COUNTIFS(F72,"&gt;"&amp;TODAY(),F72,"&lt;="&amp;TODAY()+30)&gt;0),Q72,"")</x:f>
      </x:c>
      <x:c r="M72" t="str">
        <x:f>IF(OR(LEFT(H72,15)="Missing dates; ",LEFT(H72,16)="Add N/A reason; ",H72="Add dates",H72="Add registration",H72="Check date format"),R72,"")</x:f>
      </x:c>
      <x:c r="N72" t="str">
        <x:f>IF(COUNTIFS(C72:F72,"Reviewed N/A")&gt;0,S72,"")</x:f>
      </x:c>
      <x:c r="O72" t="n">
        <x:f>O71+IF(AND(A72&lt;&gt;"",COUNTIFS(C72,"&gt;=36526",C72,"&lt;"&amp;TODAY())+COUNTIFS(D72,"&gt;=36526",D72,"&lt;"&amp;TODAY())+COUNTIFS(E72,"&gt;=36526",E72,"&lt;"&amp;TODAY())+COUNTIFS(F72,"&gt;=36526",F72,"&lt;"&amp;TODAY())&gt;0),1,0)</x:f>
        <x:v>0</x:v>
      </x:c>
      <x:c r="P72" t="n">
        <x:f>P71+IF(AND(A72&lt;&gt;"",COUNTIFS(C72,"&gt;=36526",C72,TODAY())+COUNTIFS(D72,"&gt;=36526",D72,TODAY())+COUNTIFS(E72,"&gt;=36526",E72,TODAY())+COUNTIFS(F72,"&gt;=36526",F72,TODAY())&gt;0),1,0)</x:f>
        <x:v>0</x:v>
      </x:c>
      <x:c r="Q72" t="n">
        <x:f>Q71+IF(AND(A72&lt;&gt;"",COUNTIFS(C72,"&gt;"&amp;TODAY(),C72,"&lt;="&amp;TODAY()+30)+COUNTIFS(D72,"&gt;"&amp;TODAY(),D72,"&lt;="&amp;TODAY()+30)+COUNTIFS(E72,"&gt;"&amp;TODAY(),E72,"&lt;="&amp;TODAY()+30)+COUNTIFS(F72,"&gt;"&amp;TODAY(),F72,"&lt;="&amp;TODAY()+30)&gt;0),1,0)</x:f>
        <x:v>0</x:v>
      </x:c>
      <x:c r="R72" t="n">
        <x:f>R71+IF(OR(LEFT(H72,15)="Missing dates; ",LEFT(H72,16)="Add N/A reason; ",H72="Add dates",H72="Add registration",H72="Check date format"),1,0)</x:f>
        <x:v>0</x:v>
      </x:c>
      <x:c r="S72" t="n">
        <x:f>S71+IF(COUNTIFS(C72:F72,"Reviewed N/A")&gt;0,1,0)</x:f>
        <x:v>0</x:v>
      </x:c>
    </x:row>
    <x:row r="73" ht="48" customHeight="1">
      <x:c r="A73" s="52"/>
      <x:c r="B73" s="52"/>
      <x:c r="C73" s="53"/>
      <x:c r="D73" s="53"/>
      <x:c r="E73" s="53"/>
      <x:c r="F73" s="53"/>
      <x:c r="G73" s="52"/>
      <x:c r="H73" s="21" t="str">
        <x:f>IF(COUNTA(A73:G73,I73)=0,"",IF(A73="","Add registration",IF(OR(COUNTA(C73:F73)&gt;COUNT(C73:F73)+COUNTIFS(C73:F73,"Reviewed N/A"),AND(COUNT(C73:F73)&gt;0,OR(MIN(C73:F73)&lt;36526,MAX(C73:F73)&gt;109574))),"Check date format",IF(AND(COUNTIFS(C73:F73,"Reviewed N/A")&gt;0,I73=""),"Add N/A reason; ","")&amp;IF(COUNT(C73:F73)=0,IF(COUNTIFS(C73:F73,"Reviewed N/A")=4,"No applicable dates recorded","Add dates"),IF(COUNT(C73:F73)+COUNTIFS(C73:F73,"Reviewed N/A")&lt;4,"Missing dates; ","")&amp;IF(MIN(C73:F73)&lt;TODAY(),"Overdue: ",IF(MIN(C73:F73)=TODAY(),"Due today: ",IF(MIN(C73:F73)&lt;=TODAY()+30,"Due within 30 days: ","Next: ")))&amp;INDEX($C$8:$F$8,1,MATCH(MIN(C73:F73),C73:F73,0))&amp;" "&amp;TEXT(MIN(C73:F73),"dd mmm yyyy")))))</x:f>
      </x:c>
      <x:c r="I73" s="52"/>
      <x:c r="J73" t="str">
        <x:f>IF(AND(A73&lt;&gt;"",COUNTIFS(C73,"&gt;=36526",C73,"&lt;"&amp;TODAY())+COUNTIFS(D73,"&gt;=36526",D73,"&lt;"&amp;TODAY())+COUNTIFS(E73,"&gt;=36526",E73,"&lt;"&amp;TODAY())+COUNTIFS(F73,"&gt;=36526",F73,"&lt;"&amp;TODAY())&gt;0),O73,"")</x:f>
      </x:c>
      <x:c r="K73" t="str">
        <x:f>IF(AND(A73&lt;&gt;"",COUNTIFS(C73,"&gt;=36526",C73,TODAY())+COUNTIFS(D73,"&gt;=36526",D73,TODAY())+COUNTIFS(E73,"&gt;=36526",E73,TODAY())+COUNTIFS(F73,"&gt;=36526",F73,TODAY())&gt;0),P73,"")</x:f>
      </x:c>
      <x:c r="L73" t="str">
        <x:f>IF(AND(A73&lt;&gt;"",COUNTIFS(C73,"&gt;"&amp;TODAY(),C73,"&lt;="&amp;TODAY()+30)+COUNTIFS(D73,"&gt;"&amp;TODAY(),D73,"&lt;="&amp;TODAY()+30)+COUNTIFS(E73,"&gt;"&amp;TODAY(),E73,"&lt;="&amp;TODAY()+30)+COUNTIFS(F73,"&gt;"&amp;TODAY(),F73,"&lt;="&amp;TODAY()+30)&gt;0),Q73,"")</x:f>
      </x:c>
      <x:c r="M73" t="str">
        <x:f>IF(OR(LEFT(H73,15)="Missing dates; ",LEFT(H73,16)="Add N/A reason; ",H73="Add dates",H73="Add registration",H73="Check date format"),R73,"")</x:f>
      </x:c>
      <x:c r="N73" t="str">
        <x:f>IF(COUNTIFS(C73:F73,"Reviewed N/A")&gt;0,S73,"")</x:f>
      </x:c>
      <x:c r="O73" t="n">
        <x:f>O72+IF(AND(A73&lt;&gt;"",COUNTIFS(C73,"&gt;=36526",C73,"&lt;"&amp;TODAY())+COUNTIFS(D73,"&gt;=36526",D73,"&lt;"&amp;TODAY())+COUNTIFS(E73,"&gt;=36526",E73,"&lt;"&amp;TODAY())+COUNTIFS(F73,"&gt;=36526",F73,"&lt;"&amp;TODAY())&gt;0),1,0)</x:f>
        <x:v>0</x:v>
      </x:c>
      <x:c r="P73" t="n">
        <x:f>P72+IF(AND(A73&lt;&gt;"",COUNTIFS(C73,"&gt;=36526",C73,TODAY())+COUNTIFS(D73,"&gt;=36526",D73,TODAY())+COUNTIFS(E73,"&gt;=36526",E73,TODAY())+COUNTIFS(F73,"&gt;=36526",F73,TODAY())&gt;0),1,0)</x:f>
        <x:v>0</x:v>
      </x:c>
      <x:c r="Q73" t="n">
        <x:f>Q72+IF(AND(A73&lt;&gt;"",COUNTIFS(C73,"&gt;"&amp;TODAY(),C73,"&lt;="&amp;TODAY()+30)+COUNTIFS(D73,"&gt;"&amp;TODAY(),D73,"&lt;="&amp;TODAY()+30)+COUNTIFS(E73,"&gt;"&amp;TODAY(),E73,"&lt;="&amp;TODAY()+30)+COUNTIFS(F73,"&gt;"&amp;TODAY(),F73,"&lt;="&amp;TODAY()+30)&gt;0),1,0)</x:f>
        <x:v>0</x:v>
      </x:c>
      <x:c r="R73" t="n">
        <x:f>R72+IF(OR(LEFT(H73,15)="Missing dates; ",LEFT(H73,16)="Add N/A reason; ",H73="Add dates",H73="Add registration",H73="Check date format"),1,0)</x:f>
        <x:v>0</x:v>
      </x:c>
      <x:c r="S73" t="n">
        <x:f>S72+IF(COUNTIFS(C73:F73,"Reviewed N/A")&gt;0,1,0)</x:f>
        <x:v>0</x:v>
      </x:c>
    </x:row>
    <x:row r="74" ht="48" customHeight="1">
      <x:c r="A74" s="52"/>
      <x:c r="B74" s="52"/>
      <x:c r="C74" s="53"/>
      <x:c r="D74" s="53"/>
      <x:c r="E74" s="53"/>
      <x:c r="F74" s="53"/>
      <x:c r="G74" s="52"/>
      <x:c r="H74" s="21" t="str">
        <x:f>IF(COUNTA(A74:G74,I74)=0,"",IF(A74="","Add registration",IF(OR(COUNTA(C74:F74)&gt;COUNT(C74:F74)+COUNTIFS(C74:F74,"Reviewed N/A"),AND(COUNT(C74:F74)&gt;0,OR(MIN(C74:F74)&lt;36526,MAX(C74:F74)&gt;109574))),"Check date format",IF(AND(COUNTIFS(C74:F74,"Reviewed N/A")&gt;0,I74=""),"Add N/A reason; ","")&amp;IF(COUNT(C74:F74)=0,IF(COUNTIFS(C74:F74,"Reviewed N/A")=4,"No applicable dates recorded","Add dates"),IF(COUNT(C74:F74)+COUNTIFS(C74:F74,"Reviewed N/A")&lt;4,"Missing dates; ","")&amp;IF(MIN(C74:F74)&lt;TODAY(),"Overdue: ",IF(MIN(C74:F74)=TODAY(),"Due today: ",IF(MIN(C74:F74)&lt;=TODAY()+30,"Due within 30 days: ","Next: ")))&amp;INDEX($C$8:$F$8,1,MATCH(MIN(C74:F74),C74:F74,0))&amp;" "&amp;TEXT(MIN(C74:F74),"dd mmm yyyy")))))</x:f>
      </x:c>
      <x:c r="I74" s="52"/>
      <x:c r="J74" t="str">
        <x:f>IF(AND(A74&lt;&gt;"",COUNTIFS(C74,"&gt;=36526",C74,"&lt;"&amp;TODAY())+COUNTIFS(D74,"&gt;=36526",D74,"&lt;"&amp;TODAY())+COUNTIFS(E74,"&gt;=36526",E74,"&lt;"&amp;TODAY())+COUNTIFS(F74,"&gt;=36526",F74,"&lt;"&amp;TODAY())&gt;0),O74,"")</x:f>
      </x:c>
      <x:c r="K74" t="str">
        <x:f>IF(AND(A74&lt;&gt;"",COUNTIFS(C74,"&gt;=36526",C74,TODAY())+COUNTIFS(D74,"&gt;=36526",D74,TODAY())+COUNTIFS(E74,"&gt;=36526",E74,TODAY())+COUNTIFS(F74,"&gt;=36526",F74,TODAY())&gt;0),P74,"")</x:f>
      </x:c>
      <x:c r="L74" t="str">
        <x:f>IF(AND(A74&lt;&gt;"",COUNTIFS(C74,"&gt;"&amp;TODAY(),C74,"&lt;="&amp;TODAY()+30)+COUNTIFS(D74,"&gt;"&amp;TODAY(),D74,"&lt;="&amp;TODAY()+30)+COUNTIFS(E74,"&gt;"&amp;TODAY(),E74,"&lt;="&amp;TODAY()+30)+COUNTIFS(F74,"&gt;"&amp;TODAY(),F74,"&lt;="&amp;TODAY()+30)&gt;0),Q74,"")</x:f>
      </x:c>
      <x:c r="M74" t="str">
        <x:f>IF(OR(LEFT(H74,15)="Missing dates; ",LEFT(H74,16)="Add N/A reason; ",H74="Add dates",H74="Add registration",H74="Check date format"),R74,"")</x:f>
      </x:c>
      <x:c r="N74" t="str">
        <x:f>IF(COUNTIFS(C74:F74,"Reviewed N/A")&gt;0,S74,"")</x:f>
      </x:c>
      <x:c r="O74" t="n">
        <x:f>O73+IF(AND(A74&lt;&gt;"",COUNTIFS(C74,"&gt;=36526",C74,"&lt;"&amp;TODAY())+COUNTIFS(D74,"&gt;=36526",D74,"&lt;"&amp;TODAY())+COUNTIFS(E74,"&gt;=36526",E74,"&lt;"&amp;TODAY())+COUNTIFS(F74,"&gt;=36526",F74,"&lt;"&amp;TODAY())&gt;0),1,0)</x:f>
        <x:v>0</x:v>
      </x:c>
      <x:c r="P74" t="n">
        <x:f>P73+IF(AND(A74&lt;&gt;"",COUNTIFS(C74,"&gt;=36526",C74,TODAY())+COUNTIFS(D74,"&gt;=36526",D74,TODAY())+COUNTIFS(E74,"&gt;=36526",E74,TODAY())+COUNTIFS(F74,"&gt;=36526",F74,TODAY())&gt;0),1,0)</x:f>
        <x:v>0</x:v>
      </x:c>
      <x:c r="Q74" t="n">
        <x:f>Q73+IF(AND(A74&lt;&gt;"",COUNTIFS(C74,"&gt;"&amp;TODAY(),C74,"&lt;="&amp;TODAY()+30)+COUNTIFS(D74,"&gt;"&amp;TODAY(),D74,"&lt;="&amp;TODAY()+30)+COUNTIFS(E74,"&gt;"&amp;TODAY(),E74,"&lt;="&amp;TODAY()+30)+COUNTIFS(F74,"&gt;"&amp;TODAY(),F74,"&lt;="&amp;TODAY()+30)&gt;0),1,0)</x:f>
        <x:v>0</x:v>
      </x:c>
      <x:c r="R74" t="n">
        <x:f>R73+IF(OR(LEFT(H74,15)="Missing dates; ",LEFT(H74,16)="Add N/A reason; ",H74="Add dates",H74="Add registration",H74="Check date format"),1,0)</x:f>
        <x:v>0</x:v>
      </x:c>
      <x:c r="S74" t="n">
        <x:f>S73+IF(COUNTIFS(C74:F74,"Reviewed N/A")&gt;0,1,0)</x:f>
        <x:v>0</x:v>
      </x:c>
    </x:row>
    <x:row r="75" ht="48" customHeight="1">
      <x:c r="A75" s="52"/>
      <x:c r="B75" s="52"/>
      <x:c r="C75" s="53"/>
      <x:c r="D75" s="53"/>
      <x:c r="E75" s="53"/>
      <x:c r="F75" s="53"/>
      <x:c r="G75" s="52"/>
      <x:c r="H75" s="21" t="str">
        <x:f>IF(COUNTA(A75:G75,I75)=0,"",IF(A75="","Add registration",IF(OR(COUNTA(C75:F75)&gt;COUNT(C75:F75)+COUNTIFS(C75:F75,"Reviewed N/A"),AND(COUNT(C75:F75)&gt;0,OR(MIN(C75:F75)&lt;36526,MAX(C75:F75)&gt;109574))),"Check date format",IF(AND(COUNTIFS(C75:F75,"Reviewed N/A")&gt;0,I75=""),"Add N/A reason; ","")&amp;IF(COUNT(C75:F75)=0,IF(COUNTIFS(C75:F75,"Reviewed N/A")=4,"No applicable dates recorded","Add dates"),IF(COUNT(C75:F75)+COUNTIFS(C75:F75,"Reviewed N/A")&lt;4,"Missing dates; ","")&amp;IF(MIN(C75:F75)&lt;TODAY(),"Overdue: ",IF(MIN(C75:F75)=TODAY(),"Due today: ",IF(MIN(C75:F75)&lt;=TODAY()+30,"Due within 30 days: ","Next: ")))&amp;INDEX($C$8:$F$8,1,MATCH(MIN(C75:F75),C75:F75,0))&amp;" "&amp;TEXT(MIN(C75:F75),"dd mmm yyyy")))))</x:f>
      </x:c>
      <x:c r="I75" s="52"/>
      <x:c r="J75" t="str">
        <x:f>IF(AND(A75&lt;&gt;"",COUNTIFS(C75,"&gt;=36526",C75,"&lt;"&amp;TODAY())+COUNTIFS(D75,"&gt;=36526",D75,"&lt;"&amp;TODAY())+COUNTIFS(E75,"&gt;=36526",E75,"&lt;"&amp;TODAY())+COUNTIFS(F75,"&gt;=36526",F75,"&lt;"&amp;TODAY())&gt;0),O75,"")</x:f>
      </x:c>
      <x:c r="K75" t="str">
        <x:f>IF(AND(A75&lt;&gt;"",COUNTIFS(C75,"&gt;=36526",C75,TODAY())+COUNTIFS(D75,"&gt;=36526",D75,TODAY())+COUNTIFS(E75,"&gt;=36526",E75,TODAY())+COUNTIFS(F75,"&gt;=36526",F75,TODAY())&gt;0),P75,"")</x:f>
      </x:c>
      <x:c r="L75" t="str">
        <x:f>IF(AND(A75&lt;&gt;"",COUNTIFS(C75,"&gt;"&amp;TODAY(),C75,"&lt;="&amp;TODAY()+30)+COUNTIFS(D75,"&gt;"&amp;TODAY(),D75,"&lt;="&amp;TODAY()+30)+COUNTIFS(E75,"&gt;"&amp;TODAY(),E75,"&lt;="&amp;TODAY()+30)+COUNTIFS(F75,"&gt;"&amp;TODAY(),F75,"&lt;="&amp;TODAY()+30)&gt;0),Q75,"")</x:f>
      </x:c>
      <x:c r="M75" t="str">
        <x:f>IF(OR(LEFT(H75,15)="Missing dates; ",LEFT(H75,16)="Add N/A reason; ",H75="Add dates",H75="Add registration",H75="Check date format"),R75,"")</x:f>
      </x:c>
      <x:c r="N75" t="str">
        <x:f>IF(COUNTIFS(C75:F75,"Reviewed N/A")&gt;0,S75,"")</x:f>
      </x:c>
      <x:c r="O75" t="n">
        <x:f>O74+IF(AND(A75&lt;&gt;"",COUNTIFS(C75,"&gt;=36526",C75,"&lt;"&amp;TODAY())+COUNTIFS(D75,"&gt;=36526",D75,"&lt;"&amp;TODAY())+COUNTIFS(E75,"&gt;=36526",E75,"&lt;"&amp;TODAY())+COUNTIFS(F75,"&gt;=36526",F75,"&lt;"&amp;TODAY())&gt;0),1,0)</x:f>
        <x:v>0</x:v>
      </x:c>
      <x:c r="P75" t="n">
        <x:f>P74+IF(AND(A75&lt;&gt;"",COUNTIFS(C75,"&gt;=36526",C75,TODAY())+COUNTIFS(D75,"&gt;=36526",D75,TODAY())+COUNTIFS(E75,"&gt;=36526",E75,TODAY())+COUNTIFS(F75,"&gt;=36526",F75,TODAY())&gt;0),1,0)</x:f>
        <x:v>0</x:v>
      </x:c>
      <x:c r="Q75" t="n">
        <x:f>Q74+IF(AND(A75&lt;&gt;"",COUNTIFS(C75,"&gt;"&amp;TODAY(),C75,"&lt;="&amp;TODAY()+30)+COUNTIFS(D75,"&gt;"&amp;TODAY(),D75,"&lt;="&amp;TODAY()+30)+COUNTIFS(E75,"&gt;"&amp;TODAY(),E75,"&lt;="&amp;TODAY()+30)+COUNTIFS(F75,"&gt;"&amp;TODAY(),F75,"&lt;="&amp;TODAY()+30)&gt;0),1,0)</x:f>
        <x:v>0</x:v>
      </x:c>
      <x:c r="R75" t="n">
        <x:f>R74+IF(OR(LEFT(H75,15)="Missing dates; ",LEFT(H75,16)="Add N/A reason; ",H75="Add dates",H75="Add registration",H75="Check date format"),1,0)</x:f>
        <x:v>0</x:v>
      </x:c>
      <x:c r="S75" t="n">
        <x:f>S74+IF(COUNTIFS(C75:F75,"Reviewed N/A")&gt;0,1,0)</x:f>
        <x:v>0</x:v>
      </x:c>
    </x:row>
    <x:row r="76" ht="48" customHeight="1">
      <x:c r="A76" s="52"/>
      <x:c r="B76" s="52"/>
      <x:c r="C76" s="53"/>
      <x:c r="D76" s="53"/>
      <x:c r="E76" s="53"/>
      <x:c r="F76" s="53"/>
      <x:c r="G76" s="52"/>
      <x:c r="H76" s="21" t="str">
        <x:f>IF(COUNTA(A76:G76,I76)=0,"",IF(A76="","Add registration",IF(OR(COUNTA(C76:F76)&gt;COUNT(C76:F76)+COUNTIFS(C76:F76,"Reviewed N/A"),AND(COUNT(C76:F76)&gt;0,OR(MIN(C76:F76)&lt;36526,MAX(C76:F76)&gt;109574))),"Check date format",IF(AND(COUNTIFS(C76:F76,"Reviewed N/A")&gt;0,I76=""),"Add N/A reason; ","")&amp;IF(COUNT(C76:F76)=0,IF(COUNTIFS(C76:F76,"Reviewed N/A")=4,"No applicable dates recorded","Add dates"),IF(COUNT(C76:F76)+COUNTIFS(C76:F76,"Reviewed N/A")&lt;4,"Missing dates; ","")&amp;IF(MIN(C76:F76)&lt;TODAY(),"Overdue: ",IF(MIN(C76:F76)=TODAY(),"Due today: ",IF(MIN(C76:F76)&lt;=TODAY()+30,"Due within 30 days: ","Next: ")))&amp;INDEX($C$8:$F$8,1,MATCH(MIN(C76:F76),C76:F76,0))&amp;" "&amp;TEXT(MIN(C76:F76),"dd mmm yyyy")))))</x:f>
      </x:c>
      <x:c r="I76" s="52"/>
      <x:c r="J76" t="str">
        <x:f>IF(AND(A76&lt;&gt;"",COUNTIFS(C76,"&gt;=36526",C76,"&lt;"&amp;TODAY())+COUNTIFS(D76,"&gt;=36526",D76,"&lt;"&amp;TODAY())+COUNTIFS(E76,"&gt;=36526",E76,"&lt;"&amp;TODAY())+COUNTIFS(F76,"&gt;=36526",F76,"&lt;"&amp;TODAY())&gt;0),O76,"")</x:f>
      </x:c>
      <x:c r="K76" t="str">
        <x:f>IF(AND(A76&lt;&gt;"",COUNTIFS(C76,"&gt;=36526",C76,TODAY())+COUNTIFS(D76,"&gt;=36526",D76,TODAY())+COUNTIFS(E76,"&gt;=36526",E76,TODAY())+COUNTIFS(F76,"&gt;=36526",F76,TODAY())&gt;0),P76,"")</x:f>
      </x:c>
      <x:c r="L76" t="str">
        <x:f>IF(AND(A76&lt;&gt;"",COUNTIFS(C76,"&gt;"&amp;TODAY(),C76,"&lt;="&amp;TODAY()+30)+COUNTIFS(D76,"&gt;"&amp;TODAY(),D76,"&lt;="&amp;TODAY()+30)+COUNTIFS(E76,"&gt;"&amp;TODAY(),E76,"&lt;="&amp;TODAY()+30)+COUNTIFS(F76,"&gt;"&amp;TODAY(),F76,"&lt;="&amp;TODAY()+30)&gt;0),Q76,"")</x:f>
      </x:c>
      <x:c r="M76" t="str">
        <x:f>IF(OR(LEFT(H76,15)="Missing dates; ",LEFT(H76,16)="Add N/A reason; ",H76="Add dates",H76="Add registration",H76="Check date format"),R76,"")</x:f>
      </x:c>
      <x:c r="N76" t="str">
        <x:f>IF(COUNTIFS(C76:F76,"Reviewed N/A")&gt;0,S76,"")</x:f>
      </x:c>
      <x:c r="O76" t="n">
        <x:f>O75+IF(AND(A76&lt;&gt;"",COUNTIFS(C76,"&gt;=36526",C76,"&lt;"&amp;TODAY())+COUNTIFS(D76,"&gt;=36526",D76,"&lt;"&amp;TODAY())+COUNTIFS(E76,"&gt;=36526",E76,"&lt;"&amp;TODAY())+COUNTIFS(F76,"&gt;=36526",F76,"&lt;"&amp;TODAY())&gt;0),1,0)</x:f>
        <x:v>0</x:v>
      </x:c>
      <x:c r="P76" t="n">
        <x:f>P75+IF(AND(A76&lt;&gt;"",COUNTIFS(C76,"&gt;=36526",C76,TODAY())+COUNTIFS(D76,"&gt;=36526",D76,TODAY())+COUNTIFS(E76,"&gt;=36526",E76,TODAY())+COUNTIFS(F76,"&gt;=36526",F76,TODAY())&gt;0),1,0)</x:f>
        <x:v>0</x:v>
      </x:c>
      <x:c r="Q76" t="n">
        <x:f>Q75+IF(AND(A76&lt;&gt;"",COUNTIFS(C76,"&gt;"&amp;TODAY(),C76,"&lt;="&amp;TODAY()+30)+COUNTIFS(D76,"&gt;"&amp;TODAY(),D76,"&lt;="&amp;TODAY()+30)+COUNTIFS(E76,"&gt;"&amp;TODAY(),E76,"&lt;="&amp;TODAY()+30)+COUNTIFS(F76,"&gt;"&amp;TODAY(),F76,"&lt;="&amp;TODAY()+30)&gt;0),1,0)</x:f>
        <x:v>0</x:v>
      </x:c>
      <x:c r="R76" t="n">
        <x:f>R75+IF(OR(LEFT(H76,15)="Missing dates; ",LEFT(H76,16)="Add N/A reason; ",H76="Add dates",H76="Add registration",H76="Check date format"),1,0)</x:f>
        <x:v>0</x:v>
      </x:c>
      <x:c r="S76" t="n">
        <x:f>S75+IF(COUNTIFS(C76:F76,"Reviewed N/A")&gt;0,1,0)</x:f>
        <x:v>0</x:v>
      </x:c>
    </x:row>
    <x:row r="77" ht="48" customHeight="1">
      <x:c r="A77" s="52"/>
      <x:c r="B77" s="52"/>
      <x:c r="C77" s="53"/>
      <x:c r="D77" s="53"/>
      <x:c r="E77" s="53"/>
      <x:c r="F77" s="53"/>
      <x:c r="G77" s="52"/>
      <x:c r="H77" s="21" t="str">
        <x:f>IF(COUNTA(A77:G77,I77)=0,"",IF(A77="","Add registration",IF(OR(COUNTA(C77:F77)&gt;COUNT(C77:F77)+COUNTIFS(C77:F77,"Reviewed N/A"),AND(COUNT(C77:F77)&gt;0,OR(MIN(C77:F77)&lt;36526,MAX(C77:F77)&gt;109574))),"Check date format",IF(AND(COUNTIFS(C77:F77,"Reviewed N/A")&gt;0,I77=""),"Add N/A reason; ","")&amp;IF(COUNT(C77:F77)=0,IF(COUNTIFS(C77:F77,"Reviewed N/A")=4,"No applicable dates recorded","Add dates"),IF(COUNT(C77:F77)+COUNTIFS(C77:F77,"Reviewed N/A")&lt;4,"Missing dates; ","")&amp;IF(MIN(C77:F77)&lt;TODAY(),"Overdue: ",IF(MIN(C77:F77)=TODAY(),"Due today: ",IF(MIN(C77:F77)&lt;=TODAY()+30,"Due within 30 days: ","Next: ")))&amp;INDEX($C$8:$F$8,1,MATCH(MIN(C77:F77),C77:F77,0))&amp;" "&amp;TEXT(MIN(C77:F77),"dd mmm yyyy")))))</x:f>
      </x:c>
      <x:c r="I77" s="52"/>
      <x:c r="J77" t="str">
        <x:f>IF(AND(A77&lt;&gt;"",COUNTIFS(C77,"&gt;=36526",C77,"&lt;"&amp;TODAY())+COUNTIFS(D77,"&gt;=36526",D77,"&lt;"&amp;TODAY())+COUNTIFS(E77,"&gt;=36526",E77,"&lt;"&amp;TODAY())+COUNTIFS(F77,"&gt;=36526",F77,"&lt;"&amp;TODAY())&gt;0),O77,"")</x:f>
      </x:c>
      <x:c r="K77" t="str">
        <x:f>IF(AND(A77&lt;&gt;"",COUNTIFS(C77,"&gt;=36526",C77,TODAY())+COUNTIFS(D77,"&gt;=36526",D77,TODAY())+COUNTIFS(E77,"&gt;=36526",E77,TODAY())+COUNTIFS(F77,"&gt;=36526",F77,TODAY())&gt;0),P77,"")</x:f>
      </x:c>
      <x:c r="L77" t="str">
        <x:f>IF(AND(A77&lt;&gt;"",COUNTIFS(C77,"&gt;"&amp;TODAY(),C77,"&lt;="&amp;TODAY()+30)+COUNTIFS(D77,"&gt;"&amp;TODAY(),D77,"&lt;="&amp;TODAY()+30)+COUNTIFS(E77,"&gt;"&amp;TODAY(),E77,"&lt;="&amp;TODAY()+30)+COUNTIFS(F77,"&gt;"&amp;TODAY(),F77,"&lt;="&amp;TODAY()+30)&gt;0),Q77,"")</x:f>
      </x:c>
      <x:c r="M77" t="str">
        <x:f>IF(OR(LEFT(H77,15)="Missing dates; ",LEFT(H77,16)="Add N/A reason; ",H77="Add dates",H77="Add registration",H77="Check date format"),R77,"")</x:f>
      </x:c>
      <x:c r="N77" t="str">
        <x:f>IF(COUNTIFS(C77:F77,"Reviewed N/A")&gt;0,S77,"")</x:f>
      </x:c>
      <x:c r="O77" t="n">
        <x:f>O76+IF(AND(A77&lt;&gt;"",COUNTIFS(C77,"&gt;=36526",C77,"&lt;"&amp;TODAY())+COUNTIFS(D77,"&gt;=36526",D77,"&lt;"&amp;TODAY())+COUNTIFS(E77,"&gt;=36526",E77,"&lt;"&amp;TODAY())+COUNTIFS(F77,"&gt;=36526",F77,"&lt;"&amp;TODAY())&gt;0),1,0)</x:f>
        <x:v>0</x:v>
      </x:c>
      <x:c r="P77" t="n">
        <x:f>P76+IF(AND(A77&lt;&gt;"",COUNTIFS(C77,"&gt;=36526",C77,TODAY())+COUNTIFS(D77,"&gt;=36526",D77,TODAY())+COUNTIFS(E77,"&gt;=36526",E77,TODAY())+COUNTIFS(F77,"&gt;=36526",F77,TODAY())&gt;0),1,0)</x:f>
        <x:v>0</x:v>
      </x:c>
      <x:c r="Q77" t="n">
        <x:f>Q76+IF(AND(A77&lt;&gt;"",COUNTIFS(C77,"&gt;"&amp;TODAY(),C77,"&lt;="&amp;TODAY()+30)+COUNTIFS(D77,"&gt;"&amp;TODAY(),D77,"&lt;="&amp;TODAY()+30)+COUNTIFS(E77,"&gt;"&amp;TODAY(),E77,"&lt;="&amp;TODAY()+30)+COUNTIFS(F77,"&gt;"&amp;TODAY(),F77,"&lt;="&amp;TODAY()+30)&gt;0),1,0)</x:f>
        <x:v>0</x:v>
      </x:c>
      <x:c r="R77" t="n">
        <x:f>R76+IF(OR(LEFT(H77,15)="Missing dates; ",LEFT(H77,16)="Add N/A reason; ",H77="Add dates",H77="Add registration",H77="Check date format"),1,0)</x:f>
        <x:v>0</x:v>
      </x:c>
      <x:c r="S77" t="n">
        <x:f>S76+IF(COUNTIFS(C77:F77,"Reviewed N/A")&gt;0,1,0)</x:f>
        <x:v>0</x:v>
      </x:c>
    </x:row>
    <x:row r="78" ht="48" customHeight="1">
      <x:c r="A78" s="52"/>
      <x:c r="B78" s="52"/>
      <x:c r="C78" s="53"/>
      <x:c r="D78" s="53"/>
      <x:c r="E78" s="53"/>
      <x:c r="F78" s="53"/>
      <x:c r="G78" s="52"/>
      <x:c r="H78" s="21" t="str">
        <x:f>IF(COUNTA(A78:G78,I78)=0,"",IF(A78="","Add registration",IF(OR(COUNTA(C78:F78)&gt;COUNT(C78:F78)+COUNTIFS(C78:F78,"Reviewed N/A"),AND(COUNT(C78:F78)&gt;0,OR(MIN(C78:F78)&lt;36526,MAX(C78:F78)&gt;109574))),"Check date format",IF(AND(COUNTIFS(C78:F78,"Reviewed N/A")&gt;0,I78=""),"Add N/A reason; ","")&amp;IF(COUNT(C78:F78)=0,IF(COUNTIFS(C78:F78,"Reviewed N/A")=4,"No applicable dates recorded","Add dates"),IF(COUNT(C78:F78)+COUNTIFS(C78:F78,"Reviewed N/A")&lt;4,"Missing dates; ","")&amp;IF(MIN(C78:F78)&lt;TODAY(),"Overdue: ",IF(MIN(C78:F78)=TODAY(),"Due today: ",IF(MIN(C78:F78)&lt;=TODAY()+30,"Due within 30 days: ","Next: ")))&amp;INDEX($C$8:$F$8,1,MATCH(MIN(C78:F78),C78:F78,0))&amp;" "&amp;TEXT(MIN(C78:F78),"dd mmm yyyy")))))</x:f>
      </x:c>
      <x:c r="I78" s="52"/>
      <x:c r="J78" t="str">
        <x:f>IF(AND(A78&lt;&gt;"",COUNTIFS(C78,"&gt;=36526",C78,"&lt;"&amp;TODAY())+COUNTIFS(D78,"&gt;=36526",D78,"&lt;"&amp;TODAY())+COUNTIFS(E78,"&gt;=36526",E78,"&lt;"&amp;TODAY())+COUNTIFS(F78,"&gt;=36526",F78,"&lt;"&amp;TODAY())&gt;0),O78,"")</x:f>
      </x:c>
      <x:c r="K78" t="str">
        <x:f>IF(AND(A78&lt;&gt;"",COUNTIFS(C78,"&gt;=36526",C78,TODAY())+COUNTIFS(D78,"&gt;=36526",D78,TODAY())+COUNTIFS(E78,"&gt;=36526",E78,TODAY())+COUNTIFS(F78,"&gt;=36526",F78,TODAY())&gt;0),P78,"")</x:f>
      </x:c>
      <x:c r="L78" t="str">
        <x:f>IF(AND(A78&lt;&gt;"",COUNTIFS(C78,"&gt;"&amp;TODAY(),C78,"&lt;="&amp;TODAY()+30)+COUNTIFS(D78,"&gt;"&amp;TODAY(),D78,"&lt;="&amp;TODAY()+30)+COUNTIFS(E78,"&gt;"&amp;TODAY(),E78,"&lt;="&amp;TODAY()+30)+COUNTIFS(F78,"&gt;"&amp;TODAY(),F78,"&lt;="&amp;TODAY()+30)&gt;0),Q78,"")</x:f>
      </x:c>
      <x:c r="M78" t="str">
        <x:f>IF(OR(LEFT(H78,15)="Missing dates; ",LEFT(H78,16)="Add N/A reason; ",H78="Add dates",H78="Add registration",H78="Check date format"),R78,"")</x:f>
      </x:c>
      <x:c r="N78" t="str">
        <x:f>IF(COUNTIFS(C78:F78,"Reviewed N/A")&gt;0,S78,"")</x:f>
      </x:c>
      <x:c r="O78" t="n">
        <x:f>O77+IF(AND(A78&lt;&gt;"",COUNTIFS(C78,"&gt;=36526",C78,"&lt;"&amp;TODAY())+COUNTIFS(D78,"&gt;=36526",D78,"&lt;"&amp;TODAY())+COUNTIFS(E78,"&gt;=36526",E78,"&lt;"&amp;TODAY())+COUNTIFS(F78,"&gt;=36526",F78,"&lt;"&amp;TODAY())&gt;0),1,0)</x:f>
        <x:v>0</x:v>
      </x:c>
      <x:c r="P78" t="n">
        <x:f>P77+IF(AND(A78&lt;&gt;"",COUNTIFS(C78,"&gt;=36526",C78,TODAY())+COUNTIFS(D78,"&gt;=36526",D78,TODAY())+COUNTIFS(E78,"&gt;=36526",E78,TODAY())+COUNTIFS(F78,"&gt;=36526",F78,TODAY())&gt;0),1,0)</x:f>
        <x:v>0</x:v>
      </x:c>
      <x:c r="Q78" t="n">
        <x:f>Q77+IF(AND(A78&lt;&gt;"",COUNTIFS(C78,"&gt;"&amp;TODAY(),C78,"&lt;="&amp;TODAY()+30)+COUNTIFS(D78,"&gt;"&amp;TODAY(),D78,"&lt;="&amp;TODAY()+30)+COUNTIFS(E78,"&gt;"&amp;TODAY(),E78,"&lt;="&amp;TODAY()+30)+COUNTIFS(F78,"&gt;"&amp;TODAY(),F78,"&lt;="&amp;TODAY()+30)&gt;0),1,0)</x:f>
        <x:v>0</x:v>
      </x:c>
      <x:c r="R78" t="n">
        <x:f>R77+IF(OR(LEFT(H78,15)="Missing dates; ",LEFT(H78,16)="Add N/A reason; ",H78="Add dates",H78="Add registration",H78="Check date format"),1,0)</x:f>
        <x:v>0</x:v>
      </x:c>
      <x:c r="S78" t="n">
        <x:f>S77+IF(COUNTIFS(C78:F78,"Reviewed N/A")&gt;0,1,0)</x:f>
        <x:v>0</x:v>
      </x:c>
    </x:row>
    <x:row r="79" ht="48" customHeight="1">
      <x:c r="A79" s="52"/>
      <x:c r="B79" s="52"/>
      <x:c r="C79" s="53"/>
      <x:c r="D79" s="53"/>
      <x:c r="E79" s="53"/>
      <x:c r="F79" s="53"/>
      <x:c r="G79" s="52"/>
      <x:c r="H79" s="21" t="str">
        <x:f>IF(COUNTA(A79:G79,I79)=0,"",IF(A79="","Add registration",IF(OR(COUNTA(C79:F79)&gt;COUNT(C79:F79)+COUNTIFS(C79:F79,"Reviewed N/A"),AND(COUNT(C79:F79)&gt;0,OR(MIN(C79:F79)&lt;36526,MAX(C79:F79)&gt;109574))),"Check date format",IF(AND(COUNTIFS(C79:F79,"Reviewed N/A")&gt;0,I79=""),"Add N/A reason; ","")&amp;IF(COUNT(C79:F79)=0,IF(COUNTIFS(C79:F79,"Reviewed N/A")=4,"No applicable dates recorded","Add dates"),IF(COUNT(C79:F79)+COUNTIFS(C79:F79,"Reviewed N/A")&lt;4,"Missing dates; ","")&amp;IF(MIN(C79:F79)&lt;TODAY(),"Overdue: ",IF(MIN(C79:F79)=TODAY(),"Due today: ",IF(MIN(C79:F79)&lt;=TODAY()+30,"Due within 30 days: ","Next: ")))&amp;INDEX($C$8:$F$8,1,MATCH(MIN(C79:F79),C79:F79,0))&amp;" "&amp;TEXT(MIN(C79:F79),"dd mmm yyyy")))))</x:f>
      </x:c>
      <x:c r="I79" s="52"/>
      <x:c r="J79" t="str">
        <x:f>IF(AND(A79&lt;&gt;"",COUNTIFS(C79,"&gt;=36526",C79,"&lt;"&amp;TODAY())+COUNTIFS(D79,"&gt;=36526",D79,"&lt;"&amp;TODAY())+COUNTIFS(E79,"&gt;=36526",E79,"&lt;"&amp;TODAY())+COUNTIFS(F79,"&gt;=36526",F79,"&lt;"&amp;TODAY())&gt;0),O79,"")</x:f>
      </x:c>
      <x:c r="K79" t="str">
        <x:f>IF(AND(A79&lt;&gt;"",COUNTIFS(C79,"&gt;=36526",C79,TODAY())+COUNTIFS(D79,"&gt;=36526",D79,TODAY())+COUNTIFS(E79,"&gt;=36526",E79,TODAY())+COUNTIFS(F79,"&gt;=36526",F79,TODAY())&gt;0),P79,"")</x:f>
      </x:c>
      <x:c r="L79" t="str">
        <x:f>IF(AND(A79&lt;&gt;"",COUNTIFS(C79,"&gt;"&amp;TODAY(),C79,"&lt;="&amp;TODAY()+30)+COUNTIFS(D79,"&gt;"&amp;TODAY(),D79,"&lt;="&amp;TODAY()+30)+COUNTIFS(E79,"&gt;"&amp;TODAY(),E79,"&lt;="&amp;TODAY()+30)+COUNTIFS(F79,"&gt;"&amp;TODAY(),F79,"&lt;="&amp;TODAY()+30)&gt;0),Q79,"")</x:f>
      </x:c>
      <x:c r="M79" t="str">
        <x:f>IF(OR(LEFT(H79,15)="Missing dates; ",LEFT(H79,16)="Add N/A reason; ",H79="Add dates",H79="Add registration",H79="Check date format"),R79,"")</x:f>
      </x:c>
      <x:c r="N79" t="str">
        <x:f>IF(COUNTIFS(C79:F79,"Reviewed N/A")&gt;0,S79,"")</x:f>
      </x:c>
      <x:c r="O79" t="n">
        <x:f>O78+IF(AND(A79&lt;&gt;"",COUNTIFS(C79,"&gt;=36526",C79,"&lt;"&amp;TODAY())+COUNTIFS(D79,"&gt;=36526",D79,"&lt;"&amp;TODAY())+COUNTIFS(E79,"&gt;=36526",E79,"&lt;"&amp;TODAY())+COUNTIFS(F79,"&gt;=36526",F79,"&lt;"&amp;TODAY())&gt;0),1,0)</x:f>
        <x:v>0</x:v>
      </x:c>
      <x:c r="P79" t="n">
        <x:f>P78+IF(AND(A79&lt;&gt;"",COUNTIFS(C79,"&gt;=36526",C79,TODAY())+COUNTIFS(D79,"&gt;=36526",D79,TODAY())+COUNTIFS(E79,"&gt;=36526",E79,TODAY())+COUNTIFS(F79,"&gt;=36526",F79,TODAY())&gt;0),1,0)</x:f>
        <x:v>0</x:v>
      </x:c>
      <x:c r="Q79" t="n">
        <x:f>Q78+IF(AND(A79&lt;&gt;"",COUNTIFS(C79,"&gt;"&amp;TODAY(),C79,"&lt;="&amp;TODAY()+30)+COUNTIFS(D79,"&gt;"&amp;TODAY(),D79,"&lt;="&amp;TODAY()+30)+COUNTIFS(E79,"&gt;"&amp;TODAY(),E79,"&lt;="&amp;TODAY()+30)+COUNTIFS(F79,"&gt;"&amp;TODAY(),F79,"&lt;="&amp;TODAY()+30)&gt;0),1,0)</x:f>
        <x:v>0</x:v>
      </x:c>
      <x:c r="R79" t="n">
        <x:f>R78+IF(OR(LEFT(H79,15)="Missing dates; ",LEFT(H79,16)="Add N/A reason; ",H79="Add dates",H79="Add registration",H79="Check date format"),1,0)</x:f>
        <x:v>0</x:v>
      </x:c>
      <x:c r="S79" t="n">
        <x:f>S78+IF(COUNTIFS(C79:F79,"Reviewed N/A")&gt;0,1,0)</x:f>
        <x:v>0</x:v>
      </x:c>
    </x:row>
    <x:row r="80" ht="48" customHeight="1">
      <x:c r="A80" s="52"/>
      <x:c r="B80" s="52"/>
      <x:c r="C80" s="53"/>
      <x:c r="D80" s="53"/>
      <x:c r="E80" s="53"/>
      <x:c r="F80" s="53"/>
      <x:c r="G80" s="52"/>
      <x:c r="H80" s="21" t="str">
        <x:f>IF(COUNTA(A80:G80,I80)=0,"",IF(A80="","Add registration",IF(OR(COUNTA(C80:F80)&gt;COUNT(C80:F80)+COUNTIFS(C80:F80,"Reviewed N/A"),AND(COUNT(C80:F80)&gt;0,OR(MIN(C80:F80)&lt;36526,MAX(C80:F80)&gt;109574))),"Check date format",IF(AND(COUNTIFS(C80:F80,"Reviewed N/A")&gt;0,I80=""),"Add N/A reason; ","")&amp;IF(COUNT(C80:F80)=0,IF(COUNTIFS(C80:F80,"Reviewed N/A")=4,"No applicable dates recorded","Add dates"),IF(COUNT(C80:F80)+COUNTIFS(C80:F80,"Reviewed N/A")&lt;4,"Missing dates; ","")&amp;IF(MIN(C80:F80)&lt;TODAY(),"Overdue: ",IF(MIN(C80:F80)=TODAY(),"Due today: ",IF(MIN(C80:F80)&lt;=TODAY()+30,"Due within 30 days: ","Next: ")))&amp;INDEX($C$8:$F$8,1,MATCH(MIN(C80:F80),C80:F80,0))&amp;" "&amp;TEXT(MIN(C80:F80),"dd mmm yyyy")))))</x:f>
      </x:c>
      <x:c r="I80" s="52"/>
      <x:c r="J80" t="str">
        <x:f>IF(AND(A80&lt;&gt;"",COUNTIFS(C80,"&gt;=36526",C80,"&lt;"&amp;TODAY())+COUNTIFS(D80,"&gt;=36526",D80,"&lt;"&amp;TODAY())+COUNTIFS(E80,"&gt;=36526",E80,"&lt;"&amp;TODAY())+COUNTIFS(F80,"&gt;=36526",F80,"&lt;"&amp;TODAY())&gt;0),O80,"")</x:f>
      </x:c>
      <x:c r="K80" t="str">
        <x:f>IF(AND(A80&lt;&gt;"",COUNTIFS(C80,"&gt;=36526",C80,TODAY())+COUNTIFS(D80,"&gt;=36526",D80,TODAY())+COUNTIFS(E80,"&gt;=36526",E80,TODAY())+COUNTIFS(F80,"&gt;=36526",F80,TODAY())&gt;0),P80,"")</x:f>
      </x:c>
      <x:c r="L80" t="str">
        <x:f>IF(AND(A80&lt;&gt;"",COUNTIFS(C80,"&gt;"&amp;TODAY(),C80,"&lt;="&amp;TODAY()+30)+COUNTIFS(D80,"&gt;"&amp;TODAY(),D80,"&lt;="&amp;TODAY()+30)+COUNTIFS(E80,"&gt;"&amp;TODAY(),E80,"&lt;="&amp;TODAY()+30)+COUNTIFS(F80,"&gt;"&amp;TODAY(),F80,"&lt;="&amp;TODAY()+30)&gt;0),Q80,"")</x:f>
      </x:c>
      <x:c r="M80" t="str">
        <x:f>IF(OR(LEFT(H80,15)="Missing dates; ",LEFT(H80,16)="Add N/A reason; ",H80="Add dates",H80="Add registration",H80="Check date format"),R80,"")</x:f>
      </x:c>
      <x:c r="N80" t="str">
        <x:f>IF(COUNTIFS(C80:F80,"Reviewed N/A")&gt;0,S80,"")</x:f>
      </x:c>
      <x:c r="O80" t="n">
        <x:f>O79+IF(AND(A80&lt;&gt;"",COUNTIFS(C80,"&gt;=36526",C80,"&lt;"&amp;TODAY())+COUNTIFS(D80,"&gt;=36526",D80,"&lt;"&amp;TODAY())+COUNTIFS(E80,"&gt;=36526",E80,"&lt;"&amp;TODAY())+COUNTIFS(F80,"&gt;=36526",F80,"&lt;"&amp;TODAY())&gt;0),1,0)</x:f>
        <x:v>0</x:v>
      </x:c>
      <x:c r="P80" t="n">
        <x:f>P79+IF(AND(A80&lt;&gt;"",COUNTIFS(C80,"&gt;=36526",C80,TODAY())+COUNTIFS(D80,"&gt;=36526",D80,TODAY())+COUNTIFS(E80,"&gt;=36526",E80,TODAY())+COUNTIFS(F80,"&gt;=36526",F80,TODAY())&gt;0),1,0)</x:f>
        <x:v>0</x:v>
      </x:c>
      <x:c r="Q80" t="n">
        <x:f>Q79+IF(AND(A80&lt;&gt;"",COUNTIFS(C80,"&gt;"&amp;TODAY(),C80,"&lt;="&amp;TODAY()+30)+COUNTIFS(D80,"&gt;"&amp;TODAY(),D80,"&lt;="&amp;TODAY()+30)+COUNTIFS(E80,"&gt;"&amp;TODAY(),E80,"&lt;="&amp;TODAY()+30)+COUNTIFS(F80,"&gt;"&amp;TODAY(),F80,"&lt;="&amp;TODAY()+30)&gt;0),1,0)</x:f>
        <x:v>0</x:v>
      </x:c>
      <x:c r="R80" t="n">
        <x:f>R79+IF(OR(LEFT(H80,15)="Missing dates; ",LEFT(H80,16)="Add N/A reason; ",H80="Add dates",H80="Add registration",H80="Check date format"),1,0)</x:f>
        <x:v>0</x:v>
      </x:c>
      <x:c r="S80" t="n">
        <x:f>S79+IF(COUNTIFS(C80:F80,"Reviewed N/A")&gt;0,1,0)</x:f>
        <x:v>0</x:v>
      </x:c>
    </x:row>
    <x:row r="81" ht="48" customHeight="1">
      <x:c r="A81" s="52"/>
      <x:c r="B81" s="52"/>
      <x:c r="C81" s="53"/>
      <x:c r="D81" s="53"/>
      <x:c r="E81" s="53"/>
      <x:c r="F81" s="53"/>
      <x:c r="G81" s="52"/>
      <x:c r="H81" s="21" t="str">
        <x:f>IF(COUNTA(A81:G81,I81)=0,"",IF(A81="","Add registration",IF(OR(COUNTA(C81:F81)&gt;COUNT(C81:F81)+COUNTIFS(C81:F81,"Reviewed N/A"),AND(COUNT(C81:F81)&gt;0,OR(MIN(C81:F81)&lt;36526,MAX(C81:F81)&gt;109574))),"Check date format",IF(AND(COUNTIFS(C81:F81,"Reviewed N/A")&gt;0,I81=""),"Add N/A reason; ","")&amp;IF(COUNT(C81:F81)=0,IF(COUNTIFS(C81:F81,"Reviewed N/A")=4,"No applicable dates recorded","Add dates"),IF(COUNT(C81:F81)+COUNTIFS(C81:F81,"Reviewed N/A")&lt;4,"Missing dates; ","")&amp;IF(MIN(C81:F81)&lt;TODAY(),"Overdue: ",IF(MIN(C81:F81)=TODAY(),"Due today: ",IF(MIN(C81:F81)&lt;=TODAY()+30,"Due within 30 days: ","Next: ")))&amp;INDEX($C$8:$F$8,1,MATCH(MIN(C81:F81),C81:F81,0))&amp;" "&amp;TEXT(MIN(C81:F81),"dd mmm yyyy")))))</x:f>
      </x:c>
      <x:c r="I81" s="52"/>
      <x:c r="J81" t="str">
        <x:f>IF(AND(A81&lt;&gt;"",COUNTIFS(C81,"&gt;=36526",C81,"&lt;"&amp;TODAY())+COUNTIFS(D81,"&gt;=36526",D81,"&lt;"&amp;TODAY())+COUNTIFS(E81,"&gt;=36526",E81,"&lt;"&amp;TODAY())+COUNTIFS(F81,"&gt;=36526",F81,"&lt;"&amp;TODAY())&gt;0),O81,"")</x:f>
      </x:c>
      <x:c r="K81" t="str">
        <x:f>IF(AND(A81&lt;&gt;"",COUNTIFS(C81,"&gt;=36526",C81,TODAY())+COUNTIFS(D81,"&gt;=36526",D81,TODAY())+COUNTIFS(E81,"&gt;=36526",E81,TODAY())+COUNTIFS(F81,"&gt;=36526",F81,TODAY())&gt;0),P81,"")</x:f>
      </x:c>
      <x:c r="L81" t="str">
        <x:f>IF(AND(A81&lt;&gt;"",COUNTIFS(C81,"&gt;"&amp;TODAY(),C81,"&lt;="&amp;TODAY()+30)+COUNTIFS(D81,"&gt;"&amp;TODAY(),D81,"&lt;="&amp;TODAY()+30)+COUNTIFS(E81,"&gt;"&amp;TODAY(),E81,"&lt;="&amp;TODAY()+30)+COUNTIFS(F81,"&gt;"&amp;TODAY(),F81,"&lt;="&amp;TODAY()+30)&gt;0),Q81,"")</x:f>
      </x:c>
      <x:c r="M81" t="str">
        <x:f>IF(OR(LEFT(H81,15)="Missing dates; ",LEFT(H81,16)="Add N/A reason; ",H81="Add dates",H81="Add registration",H81="Check date format"),R81,"")</x:f>
      </x:c>
      <x:c r="N81" t="str">
        <x:f>IF(COUNTIFS(C81:F81,"Reviewed N/A")&gt;0,S81,"")</x:f>
      </x:c>
      <x:c r="O81" t="n">
        <x:f>O80+IF(AND(A81&lt;&gt;"",COUNTIFS(C81,"&gt;=36526",C81,"&lt;"&amp;TODAY())+COUNTIFS(D81,"&gt;=36526",D81,"&lt;"&amp;TODAY())+COUNTIFS(E81,"&gt;=36526",E81,"&lt;"&amp;TODAY())+COUNTIFS(F81,"&gt;=36526",F81,"&lt;"&amp;TODAY())&gt;0),1,0)</x:f>
        <x:v>0</x:v>
      </x:c>
      <x:c r="P81" t="n">
        <x:f>P80+IF(AND(A81&lt;&gt;"",COUNTIFS(C81,"&gt;=36526",C81,TODAY())+COUNTIFS(D81,"&gt;=36526",D81,TODAY())+COUNTIFS(E81,"&gt;=36526",E81,TODAY())+COUNTIFS(F81,"&gt;=36526",F81,TODAY())&gt;0),1,0)</x:f>
        <x:v>0</x:v>
      </x:c>
      <x:c r="Q81" t="n">
        <x:f>Q80+IF(AND(A81&lt;&gt;"",COUNTIFS(C81,"&gt;"&amp;TODAY(),C81,"&lt;="&amp;TODAY()+30)+COUNTIFS(D81,"&gt;"&amp;TODAY(),D81,"&lt;="&amp;TODAY()+30)+COUNTIFS(E81,"&gt;"&amp;TODAY(),E81,"&lt;="&amp;TODAY()+30)+COUNTIFS(F81,"&gt;"&amp;TODAY(),F81,"&lt;="&amp;TODAY()+30)&gt;0),1,0)</x:f>
        <x:v>0</x:v>
      </x:c>
      <x:c r="R81" t="n">
        <x:f>R80+IF(OR(LEFT(H81,15)="Missing dates; ",LEFT(H81,16)="Add N/A reason; ",H81="Add dates",H81="Add registration",H81="Check date format"),1,0)</x:f>
        <x:v>0</x:v>
      </x:c>
      <x:c r="S81" t="n">
        <x:f>S80+IF(COUNTIFS(C81:F81,"Reviewed N/A")&gt;0,1,0)</x:f>
        <x:v>0</x:v>
      </x:c>
    </x:row>
    <x:row r="82" ht="48" customHeight="1">
      <x:c r="A82" s="52"/>
      <x:c r="B82" s="52"/>
      <x:c r="C82" s="53"/>
      <x:c r="D82" s="53"/>
      <x:c r="E82" s="53"/>
      <x:c r="F82" s="53"/>
      <x:c r="G82" s="52"/>
      <x:c r="H82" s="21" t="str">
        <x:f>IF(COUNTA(A82:G82,I82)=0,"",IF(A82="","Add registration",IF(OR(COUNTA(C82:F82)&gt;COUNT(C82:F82)+COUNTIFS(C82:F82,"Reviewed N/A"),AND(COUNT(C82:F82)&gt;0,OR(MIN(C82:F82)&lt;36526,MAX(C82:F82)&gt;109574))),"Check date format",IF(AND(COUNTIFS(C82:F82,"Reviewed N/A")&gt;0,I82=""),"Add N/A reason; ","")&amp;IF(COUNT(C82:F82)=0,IF(COUNTIFS(C82:F82,"Reviewed N/A")=4,"No applicable dates recorded","Add dates"),IF(COUNT(C82:F82)+COUNTIFS(C82:F82,"Reviewed N/A")&lt;4,"Missing dates; ","")&amp;IF(MIN(C82:F82)&lt;TODAY(),"Overdue: ",IF(MIN(C82:F82)=TODAY(),"Due today: ",IF(MIN(C82:F82)&lt;=TODAY()+30,"Due within 30 days: ","Next: ")))&amp;INDEX($C$8:$F$8,1,MATCH(MIN(C82:F82),C82:F82,0))&amp;" "&amp;TEXT(MIN(C82:F82),"dd mmm yyyy")))))</x:f>
      </x:c>
      <x:c r="I82" s="52"/>
      <x:c r="J82" t="str">
        <x:f>IF(AND(A82&lt;&gt;"",COUNTIFS(C82,"&gt;=36526",C82,"&lt;"&amp;TODAY())+COUNTIFS(D82,"&gt;=36526",D82,"&lt;"&amp;TODAY())+COUNTIFS(E82,"&gt;=36526",E82,"&lt;"&amp;TODAY())+COUNTIFS(F82,"&gt;=36526",F82,"&lt;"&amp;TODAY())&gt;0),O82,"")</x:f>
      </x:c>
      <x:c r="K82" t="str">
        <x:f>IF(AND(A82&lt;&gt;"",COUNTIFS(C82,"&gt;=36526",C82,TODAY())+COUNTIFS(D82,"&gt;=36526",D82,TODAY())+COUNTIFS(E82,"&gt;=36526",E82,TODAY())+COUNTIFS(F82,"&gt;=36526",F82,TODAY())&gt;0),P82,"")</x:f>
      </x:c>
      <x:c r="L82" t="str">
        <x:f>IF(AND(A82&lt;&gt;"",COUNTIFS(C82,"&gt;"&amp;TODAY(),C82,"&lt;="&amp;TODAY()+30)+COUNTIFS(D82,"&gt;"&amp;TODAY(),D82,"&lt;="&amp;TODAY()+30)+COUNTIFS(E82,"&gt;"&amp;TODAY(),E82,"&lt;="&amp;TODAY()+30)+COUNTIFS(F82,"&gt;"&amp;TODAY(),F82,"&lt;="&amp;TODAY()+30)&gt;0),Q82,"")</x:f>
      </x:c>
      <x:c r="M82" t="str">
        <x:f>IF(OR(LEFT(H82,15)="Missing dates; ",LEFT(H82,16)="Add N/A reason; ",H82="Add dates",H82="Add registration",H82="Check date format"),R82,"")</x:f>
      </x:c>
      <x:c r="N82" t="str">
        <x:f>IF(COUNTIFS(C82:F82,"Reviewed N/A")&gt;0,S82,"")</x:f>
      </x:c>
      <x:c r="O82" t="n">
        <x:f>O81+IF(AND(A82&lt;&gt;"",COUNTIFS(C82,"&gt;=36526",C82,"&lt;"&amp;TODAY())+COUNTIFS(D82,"&gt;=36526",D82,"&lt;"&amp;TODAY())+COUNTIFS(E82,"&gt;=36526",E82,"&lt;"&amp;TODAY())+COUNTIFS(F82,"&gt;=36526",F82,"&lt;"&amp;TODAY())&gt;0),1,0)</x:f>
        <x:v>0</x:v>
      </x:c>
      <x:c r="P82" t="n">
        <x:f>P81+IF(AND(A82&lt;&gt;"",COUNTIFS(C82,"&gt;=36526",C82,TODAY())+COUNTIFS(D82,"&gt;=36526",D82,TODAY())+COUNTIFS(E82,"&gt;=36526",E82,TODAY())+COUNTIFS(F82,"&gt;=36526",F82,TODAY())&gt;0),1,0)</x:f>
        <x:v>0</x:v>
      </x:c>
      <x:c r="Q82" t="n">
        <x:f>Q81+IF(AND(A82&lt;&gt;"",COUNTIFS(C82,"&gt;"&amp;TODAY(),C82,"&lt;="&amp;TODAY()+30)+COUNTIFS(D82,"&gt;"&amp;TODAY(),D82,"&lt;="&amp;TODAY()+30)+COUNTIFS(E82,"&gt;"&amp;TODAY(),E82,"&lt;="&amp;TODAY()+30)+COUNTIFS(F82,"&gt;"&amp;TODAY(),F82,"&lt;="&amp;TODAY()+30)&gt;0),1,0)</x:f>
        <x:v>0</x:v>
      </x:c>
      <x:c r="R82" t="n">
        <x:f>R81+IF(OR(LEFT(H82,15)="Missing dates; ",LEFT(H82,16)="Add N/A reason; ",H82="Add dates",H82="Add registration",H82="Check date format"),1,0)</x:f>
        <x:v>0</x:v>
      </x:c>
      <x:c r="S82" t="n">
        <x:f>S81+IF(COUNTIFS(C82:F82,"Reviewed N/A")&gt;0,1,0)</x:f>
        <x:v>0</x:v>
      </x:c>
    </x:row>
    <x:row r="83" ht="48" customHeight="1">
      <x:c r="A83" s="52"/>
      <x:c r="B83" s="52"/>
      <x:c r="C83" s="53"/>
      <x:c r="D83" s="53"/>
      <x:c r="E83" s="53"/>
      <x:c r="F83" s="53"/>
      <x:c r="G83" s="52"/>
      <x:c r="H83" s="21" t="str">
        <x:f>IF(COUNTA(A83:G83,I83)=0,"",IF(A83="","Add registration",IF(OR(COUNTA(C83:F83)&gt;COUNT(C83:F83)+COUNTIFS(C83:F83,"Reviewed N/A"),AND(COUNT(C83:F83)&gt;0,OR(MIN(C83:F83)&lt;36526,MAX(C83:F83)&gt;109574))),"Check date format",IF(AND(COUNTIFS(C83:F83,"Reviewed N/A")&gt;0,I83=""),"Add N/A reason; ","")&amp;IF(COUNT(C83:F83)=0,IF(COUNTIFS(C83:F83,"Reviewed N/A")=4,"No applicable dates recorded","Add dates"),IF(COUNT(C83:F83)+COUNTIFS(C83:F83,"Reviewed N/A")&lt;4,"Missing dates; ","")&amp;IF(MIN(C83:F83)&lt;TODAY(),"Overdue: ",IF(MIN(C83:F83)=TODAY(),"Due today: ",IF(MIN(C83:F83)&lt;=TODAY()+30,"Due within 30 days: ","Next: ")))&amp;INDEX($C$8:$F$8,1,MATCH(MIN(C83:F83),C83:F83,0))&amp;" "&amp;TEXT(MIN(C83:F83),"dd mmm yyyy")))))</x:f>
      </x:c>
      <x:c r="I83" s="52"/>
      <x:c r="J83" t="str">
        <x:f>IF(AND(A83&lt;&gt;"",COUNTIFS(C83,"&gt;=36526",C83,"&lt;"&amp;TODAY())+COUNTIFS(D83,"&gt;=36526",D83,"&lt;"&amp;TODAY())+COUNTIFS(E83,"&gt;=36526",E83,"&lt;"&amp;TODAY())+COUNTIFS(F83,"&gt;=36526",F83,"&lt;"&amp;TODAY())&gt;0),O83,"")</x:f>
      </x:c>
      <x:c r="K83" t="str">
        <x:f>IF(AND(A83&lt;&gt;"",COUNTIFS(C83,"&gt;=36526",C83,TODAY())+COUNTIFS(D83,"&gt;=36526",D83,TODAY())+COUNTIFS(E83,"&gt;=36526",E83,TODAY())+COUNTIFS(F83,"&gt;=36526",F83,TODAY())&gt;0),P83,"")</x:f>
      </x:c>
      <x:c r="L83" t="str">
        <x:f>IF(AND(A83&lt;&gt;"",COUNTIFS(C83,"&gt;"&amp;TODAY(),C83,"&lt;="&amp;TODAY()+30)+COUNTIFS(D83,"&gt;"&amp;TODAY(),D83,"&lt;="&amp;TODAY()+30)+COUNTIFS(E83,"&gt;"&amp;TODAY(),E83,"&lt;="&amp;TODAY()+30)+COUNTIFS(F83,"&gt;"&amp;TODAY(),F83,"&lt;="&amp;TODAY()+30)&gt;0),Q83,"")</x:f>
      </x:c>
      <x:c r="M83" t="str">
        <x:f>IF(OR(LEFT(H83,15)="Missing dates; ",LEFT(H83,16)="Add N/A reason; ",H83="Add dates",H83="Add registration",H83="Check date format"),R83,"")</x:f>
      </x:c>
      <x:c r="N83" t="str">
        <x:f>IF(COUNTIFS(C83:F83,"Reviewed N/A")&gt;0,S83,"")</x:f>
      </x:c>
      <x:c r="O83" t="n">
        <x:f>O82+IF(AND(A83&lt;&gt;"",COUNTIFS(C83,"&gt;=36526",C83,"&lt;"&amp;TODAY())+COUNTIFS(D83,"&gt;=36526",D83,"&lt;"&amp;TODAY())+COUNTIFS(E83,"&gt;=36526",E83,"&lt;"&amp;TODAY())+COUNTIFS(F83,"&gt;=36526",F83,"&lt;"&amp;TODAY())&gt;0),1,0)</x:f>
        <x:v>0</x:v>
      </x:c>
      <x:c r="P83" t="n">
        <x:f>P82+IF(AND(A83&lt;&gt;"",COUNTIFS(C83,"&gt;=36526",C83,TODAY())+COUNTIFS(D83,"&gt;=36526",D83,TODAY())+COUNTIFS(E83,"&gt;=36526",E83,TODAY())+COUNTIFS(F83,"&gt;=36526",F83,TODAY())&gt;0),1,0)</x:f>
        <x:v>0</x:v>
      </x:c>
      <x:c r="Q83" t="n">
        <x:f>Q82+IF(AND(A83&lt;&gt;"",COUNTIFS(C83,"&gt;"&amp;TODAY(),C83,"&lt;="&amp;TODAY()+30)+COUNTIFS(D83,"&gt;"&amp;TODAY(),D83,"&lt;="&amp;TODAY()+30)+COUNTIFS(E83,"&gt;"&amp;TODAY(),E83,"&lt;="&amp;TODAY()+30)+COUNTIFS(F83,"&gt;"&amp;TODAY(),F83,"&lt;="&amp;TODAY()+30)&gt;0),1,0)</x:f>
        <x:v>0</x:v>
      </x:c>
      <x:c r="R83" t="n">
        <x:f>R82+IF(OR(LEFT(H83,15)="Missing dates; ",LEFT(H83,16)="Add N/A reason; ",H83="Add dates",H83="Add registration",H83="Check date format"),1,0)</x:f>
        <x:v>0</x:v>
      </x:c>
      <x:c r="S83" t="n">
        <x:f>S82+IF(COUNTIFS(C83:F83,"Reviewed N/A")&gt;0,1,0)</x:f>
        <x:v>0</x:v>
      </x:c>
    </x:row>
    <x:row r="84" ht="48" customHeight="1">
      <x:c r="A84" s="52"/>
      <x:c r="B84" s="52"/>
      <x:c r="C84" s="53"/>
      <x:c r="D84" s="53"/>
      <x:c r="E84" s="53"/>
      <x:c r="F84" s="53"/>
      <x:c r="G84" s="52"/>
      <x:c r="H84" s="21" t="str">
        <x:f>IF(COUNTA(A84:G84,I84)=0,"",IF(A84="","Add registration",IF(OR(COUNTA(C84:F84)&gt;COUNT(C84:F84)+COUNTIFS(C84:F84,"Reviewed N/A"),AND(COUNT(C84:F84)&gt;0,OR(MIN(C84:F84)&lt;36526,MAX(C84:F84)&gt;109574))),"Check date format",IF(AND(COUNTIFS(C84:F84,"Reviewed N/A")&gt;0,I84=""),"Add N/A reason; ","")&amp;IF(COUNT(C84:F84)=0,IF(COUNTIFS(C84:F84,"Reviewed N/A")=4,"No applicable dates recorded","Add dates"),IF(COUNT(C84:F84)+COUNTIFS(C84:F84,"Reviewed N/A")&lt;4,"Missing dates; ","")&amp;IF(MIN(C84:F84)&lt;TODAY(),"Overdue: ",IF(MIN(C84:F84)=TODAY(),"Due today: ",IF(MIN(C84:F84)&lt;=TODAY()+30,"Due within 30 days: ","Next: ")))&amp;INDEX($C$8:$F$8,1,MATCH(MIN(C84:F84),C84:F84,0))&amp;" "&amp;TEXT(MIN(C84:F84),"dd mmm yyyy")))))</x:f>
      </x:c>
      <x:c r="I84" s="52"/>
      <x:c r="J84" t="str">
        <x:f>IF(AND(A84&lt;&gt;"",COUNTIFS(C84,"&gt;=36526",C84,"&lt;"&amp;TODAY())+COUNTIFS(D84,"&gt;=36526",D84,"&lt;"&amp;TODAY())+COUNTIFS(E84,"&gt;=36526",E84,"&lt;"&amp;TODAY())+COUNTIFS(F84,"&gt;=36526",F84,"&lt;"&amp;TODAY())&gt;0),O84,"")</x:f>
      </x:c>
      <x:c r="K84" t="str">
        <x:f>IF(AND(A84&lt;&gt;"",COUNTIFS(C84,"&gt;=36526",C84,TODAY())+COUNTIFS(D84,"&gt;=36526",D84,TODAY())+COUNTIFS(E84,"&gt;=36526",E84,TODAY())+COUNTIFS(F84,"&gt;=36526",F84,TODAY())&gt;0),P84,"")</x:f>
      </x:c>
      <x:c r="L84" t="str">
        <x:f>IF(AND(A84&lt;&gt;"",COUNTIFS(C84,"&gt;"&amp;TODAY(),C84,"&lt;="&amp;TODAY()+30)+COUNTIFS(D84,"&gt;"&amp;TODAY(),D84,"&lt;="&amp;TODAY()+30)+COUNTIFS(E84,"&gt;"&amp;TODAY(),E84,"&lt;="&amp;TODAY()+30)+COUNTIFS(F84,"&gt;"&amp;TODAY(),F84,"&lt;="&amp;TODAY()+30)&gt;0),Q84,"")</x:f>
      </x:c>
      <x:c r="M84" t="str">
        <x:f>IF(OR(LEFT(H84,15)="Missing dates; ",LEFT(H84,16)="Add N/A reason; ",H84="Add dates",H84="Add registration",H84="Check date format"),R84,"")</x:f>
      </x:c>
      <x:c r="N84" t="str">
        <x:f>IF(COUNTIFS(C84:F84,"Reviewed N/A")&gt;0,S84,"")</x:f>
      </x:c>
      <x:c r="O84" t="n">
        <x:f>O83+IF(AND(A84&lt;&gt;"",COUNTIFS(C84,"&gt;=36526",C84,"&lt;"&amp;TODAY())+COUNTIFS(D84,"&gt;=36526",D84,"&lt;"&amp;TODAY())+COUNTIFS(E84,"&gt;=36526",E84,"&lt;"&amp;TODAY())+COUNTIFS(F84,"&gt;=36526",F84,"&lt;"&amp;TODAY())&gt;0),1,0)</x:f>
        <x:v>0</x:v>
      </x:c>
      <x:c r="P84" t="n">
        <x:f>P83+IF(AND(A84&lt;&gt;"",COUNTIFS(C84,"&gt;=36526",C84,TODAY())+COUNTIFS(D84,"&gt;=36526",D84,TODAY())+COUNTIFS(E84,"&gt;=36526",E84,TODAY())+COUNTIFS(F84,"&gt;=36526",F84,TODAY())&gt;0),1,0)</x:f>
        <x:v>0</x:v>
      </x:c>
      <x:c r="Q84" t="n">
        <x:f>Q83+IF(AND(A84&lt;&gt;"",COUNTIFS(C84,"&gt;"&amp;TODAY(),C84,"&lt;="&amp;TODAY()+30)+COUNTIFS(D84,"&gt;"&amp;TODAY(),D84,"&lt;="&amp;TODAY()+30)+COUNTIFS(E84,"&gt;"&amp;TODAY(),E84,"&lt;="&amp;TODAY()+30)+COUNTIFS(F84,"&gt;"&amp;TODAY(),F84,"&lt;="&amp;TODAY()+30)&gt;0),1,0)</x:f>
        <x:v>0</x:v>
      </x:c>
      <x:c r="R84" t="n">
        <x:f>R83+IF(OR(LEFT(H84,15)="Missing dates; ",LEFT(H84,16)="Add N/A reason; ",H84="Add dates",H84="Add registration",H84="Check date format"),1,0)</x:f>
        <x:v>0</x:v>
      </x:c>
      <x:c r="S84" t="n">
        <x:f>S83+IF(COUNTIFS(C84:F84,"Reviewed N/A")&gt;0,1,0)</x:f>
        <x:v>0</x:v>
      </x:c>
    </x:row>
    <x:row r="85" ht="48" customHeight="1">
      <x:c r="A85" s="52"/>
      <x:c r="B85" s="52"/>
      <x:c r="C85" s="53"/>
      <x:c r="D85" s="53"/>
      <x:c r="E85" s="53"/>
      <x:c r="F85" s="53"/>
      <x:c r="G85" s="52"/>
      <x:c r="H85" s="21" t="str">
        <x:f>IF(COUNTA(A85:G85,I85)=0,"",IF(A85="","Add registration",IF(OR(COUNTA(C85:F85)&gt;COUNT(C85:F85)+COUNTIFS(C85:F85,"Reviewed N/A"),AND(COUNT(C85:F85)&gt;0,OR(MIN(C85:F85)&lt;36526,MAX(C85:F85)&gt;109574))),"Check date format",IF(AND(COUNTIFS(C85:F85,"Reviewed N/A")&gt;0,I85=""),"Add N/A reason; ","")&amp;IF(COUNT(C85:F85)=0,IF(COUNTIFS(C85:F85,"Reviewed N/A")=4,"No applicable dates recorded","Add dates"),IF(COUNT(C85:F85)+COUNTIFS(C85:F85,"Reviewed N/A")&lt;4,"Missing dates; ","")&amp;IF(MIN(C85:F85)&lt;TODAY(),"Overdue: ",IF(MIN(C85:F85)=TODAY(),"Due today: ",IF(MIN(C85:F85)&lt;=TODAY()+30,"Due within 30 days: ","Next: ")))&amp;INDEX($C$8:$F$8,1,MATCH(MIN(C85:F85),C85:F85,0))&amp;" "&amp;TEXT(MIN(C85:F85),"dd mmm yyyy")))))</x:f>
      </x:c>
      <x:c r="I85" s="52"/>
      <x:c r="J85" t="str">
        <x:f>IF(AND(A85&lt;&gt;"",COUNTIFS(C85,"&gt;=36526",C85,"&lt;"&amp;TODAY())+COUNTIFS(D85,"&gt;=36526",D85,"&lt;"&amp;TODAY())+COUNTIFS(E85,"&gt;=36526",E85,"&lt;"&amp;TODAY())+COUNTIFS(F85,"&gt;=36526",F85,"&lt;"&amp;TODAY())&gt;0),O85,"")</x:f>
      </x:c>
      <x:c r="K85" t="str">
        <x:f>IF(AND(A85&lt;&gt;"",COUNTIFS(C85,"&gt;=36526",C85,TODAY())+COUNTIFS(D85,"&gt;=36526",D85,TODAY())+COUNTIFS(E85,"&gt;=36526",E85,TODAY())+COUNTIFS(F85,"&gt;=36526",F85,TODAY())&gt;0),P85,"")</x:f>
      </x:c>
      <x:c r="L85" t="str">
        <x:f>IF(AND(A85&lt;&gt;"",COUNTIFS(C85,"&gt;"&amp;TODAY(),C85,"&lt;="&amp;TODAY()+30)+COUNTIFS(D85,"&gt;"&amp;TODAY(),D85,"&lt;="&amp;TODAY()+30)+COUNTIFS(E85,"&gt;"&amp;TODAY(),E85,"&lt;="&amp;TODAY()+30)+COUNTIFS(F85,"&gt;"&amp;TODAY(),F85,"&lt;="&amp;TODAY()+30)&gt;0),Q85,"")</x:f>
      </x:c>
      <x:c r="M85" t="str">
        <x:f>IF(OR(LEFT(H85,15)="Missing dates; ",LEFT(H85,16)="Add N/A reason; ",H85="Add dates",H85="Add registration",H85="Check date format"),R85,"")</x:f>
      </x:c>
      <x:c r="N85" t="str">
        <x:f>IF(COUNTIFS(C85:F85,"Reviewed N/A")&gt;0,S85,"")</x:f>
      </x:c>
      <x:c r="O85" t="n">
        <x:f>O84+IF(AND(A85&lt;&gt;"",COUNTIFS(C85,"&gt;=36526",C85,"&lt;"&amp;TODAY())+COUNTIFS(D85,"&gt;=36526",D85,"&lt;"&amp;TODAY())+COUNTIFS(E85,"&gt;=36526",E85,"&lt;"&amp;TODAY())+COUNTIFS(F85,"&gt;=36526",F85,"&lt;"&amp;TODAY())&gt;0),1,0)</x:f>
        <x:v>0</x:v>
      </x:c>
      <x:c r="P85" t="n">
        <x:f>P84+IF(AND(A85&lt;&gt;"",COUNTIFS(C85,"&gt;=36526",C85,TODAY())+COUNTIFS(D85,"&gt;=36526",D85,TODAY())+COUNTIFS(E85,"&gt;=36526",E85,TODAY())+COUNTIFS(F85,"&gt;=36526",F85,TODAY())&gt;0),1,0)</x:f>
        <x:v>0</x:v>
      </x:c>
      <x:c r="Q85" t="n">
        <x:f>Q84+IF(AND(A85&lt;&gt;"",COUNTIFS(C85,"&gt;"&amp;TODAY(),C85,"&lt;="&amp;TODAY()+30)+COUNTIFS(D85,"&gt;"&amp;TODAY(),D85,"&lt;="&amp;TODAY()+30)+COUNTIFS(E85,"&gt;"&amp;TODAY(),E85,"&lt;="&amp;TODAY()+30)+COUNTIFS(F85,"&gt;"&amp;TODAY(),F85,"&lt;="&amp;TODAY()+30)&gt;0),1,0)</x:f>
        <x:v>0</x:v>
      </x:c>
      <x:c r="R85" t="n">
        <x:f>R84+IF(OR(LEFT(H85,15)="Missing dates; ",LEFT(H85,16)="Add N/A reason; ",H85="Add dates",H85="Add registration",H85="Check date format"),1,0)</x:f>
        <x:v>0</x:v>
      </x:c>
      <x:c r="S85" t="n">
        <x:f>S84+IF(COUNTIFS(C85:F85,"Reviewed N/A")&gt;0,1,0)</x:f>
        <x:v>0</x:v>
      </x:c>
    </x:row>
    <x:row r="86" ht="48" customHeight="1">
      <x:c r="A86" s="52"/>
      <x:c r="B86" s="52"/>
      <x:c r="C86" s="53"/>
      <x:c r="D86" s="53"/>
      <x:c r="E86" s="53"/>
      <x:c r="F86" s="53"/>
      <x:c r="G86" s="52"/>
      <x:c r="H86" s="21" t="str">
        <x:f>IF(COUNTA(A86:G86,I86)=0,"",IF(A86="","Add registration",IF(OR(COUNTA(C86:F86)&gt;COUNT(C86:F86)+COUNTIFS(C86:F86,"Reviewed N/A"),AND(COUNT(C86:F86)&gt;0,OR(MIN(C86:F86)&lt;36526,MAX(C86:F86)&gt;109574))),"Check date format",IF(AND(COUNTIFS(C86:F86,"Reviewed N/A")&gt;0,I86=""),"Add N/A reason; ","")&amp;IF(COUNT(C86:F86)=0,IF(COUNTIFS(C86:F86,"Reviewed N/A")=4,"No applicable dates recorded","Add dates"),IF(COUNT(C86:F86)+COUNTIFS(C86:F86,"Reviewed N/A")&lt;4,"Missing dates; ","")&amp;IF(MIN(C86:F86)&lt;TODAY(),"Overdue: ",IF(MIN(C86:F86)=TODAY(),"Due today: ",IF(MIN(C86:F86)&lt;=TODAY()+30,"Due within 30 days: ","Next: ")))&amp;INDEX($C$8:$F$8,1,MATCH(MIN(C86:F86),C86:F86,0))&amp;" "&amp;TEXT(MIN(C86:F86),"dd mmm yyyy")))))</x:f>
      </x:c>
      <x:c r="I86" s="52"/>
      <x:c r="J86" t="str">
        <x:f>IF(AND(A86&lt;&gt;"",COUNTIFS(C86,"&gt;=36526",C86,"&lt;"&amp;TODAY())+COUNTIFS(D86,"&gt;=36526",D86,"&lt;"&amp;TODAY())+COUNTIFS(E86,"&gt;=36526",E86,"&lt;"&amp;TODAY())+COUNTIFS(F86,"&gt;=36526",F86,"&lt;"&amp;TODAY())&gt;0),O86,"")</x:f>
      </x:c>
      <x:c r="K86" t="str">
        <x:f>IF(AND(A86&lt;&gt;"",COUNTIFS(C86,"&gt;=36526",C86,TODAY())+COUNTIFS(D86,"&gt;=36526",D86,TODAY())+COUNTIFS(E86,"&gt;=36526",E86,TODAY())+COUNTIFS(F86,"&gt;=36526",F86,TODAY())&gt;0),P86,"")</x:f>
      </x:c>
      <x:c r="L86" t="str">
        <x:f>IF(AND(A86&lt;&gt;"",COUNTIFS(C86,"&gt;"&amp;TODAY(),C86,"&lt;="&amp;TODAY()+30)+COUNTIFS(D86,"&gt;"&amp;TODAY(),D86,"&lt;="&amp;TODAY()+30)+COUNTIFS(E86,"&gt;"&amp;TODAY(),E86,"&lt;="&amp;TODAY()+30)+COUNTIFS(F86,"&gt;"&amp;TODAY(),F86,"&lt;="&amp;TODAY()+30)&gt;0),Q86,"")</x:f>
      </x:c>
      <x:c r="M86" t="str">
        <x:f>IF(OR(LEFT(H86,15)="Missing dates; ",LEFT(H86,16)="Add N/A reason; ",H86="Add dates",H86="Add registration",H86="Check date format"),R86,"")</x:f>
      </x:c>
      <x:c r="N86" t="str">
        <x:f>IF(COUNTIFS(C86:F86,"Reviewed N/A")&gt;0,S86,"")</x:f>
      </x:c>
      <x:c r="O86" t="n">
        <x:f>O85+IF(AND(A86&lt;&gt;"",COUNTIFS(C86,"&gt;=36526",C86,"&lt;"&amp;TODAY())+COUNTIFS(D86,"&gt;=36526",D86,"&lt;"&amp;TODAY())+COUNTIFS(E86,"&gt;=36526",E86,"&lt;"&amp;TODAY())+COUNTIFS(F86,"&gt;=36526",F86,"&lt;"&amp;TODAY())&gt;0),1,0)</x:f>
        <x:v>0</x:v>
      </x:c>
      <x:c r="P86" t="n">
        <x:f>P85+IF(AND(A86&lt;&gt;"",COUNTIFS(C86,"&gt;=36526",C86,TODAY())+COUNTIFS(D86,"&gt;=36526",D86,TODAY())+COUNTIFS(E86,"&gt;=36526",E86,TODAY())+COUNTIFS(F86,"&gt;=36526",F86,TODAY())&gt;0),1,0)</x:f>
        <x:v>0</x:v>
      </x:c>
      <x:c r="Q86" t="n">
        <x:f>Q85+IF(AND(A86&lt;&gt;"",COUNTIFS(C86,"&gt;"&amp;TODAY(),C86,"&lt;="&amp;TODAY()+30)+COUNTIFS(D86,"&gt;"&amp;TODAY(),D86,"&lt;="&amp;TODAY()+30)+COUNTIFS(E86,"&gt;"&amp;TODAY(),E86,"&lt;="&amp;TODAY()+30)+COUNTIFS(F86,"&gt;"&amp;TODAY(),F86,"&lt;="&amp;TODAY()+30)&gt;0),1,0)</x:f>
        <x:v>0</x:v>
      </x:c>
      <x:c r="R86" t="n">
        <x:f>R85+IF(OR(LEFT(H86,15)="Missing dates; ",LEFT(H86,16)="Add N/A reason; ",H86="Add dates",H86="Add registration",H86="Check date format"),1,0)</x:f>
        <x:v>0</x:v>
      </x:c>
      <x:c r="S86" t="n">
        <x:f>S85+IF(COUNTIFS(C86:F86,"Reviewed N/A")&gt;0,1,0)</x:f>
        <x:v>0</x:v>
      </x:c>
    </x:row>
    <x:row r="87" ht="48" customHeight="1">
      <x:c r="A87" s="52"/>
      <x:c r="B87" s="52"/>
      <x:c r="C87" s="53"/>
      <x:c r="D87" s="53"/>
      <x:c r="E87" s="53"/>
      <x:c r="F87" s="53"/>
      <x:c r="G87" s="52"/>
      <x:c r="H87" s="21" t="str">
        <x:f>IF(COUNTA(A87:G87,I87)=0,"",IF(A87="","Add registration",IF(OR(COUNTA(C87:F87)&gt;COUNT(C87:F87)+COUNTIFS(C87:F87,"Reviewed N/A"),AND(COUNT(C87:F87)&gt;0,OR(MIN(C87:F87)&lt;36526,MAX(C87:F87)&gt;109574))),"Check date format",IF(AND(COUNTIFS(C87:F87,"Reviewed N/A")&gt;0,I87=""),"Add N/A reason; ","")&amp;IF(COUNT(C87:F87)=0,IF(COUNTIFS(C87:F87,"Reviewed N/A")=4,"No applicable dates recorded","Add dates"),IF(COUNT(C87:F87)+COUNTIFS(C87:F87,"Reviewed N/A")&lt;4,"Missing dates; ","")&amp;IF(MIN(C87:F87)&lt;TODAY(),"Overdue: ",IF(MIN(C87:F87)=TODAY(),"Due today: ",IF(MIN(C87:F87)&lt;=TODAY()+30,"Due within 30 days: ","Next: ")))&amp;INDEX($C$8:$F$8,1,MATCH(MIN(C87:F87),C87:F87,0))&amp;" "&amp;TEXT(MIN(C87:F87),"dd mmm yyyy")))))</x:f>
      </x:c>
      <x:c r="I87" s="52"/>
      <x:c r="J87" t="str">
        <x:f>IF(AND(A87&lt;&gt;"",COUNTIFS(C87,"&gt;=36526",C87,"&lt;"&amp;TODAY())+COUNTIFS(D87,"&gt;=36526",D87,"&lt;"&amp;TODAY())+COUNTIFS(E87,"&gt;=36526",E87,"&lt;"&amp;TODAY())+COUNTIFS(F87,"&gt;=36526",F87,"&lt;"&amp;TODAY())&gt;0),O87,"")</x:f>
      </x:c>
      <x:c r="K87" t="str">
        <x:f>IF(AND(A87&lt;&gt;"",COUNTIFS(C87,"&gt;=36526",C87,TODAY())+COUNTIFS(D87,"&gt;=36526",D87,TODAY())+COUNTIFS(E87,"&gt;=36526",E87,TODAY())+COUNTIFS(F87,"&gt;=36526",F87,TODAY())&gt;0),P87,"")</x:f>
      </x:c>
      <x:c r="L87" t="str">
        <x:f>IF(AND(A87&lt;&gt;"",COUNTIFS(C87,"&gt;"&amp;TODAY(),C87,"&lt;="&amp;TODAY()+30)+COUNTIFS(D87,"&gt;"&amp;TODAY(),D87,"&lt;="&amp;TODAY()+30)+COUNTIFS(E87,"&gt;"&amp;TODAY(),E87,"&lt;="&amp;TODAY()+30)+COUNTIFS(F87,"&gt;"&amp;TODAY(),F87,"&lt;="&amp;TODAY()+30)&gt;0),Q87,"")</x:f>
      </x:c>
      <x:c r="M87" t="str">
        <x:f>IF(OR(LEFT(H87,15)="Missing dates; ",LEFT(H87,16)="Add N/A reason; ",H87="Add dates",H87="Add registration",H87="Check date format"),R87,"")</x:f>
      </x:c>
      <x:c r="N87" t="str">
        <x:f>IF(COUNTIFS(C87:F87,"Reviewed N/A")&gt;0,S87,"")</x:f>
      </x:c>
      <x:c r="O87" t="n">
        <x:f>O86+IF(AND(A87&lt;&gt;"",COUNTIFS(C87,"&gt;=36526",C87,"&lt;"&amp;TODAY())+COUNTIFS(D87,"&gt;=36526",D87,"&lt;"&amp;TODAY())+COUNTIFS(E87,"&gt;=36526",E87,"&lt;"&amp;TODAY())+COUNTIFS(F87,"&gt;=36526",F87,"&lt;"&amp;TODAY())&gt;0),1,0)</x:f>
        <x:v>0</x:v>
      </x:c>
      <x:c r="P87" t="n">
        <x:f>P86+IF(AND(A87&lt;&gt;"",COUNTIFS(C87,"&gt;=36526",C87,TODAY())+COUNTIFS(D87,"&gt;=36526",D87,TODAY())+COUNTIFS(E87,"&gt;=36526",E87,TODAY())+COUNTIFS(F87,"&gt;=36526",F87,TODAY())&gt;0),1,0)</x:f>
        <x:v>0</x:v>
      </x:c>
      <x:c r="Q87" t="n">
        <x:f>Q86+IF(AND(A87&lt;&gt;"",COUNTIFS(C87,"&gt;"&amp;TODAY(),C87,"&lt;="&amp;TODAY()+30)+COUNTIFS(D87,"&gt;"&amp;TODAY(),D87,"&lt;="&amp;TODAY()+30)+COUNTIFS(E87,"&gt;"&amp;TODAY(),E87,"&lt;="&amp;TODAY()+30)+COUNTIFS(F87,"&gt;"&amp;TODAY(),F87,"&lt;="&amp;TODAY()+30)&gt;0),1,0)</x:f>
        <x:v>0</x:v>
      </x:c>
      <x:c r="R87" t="n">
        <x:f>R86+IF(OR(LEFT(H87,15)="Missing dates; ",LEFT(H87,16)="Add N/A reason; ",H87="Add dates",H87="Add registration",H87="Check date format"),1,0)</x:f>
        <x:v>0</x:v>
      </x:c>
      <x:c r="S87" t="n">
        <x:f>S86+IF(COUNTIFS(C87:F87,"Reviewed N/A")&gt;0,1,0)</x:f>
        <x:v>0</x:v>
      </x:c>
    </x:row>
    <x:row r="88" ht="48" customHeight="1">
      <x:c r="A88" s="52"/>
      <x:c r="B88" s="52"/>
      <x:c r="C88" s="53"/>
      <x:c r="D88" s="53"/>
      <x:c r="E88" s="53"/>
      <x:c r="F88" s="53"/>
      <x:c r="G88" s="52"/>
      <x:c r="H88" s="21" t="str">
        <x:f>IF(COUNTA(A88:G88,I88)=0,"",IF(A88="","Add registration",IF(OR(COUNTA(C88:F88)&gt;COUNT(C88:F88)+COUNTIFS(C88:F88,"Reviewed N/A"),AND(COUNT(C88:F88)&gt;0,OR(MIN(C88:F88)&lt;36526,MAX(C88:F88)&gt;109574))),"Check date format",IF(AND(COUNTIFS(C88:F88,"Reviewed N/A")&gt;0,I88=""),"Add N/A reason; ","")&amp;IF(COUNT(C88:F88)=0,IF(COUNTIFS(C88:F88,"Reviewed N/A")=4,"No applicable dates recorded","Add dates"),IF(COUNT(C88:F88)+COUNTIFS(C88:F88,"Reviewed N/A")&lt;4,"Missing dates; ","")&amp;IF(MIN(C88:F88)&lt;TODAY(),"Overdue: ",IF(MIN(C88:F88)=TODAY(),"Due today: ",IF(MIN(C88:F88)&lt;=TODAY()+30,"Due within 30 days: ","Next: ")))&amp;INDEX($C$8:$F$8,1,MATCH(MIN(C88:F88),C88:F88,0))&amp;" "&amp;TEXT(MIN(C88:F88),"dd mmm yyyy")))))</x:f>
      </x:c>
      <x:c r="I88" s="52"/>
      <x:c r="J88" t="str">
        <x:f>IF(AND(A88&lt;&gt;"",COUNTIFS(C88,"&gt;=36526",C88,"&lt;"&amp;TODAY())+COUNTIFS(D88,"&gt;=36526",D88,"&lt;"&amp;TODAY())+COUNTIFS(E88,"&gt;=36526",E88,"&lt;"&amp;TODAY())+COUNTIFS(F88,"&gt;=36526",F88,"&lt;"&amp;TODAY())&gt;0),O88,"")</x:f>
      </x:c>
      <x:c r="K88" t="str">
        <x:f>IF(AND(A88&lt;&gt;"",COUNTIFS(C88,"&gt;=36526",C88,TODAY())+COUNTIFS(D88,"&gt;=36526",D88,TODAY())+COUNTIFS(E88,"&gt;=36526",E88,TODAY())+COUNTIFS(F88,"&gt;=36526",F88,TODAY())&gt;0),P88,"")</x:f>
      </x:c>
      <x:c r="L88" t="str">
        <x:f>IF(AND(A88&lt;&gt;"",COUNTIFS(C88,"&gt;"&amp;TODAY(),C88,"&lt;="&amp;TODAY()+30)+COUNTIFS(D88,"&gt;"&amp;TODAY(),D88,"&lt;="&amp;TODAY()+30)+COUNTIFS(E88,"&gt;"&amp;TODAY(),E88,"&lt;="&amp;TODAY()+30)+COUNTIFS(F88,"&gt;"&amp;TODAY(),F88,"&lt;="&amp;TODAY()+30)&gt;0),Q88,"")</x:f>
      </x:c>
      <x:c r="M88" t="str">
        <x:f>IF(OR(LEFT(H88,15)="Missing dates; ",LEFT(H88,16)="Add N/A reason; ",H88="Add dates",H88="Add registration",H88="Check date format"),R88,"")</x:f>
      </x:c>
      <x:c r="N88" t="str">
        <x:f>IF(COUNTIFS(C88:F88,"Reviewed N/A")&gt;0,S88,"")</x:f>
      </x:c>
      <x:c r="O88" t="n">
        <x:f>O87+IF(AND(A88&lt;&gt;"",COUNTIFS(C88,"&gt;=36526",C88,"&lt;"&amp;TODAY())+COUNTIFS(D88,"&gt;=36526",D88,"&lt;"&amp;TODAY())+COUNTIFS(E88,"&gt;=36526",E88,"&lt;"&amp;TODAY())+COUNTIFS(F88,"&gt;=36526",F88,"&lt;"&amp;TODAY())&gt;0),1,0)</x:f>
        <x:v>0</x:v>
      </x:c>
      <x:c r="P88" t="n">
        <x:f>P87+IF(AND(A88&lt;&gt;"",COUNTIFS(C88,"&gt;=36526",C88,TODAY())+COUNTIFS(D88,"&gt;=36526",D88,TODAY())+COUNTIFS(E88,"&gt;=36526",E88,TODAY())+COUNTIFS(F88,"&gt;=36526",F88,TODAY())&gt;0),1,0)</x:f>
        <x:v>0</x:v>
      </x:c>
      <x:c r="Q88" t="n">
        <x:f>Q87+IF(AND(A88&lt;&gt;"",COUNTIFS(C88,"&gt;"&amp;TODAY(),C88,"&lt;="&amp;TODAY()+30)+COUNTIFS(D88,"&gt;"&amp;TODAY(),D88,"&lt;="&amp;TODAY()+30)+COUNTIFS(E88,"&gt;"&amp;TODAY(),E88,"&lt;="&amp;TODAY()+30)+COUNTIFS(F88,"&gt;"&amp;TODAY(),F88,"&lt;="&amp;TODAY()+30)&gt;0),1,0)</x:f>
        <x:v>0</x:v>
      </x:c>
      <x:c r="R88" t="n">
        <x:f>R87+IF(OR(LEFT(H88,15)="Missing dates; ",LEFT(H88,16)="Add N/A reason; ",H88="Add dates",H88="Add registration",H88="Check date format"),1,0)</x:f>
        <x:v>0</x:v>
      </x:c>
      <x:c r="S88" t="n">
        <x:f>S87+IF(COUNTIFS(C88:F88,"Reviewed N/A")&gt;0,1,0)</x:f>
        <x:v>0</x:v>
      </x:c>
    </x:row>
    <x:row r="89" ht="48" customHeight="1">
      <x:c r="A89" s="52"/>
      <x:c r="B89" s="52"/>
      <x:c r="C89" s="53"/>
      <x:c r="D89" s="53"/>
      <x:c r="E89" s="53"/>
      <x:c r="F89" s="53"/>
      <x:c r="G89" s="52"/>
      <x:c r="H89" s="21" t="str">
        <x:f>IF(COUNTA(A89:G89,I89)=0,"",IF(A89="","Add registration",IF(OR(COUNTA(C89:F89)&gt;COUNT(C89:F89)+COUNTIFS(C89:F89,"Reviewed N/A"),AND(COUNT(C89:F89)&gt;0,OR(MIN(C89:F89)&lt;36526,MAX(C89:F89)&gt;109574))),"Check date format",IF(AND(COUNTIFS(C89:F89,"Reviewed N/A")&gt;0,I89=""),"Add N/A reason; ","")&amp;IF(COUNT(C89:F89)=0,IF(COUNTIFS(C89:F89,"Reviewed N/A")=4,"No applicable dates recorded","Add dates"),IF(COUNT(C89:F89)+COUNTIFS(C89:F89,"Reviewed N/A")&lt;4,"Missing dates; ","")&amp;IF(MIN(C89:F89)&lt;TODAY(),"Overdue: ",IF(MIN(C89:F89)=TODAY(),"Due today: ",IF(MIN(C89:F89)&lt;=TODAY()+30,"Due within 30 days: ","Next: ")))&amp;INDEX($C$8:$F$8,1,MATCH(MIN(C89:F89),C89:F89,0))&amp;" "&amp;TEXT(MIN(C89:F89),"dd mmm yyyy")))))</x:f>
      </x:c>
      <x:c r="I89" s="52"/>
      <x:c r="J89" t="str">
        <x:f>IF(AND(A89&lt;&gt;"",COUNTIFS(C89,"&gt;=36526",C89,"&lt;"&amp;TODAY())+COUNTIFS(D89,"&gt;=36526",D89,"&lt;"&amp;TODAY())+COUNTIFS(E89,"&gt;=36526",E89,"&lt;"&amp;TODAY())+COUNTIFS(F89,"&gt;=36526",F89,"&lt;"&amp;TODAY())&gt;0),O89,"")</x:f>
      </x:c>
      <x:c r="K89" t="str">
        <x:f>IF(AND(A89&lt;&gt;"",COUNTIFS(C89,"&gt;=36526",C89,TODAY())+COUNTIFS(D89,"&gt;=36526",D89,TODAY())+COUNTIFS(E89,"&gt;=36526",E89,TODAY())+COUNTIFS(F89,"&gt;=36526",F89,TODAY())&gt;0),P89,"")</x:f>
      </x:c>
      <x:c r="L89" t="str">
        <x:f>IF(AND(A89&lt;&gt;"",COUNTIFS(C89,"&gt;"&amp;TODAY(),C89,"&lt;="&amp;TODAY()+30)+COUNTIFS(D89,"&gt;"&amp;TODAY(),D89,"&lt;="&amp;TODAY()+30)+COUNTIFS(E89,"&gt;"&amp;TODAY(),E89,"&lt;="&amp;TODAY()+30)+COUNTIFS(F89,"&gt;"&amp;TODAY(),F89,"&lt;="&amp;TODAY()+30)&gt;0),Q89,"")</x:f>
      </x:c>
      <x:c r="M89" t="str">
        <x:f>IF(OR(LEFT(H89,15)="Missing dates; ",LEFT(H89,16)="Add N/A reason; ",H89="Add dates",H89="Add registration",H89="Check date format"),R89,"")</x:f>
      </x:c>
      <x:c r="N89" t="str">
        <x:f>IF(COUNTIFS(C89:F89,"Reviewed N/A")&gt;0,S89,"")</x:f>
      </x:c>
      <x:c r="O89" t="n">
        <x:f>O88+IF(AND(A89&lt;&gt;"",COUNTIFS(C89,"&gt;=36526",C89,"&lt;"&amp;TODAY())+COUNTIFS(D89,"&gt;=36526",D89,"&lt;"&amp;TODAY())+COUNTIFS(E89,"&gt;=36526",E89,"&lt;"&amp;TODAY())+COUNTIFS(F89,"&gt;=36526",F89,"&lt;"&amp;TODAY())&gt;0),1,0)</x:f>
        <x:v>0</x:v>
      </x:c>
      <x:c r="P89" t="n">
        <x:f>P88+IF(AND(A89&lt;&gt;"",COUNTIFS(C89,"&gt;=36526",C89,TODAY())+COUNTIFS(D89,"&gt;=36526",D89,TODAY())+COUNTIFS(E89,"&gt;=36526",E89,TODAY())+COUNTIFS(F89,"&gt;=36526",F89,TODAY())&gt;0),1,0)</x:f>
        <x:v>0</x:v>
      </x:c>
      <x:c r="Q89" t="n">
        <x:f>Q88+IF(AND(A89&lt;&gt;"",COUNTIFS(C89,"&gt;"&amp;TODAY(),C89,"&lt;="&amp;TODAY()+30)+COUNTIFS(D89,"&gt;"&amp;TODAY(),D89,"&lt;="&amp;TODAY()+30)+COUNTIFS(E89,"&gt;"&amp;TODAY(),E89,"&lt;="&amp;TODAY()+30)+COUNTIFS(F89,"&gt;"&amp;TODAY(),F89,"&lt;="&amp;TODAY()+30)&gt;0),1,0)</x:f>
        <x:v>0</x:v>
      </x:c>
      <x:c r="R89" t="n">
        <x:f>R88+IF(OR(LEFT(H89,15)="Missing dates; ",LEFT(H89,16)="Add N/A reason; ",H89="Add dates",H89="Add registration",H89="Check date format"),1,0)</x:f>
        <x:v>0</x:v>
      </x:c>
      <x:c r="S89" t="n">
        <x:f>S88+IF(COUNTIFS(C89:F89,"Reviewed N/A")&gt;0,1,0)</x:f>
        <x:v>0</x:v>
      </x:c>
    </x:row>
    <x:row r="90" ht="48" customHeight="1">
      <x:c r="A90" s="52"/>
      <x:c r="B90" s="52"/>
      <x:c r="C90" s="53"/>
      <x:c r="D90" s="53"/>
      <x:c r="E90" s="53"/>
      <x:c r="F90" s="53"/>
      <x:c r="G90" s="52"/>
      <x:c r="H90" s="21" t="str">
        <x:f>IF(COUNTA(A90:G90,I90)=0,"",IF(A90="","Add registration",IF(OR(COUNTA(C90:F90)&gt;COUNT(C90:F90)+COUNTIFS(C90:F90,"Reviewed N/A"),AND(COUNT(C90:F90)&gt;0,OR(MIN(C90:F90)&lt;36526,MAX(C90:F90)&gt;109574))),"Check date format",IF(AND(COUNTIFS(C90:F90,"Reviewed N/A")&gt;0,I90=""),"Add N/A reason; ","")&amp;IF(COUNT(C90:F90)=0,IF(COUNTIFS(C90:F90,"Reviewed N/A")=4,"No applicable dates recorded","Add dates"),IF(COUNT(C90:F90)+COUNTIFS(C90:F90,"Reviewed N/A")&lt;4,"Missing dates; ","")&amp;IF(MIN(C90:F90)&lt;TODAY(),"Overdue: ",IF(MIN(C90:F90)=TODAY(),"Due today: ",IF(MIN(C90:F90)&lt;=TODAY()+30,"Due within 30 days: ","Next: ")))&amp;INDEX($C$8:$F$8,1,MATCH(MIN(C90:F90),C90:F90,0))&amp;" "&amp;TEXT(MIN(C90:F90),"dd mmm yyyy")))))</x:f>
      </x:c>
      <x:c r="I90" s="52"/>
      <x:c r="J90" t="str">
        <x:f>IF(AND(A90&lt;&gt;"",COUNTIFS(C90,"&gt;=36526",C90,"&lt;"&amp;TODAY())+COUNTIFS(D90,"&gt;=36526",D90,"&lt;"&amp;TODAY())+COUNTIFS(E90,"&gt;=36526",E90,"&lt;"&amp;TODAY())+COUNTIFS(F90,"&gt;=36526",F90,"&lt;"&amp;TODAY())&gt;0),O90,"")</x:f>
      </x:c>
      <x:c r="K90" t="str">
        <x:f>IF(AND(A90&lt;&gt;"",COUNTIFS(C90,"&gt;=36526",C90,TODAY())+COUNTIFS(D90,"&gt;=36526",D90,TODAY())+COUNTIFS(E90,"&gt;=36526",E90,TODAY())+COUNTIFS(F90,"&gt;=36526",F90,TODAY())&gt;0),P90,"")</x:f>
      </x:c>
      <x:c r="L90" t="str">
        <x:f>IF(AND(A90&lt;&gt;"",COUNTIFS(C90,"&gt;"&amp;TODAY(),C90,"&lt;="&amp;TODAY()+30)+COUNTIFS(D90,"&gt;"&amp;TODAY(),D90,"&lt;="&amp;TODAY()+30)+COUNTIFS(E90,"&gt;"&amp;TODAY(),E90,"&lt;="&amp;TODAY()+30)+COUNTIFS(F90,"&gt;"&amp;TODAY(),F90,"&lt;="&amp;TODAY()+30)&gt;0),Q90,"")</x:f>
      </x:c>
      <x:c r="M90" t="str">
        <x:f>IF(OR(LEFT(H90,15)="Missing dates; ",LEFT(H90,16)="Add N/A reason; ",H90="Add dates",H90="Add registration",H90="Check date format"),R90,"")</x:f>
      </x:c>
      <x:c r="N90" t="str">
        <x:f>IF(COUNTIFS(C90:F90,"Reviewed N/A")&gt;0,S90,"")</x:f>
      </x:c>
      <x:c r="O90" t="n">
        <x:f>O89+IF(AND(A90&lt;&gt;"",COUNTIFS(C90,"&gt;=36526",C90,"&lt;"&amp;TODAY())+COUNTIFS(D90,"&gt;=36526",D90,"&lt;"&amp;TODAY())+COUNTIFS(E90,"&gt;=36526",E90,"&lt;"&amp;TODAY())+COUNTIFS(F90,"&gt;=36526",F90,"&lt;"&amp;TODAY())&gt;0),1,0)</x:f>
        <x:v>0</x:v>
      </x:c>
      <x:c r="P90" t="n">
        <x:f>P89+IF(AND(A90&lt;&gt;"",COUNTIFS(C90,"&gt;=36526",C90,TODAY())+COUNTIFS(D90,"&gt;=36526",D90,TODAY())+COUNTIFS(E90,"&gt;=36526",E90,TODAY())+COUNTIFS(F90,"&gt;=36526",F90,TODAY())&gt;0),1,0)</x:f>
        <x:v>0</x:v>
      </x:c>
      <x:c r="Q90" t="n">
        <x:f>Q89+IF(AND(A90&lt;&gt;"",COUNTIFS(C90,"&gt;"&amp;TODAY(),C90,"&lt;="&amp;TODAY()+30)+COUNTIFS(D90,"&gt;"&amp;TODAY(),D90,"&lt;="&amp;TODAY()+30)+COUNTIFS(E90,"&gt;"&amp;TODAY(),E90,"&lt;="&amp;TODAY()+30)+COUNTIFS(F90,"&gt;"&amp;TODAY(),F90,"&lt;="&amp;TODAY()+30)&gt;0),1,0)</x:f>
        <x:v>0</x:v>
      </x:c>
      <x:c r="R90" t="n">
        <x:f>R89+IF(OR(LEFT(H90,15)="Missing dates; ",LEFT(H90,16)="Add N/A reason; ",H90="Add dates",H90="Add registration",H90="Check date format"),1,0)</x:f>
        <x:v>0</x:v>
      </x:c>
      <x:c r="S90" t="n">
        <x:f>S89+IF(COUNTIFS(C90:F90,"Reviewed N/A")&gt;0,1,0)</x:f>
        <x:v>0</x:v>
      </x:c>
    </x:row>
    <x:row r="91" ht="48" customHeight="1">
      <x:c r="A91" s="52"/>
      <x:c r="B91" s="52"/>
      <x:c r="C91" s="53"/>
      <x:c r="D91" s="53"/>
      <x:c r="E91" s="53"/>
      <x:c r="F91" s="53"/>
      <x:c r="G91" s="52"/>
      <x:c r="H91" s="21" t="str">
        <x:f>IF(COUNTA(A91:G91,I91)=0,"",IF(A91="","Add registration",IF(OR(COUNTA(C91:F91)&gt;COUNT(C91:F91)+COUNTIFS(C91:F91,"Reviewed N/A"),AND(COUNT(C91:F91)&gt;0,OR(MIN(C91:F91)&lt;36526,MAX(C91:F91)&gt;109574))),"Check date format",IF(AND(COUNTIFS(C91:F91,"Reviewed N/A")&gt;0,I91=""),"Add N/A reason; ","")&amp;IF(COUNT(C91:F91)=0,IF(COUNTIFS(C91:F91,"Reviewed N/A")=4,"No applicable dates recorded","Add dates"),IF(COUNT(C91:F91)+COUNTIFS(C91:F91,"Reviewed N/A")&lt;4,"Missing dates; ","")&amp;IF(MIN(C91:F91)&lt;TODAY(),"Overdue: ",IF(MIN(C91:F91)=TODAY(),"Due today: ",IF(MIN(C91:F91)&lt;=TODAY()+30,"Due within 30 days: ","Next: ")))&amp;INDEX($C$8:$F$8,1,MATCH(MIN(C91:F91),C91:F91,0))&amp;" "&amp;TEXT(MIN(C91:F91),"dd mmm yyyy")))))</x:f>
      </x:c>
      <x:c r="I91" s="52"/>
      <x:c r="J91" t="str">
        <x:f>IF(AND(A91&lt;&gt;"",COUNTIFS(C91,"&gt;=36526",C91,"&lt;"&amp;TODAY())+COUNTIFS(D91,"&gt;=36526",D91,"&lt;"&amp;TODAY())+COUNTIFS(E91,"&gt;=36526",E91,"&lt;"&amp;TODAY())+COUNTIFS(F91,"&gt;=36526",F91,"&lt;"&amp;TODAY())&gt;0),O91,"")</x:f>
      </x:c>
      <x:c r="K91" t="str">
        <x:f>IF(AND(A91&lt;&gt;"",COUNTIFS(C91,"&gt;=36526",C91,TODAY())+COUNTIFS(D91,"&gt;=36526",D91,TODAY())+COUNTIFS(E91,"&gt;=36526",E91,TODAY())+COUNTIFS(F91,"&gt;=36526",F91,TODAY())&gt;0),P91,"")</x:f>
      </x:c>
      <x:c r="L91" t="str">
        <x:f>IF(AND(A91&lt;&gt;"",COUNTIFS(C91,"&gt;"&amp;TODAY(),C91,"&lt;="&amp;TODAY()+30)+COUNTIFS(D91,"&gt;"&amp;TODAY(),D91,"&lt;="&amp;TODAY()+30)+COUNTIFS(E91,"&gt;"&amp;TODAY(),E91,"&lt;="&amp;TODAY()+30)+COUNTIFS(F91,"&gt;"&amp;TODAY(),F91,"&lt;="&amp;TODAY()+30)&gt;0),Q91,"")</x:f>
      </x:c>
      <x:c r="M91" t="str">
        <x:f>IF(OR(LEFT(H91,15)="Missing dates; ",LEFT(H91,16)="Add N/A reason; ",H91="Add dates",H91="Add registration",H91="Check date format"),R91,"")</x:f>
      </x:c>
      <x:c r="N91" t="str">
        <x:f>IF(COUNTIFS(C91:F91,"Reviewed N/A")&gt;0,S91,"")</x:f>
      </x:c>
      <x:c r="O91" t="n">
        <x:f>O90+IF(AND(A91&lt;&gt;"",COUNTIFS(C91,"&gt;=36526",C91,"&lt;"&amp;TODAY())+COUNTIFS(D91,"&gt;=36526",D91,"&lt;"&amp;TODAY())+COUNTIFS(E91,"&gt;=36526",E91,"&lt;"&amp;TODAY())+COUNTIFS(F91,"&gt;=36526",F91,"&lt;"&amp;TODAY())&gt;0),1,0)</x:f>
        <x:v>0</x:v>
      </x:c>
      <x:c r="P91" t="n">
        <x:f>P90+IF(AND(A91&lt;&gt;"",COUNTIFS(C91,"&gt;=36526",C91,TODAY())+COUNTIFS(D91,"&gt;=36526",D91,TODAY())+COUNTIFS(E91,"&gt;=36526",E91,TODAY())+COUNTIFS(F91,"&gt;=36526",F91,TODAY())&gt;0),1,0)</x:f>
        <x:v>0</x:v>
      </x:c>
      <x:c r="Q91" t="n">
        <x:f>Q90+IF(AND(A91&lt;&gt;"",COUNTIFS(C91,"&gt;"&amp;TODAY(),C91,"&lt;="&amp;TODAY()+30)+COUNTIFS(D91,"&gt;"&amp;TODAY(),D91,"&lt;="&amp;TODAY()+30)+COUNTIFS(E91,"&gt;"&amp;TODAY(),E91,"&lt;="&amp;TODAY()+30)+COUNTIFS(F91,"&gt;"&amp;TODAY(),F91,"&lt;="&amp;TODAY()+30)&gt;0),1,0)</x:f>
        <x:v>0</x:v>
      </x:c>
      <x:c r="R91" t="n">
        <x:f>R90+IF(OR(LEFT(H91,15)="Missing dates; ",LEFT(H91,16)="Add N/A reason; ",H91="Add dates",H91="Add registration",H91="Check date format"),1,0)</x:f>
        <x:v>0</x:v>
      </x:c>
      <x:c r="S91" t="n">
        <x:f>S90+IF(COUNTIFS(C91:F91,"Reviewed N/A")&gt;0,1,0)</x:f>
        <x:v>0</x:v>
      </x:c>
    </x:row>
    <x:row r="92" ht="48" customHeight="1">
      <x:c r="A92" s="52"/>
      <x:c r="B92" s="52"/>
      <x:c r="C92" s="53"/>
      <x:c r="D92" s="53"/>
      <x:c r="E92" s="53"/>
      <x:c r="F92" s="53"/>
      <x:c r="G92" s="52"/>
      <x:c r="H92" s="21" t="str">
        <x:f>IF(COUNTA(A92:G92,I92)=0,"",IF(A92="","Add registration",IF(OR(COUNTA(C92:F92)&gt;COUNT(C92:F92)+COUNTIFS(C92:F92,"Reviewed N/A"),AND(COUNT(C92:F92)&gt;0,OR(MIN(C92:F92)&lt;36526,MAX(C92:F92)&gt;109574))),"Check date format",IF(AND(COUNTIFS(C92:F92,"Reviewed N/A")&gt;0,I92=""),"Add N/A reason; ","")&amp;IF(COUNT(C92:F92)=0,IF(COUNTIFS(C92:F92,"Reviewed N/A")=4,"No applicable dates recorded","Add dates"),IF(COUNT(C92:F92)+COUNTIFS(C92:F92,"Reviewed N/A")&lt;4,"Missing dates; ","")&amp;IF(MIN(C92:F92)&lt;TODAY(),"Overdue: ",IF(MIN(C92:F92)=TODAY(),"Due today: ",IF(MIN(C92:F92)&lt;=TODAY()+30,"Due within 30 days: ","Next: ")))&amp;INDEX($C$8:$F$8,1,MATCH(MIN(C92:F92),C92:F92,0))&amp;" "&amp;TEXT(MIN(C92:F92),"dd mmm yyyy")))))</x:f>
      </x:c>
      <x:c r="I92" s="52"/>
      <x:c r="J92" t="str">
        <x:f>IF(AND(A92&lt;&gt;"",COUNTIFS(C92,"&gt;=36526",C92,"&lt;"&amp;TODAY())+COUNTIFS(D92,"&gt;=36526",D92,"&lt;"&amp;TODAY())+COUNTIFS(E92,"&gt;=36526",E92,"&lt;"&amp;TODAY())+COUNTIFS(F92,"&gt;=36526",F92,"&lt;"&amp;TODAY())&gt;0),O92,"")</x:f>
      </x:c>
      <x:c r="K92" t="str">
        <x:f>IF(AND(A92&lt;&gt;"",COUNTIFS(C92,"&gt;=36526",C92,TODAY())+COUNTIFS(D92,"&gt;=36526",D92,TODAY())+COUNTIFS(E92,"&gt;=36526",E92,TODAY())+COUNTIFS(F92,"&gt;=36526",F92,TODAY())&gt;0),P92,"")</x:f>
      </x:c>
      <x:c r="L92" t="str">
        <x:f>IF(AND(A92&lt;&gt;"",COUNTIFS(C92,"&gt;"&amp;TODAY(),C92,"&lt;="&amp;TODAY()+30)+COUNTIFS(D92,"&gt;"&amp;TODAY(),D92,"&lt;="&amp;TODAY()+30)+COUNTIFS(E92,"&gt;"&amp;TODAY(),E92,"&lt;="&amp;TODAY()+30)+COUNTIFS(F92,"&gt;"&amp;TODAY(),F92,"&lt;="&amp;TODAY()+30)&gt;0),Q92,"")</x:f>
      </x:c>
      <x:c r="M92" t="str">
        <x:f>IF(OR(LEFT(H92,15)="Missing dates; ",LEFT(H92,16)="Add N/A reason; ",H92="Add dates",H92="Add registration",H92="Check date format"),R92,"")</x:f>
      </x:c>
      <x:c r="N92" t="str">
        <x:f>IF(COUNTIFS(C92:F92,"Reviewed N/A")&gt;0,S92,"")</x:f>
      </x:c>
      <x:c r="O92" t="n">
        <x:f>O91+IF(AND(A92&lt;&gt;"",COUNTIFS(C92,"&gt;=36526",C92,"&lt;"&amp;TODAY())+COUNTIFS(D92,"&gt;=36526",D92,"&lt;"&amp;TODAY())+COUNTIFS(E92,"&gt;=36526",E92,"&lt;"&amp;TODAY())+COUNTIFS(F92,"&gt;=36526",F92,"&lt;"&amp;TODAY())&gt;0),1,0)</x:f>
        <x:v>0</x:v>
      </x:c>
      <x:c r="P92" t="n">
        <x:f>P91+IF(AND(A92&lt;&gt;"",COUNTIFS(C92,"&gt;=36526",C92,TODAY())+COUNTIFS(D92,"&gt;=36526",D92,TODAY())+COUNTIFS(E92,"&gt;=36526",E92,TODAY())+COUNTIFS(F92,"&gt;=36526",F92,TODAY())&gt;0),1,0)</x:f>
        <x:v>0</x:v>
      </x:c>
      <x:c r="Q92" t="n">
        <x:f>Q91+IF(AND(A92&lt;&gt;"",COUNTIFS(C92,"&gt;"&amp;TODAY(),C92,"&lt;="&amp;TODAY()+30)+COUNTIFS(D92,"&gt;"&amp;TODAY(),D92,"&lt;="&amp;TODAY()+30)+COUNTIFS(E92,"&gt;"&amp;TODAY(),E92,"&lt;="&amp;TODAY()+30)+COUNTIFS(F92,"&gt;"&amp;TODAY(),F92,"&lt;="&amp;TODAY()+30)&gt;0),1,0)</x:f>
        <x:v>0</x:v>
      </x:c>
      <x:c r="R92" t="n">
        <x:f>R91+IF(OR(LEFT(H92,15)="Missing dates; ",LEFT(H92,16)="Add N/A reason; ",H92="Add dates",H92="Add registration",H92="Check date format"),1,0)</x:f>
        <x:v>0</x:v>
      </x:c>
      <x:c r="S92" t="n">
        <x:f>S91+IF(COUNTIFS(C92:F92,"Reviewed N/A")&gt;0,1,0)</x:f>
        <x:v>0</x:v>
      </x:c>
    </x:row>
    <x:row r="93" ht="48" customHeight="1">
      <x:c r="A93" s="52"/>
      <x:c r="B93" s="52"/>
      <x:c r="C93" s="53"/>
      <x:c r="D93" s="53"/>
      <x:c r="E93" s="53"/>
      <x:c r="F93" s="53"/>
      <x:c r="G93" s="52"/>
      <x:c r="H93" s="21" t="str">
        <x:f>IF(COUNTA(A93:G93,I93)=0,"",IF(A93="","Add registration",IF(OR(COUNTA(C93:F93)&gt;COUNT(C93:F93)+COUNTIFS(C93:F93,"Reviewed N/A"),AND(COUNT(C93:F93)&gt;0,OR(MIN(C93:F93)&lt;36526,MAX(C93:F93)&gt;109574))),"Check date format",IF(AND(COUNTIFS(C93:F93,"Reviewed N/A")&gt;0,I93=""),"Add N/A reason; ","")&amp;IF(COUNT(C93:F93)=0,IF(COUNTIFS(C93:F93,"Reviewed N/A")=4,"No applicable dates recorded","Add dates"),IF(COUNT(C93:F93)+COUNTIFS(C93:F93,"Reviewed N/A")&lt;4,"Missing dates; ","")&amp;IF(MIN(C93:F93)&lt;TODAY(),"Overdue: ",IF(MIN(C93:F93)=TODAY(),"Due today: ",IF(MIN(C93:F93)&lt;=TODAY()+30,"Due within 30 days: ","Next: ")))&amp;INDEX($C$8:$F$8,1,MATCH(MIN(C93:F93),C93:F93,0))&amp;" "&amp;TEXT(MIN(C93:F93),"dd mmm yyyy")))))</x:f>
      </x:c>
      <x:c r="I93" s="52"/>
      <x:c r="J93" t="str">
        <x:f>IF(AND(A93&lt;&gt;"",COUNTIFS(C93,"&gt;=36526",C93,"&lt;"&amp;TODAY())+COUNTIFS(D93,"&gt;=36526",D93,"&lt;"&amp;TODAY())+COUNTIFS(E93,"&gt;=36526",E93,"&lt;"&amp;TODAY())+COUNTIFS(F93,"&gt;=36526",F93,"&lt;"&amp;TODAY())&gt;0),O93,"")</x:f>
      </x:c>
      <x:c r="K93" t="str">
        <x:f>IF(AND(A93&lt;&gt;"",COUNTIFS(C93,"&gt;=36526",C93,TODAY())+COUNTIFS(D93,"&gt;=36526",D93,TODAY())+COUNTIFS(E93,"&gt;=36526",E93,TODAY())+COUNTIFS(F93,"&gt;=36526",F93,TODAY())&gt;0),P93,"")</x:f>
      </x:c>
      <x:c r="L93" t="str">
        <x:f>IF(AND(A93&lt;&gt;"",COUNTIFS(C93,"&gt;"&amp;TODAY(),C93,"&lt;="&amp;TODAY()+30)+COUNTIFS(D93,"&gt;"&amp;TODAY(),D93,"&lt;="&amp;TODAY()+30)+COUNTIFS(E93,"&gt;"&amp;TODAY(),E93,"&lt;="&amp;TODAY()+30)+COUNTIFS(F93,"&gt;"&amp;TODAY(),F93,"&lt;="&amp;TODAY()+30)&gt;0),Q93,"")</x:f>
      </x:c>
      <x:c r="M93" t="str">
        <x:f>IF(OR(LEFT(H93,15)="Missing dates; ",LEFT(H93,16)="Add N/A reason; ",H93="Add dates",H93="Add registration",H93="Check date format"),R93,"")</x:f>
      </x:c>
      <x:c r="N93" t="str">
        <x:f>IF(COUNTIFS(C93:F93,"Reviewed N/A")&gt;0,S93,"")</x:f>
      </x:c>
      <x:c r="O93" t="n">
        <x:f>O92+IF(AND(A93&lt;&gt;"",COUNTIFS(C93,"&gt;=36526",C93,"&lt;"&amp;TODAY())+COUNTIFS(D93,"&gt;=36526",D93,"&lt;"&amp;TODAY())+COUNTIFS(E93,"&gt;=36526",E93,"&lt;"&amp;TODAY())+COUNTIFS(F93,"&gt;=36526",F93,"&lt;"&amp;TODAY())&gt;0),1,0)</x:f>
        <x:v>0</x:v>
      </x:c>
      <x:c r="P93" t="n">
        <x:f>P92+IF(AND(A93&lt;&gt;"",COUNTIFS(C93,"&gt;=36526",C93,TODAY())+COUNTIFS(D93,"&gt;=36526",D93,TODAY())+COUNTIFS(E93,"&gt;=36526",E93,TODAY())+COUNTIFS(F93,"&gt;=36526",F93,TODAY())&gt;0),1,0)</x:f>
        <x:v>0</x:v>
      </x:c>
      <x:c r="Q93" t="n">
        <x:f>Q92+IF(AND(A93&lt;&gt;"",COUNTIFS(C93,"&gt;"&amp;TODAY(),C93,"&lt;="&amp;TODAY()+30)+COUNTIFS(D93,"&gt;"&amp;TODAY(),D93,"&lt;="&amp;TODAY()+30)+COUNTIFS(E93,"&gt;"&amp;TODAY(),E93,"&lt;="&amp;TODAY()+30)+COUNTIFS(F93,"&gt;"&amp;TODAY(),F93,"&lt;="&amp;TODAY()+30)&gt;0),1,0)</x:f>
        <x:v>0</x:v>
      </x:c>
      <x:c r="R93" t="n">
        <x:f>R92+IF(OR(LEFT(H93,15)="Missing dates; ",LEFT(H93,16)="Add N/A reason; ",H93="Add dates",H93="Add registration",H93="Check date format"),1,0)</x:f>
        <x:v>0</x:v>
      </x:c>
      <x:c r="S93" t="n">
        <x:f>S92+IF(COUNTIFS(C93:F93,"Reviewed N/A")&gt;0,1,0)</x:f>
        <x:v>0</x:v>
      </x:c>
    </x:row>
    <x:row r="94" ht="48" customHeight="1">
      <x:c r="A94" s="52"/>
      <x:c r="B94" s="52"/>
      <x:c r="C94" s="53"/>
      <x:c r="D94" s="53"/>
      <x:c r="E94" s="53"/>
      <x:c r="F94" s="53"/>
      <x:c r="G94" s="52"/>
      <x:c r="H94" s="21" t="str">
        <x:f>IF(COUNTA(A94:G94,I94)=0,"",IF(A94="","Add registration",IF(OR(COUNTA(C94:F94)&gt;COUNT(C94:F94)+COUNTIFS(C94:F94,"Reviewed N/A"),AND(COUNT(C94:F94)&gt;0,OR(MIN(C94:F94)&lt;36526,MAX(C94:F94)&gt;109574))),"Check date format",IF(AND(COUNTIFS(C94:F94,"Reviewed N/A")&gt;0,I94=""),"Add N/A reason; ","")&amp;IF(COUNT(C94:F94)=0,IF(COUNTIFS(C94:F94,"Reviewed N/A")=4,"No applicable dates recorded","Add dates"),IF(COUNT(C94:F94)+COUNTIFS(C94:F94,"Reviewed N/A")&lt;4,"Missing dates; ","")&amp;IF(MIN(C94:F94)&lt;TODAY(),"Overdue: ",IF(MIN(C94:F94)=TODAY(),"Due today: ",IF(MIN(C94:F94)&lt;=TODAY()+30,"Due within 30 days: ","Next: ")))&amp;INDEX($C$8:$F$8,1,MATCH(MIN(C94:F94),C94:F94,0))&amp;" "&amp;TEXT(MIN(C94:F94),"dd mmm yyyy")))))</x:f>
      </x:c>
      <x:c r="I94" s="52"/>
      <x:c r="J94" t="str">
        <x:f>IF(AND(A94&lt;&gt;"",COUNTIFS(C94,"&gt;=36526",C94,"&lt;"&amp;TODAY())+COUNTIFS(D94,"&gt;=36526",D94,"&lt;"&amp;TODAY())+COUNTIFS(E94,"&gt;=36526",E94,"&lt;"&amp;TODAY())+COUNTIFS(F94,"&gt;=36526",F94,"&lt;"&amp;TODAY())&gt;0),O94,"")</x:f>
      </x:c>
      <x:c r="K94" t="str">
        <x:f>IF(AND(A94&lt;&gt;"",COUNTIFS(C94,"&gt;=36526",C94,TODAY())+COUNTIFS(D94,"&gt;=36526",D94,TODAY())+COUNTIFS(E94,"&gt;=36526",E94,TODAY())+COUNTIFS(F94,"&gt;=36526",F94,TODAY())&gt;0),P94,"")</x:f>
      </x:c>
      <x:c r="L94" t="str">
        <x:f>IF(AND(A94&lt;&gt;"",COUNTIFS(C94,"&gt;"&amp;TODAY(),C94,"&lt;="&amp;TODAY()+30)+COUNTIFS(D94,"&gt;"&amp;TODAY(),D94,"&lt;="&amp;TODAY()+30)+COUNTIFS(E94,"&gt;"&amp;TODAY(),E94,"&lt;="&amp;TODAY()+30)+COUNTIFS(F94,"&gt;"&amp;TODAY(),F94,"&lt;="&amp;TODAY()+30)&gt;0),Q94,"")</x:f>
      </x:c>
      <x:c r="M94" t="str">
        <x:f>IF(OR(LEFT(H94,15)="Missing dates; ",LEFT(H94,16)="Add N/A reason; ",H94="Add dates",H94="Add registration",H94="Check date format"),R94,"")</x:f>
      </x:c>
      <x:c r="N94" t="str">
        <x:f>IF(COUNTIFS(C94:F94,"Reviewed N/A")&gt;0,S94,"")</x:f>
      </x:c>
      <x:c r="O94" t="n">
        <x:f>O93+IF(AND(A94&lt;&gt;"",COUNTIFS(C94,"&gt;=36526",C94,"&lt;"&amp;TODAY())+COUNTIFS(D94,"&gt;=36526",D94,"&lt;"&amp;TODAY())+COUNTIFS(E94,"&gt;=36526",E94,"&lt;"&amp;TODAY())+COUNTIFS(F94,"&gt;=36526",F94,"&lt;"&amp;TODAY())&gt;0),1,0)</x:f>
        <x:v>0</x:v>
      </x:c>
      <x:c r="P94" t="n">
        <x:f>P93+IF(AND(A94&lt;&gt;"",COUNTIFS(C94,"&gt;=36526",C94,TODAY())+COUNTIFS(D94,"&gt;=36526",D94,TODAY())+COUNTIFS(E94,"&gt;=36526",E94,TODAY())+COUNTIFS(F94,"&gt;=36526",F94,TODAY())&gt;0),1,0)</x:f>
        <x:v>0</x:v>
      </x:c>
      <x:c r="Q94" t="n">
        <x:f>Q93+IF(AND(A94&lt;&gt;"",COUNTIFS(C94,"&gt;"&amp;TODAY(),C94,"&lt;="&amp;TODAY()+30)+COUNTIFS(D94,"&gt;"&amp;TODAY(),D94,"&lt;="&amp;TODAY()+30)+COUNTIFS(E94,"&gt;"&amp;TODAY(),E94,"&lt;="&amp;TODAY()+30)+COUNTIFS(F94,"&gt;"&amp;TODAY(),F94,"&lt;="&amp;TODAY()+30)&gt;0),1,0)</x:f>
        <x:v>0</x:v>
      </x:c>
      <x:c r="R94" t="n">
        <x:f>R93+IF(OR(LEFT(H94,15)="Missing dates; ",LEFT(H94,16)="Add N/A reason; ",H94="Add dates",H94="Add registration",H94="Check date format"),1,0)</x:f>
        <x:v>0</x:v>
      </x:c>
      <x:c r="S94" t="n">
        <x:f>S93+IF(COUNTIFS(C94:F94,"Reviewed N/A")&gt;0,1,0)</x:f>
        <x:v>0</x:v>
      </x:c>
    </x:row>
    <x:row r="95" ht="48" customHeight="1">
      <x:c r="A95" s="52"/>
      <x:c r="B95" s="52"/>
      <x:c r="C95" s="53"/>
      <x:c r="D95" s="53"/>
      <x:c r="E95" s="53"/>
      <x:c r="F95" s="53"/>
      <x:c r="G95" s="52"/>
      <x:c r="H95" s="21" t="str">
        <x:f>IF(COUNTA(A95:G95,I95)=0,"",IF(A95="","Add registration",IF(OR(COUNTA(C95:F95)&gt;COUNT(C95:F95)+COUNTIFS(C95:F95,"Reviewed N/A"),AND(COUNT(C95:F95)&gt;0,OR(MIN(C95:F95)&lt;36526,MAX(C95:F95)&gt;109574))),"Check date format",IF(AND(COUNTIFS(C95:F95,"Reviewed N/A")&gt;0,I95=""),"Add N/A reason; ","")&amp;IF(COUNT(C95:F95)=0,IF(COUNTIFS(C95:F95,"Reviewed N/A")=4,"No applicable dates recorded","Add dates"),IF(COUNT(C95:F95)+COUNTIFS(C95:F95,"Reviewed N/A")&lt;4,"Missing dates; ","")&amp;IF(MIN(C95:F95)&lt;TODAY(),"Overdue: ",IF(MIN(C95:F95)=TODAY(),"Due today: ",IF(MIN(C95:F95)&lt;=TODAY()+30,"Due within 30 days: ","Next: ")))&amp;INDEX($C$8:$F$8,1,MATCH(MIN(C95:F95),C95:F95,0))&amp;" "&amp;TEXT(MIN(C95:F95),"dd mmm yyyy")))))</x:f>
      </x:c>
      <x:c r="I95" s="52"/>
      <x:c r="J95" t="str">
        <x:f>IF(AND(A95&lt;&gt;"",COUNTIFS(C95,"&gt;=36526",C95,"&lt;"&amp;TODAY())+COUNTIFS(D95,"&gt;=36526",D95,"&lt;"&amp;TODAY())+COUNTIFS(E95,"&gt;=36526",E95,"&lt;"&amp;TODAY())+COUNTIFS(F95,"&gt;=36526",F95,"&lt;"&amp;TODAY())&gt;0),O95,"")</x:f>
      </x:c>
      <x:c r="K95" t="str">
        <x:f>IF(AND(A95&lt;&gt;"",COUNTIFS(C95,"&gt;=36526",C95,TODAY())+COUNTIFS(D95,"&gt;=36526",D95,TODAY())+COUNTIFS(E95,"&gt;=36526",E95,TODAY())+COUNTIFS(F95,"&gt;=36526",F95,TODAY())&gt;0),P95,"")</x:f>
      </x:c>
      <x:c r="L95" t="str">
        <x:f>IF(AND(A95&lt;&gt;"",COUNTIFS(C95,"&gt;"&amp;TODAY(),C95,"&lt;="&amp;TODAY()+30)+COUNTIFS(D95,"&gt;"&amp;TODAY(),D95,"&lt;="&amp;TODAY()+30)+COUNTIFS(E95,"&gt;"&amp;TODAY(),E95,"&lt;="&amp;TODAY()+30)+COUNTIFS(F95,"&gt;"&amp;TODAY(),F95,"&lt;="&amp;TODAY()+30)&gt;0),Q95,"")</x:f>
      </x:c>
      <x:c r="M95" t="str">
        <x:f>IF(OR(LEFT(H95,15)="Missing dates; ",LEFT(H95,16)="Add N/A reason; ",H95="Add dates",H95="Add registration",H95="Check date format"),R95,"")</x:f>
      </x:c>
      <x:c r="N95" t="str">
        <x:f>IF(COUNTIFS(C95:F95,"Reviewed N/A")&gt;0,S95,"")</x:f>
      </x:c>
      <x:c r="O95" t="n">
        <x:f>O94+IF(AND(A95&lt;&gt;"",COUNTIFS(C95,"&gt;=36526",C95,"&lt;"&amp;TODAY())+COUNTIFS(D95,"&gt;=36526",D95,"&lt;"&amp;TODAY())+COUNTIFS(E95,"&gt;=36526",E95,"&lt;"&amp;TODAY())+COUNTIFS(F95,"&gt;=36526",F95,"&lt;"&amp;TODAY())&gt;0),1,0)</x:f>
        <x:v>0</x:v>
      </x:c>
      <x:c r="P95" t="n">
        <x:f>P94+IF(AND(A95&lt;&gt;"",COUNTIFS(C95,"&gt;=36526",C95,TODAY())+COUNTIFS(D95,"&gt;=36526",D95,TODAY())+COUNTIFS(E95,"&gt;=36526",E95,TODAY())+COUNTIFS(F95,"&gt;=36526",F95,TODAY())&gt;0),1,0)</x:f>
        <x:v>0</x:v>
      </x:c>
      <x:c r="Q95" t="n">
        <x:f>Q94+IF(AND(A95&lt;&gt;"",COUNTIFS(C95,"&gt;"&amp;TODAY(),C95,"&lt;="&amp;TODAY()+30)+COUNTIFS(D95,"&gt;"&amp;TODAY(),D95,"&lt;="&amp;TODAY()+30)+COUNTIFS(E95,"&gt;"&amp;TODAY(),E95,"&lt;="&amp;TODAY()+30)+COUNTIFS(F95,"&gt;"&amp;TODAY(),F95,"&lt;="&amp;TODAY()+30)&gt;0),1,0)</x:f>
        <x:v>0</x:v>
      </x:c>
      <x:c r="R95" t="n">
        <x:f>R94+IF(OR(LEFT(H95,15)="Missing dates; ",LEFT(H95,16)="Add N/A reason; ",H95="Add dates",H95="Add registration",H95="Check date format"),1,0)</x:f>
        <x:v>0</x:v>
      </x:c>
      <x:c r="S95" t="n">
        <x:f>S94+IF(COUNTIFS(C95:F95,"Reviewed N/A")&gt;0,1,0)</x:f>
        <x:v>0</x:v>
      </x:c>
    </x:row>
    <x:row r="96" ht="48" customHeight="1">
      <x:c r="A96" s="52"/>
      <x:c r="B96" s="52"/>
      <x:c r="C96" s="53"/>
      <x:c r="D96" s="53"/>
      <x:c r="E96" s="53"/>
      <x:c r="F96" s="53"/>
      <x:c r="G96" s="52"/>
      <x:c r="H96" s="21" t="str">
        <x:f>IF(COUNTA(A96:G96,I96)=0,"",IF(A96="","Add registration",IF(OR(COUNTA(C96:F96)&gt;COUNT(C96:F96)+COUNTIFS(C96:F96,"Reviewed N/A"),AND(COUNT(C96:F96)&gt;0,OR(MIN(C96:F96)&lt;36526,MAX(C96:F96)&gt;109574))),"Check date format",IF(AND(COUNTIFS(C96:F96,"Reviewed N/A")&gt;0,I96=""),"Add N/A reason; ","")&amp;IF(COUNT(C96:F96)=0,IF(COUNTIFS(C96:F96,"Reviewed N/A")=4,"No applicable dates recorded","Add dates"),IF(COUNT(C96:F96)+COUNTIFS(C96:F96,"Reviewed N/A")&lt;4,"Missing dates; ","")&amp;IF(MIN(C96:F96)&lt;TODAY(),"Overdue: ",IF(MIN(C96:F96)=TODAY(),"Due today: ",IF(MIN(C96:F96)&lt;=TODAY()+30,"Due within 30 days: ","Next: ")))&amp;INDEX($C$8:$F$8,1,MATCH(MIN(C96:F96),C96:F96,0))&amp;" "&amp;TEXT(MIN(C96:F96),"dd mmm yyyy")))))</x:f>
      </x:c>
      <x:c r="I96" s="52"/>
      <x:c r="J96" t="str">
        <x:f>IF(AND(A96&lt;&gt;"",COUNTIFS(C96,"&gt;=36526",C96,"&lt;"&amp;TODAY())+COUNTIFS(D96,"&gt;=36526",D96,"&lt;"&amp;TODAY())+COUNTIFS(E96,"&gt;=36526",E96,"&lt;"&amp;TODAY())+COUNTIFS(F96,"&gt;=36526",F96,"&lt;"&amp;TODAY())&gt;0),O96,"")</x:f>
      </x:c>
      <x:c r="K96" t="str">
        <x:f>IF(AND(A96&lt;&gt;"",COUNTIFS(C96,"&gt;=36526",C96,TODAY())+COUNTIFS(D96,"&gt;=36526",D96,TODAY())+COUNTIFS(E96,"&gt;=36526",E96,TODAY())+COUNTIFS(F96,"&gt;=36526",F96,TODAY())&gt;0),P96,"")</x:f>
      </x:c>
      <x:c r="L96" t="str">
        <x:f>IF(AND(A96&lt;&gt;"",COUNTIFS(C96,"&gt;"&amp;TODAY(),C96,"&lt;="&amp;TODAY()+30)+COUNTIFS(D96,"&gt;"&amp;TODAY(),D96,"&lt;="&amp;TODAY()+30)+COUNTIFS(E96,"&gt;"&amp;TODAY(),E96,"&lt;="&amp;TODAY()+30)+COUNTIFS(F96,"&gt;"&amp;TODAY(),F96,"&lt;="&amp;TODAY()+30)&gt;0),Q96,"")</x:f>
      </x:c>
      <x:c r="M96" t="str">
        <x:f>IF(OR(LEFT(H96,15)="Missing dates; ",LEFT(H96,16)="Add N/A reason; ",H96="Add dates",H96="Add registration",H96="Check date format"),R96,"")</x:f>
      </x:c>
      <x:c r="N96" t="str">
        <x:f>IF(COUNTIFS(C96:F96,"Reviewed N/A")&gt;0,S96,"")</x:f>
      </x:c>
      <x:c r="O96" t="n">
        <x:f>O95+IF(AND(A96&lt;&gt;"",COUNTIFS(C96,"&gt;=36526",C96,"&lt;"&amp;TODAY())+COUNTIFS(D96,"&gt;=36526",D96,"&lt;"&amp;TODAY())+COUNTIFS(E96,"&gt;=36526",E96,"&lt;"&amp;TODAY())+COUNTIFS(F96,"&gt;=36526",F96,"&lt;"&amp;TODAY())&gt;0),1,0)</x:f>
        <x:v>0</x:v>
      </x:c>
      <x:c r="P96" t="n">
        <x:f>P95+IF(AND(A96&lt;&gt;"",COUNTIFS(C96,"&gt;=36526",C96,TODAY())+COUNTIFS(D96,"&gt;=36526",D96,TODAY())+COUNTIFS(E96,"&gt;=36526",E96,TODAY())+COUNTIFS(F96,"&gt;=36526",F96,TODAY())&gt;0),1,0)</x:f>
        <x:v>0</x:v>
      </x:c>
      <x:c r="Q96" t="n">
        <x:f>Q95+IF(AND(A96&lt;&gt;"",COUNTIFS(C96,"&gt;"&amp;TODAY(),C96,"&lt;="&amp;TODAY()+30)+COUNTIFS(D96,"&gt;"&amp;TODAY(),D96,"&lt;="&amp;TODAY()+30)+COUNTIFS(E96,"&gt;"&amp;TODAY(),E96,"&lt;="&amp;TODAY()+30)+COUNTIFS(F96,"&gt;"&amp;TODAY(),F96,"&lt;="&amp;TODAY()+30)&gt;0),1,0)</x:f>
        <x:v>0</x:v>
      </x:c>
      <x:c r="R96" t="n">
        <x:f>R95+IF(OR(LEFT(H96,15)="Missing dates; ",LEFT(H96,16)="Add N/A reason; ",H96="Add dates",H96="Add registration",H96="Check date format"),1,0)</x:f>
        <x:v>0</x:v>
      </x:c>
      <x:c r="S96" t="n">
        <x:f>S95+IF(COUNTIFS(C96:F96,"Reviewed N/A")&gt;0,1,0)</x:f>
        <x:v>0</x:v>
      </x:c>
    </x:row>
    <x:row r="97" ht="48" customHeight="1">
      <x:c r="A97" s="52"/>
      <x:c r="B97" s="52"/>
      <x:c r="C97" s="53"/>
      <x:c r="D97" s="53"/>
      <x:c r="E97" s="53"/>
      <x:c r="F97" s="53"/>
      <x:c r="G97" s="52"/>
      <x:c r="H97" s="21" t="str">
        <x:f>IF(COUNTA(A97:G97,I97)=0,"",IF(A97="","Add registration",IF(OR(COUNTA(C97:F97)&gt;COUNT(C97:F97)+COUNTIFS(C97:F97,"Reviewed N/A"),AND(COUNT(C97:F97)&gt;0,OR(MIN(C97:F97)&lt;36526,MAX(C97:F97)&gt;109574))),"Check date format",IF(AND(COUNTIFS(C97:F97,"Reviewed N/A")&gt;0,I97=""),"Add N/A reason; ","")&amp;IF(COUNT(C97:F97)=0,IF(COUNTIFS(C97:F97,"Reviewed N/A")=4,"No applicable dates recorded","Add dates"),IF(COUNT(C97:F97)+COUNTIFS(C97:F97,"Reviewed N/A")&lt;4,"Missing dates; ","")&amp;IF(MIN(C97:F97)&lt;TODAY(),"Overdue: ",IF(MIN(C97:F97)=TODAY(),"Due today: ",IF(MIN(C97:F97)&lt;=TODAY()+30,"Due within 30 days: ","Next: ")))&amp;INDEX($C$8:$F$8,1,MATCH(MIN(C97:F97),C97:F97,0))&amp;" "&amp;TEXT(MIN(C97:F97),"dd mmm yyyy")))))</x:f>
      </x:c>
      <x:c r="I97" s="52"/>
      <x:c r="J97" t="str">
        <x:f>IF(AND(A97&lt;&gt;"",COUNTIFS(C97,"&gt;=36526",C97,"&lt;"&amp;TODAY())+COUNTIFS(D97,"&gt;=36526",D97,"&lt;"&amp;TODAY())+COUNTIFS(E97,"&gt;=36526",E97,"&lt;"&amp;TODAY())+COUNTIFS(F97,"&gt;=36526",F97,"&lt;"&amp;TODAY())&gt;0),O97,"")</x:f>
      </x:c>
      <x:c r="K97" t="str">
        <x:f>IF(AND(A97&lt;&gt;"",COUNTIFS(C97,"&gt;=36526",C97,TODAY())+COUNTIFS(D97,"&gt;=36526",D97,TODAY())+COUNTIFS(E97,"&gt;=36526",E97,TODAY())+COUNTIFS(F97,"&gt;=36526",F97,TODAY())&gt;0),P97,"")</x:f>
      </x:c>
      <x:c r="L97" t="str">
        <x:f>IF(AND(A97&lt;&gt;"",COUNTIFS(C97,"&gt;"&amp;TODAY(),C97,"&lt;="&amp;TODAY()+30)+COUNTIFS(D97,"&gt;"&amp;TODAY(),D97,"&lt;="&amp;TODAY()+30)+COUNTIFS(E97,"&gt;"&amp;TODAY(),E97,"&lt;="&amp;TODAY()+30)+COUNTIFS(F97,"&gt;"&amp;TODAY(),F97,"&lt;="&amp;TODAY()+30)&gt;0),Q97,"")</x:f>
      </x:c>
      <x:c r="M97" t="str">
        <x:f>IF(OR(LEFT(H97,15)="Missing dates; ",LEFT(H97,16)="Add N/A reason; ",H97="Add dates",H97="Add registration",H97="Check date format"),R97,"")</x:f>
      </x:c>
      <x:c r="N97" t="str">
        <x:f>IF(COUNTIFS(C97:F97,"Reviewed N/A")&gt;0,S97,"")</x:f>
      </x:c>
      <x:c r="O97" t="n">
        <x:f>O96+IF(AND(A97&lt;&gt;"",COUNTIFS(C97,"&gt;=36526",C97,"&lt;"&amp;TODAY())+COUNTIFS(D97,"&gt;=36526",D97,"&lt;"&amp;TODAY())+COUNTIFS(E97,"&gt;=36526",E97,"&lt;"&amp;TODAY())+COUNTIFS(F97,"&gt;=36526",F97,"&lt;"&amp;TODAY())&gt;0),1,0)</x:f>
        <x:v>0</x:v>
      </x:c>
      <x:c r="P97" t="n">
        <x:f>P96+IF(AND(A97&lt;&gt;"",COUNTIFS(C97,"&gt;=36526",C97,TODAY())+COUNTIFS(D97,"&gt;=36526",D97,TODAY())+COUNTIFS(E97,"&gt;=36526",E97,TODAY())+COUNTIFS(F97,"&gt;=36526",F97,TODAY())&gt;0),1,0)</x:f>
        <x:v>0</x:v>
      </x:c>
      <x:c r="Q97" t="n">
        <x:f>Q96+IF(AND(A97&lt;&gt;"",COUNTIFS(C97,"&gt;"&amp;TODAY(),C97,"&lt;="&amp;TODAY()+30)+COUNTIFS(D97,"&gt;"&amp;TODAY(),D97,"&lt;="&amp;TODAY()+30)+COUNTIFS(E97,"&gt;"&amp;TODAY(),E97,"&lt;="&amp;TODAY()+30)+COUNTIFS(F97,"&gt;"&amp;TODAY(),F97,"&lt;="&amp;TODAY()+30)&gt;0),1,0)</x:f>
        <x:v>0</x:v>
      </x:c>
      <x:c r="R97" t="n">
        <x:f>R96+IF(OR(LEFT(H97,15)="Missing dates; ",LEFT(H97,16)="Add N/A reason; ",H97="Add dates",H97="Add registration",H97="Check date format"),1,0)</x:f>
        <x:v>0</x:v>
      </x:c>
      <x:c r="S97" t="n">
        <x:f>S96+IF(COUNTIFS(C97:F97,"Reviewed N/A")&gt;0,1,0)</x:f>
        <x:v>0</x:v>
      </x:c>
    </x:row>
    <x:row r="98" ht="48" customHeight="1">
      <x:c r="A98" s="52"/>
      <x:c r="B98" s="52"/>
      <x:c r="C98" s="53"/>
      <x:c r="D98" s="53"/>
      <x:c r="E98" s="53"/>
      <x:c r="F98" s="53"/>
      <x:c r="G98" s="52"/>
      <x:c r="H98" s="21" t="str">
        <x:f>IF(COUNTA(A98:G98,I98)=0,"",IF(A98="","Add registration",IF(OR(COUNTA(C98:F98)&gt;COUNT(C98:F98)+COUNTIFS(C98:F98,"Reviewed N/A"),AND(COUNT(C98:F98)&gt;0,OR(MIN(C98:F98)&lt;36526,MAX(C98:F98)&gt;109574))),"Check date format",IF(AND(COUNTIFS(C98:F98,"Reviewed N/A")&gt;0,I98=""),"Add N/A reason; ","")&amp;IF(COUNT(C98:F98)=0,IF(COUNTIFS(C98:F98,"Reviewed N/A")=4,"No applicable dates recorded","Add dates"),IF(COUNT(C98:F98)+COUNTIFS(C98:F98,"Reviewed N/A")&lt;4,"Missing dates; ","")&amp;IF(MIN(C98:F98)&lt;TODAY(),"Overdue: ",IF(MIN(C98:F98)=TODAY(),"Due today: ",IF(MIN(C98:F98)&lt;=TODAY()+30,"Due within 30 days: ","Next: ")))&amp;INDEX($C$8:$F$8,1,MATCH(MIN(C98:F98),C98:F98,0))&amp;" "&amp;TEXT(MIN(C98:F98),"dd mmm yyyy")))))</x:f>
      </x:c>
      <x:c r="I98" s="52"/>
      <x:c r="J98" t="str">
        <x:f>IF(AND(A98&lt;&gt;"",COUNTIFS(C98,"&gt;=36526",C98,"&lt;"&amp;TODAY())+COUNTIFS(D98,"&gt;=36526",D98,"&lt;"&amp;TODAY())+COUNTIFS(E98,"&gt;=36526",E98,"&lt;"&amp;TODAY())+COUNTIFS(F98,"&gt;=36526",F98,"&lt;"&amp;TODAY())&gt;0),O98,"")</x:f>
      </x:c>
      <x:c r="K98" t="str">
        <x:f>IF(AND(A98&lt;&gt;"",COUNTIFS(C98,"&gt;=36526",C98,TODAY())+COUNTIFS(D98,"&gt;=36526",D98,TODAY())+COUNTIFS(E98,"&gt;=36526",E98,TODAY())+COUNTIFS(F98,"&gt;=36526",F98,TODAY())&gt;0),P98,"")</x:f>
      </x:c>
      <x:c r="L98" t="str">
        <x:f>IF(AND(A98&lt;&gt;"",COUNTIFS(C98,"&gt;"&amp;TODAY(),C98,"&lt;="&amp;TODAY()+30)+COUNTIFS(D98,"&gt;"&amp;TODAY(),D98,"&lt;="&amp;TODAY()+30)+COUNTIFS(E98,"&gt;"&amp;TODAY(),E98,"&lt;="&amp;TODAY()+30)+COUNTIFS(F98,"&gt;"&amp;TODAY(),F98,"&lt;="&amp;TODAY()+30)&gt;0),Q98,"")</x:f>
      </x:c>
      <x:c r="M98" t="str">
        <x:f>IF(OR(LEFT(H98,15)="Missing dates; ",LEFT(H98,16)="Add N/A reason; ",H98="Add dates",H98="Add registration",H98="Check date format"),R98,"")</x:f>
      </x:c>
      <x:c r="N98" t="str">
        <x:f>IF(COUNTIFS(C98:F98,"Reviewed N/A")&gt;0,S98,"")</x:f>
      </x:c>
      <x:c r="O98" t="n">
        <x:f>O97+IF(AND(A98&lt;&gt;"",COUNTIFS(C98,"&gt;=36526",C98,"&lt;"&amp;TODAY())+COUNTIFS(D98,"&gt;=36526",D98,"&lt;"&amp;TODAY())+COUNTIFS(E98,"&gt;=36526",E98,"&lt;"&amp;TODAY())+COUNTIFS(F98,"&gt;=36526",F98,"&lt;"&amp;TODAY())&gt;0),1,0)</x:f>
        <x:v>0</x:v>
      </x:c>
      <x:c r="P98" t="n">
        <x:f>P97+IF(AND(A98&lt;&gt;"",COUNTIFS(C98,"&gt;=36526",C98,TODAY())+COUNTIFS(D98,"&gt;=36526",D98,TODAY())+COUNTIFS(E98,"&gt;=36526",E98,TODAY())+COUNTIFS(F98,"&gt;=36526",F98,TODAY())&gt;0),1,0)</x:f>
        <x:v>0</x:v>
      </x:c>
      <x:c r="Q98" t="n">
        <x:f>Q97+IF(AND(A98&lt;&gt;"",COUNTIFS(C98,"&gt;"&amp;TODAY(),C98,"&lt;="&amp;TODAY()+30)+COUNTIFS(D98,"&gt;"&amp;TODAY(),D98,"&lt;="&amp;TODAY()+30)+COUNTIFS(E98,"&gt;"&amp;TODAY(),E98,"&lt;="&amp;TODAY()+30)+COUNTIFS(F98,"&gt;"&amp;TODAY(),F98,"&lt;="&amp;TODAY()+30)&gt;0),1,0)</x:f>
        <x:v>0</x:v>
      </x:c>
      <x:c r="R98" t="n">
        <x:f>R97+IF(OR(LEFT(H98,15)="Missing dates; ",LEFT(H98,16)="Add N/A reason; ",H98="Add dates",H98="Add registration",H98="Check date format"),1,0)</x:f>
        <x:v>0</x:v>
      </x:c>
      <x:c r="S98" t="n">
        <x:f>S97+IF(COUNTIFS(C98:F98,"Reviewed N/A")&gt;0,1,0)</x:f>
        <x:v>0</x:v>
      </x:c>
    </x:row>
    <x:row r="99" ht="48" customHeight="1">
      <x:c r="A99" s="52"/>
      <x:c r="B99" s="52"/>
      <x:c r="C99" s="53"/>
      <x:c r="D99" s="53"/>
      <x:c r="E99" s="53"/>
      <x:c r="F99" s="53"/>
      <x:c r="G99" s="52"/>
      <x:c r="H99" s="21" t="str">
        <x:f>IF(COUNTA(A99:G99,I99)=0,"",IF(A99="","Add registration",IF(OR(COUNTA(C99:F99)&gt;COUNT(C99:F99)+COUNTIFS(C99:F99,"Reviewed N/A"),AND(COUNT(C99:F99)&gt;0,OR(MIN(C99:F99)&lt;36526,MAX(C99:F99)&gt;109574))),"Check date format",IF(AND(COUNTIFS(C99:F99,"Reviewed N/A")&gt;0,I99=""),"Add N/A reason; ","")&amp;IF(COUNT(C99:F99)=0,IF(COUNTIFS(C99:F99,"Reviewed N/A")=4,"No applicable dates recorded","Add dates"),IF(COUNT(C99:F99)+COUNTIFS(C99:F99,"Reviewed N/A")&lt;4,"Missing dates; ","")&amp;IF(MIN(C99:F99)&lt;TODAY(),"Overdue: ",IF(MIN(C99:F99)=TODAY(),"Due today: ",IF(MIN(C99:F99)&lt;=TODAY()+30,"Due within 30 days: ","Next: ")))&amp;INDEX($C$8:$F$8,1,MATCH(MIN(C99:F99),C99:F99,0))&amp;" "&amp;TEXT(MIN(C99:F99),"dd mmm yyyy")))))</x:f>
      </x:c>
      <x:c r="I99" s="52"/>
      <x:c r="J99" t="str">
        <x:f>IF(AND(A99&lt;&gt;"",COUNTIFS(C99,"&gt;=36526",C99,"&lt;"&amp;TODAY())+COUNTIFS(D99,"&gt;=36526",D99,"&lt;"&amp;TODAY())+COUNTIFS(E99,"&gt;=36526",E99,"&lt;"&amp;TODAY())+COUNTIFS(F99,"&gt;=36526",F99,"&lt;"&amp;TODAY())&gt;0),O99,"")</x:f>
      </x:c>
      <x:c r="K99" t="str">
        <x:f>IF(AND(A99&lt;&gt;"",COUNTIFS(C99,"&gt;=36526",C99,TODAY())+COUNTIFS(D99,"&gt;=36526",D99,TODAY())+COUNTIFS(E99,"&gt;=36526",E99,TODAY())+COUNTIFS(F99,"&gt;=36526",F99,TODAY())&gt;0),P99,"")</x:f>
      </x:c>
      <x:c r="L99" t="str">
        <x:f>IF(AND(A99&lt;&gt;"",COUNTIFS(C99,"&gt;"&amp;TODAY(),C99,"&lt;="&amp;TODAY()+30)+COUNTIFS(D99,"&gt;"&amp;TODAY(),D99,"&lt;="&amp;TODAY()+30)+COUNTIFS(E99,"&gt;"&amp;TODAY(),E99,"&lt;="&amp;TODAY()+30)+COUNTIFS(F99,"&gt;"&amp;TODAY(),F99,"&lt;="&amp;TODAY()+30)&gt;0),Q99,"")</x:f>
      </x:c>
      <x:c r="M99" t="str">
        <x:f>IF(OR(LEFT(H99,15)="Missing dates; ",LEFT(H99,16)="Add N/A reason; ",H99="Add dates",H99="Add registration",H99="Check date format"),R99,"")</x:f>
      </x:c>
      <x:c r="N99" t="str">
        <x:f>IF(COUNTIFS(C99:F99,"Reviewed N/A")&gt;0,S99,"")</x:f>
      </x:c>
      <x:c r="O99" t="n">
        <x:f>O98+IF(AND(A99&lt;&gt;"",COUNTIFS(C99,"&gt;=36526",C99,"&lt;"&amp;TODAY())+COUNTIFS(D99,"&gt;=36526",D99,"&lt;"&amp;TODAY())+COUNTIFS(E99,"&gt;=36526",E99,"&lt;"&amp;TODAY())+COUNTIFS(F99,"&gt;=36526",F99,"&lt;"&amp;TODAY())&gt;0),1,0)</x:f>
        <x:v>0</x:v>
      </x:c>
      <x:c r="P99" t="n">
        <x:f>P98+IF(AND(A99&lt;&gt;"",COUNTIFS(C99,"&gt;=36526",C99,TODAY())+COUNTIFS(D99,"&gt;=36526",D99,TODAY())+COUNTIFS(E99,"&gt;=36526",E99,TODAY())+COUNTIFS(F99,"&gt;=36526",F99,TODAY())&gt;0),1,0)</x:f>
        <x:v>0</x:v>
      </x:c>
      <x:c r="Q99" t="n">
        <x:f>Q98+IF(AND(A99&lt;&gt;"",COUNTIFS(C99,"&gt;"&amp;TODAY(),C99,"&lt;="&amp;TODAY()+30)+COUNTIFS(D99,"&gt;"&amp;TODAY(),D99,"&lt;="&amp;TODAY()+30)+COUNTIFS(E99,"&gt;"&amp;TODAY(),E99,"&lt;="&amp;TODAY()+30)+COUNTIFS(F99,"&gt;"&amp;TODAY(),F99,"&lt;="&amp;TODAY()+30)&gt;0),1,0)</x:f>
        <x:v>0</x:v>
      </x:c>
      <x:c r="R99" t="n">
        <x:f>R98+IF(OR(LEFT(H99,15)="Missing dates; ",LEFT(H99,16)="Add N/A reason; ",H99="Add dates",H99="Add registration",H99="Check date format"),1,0)</x:f>
        <x:v>0</x:v>
      </x:c>
      <x:c r="S99" t="n">
        <x:f>S98+IF(COUNTIFS(C99:F99,"Reviewed N/A")&gt;0,1,0)</x:f>
        <x:v>0</x:v>
      </x:c>
    </x:row>
    <x:row r="100" ht="48" customHeight="1">
      <x:c r="A100" s="52"/>
      <x:c r="B100" s="52"/>
      <x:c r="C100" s="53"/>
      <x:c r="D100" s="53"/>
      <x:c r="E100" s="53"/>
      <x:c r="F100" s="53"/>
      <x:c r="G100" s="52"/>
      <x:c r="H100" s="21" t="str">
        <x:f>IF(COUNTA(A100:G100,I100)=0,"",IF(A100="","Add registration",IF(OR(COUNTA(C100:F100)&gt;COUNT(C100:F100)+COUNTIFS(C100:F100,"Reviewed N/A"),AND(COUNT(C100:F100)&gt;0,OR(MIN(C100:F100)&lt;36526,MAX(C100:F100)&gt;109574))),"Check date format",IF(AND(COUNTIFS(C100:F100,"Reviewed N/A")&gt;0,I100=""),"Add N/A reason; ","")&amp;IF(COUNT(C100:F100)=0,IF(COUNTIFS(C100:F100,"Reviewed N/A")=4,"No applicable dates recorded","Add dates"),IF(COUNT(C100:F100)+COUNTIFS(C100:F100,"Reviewed N/A")&lt;4,"Missing dates; ","")&amp;IF(MIN(C100:F100)&lt;TODAY(),"Overdue: ",IF(MIN(C100:F100)=TODAY(),"Due today: ",IF(MIN(C100:F100)&lt;=TODAY()+30,"Due within 30 days: ","Next: ")))&amp;INDEX($C$8:$F$8,1,MATCH(MIN(C100:F100),C100:F100,0))&amp;" "&amp;TEXT(MIN(C100:F100),"dd mmm yyyy")))))</x:f>
      </x:c>
      <x:c r="I100" s="52"/>
      <x:c r="J100" t="str">
        <x:f>IF(AND(A100&lt;&gt;"",COUNTIFS(C100,"&gt;=36526",C100,"&lt;"&amp;TODAY())+COUNTIFS(D100,"&gt;=36526",D100,"&lt;"&amp;TODAY())+COUNTIFS(E100,"&gt;=36526",E100,"&lt;"&amp;TODAY())+COUNTIFS(F100,"&gt;=36526",F100,"&lt;"&amp;TODAY())&gt;0),O100,"")</x:f>
      </x:c>
      <x:c r="K100" t="str">
        <x:f>IF(AND(A100&lt;&gt;"",COUNTIFS(C100,"&gt;=36526",C100,TODAY())+COUNTIFS(D100,"&gt;=36526",D100,TODAY())+COUNTIFS(E100,"&gt;=36526",E100,TODAY())+COUNTIFS(F100,"&gt;=36526",F100,TODAY())&gt;0),P100,"")</x:f>
      </x:c>
      <x:c r="L100" t="str">
        <x:f>IF(AND(A100&lt;&gt;"",COUNTIFS(C100,"&gt;"&amp;TODAY(),C100,"&lt;="&amp;TODAY()+30)+COUNTIFS(D100,"&gt;"&amp;TODAY(),D100,"&lt;="&amp;TODAY()+30)+COUNTIFS(E100,"&gt;"&amp;TODAY(),E100,"&lt;="&amp;TODAY()+30)+COUNTIFS(F100,"&gt;"&amp;TODAY(),F100,"&lt;="&amp;TODAY()+30)&gt;0),Q100,"")</x:f>
      </x:c>
      <x:c r="M100" t="str">
        <x:f>IF(OR(LEFT(H100,15)="Missing dates; ",LEFT(H100,16)="Add N/A reason; ",H100="Add dates",H100="Add registration",H100="Check date format"),R100,"")</x:f>
      </x:c>
      <x:c r="N100" t="str">
        <x:f>IF(COUNTIFS(C100:F100,"Reviewed N/A")&gt;0,S100,"")</x:f>
      </x:c>
      <x:c r="O100" t="n">
        <x:f>O99+IF(AND(A100&lt;&gt;"",COUNTIFS(C100,"&gt;=36526",C100,"&lt;"&amp;TODAY())+COUNTIFS(D100,"&gt;=36526",D100,"&lt;"&amp;TODAY())+COUNTIFS(E100,"&gt;=36526",E100,"&lt;"&amp;TODAY())+COUNTIFS(F100,"&gt;=36526",F100,"&lt;"&amp;TODAY())&gt;0),1,0)</x:f>
        <x:v>0</x:v>
      </x:c>
      <x:c r="P100" t="n">
        <x:f>P99+IF(AND(A100&lt;&gt;"",COUNTIFS(C100,"&gt;=36526",C100,TODAY())+COUNTIFS(D100,"&gt;=36526",D100,TODAY())+COUNTIFS(E100,"&gt;=36526",E100,TODAY())+COUNTIFS(F100,"&gt;=36526",F100,TODAY())&gt;0),1,0)</x:f>
        <x:v>0</x:v>
      </x:c>
      <x:c r="Q100" t="n">
        <x:f>Q99+IF(AND(A100&lt;&gt;"",COUNTIFS(C100,"&gt;"&amp;TODAY(),C100,"&lt;="&amp;TODAY()+30)+COUNTIFS(D100,"&gt;"&amp;TODAY(),D100,"&lt;="&amp;TODAY()+30)+COUNTIFS(E100,"&gt;"&amp;TODAY(),E100,"&lt;="&amp;TODAY()+30)+COUNTIFS(F100,"&gt;"&amp;TODAY(),F100,"&lt;="&amp;TODAY()+30)&gt;0),1,0)</x:f>
        <x:v>0</x:v>
      </x:c>
      <x:c r="R100" t="n">
        <x:f>R99+IF(OR(LEFT(H100,15)="Missing dates; ",LEFT(H100,16)="Add N/A reason; ",H100="Add dates",H100="Add registration",H100="Check date format"),1,0)</x:f>
        <x:v>0</x:v>
      </x:c>
      <x:c r="S100" t="n">
        <x:f>S99+IF(COUNTIFS(C100:F100,"Reviewed N/A")&gt;0,1,0)</x:f>
        <x:v>0</x:v>
      </x:c>
    </x:row>
    <x:row r="101" ht="48" customHeight="1">
      <x:c r="A101" s="52"/>
      <x:c r="B101" s="52"/>
      <x:c r="C101" s="53"/>
      <x:c r="D101" s="53"/>
      <x:c r="E101" s="53"/>
      <x:c r="F101" s="53"/>
      <x:c r="G101" s="52"/>
      <x:c r="H101" s="21" t="str">
        <x:f>IF(COUNTA(A101:G101,I101)=0,"",IF(A101="","Add registration",IF(OR(COUNTA(C101:F101)&gt;COUNT(C101:F101)+COUNTIFS(C101:F101,"Reviewed N/A"),AND(COUNT(C101:F101)&gt;0,OR(MIN(C101:F101)&lt;36526,MAX(C101:F101)&gt;109574))),"Check date format",IF(AND(COUNTIFS(C101:F101,"Reviewed N/A")&gt;0,I101=""),"Add N/A reason; ","")&amp;IF(COUNT(C101:F101)=0,IF(COUNTIFS(C101:F101,"Reviewed N/A")=4,"No applicable dates recorded","Add dates"),IF(COUNT(C101:F101)+COUNTIFS(C101:F101,"Reviewed N/A")&lt;4,"Missing dates; ","")&amp;IF(MIN(C101:F101)&lt;TODAY(),"Overdue: ",IF(MIN(C101:F101)=TODAY(),"Due today: ",IF(MIN(C101:F101)&lt;=TODAY()+30,"Due within 30 days: ","Next: ")))&amp;INDEX($C$8:$F$8,1,MATCH(MIN(C101:F101),C101:F101,0))&amp;" "&amp;TEXT(MIN(C101:F101),"dd mmm yyyy")))))</x:f>
      </x:c>
      <x:c r="I101" s="52"/>
      <x:c r="J101" t="str">
        <x:f>IF(AND(A101&lt;&gt;"",COUNTIFS(C101,"&gt;=36526",C101,"&lt;"&amp;TODAY())+COUNTIFS(D101,"&gt;=36526",D101,"&lt;"&amp;TODAY())+COUNTIFS(E101,"&gt;=36526",E101,"&lt;"&amp;TODAY())+COUNTIFS(F101,"&gt;=36526",F101,"&lt;"&amp;TODAY())&gt;0),O101,"")</x:f>
      </x:c>
      <x:c r="K101" t="str">
        <x:f>IF(AND(A101&lt;&gt;"",COUNTIFS(C101,"&gt;=36526",C101,TODAY())+COUNTIFS(D101,"&gt;=36526",D101,TODAY())+COUNTIFS(E101,"&gt;=36526",E101,TODAY())+COUNTIFS(F101,"&gt;=36526",F101,TODAY())&gt;0),P101,"")</x:f>
      </x:c>
      <x:c r="L101" t="str">
        <x:f>IF(AND(A101&lt;&gt;"",COUNTIFS(C101,"&gt;"&amp;TODAY(),C101,"&lt;="&amp;TODAY()+30)+COUNTIFS(D101,"&gt;"&amp;TODAY(),D101,"&lt;="&amp;TODAY()+30)+COUNTIFS(E101,"&gt;"&amp;TODAY(),E101,"&lt;="&amp;TODAY()+30)+COUNTIFS(F101,"&gt;"&amp;TODAY(),F101,"&lt;="&amp;TODAY()+30)&gt;0),Q101,"")</x:f>
      </x:c>
      <x:c r="M101" t="str">
        <x:f>IF(OR(LEFT(H101,15)="Missing dates; ",LEFT(H101,16)="Add N/A reason; ",H101="Add dates",H101="Add registration",H101="Check date format"),R101,"")</x:f>
      </x:c>
      <x:c r="N101" t="str">
        <x:f>IF(COUNTIFS(C101:F101,"Reviewed N/A")&gt;0,S101,"")</x:f>
      </x:c>
      <x:c r="O101" t="n">
        <x:f>O100+IF(AND(A101&lt;&gt;"",COUNTIFS(C101,"&gt;=36526",C101,"&lt;"&amp;TODAY())+COUNTIFS(D101,"&gt;=36526",D101,"&lt;"&amp;TODAY())+COUNTIFS(E101,"&gt;=36526",E101,"&lt;"&amp;TODAY())+COUNTIFS(F101,"&gt;=36526",F101,"&lt;"&amp;TODAY())&gt;0),1,0)</x:f>
        <x:v>0</x:v>
      </x:c>
      <x:c r="P101" t="n">
        <x:f>P100+IF(AND(A101&lt;&gt;"",COUNTIFS(C101,"&gt;=36526",C101,TODAY())+COUNTIFS(D101,"&gt;=36526",D101,TODAY())+COUNTIFS(E101,"&gt;=36526",E101,TODAY())+COUNTIFS(F101,"&gt;=36526",F101,TODAY())&gt;0),1,0)</x:f>
        <x:v>0</x:v>
      </x:c>
      <x:c r="Q101" t="n">
        <x:f>Q100+IF(AND(A101&lt;&gt;"",COUNTIFS(C101,"&gt;"&amp;TODAY(),C101,"&lt;="&amp;TODAY()+30)+COUNTIFS(D101,"&gt;"&amp;TODAY(),D101,"&lt;="&amp;TODAY()+30)+COUNTIFS(E101,"&gt;"&amp;TODAY(),E101,"&lt;="&amp;TODAY()+30)+COUNTIFS(F101,"&gt;"&amp;TODAY(),F101,"&lt;="&amp;TODAY()+30)&gt;0),1,0)</x:f>
        <x:v>0</x:v>
      </x:c>
      <x:c r="R101" t="n">
        <x:f>R100+IF(OR(LEFT(H101,15)="Missing dates; ",LEFT(H101,16)="Add N/A reason; ",H101="Add dates",H101="Add registration",H101="Check date format"),1,0)</x:f>
        <x:v>0</x:v>
      </x:c>
      <x:c r="S101" t="n">
        <x:f>S100+IF(COUNTIFS(C101:F101,"Reviewed N/A")&gt;0,1,0)</x:f>
        <x:v>0</x:v>
      </x:c>
    </x:row>
    <x:row r="102" ht="48" customHeight="1">
      <x:c r="A102" s="52"/>
      <x:c r="B102" s="52"/>
      <x:c r="C102" s="53"/>
      <x:c r="D102" s="53"/>
      <x:c r="E102" s="53"/>
      <x:c r="F102" s="53"/>
      <x:c r="G102" s="52"/>
      <x:c r="H102" s="21" t="str">
        <x:f>IF(COUNTA(A102:G102,I102)=0,"",IF(A102="","Add registration",IF(OR(COUNTA(C102:F102)&gt;COUNT(C102:F102)+COUNTIFS(C102:F102,"Reviewed N/A"),AND(COUNT(C102:F102)&gt;0,OR(MIN(C102:F102)&lt;36526,MAX(C102:F102)&gt;109574))),"Check date format",IF(AND(COUNTIFS(C102:F102,"Reviewed N/A")&gt;0,I102=""),"Add N/A reason; ","")&amp;IF(COUNT(C102:F102)=0,IF(COUNTIFS(C102:F102,"Reviewed N/A")=4,"No applicable dates recorded","Add dates"),IF(COUNT(C102:F102)+COUNTIFS(C102:F102,"Reviewed N/A")&lt;4,"Missing dates; ","")&amp;IF(MIN(C102:F102)&lt;TODAY(),"Overdue: ",IF(MIN(C102:F102)=TODAY(),"Due today: ",IF(MIN(C102:F102)&lt;=TODAY()+30,"Due within 30 days: ","Next: ")))&amp;INDEX($C$8:$F$8,1,MATCH(MIN(C102:F102),C102:F102,0))&amp;" "&amp;TEXT(MIN(C102:F102),"dd mmm yyyy")))))</x:f>
      </x:c>
      <x:c r="I102" s="52"/>
      <x:c r="J102" t="str">
        <x:f>IF(AND(A102&lt;&gt;"",COUNTIFS(C102,"&gt;=36526",C102,"&lt;"&amp;TODAY())+COUNTIFS(D102,"&gt;=36526",D102,"&lt;"&amp;TODAY())+COUNTIFS(E102,"&gt;=36526",E102,"&lt;"&amp;TODAY())+COUNTIFS(F102,"&gt;=36526",F102,"&lt;"&amp;TODAY())&gt;0),O102,"")</x:f>
      </x:c>
      <x:c r="K102" t="str">
        <x:f>IF(AND(A102&lt;&gt;"",COUNTIFS(C102,"&gt;=36526",C102,TODAY())+COUNTIFS(D102,"&gt;=36526",D102,TODAY())+COUNTIFS(E102,"&gt;=36526",E102,TODAY())+COUNTIFS(F102,"&gt;=36526",F102,TODAY())&gt;0),P102,"")</x:f>
      </x:c>
      <x:c r="L102" t="str">
        <x:f>IF(AND(A102&lt;&gt;"",COUNTIFS(C102,"&gt;"&amp;TODAY(),C102,"&lt;="&amp;TODAY()+30)+COUNTIFS(D102,"&gt;"&amp;TODAY(),D102,"&lt;="&amp;TODAY()+30)+COUNTIFS(E102,"&gt;"&amp;TODAY(),E102,"&lt;="&amp;TODAY()+30)+COUNTIFS(F102,"&gt;"&amp;TODAY(),F102,"&lt;="&amp;TODAY()+30)&gt;0),Q102,"")</x:f>
      </x:c>
      <x:c r="M102" t="str">
        <x:f>IF(OR(LEFT(H102,15)="Missing dates; ",LEFT(H102,16)="Add N/A reason; ",H102="Add dates",H102="Add registration",H102="Check date format"),R102,"")</x:f>
      </x:c>
      <x:c r="N102" t="str">
        <x:f>IF(COUNTIFS(C102:F102,"Reviewed N/A")&gt;0,S102,"")</x:f>
      </x:c>
      <x:c r="O102" t="n">
        <x:f>O101+IF(AND(A102&lt;&gt;"",COUNTIFS(C102,"&gt;=36526",C102,"&lt;"&amp;TODAY())+COUNTIFS(D102,"&gt;=36526",D102,"&lt;"&amp;TODAY())+COUNTIFS(E102,"&gt;=36526",E102,"&lt;"&amp;TODAY())+COUNTIFS(F102,"&gt;=36526",F102,"&lt;"&amp;TODAY())&gt;0),1,0)</x:f>
        <x:v>0</x:v>
      </x:c>
      <x:c r="P102" t="n">
        <x:f>P101+IF(AND(A102&lt;&gt;"",COUNTIFS(C102,"&gt;=36526",C102,TODAY())+COUNTIFS(D102,"&gt;=36526",D102,TODAY())+COUNTIFS(E102,"&gt;=36526",E102,TODAY())+COUNTIFS(F102,"&gt;=36526",F102,TODAY())&gt;0),1,0)</x:f>
        <x:v>0</x:v>
      </x:c>
      <x:c r="Q102" t="n">
        <x:f>Q101+IF(AND(A102&lt;&gt;"",COUNTIFS(C102,"&gt;"&amp;TODAY(),C102,"&lt;="&amp;TODAY()+30)+COUNTIFS(D102,"&gt;"&amp;TODAY(),D102,"&lt;="&amp;TODAY()+30)+COUNTIFS(E102,"&gt;"&amp;TODAY(),E102,"&lt;="&amp;TODAY()+30)+COUNTIFS(F102,"&gt;"&amp;TODAY(),F102,"&lt;="&amp;TODAY()+30)&gt;0),1,0)</x:f>
        <x:v>0</x:v>
      </x:c>
      <x:c r="R102" t="n">
        <x:f>R101+IF(OR(LEFT(H102,15)="Missing dates; ",LEFT(H102,16)="Add N/A reason; ",H102="Add dates",H102="Add registration",H102="Check date format"),1,0)</x:f>
        <x:v>0</x:v>
      </x:c>
      <x:c r="S102" t="n">
        <x:f>S101+IF(COUNTIFS(C102:F102,"Reviewed N/A")&gt;0,1,0)</x:f>
        <x:v>0</x:v>
      </x:c>
    </x:row>
    <x:row r="103" ht="48" customHeight="1">
      <x:c r="A103" s="52"/>
      <x:c r="B103" s="52"/>
      <x:c r="C103" s="53"/>
      <x:c r="D103" s="53"/>
      <x:c r="E103" s="53"/>
      <x:c r="F103" s="53"/>
      <x:c r="G103" s="52"/>
      <x:c r="H103" s="21" t="str">
        <x:f>IF(COUNTA(A103:G103,I103)=0,"",IF(A103="","Add registration",IF(OR(COUNTA(C103:F103)&gt;COUNT(C103:F103)+COUNTIFS(C103:F103,"Reviewed N/A"),AND(COUNT(C103:F103)&gt;0,OR(MIN(C103:F103)&lt;36526,MAX(C103:F103)&gt;109574))),"Check date format",IF(AND(COUNTIFS(C103:F103,"Reviewed N/A")&gt;0,I103=""),"Add N/A reason; ","")&amp;IF(COUNT(C103:F103)=0,IF(COUNTIFS(C103:F103,"Reviewed N/A")=4,"No applicable dates recorded","Add dates"),IF(COUNT(C103:F103)+COUNTIFS(C103:F103,"Reviewed N/A")&lt;4,"Missing dates; ","")&amp;IF(MIN(C103:F103)&lt;TODAY(),"Overdue: ",IF(MIN(C103:F103)=TODAY(),"Due today: ",IF(MIN(C103:F103)&lt;=TODAY()+30,"Due within 30 days: ","Next: ")))&amp;INDEX($C$8:$F$8,1,MATCH(MIN(C103:F103),C103:F103,0))&amp;" "&amp;TEXT(MIN(C103:F103),"dd mmm yyyy")))))</x:f>
      </x:c>
      <x:c r="I103" s="52"/>
      <x:c r="J103" t="str">
        <x:f>IF(AND(A103&lt;&gt;"",COUNTIFS(C103,"&gt;=36526",C103,"&lt;"&amp;TODAY())+COUNTIFS(D103,"&gt;=36526",D103,"&lt;"&amp;TODAY())+COUNTIFS(E103,"&gt;=36526",E103,"&lt;"&amp;TODAY())+COUNTIFS(F103,"&gt;=36526",F103,"&lt;"&amp;TODAY())&gt;0),O103,"")</x:f>
      </x:c>
      <x:c r="K103" t="str">
        <x:f>IF(AND(A103&lt;&gt;"",COUNTIFS(C103,"&gt;=36526",C103,TODAY())+COUNTIFS(D103,"&gt;=36526",D103,TODAY())+COUNTIFS(E103,"&gt;=36526",E103,TODAY())+COUNTIFS(F103,"&gt;=36526",F103,TODAY())&gt;0),P103,"")</x:f>
      </x:c>
      <x:c r="L103" t="str">
        <x:f>IF(AND(A103&lt;&gt;"",COUNTIFS(C103,"&gt;"&amp;TODAY(),C103,"&lt;="&amp;TODAY()+30)+COUNTIFS(D103,"&gt;"&amp;TODAY(),D103,"&lt;="&amp;TODAY()+30)+COUNTIFS(E103,"&gt;"&amp;TODAY(),E103,"&lt;="&amp;TODAY()+30)+COUNTIFS(F103,"&gt;"&amp;TODAY(),F103,"&lt;="&amp;TODAY()+30)&gt;0),Q103,"")</x:f>
      </x:c>
      <x:c r="M103" t="str">
        <x:f>IF(OR(LEFT(H103,15)="Missing dates; ",LEFT(H103,16)="Add N/A reason; ",H103="Add dates",H103="Add registration",H103="Check date format"),R103,"")</x:f>
      </x:c>
      <x:c r="N103" t="str">
        <x:f>IF(COUNTIFS(C103:F103,"Reviewed N/A")&gt;0,S103,"")</x:f>
      </x:c>
      <x:c r="O103" t="n">
        <x:f>O102+IF(AND(A103&lt;&gt;"",COUNTIFS(C103,"&gt;=36526",C103,"&lt;"&amp;TODAY())+COUNTIFS(D103,"&gt;=36526",D103,"&lt;"&amp;TODAY())+COUNTIFS(E103,"&gt;=36526",E103,"&lt;"&amp;TODAY())+COUNTIFS(F103,"&gt;=36526",F103,"&lt;"&amp;TODAY())&gt;0),1,0)</x:f>
        <x:v>0</x:v>
      </x:c>
      <x:c r="P103" t="n">
        <x:f>P102+IF(AND(A103&lt;&gt;"",COUNTIFS(C103,"&gt;=36526",C103,TODAY())+COUNTIFS(D103,"&gt;=36526",D103,TODAY())+COUNTIFS(E103,"&gt;=36526",E103,TODAY())+COUNTIFS(F103,"&gt;=36526",F103,TODAY())&gt;0),1,0)</x:f>
        <x:v>0</x:v>
      </x:c>
      <x:c r="Q103" t="n">
        <x:f>Q102+IF(AND(A103&lt;&gt;"",COUNTIFS(C103,"&gt;"&amp;TODAY(),C103,"&lt;="&amp;TODAY()+30)+COUNTIFS(D103,"&gt;"&amp;TODAY(),D103,"&lt;="&amp;TODAY()+30)+COUNTIFS(E103,"&gt;"&amp;TODAY(),E103,"&lt;="&amp;TODAY()+30)+COUNTIFS(F103,"&gt;"&amp;TODAY(),F103,"&lt;="&amp;TODAY()+30)&gt;0),1,0)</x:f>
        <x:v>0</x:v>
      </x:c>
      <x:c r="R103" t="n">
        <x:f>R102+IF(OR(LEFT(H103,15)="Missing dates; ",LEFT(H103,16)="Add N/A reason; ",H103="Add dates",H103="Add registration",H103="Check date format"),1,0)</x:f>
        <x:v>0</x:v>
      </x:c>
      <x:c r="S103" t="n">
        <x:f>S102+IF(COUNTIFS(C103:F103,"Reviewed N/A")&gt;0,1,0)</x:f>
        <x:v>0</x:v>
      </x:c>
    </x:row>
    <x:row r="104" ht="48" customHeight="1">
      <x:c r="A104" s="52"/>
      <x:c r="B104" s="52"/>
      <x:c r="C104" s="53"/>
      <x:c r="D104" s="53"/>
      <x:c r="E104" s="53"/>
      <x:c r="F104" s="53"/>
      <x:c r="G104" s="52"/>
      <x:c r="H104" s="21" t="str">
        <x:f>IF(COUNTA(A104:G104,I104)=0,"",IF(A104="","Add registration",IF(OR(COUNTA(C104:F104)&gt;COUNT(C104:F104)+COUNTIFS(C104:F104,"Reviewed N/A"),AND(COUNT(C104:F104)&gt;0,OR(MIN(C104:F104)&lt;36526,MAX(C104:F104)&gt;109574))),"Check date format",IF(AND(COUNTIFS(C104:F104,"Reviewed N/A")&gt;0,I104=""),"Add N/A reason; ","")&amp;IF(COUNT(C104:F104)=0,IF(COUNTIFS(C104:F104,"Reviewed N/A")=4,"No applicable dates recorded","Add dates"),IF(COUNT(C104:F104)+COUNTIFS(C104:F104,"Reviewed N/A")&lt;4,"Missing dates; ","")&amp;IF(MIN(C104:F104)&lt;TODAY(),"Overdue: ",IF(MIN(C104:F104)=TODAY(),"Due today: ",IF(MIN(C104:F104)&lt;=TODAY()+30,"Due within 30 days: ","Next: ")))&amp;INDEX($C$8:$F$8,1,MATCH(MIN(C104:F104),C104:F104,0))&amp;" "&amp;TEXT(MIN(C104:F104),"dd mmm yyyy")))))</x:f>
      </x:c>
      <x:c r="I104" s="52"/>
      <x:c r="J104" t="str">
        <x:f>IF(AND(A104&lt;&gt;"",COUNTIFS(C104,"&gt;=36526",C104,"&lt;"&amp;TODAY())+COUNTIFS(D104,"&gt;=36526",D104,"&lt;"&amp;TODAY())+COUNTIFS(E104,"&gt;=36526",E104,"&lt;"&amp;TODAY())+COUNTIFS(F104,"&gt;=36526",F104,"&lt;"&amp;TODAY())&gt;0),O104,"")</x:f>
      </x:c>
      <x:c r="K104" t="str">
        <x:f>IF(AND(A104&lt;&gt;"",COUNTIFS(C104,"&gt;=36526",C104,TODAY())+COUNTIFS(D104,"&gt;=36526",D104,TODAY())+COUNTIFS(E104,"&gt;=36526",E104,TODAY())+COUNTIFS(F104,"&gt;=36526",F104,TODAY())&gt;0),P104,"")</x:f>
      </x:c>
      <x:c r="L104" t="str">
        <x:f>IF(AND(A104&lt;&gt;"",COUNTIFS(C104,"&gt;"&amp;TODAY(),C104,"&lt;="&amp;TODAY()+30)+COUNTIFS(D104,"&gt;"&amp;TODAY(),D104,"&lt;="&amp;TODAY()+30)+COUNTIFS(E104,"&gt;"&amp;TODAY(),E104,"&lt;="&amp;TODAY()+30)+COUNTIFS(F104,"&gt;"&amp;TODAY(),F104,"&lt;="&amp;TODAY()+30)&gt;0),Q104,"")</x:f>
      </x:c>
      <x:c r="M104" t="str">
        <x:f>IF(OR(LEFT(H104,15)="Missing dates; ",LEFT(H104,16)="Add N/A reason; ",H104="Add dates",H104="Add registration",H104="Check date format"),R104,"")</x:f>
      </x:c>
      <x:c r="N104" t="str">
        <x:f>IF(COUNTIFS(C104:F104,"Reviewed N/A")&gt;0,S104,"")</x:f>
      </x:c>
      <x:c r="O104" t="n">
        <x:f>O103+IF(AND(A104&lt;&gt;"",COUNTIFS(C104,"&gt;=36526",C104,"&lt;"&amp;TODAY())+COUNTIFS(D104,"&gt;=36526",D104,"&lt;"&amp;TODAY())+COUNTIFS(E104,"&gt;=36526",E104,"&lt;"&amp;TODAY())+COUNTIFS(F104,"&gt;=36526",F104,"&lt;"&amp;TODAY())&gt;0),1,0)</x:f>
        <x:v>0</x:v>
      </x:c>
      <x:c r="P104" t="n">
        <x:f>P103+IF(AND(A104&lt;&gt;"",COUNTIFS(C104,"&gt;=36526",C104,TODAY())+COUNTIFS(D104,"&gt;=36526",D104,TODAY())+COUNTIFS(E104,"&gt;=36526",E104,TODAY())+COUNTIFS(F104,"&gt;=36526",F104,TODAY())&gt;0),1,0)</x:f>
        <x:v>0</x:v>
      </x:c>
      <x:c r="Q104" t="n">
        <x:f>Q103+IF(AND(A104&lt;&gt;"",COUNTIFS(C104,"&gt;"&amp;TODAY(),C104,"&lt;="&amp;TODAY()+30)+COUNTIFS(D104,"&gt;"&amp;TODAY(),D104,"&lt;="&amp;TODAY()+30)+COUNTIFS(E104,"&gt;"&amp;TODAY(),E104,"&lt;="&amp;TODAY()+30)+COUNTIFS(F104,"&gt;"&amp;TODAY(),F104,"&lt;="&amp;TODAY()+30)&gt;0),1,0)</x:f>
        <x:v>0</x:v>
      </x:c>
      <x:c r="R104" t="n">
        <x:f>R103+IF(OR(LEFT(H104,15)="Missing dates; ",LEFT(H104,16)="Add N/A reason; ",H104="Add dates",H104="Add registration",H104="Check date format"),1,0)</x:f>
        <x:v>0</x:v>
      </x:c>
      <x:c r="S104" t="n">
        <x:f>S103+IF(COUNTIFS(C104:F104,"Reviewed N/A")&gt;0,1,0)</x:f>
        <x:v>0</x:v>
      </x:c>
    </x:row>
    <x:row r="105" ht="48" customHeight="1">
      <x:c r="A105" s="52"/>
      <x:c r="B105" s="52"/>
      <x:c r="C105" s="53"/>
      <x:c r="D105" s="53"/>
      <x:c r="E105" s="53"/>
      <x:c r="F105" s="53"/>
      <x:c r="G105" s="52"/>
      <x:c r="H105" s="21" t="str">
        <x:f>IF(COUNTA(A105:G105,I105)=0,"",IF(A105="","Add registration",IF(OR(COUNTA(C105:F105)&gt;COUNT(C105:F105)+COUNTIFS(C105:F105,"Reviewed N/A"),AND(COUNT(C105:F105)&gt;0,OR(MIN(C105:F105)&lt;36526,MAX(C105:F105)&gt;109574))),"Check date format",IF(AND(COUNTIFS(C105:F105,"Reviewed N/A")&gt;0,I105=""),"Add N/A reason; ","")&amp;IF(COUNT(C105:F105)=0,IF(COUNTIFS(C105:F105,"Reviewed N/A")=4,"No applicable dates recorded","Add dates"),IF(COUNT(C105:F105)+COUNTIFS(C105:F105,"Reviewed N/A")&lt;4,"Missing dates; ","")&amp;IF(MIN(C105:F105)&lt;TODAY(),"Overdue: ",IF(MIN(C105:F105)=TODAY(),"Due today: ",IF(MIN(C105:F105)&lt;=TODAY()+30,"Due within 30 days: ","Next: ")))&amp;INDEX($C$8:$F$8,1,MATCH(MIN(C105:F105),C105:F105,0))&amp;" "&amp;TEXT(MIN(C105:F105),"dd mmm yyyy")))))</x:f>
      </x:c>
      <x:c r="I105" s="52"/>
      <x:c r="J105" t="str">
        <x:f>IF(AND(A105&lt;&gt;"",COUNTIFS(C105,"&gt;=36526",C105,"&lt;"&amp;TODAY())+COUNTIFS(D105,"&gt;=36526",D105,"&lt;"&amp;TODAY())+COUNTIFS(E105,"&gt;=36526",E105,"&lt;"&amp;TODAY())+COUNTIFS(F105,"&gt;=36526",F105,"&lt;"&amp;TODAY())&gt;0),O105,"")</x:f>
      </x:c>
      <x:c r="K105" t="str">
        <x:f>IF(AND(A105&lt;&gt;"",COUNTIFS(C105,"&gt;=36526",C105,TODAY())+COUNTIFS(D105,"&gt;=36526",D105,TODAY())+COUNTIFS(E105,"&gt;=36526",E105,TODAY())+COUNTIFS(F105,"&gt;=36526",F105,TODAY())&gt;0),P105,"")</x:f>
      </x:c>
      <x:c r="L105" t="str">
        <x:f>IF(AND(A105&lt;&gt;"",COUNTIFS(C105,"&gt;"&amp;TODAY(),C105,"&lt;="&amp;TODAY()+30)+COUNTIFS(D105,"&gt;"&amp;TODAY(),D105,"&lt;="&amp;TODAY()+30)+COUNTIFS(E105,"&gt;"&amp;TODAY(),E105,"&lt;="&amp;TODAY()+30)+COUNTIFS(F105,"&gt;"&amp;TODAY(),F105,"&lt;="&amp;TODAY()+30)&gt;0),Q105,"")</x:f>
      </x:c>
      <x:c r="M105" t="str">
        <x:f>IF(OR(LEFT(H105,15)="Missing dates; ",LEFT(H105,16)="Add N/A reason; ",H105="Add dates",H105="Add registration",H105="Check date format"),R105,"")</x:f>
      </x:c>
      <x:c r="N105" t="str">
        <x:f>IF(COUNTIFS(C105:F105,"Reviewed N/A")&gt;0,S105,"")</x:f>
      </x:c>
      <x:c r="O105" t="n">
        <x:f>O104+IF(AND(A105&lt;&gt;"",COUNTIFS(C105,"&gt;=36526",C105,"&lt;"&amp;TODAY())+COUNTIFS(D105,"&gt;=36526",D105,"&lt;"&amp;TODAY())+COUNTIFS(E105,"&gt;=36526",E105,"&lt;"&amp;TODAY())+COUNTIFS(F105,"&gt;=36526",F105,"&lt;"&amp;TODAY())&gt;0),1,0)</x:f>
        <x:v>0</x:v>
      </x:c>
      <x:c r="P105" t="n">
        <x:f>P104+IF(AND(A105&lt;&gt;"",COUNTIFS(C105,"&gt;=36526",C105,TODAY())+COUNTIFS(D105,"&gt;=36526",D105,TODAY())+COUNTIFS(E105,"&gt;=36526",E105,TODAY())+COUNTIFS(F105,"&gt;=36526",F105,TODAY())&gt;0),1,0)</x:f>
        <x:v>0</x:v>
      </x:c>
      <x:c r="Q105" t="n">
        <x:f>Q104+IF(AND(A105&lt;&gt;"",COUNTIFS(C105,"&gt;"&amp;TODAY(),C105,"&lt;="&amp;TODAY()+30)+COUNTIFS(D105,"&gt;"&amp;TODAY(),D105,"&lt;="&amp;TODAY()+30)+COUNTIFS(E105,"&gt;"&amp;TODAY(),E105,"&lt;="&amp;TODAY()+30)+COUNTIFS(F105,"&gt;"&amp;TODAY(),F105,"&lt;="&amp;TODAY()+30)&gt;0),1,0)</x:f>
        <x:v>0</x:v>
      </x:c>
      <x:c r="R105" t="n">
        <x:f>R104+IF(OR(LEFT(H105,15)="Missing dates; ",LEFT(H105,16)="Add N/A reason; ",H105="Add dates",H105="Add registration",H105="Check date format"),1,0)</x:f>
        <x:v>0</x:v>
      </x:c>
      <x:c r="S105" t="n">
        <x:f>S104+IF(COUNTIFS(C105:F105,"Reviewed N/A")&gt;0,1,0)</x:f>
        <x:v>0</x:v>
      </x:c>
    </x:row>
    <x:row r="106" ht="48" customHeight="1">
      <x:c r="A106" s="52"/>
      <x:c r="B106" s="52"/>
      <x:c r="C106" s="53"/>
      <x:c r="D106" s="53"/>
      <x:c r="E106" s="53"/>
      <x:c r="F106" s="53"/>
      <x:c r="G106" s="52"/>
      <x:c r="H106" s="21" t="str">
        <x:f>IF(COUNTA(A106:G106,I106)=0,"",IF(A106="","Add registration",IF(OR(COUNTA(C106:F106)&gt;COUNT(C106:F106)+COUNTIFS(C106:F106,"Reviewed N/A"),AND(COUNT(C106:F106)&gt;0,OR(MIN(C106:F106)&lt;36526,MAX(C106:F106)&gt;109574))),"Check date format",IF(AND(COUNTIFS(C106:F106,"Reviewed N/A")&gt;0,I106=""),"Add N/A reason; ","")&amp;IF(COUNT(C106:F106)=0,IF(COUNTIFS(C106:F106,"Reviewed N/A")=4,"No applicable dates recorded","Add dates"),IF(COUNT(C106:F106)+COUNTIFS(C106:F106,"Reviewed N/A")&lt;4,"Missing dates; ","")&amp;IF(MIN(C106:F106)&lt;TODAY(),"Overdue: ",IF(MIN(C106:F106)=TODAY(),"Due today: ",IF(MIN(C106:F106)&lt;=TODAY()+30,"Due within 30 days: ","Next: ")))&amp;INDEX($C$8:$F$8,1,MATCH(MIN(C106:F106),C106:F106,0))&amp;" "&amp;TEXT(MIN(C106:F106),"dd mmm yyyy")))))</x:f>
      </x:c>
      <x:c r="I106" s="52"/>
      <x:c r="J106" t="str">
        <x:f>IF(AND(A106&lt;&gt;"",COUNTIFS(C106,"&gt;=36526",C106,"&lt;"&amp;TODAY())+COUNTIFS(D106,"&gt;=36526",D106,"&lt;"&amp;TODAY())+COUNTIFS(E106,"&gt;=36526",E106,"&lt;"&amp;TODAY())+COUNTIFS(F106,"&gt;=36526",F106,"&lt;"&amp;TODAY())&gt;0),O106,"")</x:f>
      </x:c>
      <x:c r="K106" t="str">
        <x:f>IF(AND(A106&lt;&gt;"",COUNTIFS(C106,"&gt;=36526",C106,TODAY())+COUNTIFS(D106,"&gt;=36526",D106,TODAY())+COUNTIFS(E106,"&gt;=36526",E106,TODAY())+COUNTIFS(F106,"&gt;=36526",F106,TODAY())&gt;0),P106,"")</x:f>
      </x:c>
      <x:c r="L106" t="str">
        <x:f>IF(AND(A106&lt;&gt;"",COUNTIFS(C106,"&gt;"&amp;TODAY(),C106,"&lt;="&amp;TODAY()+30)+COUNTIFS(D106,"&gt;"&amp;TODAY(),D106,"&lt;="&amp;TODAY()+30)+COUNTIFS(E106,"&gt;"&amp;TODAY(),E106,"&lt;="&amp;TODAY()+30)+COUNTIFS(F106,"&gt;"&amp;TODAY(),F106,"&lt;="&amp;TODAY()+30)&gt;0),Q106,"")</x:f>
      </x:c>
      <x:c r="M106" t="str">
        <x:f>IF(OR(LEFT(H106,15)="Missing dates; ",LEFT(H106,16)="Add N/A reason; ",H106="Add dates",H106="Add registration",H106="Check date format"),R106,"")</x:f>
      </x:c>
      <x:c r="N106" t="str">
        <x:f>IF(COUNTIFS(C106:F106,"Reviewed N/A")&gt;0,S106,"")</x:f>
      </x:c>
      <x:c r="O106" t="n">
        <x:f>O105+IF(AND(A106&lt;&gt;"",COUNTIFS(C106,"&gt;=36526",C106,"&lt;"&amp;TODAY())+COUNTIFS(D106,"&gt;=36526",D106,"&lt;"&amp;TODAY())+COUNTIFS(E106,"&gt;=36526",E106,"&lt;"&amp;TODAY())+COUNTIFS(F106,"&gt;=36526",F106,"&lt;"&amp;TODAY())&gt;0),1,0)</x:f>
        <x:v>0</x:v>
      </x:c>
      <x:c r="P106" t="n">
        <x:f>P105+IF(AND(A106&lt;&gt;"",COUNTIFS(C106,"&gt;=36526",C106,TODAY())+COUNTIFS(D106,"&gt;=36526",D106,TODAY())+COUNTIFS(E106,"&gt;=36526",E106,TODAY())+COUNTIFS(F106,"&gt;=36526",F106,TODAY())&gt;0),1,0)</x:f>
        <x:v>0</x:v>
      </x:c>
      <x:c r="Q106" t="n">
        <x:f>Q105+IF(AND(A106&lt;&gt;"",COUNTIFS(C106,"&gt;"&amp;TODAY(),C106,"&lt;="&amp;TODAY()+30)+COUNTIFS(D106,"&gt;"&amp;TODAY(),D106,"&lt;="&amp;TODAY()+30)+COUNTIFS(E106,"&gt;"&amp;TODAY(),E106,"&lt;="&amp;TODAY()+30)+COUNTIFS(F106,"&gt;"&amp;TODAY(),F106,"&lt;="&amp;TODAY()+30)&gt;0),1,0)</x:f>
        <x:v>0</x:v>
      </x:c>
      <x:c r="R106" t="n">
        <x:f>R105+IF(OR(LEFT(H106,15)="Missing dates; ",LEFT(H106,16)="Add N/A reason; ",H106="Add dates",H106="Add registration",H106="Check date format"),1,0)</x:f>
        <x:v>0</x:v>
      </x:c>
      <x:c r="S106" t="n">
        <x:f>S105+IF(COUNTIFS(C106:F106,"Reviewed N/A")&gt;0,1,0)</x:f>
        <x:v>0</x:v>
      </x:c>
    </x:row>
    <x:row r="107" ht="48" customHeight="1">
      <x:c r="A107" s="52"/>
      <x:c r="B107" s="52"/>
      <x:c r="C107" s="53"/>
      <x:c r="D107" s="53"/>
      <x:c r="E107" s="53"/>
      <x:c r="F107" s="53"/>
      <x:c r="G107" s="52"/>
      <x:c r="H107" s="21" t="str">
        <x:f>IF(COUNTA(A107:G107,I107)=0,"",IF(A107="","Add registration",IF(OR(COUNTA(C107:F107)&gt;COUNT(C107:F107)+COUNTIFS(C107:F107,"Reviewed N/A"),AND(COUNT(C107:F107)&gt;0,OR(MIN(C107:F107)&lt;36526,MAX(C107:F107)&gt;109574))),"Check date format",IF(AND(COUNTIFS(C107:F107,"Reviewed N/A")&gt;0,I107=""),"Add N/A reason; ","")&amp;IF(COUNT(C107:F107)=0,IF(COUNTIFS(C107:F107,"Reviewed N/A")=4,"No applicable dates recorded","Add dates"),IF(COUNT(C107:F107)+COUNTIFS(C107:F107,"Reviewed N/A")&lt;4,"Missing dates; ","")&amp;IF(MIN(C107:F107)&lt;TODAY(),"Overdue: ",IF(MIN(C107:F107)=TODAY(),"Due today: ",IF(MIN(C107:F107)&lt;=TODAY()+30,"Due within 30 days: ","Next: ")))&amp;INDEX($C$8:$F$8,1,MATCH(MIN(C107:F107),C107:F107,0))&amp;" "&amp;TEXT(MIN(C107:F107),"dd mmm yyyy")))))</x:f>
      </x:c>
      <x:c r="I107" s="52"/>
      <x:c r="J107" t="str">
        <x:f>IF(AND(A107&lt;&gt;"",COUNTIFS(C107,"&gt;=36526",C107,"&lt;"&amp;TODAY())+COUNTIFS(D107,"&gt;=36526",D107,"&lt;"&amp;TODAY())+COUNTIFS(E107,"&gt;=36526",E107,"&lt;"&amp;TODAY())+COUNTIFS(F107,"&gt;=36526",F107,"&lt;"&amp;TODAY())&gt;0),O107,"")</x:f>
      </x:c>
      <x:c r="K107" t="str">
        <x:f>IF(AND(A107&lt;&gt;"",COUNTIFS(C107,"&gt;=36526",C107,TODAY())+COUNTIFS(D107,"&gt;=36526",D107,TODAY())+COUNTIFS(E107,"&gt;=36526",E107,TODAY())+COUNTIFS(F107,"&gt;=36526",F107,TODAY())&gt;0),P107,"")</x:f>
      </x:c>
      <x:c r="L107" t="str">
        <x:f>IF(AND(A107&lt;&gt;"",COUNTIFS(C107,"&gt;"&amp;TODAY(),C107,"&lt;="&amp;TODAY()+30)+COUNTIFS(D107,"&gt;"&amp;TODAY(),D107,"&lt;="&amp;TODAY()+30)+COUNTIFS(E107,"&gt;"&amp;TODAY(),E107,"&lt;="&amp;TODAY()+30)+COUNTIFS(F107,"&gt;"&amp;TODAY(),F107,"&lt;="&amp;TODAY()+30)&gt;0),Q107,"")</x:f>
      </x:c>
      <x:c r="M107" t="str">
        <x:f>IF(OR(LEFT(H107,15)="Missing dates; ",LEFT(H107,16)="Add N/A reason; ",H107="Add dates",H107="Add registration",H107="Check date format"),R107,"")</x:f>
      </x:c>
      <x:c r="N107" t="str">
        <x:f>IF(COUNTIFS(C107:F107,"Reviewed N/A")&gt;0,S107,"")</x:f>
      </x:c>
      <x:c r="O107" t="n">
        <x:f>O106+IF(AND(A107&lt;&gt;"",COUNTIFS(C107,"&gt;=36526",C107,"&lt;"&amp;TODAY())+COUNTIFS(D107,"&gt;=36526",D107,"&lt;"&amp;TODAY())+COUNTIFS(E107,"&gt;=36526",E107,"&lt;"&amp;TODAY())+COUNTIFS(F107,"&gt;=36526",F107,"&lt;"&amp;TODAY())&gt;0),1,0)</x:f>
        <x:v>0</x:v>
      </x:c>
      <x:c r="P107" t="n">
        <x:f>P106+IF(AND(A107&lt;&gt;"",COUNTIFS(C107,"&gt;=36526",C107,TODAY())+COUNTIFS(D107,"&gt;=36526",D107,TODAY())+COUNTIFS(E107,"&gt;=36526",E107,TODAY())+COUNTIFS(F107,"&gt;=36526",F107,TODAY())&gt;0),1,0)</x:f>
        <x:v>0</x:v>
      </x:c>
      <x:c r="Q107" t="n">
        <x:f>Q106+IF(AND(A107&lt;&gt;"",COUNTIFS(C107,"&gt;"&amp;TODAY(),C107,"&lt;="&amp;TODAY()+30)+COUNTIFS(D107,"&gt;"&amp;TODAY(),D107,"&lt;="&amp;TODAY()+30)+COUNTIFS(E107,"&gt;"&amp;TODAY(),E107,"&lt;="&amp;TODAY()+30)+COUNTIFS(F107,"&gt;"&amp;TODAY(),F107,"&lt;="&amp;TODAY()+30)&gt;0),1,0)</x:f>
        <x:v>0</x:v>
      </x:c>
      <x:c r="R107" t="n">
        <x:f>R106+IF(OR(LEFT(H107,15)="Missing dates; ",LEFT(H107,16)="Add N/A reason; ",H107="Add dates",H107="Add registration",H107="Check date format"),1,0)</x:f>
        <x:v>0</x:v>
      </x:c>
      <x:c r="S107" t="n">
        <x:f>S106+IF(COUNTIFS(C107:F107,"Reviewed N/A")&gt;0,1,0)</x:f>
        <x:v>0</x:v>
      </x:c>
    </x:row>
    <x:row r="108" ht="48" customHeight="1">
      <x:c r="A108" s="52"/>
      <x:c r="B108" s="52"/>
      <x:c r="C108" s="53"/>
      <x:c r="D108" s="53"/>
      <x:c r="E108" s="53"/>
      <x:c r="F108" s="53"/>
      <x:c r="G108" s="52"/>
      <x:c r="H108" s="21" t="str">
        <x:f>IF(COUNTA(A108:G108,I108)=0,"",IF(A108="","Add registration",IF(OR(COUNTA(C108:F108)&gt;COUNT(C108:F108)+COUNTIFS(C108:F108,"Reviewed N/A"),AND(COUNT(C108:F108)&gt;0,OR(MIN(C108:F108)&lt;36526,MAX(C108:F108)&gt;109574))),"Check date format",IF(AND(COUNTIFS(C108:F108,"Reviewed N/A")&gt;0,I108=""),"Add N/A reason; ","")&amp;IF(COUNT(C108:F108)=0,IF(COUNTIFS(C108:F108,"Reviewed N/A")=4,"No applicable dates recorded","Add dates"),IF(COUNT(C108:F108)+COUNTIFS(C108:F108,"Reviewed N/A")&lt;4,"Missing dates; ","")&amp;IF(MIN(C108:F108)&lt;TODAY(),"Overdue: ",IF(MIN(C108:F108)=TODAY(),"Due today: ",IF(MIN(C108:F108)&lt;=TODAY()+30,"Due within 30 days: ","Next: ")))&amp;INDEX($C$8:$F$8,1,MATCH(MIN(C108:F108),C108:F108,0))&amp;" "&amp;TEXT(MIN(C108:F108),"dd mmm yyyy")))))</x:f>
      </x:c>
      <x:c r="I108" s="52"/>
      <x:c r="J108" t="str">
        <x:f>IF(AND(A108&lt;&gt;"",COUNTIFS(C108,"&gt;=36526",C108,"&lt;"&amp;TODAY())+COUNTIFS(D108,"&gt;=36526",D108,"&lt;"&amp;TODAY())+COUNTIFS(E108,"&gt;=36526",E108,"&lt;"&amp;TODAY())+COUNTIFS(F108,"&gt;=36526",F108,"&lt;"&amp;TODAY())&gt;0),O108,"")</x:f>
      </x:c>
      <x:c r="K108" t="str">
        <x:f>IF(AND(A108&lt;&gt;"",COUNTIFS(C108,"&gt;=36526",C108,TODAY())+COUNTIFS(D108,"&gt;=36526",D108,TODAY())+COUNTIFS(E108,"&gt;=36526",E108,TODAY())+COUNTIFS(F108,"&gt;=36526",F108,TODAY())&gt;0),P108,"")</x:f>
      </x:c>
      <x:c r="L108" t="str">
        <x:f>IF(AND(A108&lt;&gt;"",COUNTIFS(C108,"&gt;"&amp;TODAY(),C108,"&lt;="&amp;TODAY()+30)+COUNTIFS(D108,"&gt;"&amp;TODAY(),D108,"&lt;="&amp;TODAY()+30)+COUNTIFS(E108,"&gt;"&amp;TODAY(),E108,"&lt;="&amp;TODAY()+30)+COUNTIFS(F108,"&gt;"&amp;TODAY(),F108,"&lt;="&amp;TODAY()+30)&gt;0),Q108,"")</x:f>
      </x:c>
      <x:c r="M108" t="str">
        <x:f>IF(OR(LEFT(H108,15)="Missing dates; ",LEFT(H108,16)="Add N/A reason; ",H108="Add dates",H108="Add registration",H108="Check date format"),R108,"")</x:f>
      </x:c>
      <x:c r="N108" t="str">
        <x:f>IF(COUNTIFS(C108:F108,"Reviewed N/A")&gt;0,S108,"")</x:f>
      </x:c>
      <x:c r="O108" t="n">
        <x:f>O107+IF(AND(A108&lt;&gt;"",COUNTIFS(C108,"&gt;=36526",C108,"&lt;"&amp;TODAY())+COUNTIFS(D108,"&gt;=36526",D108,"&lt;"&amp;TODAY())+COUNTIFS(E108,"&gt;=36526",E108,"&lt;"&amp;TODAY())+COUNTIFS(F108,"&gt;=36526",F108,"&lt;"&amp;TODAY())&gt;0),1,0)</x:f>
        <x:v>0</x:v>
      </x:c>
      <x:c r="P108" t="n">
        <x:f>P107+IF(AND(A108&lt;&gt;"",COUNTIFS(C108,"&gt;=36526",C108,TODAY())+COUNTIFS(D108,"&gt;=36526",D108,TODAY())+COUNTIFS(E108,"&gt;=36526",E108,TODAY())+COUNTIFS(F108,"&gt;=36526",F108,TODAY())&gt;0),1,0)</x:f>
        <x:v>0</x:v>
      </x:c>
      <x:c r="Q108" t="n">
        <x:f>Q107+IF(AND(A108&lt;&gt;"",COUNTIFS(C108,"&gt;"&amp;TODAY(),C108,"&lt;="&amp;TODAY()+30)+COUNTIFS(D108,"&gt;"&amp;TODAY(),D108,"&lt;="&amp;TODAY()+30)+COUNTIFS(E108,"&gt;"&amp;TODAY(),E108,"&lt;="&amp;TODAY()+30)+COUNTIFS(F108,"&gt;"&amp;TODAY(),F108,"&lt;="&amp;TODAY()+30)&gt;0),1,0)</x:f>
        <x:v>0</x:v>
      </x:c>
      <x:c r="R108" t="n">
        <x:f>R107+IF(OR(LEFT(H108,15)="Missing dates; ",LEFT(H108,16)="Add N/A reason; ",H108="Add dates",H108="Add registration",H108="Check date format"),1,0)</x:f>
        <x:v>0</x:v>
      </x:c>
      <x:c r="S108" t="n">
        <x:f>S107+IF(COUNTIFS(C108:F108,"Reviewed N/A")&gt;0,1,0)</x:f>
        <x:v>0</x:v>
      </x:c>
    </x:row>
    <x:row r="109" ht="48" customHeight="1">
      <x:c r="A109" s="52"/>
      <x:c r="B109" s="52"/>
      <x:c r="C109" s="53"/>
      <x:c r="D109" s="53"/>
      <x:c r="E109" s="53"/>
      <x:c r="F109" s="53"/>
      <x:c r="G109" s="52"/>
      <x:c r="H109" s="21" t="str">
        <x:f>IF(COUNTA(A109:G109,I109)=0,"",IF(A109="","Add registration",IF(OR(COUNTA(C109:F109)&gt;COUNT(C109:F109)+COUNTIFS(C109:F109,"Reviewed N/A"),AND(COUNT(C109:F109)&gt;0,OR(MIN(C109:F109)&lt;36526,MAX(C109:F109)&gt;109574))),"Check date format",IF(AND(COUNTIFS(C109:F109,"Reviewed N/A")&gt;0,I109=""),"Add N/A reason; ","")&amp;IF(COUNT(C109:F109)=0,IF(COUNTIFS(C109:F109,"Reviewed N/A")=4,"No applicable dates recorded","Add dates"),IF(COUNT(C109:F109)+COUNTIFS(C109:F109,"Reviewed N/A")&lt;4,"Missing dates; ","")&amp;IF(MIN(C109:F109)&lt;TODAY(),"Overdue: ",IF(MIN(C109:F109)=TODAY(),"Due today: ",IF(MIN(C109:F109)&lt;=TODAY()+30,"Due within 30 days: ","Next: ")))&amp;INDEX($C$8:$F$8,1,MATCH(MIN(C109:F109),C109:F109,0))&amp;" "&amp;TEXT(MIN(C109:F109),"dd mmm yyyy")))))</x:f>
      </x:c>
      <x:c r="I109" s="52"/>
      <x:c r="J109" t="str">
        <x:f>IF(AND(A109&lt;&gt;"",COUNTIFS(C109,"&gt;=36526",C109,"&lt;"&amp;TODAY())+COUNTIFS(D109,"&gt;=36526",D109,"&lt;"&amp;TODAY())+COUNTIFS(E109,"&gt;=36526",E109,"&lt;"&amp;TODAY())+COUNTIFS(F109,"&gt;=36526",F109,"&lt;"&amp;TODAY())&gt;0),O109,"")</x:f>
      </x:c>
      <x:c r="K109" t="str">
        <x:f>IF(AND(A109&lt;&gt;"",COUNTIFS(C109,"&gt;=36526",C109,TODAY())+COUNTIFS(D109,"&gt;=36526",D109,TODAY())+COUNTIFS(E109,"&gt;=36526",E109,TODAY())+COUNTIFS(F109,"&gt;=36526",F109,TODAY())&gt;0),P109,"")</x:f>
      </x:c>
      <x:c r="L109" t="str">
        <x:f>IF(AND(A109&lt;&gt;"",COUNTIFS(C109,"&gt;"&amp;TODAY(),C109,"&lt;="&amp;TODAY()+30)+COUNTIFS(D109,"&gt;"&amp;TODAY(),D109,"&lt;="&amp;TODAY()+30)+COUNTIFS(E109,"&gt;"&amp;TODAY(),E109,"&lt;="&amp;TODAY()+30)+COUNTIFS(F109,"&gt;"&amp;TODAY(),F109,"&lt;="&amp;TODAY()+30)&gt;0),Q109,"")</x:f>
      </x:c>
      <x:c r="M109" t="str">
        <x:f>IF(OR(LEFT(H109,15)="Missing dates; ",LEFT(H109,16)="Add N/A reason; ",H109="Add dates",H109="Add registration",H109="Check date format"),R109,"")</x:f>
      </x:c>
      <x:c r="N109" t="str">
        <x:f>IF(COUNTIFS(C109:F109,"Reviewed N/A")&gt;0,S109,"")</x:f>
      </x:c>
      <x:c r="O109" t="n">
        <x:f>O108+IF(AND(A109&lt;&gt;"",COUNTIFS(C109,"&gt;=36526",C109,"&lt;"&amp;TODAY())+COUNTIFS(D109,"&gt;=36526",D109,"&lt;"&amp;TODAY())+COUNTIFS(E109,"&gt;=36526",E109,"&lt;"&amp;TODAY())+COUNTIFS(F109,"&gt;=36526",F109,"&lt;"&amp;TODAY())&gt;0),1,0)</x:f>
        <x:v>0</x:v>
      </x:c>
      <x:c r="P109" t="n">
        <x:f>P108+IF(AND(A109&lt;&gt;"",COUNTIFS(C109,"&gt;=36526",C109,TODAY())+COUNTIFS(D109,"&gt;=36526",D109,TODAY())+COUNTIFS(E109,"&gt;=36526",E109,TODAY())+COUNTIFS(F109,"&gt;=36526",F109,TODAY())&gt;0),1,0)</x:f>
        <x:v>0</x:v>
      </x:c>
      <x:c r="Q109" t="n">
        <x:f>Q108+IF(AND(A109&lt;&gt;"",COUNTIFS(C109,"&gt;"&amp;TODAY(),C109,"&lt;="&amp;TODAY()+30)+COUNTIFS(D109,"&gt;"&amp;TODAY(),D109,"&lt;="&amp;TODAY()+30)+COUNTIFS(E109,"&gt;"&amp;TODAY(),E109,"&lt;="&amp;TODAY()+30)+COUNTIFS(F109,"&gt;"&amp;TODAY(),F109,"&lt;="&amp;TODAY()+30)&gt;0),1,0)</x:f>
        <x:v>0</x:v>
      </x:c>
      <x:c r="R109" t="n">
        <x:f>R108+IF(OR(LEFT(H109,15)="Missing dates; ",LEFT(H109,16)="Add N/A reason; ",H109="Add dates",H109="Add registration",H109="Check date format"),1,0)</x:f>
        <x:v>0</x:v>
      </x:c>
      <x:c r="S109" t="n">
        <x:f>S108+IF(COUNTIFS(C109:F109,"Reviewed N/A")&gt;0,1,0)</x:f>
        <x:v>0</x:v>
      </x:c>
    </x:row>
    <x:row r="110" ht="48" customHeight="1">
      <x:c r="A110" s="52"/>
      <x:c r="B110" s="52"/>
      <x:c r="C110" s="53"/>
      <x:c r="D110" s="53"/>
      <x:c r="E110" s="53"/>
      <x:c r="F110" s="53"/>
      <x:c r="G110" s="52"/>
      <x:c r="H110" s="21" t="str">
        <x:f>IF(COUNTA(A110:G110,I110)=0,"",IF(A110="","Add registration",IF(OR(COUNTA(C110:F110)&gt;COUNT(C110:F110)+COUNTIFS(C110:F110,"Reviewed N/A"),AND(COUNT(C110:F110)&gt;0,OR(MIN(C110:F110)&lt;36526,MAX(C110:F110)&gt;109574))),"Check date format",IF(AND(COUNTIFS(C110:F110,"Reviewed N/A")&gt;0,I110=""),"Add N/A reason; ","")&amp;IF(COUNT(C110:F110)=0,IF(COUNTIFS(C110:F110,"Reviewed N/A")=4,"No applicable dates recorded","Add dates"),IF(COUNT(C110:F110)+COUNTIFS(C110:F110,"Reviewed N/A")&lt;4,"Missing dates; ","")&amp;IF(MIN(C110:F110)&lt;TODAY(),"Overdue: ",IF(MIN(C110:F110)=TODAY(),"Due today: ",IF(MIN(C110:F110)&lt;=TODAY()+30,"Due within 30 days: ","Next: ")))&amp;INDEX($C$8:$F$8,1,MATCH(MIN(C110:F110),C110:F110,0))&amp;" "&amp;TEXT(MIN(C110:F110),"dd mmm yyyy")))))</x:f>
      </x:c>
      <x:c r="I110" s="52"/>
      <x:c r="J110" t="str">
        <x:f>IF(AND(A110&lt;&gt;"",COUNTIFS(C110,"&gt;=36526",C110,"&lt;"&amp;TODAY())+COUNTIFS(D110,"&gt;=36526",D110,"&lt;"&amp;TODAY())+COUNTIFS(E110,"&gt;=36526",E110,"&lt;"&amp;TODAY())+COUNTIFS(F110,"&gt;=36526",F110,"&lt;"&amp;TODAY())&gt;0),O110,"")</x:f>
      </x:c>
      <x:c r="K110" t="str">
        <x:f>IF(AND(A110&lt;&gt;"",COUNTIFS(C110,"&gt;=36526",C110,TODAY())+COUNTIFS(D110,"&gt;=36526",D110,TODAY())+COUNTIFS(E110,"&gt;=36526",E110,TODAY())+COUNTIFS(F110,"&gt;=36526",F110,TODAY())&gt;0),P110,"")</x:f>
      </x:c>
      <x:c r="L110" t="str">
        <x:f>IF(AND(A110&lt;&gt;"",COUNTIFS(C110,"&gt;"&amp;TODAY(),C110,"&lt;="&amp;TODAY()+30)+COUNTIFS(D110,"&gt;"&amp;TODAY(),D110,"&lt;="&amp;TODAY()+30)+COUNTIFS(E110,"&gt;"&amp;TODAY(),E110,"&lt;="&amp;TODAY()+30)+COUNTIFS(F110,"&gt;"&amp;TODAY(),F110,"&lt;="&amp;TODAY()+30)&gt;0),Q110,"")</x:f>
      </x:c>
      <x:c r="M110" t="str">
        <x:f>IF(OR(LEFT(H110,15)="Missing dates; ",LEFT(H110,16)="Add N/A reason; ",H110="Add dates",H110="Add registration",H110="Check date format"),R110,"")</x:f>
      </x:c>
      <x:c r="N110" t="str">
        <x:f>IF(COUNTIFS(C110:F110,"Reviewed N/A")&gt;0,S110,"")</x:f>
      </x:c>
      <x:c r="O110" t="n">
        <x:f>O109+IF(AND(A110&lt;&gt;"",COUNTIFS(C110,"&gt;=36526",C110,"&lt;"&amp;TODAY())+COUNTIFS(D110,"&gt;=36526",D110,"&lt;"&amp;TODAY())+COUNTIFS(E110,"&gt;=36526",E110,"&lt;"&amp;TODAY())+COUNTIFS(F110,"&gt;=36526",F110,"&lt;"&amp;TODAY())&gt;0),1,0)</x:f>
        <x:v>0</x:v>
      </x:c>
      <x:c r="P110" t="n">
        <x:f>P109+IF(AND(A110&lt;&gt;"",COUNTIFS(C110,"&gt;=36526",C110,TODAY())+COUNTIFS(D110,"&gt;=36526",D110,TODAY())+COUNTIFS(E110,"&gt;=36526",E110,TODAY())+COUNTIFS(F110,"&gt;=36526",F110,TODAY())&gt;0),1,0)</x:f>
        <x:v>0</x:v>
      </x:c>
      <x:c r="Q110" t="n">
        <x:f>Q109+IF(AND(A110&lt;&gt;"",COUNTIFS(C110,"&gt;"&amp;TODAY(),C110,"&lt;="&amp;TODAY()+30)+COUNTIFS(D110,"&gt;"&amp;TODAY(),D110,"&lt;="&amp;TODAY()+30)+COUNTIFS(E110,"&gt;"&amp;TODAY(),E110,"&lt;="&amp;TODAY()+30)+COUNTIFS(F110,"&gt;"&amp;TODAY(),F110,"&lt;="&amp;TODAY()+30)&gt;0),1,0)</x:f>
        <x:v>0</x:v>
      </x:c>
      <x:c r="R110" t="n">
        <x:f>R109+IF(OR(LEFT(H110,15)="Missing dates; ",LEFT(H110,16)="Add N/A reason; ",H110="Add dates",H110="Add registration",H110="Check date format"),1,0)</x:f>
        <x:v>0</x:v>
      </x:c>
      <x:c r="S110" t="n">
        <x:f>S109+IF(COUNTIFS(C110:F110,"Reviewed N/A")&gt;0,1,0)</x:f>
        <x:v>0</x:v>
      </x:c>
    </x:row>
    <x:row r="111" ht="48" customHeight="1">
      <x:c r="A111" s="52"/>
      <x:c r="B111" s="52"/>
      <x:c r="C111" s="53"/>
      <x:c r="D111" s="53"/>
      <x:c r="E111" s="53"/>
      <x:c r="F111" s="53"/>
      <x:c r="G111" s="52"/>
      <x:c r="H111" s="21" t="str">
        <x:f>IF(COUNTA(A111:G111,I111)=0,"",IF(A111="","Add registration",IF(OR(COUNTA(C111:F111)&gt;COUNT(C111:F111)+COUNTIFS(C111:F111,"Reviewed N/A"),AND(COUNT(C111:F111)&gt;0,OR(MIN(C111:F111)&lt;36526,MAX(C111:F111)&gt;109574))),"Check date format",IF(AND(COUNTIFS(C111:F111,"Reviewed N/A")&gt;0,I111=""),"Add N/A reason; ","")&amp;IF(COUNT(C111:F111)=0,IF(COUNTIFS(C111:F111,"Reviewed N/A")=4,"No applicable dates recorded","Add dates"),IF(COUNT(C111:F111)+COUNTIFS(C111:F111,"Reviewed N/A")&lt;4,"Missing dates; ","")&amp;IF(MIN(C111:F111)&lt;TODAY(),"Overdue: ",IF(MIN(C111:F111)=TODAY(),"Due today: ",IF(MIN(C111:F111)&lt;=TODAY()+30,"Due within 30 days: ","Next: ")))&amp;INDEX($C$8:$F$8,1,MATCH(MIN(C111:F111),C111:F111,0))&amp;" "&amp;TEXT(MIN(C111:F111),"dd mmm yyyy")))))</x:f>
      </x:c>
      <x:c r="I111" s="52"/>
      <x:c r="J111" t="str">
        <x:f>IF(AND(A111&lt;&gt;"",COUNTIFS(C111,"&gt;=36526",C111,"&lt;"&amp;TODAY())+COUNTIFS(D111,"&gt;=36526",D111,"&lt;"&amp;TODAY())+COUNTIFS(E111,"&gt;=36526",E111,"&lt;"&amp;TODAY())+COUNTIFS(F111,"&gt;=36526",F111,"&lt;"&amp;TODAY())&gt;0),O111,"")</x:f>
      </x:c>
      <x:c r="K111" t="str">
        <x:f>IF(AND(A111&lt;&gt;"",COUNTIFS(C111,"&gt;=36526",C111,TODAY())+COUNTIFS(D111,"&gt;=36526",D111,TODAY())+COUNTIFS(E111,"&gt;=36526",E111,TODAY())+COUNTIFS(F111,"&gt;=36526",F111,TODAY())&gt;0),P111,"")</x:f>
      </x:c>
      <x:c r="L111" t="str">
        <x:f>IF(AND(A111&lt;&gt;"",COUNTIFS(C111,"&gt;"&amp;TODAY(),C111,"&lt;="&amp;TODAY()+30)+COUNTIFS(D111,"&gt;"&amp;TODAY(),D111,"&lt;="&amp;TODAY()+30)+COUNTIFS(E111,"&gt;"&amp;TODAY(),E111,"&lt;="&amp;TODAY()+30)+COUNTIFS(F111,"&gt;"&amp;TODAY(),F111,"&lt;="&amp;TODAY()+30)&gt;0),Q111,"")</x:f>
      </x:c>
      <x:c r="M111" t="str">
        <x:f>IF(OR(LEFT(H111,15)="Missing dates; ",LEFT(H111,16)="Add N/A reason; ",H111="Add dates",H111="Add registration",H111="Check date format"),R111,"")</x:f>
      </x:c>
      <x:c r="N111" t="str">
        <x:f>IF(COUNTIFS(C111:F111,"Reviewed N/A")&gt;0,S111,"")</x:f>
      </x:c>
      <x:c r="O111" t="n">
        <x:f>O110+IF(AND(A111&lt;&gt;"",COUNTIFS(C111,"&gt;=36526",C111,"&lt;"&amp;TODAY())+COUNTIFS(D111,"&gt;=36526",D111,"&lt;"&amp;TODAY())+COUNTIFS(E111,"&gt;=36526",E111,"&lt;"&amp;TODAY())+COUNTIFS(F111,"&gt;=36526",F111,"&lt;"&amp;TODAY())&gt;0),1,0)</x:f>
        <x:v>0</x:v>
      </x:c>
      <x:c r="P111" t="n">
        <x:f>P110+IF(AND(A111&lt;&gt;"",COUNTIFS(C111,"&gt;=36526",C111,TODAY())+COUNTIFS(D111,"&gt;=36526",D111,TODAY())+COUNTIFS(E111,"&gt;=36526",E111,TODAY())+COUNTIFS(F111,"&gt;=36526",F111,TODAY())&gt;0),1,0)</x:f>
        <x:v>0</x:v>
      </x:c>
      <x:c r="Q111" t="n">
        <x:f>Q110+IF(AND(A111&lt;&gt;"",COUNTIFS(C111,"&gt;"&amp;TODAY(),C111,"&lt;="&amp;TODAY()+30)+COUNTIFS(D111,"&gt;"&amp;TODAY(),D111,"&lt;="&amp;TODAY()+30)+COUNTIFS(E111,"&gt;"&amp;TODAY(),E111,"&lt;="&amp;TODAY()+30)+COUNTIFS(F111,"&gt;"&amp;TODAY(),F111,"&lt;="&amp;TODAY()+30)&gt;0),1,0)</x:f>
        <x:v>0</x:v>
      </x:c>
      <x:c r="R111" t="n">
        <x:f>R110+IF(OR(LEFT(H111,15)="Missing dates; ",LEFT(H111,16)="Add N/A reason; ",H111="Add dates",H111="Add registration",H111="Check date format"),1,0)</x:f>
        <x:v>0</x:v>
      </x:c>
      <x:c r="S111" t="n">
        <x:f>S110+IF(COUNTIFS(C111:F111,"Reviewed N/A")&gt;0,1,0)</x:f>
        <x:v>0</x:v>
      </x:c>
    </x:row>
    <x:row r="112" ht="48" customHeight="1">
      <x:c r="A112" s="52"/>
      <x:c r="B112" s="52"/>
      <x:c r="C112" s="53"/>
      <x:c r="D112" s="53"/>
      <x:c r="E112" s="53"/>
      <x:c r="F112" s="53"/>
      <x:c r="G112" s="52"/>
      <x:c r="H112" s="21" t="str">
        <x:f>IF(COUNTA(A112:G112,I112)=0,"",IF(A112="","Add registration",IF(OR(COUNTA(C112:F112)&gt;COUNT(C112:F112)+COUNTIFS(C112:F112,"Reviewed N/A"),AND(COUNT(C112:F112)&gt;0,OR(MIN(C112:F112)&lt;36526,MAX(C112:F112)&gt;109574))),"Check date format",IF(AND(COUNTIFS(C112:F112,"Reviewed N/A")&gt;0,I112=""),"Add N/A reason; ","")&amp;IF(COUNT(C112:F112)=0,IF(COUNTIFS(C112:F112,"Reviewed N/A")=4,"No applicable dates recorded","Add dates"),IF(COUNT(C112:F112)+COUNTIFS(C112:F112,"Reviewed N/A")&lt;4,"Missing dates; ","")&amp;IF(MIN(C112:F112)&lt;TODAY(),"Overdue: ",IF(MIN(C112:F112)=TODAY(),"Due today: ",IF(MIN(C112:F112)&lt;=TODAY()+30,"Due within 30 days: ","Next: ")))&amp;INDEX($C$8:$F$8,1,MATCH(MIN(C112:F112),C112:F112,0))&amp;" "&amp;TEXT(MIN(C112:F112),"dd mmm yyyy")))))</x:f>
      </x:c>
      <x:c r="I112" s="52"/>
      <x:c r="J112" t="str">
        <x:f>IF(AND(A112&lt;&gt;"",COUNTIFS(C112,"&gt;=36526",C112,"&lt;"&amp;TODAY())+COUNTIFS(D112,"&gt;=36526",D112,"&lt;"&amp;TODAY())+COUNTIFS(E112,"&gt;=36526",E112,"&lt;"&amp;TODAY())+COUNTIFS(F112,"&gt;=36526",F112,"&lt;"&amp;TODAY())&gt;0),O112,"")</x:f>
      </x:c>
      <x:c r="K112" t="str">
        <x:f>IF(AND(A112&lt;&gt;"",COUNTIFS(C112,"&gt;=36526",C112,TODAY())+COUNTIFS(D112,"&gt;=36526",D112,TODAY())+COUNTIFS(E112,"&gt;=36526",E112,TODAY())+COUNTIFS(F112,"&gt;=36526",F112,TODAY())&gt;0),P112,"")</x:f>
      </x:c>
      <x:c r="L112" t="str">
        <x:f>IF(AND(A112&lt;&gt;"",COUNTIFS(C112,"&gt;"&amp;TODAY(),C112,"&lt;="&amp;TODAY()+30)+COUNTIFS(D112,"&gt;"&amp;TODAY(),D112,"&lt;="&amp;TODAY()+30)+COUNTIFS(E112,"&gt;"&amp;TODAY(),E112,"&lt;="&amp;TODAY()+30)+COUNTIFS(F112,"&gt;"&amp;TODAY(),F112,"&lt;="&amp;TODAY()+30)&gt;0),Q112,"")</x:f>
      </x:c>
      <x:c r="M112" t="str">
        <x:f>IF(OR(LEFT(H112,15)="Missing dates; ",LEFT(H112,16)="Add N/A reason; ",H112="Add dates",H112="Add registration",H112="Check date format"),R112,"")</x:f>
      </x:c>
      <x:c r="N112" t="str">
        <x:f>IF(COUNTIFS(C112:F112,"Reviewed N/A")&gt;0,S112,"")</x:f>
      </x:c>
      <x:c r="O112" t="n">
        <x:f>O111+IF(AND(A112&lt;&gt;"",COUNTIFS(C112,"&gt;=36526",C112,"&lt;"&amp;TODAY())+COUNTIFS(D112,"&gt;=36526",D112,"&lt;"&amp;TODAY())+COUNTIFS(E112,"&gt;=36526",E112,"&lt;"&amp;TODAY())+COUNTIFS(F112,"&gt;=36526",F112,"&lt;"&amp;TODAY())&gt;0),1,0)</x:f>
        <x:v>0</x:v>
      </x:c>
      <x:c r="P112" t="n">
        <x:f>P111+IF(AND(A112&lt;&gt;"",COUNTIFS(C112,"&gt;=36526",C112,TODAY())+COUNTIFS(D112,"&gt;=36526",D112,TODAY())+COUNTIFS(E112,"&gt;=36526",E112,TODAY())+COUNTIFS(F112,"&gt;=36526",F112,TODAY())&gt;0),1,0)</x:f>
        <x:v>0</x:v>
      </x:c>
      <x:c r="Q112" t="n">
        <x:f>Q111+IF(AND(A112&lt;&gt;"",COUNTIFS(C112,"&gt;"&amp;TODAY(),C112,"&lt;="&amp;TODAY()+30)+COUNTIFS(D112,"&gt;"&amp;TODAY(),D112,"&lt;="&amp;TODAY()+30)+COUNTIFS(E112,"&gt;"&amp;TODAY(),E112,"&lt;="&amp;TODAY()+30)+COUNTIFS(F112,"&gt;"&amp;TODAY(),F112,"&lt;="&amp;TODAY()+30)&gt;0),1,0)</x:f>
        <x:v>0</x:v>
      </x:c>
      <x:c r="R112" t="n">
        <x:f>R111+IF(OR(LEFT(H112,15)="Missing dates; ",LEFT(H112,16)="Add N/A reason; ",H112="Add dates",H112="Add registration",H112="Check date format"),1,0)</x:f>
        <x:v>0</x:v>
      </x:c>
      <x:c r="S112" t="n">
        <x:f>S111+IF(COUNTIFS(C112:F112,"Reviewed N/A")&gt;0,1,0)</x:f>
        <x:v>0</x:v>
      </x:c>
    </x:row>
    <x:row r="113" ht="48" customHeight="1">
      <x:c r="A113" s="52"/>
      <x:c r="B113" s="52"/>
      <x:c r="C113" s="53"/>
      <x:c r="D113" s="53"/>
      <x:c r="E113" s="53"/>
      <x:c r="F113" s="53"/>
      <x:c r="G113" s="52"/>
      <x:c r="H113" s="21" t="str">
        <x:f>IF(COUNTA(A113:G113,I113)=0,"",IF(A113="","Add registration",IF(OR(COUNTA(C113:F113)&gt;COUNT(C113:F113)+COUNTIFS(C113:F113,"Reviewed N/A"),AND(COUNT(C113:F113)&gt;0,OR(MIN(C113:F113)&lt;36526,MAX(C113:F113)&gt;109574))),"Check date format",IF(AND(COUNTIFS(C113:F113,"Reviewed N/A")&gt;0,I113=""),"Add N/A reason; ","")&amp;IF(COUNT(C113:F113)=0,IF(COUNTIFS(C113:F113,"Reviewed N/A")=4,"No applicable dates recorded","Add dates"),IF(COUNT(C113:F113)+COUNTIFS(C113:F113,"Reviewed N/A")&lt;4,"Missing dates; ","")&amp;IF(MIN(C113:F113)&lt;TODAY(),"Overdue: ",IF(MIN(C113:F113)=TODAY(),"Due today: ",IF(MIN(C113:F113)&lt;=TODAY()+30,"Due within 30 days: ","Next: ")))&amp;INDEX($C$8:$F$8,1,MATCH(MIN(C113:F113),C113:F113,0))&amp;" "&amp;TEXT(MIN(C113:F113),"dd mmm yyyy")))))</x:f>
      </x:c>
      <x:c r="I113" s="52"/>
      <x:c r="J113" t="str">
        <x:f>IF(AND(A113&lt;&gt;"",COUNTIFS(C113,"&gt;=36526",C113,"&lt;"&amp;TODAY())+COUNTIFS(D113,"&gt;=36526",D113,"&lt;"&amp;TODAY())+COUNTIFS(E113,"&gt;=36526",E113,"&lt;"&amp;TODAY())+COUNTIFS(F113,"&gt;=36526",F113,"&lt;"&amp;TODAY())&gt;0),O113,"")</x:f>
      </x:c>
      <x:c r="K113" t="str">
        <x:f>IF(AND(A113&lt;&gt;"",COUNTIFS(C113,"&gt;=36526",C113,TODAY())+COUNTIFS(D113,"&gt;=36526",D113,TODAY())+COUNTIFS(E113,"&gt;=36526",E113,TODAY())+COUNTIFS(F113,"&gt;=36526",F113,TODAY())&gt;0),P113,"")</x:f>
      </x:c>
      <x:c r="L113" t="str">
        <x:f>IF(AND(A113&lt;&gt;"",COUNTIFS(C113,"&gt;"&amp;TODAY(),C113,"&lt;="&amp;TODAY()+30)+COUNTIFS(D113,"&gt;"&amp;TODAY(),D113,"&lt;="&amp;TODAY()+30)+COUNTIFS(E113,"&gt;"&amp;TODAY(),E113,"&lt;="&amp;TODAY()+30)+COUNTIFS(F113,"&gt;"&amp;TODAY(),F113,"&lt;="&amp;TODAY()+30)&gt;0),Q113,"")</x:f>
      </x:c>
      <x:c r="M113" t="str">
        <x:f>IF(OR(LEFT(H113,15)="Missing dates; ",LEFT(H113,16)="Add N/A reason; ",H113="Add dates",H113="Add registration",H113="Check date format"),R113,"")</x:f>
      </x:c>
      <x:c r="N113" t="str">
        <x:f>IF(COUNTIFS(C113:F113,"Reviewed N/A")&gt;0,S113,"")</x:f>
      </x:c>
      <x:c r="O113" t="n">
        <x:f>O112+IF(AND(A113&lt;&gt;"",COUNTIFS(C113,"&gt;=36526",C113,"&lt;"&amp;TODAY())+COUNTIFS(D113,"&gt;=36526",D113,"&lt;"&amp;TODAY())+COUNTIFS(E113,"&gt;=36526",E113,"&lt;"&amp;TODAY())+COUNTIFS(F113,"&gt;=36526",F113,"&lt;"&amp;TODAY())&gt;0),1,0)</x:f>
        <x:v>0</x:v>
      </x:c>
      <x:c r="P113" t="n">
        <x:f>P112+IF(AND(A113&lt;&gt;"",COUNTIFS(C113,"&gt;=36526",C113,TODAY())+COUNTIFS(D113,"&gt;=36526",D113,TODAY())+COUNTIFS(E113,"&gt;=36526",E113,TODAY())+COUNTIFS(F113,"&gt;=36526",F113,TODAY())&gt;0),1,0)</x:f>
        <x:v>0</x:v>
      </x:c>
      <x:c r="Q113" t="n">
        <x:f>Q112+IF(AND(A113&lt;&gt;"",COUNTIFS(C113,"&gt;"&amp;TODAY(),C113,"&lt;="&amp;TODAY()+30)+COUNTIFS(D113,"&gt;"&amp;TODAY(),D113,"&lt;="&amp;TODAY()+30)+COUNTIFS(E113,"&gt;"&amp;TODAY(),E113,"&lt;="&amp;TODAY()+30)+COUNTIFS(F113,"&gt;"&amp;TODAY(),F113,"&lt;="&amp;TODAY()+30)&gt;0),1,0)</x:f>
        <x:v>0</x:v>
      </x:c>
      <x:c r="R113" t="n">
        <x:f>R112+IF(OR(LEFT(H113,15)="Missing dates; ",LEFT(H113,16)="Add N/A reason; ",H113="Add dates",H113="Add registration",H113="Check date format"),1,0)</x:f>
        <x:v>0</x:v>
      </x:c>
      <x:c r="S113" t="n">
        <x:f>S112+IF(COUNTIFS(C113:F113,"Reviewed N/A")&gt;0,1,0)</x:f>
        <x:v>0</x:v>
      </x:c>
    </x:row>
    <x:row r="114" ht="48" customHeight="1">
      <x:c r="A114" s="52"/>
      <x:c r="B114" s="52"/>
      <x:c r="C114" s="53"/>
      <x:c r="D114" s="53"/>
      <x:c r="E114" s="53"/>
      <x:c r="F114" s="53"/>
      <x:c r="G114" s="52"/>
      <x:c r="H114" s="21" t="str">
        <x:f>IF(COUNTA(A114:G114,I114)=0,"",IF(A114="","Add registration",IF(OR(COUNTA(C114:F114)&gt;COUNT(C114:F114)+COUNTIFS(C114:F114,"Reviewed N/A"),AND(COUNT(C114:F114)&gt;0,OR(MIN(C114:F114)&lt;36526,MAX(C114:F114)&gt;109574))),"Check date format",IF(AND(COUNTIFS(C114:F114,"Reviewed N/A")&gt;0,I114=""),"Add N/A reason; ","")&amp;IF(COUNT(C114:F114)=0,IF(COUNTIFS(C114:F114,"Reviewed N/A")=4,"No applicable dates recorded","Add dates"),IF(COUNT(C114:F114)+COUNTIFS(C114:F114,"Reviewed N/A")&lt;4,"Missing dates; ","")&amp;IF(MIN(C114:F114)&lt;TODAY(),"Overdue: ",IF(MIN(C114:F114)=TODAY(),"Due today: ",IF(MIN(C114:F114)&lt;=TODAY()+30,"Due within 30 days: ","Next: ")))&amp;INDEX($C$8:$F$8,1,MATCH(MIN(C114:F114),C114:F114,0))&amp;" "&amp;TEXT(MIN(C114:F114),"dd mmm yyyy")))))</x:f>
      </x:c>
      <x:c r="I114" s="52"/>
      <x:c r="J114" t="str">
        <x:f>IF(AND(A114&lt;&gt;"",COUNTIFS(C114,"&gt;=36526",C114,"&lt;"&amp;TODAY())+COUNTIFS(D114,"&gt;=36526",D114,"&lt;"&amp;TODAY())+COUNTIFS(E114,"&gt;=36526",E114,"&lt;"&amp;TODAY())+COUNTIFS(F114,"&gt;=36526",F114,"&lt;"&amp;TODAY())&gt;0),O114,"")</x:f>
      </x:c>
      <x:c r="K114" t="str">
        <x:f>IF(AND(A114&lt;&gt;"",COUNTIFS(C114,"&gt;=36526",C114,TODAY())+COUNTIFS(D114,"&gt;=36526",D114,TODAY())+COUNTIFS(E114,"&gt;=36526",E114,TODAY())+COUNTIFS(F114,"&gt;=36526",F114,TODAY())&gt;0),P114,"")</x:f>
      </x:c>
      <x:c r="L114" t="str">
        <x:f>IF(AND(A114&lt;&gt;"",COUNTIFS(C114,"&gt;"&amp;TODAY(),C114,"&lt;="&amp;TODAY()+30)+COUNTIFS(D114,"&gt;"&amp;TODAY(),D114,"&lt;="&amp;TODAY()+30)+COUNTIFS(E114,"&gt;"&amp;TODAY(),E114,"&lt;="&amp;TODAY()+30)+COUNTIFS(F114,"&gt;"&amp;TODAY(),F114,"&lt;="&amp;TODAY()+30)&gt;0),Q114,"")</x:f>
      </x:c>
      <x:c r="M114" t="str">
        <x:f>IF(OR(LEFT(H114,15)="Missing dates; ",LEFT(H114,16)="Add N/A reason; ",H114="Add dates",H114="Add registration",H114="Check date format"),R114,"")</x:f>
      </x:c>
      <x:c r="N114" t="str">
        <x:f>IF(COUNTIFS(C114:F114,"Reviewed N/A")&gt;0,S114,"")</x:f>
      </x:c>
      <x:c r="O114" t="n">
        <x:f>O113+IF(AND(A114&lt;&gt;"",COUNTIFS(C114,"&gt;=36526",C114,"&lt;"&amp;TODAY())+COUNTIFS(D114,"&gt;=36526",D114,"&lt;"&amp;TODAY())+COUNTIFS(E114,"&gt;=36526",E114,"&lt;"&amp;TODAY())+COUNTIFS(F114,"&gt;=36526",F114,"&lt;"&amp;TODAY())&gt;0),1,0)</x:f>
        <x:v>0</x:v>
      </x:c>
      <x:c r="P114" t="n">
        <x:f>P113+IF(AND(A114&lt;&gt;"",COUNTIFS(C114,"&gt;=36526",C114,TODAY())+COUNTIFS(D114,"&gt;=36526",D114,TODAY())+COUNTIFS(E114,"&gt;=36526",E114,TODAY())+COUNTIFS(F114,"&gt;=36526",F114,TODAY())&gt;0),1,0)</x:f>
        <x:v>0</x:v>
      </x:c>
      <x:c r="Q114" t="n">
        <x:f>Q113+IF(AND(A114&lt;&gt;"",COUNTIFS(C114,"&gt;"&amp;TODAY(),C114,"&lt;="&amp;TODAY()+30)+COUNTIFS(D114,"&gt;"&amp;TODAY(),D114,"&lt;="&amp;TODAY()+30)+COUNTIFS(E114,"&gt;"&amp;TODAY(),E114,"&lt;="&amp;TODAY()+30)+COUNTIFS(F114,"&gt;"&amp;TODAY(),F114,"&lt;="&amp;TODAY()+30)&gt;0),1,0)</x:f>
        <x:v>0</x:v>
      </x:c>
      <x:c r="R114" t="n">
        <x:f>R113+IF(OR(LEFT(H114,15)="Missing dates; ",LEFT(H114,16)="Add N/A reason; ",H114="Add dates",H114="Add registration",H114="Check date format"),1,0)</x:f>
        <x:v>0</x:v>
      </x:c>
      <x:c r="S114" t="n">
        <x:f>S113+IF(COUNTIFS(C114:F114,"Reviewed N/A")&gt;0,1,0)</x:f>
        <x:v>0</x:v>
      </x:c>
    </x:row>
    <x:row r="115" ht="48" customHeight="1">
      <x:c r="A115" s="52"/>
      <x:c r="B115" s="52"/>
      <x:c r="C115" s="53"/>
      <x:c r="D115" s="53"/>
      <x:c r="E115" s="53"/>
      <x:c r="F115" s="53"/>
      <x:c r="G115" s="52"/>
      <x:c r="H115" s="21" t="str">
        <x:f>IF(COUNTA(A115:G115,I115)=0,"",IF(A115="","Add registration",IF(OR(COUNTA(C115:F115)&gt;COUNT(C115:F115)+COUNTIFS(C115:F115,"Reviewed N/A"),AND(COUNT(C115:F115)&gt;0,OR(MIN(C115:F115)&lt;36526,MAX(C115:F115)&gt;109574))),"Check date format",IF(AND(COUNTIFS(C115:F115,"Reviewed N/A")&gt;0,I115=""),"Add N/A reason; ","")&amp;IF(COUNT(C115:F115)=0,IF(COUNTIFS(C115:F115,"Reviewed N/A")=4,"No applicable dates recorded","Add dates"),IF(COUNT(C115:F115)+COUNTIFS(C115:F115,"Reviewed N/A")&lt;4,"Missing dates; ","")&amp;IF(MIN(C115:F115)&lt;TODAY(),"Overdue: ",IF(MIN(C115:F115)=TODAY(),"Due today: ",IF(MIN(C115:F115)&lt;=TODAY()+30,"Due within 30 days: ","Next: ")))&amp;INDEX($C$8:$F$8,1,MATCH(MIN(C115:F115),C115:F115,0))&amp;" "&amp;TEXT(MIN(C115:F115),"dd mmm yyyy")))))</x:f>
      </x:c>
      <x:c r="I115" s="52"/>
      <x:c r="J115" t="str">
        <x:f>IF(AND(A115&lt;&gt;"",COUNTIFS(C115,"&gt;=36526",C115,"&lt;"&amp;TODAY())+COUNTIFS(D115,"&gt;=36526",D115,"&lt;"&amp;TODAY())+COUNTIFS(E115,"&gt;=36526",E115,"&lt;"&amp;TODAY())+COUNTIFS(F115,"&gt;=36526",F115,"&lt;"&amp;TODAY())&gt;0),O115,"")</x:f>
      </x:c>
      <x:c r="K115" t="str">
        <x:f>IF(AND(A115&lt;&gt;"",COUNTIFS(C115,"&gt;=36526",C115,TODAY())+COUNTIFS(D115,"&gt;=36526",D115,TODAY())+COUNTIFS(E115,"&gt;=36526",E115,TODAY())+COUNTIFS(F115,"&gt;=36526",F115,TODAY())&gt;0),P115,"")</x:f>
      </x:c>
      <x:c r="L115" t="str">
        <x:f>IF(AND(A115&lt;&gt;"",COUNTIFS(C115,"&gt;"&amp;TODAY(),C115,"&lt;="&amp;TODAY()+30)+COUNTIFS(D115,"&gt;"&amp;TODAY(),D115,"&lt;="&amp;TODAY()+30)+COUNTIFS(E115,"&gt;"&amp;TODAY(),E115,"&lt;="&amp;TODAY()+30)+COUNTIFS(F115,"&gt;"&amp;TODAY(),F115,"&lt;="&amp;TODAY()+30)&gt;0),Q115,"")</x:f>
      </x:c>
      <x:c r="M115" t="str">
        <x:f>IF(OR(LEFT(H115,15)="Missing dates; ",LEFT(H115,16)="Add N/A reason; ",H115="Add dates",H115="Add registration",H115="Check date format"),R115,"")</x:f>
      </x:c>
      <x:c r="N115" t="str">
        <x:f>IF(COUNTIFS(C115:F115,"Reviewed N/A")&gt;0,S115,"")</x:f>
      </x:c>
      <x:c r="O115" t="n">
        <x:f>O114+IF(AND(A115&lt;&gt;"",COUNTIFS(C115,"&gt;=36526",C115,"&lt;"&amp;TODAY())+COUNTIFS(D115,"&gt;=36526",D115,"&lt;"&amp;TODAY())+COUNTIFS(E115,"&gt;=36526",E115,"&lt;"&amp;TODAY())+COUNTIFS(F115,"&gt;=36526",F115,"&lt;"&amp;TODAY())&gt;0),1,0)</x:f>
        <x:v>0</x:v>
      </x:c>
      <x:c r="P115" t="n">
        <x:f>P114+IF(AND(A115&lt;&gt;"",COUNTIFS(C115,"&gt;=36526",C115,TODAY())+COUNTIFS(D115,"&gt;=36526",D115,TODAY())+COUNTIFS(E115,"&gt;=36526",E115,TODAY())+COUNTIFS(F115,"&gt;=36526",F115,TODAY())&gt;0),1,0)</x:f>
        <x:v>0</x:v>
      </x:c>
      <x:c r="Q115" t="n">
        <x:f>Q114+IF(AND(A115&lt;&gt;"",COUNTIFS(C115,"&gt;"&amp;TODAY(),C115,"&lt;="&amp;TODAY()+30)+COUNTIFS(D115,"&gt;"&amp;TODAY(),D115,"&lt;="&amp;TODAY()+30)+COUNTIFS(E115,"&gt;"&amp;TODAY(),E115,"&lt;="&amp;TODAY()+30)+COUNTIFS(F115,"&gt;"&amp;TODAY(),F115,"&lt;="&amp;TODAY()+30)&gt;0),1,0)</x:f>
        <x:v>0</x:v>
      </x:c>
      <x:c r="R115" t="n">
        <x:f>R114+IF(OR(LEFT(H115,15)="Missing dates; ",LEFT(H115,16)="Add N/A reason; ",H115="Add dates",H115="Add registration",H115="Check date format"),1,0)</x:f>
        <x:v>0</x:v>
      </x:c>
      <x:c r="S115" t="n">
        <x:f>S114+IF(COUNTIFS(C115:F115,"Reviewed N/A")&gt;0,1,0)</x:f>
        <x:v>0</x:v>
      </x:c>
    </x:row>
    <x:row r="116" ht="48" customHeight="1">
      <x:c r="A116" s="52"/>
      <x:c r="B116" s="52"/>
      <x:c r="C116" s="53"/>
      <x:c r="D116" s="53"/>
      <x:c r="E116" s="53"/>
      <x:c r="F116" s="53"/>
      <x:c r="G116" s="52"/>
      <x:c r="H116" s="21" t="str">
        <x:f>IF(COUNTA(A116:G116,I116)=0,"",IF(A116="","Add registration",IF(OR(COUNTA(C116:F116)&gt;COUNT(C116:F116)+COUNTIFS(C116:F116,"Reviewed N/A"),AND(COUNT(C116:F116)&gt;0,OR(MIN(C116:F116)&lt;36526,MAX(C116:F116)&gt;109574))),"Check date format",IF(AND(COUNTIFS(C116:F116,"Reviewed N/A")&gt;0,I116=""),"Add N/A reason; ","")&amp;IF(COUNT(C116:F116)=0,IF(COUNTIFS(C116:F116,"Reviewed N/A")=4,"No applicable dates recorded","Add dates"),IF(COUNT(C116:F116)+COUNTIFS(C116:F116,"Reviewed N/A")&lt;4,"Missing dates; ","")&amp;IF(MIN(C116:F116)&lt;TODAY(),"Overdue: ",IF(MIN(C116:F116)=TODAY(),"Due today: ",IF(MIN(C116:F116)&lt;=TODAY()+30,"Due within 30 days: ","Next: ")))&amp;INDEX($C$8:$F$8,1,MATCH(MIN(C116:F116),C116:F116,0))&amp;" "&amp;TEXT(MIN(C116:F116),"dd mmm yyyy")))))</x:f>
      </x:c>
      <x:c r="I116" s="52"/>
      <x:c r="J116" t="str">
        <x:f>IF(AND(A116&lt;&gt;"",COUNTIFS(C116,"&gt;=36526",C116,"&lt;"&amp;TODAY())+COUNTIFS(D116,"&gt;=36526",D116,"&lt;"&amp;TODAY())+COUNTIFS(E116,"&gt;=36526",E116,"&lt;"&amp;TODAY())+COUNTIFS(F116,"&gt;=36526",F116,"&lt;"&amp;TODAY())&gt;0),O116,"")</x:f>
      </x:c>
      <x:c r="K116" t="str">
        <x:f>IF(AND(A116&lt;&gt;"",COUNTIFS(C116,"&gt;=36526",C116,TODAY())+COUNTIFS(D116,"&gt;=36526",D116,TODAY())+COUNTIFS(E116,"&gt;=36526",E116,TODAY())+COUNTIFS(F116,"&gt;=36526",F116,TODAY())&gt;0),P116,"")</x:f>
      </x:c>
      <x:c r="L116" t="str">
        <x:f>IF(AND(A116&lt;&gt;"",COUNTIFS(C116,"&gt;"&amp;TODAY(),C116,"&lt;="&amp;TODAY()+30)+COUNTIFS(D116,"&gt;"&amp;TODAY(),D116,"&lt;="&amp;TODAY()+30)+COUNTIFS(E116,"&gt;"&amp;TODAY(),E116,"&lt;="&amp;TODAY()+30)+COUNTIFS(F116,"&gt;"&amp;TODAY(),F116,"&lt;="&amp;TODAY()+30)&gt;0),Q116,"")</x:f>
      </x:c>
      <x:c r="M116" t="str">
        <x:f>IF(OR(LEFT(H116,15)="Missing dates; ",LEFT(H116,16)="Add N/A reason; ",H116="Add dates",H116="Add registration",H116="Check date format"),R116,"")</x:f>
      </x:c>
      <x:c r="N116" t="str">
        <x:f>IF(COUNTIFS(C116:F116,"Reviewed N/A")&gt;0,S116,"")</x:f>
      </x:c>
      <x:c r="O116" t="n">
        <x:f>O115+IF(AND(A116&lt;&gt;"",COUNTIFS(C116,"&gt;=36526",C116,"&lt;"&amp;TODAY())+COUNTIFS(D116,"&gt;=36526",D116,"&lt;"&amp;TODAY())+COUNTIFS(E116,"&gt;=36526",E116,"&lt;"&amp;TODAY())+COUNTIFS(F116,"&gt;=36526",F116,"&lt;"&amp;TODAY())&gt;0),1,0)</x:f>
        <x:v>0</x:v>
      </x:c>
      <x:c r="P116" t="n">
        <x:f>P115+IF(AND(A116&lt;&gt;"",COUNTIFS(C116,"&gt;=36526",C116,TODAY())+COUNTIFS(D116,"&gt;=36526",D116,TODAY())+COUNTIFS(E116,"&gt;=36526",E116,TODAY())+COUNTIFS(F116,"&gt;=36526",F116,TODAY())&gt;0),1,0)</x:f>
        <x:v>0</x:v>
      </x:c>
      <x:c r="Q116" t="n">
        <x:f>Q115+IF(AND(A116&lt;&gt;"",COUNTIFS(C116,"&gt;"&amp;TODAY(),C116,"&lt;="&amp;TODAY()+30)+COUNTIFS(D116,"&gt;"&amp;TODAY(),D116,"&lt;="&amp;TODAY()+30)+COUNTIFS(E116,"&gt;"&amp;TODAY(),E116,"&lt;="&amp;TODAY()+30)+COUNTIFS(F116,"&gt;"&amp;TODAY(),F116,"&lt;="&amp;TODAY()+30)&gt;0),1,0)</x:f>
        <x:v>0</x:v>
      </x:c>
      <x:c r="R116" t="n">
        <x:f>R115+IF(OR(LEFT(H116,15)="Missing dates; ",LEFT(H116,16)="Add N/A reason; ",H116="Add dates",H116="Add registration",H116="Check date format"),1,0)</x:f>
        <x:v>0</x:v>
      </x:c>
      <x:c r="S116" t="n">
        <x:f>S115+IF(COUNTIFS(C116:F116,"Reviewed N/A")&gt;0,1,0)</x:f>
        <x:v>0</x:v>
      </x:c>
    </x:row>
    <x:row r="117" ht="48" customHeight="1">
      <x:c r="A117" s="52"/>
      <x:c r="B117" s="52"/>
      <x:c r="C117" s="53"/>
      <x:c r="D117" s="53"/>
      <x:c r="E117" s="53"/>
      <x:c r="F117" s="53"/>
      <x:c r="G117" s="52"/>
      <x:c r="H117" s="21" t="str">
        <x:f>IF(COUNTA(A117:G117,I117)=0,"",IF(A117="","Add registration",IF(OR(COUNTA(C117:F117)&gt;COUNT(C117:F117)+COUNTIFS(C117:F117,"Reviewed N/A"),AND(COUNT(C117:F117)&gt;0,OR(MIN(C117:F117)&lt;36526,MAX(C117:F117)&gt;109574))),"Check date format",IF(AND(COUNTIFS(C117:F117,"Reviewed N/A")&gt;0,I117=""),"Add N/A reason; ","")&amp;IF(COUNT(C117:F117)=0,IF(COUNTIFS(C117:F117,"Reviewed N/A")=4,"No applicable dates recorded","Add dates"),IF(COUNT(C117:F117)+COUNTIFS(C117:F117,"Reviewed N/A")&lt;4,"Missing dates; ","")&amp;IF(MIN(C117:F117)&lt;TODAY(),"Overdue: ",IF(MIN(C117:F117)=TODAY(),"Due today: ",IF(MIN(C117:F117)&lt;=TODAY()+30,"Due within 30 days: ","Next: ")))&amp;INDEX($C$8:$F$8,1,MATCH(MIN(C117:F117),C117:F117,0))&amp;" "&amp;TEXT(MIN(C117:F117),"dd mmm yyyy")))))</x:f>
      </x:c>
      <x:c r="I117" s="52"/>
      <x:c r="J117" t="str">
        <x:f>IF(AND(A117&lt;&gt;"",COUNTIFS(C117,"&gt;=36526",C117,"&lt;"&amp;TODAY())+COUNTIFS(D117,"&gt;=36526",D117,"&lt;"&amp;TODAY())+COUNTIFS(E117,"&gt;=36526",E117,"&lt;"&amp;TODAY())+COUNTIFS(F117,"&gt;=36526",F117,"&lt;"&amp;TODAY())&gt;0),O117,"")</x:f>
      </x:c>
      <x:c r="K117" t="str">
        <x:f>IF(AND(A117&lt;&gt;"",COUNTIFS(C117,"&gt;=36526",C117,TODAY())+COUNTIFS(D117,"&gt;=36526",D117,TODAY())+COUNTIFS(E117,"&gt;=36526",E117,TODAY())+COUNTIFS(F117,"&gt;=36526",F117,TODAY())&gt;0),P117,"")</x:f>
      </x:c>
      <x:c r="L117" t="str">
        <x:f>IF(AND(A117&lt;&gt;"",COUNTIFS(C117,"&gt;"&amp;TODAY(),C117,"&lt;="&amp;TODAY()+30)+COUNTIFS(D117,"&gt;"&amp;TODAY(),D117,"&lt;="&amp;TODAY()+30)+COUNTIFS(E117,"&gt;"&amp;TODAY(),E117,"&lt;="&amp;TODAY()+30)+COUNTIFS(F117,"&gt;"&amp;TODAY(),F117,"&lt;="&amp;TODAY()+30)&gt;0),Q117,"")</x:f>
      </x:c>
      <x:c r="M117" t="str">
        <x:f>IF(OR(LEFT(H117,15)="Missing dates; ",LEFT(H117,16)="Add N/A reason; ",H117="Add dates",H117="Add registration",H117="Check date format"),R117,"")</x:f>
      </x:c>
      <x:c r="N117" t="str">
        <x:f>IF(COUNTIFS(C117:F117,"Reviewed N/A")&gt;0,S117,"")</x:f>
      </x:c>
      <x:c r="O117" t="n">
        <x:f>O116+IF(AND(A117&lt;&gt;"",COUNTIFS(C117,"&gt;=36526",C117,"&lt;"&amp;TODAY())+COUNTIFS(D117,"&gt;=36526",D117,"&lt;"&amp;TODAY())+COUNTIFS(E117,"&gt;=36526",E117,"&lt;"&amp;TODAY())+COUNTIFS(F117,"&gt;=36526",F117,"&lt;"&amp;TODAY())&gt;0),1,0)</x:f>
        <x:v>0</x:v>
      </x:c>
      <x:c r="P117" t="n">
        <x:f>P116+IF(AND(A117&lt;&gt;"",COUNTIFS(C117,"&gt;=36526",C117,TODAY())+COUNTIFS(D117,"&gt;=36526",D117,TODAY())+COUNTIFS(E117,"&gt;=36526",E117,TODAY())+COUNTIFS(F117,"&gt;=36526",F117,TODAY())&gt;0),1,0)</x:f>
        <x:v>0</x:v>
      </x:c>
      <x:c r="Q117" t="n">
        <x:f>Q116+IF(AND(A117&lt;&gt;"",COUNTIFS(C117,"&gt;"&amp;TODAY(),C117,"&lt;="&amp;TODAY()+30)+COUNTIFS(D117,"&gt;"&amp;TODAY(),D117,"&lt;="&amp;TODAY()+30)+COUNTIFS(E117,"&gt;"&amp;TODAY(),E117,"&lt;="&amp;TODAY()+30)+COUNTIFS(F117,"&gt;"&amp;TODAY(),F117,"&lt;="&amp;TODAY()+30)&gt;0),1,0)</x:f>
        <x:v>0</x:v>
      </x:c>
      <x:c r="R117" t="n">
        <x:f>R116+IF(OR(LEFT(H117,15)="Missing dates; ",LEFT(H117,16)="Add N/A reason; ",H117="Add dates",H117="Add registration",H117="Check date format"),1,0)</x:f>
        <x:v>0</x:v>
      </x:c>
      <x:c r="S117" t="n">
        <x:f>S116+IF(COUNTIFS(C117:F117,"Reviewed N/A")&gt;0,1,0)</x:f>
        <x:v>0</x:v>
      </x:c>
    </x:row>
    <x:row r="118" ht="48" customHeight="1">
      <x:c r="A118" s="52"/>
      <x:c r="B118" s="52"/>
      <x:c r="C118" s="53"/>
      <x:c r="D118" s="53"/>
      <x:c r="E118" s="53"/>
      <x:c r="F118" s="53"/>
      <x:c r="G118" s="52"/>
      <x:c r="H118" s="21" t="str">
        <x:f>IF(COUNTA(A118:G118,I118)=0,"",IF(A118="","Add registration",IF(OR(COUNTA(C118:F118)&gt;COUNT(C118:F118)+COUNTIFS(C118:F118,"Reviewed N/A"),AND(COUNT(C118:F118)&gt;0,OR(MIN(C118:F118)&lt;36526,MAX(C118:F118)&gt;109574))),"Check date format",IF(AND(COUNTIFS(C118:F118,"Reviewed N/A")&gt;0,I118=""),"Add N/A reason; ","")&amp;IF(COUNT(C118:F118)=0,IF(COUNTIFS(C118:F118,"Reviewed N/A")=4,"No applicable dates recorded","Add dates"),IF(COUNT(C118:F118)+COUNTIFS(C118:F118,"Reviewed N/A")&lt;4,"Missing dates; ","")&amp;IF(MIN(C118:F118)&lt;TODAY(),"Overdue: ",IF(MIN(C118:F118)=TODAY(),"Due today: ",IF(MIN(C118:F118)&lt;=TODAY()+30,"Due within 30 days: ","Next: ")))&amp;INDEX($C$8:$F$8,1,MATCH(MIN(C118:F118),C118:F118,0))&amp;" "&amp;TEXT(MIN(C118:F118),"dd mmm yyyy")))))</x:f>
      </x:c>
      <x:c r="I118" s="52"/>
      <x:c r="J118" t="str">
        <x:f>IF(AND(A118&lt;&gt;"",COUNTIFS(C118,"&gt;=36526",C118,"&lt;"&amp;TODAY())+COUNTIFS(D118,"&gt;=36526",D118,"&lt;"&amp;TODAY())+COUNTIFS(E118,"&gt;=36526",E118,"&lt;"&amp;TODAY())+COUNTIFS(F118,"&gt;=36526",F118,"&lt;"&amp;TODAY())&gt;0),O118,"")</x:f>
      </x:c>
      <x:c r="K118" t="str">
        <x:f>IF(AND(A118&lt;&gt;"",COUNTIFS(C118,"&gt;=36526",C118,TODAY())+COUNTIFS(D118,"&gt;=36526",D118,TODAY())+COUNTIFS(E118,"&gt;=36526",E118,TODAY())+COUNTIFS(F118,"&gt;=36526",F118,TODAY())&gt;0),P118,"")</x:f>
      </x:c>
      <x:c r="L118" t="str">
        <x:f>IF(AND(A118&lt;&gt;"",COUNTIFS(C118,"&gt;"&amp;TODAY(),C118,"&lt;="&amp;TODAY()+30)+COUNTIFS(D118,"&gt;"&amp;TODAY(),D118,"&lt;="&amp;TODAY()+30)+COUNTIFS(E118,"&gt;"&amp;TODAY(),E118,"&lt;="&amp;TODAY()+30)+COUNTIFS(F118,"&gt;"&amp;TODAY(),F118,"&lt;="&amp;TODAY()+30)&gt;0),Q118,"")</x:f>
      </x:c>
      <x:c r="M118" t="str">
        <x:f>IF(OR(LEFT(H118,15)="Missing dates; ",LEFT(H118,16)="Add N/A reason; ",H118="Add dates",H118="Add registration",H118="Check date format"),R118,"")</x:f>
      </x:c>
      <x:c r="N118" t="str">
        <x:f>IF(COUNTIFS(C118:F118,"Reviewed N/A")&gt;0,S118,"")</x:f>
      </x:c>
      <x:c r="O118" t="n">
        <x:f>O117+IF(AND(A118&lt;&gt;"",COUNTIFS(C118,"&gt;=36526",C118,"&lt;"&amp;TODAY())+COUNTIFS(D118,"&gt;=36526",D118,"&lt;"&amp;TODAY())+COUNTIFS(E118,"&gt;=36526",E118,"&lt;"&amp;TODAY())+COUNTIFS(F118,"&gt;=36526",F118,"&lt;"&amp;TODAY())&gt;0),1,0)</x:f>
        <x:v>0</x:v>
      </x:c>
      <x:c r="P118" t="n">
        <x:f>P117+IF(AND(A118&lt;&gt;"",COUNTIFS(C118,"&gt;=36526",C118,TODAY())+COUNTIFS(D118,"&gt;=36526",D118,TODAY())+COUNTIFS(E118,"&gt;=36526",E118,TODAY())+COUNTIFS(F118,"&gt;=36526",F118,TODAY())&gt;0),1,0)</x:f>
        <x:v>0</x:v>
      </x:c>
      <x:c r="Q118" t="n">
        <x:f>Q117+IF(AND(A118&lt;&gt;"",COUNTIFS(C118,"&gt;"&amp;TODAY(),C118,"&lt;="&amp;TODAY()+30)+COUNTIFS(D118,"&gt;"&amp;TODAY(),D118,"&lt;="&amp;TODAY()+30)+COUNTIFS(E118,"&gt;"&amp;TODAY(),E118,"&lt;="&amp;TODAY()+30)+COUNTIFS(F118,"&gt;"&amp;TODAY(),F118,"&lt;="&amp;TODAY()+30)&gt;0),1,0)</x:f>
        <x:v>0</x:v>
      </x:c>
      <x:c r="R118" t="n">
        <x:f>R117+IF(OR(LEFT(H118,15)="Missing dates; ",LEFT(H118,16)="Add N/A reason; ",H118="Add dates",H118="Add registration",H118="Check date format"),1,0)</x:f>
        <x:v>0</x:v>
      </x:c>
      <x:c r="S118" t="n">
        <x:f>S117+IF(COUNTIFS(C118:F118,"Reviewed N/A")&gt;0,1,0)</x:f>
        <x:v>0</x:v>
      </x:c>
    </x:row>
    <x:row r="119" ht="48" customHeight="1">
      <x:c r="A119" s="52"/>
      <x:c r="B119" s="52"/>
      <x:c r="C119" s="53"/>
      <x:c r="D119" s="53"/>
      <x:c r="E119" s="53"/>
      <x:c r="F119" s="53"/>
      <x:c r="G119" s="52"/>
      <x:c r="H119" s="21" t="str">
        <x:f>IF(COUNTA(A119:G119,I119)=0,"",IF(A119="","Add registration",IF(OR(COUNTA(C119:F119)&gt;COUNT(C119:F119)+COUNTIFS(C119:F119,"Reviewed N/A"),AND(COUNT(C119:F119)&gt;0,OR(MIN(C119:F119)&lt;36526,MAX(C119:F119)&gt;109574))),"Check date format",IF(AND(COUNTIFS(C119:F119,"Reviewed N/A")&gt;0,I119=""),"Add N/A reason; ","")&amp;IF(COUNT(C119:F119)=0,IF(COUNTIFS(C119:F119,"Reviewed N/A")=4,"No applicable dates recorded","Add dates"),IF(COUNT(C119:F119)+COUNTIFS(C119:F119,"Reviewed N/A")&lt;4,"Missing dates; ","")&amp;IF(MIN(C119:F119)&lt;TODAY(),"Overdue: ",IF(MIN(C119:F119)=TODAY(),"Due today: ",IF(MIN(C119:F119)&lt;=TODAY()+30,"Due within 30 days: ","Next: ")))&amp;INDEX($C$8:$F$8,1,MATCH(MIN(C119:F119),C119:F119,0))&amp;" "&amp;TEXT(MIN(C119:F119),"dd mmm yyyy")))))</x:f>
      </x:c>
      <x:c r="I119" s="52"/>
      <x:c r="J119" t="str">
        <x:f>IF(AND(A119&lt;&gt;"",COUNTIFS(C119,"&gt;=36526",C119,"&lt;"&amp;TODAY())+COUNTIFS(D119,"&gt;=36526",D119,"&lt;"&amp;TODAY())+COUNTIFS(E119,"&gt;=36526",E119,"&lt;"&amp;TODAY())+COUNTIFS(F119,"&gt;=36526",F119,"&lt;"&amp;TODAY())&gt;0),O119,"")</x:f>
      </x:c>
      <x:c r="K119" t="str">
        <x:f>IF(AND(A119&lt;&gt;"",COUNTIFS(C119,"&gt;=36526",C119,TODAY())+COUNTIFS(D119,"&gt;=36526",D119,TODAY())+COUNTIFS(E119,"&gt;=36526",E119,TODAY())+COUNTIFS(F119,"&gt;=36526",F119,TODAY())&gt;0),P119,"")</x:f>
      </x:c>
      <x:c r="L119" t="str">
        <x:f>IF(AND(A119&lt;&gt;"",COUNTIFS(C119,"&gt;"&amp;TODAY(),C119,"&lt;="&amp;TODAY()+30)+COUNTIFS(D119,"&gt;"&amp;TODAY(),D119,"&lt;="&amp;TODAY()+30)+COUNTIFS(E119,"&gt;"&amp;TODAY(),E119,"&lt;="&amp;TODAY()+30)+COUNTIFS(F119,"&gt;"&amp;TODAY(),F119,"&lt;="&amp;TODAY()+30)&gt;0),Q119,"")</x:f>
      </x:c>
      <x:c r="M119" t="str">
        <x:f>IF(OR(LEFT(H119,15)="Missing dates; ",LEFT(H119,16)="Add N/A reason; ",H119="Add dates",H119="Add registration",H119="Check date format"),R119,"")</x:f>
      </x:c>
      <x:c r="N119" t="str">
        <x:f>IF(COUNTIFS(C119:F119,"Reviewed N/A")&gt;0,S119,"")</x:f>
      </x:c>
      <x:c r="O119" t="n">
        <x:f>O118+IF(AND(A119&lt;&gt;"",COUNTIFS(C119,"&gt;=36526",C119,"&lt;"&amp;TODAY())+COUNTIFS(D119,"&gt;=36526",D119,"&lt;"&amp;TODAY())+COUNTIFS(E119,"&gt;=36526",E119,"&lt;"&amp;TODAY())+COUNTIFS(F119,"&gt;=36526",F119,"&lt;"&amp;TODAY())&gt;0),1,0)</x:f>
        <x:v>0</x:v>
      </x:c>
      <x:c r="P119" t="n">
        <x:f>P118+IF(AND(A119&lt;&gt;"",COUNTIFS(C119,"&gt;=36526",C119,TODAY())+COUNTIFS(D119,"&gt;=36526",D119,TODAY())+COUNTIFS(E119,"&gt;=36526",E119,TODAY())+COUNTIFS(F119,"&gt;=36526",F119,TODAY())&gt;0),1,0)</x:f>
        <x:v>0</x:v>
      </x:c>
      <x:c r="Q119" t="n">
        <x:f>Q118+IF(AND(A119&lt;&gt;"",COUNTIFS(C119,"&gt;"&amp;TODAY(),C119,"&lt;="&amp;TODAY()+30)+COUNTIFS(D119,"&gt;"&amp;TODAY(),D119,"&lt;="&amp;TODAY()+30)+COUNTIFS(E119,"&gt;"&amp;TODAY(),E119,"&lt;="&amp;TODAY()+30)+COUNTIFS(F119,"&gt;"&amp;TODAY(),F119,"&lt;="&amp;TODAY()+30)&gt;0),1,0)</x:f>
        <x:v>0</x:v>
      </x:c>
      <x:c r="R119" t="n">
        <x:f>R118+IF(OR(LEFT(H119,15)="Missing dates; ",LEFT(H119,16)="Add N/A reason; ",H119="Add dates",H119="Add registration",H119="Check date format"),1,0)</x:f>
        <x:v>0</x:v>
      </x:c>
      <x:c r="S119" t="n">
        <x:f>S118+IF(COUNTIFS(C119:F119,"Reviewed N/A")&gt;0,1,0)</x:f>
        <x:v>0</x:v>
      </x:c>
    </x:row>
    <x:row r="120" ht="48" customHeight="1">
      <x:c r="A120" s="52"/>
      <x:c r="B120" s="52"/>
      <x:c r="C120" s="53"/>
      <x:c r="D120" s="53"/>
      <x:c r="E120" s="53"/>
      <x:c r="F120" s="53"/>
      <x:c r="G120" s="52"/>
      <x:c r="H120" s="21" t="str">
        <x:f>IF(COUNTA(A120:G120,I120)=0,"",IF(A120="","Add registration",IF(OR(COUNTA(C120:F120)&gt;COUNT(C120:F120)+COUNTIFS(C120:F120,"Reviewed N/A"),AND(COUNT(C120:F120)&gt;0,OR(MIN(C120:F120)&lt;36526,MAX(C120:F120)&gt;109574))),"Check date format",IF(AND(COUNTIFS(C120:F120,"Reviewed N/A")&gt;0,I120=""),"Add N/A reason; ","")&amp;IF(COUNT(C120:F120)=0,IF(COUNTIFS(C120:F120,"Reviewed N/A")=4,"No applicable dates recorded","Add dates"),IF(COUNT(C120:F120)+COUNTIFS(C120:F120,"Reviewed N/A")&lt;4,"Missing dates; ","")&amp;IF(MIN(C120:F120)&lt;TODAY(),"Overdue: ",IF(MIN(C120:F120)=TODAY(),"Due today: ",IF(MIN(C120:F120)&lt;=TODAY()+30,"Due within 30 days: ","Next: ")))&amp;INDEX($C$8:$F$8,1,MATCH(MIN(C120:F120),C120:F120,0))&amp;" "&amp;TEXT(MIN(C120:F120),"dd mmm yyyy")))))</x:f>
      </x:c>
      <x:c r="I120" s="52"/>
      <x:c r="J120" t="str">
        <x:f>IF(AND(A120&lt;&gt;"",COUNTIFS(C120,"&gt;=36526",C120,"&lt;"&amp;TODAY())+COUNTIFS(D120,"&gt;=36526",D120,"&lt;"&amp;TODAY())+COUNTIFS(E120,"&gt;=36526",E120,"&lt;"&amp;TODAY())+COUNTIFS(F120,"&gt;=36526",F120,"&lt;"&amp;TODAY())&gt;0),O120,"")</x:f>
      </x:c>
      <x:c r="K120" t="str">
        <x:f>IF(AND(A120&lt;&gt;"",COUNTIFS(C120,"&gt;=36526",C120,TODAY())+COUNTIFS(D120,"&gt;=36526",D120,TODAY())+COUNTIFS(E120,"&gt;=36526",E120,TODAY())+COUNTIFS(F120,"&gt;=36526",F120,TODAY())&gt;0),P120,"")</x:f>
      </x:c>
      <x:c r="L120" t="str">
        <x:f>IF(AND(A120&lt;&gt;"",COUNTIFS(C120,"&gt;"&amp;TODAY(),C120,"&lt;="&amp;TODAY()+30)+COUNTIFS(D120,"&gt;"&amp;TODAY(),D120,"&lt;="&amp;TODAY()+30)+COUNTIFS(E120,"&gt;"&amp;TODAY(),E120,"&lt;="&amp;TODAY()+30)+COUNTIFS(F120,"&gt;"&amp;TODAY(),F120,"&lt;="&amp;TODAY()+30)&gt;0),Q120,"")</x:f>
      </x:c>
      <x:c r="M120" t="str">
        <x:f>IF(OR(LEFT(H120,15)="Missing dates; ",LEFT(H120,16)="Add N/A reason; ",H120="Add dates",H120="Add registration",H120="Check date format"),R120,"")</x:f>
      </x:c>
      <x:c r="N120" t="str">
        <x:f>IF(COUNTIFS(C120:F120,"Reviewed N/A")&gt;0,S120,"")</x:f>
      </x:c>
      <x:c r="O120" t="n">
        <x:f>O119+IF(AND(A120&lt;&gt;"",COUNTIFS(C120,"&gt;=36526",C120,"&lt;"&amp;TODAY())+COUNTIFS(D120,"&gt;=36526",D120,"&lt;"&amp;TODAY())+COUNTIFS(E120,"&gt;=36526",E120,"&lt;"&amp;TODAY())+COUNTIFS(F120,"&gt;=36526",F120,"&lt;"&amp;TODAY())&gt;0),1,0)</x:f>
        <x:v>0</x:v>
      </x:c>
      <x:c r="P120" t="n">
        <x:f>P119+IF(AND(A120&lt;&gt;"",COUNTIFS(C120,"&gt;=36526",C120,TODAY())+COUNTIFS(D120,"&gt;=36526",D120,TODAY())+COUNTIFS(E120,"&gt;=36526",E120,TODAY())+COUNTIFS(F120,"&gt;=36526",F120,TODAY())&gt;0),1,0)</x:f>
        <x:v>0</x:v>
      </x:c>
      <x:c r="Q120" t="n">
        <x:f>Q119+IF(AND(A120&lt;&gt;"",COUNTIFS(C120,"&gt;"&amp;TODAY(),C120,"&lt;="&amp;TODAY()+30)+COUNTIFS(D120,"&gt;"&amp;TODAY(),D120,"&lt;="&amp;TODAY()+30)+COUNTIFS(E120,"&gt;"&amp;TODAY(),E120,"&lt;="&amp;TODAY()+30)+COUNTIFS(F120,"&gt;"&amp;TODAY(),F120,"&lt;="&amp;TODAY()+30)&gt;0),1,0)</x:f>
        <x:v>0</x:v>
      </x:c>
      <x:c r="R120" t="n">
        <x:f>R119+IF(OR(LEFT(H120,15)="Missing dates; ",LEFT(H120,16)="Add N/A reason; ",H120="Add dates",H120="Add registration",H120="Check date format"),1,0)</x:f>
        <x:v>0</x:v>
      </x:c>
      <x:c r="S120" t="n">
        <x:f>S119+IF(COUNTIFS(C120:F120,"Reviewed N/A")&gt;0,1,0)</x:f>
        <x:v>0</x:v>
      </x:c>
    </x:row>
    <x:row r="121" ht="48" customHeight="1">
      <x:c r="A121" s="52"/>
      <x:c r="B121" s="52"/>
      <x:c r="C121" s="53"/>
      <x:c r="D121" s="53"/>
      <x:c r="E121" s="53"/>
      <x:c r="F121" s="53"/>
      <x:c r="G121" s="52"/>
      <x:c r="H121" s="21" t="str">
        <x:f>IF(COUNTA(A121:G121,I121)=0,"",IF(A121="","Add registration",IF(OR(COUNTA(C121:F121)&gt;COUNT(C121:F121)+COUNTIFS(C121:F121,"Reviewed N/A"),AND(COUNT(C121:F121)&gt;0,OR(MIN(C121:F121)&lt;36526,MAX(C121:F121)&gt;109574))),"Check date format",IF(AND(COUNTIFS(C121:F121,"Reviewed N/A")&gt;0,I121=""),"Add N/A reason; ","")&amp;IF(COUNT(C121:F121)=0,IF(COUNTIFS(C121:F121,"Reviewed N/A")=4,"No applicable dates recorded","Add dates"),IF(COUNT(C121:F121)+COUNTIFS(C121:F121,"Reviewed N/A")&lt;4,"Missing dates; ","")&amp;IF(MIN(C121:F121)&lt;TODAY(),"Overdue: ",IF(MIN(C121:F121)=TODAY(),"Due today: ",IF(MIN(C121:F121)&lt;=TODAY()+30,"Due within 30 days: ","Next: ")))&amp;INDEX($C$8:$F$8,1,MATCH(MIN(C121:F121),C121:F121,0))&amp;" "&amp;TEXT(MIN(C121:F121),"dd mmm yyyy")))))</x:f>
      </x:c>
      <x:c r="I121" s="52"/>
      <x:c r="J121" t="str">
        <x:f>IF(AND(A121&lt;&gt;"",COUNTIFS(C121,"&gt;=36526",C121,"&lt;"&amp;TODAY())+COUNTIFS(D121,"&gt;=36526",D121,"&lt;"&amp;TODAY())+COUNTIFS(E121,"&gt;=36526",E121,"&lt;"&amp;TODAY())+COUNTIFS(F121,"&gt;=36526",F121,"&lt;"&amp;TODAY())&gt;0),O121,"")</x:f>
      </x:c>
      <x:c r="K121" t="str">
        <x:f>IF(AND(A121&lt;&gt;"",COUNTIFS(C121,"&gt;=36526",C121,TODAY())+COUNTIFS(D121,"&gt;=36526",D121,TODAY())+COUNTIFS(E121,"&gt;=36526",E121,TODAY())+COUNTIFS(F121,"&gt;=36526",F121,TODAY())&gt;0),P121,"")</x:f>
      </x:c>
      <x:c r="L121" t="str">
        <x:f>IF(AND(A121&lt;&gt;"",COUNTIFS(C121,"&gt;"&amp;TODAY(),C121,"&lt;="&amp;TODAY()+30)+COUNTIFS(D121,"&gt;"&amp;TODAY(),D121,"&lt;="&amp;TODAY()+30)+COUNTIFS(E121,"&gt;"&amp;TODAY(),E121,"&lt;="&amp;TODAY()+30)+COUNTIFS(F121,"&gt;"&amp;TODAY(),F121,"&lt;="&amp;TODAY()+30)&gt;0),Q121,"")</x:f>
      </x:c>
      <x:c r="M121" t="str">
        <x:f>IF(OR(LEFT(H121,15)="Missing dates; ",LEFT(H121,16)="Add N/A reason; ",H121="Add dates",H121="Add registration",H121="Check date format"),R121,"")</x:f>
      </x:c>
      <x:c r="N121" t="str">
        <x:f>IF(COUNTIFS(C121:F121,"Reviewed N/A")&gt;0,S121,"")</x:f>
      </x:c>
      <x:c r="O121" t="n">
        <x:f>O120+IF(AND(A121&lt;&gt;"",COUNTIFS(C121,"&gt;=36526",C121,"&lt;"&amp;TODAY())+COUNTIFS(D121,"&gt;=36526",D121,"&lt;"&amp;TODAY())+COUNTIFS(E121,"&gt;=36526",E121,"&lt;"&amp;TODAY())+COUNTIFS(F121,"&gt;=36526",F121,"&lt;"&amp;TODAY())&gt;0),1,0)</x:f>
        <x:v>0</x:v>
      </x:c>
      <x:c r="P121" t="n">
        <x:f>P120+IF(AND(A121&lt;&gt;"",COUNTIFS(C121,"&gt;=36526",C121,TODAY())+COUNTIFS(D121,"&gt;=36526",D121,TODAY())+COUNTIFS(E121,"&gt;=36526",E121,TODAY())+COUNTIFS(F121,"&gt;=36526",F121,TODAY())&gt;0),1,0)</x:f>
        <x:v>0</x:v>
      </x:c>
      <x:c r="Q121" t="n">
        <x:f>Q120+IF(AND(A121&lt;&gt;"",COUNTIFS(C121,"&gt;"&amp;TODAY(),C121,"&lt;="&amp;TODAY()+30)+COUNTIFS(D121,"&gt;"&amp;TODAY(),D121,"&lt;="&amp;TODAY()+30)+COUNTIFS(E121,"&gt;"&amp;TODAY(),E121,"&lt;="&amp;TODAY()+30)+COUNTIFS(F121,"&gt;"&amp;TODAY(),F121,"&lt;="&amp;TODAY()+30)&gt;0),1,0)</x:f>
        <x:v>0</x:v>
      </x:c>
      <x:c r="R121" t="n">
        <x:f>R120+IF(OR(LEFT(H121,15)="Missing dates; ",LEFT(H121,16)="Add N/A reason; ",H121="Add dates",H121="Add registration",H121="Check date format"),1,0)</x:f>
        <x:v>0</x:v>
      </x:c>
      <x:c r="S121" t="n">
        <x:f>S120+IF(COUNTIFS(C121:F121,"Reviewed N/A")&gt;0,1,0)</x:f>
        <x:v>0</x:v>
      </x:c>
    </x:row>
    <x:row r="122" ht="48" customHeight="1">
      <x:c r="A122" s="52"/>
      <x:c r="B122" s="52"/>
      <x:c r="C122" s="53"/>
      <x:c r="D122" s="53"/>
      <x:c r="E122" s="53"/>
      <x:c r="F122" s="53"/>
      <x:c r="G122" s="52"/>
      <x:c r="H122" s="21" t="str">
        <x:f>IF(COUNTA(A122:G122,I122)=0,"",IF(A122="","Add registration",IF(OR(COUNTA(C122:F122)&gt;COUNT(C122:F122)+COUNTIFS(C122:F122,"Reviewed N/A"),AND(COUNT(C122:F122)&gt;0,OR(MIN(C122:F122)&lt;36526,MAX(C122:F122)&gt;109574))),"Check date format",IF(AND(COUNTIFS(C122:F122,"Reviewed N/A")&gt;0,I122=""),"Add N/A reason; ","")&amp;IF(COUNT(C122:F122)=0,IF(COUNTIFS(C122:F122,"Reviewed N/A")=4,"No applicable dates recorded","Add dates"),IF(COUNT(C122:F122)+COUNTIFS(C122:F122,"Reviewed N/A")&lt;4,"Missing dates; ","")&amp;IF(MIN(C122:F122)&lt;TODAY(),"Overdue: ",IF(MIN(C122:F122)=TODAY(),"Due today: ",IF(MIN(C122:F122)&lt;=TODAY()+30,"Due within 30 days: ","Next: ")))&amp;INDEX($C$8:$F$8,1,MATCH(MIN(C122:F122),C122:F122,0))&amp;" "&amp;TEXT(MIN(C122:F122),"dd mmm yyyy")))))</x:f>
      </x:c>
      <x:c r="I122" s="52"/>
      <x:c r="J122" t="str">
        <x:f>IF(AND(A122&lt;&gt;"",COUNTIFS(C122,"&gt;=36526",C122,"&lt;"&amp;TODAY())+COUNTIFS(D122,"&gt;=36526",D122,"&lt;"&amp;TODAY())+COUNTIFS(E122,"&gt;=36526",E122,"&lt;"&amp;TODAY())+COUNTIFS(F122,"&gt;=36526",F122,"&lt;"&amp;TODAY())&gt;0),O122,"")</x:f>
      </x:c>
      <x:c r="K122" t="str">
        <x:f>IF(AND(A122&lt;&gt;"",COUNTIFS(C122,"&gt;=36526",C122,TODAY())+COUNTIFS(D122,"&gt;=36526",D122,TODAY())+COUNTIFS(E122,"&gt;=36526",E122,TODAY())+COUNTIFS(F122,"&gt;=36526",F122,TODAY())&gt;0),P122,"")</x:f>
      </x:c>
      <x:c r="L122" t="str">
        <x:f>IF(AND(A122&lt;&gt;"",COUNTIFS(C122,"&gt;"&amp;TODAY(),C122,"&lt;="&amp;TODAY()+30)+COUNTIFS(D122,"&gt;"&amp;TODAY(),D122,"&lt;="&amp;TODAY()+30)+COUNTIFS(E122,"&gt;"&amp;TODAY(),E122,"&lt;="&amp;TODAY()+30)+COUNTIFS(F122,"&gt;"&amp;TODAY(),F122,"&lt;="&amp;TODAY()+30)&gt;0),Q122,"")</x:f>
      </x:c>
      <x:c r="M122" t="str">
        <x:f>IF(OR(LEFT(H122,15)="Missing dates; ",LEFT(H122,16)="Add N/A reason; ",H122="Add dates",H122="Add registration",H122="Check date format"),R122,"")</x:f>
      </x:c>
      <x:c r="N122" t="str">
        <x:f>IF(COUNTIFS(C122:F122,"Reviewed N/A")&gt;0,S122,"")</x:f>
      </x:c>
      <x:c r="O122" t="n">
        <x:f>O121+IF(AND(A122&lt;&gt;"",COUNTIFS(C122,"&gt;=36526",C122,"&lt;"&amp;TODAY())+COUNTIFS(D122,"&gt;=36526",D122,"&lt;"&amp;TODAY())+COUNTIFS(E122,"&gt;=36526",E122,"&lt;"&amp;TODAY())+COUNTIFS(F122,"&gt;=36526",F122,"&lt;"&amp;TODAY())&gt;0),1,0)</x:f>
        <x:v>0</x:v>
      </x:c>
      <x:c r="P122" t="n">
        <x:f>P121+IF(AND(A122&lt;&gt;"",COUNTIFS(C122,"&gt;=36526",C122,TODAY())+COUNTIFS(D122,"&gt;=36526",D122,TODAY())+COUNTIFS(E122,"&gt;=36526",E122,TODAY())+COUNTIFS(F122,"&gt;=36526",F122,TODAY())&gt;0),1,0)</x:f>
        <x:v>0</x:v>
      </x:c>
      <x:c r="Q122" t="n">
        <x:f>Q121+IF(AND(A122&lt;&gt;"",COUNTIFS(C122,"&gt;"&amp;TODAY(),C122,"&lt;="&amp;TODAY()+30)+COUNTIFS(D122,"&gt;"&amp;TODAY(),D122,"&lt;="&amp;TODAY()+30)+COUNTIFS(E122,"&gt;"&amp;TODAY(),E122,"&lt;="&amp;TODAY()+30)+COUNTIFS(F122,"&gt;"&amp;TODAY(),F122,"&lt;="&amp;TODAY()+30)&gt;0),1,0)</x:f>
        <x:v>0</x:v>
      </x:c>
      <x:c r="R122" t="n">
        <x:f>R121+IF(OR(LEFT(H122,15)="Missing dates; ",LEFT(H122,16)="Add N/A reason; ",H122="Add dates",H122="Add registration",H122="Check date format"),1,0)</x:f>
        <x:v>0</x:v>
      </x:c>
      <x:c r="S122" t="n">
        <x:f>S121+IF(COUNTIFS(C122:F122,"Reviewed N/A")&gt;0,1,0)</x:f>
        <x:v>0</x:v>
      </x:c>
    </x:row>
    <x:row r="123" ht="48" customHeight="1">
      <x:c r="A123" s="52"/>
      <x:c r="B123" s="52"/>
      <x:c r="C123" s="53"/>
      <x:c r="D123" s="53"/>
      <x:c r="E123" s="53"/>
      <x:c r="F123" s="53"/>
      <x:c r="G123" s="52"/>
      <x:c r="H123" s="21" t="str">
        <x:f>IF(COUNTA(A123:G123,I123)=0,"",IF(A123="","Add registration",IF(OR(COUNTA(C123:F123)&gt;COUNT(C123:F123)+COUNTIFS(C123:F123,"Reviewed N/A"),AND(COUNT(C123:F123)&gt;0,OR(MIN(C123:F123)&lt;36526,MAX(C123:F123)&gt;109574))),"Check date format",IF(AND(COUNTIFS(C123:F123,"Reviewed N/A")&gt;0,I123=""),"Add N/A reason; ","")&amp;IF(COUNT(C123:F123)=0,IF(COUNTIFS(C123:F123,"Reviewed N/A")=4,"No applicable dates recorded","Add dates"),IF(COUNT(C123:F123)+COUNTIFS(C123:F123,"Reviewed N/A")&lt;4,"Missing dates; ","")&amp;IF(MIN(C123:F123)&lt;TODAY(),"Overdue: ",IF(MIN(C123:F123)=TODAY(),"Due today: ",IF(MIN(C123:F123)&lt;=TODAY()+30,"Due within 30 days: ","Next: ")))&amp;INDEX($C$8:$F$8,1,MATCH(MIN(C123:F123),C123:F123,0))&amp;" "&amp;TEXT(MIN(C123:F123),"dd mmm yyyy")))))</x:f>
      </x:c>
      <x:c r="I123" s="52"/>
      <x:c r="J123" t="str">
        <x:f>IF(AND(A123&lt;&gt;"",COUNTIFS(C123,"&gt;=36526",C123,"&lt;"&amp;TODAY())+COUNTIFS(D123,"&gt;=36526",D123,"&lt;"&amp;TODAY())+COUNTIFS(E123,"&gt;=36526",E123,"&lt;"&amp;TODAY())+COUNTIFS(F123,"&gt;=36526",F123,"&lt;"&amp;TODAY())&gt;0),O123,"")</x:f>
      </x:c>
      <x:c r="K123" t="str">
        <x:f>IF(AND(A123&lt;&gt;"",COUNTIFS(C123,"&gt;=36526",C123,TODAY())+COUNTIFS(D123,"&gt;=36526",D123,TODAY())+COUNTIFS(E123,"&gt;=36526",E123,TODAY())+COUNTIFS(F123,"&gt;=36526",F123,TODAY())&gt;0),P123,"")</x:f>
      </x:c>
      <x:c r="L123" t="str">
        <x:f>IF(AND(A123&lt;&gt;"",COUNTIFS(C123,"&gt;"&amp;TODAY(),C123,"&lt;="&amp;TODAY()+30)+COUNTIFS(D123,"&gt;"&amp;TODAY(),D123,"&lt;="&amp;TODAY()+30)+COUNTIFS(E123,"&gt;"&amp;TODAY(),E123,"&lt;="&amp;TODAY()+30)+COUNTIFS(F123,"&gt;"&amp;TODAY(),F123,"&lt;="&amp;TODAY()+30)&gt;0),Q123,"")</x:f>
      </x:c>
      <x:c r="M123" t="str">
        <x:f>IF(OR(LEFT(H123,15)="Missing dates; ",LEFT(H123,16)="Add N/A reason; ",H123="Add dates",H123="Add registration",H123="Check date format"),R123,"")</x:f>
      </x:c>
      <x:c r="N123" t="str">
        <x:f>IF(COUNTIFS(C123:F123,"Reviewed N/A")&gt;0,S123,"")</x:f>
      </x:c>
      <x:c r="O123" t="n">
        <x:f>O122+IF(AND(A123&lt;&gt;"",COUNTIFS(C123,"&gt;=36526",C123,"&lt;"&amp;TODAY())+COUNTIFS(D123,"&gt;=36526",D123,"&lt;"&amp;TODAY())+COUNTIFS(E123,"&gt;=36526",E123,"&lt;"&amp;TODAY())+COUNTIFS(F123,"&gt;=36526",F123,"&lt;"&amp;TODAY())&gt;0),1,0)</x:f>
        <x:v>0</x:v>
      </x:c>
      <x:c r="P123" t="n">
        <x:f>P122+IF(AND(A123&lt;&gt;"",COUNTIFS(C123,"&gt;=36526",C123,TODAY())+COUNTIFS(D123,"&gt;=36526",D123,TODAY())+COUNTIFS(E123,"&gt;=36526",E123,TODAY())+COUNTIFS(F123,"&gt;=36526",F123,TODAY())&gt;0),1,0)</x:f>
        <x:v>0</x:v>
      </x:c>
      <x:c r="Q123" t="n">
        <x:f>Q122+IF(AND(A123&lt;&gt;"",COUNTIFS(C123,"&gt;"&amp;TODAY(),C123,"&lt;="&amp;TODAY()+30)+COUNTIFS(D123,"&gt;"&amp;TODAY(),D123,"&lt;="&amp;TODAY()+30)+COUNTIFS(E123,"&gt;"&amp;TODAY(),E123,"&lt;="&amp;TODAY()+30)+COUNTIFS(F123,"&gt;"&amp;TODAY(),F123,"&lt;="&amp;TODAY()+30)&gt;0),1,0)</x:f>
        <x:v>0</x:v>
      </x:c>
      <x:c r="R123" t="n">
        <x:f>R122+IF(OR(LEFT(H123,15)="Missing dates; ",LEFT(H123,16)="Add N/A reason; ",H123="Add dates",H123="Add registration",H123="Check date format"),1,0)</x:f>
        <x:v>0</x:v>
      </x:c>
      <x:c r="S123" t="n">
        <x:f>S122+IF(COUNTIFS(C123:F123,"Reviewed N/A")&gt;0,1,0)</x:f>
        <x:v>0</x:v>
      </x:c>
    </x:row>
    <x:row r="124" ht="48" customHeight="1">
      <x:c r="A124" s="52"/>
      <x:c r="B124" s="52"/>
      <x:c r="C124" s="53"/>
      <x:c r="D124" s="53"/>
      <x:c r="E124" s="53"/>
      <x:c r="F124" s="53"/>
      <x:c r="G124" s="52"/>
      <x:c r="H124" s="21" t="str">
        <x:f>IF(COUNTA(A124:G124,I124)=0,"",IF(A124="","Add registration",IF(OR(COUNTA(C124:F124)&gt;COUNT(C124:F124)+COUNTIFS(C124:F124,"Reviewed N/A"),AND(COUNT(C124:F124)&gt;0,OR(MIN(C124:F124)&lt;36526,MAX(C124:F124)&gt;109574))),"Check date format",IF(AND(COUNTIFS(C124:F124,"Reviewed N/A")&gt;0,I124=""),"Add N/A reason; ","")&amp;IF(COUNT(C124:F124)=0,IF(COUNTIFS(C124:F124,"Reviewed N/A")=4,"No applicable dates recorded","Add dates"),IF(COUNT(C124:F124)+COUNTIFS(C124:F124,"Reviewed N/A")&lt;4,"Missing dates; ","")&amp;IF(MIN(C124:F124)&lt;TODAY(),"Overdue: ",IF(MIN(C124:F124)=TODAY(),"Due today: ",IF(MIN(C124:F124)&lt;=TODAY()+30,"Due within 30 days: ","Next: ")))&amp;INDEX($C$8:$F$8,1,MATCH(MIN(C124:F124),C124:F124,0))&amp;" "&amp;TEXT(MIN(C124:F124),"dd mmm yyyy")))))</x:f>
      </x:c>
      <x:c r="I124" s="52"/>
      <x:c r="J124" t="str">
        <x:f>IF(AND(A124&lt;&gt;"",COUNTIFS(C124,"&gt;=36526",C124,"&lt;"&amp;TODAY())+COUNTIFS(D124,"&gt;=36526",D124,"&lt;"&amp;TODAY())+COUNTIFS(E124,"&gt;=36526",E124,"&lt;"&amp;TODAY())+COUNTIFS(F124,"&gt;=36526",F124,"&lt;"&amp;TODAY())&gt;0),O124,"")</x:f>
      </x:c>
      <x:c r="K124" t="str">
        <x:f>IF(AND(A124&lt;&gt;"",COUNTIFS(C124,"&gt;=36526",C124,TODAY())+COUNTIFS(D124,"&gt;=36526",D124,TODAY())+COUNTIFS(E124,"&gt;=36526",E124,TODAY())+COUNTIFS(F124,"&gt;=36526",F124,TODAY())&gt;0),P124,"")</x:f>
      </x:c>
      <x:c r="L124" t="str">
        <x:f>IF(AND(A124&lt;&gt;"",COUNTIFS(C124,"&gt;"&amp;TODAY(),C124,"&lt;="&amp;TODAY()+30)+COUNTIFS(D124,"&gt;"&amp;TODAY(),D124,"&lt;="&amp;TODAY()+30)+COUNTIFS(E124,"&gt;"&amp;TODAY(),E124,"&lt;="&amp;TODAY()+30)+COUNTIFS(F124,"&gt;"&amp;TODAY(),F124,"&lt;="&amp;TODAY()+30)&gt;0),Q124,"")</x:f>
      </x:c>
      <x:c r="M124" t="str">
        <x:f>IF(OR(LEFT(H124,15)="Missing dates; ",LEFT(H124,16)="Add N/A reason; ",H124="Add dates",H124="Add registration",H124="Check date format"),R124,"")</x:f>
      </x:c>
      <x:c r="N124" t="str">
        <x:f>IF(COUNTIFS(C124:F124,"Reviewed N/A")&gt;0,S124,"")</x:f>
      </x:c>
      <x:c r="O124" t="n">
        <x:f>O123+IF(AND(A124&lt;&gt;"",COUNTIFS(C124,"&gt;=36526",C124,"&lt;"&amp;TODAY())+COUNTIFS(D124,"&gt;=36526",D124,"&lt;"&amp;TODAY())+COUNTIFS(E124,"&gt;=36526",E124,"&lt;"&amp;TODAY())+COUNTIFS(F124,"&gt;=36526",F124,"&lt;"&amp;TODAY())&gt;0),1,0)</x:f>
        <x:v>0</x:v>
      </x:c>
      <x:c r="P124" t="n">
        <x:f>P123+IF(AND(A124&lt;&gt;"",COUNTIFS(C124,"&gt;=36526",C124,TODAY())+COUNTIFS(D124,"&gt;=36526",D124,TODAY())+COUNTIFS(E124,"&gt;=36526",E124,TODAY())+COUNTIFS(F124,"&gt;=36526",F124,TODAY())&gt;0),1,0)</x:f>
        <x:v>0</x:v>
      </x:c>
      <x:c r="Q124" t="n">
        <x:f>Q123+IF(AND(A124&lt;&gt;"",COUNTIFS(C124,"&gt;"&amp;TODAY(),C124,"&lt;="&amp;TODAY()+30)+COUNTIFS(D124,"&gt;"&amp;TODAY(),D124,"&lt;="&amp;TODAY()+30)+COUNTIFS(E124,"&gt;"&amp;TODAY(),E124,"&lt;="&amp;TODAY()+30)+COUNTIFS(F124,"&gt;"&amp;TODAY(),F124,"&lt;="&amp;TODAY()+30)&gt;0),1,0)</x:f>
        <x:v>0</x:v>
      </x:c>
      <x:c r="R124" t="n">
        <x:f>R123+IF(OR(LEFT(H124,15)="Missing dates; ",LEFT(H124,16)="Add N/A reason; ",H124="Add dates",H124="Add registration",H124="Check date format"),1,0)</x:f>
        <x:v>0</x:v>
      </x:c>
      <x:c r="S124" t="n">
        <x:f>S123+IF(COUNTIFS(C124:F124,"Reviewed N/A")&gt;0,1,0)</x:f>
        <x:v>0</x:v>
      </x:c>
    </x:row>
    <x:row r="125" ht="48" customHeight="1">
      <x:c r="A125" s="52"/>
      <x:c r="B125" s="52"/>
      <x:c r="C125" s="53"/>
      <x:c r="D125" s="53"/>
      <x:c r="E125" s="53"/>
      <x:c r="F125" s="53"/>
      <x:c r="G125" s="52"/>
      <x:c r="H125" s="21" t="str">
        <x:f>IF(COUNTA(A125:G125,I125)=0,"",IF(A125="","Add registration",IF(OR(COUNTA(C125:F125)&gt;COUNT(C125:F125)+COUNTIFS(C125:F125,"Reviewed N/A"),AND(COUNT(C125:F125)&gt;0,OR(MIN(C125:F125)&lt;36526,MAX(C125:F125)&gt;109574))),"Check date format",IF(AND(COUNTIFS(C125:F125,"Reviewed N/A")&gt;0,I125=""),"Add N/A reason; ","")&amp;IF(COUNT(C125:F125)=0,IF(COUNTIFS(C125:F125,"Reviewed N/A")=4,"No applicable dates recorded","Add dates"),IF(COUNT(C125:F125)+COUNTIFS(C125:F125,"Reviewed N/A")&lt;4,"Missing dates; ","")&amp;IF(MIN(C125:F125)&lt;TODAY(),"Overdue: ",IF(MIN(C125:F125)=TODAY(),"Due today: ",IF(MIN(C125:F125)&lt;=TODAY()+30,"Due within 30 days: ","Next: ")))&amp;INDEX($C$8:$F$8,1,MATCH(MIN(C125:F125),C125:F125,0))&amp;" "&amp;TEXT(MIN(C125:F125),"dd mmm yyyy")))))</x:f>
      </x:c>
      <x:c r="I125" s="52"/>
      <x:c r="J125" t="str">
        <x:f>IF(AND(A125&lt;&gt;"",COUNTIFS(C125,"&gt;=36526",C125,"&lt;"&amp;TODAY())+COUNTIFS(D125,"&gt;=36526",D125,"&lt;"&amp;TODAY())+COUNTIFS(E125,"&gt;=36526",E125,"&lt;"&amp;TODAY())+COUNTIFS(F125,"&gt;=36526",F125,"&lt;"&amp;TODAY())&gt;0),O125,"")</x:f>
      </x:c>
      <x:c r="K125" t="str">
        <x:f>IF(AND(A125&lt;&gt;"",COUNTIFS(C125,"&gt;=36526",C125,TODAY())+COUNTIFS(D125,"&gt;=36526",D125,TODAY())+COUNTIFS(E125,"&gt;=36526",E125,TODAY())+COUNTIFS(F125,"&gt;=36526",F125,TODAY())&gt;0),P125,"")</x:f>
      </x:c>
      <x:c r="L125" t="str">
        <x:f>IF(AND(A125&lt;&gt;"",COUNTIFS(C125,"&gt;"&amp;TODAY(),C125,"&lt;="&amp;TODAY()+30)+COUNTIFS(D125,"&gt;"&amp;TODAY(),D125,"&lt;="&amp;TODAY()+30)+COUNTIFS(E125,"&gt;"&amp;TODAY(),E125,"&lt;="&amp;TODAY()+30)+COUNTIFS(F125,"&gt;"&amp;TODAY(),F125,"&lt;="&amp;TODAY()+30)&gt;0),Q125,"")</x:f>
      </x:c>
      <x:c r="M125" t="str">
        <x:f>IF(OR(LEFT(H125,15)="Missing dates; ",LEFT(H125,16)="Add N/A reason; ",H125="Add dates",H125="Add registration",H125="Check date format"),R125,"")</x:f>
      </x:c>
      <x:c r="N125" t="str">
        <x:f>IF(COUNTIFS(C125:F125,"Reviewed N/A")&gt;0,S125,"")</x:f>
      </x:c>
      <x:c r="O125" t="n">
        <x:f>O124+IF(AND(A125&lt;&gt;"",COUNTIFS(C125,"&gt;=36526",C125,"&lt;"&amp;TODAY())+COUNTIFS(D125,"&gt;=36526",D125,"&lt;"&amp;TODAY())+COUNTIFS(E125,"&gt;=36526",E125,"&lt;"&amp;TODAY())+COUNTIFS(F125,"&gt;=36526",F125,"&lt;"&amp;TODAY())&gt;0),1,0)</x:f>
        <x:v>0</x:v>
      </x:c>
      <x:c r="P125" t="n">
        <x:f>P124+IF(AND(A125&lt;&gt;"",COUNTIFS(C125,"&gt;=36526",C125,TODAY())+COUNTIFS(D125,"&gt;=36526",D125,TODAY())+COUNTIFS(E125,"&gt;=36526",E125,TODAY())+COUNTIFS(F125,"&gt;=36526",F125,TODAY())&gt;0),1,0)</x:f>
        <x:v>0</x:v>
      </x:c>
      <x:c r="Q125" t="n">
        <x:f>Q124+IF(AND(A125&lt;&gt;"",COUNTIFS(C125,"&gt;"&amp;TODAY(),C125,"&lt;="&amp;TODAY()+30)+COUNTIFS(D125,"&gt;"&amp;TODAY(),D125,"&lt;="&amp;TODAY()+30)+COUNTIFS(E125,"&gt;"&amp;TODAY(),E125,"&lt;="&amp;TODAY()+30)+COUNTIFS(F125,"&gt;"&amp;TODAY(),F125,"&lt;="&amp;TODAY()+30)&gt;0),1,0)</x:f>
        <x:v>0</x:v>
      </x:c>
      <x:c r="R125" t="n">
        <x:f>R124+IF(OR(LEFT(H125,15)="Missing dates; ",LEFT(H125,16)="Add N/A reason; ",H125="Add dates",H125="Add registration",H125="Check date format"),1,0)</x:f>
        <x:v>0</x:v>
      </x:c>
      <x:c r="S125" t="n">
        <x:f>S124+IF(COUNTIFS(C125:F125,"Reviewed N/A")&gt;0,1,0)</x:f>
        <x:v>0</x:v>
      </x:c>
    </x:row>
    <x:row r="126" ht="48" customHeight="1">
      <x:c r="A126" s="52"/>
      <x:c r="B126" s="52"/>
      <x:c r="C126" s="53"/>
      <x:c r="D126" s="53"/>
      <x:c r="E126" s="53"/>
      <x:c r="F126" s="53"/>
      <x:c r="G126" s="52"/>
      <x:c r="H126" s="21" t="str">
        <x:f>IF(COUNTA(A126:G126,I126)=0,"",IF(A126="","Add registration",IF(OR(COUNTA(C126:F126)&gt;COUNT(C126:F126)+COUNTIFS(C126:F126,"Reviewed N/A"),AND(COUNT(C126:F126)&gt;0,OR(MIN(C126:F126)&lt;36526,MAX(C126:F126)&gt;109574))),"Check date format",IF(AND(COUNTIFS(C126:F126,"Reviewed N/A")&gt;0,I126=""),"Add N/A reason; ","")&amp;IF(COUNT(C126:F126)=0,IF(COUNTIFS(C126:F126,"Reviewed N/A")=4,"No applicable dates recorded","Add dates"),IF(COUNT(C126:F126)+COUNTIFS(C126:F126,"Reviewed N/A")&lt;4,"Missing dates; ","")&amp;IF(MIN(C126:F126)&lt;TODAY(),"Overdue: ",IF(MIN(C126:F126)=TODAY(),"Due today: ",IF(MIN(C126:F126)&lt;=TODAY()+30,"Due within 30 days: ","Next: ")))&amp;INDEX($C$8:$F$8,1,MATCH(MIN(C126:F126),C126:F126,0))&amp;" "&amp;TEXT(MIN(C126:F126),"dd mmm yyyy")))))</x:f>
      </x:c>
      <x:c r="I126" s="52"/>
      <x:c r="J126" t="str">
        <x:f>IF(AND(A126&lt;&gt;"",COUNTIFS(C126,"&gt;=36526",C126,"&lt;"&amp;TODAY())+COUNTIFS(D126,"&gt;=36526",D126,"&lt;"&amp;TODAY())+COUNTIFS(E126,"&gt;=36526",E126,"&lt;"&amp;TODAY())+COUNTIFS(F126,"&gt;=36526",F126,"&lt;"&amp;TODAY())&gt;0),O126,"")</x:f>
      </x:c>
      <x:c r="K126" t="str">
        <x:f>IF(AND(A126&lt;&gt;"",COUNTIFS(C126,"&gt;=36526",C126,TODAY())+COUNTIFS(D126,"&gt;=36526",D126,TODAY())+COUNTIFS(E126,"&gt;=36526",E126,TODAY())+COUNTIFS(F126,"&gt;=36526",F126,TODAY())&gt;0),P126,"")</x:f>
      </x:c>
      <x:c r="L126" t="str">
        <x:f>IF(AND(A126&lt;&gt;"",COUNTIFS(C126,"&gt;"&amp;TODAY(),C126,"&lt;="&amp;TODAY()+30)+COUNTIFS(D126,"&gt;"&amp;TODAY(),D126,"&lt;="&amp;TODAY()+30)+COUNTIFS(E126,"&gt;"&amp;TODAY(),E126,"&lt;="&amp;TODAY()+30)+COUNTIFS(F126,"&gt;"&amp;TODAY(),F126,"&lt;="&amp;TODAY()+30)&gt;0),Q126,"")</x:f>
      </x:c>
      <x:c r="M126" t="str">
        <x:f>IF(OR(LEFT(H126,15)="Missing dates; ",LEFT(H126,16)="Add N/A reason; ",H126="Add dates",H126="Add registration",H126="Check date format"),R126,"")</x:f>
      </x:c>
      <x:c r="N126" t="str">
        <x:f>IF(COUNTIFS(C126:F126,"Reviewed N/A")&gt;0,S126,"")</x:f>
      </x:c>
      <x:c r="O126" t="n">
        <x:f>O125+IF(AND(A126&lt;&gt;"",COUNTIFS(C126,"&gt;=36526",C126,"&lt;"&amp;TODAY())+COUNTIFS(D126,"&gt;=36526",D126,"&lt;"&amp;TODAY())+COUNTIFS(E126,"&gt;=36526",E126,"&lt;"&amp;TODAY())+COUNTIFS(F126,"&gt;=36526",F126,"&lt;"&amp;TODAY())&gt;0),1,0)</x:f>
        <x:v>0</x:v>
      </x:c>
      <x:c r="P126" t="n">
        <x:f>P125+IF(AND(A126&lt;&gt;"",COUNTIFS(C126,"&gt;=36526",C126,TODAY())+COUNTIFS(D126,"&gt;=36526",D126,TODAY())+COUNTIFS(E126,"&gt;=36526",E126,TODAY())+COUNTIFS(F126,"&gt;=36526",F126,TODAY())&gt;0),1,0)</x:f>
        <x:v>0</x:v>
      </x:c>
      <x:c r="Q126" t="n">
        <x:f>Q125+IF(AND(A126&lt;&gt;"",COUNTIFS(C126,"&gt;"&amp;TODAY(),C126,"&lt;="&amp;TODAY()+30)+COUNTIFS(D126,"&gt;"&amp;TODAY(),D126,"&lt;="&amp;TODAY()+30)+COUNTIFS(E126,"&gt;"&amp;TODAY(),E126,"&lt;="&amp;TODAY()+30)+COUNTIFS(F126,"&gt;"&amp;TODAY(),F126,"&lt;="&amp;TODAY()+30)&gt;0),1,0)</x:f>
        <x:v>0</x:v>
      </x:c>
      <x:c r="R126" t="n">
        <x:f>R125+IF(OR(LEFT(H126,15)="Missing dates; ",LEFT(H126,16)="Add N/A reason; ",H126="Add dates",H126="Add registration",H126="Check date format"),1,0)</x:f>
        <x:v>0</x:v>
      </x:c>
      <x:c r="S126" t="n">
        <x:f>S125+IF(COUNTIFS(C126:F126,"Reviewed N/A")&gt;0,1,0)</x:f>
        <x:v>0</x:v>
      </x:c>
    </x:row>
    <x:row r="127" ht="48" customHeight="1">
      <x:c r="A127" s="52"/>
      <x:c r="B127" s="52"/>
      <x:c r="C127" s="53"/>
      <x:c r="D127" s="53"/>
      <x:c r="E127" s="53"/>
      <x:c r="F127" s="53"/>
      <x:c r="G127" s="52"/>
      <x:c r="H127" s="21" t="str">
        <x:f>IF(COUNTA(A127:G127,I127)=0,"",IF(A127="","Add registration",IF(OR(COUNTA(C127:F127)&gt;COUNT(C127:F127)+COUNTIFS(C127:F127,"Reviewed N/A"),AND(COUNT(C127:F127)&gt;0,OR(MIN(C127:F127)&lt;36526,MAX(C127:F127)&gt;109574))),"Check date format",IF(AND(COUNTIFS(C127:F127,"Reviewed N/A")&gt;0,I127=""),"Add N/A reason; ","")&amp;IF(COUNT(C127:F127)=0,IF(COUNTIFS(C127:F127,"Reviewed N/A")=4,"No applicable dates recorded","Add dates"),IF(COUNT(C127:F127)+COUNTIFS(C127:F127,"Reviewed N/A")&lt;4,"Missing dates; ","")&amp;IF(MIN(C127:F127)&lt;TODAY(),"Overdue: ",IF(MIN(C127:F127)=TODAY(),"Due today: ",IF(MIN(C127:F127)&lt;=TODAY()+30,"Due within 30 days: ","Next: ")))&amp;INDEX($C$8:$F$8,1,MATCH(MIN(C127:F127),C127:F127,0))&amp;" "&amp;TEXT(MIN(C127:F127),"dd mmm yyyy")))))</x:f>
      </x:c>
      <x:c r="I127" s="52"/>
      <x:c r="J127" t="str">
        <x:f>IF(AND(A127&lt;&gt;"",COUNTIFS(C127,"&gt;=36526",C127,"&lt;"&amp;TODAY())+COUNTIFS(D127,"&gt;=36526",D127,"&lt;"&amp;TODAY())+COUNTIFS(E127,"&gt;=36526",E127,"&lt;"&amp;TODAY())+COUNTIFS(F127,"&gt;=36526",F127,"&lt;"&amp;TODAY())&gt;0),O127,"")</x:f>
      </x:c>
      <x:c r="K127" t="str">
        <x:f>IF(AND(A127&lt;&gt;"",COUNTIFS(C127,"&gt;=36526",C127,TODAY())+COUNTIFS(D127,"&gt;=36526",D127,TODAY())+COUNTIFS(E127,"&gt;=36526",E127,TODAY())+COUNTIFS(F127,"&gt;=36526",F127,TODAY())&gt;0),P127,"")</x:f>
      </x:c>
      <x:c r="L127" t="str">
        <x:f>IF(AND(A127&lt;&gt;"",COUNTIFS(C127,"&gt;"&amp;TODAY(),C127,"&lt;="&amp;TODAY()+30)+COUNTIFS(D127,"&gt;"&amp;TODAY(),D127,"&lt;="&amp;TODAY()+30)+COUNTIFS(E127,"&gt;"&amp;TODAY(),E127,"&lt;="&amp;TODAY()+30)+COUNTIFS(F127,"&gt;"&amp;TODAY(),F127,"&lt;="&amp;TODAY()+30)&gt;0),Q127,"")</x:f>
      </x:c>
      <x:c r="M127" t="str">
        <x:f>IF(OR(LEFT(H127,15)="Missing dates; ",LEFT(H127,16)="Add N/A reason; ",H127="Add dates",H127="Add registration",H127="Check date format"),R127,"")</x:f>
      </x:c>
      <x:c r="N127" t="str">
        <x:f>IF(COUNTIFS(C127:F127,"Reviewed N/A")&gt;0,S127,"")</x:f>
      </x:c>
      <x:c r="O127" t="n">
        <x:f>O126+IF(AND(A127&lt;&gt;"",COUNTIFS(C127,"&gt;=36526",C127,"&lt;"&amp;TODAY())+COUNTIFS(D127,"&gt;=36526",D127,"&lt;"&amp;TODAY())+COUNTIFS(E127,"&gt;=36526",E127,"&lt;"&amp;TODAY())+COUNTIFS(F127,"&gt;=36526",F127,"&lt;"&amp;TODAY())&gt;0),1,0)</x:f>
        <x:v>0</x:v>
      </x:c>
      <x:c r="P127" t="n">
        <x:f>P126+IF(AND(A127&lt;&gt;"",COUNTIFS(C127,"&gt;=36526",C127,TODAY())+COUNTIFS(D127,"&gt;=36526",D127,TODAY())+COUNTIFS(E127,"&gt;=36526",E127,TODAY())+COUNTIFS(F127,"&gt;=36526",F127,TODAY())&gt;0),1,0)</x:f>
        <x:v>0</x:v>
      </x:c>
      <x:c r="Q127" t="n">
        <x:f>Q126+IF(AND(A127&lt;&gt;"",COUNTIFS(C127,"&gt;"&amp;TODAY(),C127,"&lt;="&amp;TODAY()+30)+COUNTIFS(D127,"&gt;"&amp;TODAY(),D127,"&lt;="&amp;TODAY()+30)+COUNTIFS(E127,"&gt;"&amp;TODAY(),E127,"&lt;="&amp;TODAY()+30)+COUNTIFS(F127,"&gt;"&amp;TODAY(),F127,"&lt;="&amp;TODAY()+30)&gt;0),1,0)</x:f>
        <x:v>0</x:v>
      </x:c>
      <x:c r="R127" t="n">
        <x:f>R126+IF(OR(LEFT(H127,15)="Missing dates; ",LEFT(H127,16)="Add N/A reason; ",H127="Add dates",H127="Add registration",H127="Check date format"),1,0)</x:f>
        <x:v>0</x:v>
      </x:c>
      <x:c r="S127" t="n">
        <x:f>S126+IF(COUNTIFS(C127:F127,"Reviewed N/A")&gt;0,1,0)</x:f>
        <x:v>0</x:v>
      </x:c>
    </x:row>
    <x:row r="128" ht="48" customHeight="1">
      <x:c r="A128" s="52"/>
      <x:c r="B128" s="52"/>
      <x:c r="C128" s="53"/>
      <x:c r="D128" s="53"/>
      <x:c r="E128" s="53"/>
      <x:c r="F128" s="53"/>
      <x:c r="G128" s="52"/>
      <x:c r="H128" s="21" t="str">
        <x:f>IF(COUNTA(A128:G128,I128)=0,"",IF(A128="","Add registration",IF(OR(COUNTA(C128:F128)&gt;COUNT(C128:F128)+COUNTIFS(C128:F128,"Reviewed N/A"),AND(COUNT(C128:F128)&gt;0,OR(MIN(C128:F128)&lt;36526,MAX(C128:F128)&gt;109574))),"Check date format",IF(AND(COUNTIFS(C128:F128,"Reviewed N/A")&gt;0,I128=""),"Add N/A reason; ","")&amp;IF(COUNT(C128:F128)=0,IF(COUNTIFS(C128:F128,"Reviewed N/A")=4,"No applicable dates recorded","Add dates"),IF(COUNT(C128:F128)+COUNTIFS(C128:F128,"Reviewed N/A")&lt;4,"Missing dates; ","")&amp;IF(MIN(C128:F128)&lt;TODAY(),"Overdue: ",IF(MIN(C128:F128)=TODAY(),"Due today: ",IF(MIN(C128:F128)&lt;=TODAY()+30,"Due within 30 days: ","Next: ")))&amp;INDEX($C$8:$F$8,1,MATCH(MIN(C128:F128),C128:F128,0))&amp;" "&amp;TEXT(MIN(C128:F128),"dd mmm yyyy")))))</x:f>
      </x:c>
      <x:c r="I128" s="52"/>
      <x:c r="J128" t="str">
        <x:f>IF(AND(A128&lt;&gt;"",COUNTIFS(C128,"&gt;=36526",C128,"&lt;"&amp;TODAY())+COUNTIFS(D128,"&gt;=36526",D128,"&lt;"&amp;TODAY())+COUNTIFS(E128,"&gt;=36526",E128,"&lt;"&amp;TODAY())+COUNTIFS(F128,"&gt;=36526",F128,"&lt;"&amp;TODAY())&gt;0),O128,"")</x:f>
      </x:c>
      <x:c r="K128" t="str">
        <x:f>IF(AND(A128&lt;&gt;"",COUNTIFS(C128,"&gt;=36526",C128,TODAY())+COUNTIFS(D128,"&gt;=36526",D128,TODAY())+COUNTIFS(E128,"&gt;=36526",E128,TODAY())+COUNTIFS(F128,"&gt;=36526",F128,TODAY())&gt;0),P128,"")</x:f>
      </x:c>
      <x:c r="L128" t="str">
        <x:f>IF(AND(A128&lt;&gt;"",COUNTIFS(C128,"&gt;"&amp;TODAY(),C128,"&lt;="&amp;TODAY()+30)+COUNTIFS(D128,"&gt;"&amp;TODAY(),D128,"&lt;="&amp;TODAY()+30)+COUNTIFS(E128,"&gt;"&amp;TODAY(),E128,"&lt;="&amp;TODAY()+30)+COUNTIFS(F128,"&gt;"&amp;TODAY(),F128,"&lt;="&amp;TODAY()+30)&gt;0),Q128,"")</x:f>
      </x:c>
      <x:c r="M128" t="str">
        <x:f>IF(OR(LEFT(H128,15)="Missing dates; ",LEFT(H128,16)="Add N/A reason; ",H128="Add dates",H128="Add registration",H128="Check date format"),R128,"")</x:f>
      </x:c>
      <x:c r="N128" t="str">
        <x:f>IF(COUNTIFS(C128:F128,"Reviewed N/A")&gt;0,S128,"")</x:f>
      </x:c>
      <x:c r="O128" t="n">
        <x:f>O127+IF(AND(A128&lt;&gt;"",COUNTIFS(C128,"&gt;=36526",C128,"&lt;"&amp;TODAY())+COUNTIFS(D128,"&gt;=36526",D128,"&lt;"&amp;TODAY())+COUNTIFS(E128,"&gt;=36526",E128,"&lt;"&amp;TODAY())+COUNTIFS(F128,"&gt;=36526",F128,"&lt;"&amp;TODAY())&gt;0),1,0)</x:f>
        <x:v>0</x:v>
      </x:c>
      <x:c r="P128" t="n">
        <x:f>P127+IF(AND(A128&lt;&gt;"",COUNTIFS(C128,"&gt;=36526",C128,TODAY())+COUNTIFS(D128,"&gt;=36526",D128,TODAY())+COUNTIFS(E128,"&gt;=36526",E128,TODAY())+COUNTIFS(F128,"&gt;=36526",F128,TODAY())&gt;0),1,0)</x:f>
        <x:v>0</x:v>
      </x:c>
      <x:c r="Q128" t="n">
        <x:f>Q127+IF(AND(A128&lt;&gt;"",COUNTIFS(C128,"&gt;"&amp;TODAY(),C128,"&lt;="&amp;TODAY()+30)+COUNTIFS(D128,"&gt;"&amp;TODAY(),D128,"&lt;="&amp;TODAY()+30)+COUNTIFS(E128,"&gt;"&amp;TODAY(),E128,"&lt;="&amp;TODAY()+30)+COUNTIFS(F128,"&gt;"&amp;TODAY(),F128,"&lt;="&amp;TODAY()+30)&gt;0),1,0)</x:f>
        <x:v>0</x:v>
      </x:c>
      <x:c r="R128" t="n">
        <x:f>R127+IF(OR(LEFT(H128,15)="Missing dates; ",LEFT(H128,16)="Add N/A reason; ",H128="Add dates",H128="Add registration",H128="Check date format"),1,0)</x:f>
        <x:v>0</x:v>
      </x:c>
      <x:c r="S128" t="n">
        <x:f>S127+IF(COUNTIFS(C128:F128,"Reviewed N/A")&gt;0,1,0)</x:f>
        <x:v>0</x:v>
      </x:c>
    </x:row>
    <x:row r="129" ht="48" customHeight="1">
      <x:c r="A129" s="52"/>
      <x:c r="B129" s="52"/>
      <x:c r="C129" s="53"/>
      <x:c r="D129" s="53"/>
      <x:c r="E129" s="53"/>
      <x:c r="F129" s="53"/>
      <x:c r="G129" s="52"/>
      <x:c r="H129" s="21" t="str">
        <x:f>IF(COUNTA(A129:G129,I129)=0,"",IF(A129="","Add registration",IF(OR(COUNTA(C129:F129)&gt;COUNT(C129:F129)+COUNTIFS(C129:F129,"Reviewed N/A"),AND(COUNT(C129:F129)&gt;0,OR(MIN(C129:F129)&lt;36526,MAX(C129:F129)&gt;109574))),"Check date format",IF(AND(COUNTIFS(C129:F129,"Reviewed N/A")&gt;0,I129=""),"Add N/A reason; ","")&amp;IF(COUNT(C129:F129)=0,IF(COUNTIFS(C129:F129,"Reviewed N/A")=4,"No applicable dates recorded","Add dates"),IF(COUNT(C129:F129)+COUNTIFS(C129:F129,"Reviewed N/A")&lt;4,"Missing dates; ","")&amp;IF(MIN(C129:F129)&lt;TODAY(),"Overdue: ",IF(MIN(C129:F129)=TODAY(),"Due today: ",IF(MIN(C129:F129)&lt;=TODAY()+30,"Due within 30 days: ","Next: ")))&amp;INDEX($C$8:$F$8,1,MATCH(MIN(C129:F129),C129:F129,0))&amp;" "&amp;TEXT(MIN(C129:F129),"dd mmm yyyy")))))</x:f>
      </x:c>
      <x:c r="I129" s="52"/>
      <x:c r="J129" t="str">
        <x:f>IF(AND(A129&lt;&gt;"",COUNTIFS(C129,"&gt;=36526",C129,"&lt;"&amp;TODAY())+COUNTIFS(D129,"&gt;=36526",D129,"&lt;"&amp;TODAY())+COUNTIFS(E129,"&gt;=36526",E129,"&lt;"&amp;TODAY())+COUNTIFS(F129,"&gt;=36526",F129,"&lt;"&amp;TODAY())&gt;0),O129,"")</x:f>
      </x:c>
      <x:c r="K129" t="str">
        <x:f>IF(AND(A129&lt;&gt;"",COUNTIFS(C129,"&gt;=36526",C129,TODAY())+COUNTIFS(D129,"&gt;=36526",D129,TODAY())+COUNTIFS(E129,"&gt;=36526",E129,TODAY())+COUNTIFS(F129,"&gt;=36526",F129,TODAY())&gt;0),P129,"")</x:f>
      </x:c>
      <x:c r="L129" t="str">
        <x:f>IF(AND(A129&lt;&gt;"",COUNTIFS(C129,"&gt;"&amp;TODAY(),C129,"&lt;="&amp;TODAY()+30)+COUNTIFS(D129,"&gt;"&amp;TODAY(),D129,"&lt;="&amp;TODAY()+30)+COUNTIFS(E129,"&gt;"&amp;TODAY(),E129,"&lt;="&amp;TODAY()+30)+COUNTIFS(F129,"&gt;"&amp;TODAY(),F129,"&lt;="&amp;TODAY()+30)&gt;0),Q129,"")</x:f>
      </x:c>
      <x:c r="M129" t="str">
        <x:f>IF(OR(LEFT(H129,15)="Missing dates; ",LEFT(H129,16)="Add N/A reason; ",H129="Add dates",H129="Add registration",H129="Check date format"),R129,"")</x:f>
      </x:c>
      <x:c r="N129" t="str">
        <x:f>IF(COUNTIFS(C129:F129,"Reviewed N/A")&gt;0,S129,"")</x:f>
      </x:c>
      <x:c r="O129" t="n">
        <x:f>O128+IF(AND(A129&lt;&gt;"",COUNTIFS(C129,"&gt;=36526",C129,"&lt;"&amp;TODAY())+COUNTIFS(D129,"&gt;=36526",D129,"&lt;"&amp;TODAY())+COUNTIFS(E129,"&gt;=36526",E129,"&lt;"&amp;TODAY())+COUNTIFS(F129,"&gt;=36526",F129,"&lt;"&amp;TODAY())&gt;0),1,0)</x:f>
        <x:v>0</x:v>
      </x:c>
      <x:c r="P129" t="n">
        <x:f>P128+IF(AND(A129&lt;&gt;"",COUNTIFS(C129,"&gt;=36526",C129,TODAY())+COUNTIFS(D129,"&gt;=36526",D129,TODAY())+COUNTIFS(E129,"&gt;=36526",E129,TODAY())+COUNTIFS(F129,"&gt;=36526",F129,TODAY())&gt;0),1,0)</x:f>
        <x:v>0</x:v>
      </x:c>
      <x:c r="Q129" t="n">
        <x:f>Q128+IF(AND(A129&lt;&gt;"",COUNTIFS(C129,"&gt;"&amp;TODAY(),C129,"&lt;="&amp;TODAY()+30)+COUNTIFS(D129,"&gt;"&amp;TODAY(),D129,"&lt;="&amp;TODAY()+30)+COUNTIFS(E129,"&gt;"&amp;TODAY(),E129,"&lt;="&amp;TODAY()+30)+COUNTIFS(F129,"&gt;"&amp;TODAY(),F129,"&lt;="&amp;TODAY()+30)&gt;0),1,0)</x:f>
        <x:v>0</x:v>
      </x:c>
      <x:c r="R129" t="n">
        <x:f>R128+IF(OR(LEFT(H129,15)="Missing dates; ",LEFT(H129,16)="Add N/A reason; ",H129="Add dates",H129="Add registration",H129="Check date format"),1,0)</x:f>
        <x:v>0</x:v>
      </x:c>
      <x:c r="S129" t="n">
        <x:f>S128+IF(COUNTIFS(C129:F129,"Reviewed N/A")&gt;0,1,0)</x:f>
        <x:v>0</x:v>
      </x:c>
    </x:row>
    <x:row r="130" ht="48" customHeight="1">
      <x:c r="A130" s="52"/>
      <x:c r="B130" s="52"/>
      <x:c r="C130" s="53"/>
      <x:c r="D130" s="53"/>
      <x:c r="E130" s="53"/>
      <x:c r="F130" s="53"/>
      <x:c r="G130" s="52"/>
      <x:c r="H130" s="21" t="str">
        <x:f>IF(COUNTA(A130:G130,I130)=0,"",IF(A130="","Add registration",IF(OR(COUNTA(C130:F130)&gt;COUNT(C130:F130)+COUNTIFS(C130:F130,"Reviewed N/A"),AND(COUNT(C130:F130)&gt;0,OR(MIN(C130:F130)&lt;36526,MAX(C130:F130)&gt;109574))),"Check date format",IF(AND(COUNTIFS(C130:F130,"Reviewed N/A")&gt;0,I130=""),"Add N/A reason; ","")&amp;IF(COUNT(C130:F130)=0,IF(COUNTIFS(C130:F130,"Reviewed N/A")=4,"No applicable dates recorded","Add dates"),IF(COUNT(C130:F130)+COUNTIFS(C130:F130,"Reviewed N/A")&lt;4,"Missing dates; ","")&amp;IF(MIN(C130:F130)&lt;TODAY(),"Overdue: ",IF(MIN(C130:F130)=TODAY(),"Due today: ",IF(MIN(C130:F130)&lt;=TODAY()+30,"Due within 30 days: ","Next: ")))&amp;INDEX($C$8:$F$8,1,MATCH(MIN(C130:F130),C130:F130,0))&amp;" "&amp;TEXT(MIN(C130:F130),"dd mmm yyyy")))))</x:f>
      </x:c>
      <x:c r="I130" s="52"/>
      <x:c r="J130" t="str">
        <x:f>IF(AND(A130&lt;&gt;"",COUNTIFS(C130,"&gt;=36526",C130,"&lt;"&amp;TODAY())+COUNTIFS(D130,"&gt;=36526",D130,"&lt;"&amp;TODAY())+COUNTIFS(E130,"&gt;=36526",E130,"&lt;"&amp;TODAY())+COUNTIFS(F130,"&gt;=36526",F130,"&lt;"&amp;TODAY())&gt;0),O130,"")</x:f>
      </x:c>
      <x:c r="K130" t="str">
        <x:f>IF(AND(A130&lt;&gt;"",COUNTIFS(C130,"&gt;=36526",C130,TODAY())+COUNTIFS(D130,"&gt;=36526",D130,TODAY())+COUNTIFS(E130,"&gt;=36526",E130,TODAY())+COUNTIFS(F130,"&gt;=36526",F130,TODAY())&gt;0),P130,"")</x:f>
      </x:c>
      <x:c r="L130" t="str">
        <x:f>IF(AND(A130&lt;&gt;"",COUNTIFS(C130,"&gt;"&amp;TODAY(),C130,"&lt;="&amp;TODAY()+30)+COUNTIFS(D130,"&gt;"&amp;TODAY(),D130,"&lt;="&amp;TODAY()+30)+COUNTIFS(E130,"&gt;"&amp;TODAY(),E130,"&lt;="&amp;TODAY()+30)+COUNTIFS(F130,"&gt;"&amp;TODAY(),F130,"&lt;="&amp;TODAY()+30)&gt;0),Q130,"")</x:f>
      </x:c>
      <x:c r="M130" t="str">
        <x:f>IF(OR(LEFT(H130,15)="Missing dates; ",LEFT(H130,16)="Add N/A reason; ",H130="Add dates",H130="Add registration",H130="Check date format"),R130,"")</x:f>
      </x:c>
      <x:c r="N130" t="str">
        <x:f>IF(COUNTIFS(C130:F130,"Reviewed N/A")&gt;0,S130,"")</x:f>
      </x:c>
      <x:c r="O130" t="n">
        <x:f>O129+IF(AND(A130&lt;&gt;"",COUNTIFS(C130,"&gt;=36526",C130,"&lt;"&amp;TODAY())+COUNTIFS(D130,"&gt;=36526",D130,"&lt;"&amp;TODAY())+COUNTIFS(E130,"&gt;=36526",E130,"&lt;"&amp;TODAY())+COUNTIFS(F130,"&gt;=36526",F130,"&lt;"&amp;TODAY())&gt;0),1,0)</x:f>
        <x:v>0</x:v>
      </x:c>
      <x:c r="P130" t="n">
        <x:f>P129+IF(AND(A130&lt;&gt;"",COUNTIFS(C130,"&gt;=36526",C130,TODAY())+COUNTIFS(D130,"&gt;=36526",D130,TODAY())+COUNTIFS(E130,"&gt;=36526",E130,TODAY())+COUNTIFS(F130,"&gt;=36526",F130,TODAY())&gt;0),1,0)</x:f>
        <x:v>0</x:v>
      </x:c>
      <x:c r="Q130" t="n">
        <x:f>Q129+IF(AND(A130&lt;&gt;"",COUNTIFS(C130,"&gt;"&amp;TODAY(),C130,"&lt;="&amp;TODAY()+30)+COUNTIFS(D130,"&gt;"&amp;TODAY(),D130,"&lt;="&amp;TODAY()+30)+COUNTIFS(E130,"&gt;"&amp;TODAY(),E130,"&lt;="&amp;TODAY()+30)+COUNTIFS(F130,"&gt;"&amp;TODAY(),F130,"&lt;="&amp;TODAY()+30)&gt;0),1,0)</x:f>
        <x:v>0</x:v>
      </x:c>
      <x:c r="R130" t="n">
        <x:f>R129+IF(OR(LEFT(H130,15)="Missing dates; ",LEFT(H130,16)="Add N/A reason; ",H130="Add dates",H130="Add registration",H130="Check date format"),1,0)</x:f>
        <x:v>0</x:v>
      </x:c>
      <x:c r="S130" t="n">
        <x:f>S129+IF(COUNTIFS(C130:F130,"Reviewed N/A")&gt;0,1,0)</x:f>
        <x:v>0</x:v>
      </x:c>
    </x:row>
    <x:row r="131" ht="48" customHeight="1">
      <x:c r="A131" s="52"/>
      <x:c r="B131" s="52"/>
      <x:c r="C131" s="53"/>
      <x:c r="D131" s="53"/>
      <x:c r="E131" s="53"/>
      <x:c r="F131" s="53"/>
      <x:c r="G131" s="52"/>
      <x:c r="H131" s="21" t="str">
        <x:f>IF(COUNTA(A131:G131,I131)=0,"",IF(A131="","Add registration",IF(OR(COUNTA(C131:F131)&gt;COUNT(C131:F131)+COUNTIFS(C131:F131,"Reviewed N/A"),AND(COUNT(C131:F131)&gt;0,OR(MIN(C131:F131)&lt;36526,MAX(C131:F131)&gt;109574))),"Check date format",IF(AND(COUNTIFS(C131:F131,"Reviewed N/A")&gt;0,I131=""),"Add N/A reason; ","")&amp;IF(COUNT(C131:F131)=0,IF(COUNTIFS(C131:F131,"Reviewed N/A")=4,"No applicable dates recorded","Add dates"),IF(COUNT(C131:F131)+COUNTIFS(C131:F131,"Reviewed N/A")&lt;4,"Missing dates; ","")&amp;IF(MIN(C131:F131)&lt;TODAY(),"Overdue: ",IF(MIN(C131:F131)=TODAY(),"Due today: ",IF(MIN(C131:F131)&lt;=TODAY()+30,"Due within 30 days: ","Next: ")))&amp;INDEX($C$8:$F$8,1,MATCH(MIN(C131:F131),C131:F131,0))&amp;" "&amp;TEXT(MIN(C131:F131),"dd mmm yyyy")))))</x:f>
      </x:c>
      <x:c r="I131" s="52"/>
      <x:c r="J131" t="str">
        <x:f>IF(AND(A131&lt;&gt;"",COUNTIFS(C131,"&gt;=36526",C131,"&lt;"&amp;TODAY())+COUNTIFS(D131,"&gt;=36526",D131,"&lt;"&amp;TODAY())+COUNTIFS(E131,"&gt;=36526",E131,"&lt;"&amp;TODAY())+COUNTIFS(F131,"&gt;=36526",F131,"&lt;"&amp;TODAY())&gt;0),O131,"")</x:f>
      </x:c>
      <x:c r="K131" t="str">
        <x:f>IF(AND(A131&lt;&gt;"",COUNTIFS(C131,"&gt;=36526",C131,TODAY())+COUNTIFS(D131,"&gt;=36526",D131,TODAY())+COUNTIFS(E131,"&gt;=36526",E131,TODAY())+COUNTIFS(F131,"&gt;=36526",F131,TODAY())&gt;0),P131,"")</x:f>
      </x:c>
      <x:c r="L131" t="str">
        <x:f>IF(AND(A131&lt;&gt;"",COUNTIFS(C131,"&gt;"&amp;TODAY(),C131,"&lt;="&amp;TODAY()+30)+COUNTIFS(D131,"&gt;"&amp;TODAY(),D131,"&lt;="&amp;TODAY()+30)+COUNTIFS(E131,"&gt;"&amp;TODAY(),E131,"&lt;="&amp;TODAY()+30)+COUNTIFS(F131,"&gt;"&amp;TODAY(),F131,"&lt;="&amp;TODAY()+30)&gt;0),Q131,"")</x:f>
      </x:c>
      <x:c r="M131" t="str">
        <x:f>IF(OR(LEFT(H131,15)="Missing dates; ",LEFT(H131,16)="Add N/A reason; ",H131="Add dates",H131="Add registration",H131="Check date format"),R131,"")</x:f>
      </x:c>
      <x:c r="N131" t="str">
        <x:f>IF(COUNTIFS(C131:F131,"Reviewed N/A")&gt;0,S131,"")</x:f>
      </x:c>
      <x:c r="O131" t="n">
        <x:f>O130+IF(AND(A131&lt;&gt;"",COUNTIFS(C131,"&gt;=36526",C131,"&lt;"&amp;TODAY())+COUNTIFS(D131,"&gt;=36526",D131,"&lt;"&amp;TODAY())+COUNTIFS(E131,"&gt;=36526",E131,"&lt;"&amp;TODAY())+COUNTIFS(F131,"&gt;=36526",F131,"&lt;"&amp;TODAY())&gt;0),1,0)</x:f>
        <x:v>0</x:v>
      </x:c>
      <x:c r="P131" t="n">
        <x:f>P130+IF(AND(A131&lt;&gt;"",COUNTIFS(C131,"&gt;=36526",C131,TODAY())+COUNTIFS(D131,"&gt;=36526",D131,TODAY())+COUNTIFS(E131,"&gt;=36526",E131,TODAY())+COUNTIFS(F131,"&gt;=36526",F131,TODAY())&gt;0),1,0)</x:f>
        <x:v>0</x:v>
      </x:c>
      <x:c r="Q131" t="n">
        <x:f>Q130+IF(AND(A131&lt;&gt;"",COUNTIFS(C131,"&gt;"&amp;TODAY(),C131,"&lt;="&amp;TODAY()+30)+COUNTIFS(D131,"&gt;"&amp;TODAY(),D131,"&lt;="&amp;TODAY()+30)+COUNTIFS(E131,"&gt;"&amp;TODAY(),E131,"&lt;="&amp;TODAY()+30)+COUNTIFS(F131,"&gt;"&amp;TODAY(),F131,"&lt;="&amp;TODAY()+30)&gt;0),1,0)</x:f>
        <x:v>0</x:v>
      </x:c>
      <x:c r="R131" t="n">
        <x:f>R130+IF(OR(LEFT(H131,15)="Missing dates; ",LEFT(H131,16)="Add N/A reason; ",H131="Add dates",H131="Add registration",H131="Check date format"),1,0)</x:f>
        <x:v>0</x:v>
      </x:c>
      <x:c r="S131" t="n">
        <x:f>S130+IF(COUNTIFS(C131:F131,"Reviewed N/A")&gt;0,1,0)</x:f>
        <x:v>0</x:v>
      </x:c>
    </x:row>
    <x:row r="132" ht="48" customHeight="1">
      <x:c r="A132" s="52"/>
      <x:c r="B132" s="52"/>
      <x:c r="C132" s="53"/>
      <x:c r="D132" s="53"/>
      <x:c r="E132" s="53"/>
      <x:c r="F132" s="53"/>
      <x:c r="G132" s="52"/>
      <x:c r="H132" s="21" t="str">
        <x:f>IF(COUNTA(A132:G132,I132)=0,"",IF(A132="","Add registration",IF(OR(COUNTA(C132:F132)&gt;COUNT(C132:F132)+COUNTIFS(C132:F132,"Reviewed N/A"),AND(COUNT(C132:F132)&gt;0,OR(MIN(C132:F132)&lt;36526,MAX(C132:F132)&gt;109574))),"Check date format",IF(AND(COUNTIFS(C132:F132,"Reviewed N/A")&gt;0,I132=""),"Add N/A reason; ","")&amp;IF(COUNT(C132:F132)=0,IF(COUNTIFS(C132:F132,"Reviewed N/A")=4,"No applicable dates recorded","Add dates"),IF(COUNT(C132:F132)+COUNTIFS(C132:F132,"Reviewed N/A")&lt;4,"Missing dates; ","")&amp;IF(MIN(C132:F132)&lt;TODAY(),"Overdue: ",IF(MIN(C132:F132)=TODAY(),"Due today: ",IF(MIN(C132:F132)&lt;=TODAY()+30,"Due within 30 days: ","Next: ")))&amp;INDEX($C$8:$F$8,1,MATCH(MIN(C132:F132),C132:F132,0))&amp;" "&amp;TEXT(MIN(C132:F132),"dd mmm yyyy")))))</x:f>
      </x:c>
      <x:c r="I132" s="52"/>
      <x:c r="J132" t="str">
        <x:f>IF(AND(A132&lt;&gt;"",COUNTIFS(C132,"&gt;=36526",C132,"&lt;"&amp;TODAY())+COUNTIFS(D132,"&gt;=36526",D132,"&lt;"&amp;TODAY())+COUNTIFS(E132,"&gt;=36526",E132,"&lt;"&amp;TODAY())+COUNTIFS(F132,"&gt;=36526",F132,"&lt;"&amp;TODAY())&gt;0),O132,"")</x:f>
      </x:c>
      <x:c r="K132" t="str">
        <x:f>IF(AND(A132&lt;&gt;"",COUNTIFS(C132,"&gt;=36526",C132,TODAY())+COUNTIFS(D132,"&gt;=36526",D132,TODAY())+COUNTIFS(E132,"&gt;=36526",E132,TODAY())+COUNTIFS(F132,"&gt;=36526",F132,TODAY())&gt;0),P132,"")</x:f>
      </x:c>
      <x:c r="L132" t="str">
        <x:f>IF(AND(A132&lt;&gt;"",COUNTIFS(C132,"&gt;"&amp;TODAY(),C132,"&lt;="&amp;TODAY()+30)+COUNTIFS(D132,"&gt;"&amp;TODAY(),D132,"&lt;="&amp;TODAY()+30)+COUNTIFS(E132,"&gt;"&amp;TODAY(),E132,"&lt;="&amp;TODAY()+30)+COUNTIFS(F132,"&gt;"&amp;TODAY(),F132,"&lt;="&amp;TODAY()+30)&gt;0),Q132,"")</x:f>
      </x:c>
      <x:c r="M132" t="str">
        <x:f>IF(OR(LEFT(H132,15)="Missing dates; ",LEFT(H132,16)="Add N/A reason; ",H132="Add dates",H132="Add registration",H132="Check date format"),R132,"")</x:f>
      </x:c>
      <x:c r="N132" t="str">
        <x:f>IF(COUNTIFS(C132:F132,"Reviewed N/A")&gt;0,S132,"")</x:f>
      </x:c>
      <x:c r="O132" t="n">
        <x:f>O131+IF(AND(A132&lt;&gt;"",COUNTIFS(C132,"&gt;=36526",C132,"&lt;"&amp;TODAY())+COUNTIFS(D132,"&gt;=36526",D132,"&lt;"&amp;TODAY())+COUNTIFS(E132,"&gt;=36526",E132,"&lt;"&amp;TODAY())+COUNTIFS(F132,"&gt;=36526",F132,"&lt;"&amp;TODAY())&gt;0),1,0)</x:f>
        <x:v>0</x:v>
      </x:c>
      <x:c r="P132" t="n">
        <x:f>P131+IF(AND(A132&lt;&gt;"",COUNTIFS(C132,"&gt;=36526",C132,TODAY())+COUNTIFS(D132,"&gt;=36526",D132,TODAY())+COUNTIFS(E132,"&gt;=36526",E132,TODAY())+COUNTIFS(F132,"&gt;=36526",F132,TODAY())&gt;0),1,0)</x:f>
        <x:v>0</x:v>
      </x:c>
      <x:c r="Q132" t="n">
        <x:f>Q131+IF(AND(A132&lt;&gt;"",COUNTIFS(C132,"&gt;"&amp;TODAY(),C132,"&lt;="&amp;TODAY()+30)+COUNTIFS(D132,"&gt;"&amp;TODAY(),D132,"&lt;="&amp;TODAY()+30)+COUNTIFS(E132,"&gt;"&amp;TODAY(),E132,"&lt;="&amp;TODAY()+30)+COUNTIFS(F132,"&gt;"&amp;TODAY(),F132,"&lt;="&amp;TODAY()+30)&gt;0),1,0)</x:f>
        <x:v>0</x:v>
      </x:c>
      <x:c r="R132" t="n">
        <x:f>R131+IF(OR(LEFT(H132,15)="Missing dates; ",LEFT(H132,16)="Add N/A reason; ",H132="Add dates",H132="Add registration",H132="Check date format"),1,0)</x:f>
        <x:v>0</x:v>
      </x:c>
      <x:c r="S132" t="n">
        <x:f>S131+IF(COUNTIFS(C132:F132,"Reviewed N/A")&gt;0,1,0)</x:f>
        <x:v>0</x:v>
      </x:c>
    </x:row>
    <x:row r="133" ht="48" customHeight="1">
      <x:c r="A133" s="52"/>
      <x:c r="B133" s="52"/>
      <x:c r="C133" s="53"/>
      <x:c r="D133" s="53"/>
      <x:c r="E133" s="53"/>
      <x:c r="F133" s="53"/>
      <x:c r="G133" s="52"/>
      <x:c r="H133" s="21" t="str">
        <x:f>IF(COUNTA(A133:G133,I133)=0,"",IF(A133="","Add registration",IF(OR(COUNTA(C133:F133)&gt;COUNT(C133:F133)+COUNTIFS(C133:F133,"Reviewed N/A"),AND(COUNT(C133:F133)&gt;0,OR(MIN(C133:F133)&lt;36526,MAX(C133:F133)&gt;109574))),"Check date format",IF(AND(COUNTIFS(C133:F133,"Reviewed N/A")&gt;0,I133=""),"Add N/A reason; ","")&amp;IF(COUNT(C133:F133)=0,IF(COUNTIFS(C133:F133,"Reviewed N/A")=4,"No applicable dates recorded","Add dates"),IF(COUNT(C133:F133)+COUNTIFS(C133:F133,"Reviewed N/A")&lt;4,"Missing dates; ","")&amp;IF(MIN(C133:F133)&lt;TODAY(),"Overdue: ",IF(MIN(C133:F133)=TODAY(),"Due today: ",IF(MIN(C133:F133)&lt;=TODAY()+30,"Due within 30 days: ","Next: ")))&amp;INDEX($C$8:$F$8,1,MATCH(MIN(C133:F133),C133:F133,0))&amp;" "&amp;TEXT(MIN(C133:F133),"dd mmm yyyy")))))</x:f>
      </x:c>
      <x:c r="I133" s="52"/>
      <x:c r="J133" t="str">
        <x:f>IF(AND(A133&lt;&gt;"",COUNTIFS(C133,"&gt;=36526",C133,"&lt;"&amp;TODAY())+COUNTIFS(D133,"&gt;=36526",D133,"&lt;"&amp;TODAY())+COUNTIFS(E133,"&gt;=36526",E133,"&lt;"&amp;TODAY())+COUNTIFS(F133,"&gt;=36526",F133,"&lt;"&amp;TODAY())&gt;0),O133,"")</x:f>
      </x:c>
      <x:c r="K133" t="str">
        <x:f>IF(AND(A133&lt;&gt;"",COUNTIFS(C133,"&gt;=36526",C133,TODAY())+COUNTIFS(D133,"&gt;=36526",D133,TODAY())+COUNTIFS(E133,"&gt;=36526",E133,TODAY())+COUNTIFS(F133,"&gt;=36526",F133,TODAY())&gt;0),P133,"")</x:f>
      </x:c>
      <x:c r="L133" t="str">
        <x:f>IF(AND(A133&lt;&gt;"",COUNTIFS(C133,"&gt;"&amp;TODAY(),C133,"&lt;="&amp;TODAY()+30)+COUNTIFS(D133,"&gt;"&amp;TODAY(),D133,"&lt;="&amp;TODAY()+30)+COUNTIFS(E133,"&gt;"&amp;TODAY(),E133,"&lt;="&amp;TODAY()+30)+COUNTIFS(F133,"&gt;"&amp;TODAY(),F133,"&lt;="&amp;TODAY()+30)&gt;0),Q133,"")</x:f>
      </x:c>
      <x:c r="M133" t="str">
        <x:f>IF(OR(LEFT(H133,15)="Missing dates; ",LEFT(H133,16)="Add N/A reason; ",H133="Add dates",H133="Add registration",H133="Check date format"),R133,"")</x:f>
      </x:c>
      <x:c r="N133" t="str">
        <x:f>IF(COUNTIFS(C133:F133,"Reviewed N/A")&gt;0,S133,"")</x:f>
      </x:c>
      <x:c r="O133" t="n">
        <x:f>O132+IF(AND(A133&lt;&gt;"",COUNTIFS(C133,"&gt;=36526",C133,"&lt;"&amp;TODAY())+COUNTIFS(D133,"&gt;=36526",D133,"&lt;"&amp;TODAY())+COUNTIFS(E133,"&gt;=36526",E133,"&lt;"&amp;TODAY())+COUNTIFS(F133,"&gt;=36526",F133,"&lt;"&amp;TODAY())&gt;0),1,0)</x:f>
        <x:v>0</x:v>
      </x:c>
      <x:c r="P133" t="n">
        <x:f>P132+IF(AND(A133&lt;&gt;"",COUNTIFS(C133,"&gt;=36526",C133,TODAY())+COUNTIFS(D133,"&gt;=36526",D133,TODAY())+COUNTIFS(E133,"&gt;=36526",E133,TODAY())+COUNTIFS(F133,"&gt;=36526",F133,TODAY())&gt;0),1,0)</x:f>
        <x:v>0</x:v>
      </x:c>
      <x:c r="Q133" t="n">
        <x:f>Q132+IF(AND(A133&lt;&gt;"",COUNTIFS(C133,"&gt;"&amp;TODAY(),C133,"&lt;="&amp;TODAY()+30)+COUNTIFS(D133,"&gt;"&amp;TODAY(),D133,"&lt;="&amp;TODAY()+30)+COUNTIFS(E133,"&gt;"&amp;TODAY(),E133,"&lt;="&amp;TODAY()+30)+COUNTIFS(F133,"&gt;"&amp;TODAY(),F133,"&lt;="&amp;TODAY()+30)&gt;0),1,0)</x:f>
        <x:v>0</x:v>
      </x:c>
      <x:c r="R133" t="n">
        <x:f>R132+IF(OR(LEFT(H133,15)="Missing dates; ",LEFT(H133,16)="Add N/A reason; ",H133="Add dates",H133="Add registration",H133="Check date format"),1,0)</x:f>
        <x:v>0</x:v>
      </x:c>
      <x:c r="S133" t="n">
        <x:f>S132+IF(COUNTIFS(C133:F133,"Reviewed N/A")&gt;0,1,0)</x:f>
        <x:v>0</x:v>
      </x:c>
    </x:row>
    <x:row r="134" ht="48" customHeight="1">
      <x:c r="A134" s="52"/>
      <x:c r="B134" s="52"/>
      <x:c r="C134" s="53"/>
      <x:c r="D134" s="53"/>
      <x:c r="E134" s="53"/>
      <x:c r="F134" s="53"/>
      <x:c r="G134" s="52"/>
      <x:c r="H134" s="21" t="str">
        <x:f>IF(COUNTA(A134:G134,I134)=0,"",IF(A134="","Add registration",IF(OR(COUNTA(C134:F134)&gt;COUNT(C134:F134)+COUNTIFS(C134:F134,"Reviewed N/A"),AND(COUNT(C134:F134)&gt;0,OR(MIN(C134:F134)&lt;36526,MAX(C134:F134)&gt;109574))),"Check date format",IF(AND(COUNTIFS(C134:F134,"Reviewed N/A")&gt;0,I134=""),"Add N/A reason; ","")&amp;IF(COUNT(C134:F134)=0,IF(COUNTIFS(C134:F134,"Reviewed N/A")=4,"No applicable dates recorded","Add dates"),IF(COUNT(C134:F134)+COUNTIFS(C134:F134,"Reviewed N/A")&lt;4,"Missing dates; ","")&amp;IF(MIN(C134:F134)&lt;TODAY(),"Overdue: ",IF(MIN(C134:F134)=TODAY(),"Due today: ",IF(MIN(C134:F134)&lt;=TODAY()+30,"Due within 30 days: ","Next: ")))&amp;INDEX($C$8:$F$8,1,MATCH(MIN(C134:F134),C134:F134,0))&amp;" "&amp;TEXT(MIN(C134:F134),"dd mmm yyyy")))))</x:f>
      </x:c>
      <x:c r="I134" s="52"/>
      <x:c r="J134" t="str">
        <x:f>IF(AND(A134&lt;&gt;"",COUNTIFS(C134,"&gt;=36526",C134,"&lt;"&amp;TODAY())+COUNTIFS(D134,"&gt;=36526",D134,"&lt;"&amp;TODAY())+COUNTIFS(E134,"&gt;=36526",E134,"&lt;"&amp;TODAY())+COUNTIFS(F134,"&gt;=36526",F134,"&lt;"&amp;TODAY())&gt;0),O134,"")</x:f>
      </x:c>
      <x:c r="K134" t="str">
        <x:f>IF(AND(A134&lt;&gt;"",COUNTIFS(C134,"&gt;=36526",C134,TODAY())+COUNTIFS(D134,"&gt;=36526",D134,TODAY())+COUNTIFS(E134,"&gt;=36526",E134,TODAY())+COUNTIFS(F134,"&gt;=36526",F134,TODAY())&gt;0),P134,"")</x:f>
      </x:c>
      <x:c r="L134" t="str">
        <x:f>IF(AND(A134&lt;&gt;"",COUNTIFS(C134,"&gt;"&amp;TODAY(),C134,"&lt;="&amp;TODAY()+30)+COUNTIFS(D134,"&gt;"&amp;TODAY(),D134,"&lt;="&amp;TODAY()+30)+COUNTIFS(E134,"&gt;"&amp;TODAY(),E134,"&lt;="&amp;TODAY()+30)+COUNTIFS(F134,"&gt;"&amp;TODAY(),F134,"&lt;="&amp;TODAY()+30)&gt;0),Q134,"")</x:f>
      </x:c>
      <x:c r="M134" t="str">
        <x:f>IF(OR(LEFT(H134,15)="Missing dates; ",LEFT(H134,16)="Add N/A reason; ",H134="Add dates",H134="Add registration",H134="Check date format"),R134,"")</x:f>
      </x:c>
      <x:c r="N134" t="str">
        <x:f>IF(COUNTIFS(C134:F134,"Reviewed N/A")&gt;0,S134,"")</x:f>
      </x:c>
      <x:c r="O134" t="n">
        <x:f>O133+IF(AND(A134&lt;&gt;"",COUNTIFS(C134,"&gt;=36526",C134,"&lt;"&amp;TODAY())+COUNTIFS(D134,"&gt;=36526",D134,"&lt;"&amp;TODAY())+COUNTIFS(E134,"&gt;=36526",E134,"&lt;"&amp;TODAY())+COUNTIFS(F134,"&gt;=36526",F134,"&lt;"&amp;TODAY())&gt;0),1,0)</x:f>
        <x:v>0</x:v>
      </x:c>
      <x:c r="P134" t="n">
        <x:f>P133+IF(AND(A134&lt;&gt;"",COUNTIFS(C134,"&gt;=36526",C134,TODAY())+COUNTIFS(D134,"&gt;=36526",D134,TODAY())+COUNTIFS(E134,"&gt;=36526",E134,TODAY())+COUNTIFS(F134,"&gt;=36526",F134,TODAY())&gt;0),1,0)</x:f>
        <x:v>0</x:v>
      </x:c>
      <x:c r="Q134" t="n">
        <x:f>Q133+IF(AND(A134&lt;&gt;"",COUNTIFS(C134,"&gt;"&amp;TODAY(),C134,"&lt;="&amp;TODAY()+30)+COUNTIFS(D134,"&gt;"&amp;TODAY(),D134,"&lt;="&amp;TODAY()+30)+COUNTIFS(E134,"&gt;"&amp;TODAY(),E134,"&lt;="&amp;TODAY()+30)+COUNTIFS(F134,"&gt;"&amp;TODAY(),F134,"&lt;="&amp;TODAY()+30)&gt;0),1,0)</x:f>
        <x:v>0</x:v>
      </x:c>
      <x:c r="R134" t="n">
        <x:f>R133+IF(OR(LEFT(H134,15)="Missing dates; ",LEFT(H134,16)="Add N/A reason; ",H134="Add dates",H134="Add registration",H134="Check date format"),1,0)</x:f>
        <x:v>0</x:v>
      </x:c>
      <x:c r="S134" t="n">
        <x:f>S133+IF(COUNTIFS(C134:F134,"Reviewed N/A")&gt;0,1,0)</x:f>
        <x:v>0</x:v>
      </x:c>
    </x:row>
    <x:row r="135" ht="48" customHeight="1">
      <x:c r="A135" s="52"/>
      <x:c r="B135" s="52"/>
      <x:c r="C135" s="53"/>
      <x:c r="D135" s="53"/>
      <x:c r="E135" s="53"/>
      <x:c r="F135" s="53"/>
      <x:c r="G135" s="52"/>
      <x:c r="H135" s="21" t="str">
        <x:f>IF(COUNTA(A135:G135,I135)=0,"",IF(A135="","Add registration",IF(OR(COUNTA(C135:F135)&gt;COUNT(C135:F135)+COUNTIFS(C135:F135,"Reviewed N/A"),AND(COUNT(C135:F135)&gt;0,OR(MIN(C135:F135)&lt;36526,MAX(C135:F135)&gt;109574))),"Check date format",IF(AND(COUNTIFS(C135:F135,"Reviewed N/A")&gt;0,I135=""),"Add N/A reason; ","")&amp;IF(COUNT(C135:F135)=0,IF(COUNTIFS(C135:F135,"Reviewed N/A")=4,"No applicable dates recorded","Add dates"),IF(COUNT(C135:F135)+COUNTIFS(C135:F135,"Reviewed N/A")&lt;4,"Missing dates; ","")&amp;IF(MIN(C135:F135)&lt;TODAY(),"Overdue: ",IF(MIN(C135:F135)=TODAY(),"Due today: ",IF(MIN(C135:F135)&lt;=TODAY()+30,"Due within 30 days: ","Next: ")))&amp;INDEX($C$8:$F$8,1,MATCH(MIN(C135:F135),C135:F135,0))&amp;" "&amp;TEXT(MIN(C135:F135),"dd mmm yyyy")))))</x:f>
      </x:c>
      <x:c r="I135" s="52"/>
      <x:c r="J135" t="str">
        <x:f>IF(AND(A135&lt;&gt;"",COUNTIFS(C135,"&gt;=36526",C135,"&lt;"&amp;TODAY())+COUNTIFS(D135,"&gt;=36526",D135,"&lt;"&amp;TODAY())+COUNTIFS(E135,"&gt;=36526",E135,"&lt;"&amp;TODAY())+COUNTIFS(F135,"&gt;=36526",F135,"&lt;"&amp;TODAY())&gt;0),O135,"")</x:f>
      </x:c>
      <x:c r="K135" t="str">
        <x:f>IF(AND(A135&lt;&gt;"",COUNTIFS(C135,"&gt;=36526",C135,TODAY())+COUNTIFS(D135,"&gt;=36526",D135,TODAY())+COUNTIFS(E135,"&gt;=36526",E135,TODAY())+COUNTIFS(F135,"&gt;=36526",F135,TODAY())&gt;0),P135,"")</x:f>
      </x:c>
      <x:c r="L135" t="str">
        <x:f>IF(AND(A135&lt;&gt;"",COUNTIFS(C135,"&gt;"&amp;TODAY(),C135,"&lt;="&amp;TODAY()+30)+COUNTIFS(D135,"&gt;"&amp;TODAY(),D135,"&lt;="&amp;TODAY()+30)+COUNTIFS(E135,"&gt;"&amp;TODAY(),E135,"&lt;="&amp;TODAY()+30)+COUNTIFS(F135,"&gt;"&amp;TODAY(),F135,"&lt;="&amp;TODAY()+30)&gt;0),Q135,"")</x:f>
      </x:c>
      <x:c r="M135" t="str">
        <x:f>IF(OR(LEFT(H135,15)="Missing dates; ",LEFT(H135,16)="Add N/A reason; ",H135="Add dates",H135="Add registration",H135="Check date format"),R135,"")</x:f>
      </x:c>
      <x:c r="N135" t="str">
        <x:f>IF(COUNTIFS(C135:F135,"Reviewed N/A")&gt;0,S135,"")</x:f>
      </x:c>
      <x:c r="O135" t="n">
        <x:f>O134+IF(AND(A135&lt;&gt;"",COUNTIFS(C135,"&gt;=36526",C135,"&lt;"&amp;TODAY())+COUNTIFS(D135,"&gt;=36526",D135,"&lt;"&amp;TODAY())+COUNTIFS(E135,"&gt;=36526",E135,"&lt;"&amp;TODAY())+COUNTIFS(F135,"&gt;=36526",F135,"&lt;"&amp;TODAY())&gt;0),1,0)</x:f>
        <x:v>0</x:v>
      </x:c>
      <x:c r="P135" t="n">
        <x:f>P134+IF(AND(A135&lt;&gt;"",COUNTIFS(C135,"&gt;=36526",C135,TODAY())+COUNTIFS(D135,"&gt;=36526",D135,TODAY())+COUNTIFS(E135,"&gt;=36526",E135,TODAY())+COUNTIFS(F135,"&gt;=36526",F135,TODAY())&gt;0),1,0)</x:f>
        <x:v>0</x:v>
      </x:c>
      <x:c r="Q135" t="n">
        <x:f>Q134+IF(AND(A135&lt;&gt;"",COUNTIFS(C135,"&gt;"&amp;TODAY(),C135,"&lt;="&amp;TODAY()+30)+COUNTIFS(D135,"&gt;"&amp;TODAY(),D135,"&lt;="&amp;TODAY()+30)+COUNTIFS(E135,"&gt;"&amp;TODAY(),E135,"&lt;="&amp;TODAY()+30)+COUNTIFS(F135,"&gt;"&amp;TODAY(),F135,"&lt;="&amp;TODAY()+30)&gt;0),1,0)</x:f>
        <x:v>0</x:v>
      </x:c>
      <x:c r="R135" t="n">
        <x:f>R134+IF(OR(LEFT(H135,15)="Missing dates; ",LEFT(H135,16)="Add N/A reason; ",H135="Add dates",H135="Add registration",H135="Check date format"),1,0)</x:f>
        <x:v>0</x:v>
      </x:c>
      <x:c r="S135" t="n">
        <x:f>S134+IF(COUNTIFS(C135:F135,"Reviewed N/A")&gt;0,1,0)</x:f>
        <x:v>0</x:v>
      </x:c>
    </x:row>
    <x:row r="136" ht="48" customHeight="1">
      <x:c r="A136" s="52"/>
      <x:c r="B136" s="52"/>
      <x:c r="C136" s="53"/>
      <x:c r="D136" s="53"/>
      <x:c r="E136" s="53"/>
      <x:c r="F136" s="53"/>
      <x:c r="G136" s="52"/>
      <x:c r="H136" s="21" t="str">
        <x:f>IF(COUNTA(A136:G136,I136)=0,"",IF(A136="","Add registration",IF(OR(COUNTA(C136:F136)&gt;COUNT(C136:F136)+COUNTIFS(C136:F136,"Reviewed N/A"),AND(COUNT(C136:F136)&gt;0,OR(MIN(C136:F136)&lt;36526,MAX(C136:F136)&gt;109574))),"Check date format",IF(AND(COUNTIFS(C136:F136,"Reviewed N/A")&gt;0,I136=""),"Add N/A reason; ","")&amp;IF(COUNT(C136:F136)=0,IF(COUNTIFS(C136:F136,"Reviewed N/A")=4,"No applicable dates recorded","Add dates"),IF(COUNT(C136:F136)+COUNTIFS(C136:F136,"Reviewed N/A")&lt;4,"Missing dates; ","")&amp;IF(MIN(C136:F136)&lt;TODAY(),"Overdue: ",IF(MIN(C136:F136)=TODAY(),"Due today: ",IF(MIN(C136:F136)&lt;=TODAY()+30,"Due within 30 days: ","Next: ")))&amp;INDEX($C$8:$F$8,1,MATCH(MIN(C136:F136),C136:F136,0))&amp;" "&amp;TEXT(MIN(C136:F136),"dd mmm yyyy")))))</x:f>
      </x:c>
      <x:c r="I136" s="52"/>
      <x:c r="J136" t="str">
        <x:f>IF(AND(A136&lt;&gt;"",COUNTIFS(C136,"&gt;=36526",C136,"&lt;"&amp;TODAY())+COUNTIFS(D136,"&gt;=36526",D136,"&lt;"&amp;TODAY())+COUNTIFS(E136,"&gt;=36526",E136,"&lt;"&amp;TODAY())+COUNTIFS(F136,"&gt;=36526",F136,"&lt;"&amp;TODAY())&gt;0),O136,"")</x:f>
      </x:c>
      <x:c r="K136" t="str">
        <x:f>IF(AND(A136&lt;&gt;"",COUNTIFS(C136,"&gt;=36526",C136,TODAY())+COUNTIFS(D136,"&gt;=36526",D136,TODAY())+COUNTIFS(E136,"&gt;=36526",E136,TODAY())+COUNTIFS(F136,"&gt;=36526",F136,TODAY())&gt;0),P136,"")</x:f>
      </x:c>
      <x:c r="L136" t="str">
        <x:f>IF(AND(A136&lt;&gt;"",COUNTIFS(C136,"&gt;"&amp;TODAY(),C136,"&lt;="&amp;TODAY()+30)+COUNTIFS(D136,"&gt;"&amp;TODAY(),D136,"&lt;="&amp;TODAY()+30)+COUNTIFS(E136,"&gt;"&amp;TODAY(),E136,"&lt;="&amp;TODAY()+30)+COUNTIFS(F136,"&gt;"&amp;TODAY(),F136,"&lt;="&amp;TODAY()+30)&gt;0),Q136,"")</x:f>
      </x:c>
      <x:c r="M136" t="str">
        <x:f>IF(OR(LEFT(H136,15)="Missing dates; ",LEFT(H136,16)="Add N/A reason; ",H136="Add dates",H136="Add registration",H136="Check date format"),R136,"")</x:f>
      </x:c>
      <x:c r="N136" t="str">
        <x:f>IF(COUNTIFS(C136:F136,"Reviewed N/A")&gt;0,S136,"")</x:f>
      </x:c>
      <x:c r="O136" t="n">
        <x:f>O135+IF(AND(A136&lt;&gt;"",COUNTIFS(C136,"&gt;=36526",C136,"&lt;"&amp;TODAY())+COUNTIFS(D136,"&gt;=36526",D136,"&lt;"&amp;TODAY())+COUNTIFS(E136,"&gt;=36526",E136,"&lt;"&amp;TODAY())+COUNTIFS(F136,"&gt;=36526",F136,"&lt;"&amp;TODAY())&gt;0),1,0)</x:f>
        <x:v>0</x:v>
      </x:c>
      <x:c r="P136" t="n">
        <x:f>P135+IF(AND(A136&lt;&gt;"",COUNTIFS(C136,"&gt;=36526",C136,TODAY())+COUNTIFS(D136,"&gt;=36526",D136,TODAY())+COUNTIFS(E136,"&gt;=36526",E136,TODAY())+COUNTIFS(F136,"&gt;=36526",F136,TODAY())&gt;0),1,0)</x:f>
        <x:v>0</x:v>
      </x:c>
      <x:c r="Q136" t="n">
        <x:f>Q135+IF(AND(A136&lt;&gt;"",COUNTIFS(C136,"&gt;"&amp;TODAY(),C136,"&lt;="&amp;TODAY()+30)+COUNTIFS(D136,"&gt;"&amp;TODAY(),D136,"&lt;="&amp;TODAY()+30)+COUNTIFS(E136,"&gt;"&amp;TODAY(),E136,"&lt;="&amp;TODAY()+30)+COUNTIFS(F136,"&gt;"&amp;TODAY(),F136,"&lt;="&amp;TODAY()+30)&gt;0),1,0)</x:f>
        <x:v>0</x:v>
      </x:c>
      <x:c r="R136" t="n">
        <x:f>R135+IF(OR(LEFT(H136,15)="Missing dates; ",LEFT(H136,16)="Add N/A reason; ",H136="Add dates",H136="Add registration",H136="Check date format"),1,0)</x:f>
        <x:v>0</x:v>
      </x:c>
      <x:c r="S136" t="n">
        <x:f>S135+IF(COUNTIFS(C136:F136,"Reviewed N/A")&gt;0,1,0)</x:f>
        <x:v>0</x:v>
      </x:c>
    </x:row>
    <x:row r="137" ht="48" customHeight="1">
      <x:c r="A137" s="52"/>
      <x:c r="B137" s="52"/>
      <x:c r="C137" s="53"/>
      <x:c r="D137" s="53"/>
      <x:c r="E137" s="53"/>
      <x:c r="F137" s="53"/>
      <x:c r="G137" s="52"/>
      <x:c r="H137" s="21" t="str">
        <x:f>IF(COUNTA(A137:G137,I137)=0,"",IF(A137="","Add registration",IF(OR(COUNTA(C137:F137)&gt;COUNT(C137:F137)+COUNTIFS(C137:F137,"Reviewed N/A"),AND(COUNT(C137:F137)&gt;0,OR(MIN(C137:F137)&lt;36526,MAX(C137:F137)&gt;109574))),"Check date format",IF(AND(COUNTIFS(C137:F137,"Reviewed N/A")&gt;0,I137=""),"Add N/A reason; ","")&amp;IF(COUNT(C137:F137)=0,IF(COUNTIFS(C137:F137,"Reviewed N/A")=4,"No applicable dates recorded","Add dates"),IF(COUNT(C137:F137)+COUNTIFS(C137:F137,"Reviewed N/A")&lt;4,"Missing dates; ","")&amp;IF(MIN(C137:F137)&lt;TODAY(),"Overdue: ",IF(MIN(C137:F137)=TODAY(),"Due today: ",IF(MIN(C137:F137)&lt;=TODAY()+30,"Due within 30 days: ","Next: ")))&amp;INDEX($C$8:$F$8,1,MATCH(MIN(C137:F137),C137:F137,0))&amp;" "&amp;TEXT(MIN(C137:F137),"dd mmm yyyy")))))</x:f>
      </x:c>
      <x:c r="I137" s="52"/>
      <x:c r="J137" t="str">
        <x:f>IF(AND(A137&lt;&gt;"",COUNTIFS(C137,"&gt;=36526",C137,"&lt;"&amp;TODAY())+COUNTIFS(D137,"&gt;=36526",D137,"&lt;"&amp;TODAY())+COUNTIFS(E137,"&gt;=36526",E137,"&lt;"&amp;TODAY())+COUNTIFS(F137,"&gt;=36526",F137,"&lt;"&amp;TODAY())&gt;0),O137,"")</x:f>
      </x:c>
      <x:c r="K137" t="str">
        <x:f>IF(AND(A137&lt;&gt;"",COUNTIFS(C137,"&gt;=36526",C137,TODAY())+COUNTIFS(D137,"&gt;=36526",D137,TODAY())+COUNTIFS(E137,"&gt;=36526",E137,TODAY())+COUNTIFS(F137,"&gt;=36526",F137,TODAY())&gt;0),P137,"")</x:f>
      </x:c>
      <x:c r="L137" t="str">
        <x:f>IF(AND(A137&lt;&gt;"",COUNTIFS(C137,"&gt;"&amp;TODAY(),C137,"&lt;="&amp;TODAY()+30)+COUNTIFS(D137,"&gt;"&amp;TODAY(),D137,"&lt;="&amp;TODAY()+30)+COUNTIFS(E137,"&gt;"&amp;TODAY(),E137,"&lt;="&amp;TODAY()+30)+COUNTIFS(F137,"&gt;"&amp;TODAY(),F137,"&lt;="&amp;TODAY()+30)&gt;0),Q137,"")</x:f>
      </x:c>
      <x:c r="M137" t="str">
        <x:f>IF(OR(LEFT(H137,15)="Missing dates; ",LEFT(H137,16)="Add N/A reason; ",H137="Add dates",H137="Add registration",H137="Check date format"),R137,"")</x:f>
      </x:c>
      <x:c r="N137" t="str">
        <x:f>IF(COUNTIFS(C137:F137,"Reviewed N/A")&gt;0,S137,"")</x:f>
      </x:c>
      <x:c r="O137" t="n">
        <x:f>O136+IF(AND(A137&lt;&gt;"",COUNTIFS(C137,"&gt;=36526",C137,"&lt;"&amp;TODAY())+COUNTIFS(D137,"&gt;=36526",D137,"&lt;"&amp;TODAY())+COUNTIFS(E137,"&gt;=36526",E137,"&lt;"&amp;TODAY())+COUNTIFS(F137,"&gt;=36526",F137,"&lt;"&amp;TODAY())&gt;0),1,0)</x:f>
        <x:v>0</x:v>
      </x:c>
      <x:c r="P137" t="n">
        <x:f>P136+IF(AND(A137&lt;&gt;"",COUNTIFS(C137,"&gt;=36526",C137,TODAY())+COUNTIFS(D137,"&gt;=36526",D137,TODAY())+COUNTIFS(E137,"&gt;=36526",E137,TODAY())+COUNTIFS(F137,"&gt;=36526",F137,TODAY())&gt;0),1,0)</x:f>
        <x:v>0</x:v>
      </x:c>
      <x:c r="Q137" t="n">
        <x:f>Q136+IF(AND(A137&lt;&gt;"",COUNTIFS(C137,"&gt;"&amp;TODAY(),C137,"&lt;="&amp;TODAY()+30)+COUNTIFS(D137,"&gt;"&amp;TODAY(),D137,"&lt;="&amp;TODAY()+30)+COUNTIFS(E137,"&gt;"&amp;TODAY(),E137,"&lt;="&amp;TODAY()+30)+COUNTIFS(F137,"&gt;"&amp;TODAY(),F137,"&lt;="&amp;TODAY()+30)&gt;0),1,0)</x:f>
        <x:v>0</x:v>
      </x:c>
      <x:c r="R137" t="n">
        <x:f>R136+IF(OR(LEFT(H137,15)="Missing dates; ",LEFT(H137,16)="Add N/A reason; ",H137="Add dates",H137="Add registration",H137="Check date format"),1,0)</x:f>
        <x:v>0</x:v>
      </x:c>
      <x:c r="S137" t="n">
        <x:f>S136+IF(COUNTIFS(C137:F137,"Reviewed N/A")&gt;0,1,0)</x:f>
        <x:v>0</x:v>
      </x:c>
    </x:row>
    <x:row r="138" ht="48" customHeight="1">
      <x:c r="A138" s="52"/>
      <x:c r="B138" s="52"/>
      <x:c r="C138" s="53"/>
      <x:c r="D138" s="53"/>
      <x:c r="E138" s="53"/>
      <x:c r="F138" s="53"/>
      <x:c r="G138" s="52"/>
      <x:c r="H138" s="21" t="str">
        <x:f>IF(COUNTA(A138:G138,I138)=0,"",IF(A138="","Add registration",IF(OR(COUNTA(C138:F138)&gt;COUNT(C138:F138)+COUNTIFS(C138:F138,"Reviewed N/A"),AND(COUNT(C138:F138)&gt;0,OR(MIN(C138:F138)&lt;36526,MAX(C138:F138)&gt;109574))),"Check date format",IF(AND(COUNTIFS(C138:F138,"Reviewed N/A")&gt;0,I138=""),"Add N/A reason; ","")&amp;IF(COUNT(C138:F138)=0,IF(COUNTIFS(C138:F138,"Reviewed N/A")=4,"No applicable dates recorded","Add dates"),IF(COUNT(C138:F138)+COUNTIFS(C138:F138,"Reviewed N/A")&lt;4,"Missing dates; ","")&amp;IF(MIN(C138:F138)&lt;TODAY(),"Overdue: ",IF(MIN(C138:F138)=TODAY(),"Due today: ",IF(MIN(C138:F138)&lt;=TODAY()+30,"Due within 30 days: ","Next: ")))&amp;INDEX($C$8:$F$8,1,MATCH(MIN(C138:F138),C138:F138,0))&amp;" "&amp;TEXT(MIN(C138:F138),"dd mmm yyyy")))))</x:f>
      </x:c>
      <x:c r="I138" s="52"/>
      <x:c r="J138" t="str">
        <x:f>IF(AND(A138&lt;&gt;"",COUNTIFS(C138,"&gt;=36526",C138,"&lt;"&amp;TODAY())+COUNTIFS(D138,"&gt;=36526",D138,"&lt;"&amp;TODAY())+COUNTIFS(E138,"&gt;=36526",E138,"&lt;"&amp;TODAY())+COUNTIFS(F138,"&gt;=36526",F138,"&lt;"&amp;TODAY())&gt;0),O138,"")</x:f>
      </x:c>
      <x:c r="K138" t="str">
        <x:f>IF(AND(A138&lt;&gt;"",COUNTIFS(C138,"&gt;=36526",C138,TODAY())+COUNTIFS(D138,"&gt;=36526",D138,TODAY())+COUNTIFS(E138,"&gt;=36526",E138,TODAY())+COUNTIFS(F138,"&gt;=36526",F138,TODAY())&gt;0),P138,"")</x:f>
      </x:c>
      <x:c r="L138" t="str">
        <x:f>IF(AND(A138&lt;&gt;"",COUNTIFS(C138,"&gt;"&amp;TODAY(),C138,"&lt;="&amp;TODAY()+30)+COUNTIFS(D138,"&gt;"&amp;TODAY(),D138,"&lt;="&amp;TODAY()+30)+COUNTIFS(E138,"&gt;"&amp;TODAY(),E138,"&lt;="&amp;TODAY()+30)+COUNTIFS(F138,"&gt;"&amp;TODAY(),F138,"&lt;="&amp;TODAY()+30)&gt;0),Q138,"")</x:f>
      </x:c>
      <x:c r="M138" t="str">
        <x:f>IF(OR(LEFT(H138,15)="Missing dates; ",LEFT(H138,16)="Add N/A reason; ",H138="Add dates",H138="Add registration",H138="Check date format"),R138,"")</x:f>
      </x:c>
      <x:c r="N138" t="str">
        <x:f>IF(COUNTIFS(C138:F138,"Reviewed N/A")&gt;0,S138,"")</x:f>
      </x:c>
      <x:c r="O138" t="n">
        <x:f>O137+IF(AND(A138&lt;&gt;"",COUNTIFS(C138,"&gt;=36526",C138,"&lt;"&amp;TODAY())+COUNTIFS(D138,"&gt;=36526",D138,"&lt;"&amp;TODAY())+COUNTIFS(E138,"&gt;=36526",E138,"&lt;"&amp;TODAY())+COUNTIFS(F138,"&gt;=36526",F138,"&lt;"&amp;TODAY())&gt;0),1,0)</x:f>
        <x:v>0</x:v>
      </x:c>
      <x:c r="P138" t="n">
        <x:f>P137+IF(AND(A138&lt;&gt;"",COUNTIFS(C138,"&gt;=36526",C138,TODAY())+COUNTIFS(D138,"&gt;=36526",D138,TODAY())+COUNTIFS(E138,"&gt;=36526",E138,TODAY())+COUNTIFS(F138,"&gt;=36526",F138,TODAY())&gt;0),1,0)</x:f>
        <x:v>0</x:v>
      </x:c>
      <x:c r="Q138" t="n">
        <x:f>Q137+IF(AND(A138&lt;&gt;"",COUNTIFS(C138,"&gt;"&amp;TODAY(),C138,"&lt;="&amp;TODAY()+30)+COUNTIFS(D138,"&gt;"&amp;TODAY(),D138,"&lt;="&amp;TODAY()+30)+COUNTIFS(E138,"&gt;"&amp;TODAY(),E138,"&lt;="&amp;TODAY()+30)+COUNTIFS(F138,"&gt;"&amp;TODAY(),F138,"&lt;="&amp;TODAY()+30)&gt;0),1,0)</x:f>
        <x:v>0</x:v>
      </x:c>
      <x:c r="R138" t="n">
        <x:f>R137+IF(OR(LEFT(H138,15)="Missing dates; ",LEFT(H138,16)="Add N/A reason; ",H138="Add dates",H138="Add registration",H138="Check date format"),1,0)</x:f>
        <x:v>0</x:v>
      </x:c>
      <x:c r="S138" t="n">
        <x:f>S137+IF(COUNTIFS(C138:F138,"Reviewed N/A")&gt;0,1,0)</x:f>
        <x:v>0</x:v>
      </x:c>
    </x:row>
    <x:row r="139" ht="48" customHeight="1">
      <x:c r="A139" s="52"/>
      <x:c r="B139" s="52"/>
      <x:c r="C139" s="53"/>
      <x:c r="D139" s="53"/>
      <x:c r="E139" s="53"/>
      <x:c r="F139" s="53"/>
      <x:c r="G139" s="52"/>
      <x:c r="H139" s="21" t="str">
        <x:f>IF(COUNTA(A139:G139,I139)=0,"",IF(A139="","Add registration",IF(OR(COUNTA(C139:F139)&gt;COUNT(C139:F139)+COUNTIFS(C139:F139,"Reviewed N/A"),AND(COUNT(C139:F139)&gt;0,OR(MIN(C139:F139)&lt;36526,MAX(C139:F139)&gt;109574))),"Check date format",IF(AND(COUNTIFS(C139:F139,"Reviewed N/A")&gt;0,I139=""),"Add N/A reason; ","")&amp;IF(COUNT(C139:F139)=0,IF(COUNTIFS(C139:F139,"Reviewed N/A")=4,"No applicable dates recorded","Add dates"),IF(COUNT(C139:F139)+COUNTIFS(C139:F139,"Reviewed N/A")&lt;4,"Missing dates; ","")&amp;IF(MIN(C139:F139)&lt;TODAY(),"Overdue: ",IF(MIN(C139:F139)=TODAY(),"Due today: ",IF(MIN(C139:F139)&lt;=TODAY()+30,"Due within 30 days: ","Next: ")))&amp;INDEX($C$8:$F$8,1,MATCH(MIN(C139:F139),C139:F139,0))&amp;" "&amp;TEXT(MIN(C139:F139),"dd mmm yyyy")))))</x:f>
      </x:c>
      <x:c r="I139" s="52"/>
      <x:c r="J139" t="str">
        <x:f>IF(AND(A139&lt;&gt;"",COUNTIFS(C139,"&gt;=36526",C139,"&lt;"&amp;TODAY())+COUNTIFS(D139,"&gt;=36526",D139,"&lt;"&amp;TODAY())+COUNTIFS(E139,"&gt;=36526",E139,"&lt;"&amp;TODAY())+COUNTIFS(F139,"&gt;=36526",F139,"&lt;"&amp;TODAY())&gt;0),O139,"")</x:f>
      </x:c>
      <x:c r="K139" t="str">
        <x:f>IF(AND(A139&lt;&gt;"",COUNTIFS(C139,"&gt;=36526",C139,TODAY())+COUNTIFS(D139,"&gt;=36526",D139,TODAY())+COUNTIFS(E139,"&gt;=36526",E139,TODAY())+COUNTIFS(F139,"&gt;=36526",F139,TODAY())&gt;0),P139,"")</x:f>
      </x:c>
      <x:c r="L139" t="str">
        <x:f>IF(AND(A139&lt;&gt;"",COUNTIFS(C139,"&gt;"&amp;TODAY(),C139,"&lt;="&amp;TODAY()+30)+COUNTIFS(D139,"&gt;"&amp;TODAY(),D139,"&lt;="&amp;TODAY()+30)+COUNTIFS(E139,"&gt;"&amp;TODAY(),E139,"&lt;="&amp;TODAY()+30)+COUNTIFS(F139,"&gt;"&amp;TODAY(),F139,"&lt;="&amp;TODAY()+30)&gt;0),Q139,"")</x:f>
      </x:c>
      <x:c r="M139" t="str">
        <x:f>IF(OR(LEFT(H139,15)="Missing dates; ",LEFT(H139,16)="Add N/A reason; ",H139="Add dates",H139="Add registration",H139="Check date format"),R139,"")</x:f>
      </x:c>
      <x:c r="N139" t="str">
        <x:f>IF(COUNTIFS(C139:F139,"Reviewed N/A")&gt;0,S139,"")</x:f>
      </x:c>
      <x:c r="O139" t="n">
        <x:f>O138+IF(AND(A139&lt;&gt;"",COUNTIFS(C139,"&gt;=36526",C139,"&lt;"&amp;TODAY())+COUNTIFS(D139,"&gt;=36526",D139,"&lt;"&amp;TODAY())+COUNTIFS(E139,"&gt;=36526",E139,"&lt;"&amp;TODAY())+COUNTIFS(F139,"&gt;=36526",F139,"&lt;"&amp;TODAY())&gt;0),1,0)</x:f>
        <x:v>0</x:v>
      </x:c>
      <x:c r="P139" t="n">
        <x:f>P138+IF(AND(A139&lt;&gt;"",COUNTIFS(C139,"&gt;=36526",C139,TODAY())+COUNTIFS(D139,"&gt;=36526",D139,TODAY())+COUNTIFS(E139,"&gt;=36526",E139,TODAY())+COUNTIFS(F139,"&gt;=36526",F139,TODAY())&gt;0),1,0)</x:f>
        <x:v>0</x:v>
      </x:c>
      <x:c r="Q139" t="n">
        <x:f>Q138+IF(AND(A139&lt;&gt;"",COUNTIFS(C139,"&gt;"&amp;TODAY(),C139,"&lt;="&amp;TODAY()+30)+COUNTIFS(D139,"&gt;"&amp;TODAY(),D139,"&lt;="&amp;TODAY()+30)+COUNTIFS(E139,"&gt;"&amp;TODAY(),E139,"&lt;="&amp;TODAY()+30)+COUNTIFS(F139,"&gt;"&amp;TODAY(),F139,"&lt;="&amp;TODAY()+30)&gt;0),1,0)</x:f>
        <x:v>0</x:v>
      </x:c>
      <x:c r="R139" t="n">
        <x:f>R138+IF(OR(LEFT(H139,15)="Missing dates; ",LEFT(H139,16)="Add N/A reason; ",H139="Add dates",H139="Add registration",H139="Check date format"),1,0)</x:f>
        <x:v>0</x:v>
      </x:c>
      <x:c r="S139" t="n">
        <x:f>S138+IF(COUNTIFS(C139:F139,"Reviewed N/A")&gt;0,1,0)</x:f>
        <x:v>0</x:v>
      </x:c>
    </x:row>
    <x:row r="140" ht="48" customHeight="1">
      <x:c r="A140" s="52"/>
      <x:c r="B140" s="52"/>
      <x:c r="C140" s="53"/>
      <x:c r="D140" s="53"/>
      <x:c r="E140" s="53"/>
      <x:c r="F140" s="53"/>
      <x:c r="G140" s="52"/>
      <x:c r="H140" s="21" t="str">
        <x:f>IF(COUNTA(A140:G140,I140)=0,"",IF(A140="","Add registration",IF(OR(COUNTA(C140:F140)&gt;COUNT(C140:F140)+COUNTIFS(C140:F140,"Reviewed N/A"),AND(COUNT(C140:F140)&gt;0,OR(MIN(C140:F140)&lt;36526,MAX(C140:F140)&gt;109574))),"Check date format",IF(AND(COUNTIFS(C140:F140,"Reviewed N/A")&gt;0,I140=""),"Add N/A reason; ","")&amp;IF(COUNT(C140:F140)=0,IF(COUNTIFS(C140:F140,"Reviewed N/A")=4,"No applicable dates recorded","Add dates"),IF(COUNT(C140:F140)+COUNTIFS(C140:F140,"Reviewed N/A")&lt;4,"Missing dates; ","")&amp;IF(MIN(C140:F140)&lt;TODAY(),"Overdue: ",IF(MIN(C140:F140)=TODAY(),"Due today: ",IF(MIN(C140:F140)&lt;=TODAY()+30,"Due within 30 days: ","Next: ")))&amp;INDEX($C$8:$F$8,1,MATCH(MIN(C140:F140),C140:F140,0))&amp;" "&amp;TEXT(MIN(C140:F140),"dd mmm yyyy")))))</x:f>
      </x:c>
      <x:c r="I140" s="52"/>
      <x:c r="J140" t="str">
        <x:f>IF(AND(A140&lt;&gt;"",COUNTIFS(C140,"&gt;=36526",C140,"&lt;"&amp;TODAY())+COUNTIFS(D140,"&gt;=36526",D140,"&lt;"&amp;TODAY())+COUNTIFS(E140,"&gt;=36526",E140,"&lt;"&amp;TODAY())+COUNTIFS(F140,"&gt;=36526",F140,"&lt;"&amp;TODAY())&gt;0),O140,"")</x:f>
      </x:c>
      <x:c r="K140" t="str">
        <x:f>IF(AND(A140&lt;&gt;"",COUNTIFS(C140,"&gt;=36526",C140,TODAY())+COUNTIFS(D140,"&gt;=36526",D140,TODAY())+COUNTIFS(E140,"&gt;=36526",E140,TODAY())+COUNTIFS(F140,"&gt;=36526",F140,TODAY())&gt;0),P140,"")</x:f>
      </x:c>
      <x:c r="L140" t="str">
        <x:f>IF(AND(A140&lt;&gt;"",COUNTIFS(C140,"&gt;"&amp;TODAY(),C140,"&lt;="&amp;TODAY()+30)+COUNTIFS(D140,"&gt;"&amp;TODAY(),D140,"&lt;="&amp;TODAY()+30)+COUNTIFS(E140,"&gt;"&amp;TODAY(),E140,"&lt;="&amp;TODAY()+30)+COUNTIFS(F140,"&gt;"&amp;TODAY(),F140,"&lt;="&amp;TODAY()+30)&gt;0),Q140,"")</x:f>
      </x:c>
      <x:c r="M140" t="str">
        <x:f>IF(OR(LEFT(H140,15)="Missing dates; ",LEFT(H140,16)="Add N/A reason; ",H140="Add dates",H140="Add registration",H140="Check date format"),R140,"")</x:f>
      </x:c>
      <x:c r="N140" t="str">
        <x:f>IF(COUNTIFS(C140:F140,"Reviewed N/A")&gt;0,S140,"")</x:f>
      </x:c>
      <x:c r="O140" t="n">
        <x:f>O139+IF(AND(A140&lt;&gt;"",COUNTIFS(C140,"&gt;=36526",C140,"&lt;"&amp;TODAY())+COUNTIFS(D140,"&gt;=36526",D140,"&lt;"&amp;TODAY())+COUNTIFS(E140,"&gt;=36526",E140,"&lt;"&amp;TODAY())+COUNTIFS(F140,"&gt;=36526",F140,"&lt;"&amp;TODAY())&gt;0),1,0)</x:f>
        <x:v>0</x:v>
      </x:c>
      <x:c r="P140" t="n">
        <x:f>P139+IF(AND(A140&lt;&gt;"",COUNTIFS(C140,"&gt;=36526",C140,TODAY())+COUNTIFS(D140,"&gt;=36526",D140,TODAY())+COUNTIFS(E140,"&gt;=36526",E140,TODAY())+COUNTIFS(F140,"&gt;=36526",F140,TODAY())&gt;0),1,0)</x:f>
        <x:v>0</x:v>
      </x:c>
      <x:c r="Q140" t="n">
        <x:f>Q139+IF(AND(A140&lt;&gt;"",COUNTIFS(C140,"&gt;"&amp;TODAY(),C140,"&lt;="&amp;TODAY()+30)+COUNTIFS(D140,"&gt;"&amp;TODAY(),D140,"&lt;="&amp;TODAY()+30)+COUNTIFS(E140,"&gt;"&amp;TODAY(),E140,"&lt;="&amp;TODAY()+30)+COUNTIFS(F140,"&gt;"&amp;TODAY(),F140,"&lt;="&amp;TODAY()+30)&gt;0),1,0)</x:f>
        <x:v>0</x:v>
      </x:c>
      <x:c r="R140" t="n">
        <x:f>R139+IF(OR(LEFT(H140,15)="Missing dates; ",LEFT(H140,16)="Add N/A reason; ",H140="Add dates",H140="Add registration",H140="Check date format"),1,0)</x:f>
        <x:v>0</x:v>
      </x:c>
      <x:c r="S140" t="n">
        <x:f>S139+IF(COUNTIFS(C140:F140,"Reviewed N/A")&gt;0,1,0)</x:f>
        <x:v>0</x:v>
      </x:c>
    </x:row>
    <x:row r="141" ht="48" customHeight="1">
      <x:c r="A141" s="52"/>
      <x:c r="B141" s="52"/>
      <x:c r="C141" s="53"/>
      <x:c r="D141" s="53"/>
      <x:c r="E141" s="53"/>
      <x:c r="F141" s="53"/>
      <x:c r="G141" s="52"/>
      <x:c r="H141" s="21" t="str">
        <x:f>IF(COUNTA(A141:G141,I141)=0,"",IF(A141="","Add registration",IF(OR(COUNTA(C141:F141)&gt;COUNT(C141:F141)+COUNTIFS(C141:F141,"Reviewed N/A"),AND(COUNT(C141:F141)&gt;0,OR(MIN(C141:F141)&lt;36526,MAX(C141:F141)&gt;109574))),"Check date format",IF(AND(COUNTIFS(C141:F141,"Reviewed N/A")&gt;0,I141=""),"Add N/A reason; ","")&amp;IF(COUNT(C141:F141)=0,IF(COUNTIFS(C141:F141,"Reviewed N/A")=4,"No applicable dates recorded","Add dates"),IF(COUNT(C141:F141)+COUNTIFS(C141:F141,"Reviewed N/A")&lt;4,"Missing dates; ","")&amp;IF(MIN(C141:F141)&lt;TODAY(),"Overdue: ",IF(MIN(C141:F141)=TODAY(),"Due today: ",IF(MIN(C141:F141)&lt;=TODAY()+30,"Due within 30 days: ","Next: ")))&amp;INDEX($C$8:$F$8,1,MATCH(MIN(C141:F141),C141:F141,0))&amp;" "&amp;TEXT(MIN(C141:F141),"dd mmm yyyy")))))</x:f>
      </x:c>
      <x:c r="I141" s="52"/>
      <x:c r="J141" t="str">
        <x:f>IF(AND(A141&lt;&gt;"",COUNTIFS(C141,"&gt;=36526",C141,"&lt;"&amp;TODAY())+COUNTIFS(D141,"&gt;=36526",D141,"&lt;"&amp;TODAY())+COUNTIFS(E141,"&gt;=36526",E141,"&lt;"&amp;TODAY())+COUNTIFS(F141,"&gt;=36526",F141,"&lt;"&amp;TODAY())&gt;0),O141,"")</x:f>
      </x:c>
      <x:c r="K141" t="str">
        <x:f>IF(AND(A141&lt;&gt;"",COUNTIFS(C141,"&gt;=36526",C141,TODAY())+COUNTIFS(D141,"&gt;=36526",D141,TODAY())+COUNTIFS(E141,"&gt;=36526",E141,TODAY())+COUNTIFS(F141,"&gt;=36526",F141,TODAY())&gt;0),P141,"")</x:f>
      </x:c>
      <x:c r="L141" t="str">
        <x:f>IF(AND(A141&lt;&gt;"",COUNTIFS(C141,"&gt;"&amp;TODAY(),C141,"&lt;="&amp;TODAY()+30)+COUNTIFS(D141,"&gt;"&amp;TODAY(),D141,"&lt;="&amp;TODAY()+30)+COUNTIFS(E141,"&gt;"&amp;TODAY(),E141,"&lt;="&amp;TODAY()+30)+COUNTIFS(F141,"&gt;"&amp;TODAY(),F141,"&lt;="&amp;TODAY()+30)&gt;0),Q141,"")</x:f>
      </x:c>
      <x:c r="M141" t="str">
        <x:f>IF(OR(LEFT(H141,15)="Missing dates; ",LEFT(H141,16)="Add N/A reason; ",H141="Add dates",H141="Add registration",H141="Check date format"),R141,"")</x:f>
      </x:c>
      <x:c r="N141" t="str">
        <x:f>IF(COUNTIFS(C141:F141,"Reviewed N/A")&gt;0,S141,"")</x:f>
      </x:c>
      <x:c r="O141" t="n">
        <x:f>O140+IF(AND(A141&lt;&gt;"",COUNTIFS(C141,"&gt;=36526",C141,"&lt;"&amp;TODAY())+COUNTIFS(D141,"&gt;=36526",D141,"&lt;"&amp;TODAY())+COUNTIFS(E141,"&gt;=36526",E141,"&lt;"&amp;TODAY())+COUNTIFS(F141,"&gt;=36526",F141,"&lt;"&amp;TODAY())&gt;0),1,0)</x:f>
        <x:v>0</x:v>
      </x:c>
      <x:c r="P141" t="n">
        <x:f>P140+IF(AND(A141&lt;&gt;"",COUNTIFS(C141,"&gt;=36526",C141,TODAY())+COUNTIFS(D141,"&gt;=36526",D141,TODAY())+COUNTIFS(E141,"&gt;=36526",E141,TODAY())+COUNTIFS(F141,"&gt;=36526",F141,TODAY())&gt;0),1,0)</x:f>
        <x:v>0</x:v>
      </x:c>
      <x:c r="Q141" t="n">
        <x:f>Q140+IF(AND(A141&lt;&gt;"",COUNTIFS(C141,"&gt;"&amp;TODAY(),C141,"&lt;="&amp;TODAY()+30)+COUNTIFS(D141,"&gt;"&amp;TODAY(),D141,"&lt;="&amp;TODAY()+30)+COUNTIFS(E141,"&gt;"&amp;TODAY(),E141,"&lt;="&amp;TODAY()+30)+COUNTIFS(F141,"&gt;"&amp;TODAY(),F141,"&lt;="&amp;TODAY()+30)&gt;0),1,0)</x:f>
        <x:v>0</x:v>
      </x:c>
      <x:c r="R141" t="n">
        <x:f>R140+IF(OR(LEFT(H141,15)="Missing dates; ",LEFT(H141,16)="Add N/A reason; ",H141="Add dates",H141="Add registration",H141="Check date format"),1,0)</x:f>
        <x:v>0</x:v>
      </x:c>
      <x:c r="S141" t="n">
        <x:f>S140+IF(COUNTIFS(C141:F141,"Reviewed N/A")&gt;0,1,0)</x:f>
        <x:v>0</x:v>
      </x:c>
    </x:row>
    <x:row r="142" ht="48" customHeight="1">
      <x:c r="A142" s="52"/>
      <x:c r="B142" s="52"/>
      <x:c r="C142" s="53"/>
      <x:c r="D142" s="53"/>
      <x:c r="E142" s="53"/>
      <x:c r="F142" s="53"/>
      <x:c r="G142" s="52"/>
      <x:c r="H142" s="21" t="str">
        <x:f>IF(COUNTA(A142:G142,I142)=0,"",IF(A142="","Add registration",IF(OR(COUNTA(C142:F142)&gt;COUNT(C142:F142)+COUNTIFS(C142:F142,"Reviewed N/A"),AND(COUNT(C142:F142)&gt;0,OR(MIN(C142:F142)&lt;36526,MAX(C142:F142)&gt;109574))),"Check date format",IF(AND(COUNTIFS(C142:F142,"Reviewed N/A")&gt;0,I142=""),"Add N/A reason; ","")&amp;IF(COUNT(C142:F142)=0,IF(COUNTIFS(C142:F142,"Reviewed N/A")=4,"No applicable dates recorded","Add dates"),IF(COUNT(C142:F142)+COUNTIFS(C142:F142,"Reviewed N/A")&lt;4,"Missing dates; ","")&amp;IF(MIN(C142:F142)&lt;TODAY(),"Overdue: ",IF(MIN(C142:F142)=TODAY(),"Due today: ",IF(MIN(C142:F142)&lt;=TODAY()+30,"Due within 30 days: ","Next: ")))&amp;INDEX($C$8:$F$8,1,MATCH(MIN(C142:F142),C142:F142,0))&amp;" "&amp;TEXT(MIN(C142:F142),"dd mmm yyyy")))))</x:f>
      </x:c>
      <x:c r="I142" s="52"/>
      <x:c r="J142" t="str">
        <x:f>IF(AND(A142&lt;&gt;"",COUNTIFS(C142,"&gt;=36526",C142,"&lt;"&amp;TODAY())+COUNTIFS(D142,"&gt;=36526",D142,"&lt;"&amp;TODAY())+COUNTIFS(E142,"&gt;=36526",E142,"&lt;"&amp;TODAY())+COUNTIFS(F142,"&gt;=36526",F142,"&lt;"&amp;TODAY())&gt;0),O142,"")</x:f>
      </x:c>
      <x:c r="K142" t="str">
        <x:f>IF(AND(A142&lt;&gt;"",COUNTIFS(C142,"&gt;=36526",C142,TODAY())+COUNTIFS(D142,"&gt;=36526",D142,TODAY())+COUNTIFS(E142,"&gt;=36526",E142,TODAY())+COUNTIFS(F142,"&gt;=36526",F142,TODAY())&gt;0),P142,"")</x:f>
      </x:c>
      <x:c r="L142" t="str">
        <x:f>IF(AND(A142&lt;&gt;"",COUNTIFS(C142,"&gt;"&amp;TODAY(),C142,"&lt;="&amp;TODAY()+30)+COUNTIFS(D142,"&gt;"&amp;TODAY(),D142,"&lt;="&amp;TODAY()+30)+COUNTIFS(E142,"&gt;"&amp;TODAY(),E142,"&lt;="&amp;TODAY()+30)+COUNTIFS(F142,"&gt;"&amp;TODAY(),F142,"&lt;="&amp;TODAY()+30)&gt;0),Q142,"")</x:f>
      </x:c>
      <x:c r="M142" t="str">
        <x:f>IF(OR(LEFT(H142,15)="Missing dates; ",LEFT(H142,16)="Add N/A reason; ",H142="Add dates",H142="Add registration",H142="Check date format"),R142,"")</x:f>
      </x:c>
      <x:c r="N142" t="str">
        <x:f>IF(COUNTIFS(C142:F142,"Reviewed N/A")&gt;0,S142,"")</x:f>
      </x:c>
      <x:c r="O142" t="n">
        <x:f>O141+IF(AND(A142&lt;&gt;"",COUNTIFS(C142,"&gt;=36526",C142,"&lt;"&amp;TODAY())+COUNTIFS(D142,"&gt;=36526",D142,"&lt;"&amp;TODAY())+COUNTIFS(E142,"&gt;=36526",E142,"&lt;"&amp;TODAY())+COUNTIFS(F142,"&gt;=36526",F142,"&lt;"&amp;TODAY())&gt;0),1,0)</x:f>
        <x:v>0</x:v>
      </x:c>
      <x:c r="P142" t="n">
        <x:f>P141+IF(AND(A142&lt;&gt;"",COUNTIFS(C142,"&gt;=36526",C142,TODAY())+COUNTIFS(D142,"&gt;=36526",D142,TODAY())+COUNTIFS(E142,"&gt;=36526",E142,TODAY())+COUNTIFS(F142,"&gt;=36526",F142,TODAY())&gt;0),1,0)</x:f>
        <x:v>0</x:v>
      </x:c>
      <x:c r="Q142" t="n">
        <x:f>Q141+IF(AND(A142&lt;&gt;"",COUNTIFS(C142,"&gt;"&amp;TODAY(),C142,"&lt;="&amp;TODAY()+30)+COUNTIFS(D142,"&gt;"&amp;TODAY(),D142,"&lt;="&amp;TODAY()+30)+COUNTIFS(E142,"&gt;"&amp;TODAY(),E142,"&lt;="&amp;TODAY()+30)+COUNTIFS(F142,"&gt;"&amp;TODAY(),F142,"&lt;="&amp;TODAY()+30)&gt;0),1,0)</x:f>
        <x:v>0</x:v>
      </x:c>
      <x:c r="R142" t="n">
        <x:f>R141+IF(OR(LEFT(H142,15)="Missing dates; ",LEFT(H142,16)="Add N/A reason; ",H142="Add dates",H142="Add registration",H142="Check date format"),1,0)</x:f>
        <x:v>0</x:v>
      </x:c>
      <x:c r="S142" t="n">
        <x:f>S141+IF(COUNTIFS(C142:F142,"Reviewed N/A")&gt;0,1,0)</x:f>
        <x:v>0</x:v>
      </x:c>
    </x:row>
    <x:row r="143" ht="48" customHeight="1">
      <x:c r="A143" s="52"/>
      <x:c r="B143" s="52"/>
      <x:c r="C143" s="53"/>
      <x:c r="D143" s="53"/>
      <x:c r="E143" s="53"/>
      <x:c r="F143" s="53"/>
      <x:c r="G143" s="52"/>
      <x:c r="H143" s="21" t="str">
        <x:f>IF(COUNTA(A143:G143,I143)=0,"",IF(A143="","Add registration",IF(OR(COUNTA(C143:F143)&gt;COUNT(C143:F143)+COUNTIFS(C143:F143,"Reviewed N/A"),AND(COUNT(C143:F143)&gt;0,OR(MIN(C143:F143)&lt;36526,MAX(C143:F143)&gt;109574))),"Check date format",IF(AND(COUNTIFS(C143:F143,"Reviewed N/A")&gt;0,I143=""),"Add N/A reason; ","")&amp;IF(COUNT(C143:F143)=0,IF(COUNTIFS(C143:F143,"Reviewed N/A")=4,"No applicable dates recorded","Add dates"),IF(COUNT(C143:F143)+COUNTIFS(C143:F143,"Reviewed N/A")&lt;4,"Missing dates; ","")&amp;IF(MIN(C143:F143)&lt;TODAY(),"Overdue: ",IF(MIN(C143:F143)=TODAY(),"Due today: ",IF(MIN(C143:F143)&lt;=TODAY()+30,"Due within 30 days: ","Next: ")))&amp;INDEX($C$8:$F$8,1,MATCH(MIN(C143:F143),C143:F143,0))&amp;" "&amp;TEXT(MIN(C143:F143),"dd mmm yyyy")))))</x:f>
      </x:c>
      <x:c r="I143" s="52"/>
      <x:c r="J143" t="str">
        <x:f>IF(AND(A143&lt;&gt;"",COUNTIFS(C143,"&gt;=36526",C143,"&lt;"&amp;TODAY())+COUNTIFS(D143,"&gt;=36526",D143,"&lt;"&amp;TODAY())+COUNTIFS(E143,"&gt;=36526",E143,"&lt;"&amp;TODAY())+COUNTIFS(F143,"&gt;=36526",F143,"&lt;"&amp;TODAY())&gt;0),O143,"")</x:f>
      </x:c>
      <x:c r="K143" t="str">
        <x:f>IF(AND(A143&lt;&gt;"",COUNTIFS(C143,"&gt;=36526",C143,TODAY())+COUNTIFS(D143,"&gt;=36526",D143,TODAY())+COUNTIFS(E143,"&gt;=36526",E143,TODAY())+COUNTIFS(F143,"&gt;=36526",F143,TODAY())&gt;0),P143,"")</x:f>
      </x:c>
      <x:c r="L143" t="str">
        <x:f>IF(AND(A143&lt;&gt;"",COUNTIFS(C143,"&gt;"&amp;TODAY(),C143,"&lt;="&amp;TODAY()+30)+COUNTIFS(D143,"&gt;"&amp;TODAY(),D143,"&lt;="&amp;TODAY()+30)+COUNTIFS(E143,"&gt;"&amp;TODAY(),E143,"&lt;="&amp;TODAY()+30)+COUNTIFS(F143,"&gt;"&amp;TODAY(),F143,"&lt;="&amp;TODAY()+30)&gt;0),Q143,"")</x:f>
      </x:c>
      <x:c r="M143" t="str">
        <x:f>IF(OR(LEFT(H143,15)="Missing dates; ",LEFT(H143,16)="Add N/A reason; ",H143="Add dates",H143="Add registration",H143="Check date format"),R143,"")</x:f>
      </x:c>
      <x:c r="N143" t="str">
        <x:f>IF(COUNTIFS(C143:F143,"Reviewed N/A")&gt;0,S143,"")</x:f>
      </x:c>
      <x:c r="O143" t="n">
        <x:f>O142+IF(AND(A143&lt;&gt;"",COUNTIFS(C143,"&gt;=36526",C143,"&lt;"&amp;TODAY())+COUNTIFS(D143,"&gt;=36526",D143,"&lt;"&amp;TODAY())+COUNTIFS(E143,"&gt;=36526",E143,"&lt;"&amp;TODAY())+COUNTIFS(F143,"&gt;=36526",F143,"&lt;"&amp;TODAY())&gt;0),1,0)</x:f>
        <x:v>0</x:v>
      </x:c>
      <x:c r="P143" t="n">
        <x:f>P142+IF(AND(A143&lt;&gt;"",COUNTIFS(C143,"&gt;=36526",C143,TODAY())+COUNTIFS(D143,"&gt;=36526",D143,TODAY())+COUNTIFS(E143,"&gt;=36526",E143,TODAY())+COUNTIFS(F143,"&gt;=36526",F143,TODAY())&gt;0),1,0)</x:f>
        <x:v>0</x:v>
      </x:c>
      <x:c r="Q143" t="n">
        <x:f>Q142+IF(AND(A143&lt;&gt;"",COUNTIFS(C143,"&gt;"&amp;TODAY(),C143,"&lt;="&amp;TODAY()+30)+COUNTIFS(D143,"&gt;"&amp;TODAY(),D143,"&lt;="&amp;TODAY()+30)+COUNTIFS(E143,"&gt;"&amp;TODAY(),E143,"&lt;="&amp;TODAY()+30)+COUNTIFS(F143,"&gt;"&amp;TODAY(),F143,"&lt;="&amp;TODAY()+30)&gt;0),1,0)</x:f>
        <x:v>0</x:v>
      </x:c>
      <x:c r="R143" t="n">
        <x:f>R142+IF(OR(LEFT(H143,15)="Missing dates; ",LEFT(H143,16)="Add N/A reason; ",H143="Add dates",H143="Add registration",H143="Check date format"),1,0)</x:f>
        <x:v>0</x:v>
      </x:c>
      <x:c r="S143" t="n">
        <x:f>S142+IF(COUNTIFS(C143:F143,"Reviewed N/A")&gt;0,1,0)</x:f>
        <x:v>0</x:v>
      </x:c>
    </x:row>
    <x:row r="144" ht="48" customHeight="1">
      <x:c r="A144" s="52"/>
      <x:c r="B144" s="52"/>
      <x:c r="C144" s="53"/>
      <x:c r="D144" s="53"/>
      <x:c r="E144" s="53"/>
      <x:c r="F144" s="53"/>
      <x:c r="G144" s="52"/>
      <x:c r="H144" s="21" t="str">
        <x:f>IF(COUNTA(A144:G144,I144)=0,"",IF(A144="","Add registration",IF(OR(COUNTA(C144:F144)&gt;COUNT(C144:F144)+COUNTIFS(C144:F144,"Reviewed N/A"),AND(COUNT(C144:F144)&gt;0,OR(MIN(C144:F144)&lt;36526,MAX(C144:F144)&gt;109574))),"Check date format",IF(AND(COUNTIFS(C144:F144,"Reviewed N/A")&gt;0,I144=""),"Add N/A reason; ","")&amp;IF(COUNT(C144:F144)=0,IF(COUNTIFS(C144:F144,"Reviewed N/A")=4,"No applicable dates recorded","Add dates"),IF(COUNT(C144:F144)+COUNTIFS(C144:F144,"Reviewed N/A")&lt;4,"Missing dates; ","")&amp;IF(MIN(C144:F144)&lt;TODAY(),"Overdue: ",IF(MIN(C144:F144)=TODAY(),"Due today: ",IF(MIN(C144:F144)&lt;=TODAY()+30,"Due within 30 days: ","Next: ")))&amp;INDEX($C$8:$F$8,1,MATCH(MIN(C144:F144),C144:F144,0))&amp;" "&amp;TEXT(MIN(C144:F144),"dd mmm yyyy")))))</x:f>
      </x:c>
      <x:c r="I144" s="52"/>
      <x:c r="J144" t="str">
        <x:f>IF(AND(A144&lt;&gt;"",COUNTIFS(C144,"&gt;=36526",C144,"&lt;"&amp;TODAY())+COUNTIFS(D144,"&gt;=36526",D144,"&lt;"&amp;TODAY())+COUNTIFS(E144,"&gt;=36526",E144,"&lt;"&amp;TODAY())+COUNTIFS(F144,"&gt;=36526",F144,"&lt;"&amp;TODAY())&gt;0),O144,"")</x:f>
      </x:c>
      <x:c r="K144" t="str">
        <x:f>IF(AND(A144&lt;&gt;"",COUNTIFS(C144,"&gt;=36526",C144,TODAY())+COUNTIFS(D144,"&gt;=36526",D144,TODAY())+COUNTIFS(E144,"&gt;=36526",E144,TODAY())+COUNTIFS(F144,"&gt;=36526",F144,TODAY())&gt;0),P144,"")</x:f>
      </x:c>
      <x:c r="L144" t="str">
        <x:f>IF(AND(A144&lt;&gt;"",COUNTIFS(C144,"&gt;"&amp;TODAY(),C144,"&lt;="&amp;TODAY()+30)+COUNTIFS(D144,"&gt;"&amp;TODAY(),D144,"&lt;="&amp;TODAY()+30)+COUNTIFS(E144,"&gt;"&amp;TODAY(),E144,"&lt;="&amp;TODAY()+30)+COUNTIFS(F144,"&gt;"&amp;TODAY(),F144,"&lt;="&amp;TODAY()+30)&gt;0),Q144,"")</x:f>
      </x:c>
      <x:c r="M144" t="str">
        <x:f>IF(OR(LEFT(H144,15)="Missing dates; ",LEFT(H144,16)="Add N/A reason; ",H144="Add dates",H144="Add registration",H144="Check date format"),R144,"")</x:f>
      </x:c>
      <x:c r="N144" t="str">
        <x:f>IF(COUNTIFS(C144:F144,"Reviewed N/A")&gt;0,S144,"")</x:f>
      </x:c>
      <x:c r="O144" t="n">
        <x:f>O143+IF(AND(A144&lt;&gt;"",COUNTIFS(C144,"&gt;=36526",C144,"&lt;"&amp;TODAY())+COUNTIFS(D144,"&gt;=36526",D144,"&lt;"&amp;TODAY())+COUNTIFS(E144,"&gt;=36526",E144,"&lt;"&amp;TODAY())+COUNTIFS(F144,"&gt;=36526",F144,"&lt;"&amp;TODAY())&gt;0),1,0)</x:f>
        <x:v>0</x:v>
      </x:c>
      <x:c r="P144" t="n">
        <x:f>P143+IF(AND(A144&lt;&gt;"",COUNTIFS(C144,"&gt;=36526",C144,TODAY())+COUNTIFS(D144,"&gt;=36526",D144,TODAY())+COUNTIFS(E144,"&gt;=36526",E144,TODAY())+COUNTIFS(F144,"&gt;=36526",F144,TODAY())&gt;0),1,0)</x:f>
        <x:v>0</x:v>
      </x:c>
      <x:c r="Q144" t="n">
        <x:f>Q143+IF(AND(A144&lt;&gt;"",COUNTIFS(C144,"&gt;"&amp;TODAY(),C144,"&lt;="&amp;TODAY()+30)+COUNTIFS(D144,"&gt;"&amp;TODAY(),D144,"&lt;="&amp;TODAY()+30)+COUNTIFS(E144,"&gt;"&amp;TODAY(),E144,"&lt;="&amp;TODAY()+30)+COUNTIFS(F144,"&gt;"&amp;TODAY(),F144,"&lt;="&amp;TODAY()+30)&gt;0),1,0)</x:f>
        <x:v>0</x:v>
      </x:c>
      <x:c r="R144" t="n">
        <x:f>R143+IF(OR(LEFT(H144,15)="Missing dates; ",LEFT(H144,16)="Add N/A reason; ",H144="Add dates",H144="Add registration",H144="Check date format"),1,0)</x:f>
        <x:v>0</x:v>
      </x:c>
      <x:c r="S144" t="n">
        <x:f>S143+IF(COUNTIFS(C144:F144,"Reviewed N/A")&gt;0,1,0)</x:f>
        <x:v>0</x:v>
      </x:c>
    </x:row>
    <x:row r="145" ht="48" customHeight="1">
      <x:c r="A145" s="52"/>
      <x:c r="B145" s="52"/>
      <x:c r="C145" s="53"/>
      <x:c r="D145" s="53"/>
      <x:c r="E145" s="53"/>
      <x:c r="F145" s="53"/>
      <x:c r="G145" s="52"/>
      <x:c r="H145" s="21" t="str">
        <x:f>IF(COUNTA(A145:G145,I145)=0,"",IF(A145="","Add registration",IF(OR(COUNTA(C145:F145)&gt;COUNT(C145:F145)+COUNTIFS(C145:F145,"Reviewed N/A"),AND(COUNT(C145:F145)&gt;0,OR(MIN(C145:F145)&lt;36526,MAX(C145:F145)&gt;109574))),"Check date format",IF(AND(COUNTIFS(C145:F145,"Reviewed N/A")&gt;0,I145=""),"Add N/A reason; ","")&amp;IF(COUNT(C145:F145)=0,IF(COUNTIFS(C145:F145,"Reviewed N/A")=4,"No applicable dates recorded","Add dates"),IF(COUNT(C145:F145)+COUNTIFS(C145:F145,"Reviewed N/A")&lt;4,"Missing dates; ","")&amp;IF(MIN(C145:F145)&lt;TODAY(),"Overdue: ",IF(MIN(C145:F145)=TODAY(),"Due today: ",IF(MIN(C145:F145)&lt;=TODAY()+30,"Due within 30 days: ","Next: ")))&amp;INDEX($C$8:$F$8,1,MATCH(MIN(C145:F145),C145:F145,0))&amp;" "&amp;TEXT(MIN(C145:F145),"dd mmm yyyy")))))</x:f>
      </x:c>
      <x:c r="I145" s="52"/>
      <x:c r="J145" t="str">
        <x:f>IF(AND(A145&lt;&gt;"",COUNTIFS(C145,"&gt;=36526",C145,"&lt;"&amp;TODAY())+COUNTIFS(D145,"&gt;=36526",D145,"&lt;"&amp;TODAY())+COUNTIFS(E145,"&gt;=36526",E145,"&lt;"&amp;TODAY())+COUNTIFS(F145,"&gt;=36526",F145,"&lt;"&amp;TODAY())&gt;0),O145,"")</x:f>
      </x:c>
      <x:c r="K145" t="str">
        <x:f>IF(AND(A145&lt;&gt;"",COUNTIFS(C145,"&gt;=36526",C145,TODAY())+COUNTIFS(D145,"&gt;=36526",D145,TODAY())+COUNTIFS(E145,"&gt;=36526",E145,TODAY())+COUNTIFS(F145,"&gt;=36526",F145,TODAY())&gt;0),P145,"")</x:f>
      </x:c>
      <x:c r="L145" t="str">
        <x:f>IF(AND(A145&lt;&gt;"",COUNTIFS(C145,"&gt;"&amp;TODAY(),C145,"&lt;="&amp;TODAY()+30)+COUNTIFS(D145,"&gt;"&amp;TODAY(),D145,"&lt;="&amp;TODAY()+30)+COUNTIFS(E145,"&gt;"&amp;TODAY(),E145,"&lt;="&amp;TODAY()+30)+COUNTIFS(F145,"&gt;"&amp;TODAY(),F145,"&lt;="&amp;TODAY()+30)&gt;0),Q145,"")</x:f>
      </x:c>
      <x:c r="M145" t="str">
        <x:f>IF(OR(LEFT(H145,15)="Missing dates; ",LEFT(H145,16)="Add N/A reason; ",H145="Add dates",H145="Add registration",H145="Check date format"),R145,"")</x:f>
      </x:c>
      <x:c r="N145" t="str">
        <x:f>IF(COUNTIFS(C145:F145,"Reviewed N/A")&gt;0,S145,"")</x:f>
      </x:c>
      <x:c r="O145" t="n">
        <x:f>O144+IF(AND(A145&lt;&gt;"",COUNTIFS(C145,"&gt;=36526",C145,"&lt;"&amp;TODAY())+COUNTIFS(D145,"&gt;=36526",D145,"&lt;"&amp;TODAY())+COUNTIFS(E145,"&gt;=36526",E145,"&lt;"&amp;TODAY())+COUNTIFS(F145,"&gt;=36526",F145,"&lt;"&amp;TODAY())&gt;0),1,0)</x:f>
        <x:v>0</x:v>
      </x:c>
      <x:c r="P145" t="n">
        <x:f>P144+IF(AND(A145&lt;&gt;"",COUNTIFS(C145,"&gt;=36526",C145,TODAY())+COUNTIFS(D145,"&gt;=36526",D145,TODAY())+COUNTIFS(E145,"&gt;=36526",E145,TODAY())+COUNTIFS(F145,"&gt;=36526",F145,TODAY())&gt;0),1,0)</x:f>
        <x:v>0</x:v>
      </x:c>
      <x:c r="Q145" t="n">
        <x:f>Q144+IF(AND(A145&lt;&gt;"",COUNTIFS(C145,"&gt;"&amp;TODAY(),C145,"&lt;="&amp;TODAY()+30)+COUNTIFS(D145,"&gt;"&amp;TODAY(),D145,"&lt;="&amp;TODAY()+30)+COUNTIFS(E145,"&gt;"&amp;TODAY(),E145,"&lt;="&amp;TODAY()+30)+COUNTIFS(F145,"&gt;"&amp;TODAY(),F145,"&lt;="&amp;TODAY()+30)&gt;0),1,0)</x:f>
        <x:v>0</x:v>
      </x:c>
      <x:c r="R145" t="n">
        <x:f>R144+IF(OR(LEFT(H145,15)="Missing dates; ",LEFT(H145,16)="Add N/A reason; ",H145="Add dates",H145="Add registration",H145="Check date format"),1,0)</x:f>
        <x:v>0</x:v>
      </x:c>
      <x:c r="S145" t="n">
        <x:f>S144+IF(COUNTIFS(C145:F145,"Reviewed N/A")&gt;0,1,0)</x:f>
        <x:v>0</x:v>
      </x:c>
    </x:row>
    <x:row r="146" ht="48" customHeight="1">
      <x:c r="A146" s="52"/>
      <x:c r="B146" s="52"/>
      <x:c r="C146" s="53"/>
      <x:c r="D146" s="53"/>
      <x:c r="E146" s="53"/>
      <x:c r="F146" s="53"/>
      <x:c r="G146" s="52"/>
      <x:c r="H146" s="21" t="str">
        <x:f>IF(COUNTA(A146:G146,I146)=0,"",IF(A146="","Add registration",IF(OR(COUNTA(C146:F146)&gt;COUNT(C146:F146)+COUNTIFS(C146:F146,"Reviewed N/A"),AND(COUNT(C146:F146)&gt;0,OR(MIN(C146:F146)&lt;36526,MAX(C146:F146)&gt;109574))),"Check date format",IF(AND(COUNTIFS(C146:F146,"Reviewed N/A")&gt;0,I146=""),"Add N/A reason; ","")&amp;IF(COUNT(C146:F146)=0,IF(COUNTIFS(C146:F146,"Reviewed N/A")=4,"No applicable dates recorded","Add dates"),IF(COUNT(C146:F146)+COUNTIFS(C146:F146,"Reviewed N/A")&lt;4,"Missing dates; ","")&amp;IF(MIN(C146:F146)&lt;TODAY(),"Overdue: ",IF(MIN(C146:F146)=TODAY(),"Due today: ",IF(MIN(C146:F146)&lt;=TODAY()+30,"Due within 30 days: ","Next: ")))&amp;INDEX($C$8:$F$8,1,MATCH(MIN(C146:F146),C146:F146,0))&amp;" "&amp;TEXT(MIN(C146:F146),"dd mmm yyyy")))))</x:f>
      </x:c>
      <x:c r="I146" s="52"/>
      <x:c r="J146" t="str">
        <x:f>IF(AND(A146&lt;&gt;"",COUNTIFS(C146,"&gt;=36526",C146,"&lt;"&amp;TODAY())+COUNTIFS(D146,"&gt;=36526",D146,"&lt;"&amp;TODAY())+COUNTIFS(E146,"&gt;=36526",E146,"&lt;"&amp;TODAY())+COUNTIFS(F146,"&gt;=36526",F146,"&lt;"&amp;TODAY())&gt;0),O146,"")</x:f>
      </x:c>
      <x:c r="K146" t="str">
        <x:f>IF(AND(A146&lt;&gt;"",COUNTIFS(C146,"&gt;=36526",C146,TODAY())+COUNTIFS(D146,"&gt;=36526",D146,TODAY())+COUNTIFS(E146,"&gt;=36526",E146,TODAY())+COUNTIFS(F146,"&gt;=36526",F146,TODAY())&gt;0),P146,"")</x:f>
      </x:c>
      <x:c r="L146" t="str">
        <x:f>IF(AND(A146&lt;&gt;"",COUNTIFS(C146,"&gt;"&amp;TODAY(),C146,"&lt;="&amp;TODAY()+30)+COUNTIFS(D146,"&gt;"&amp;TODAY(),D146,"&lt;="&amp;TODAY()+30)+COUNTIFS(E146,"&gt;"&amp;TODAY(),E146,"&lt;="&amp;TODAY()+30)+COUNTIFS(F146,"&gt;"&amp;TODAY(),F146,"&lt;="&amp;TODAY()+30)&gt;0),Q146,"")</x:f>
      </x:c>
      <x:c r="M146" t="str">
        <x:f>IF(OR(LEFT(H146,15)="Missing dates; ",LEFT(H146,16)="Add N/A reason; ",H146="Add dates",H146="Add registration",H146="Check date format"),R146,"")</x:f>
      </x:c>
      <x:c r="N146" t="str">
        <x:f>IF(COUNTIFS(C146:F146,"Reviewed N/A")&gt;0,S146,"")</x:f>
      </x:c>
      <x:c r="O146" t="n">
        <x:f>O145+IF(AND(A146&lt;&gt;"",COUNTIFS(C146,"&gt;=36526",C146,"&lt;"&amp;TODAY())+COUNTIFS(D146,"&gt;=36526",D146,"&lt;"&amp;TODAY())+COUNTIFS(E146,"&gt;=36526",E146,"&lt;"&amp;TODAY())+COUNTIFS(F146,"&gt;=36526",F146,"&lt;"&amp;TODAY())&gt;0),1,0)</x:f>
        <x:v>0</x:v>
      </x:c>
      <x:c r="P146" t="n">
        <x:f>P145+IF(AND(A146&lt;&gt;"",COUNTIFS(C146,"&gt;=36526",C146,TODAY())+COUNTIFS(D146,"&gt;=36526",D146,TODAY())+COUNTIFS(E146,"&gt;=36526",E146,TODAY())+COUNTIFS(F146,"&gt;=36526",F146,TODAY())&gt;0),1,0)</x:f>
        <x:v>0</x:v>
      </x:c>
      <x:c r="Q146" t="n">
        <x:f>Q145+IF(AND(A146&lt;&gt;"",COUNTIFS(C146,"&gt;"&amp;TODAY(),C146,"&lt;="&amp;TODAY()+30)+COUNTIFS(D146,"&gt;"&amp;TODAY(),D146,"&lt;="&amp;TODAY()+30)+COUNTIFS(E146,"&gt;"&amp;TODAY(),E146,"&lt;="&amp;TODAY()+30)+COUNTIFS(F146,"&gt;"&amp;TODAY(),F146,"&lt;="&amp;TODAY()+30)&gt;0),1,0)</x:f>
        <x:v>0</x:v>
      </x:c>
      <x:c r="R146" t="n">
        <x:f>R145+IF(OR(LEFT(H146,15)="Missing dates; ",LEFT(H146,16)="Add N/A reason; ",H146="Add dates",H146="Add registration",H146="Check date format"),1,0)</x:f>
        <x:v>0</x:v>
      </x:c>
      <x:c r="S146" t="n">
        <x:f>S145+IF(COUNTIFS(C146:F146,"Reviewed N/A")&gt;0,1,0)</x:f>
        <x:v>0</x:v>
      </x:c>
    </x:row>
    <x:row r="147" ht="48" customHeight="1">
      <x:c r="A147" s="52"/>
      <x:c r="B147" s="52"/>
      <x:c r="C147" s="53"/>
      <x:c r="D147" s="53"/>
      <x:c r="E147" s="53"/>
      <x:c r="F147" s="53"/>
      <x:c r="G147" s="52"/>
      <x:c r="H147" s="21" t="str">
        <x:f>IF(COUNTA(A147:G147,I147)=0,"",IF(A147="","Add registration",IF(OR(COUNTA(C147:F147)&gt;COUNT(C147:F147)+COUNTIFS(C147:F147,"Reviewed N/A"),AND(COUNT(C147:F147)&gt;0,OR(MIN(C147:F147)&lt;36526,MAX(C147:F147)&gt;109574))),"Check date format",IF(AND(COUNTIFS(C147:F147,"Reviewed N/A")&gt;0,I147=""),"Add N/A reason; ","")&amp;IF(COUNT(C147:F147)=0,IF(COUNTIFS(C147:F147,"Reviewed N/A")=4,"No applicable dates recorded","Add dates"),IF(COUNT(C147:F147)+COUNTIFS(C147:F147,"Reviewed N/A")&lt;4,"Missing dates; ","")&amp;IF(MIN(C147:F147)&lt;TODAY(),"Overdue: ",IF(MIN(C147:F147)=TODAY(),"Due today: ",IF(MIN(C147:F147)&lt;=TODAY()+30,"Due within 30 days: ","Next: ")))&amp;INDEX($C$8:$F$8,1,MATCH(MIN(C147:F147),C147:F147,0))&amp;" "&amp;TEXT(MIN(C147:F147),"dd mmm yyyy")))))</x:f>
      </x:c>
      <x:c r="I147" s="52"/>
      <x:c r="J147" t="str">
        <x:f>IF(AND(A147&lt;&gt;"",COUNTIFS(C147,"&gt;=36526",C147,"&lt;"&amp;TODAY())+COUNTIFS(D147,"&gt;=36526",D147,"&lt;"&amp;TODAY())+COUNTIFS(E147,"&gt;=36526",E147,"&lt;"&amp;TODAY())+COUNTIFS(F147,"&gt;=36526",F147,"&lt;"&amp;TODAY())&gt;0),O147,"")</x:f>
      </x:c>
      <x:c r="K147" t="str">
        <x:f>IF(AND(A147&lt;&gt;"",COUNTIFS(C147,"&gt;=36526",C147,TODAY())+COUNTIFS(D147,"&gt;=36526",D147,TODAY())+COUNTIFS(E147,"&gt;=36526",E147,TODAY())+COUNTIFS(F147,"&gt;=36526",F147,TODAY())&gt;0),P147,"")</x:f>
      </x:c>
      <x:c r="L147" t="str">
        <x:f>IF(AND(A147&lt;&gt;"",COUNTIFS(C147,"&gt;"&amp;TODAY(),C147,"&lt;="&amp;TODAY()+30)+COUNTIFS(D147,"&gt;"&amp;TODAY(),D147,"&lt;="&amp;TODAY()+30)+COUNTIFS(E147,"&gt;"&amp;TODAY(),E147,"&lt;="&amp;TODAY()+30)+COUNTIFS(F147,"&gt;"&amp;TODAY(),F147,"&lt;="&amp;TODAY()+30)&gt;0),Q147,"")</x:f>
      </x:c>
      <x:c r="M147" t="str">
        <x:f>IF(OR(LEFT(H147,15)="Missing dates; ",LEFT(H147,16)="Add N/A reason; ",H147="Add dates",H147="Add registration",H147="Check date format"),R147,"")</x:f>
      </x:c>
      <x:c r="N147" t="str">
        <x:f>IF(COUNTIFS(C147:F147,"Reviewed N/A")&gt;0,S147,"")</x:f>
      </x:c>
      <x:c r="O147" t="n">
        <x:f>O146+IF(AND(A147&lt;&gt;"",COUNTIFS(C147,"&gt;=36526",C147,"&lt;"&amp;TODAY())+COUNTIFS(D147,"&gt;=36526",D147,"&lt;"&amp;TODAY())+COUNTIFS(E147,"&gt;=36526",E147,"&lt;"&amp;TODAY())+COUNTIFS(F147,"&gt;=36526",F147,"&lt;"&amp;TODAY())&gt;0),1,0)</x:f>
        <x:v>0</x:v>
      </x:c>
      <x:c r="P147" t="n">
        <x:f>P146+IF(AND(A147&lt;&gt;"",COUNTIFS(C147,"&gt;=36526",C147,TODAY())+COUNTIFS(D147,"&gt;=36526",D147,TODAY())+COUNTIFS(E147,"&gt;=36526",E147,TODAY())+COUNTIFS(F147,"&gt;=36526",F147,TODAY())&gt;0),1,0)</x:f>
        <x:v>0</x:v>
      </x:c>
      <x:c r="Q147" t="n">
        <x:f>Q146+IF(AND(A147&lt;&gt;"",COUNTIFS(C147,"&gt;"&amp;TODAY(),C147,"&lt;="&amp;TODAY()+30)+COUNTIFS(D147,"&gt;"&amp;TODAY(),D147,"&lt;="&amp;TODAY()+30)+COUNTIFS(E147,"&gt;"&amp;TODAY(),E147,"&lt;="&amp;TODAY()+30)+COUNTIFS(F147,"&gt;"&amp;TODAY(),F147,"&lt;="&amp;TODAY()+30)&gt;0),1,0)</x:f>
        <x:v>0</x:v>
      </x:c>
      <x:c r="R147" t="n">
        <x:f>R146+IF(OR(LEFT(H147,15)="Missing dates; ",LEFT(H147,16)="Add N/A reason; ",H147="Add dates",H147="Add registration",H147="Check date format"),1,0)</x:f>
        <x:v>0</x:v>
      </x:c>
      <x:c r="S147" t="n">
        <x:f>S146+IF(COUNTIFS(C147:F147,"Reviewed N/A")&gt;0,1,0)</x:f>
        <x:v>0</x:v>
      </x:c>
    </x:row>
    <x:row r="148" ht="48" customHeight="1">
      <x:c r="A148" s="52"/>
      <x:c r="B148" s="52"/>
      <x:c r="C148" s="53"/>
      <x:c r="D148" s="53"/>
      <x:c r="E148" s="53"/>
      <x:c r="F148" s="53"/>
      <x:c r="G148" s="52"/>
      <x:c r="H148" s="21" t="str">
        <x:f>IF(COUNTA(A148:G148,I148)=0,"",IF(A148="","Add registration",IF(OR(COUNTA(C148:F148)&gt;COUNT(C148:F148)+COUNTIFS(C148:F148,"Reviewed N/A"),AND(COUNT(C148:F148)&gt;0,OR(MIN(C148:F148)&lt;36526,MAX(C148:F148)&gt;109574))),"Check date format",IF(AND(COUNTIFS(C148:F148,"Reviewed N/A")&gt;0,I148=""),"Add N/A reason; ","")&amp;IF(COUNT(C148:F148)=0,IF(COUNTIFS(C148:F148,"Reviewed N/A")=4,"No applicable dates recorded","Add dates"),IF(COUNT(C148:F148)+COUNTIFS(C148:F148,"Reviewed N/A")&lt;4,"Missing dates; ","")&amp;IF(MIN(C148:F148)&lt;TODAY(),"Overdue: ",IF(MIN(C148:F148)=TODAY(),"Due today: ",IF(MIN(C148:F148)&lt;=TODAY()+30,"Due within 30 days: ","Next: ")))&amp;INDEX($C$8:$F$8,1,MATCH(MIN(C148:F148),C148:F148,0))&amp;" "&amp;TEXT(MIN(C148:F148),"dd mmm yyyy")))))</x:f>
      </x:c>
      <x:c r="I148" s="52"/>
      <x:c r="J148" t="str">
        <x:f>IF(AND(A148&lt;&gt;"",COUNTIFS(C148,"&gt;=36526",C148,"&lt;"&amp;TODAY())+COUNTIFS(D148,"&gt;=36526",D148,"&lt;"&amp;TODAY())+COUNTIFS(E148,"&gt;=36526",E148,"&lt;"&amp;TODAY())+COUNTIFS(F148,"&gt;=36526",F148,"&lt;"&amp;TODAY())&gt;0),O148,"")</x:f>
      </x:c>
      <x:c r="K148" t="str">
        <x:f>IF(AND(A148&lt;&gt;"",COUNTIFS(C148,"&gt;=36526",C148,TODAY())+COUNTIFS(D148,"&gt;=36526",D148,TODAY())+COUNTIFS(E148,"&gt;=36526",E148,TODAY())+COUNTIFS(F148,"&gt;=36526",F148,TODAY())&gt;0),P148,"")</x:f>
      </x:c>
      <x:c r="L148" t="str">
        <x:f>IF(AND(A148&lt;&gt;"",COUNTIFS(C148,"&gt;"&amp;TODAY(),C148,"&lt;="&amp;TODAY()+30)+COUNTIFS(D148,"&gt;"&amp;TODAY(),D148,"&lt;="&amp;TODAY()+30)+COUNTIFS(E148,"&gt;"&amp;TODAY(),E148,"&lt;="&amp;TODAY()+30)+COUNTIFS(F148,"&gt;"&amp;TODAY(),F148,"&lt;="&amp;TODAY()+30)&gt;0),Q148,"")</x:f>
      </x:c>
      <x:c r="M148" t="str">
        <x:f>IF(OR(LEFT(H148,15)="Missing dates; ",LEFT(H148,16)="Add N/A reason; ",H148="Add dates",H148="Add registration",H148="Check date format"),R148,"")</x:f>
      </x:c>
      <x:c r="N148" t="str">
        <x:f>IF(COUNTIFS(C148:F148,"Reviewed N/A")&gt;0,S148,"")</x:f>
      </x:c>
      <x:c r="O148" t="n">
        <x:f>O147+IF(AND(A148&lt;&gt;"",COUNTIFS(C148,"&gt;=36526",C148,"&lt;"&amp;TODAY())+COUNTIFS(D148,"&gt;=36526",D148,"&lt;"&amp;TODAY())+COUNTIFS(E148,"&gt;=36526",E148,"&lt;"&amp;TODAY())+COUNTIFS(F148,"&gt;=36526",F148,"&lt;"&amp;TODAY())&gt;0),1,0)</x:f>
        <x:v>0</x:v>
      </x:c>
      <x:c r="P148" t="n">
        <x:f>P147+IF(AND(A148&lt;&gt;"",COUNTIFS(C148,"&gt;=36526",C148,TODAY())+COUNTIFS(D148,"&gt;=36526",D148,TODAY())+COUNTIFS(E148,"&gt;=36526",E148,TODAY())+COUNTIFS(F148,"&gt;=36526",F148,TODAY())&gt;0),1,0)</x:f>
        <x:v>0</x:v>
      </x:c>
      <x:c r="Q148" t="n">
        <x:f>Q147+IF(AND(A148&lt;&gt;"",COUNTIFS(C148,"&gt;"&amp;TODAY(),C148,"&lt;="&amp;TODAY()+30)+COUNTIFS(D148,"&gt;"&amp;TODAY(),D148,"&lt;="&amp;TODAY()+30)+COUNTIFS(E148,"&gt;"&amp;TODAY(),E148,"&lt;="&amp;TODAY()+30)+COUNTIFS(F148,"&gt;"&amp;TODAY(),F148,"&lt;="&amp;TODAY()+30)&gt;0),1,0)</x:f>
        <x:v>0</x:v>
      </x:c>
      <x:c r="R148" t="n">
        <x:f>R147+IF(OR(LEFT(H148,15)="Missing dates; ",LEFT(H148,16)="Add N/A reason; ",H148="Add dates",H148="Add registration",H148="Check date format"),1,0)</x:f>
        <x:v>0</x:v>
      </x:c>
      <x:c r="S148" t="n">
        <x:f>S147+IF(COUNTIFS(C148:F148,"Reviewed N/A")&gt;0,1,0)</x:f>
        <x:v>0</x:v>
      </x:c>
    </x:row>
    <x:row r="149" ht="48" customHeight="1">
      <x:c r="A149" s="52"/>
      <x:c r="B149" s="52"/>
      <x:c r="C149" s="53"/>
      <x:c r="D149" s="53"/>
      <x:c r="E149" s="53"/>
      <x:c r="F149" s="53"/>
      <x:c r="G149" s="52"/>
      <x:c r="H149" s="21" t="str">
        <x:f>IF(COUNTA(A149:G149,I149)=0,"",IF(A149="","Add registration",IF(OR(COUNTA(C149:F149)&gt;COUNT(C149:F149)+COUNTIFS(C149:F149,"Reviewed N/A"),AND(COUNT(C149:F149)&gt;0,OR(MIN(C149:F149)&lt;36526,MAX(C149:F149)&gt;109574))),"Check date format",IF(AND(COUNTIFS(C149:F149,"Reviewed N/A")&gt;0,I149=""),"Add N/A reason; ","")&amp;IF(COUNT(C149:F149)=0,IF(COUNTIFS(C149:F149,"Reviewed N/A")=4,"No applicable dates recorded","Add dates"),IF(COUNT(C149:F149)+COUNTIFS(C149:F149,"Reviewed N/A")&lt;4,"Missing dates; ","")&amp;IF(MIN(C149:F149)&lt;TODAY(),"Overdue: ",IF(MIN(C149:F149)=TODAY(),"Due today: ",IF(MIN(C149:F149)&lt;=TODAY()+30,"Due within 30 days: ","Next: ")))&amp;INDEX($C$8:$F$8,1,MATCH(MIN(C149:F149),C149:F149,0))&amp;" "&amp;TEXT(MIN(C149:F149),"dd mmm yyyy")))))</x:f>
      </x:c>
      <x:c r="I149" s="52"/>
      <x:c r="J149" t="str">
        <x:f>IF(AND(A149&lt;&gt;"",COUNTIFS(C149,"&gt;=36526",C149,"&lt;"&amp;TODAY())+COUNTIFS(D149,"&gt;=36526",D149,"&lt;"&amp;TODAY())+COUNTIFS(E149,"&gt;=36526",E149,"&lt;"&amp;TODAY())+COUNTIFS(F149,"&gt;=36526",F149,"&lt;"&amp;TODAY())&gt;0),O149,"")</x:f>
      </x:c>
      <x:c r="K149" t="str">
        <x:f>IF(AND(A149&lt;&gt;"",COUNTIFS(C149,"&gt;=36526",C149,TODAY())+COUNTIFS(D149,"&gt;=36526",D149,TODAY())+COUNTIFS(E149,"&gt;=36526",E149,TODAY())+COUNTIFS(F149,"&gt;=36526",F149,TODAY())&gt;0),P149,"")</x:f>
      </x:c>
      <x:c r="L149" t="str">
        <x:f>IF(AND(A149&lt;&gt;"",COUNTIFS(C149,"&gt;"&amp;TODAY(),C149,"&lt;="&amp;TODAY()+30)+COUNTIFS(D149,"&gt;"&amp;TODAY(),D149,"&lt;="&amp;TODAY()+30)+COUNTIFS(E149,"&gt;"&amp;TODAY(),E149,"&lt;="&amp;TODAY()+30)+COUNTIFS(F149,"&gt;"&amp;TODAY(),F149,"&lt;="&amp;TODAY()+30)&gt;0),Q149,"")</x:f>
      </x:c>
      <x:c r="M149" t="str">
        <x:f>IF(OR(LEFT(H149,15)="Missing dates; ",LEFT(H149,16)="Add N/A reason; ",H149="Add dates",H149="Add registration",H149="Check date format"),R149,"")</x:f>
      </x:c>
      <x:c r="N149" t="str">
        <x:f>IF(COUNTIFS(C149:F149,"Reviewed N/A")&gt;0,S149,"")</x:f>
      </x:c>
      <x:c r="O149" t="n">
        <x:f>O148+IF(AND(A149&lt;&gt;"",COUNTIFS(C149,"&gt;=36526",C149,"&lt;"&amp;TODAY())+COUNTIFS(D149,"&gt;=36526",D149,"&lt;"&amp;TODAY())+COUNTIFS(E149,"&gt;=36526",E149,"&lt;"&amp;TODAY())+COUNTIFS(F149,"&gt;=36526",F149,"&lt;"&amp;TODAY())&gt;0),1,0)</x:f>
        <x:v>0</x:v>
      </x:c>
      <x:c r="P149" t="n">
        <x:f>P148+IF(AND(A149&lt;&gt;"",COUNTIFS(C149,"&gt;=36526",C149,TODAY())+COUNTIFS(D149,"&gt;=36526",D149,TODAY())+COUNTIFS(E149,"&gt;=36526",E149,TODAY())+COUNTIFS(F149,"&gt;=36526",F149,TODAY())&gt;0),1,0)</x:f>
        <x:v>0</x:v>
      </x:c>
      <x:c r="Q149" t="n">
        <x:f>Q148+IF(AND(A149&lt;&gt;"",COUNTIFS(C149,"&gt;"&amp;TODAY(),C149,"&lt;="&amp;TODAY()+30)+COUNTIFS(D149,"&gt;"&amp;TODAY(),D149,"&lt;="&amp;TODAY()+30)+COUNTIFS(E149,"&gt;"&amp;TODAY(),E149,"&lt;="&amp;TODAY()+30)+COUNTIFS(F149,"&gt;"&amp;TODAY(),F149,"&lt;="&amp;TODAY()+30)&gt;0),1,0)</x:f>
        <x:v>0</x:v>
      </x:c>
      <x:c r="R149" t="n">
        <x:f>R148+IF(OR(LEFT(H149,15)="Missing dates; ",LEFT(H149,16)="Add N/A reason; ",H149="Add dates",H149="Add registration",H149="Check date format"),1,0)</x:f>
        <x:v>0</x:v>
      </x:c>
      <x:c r="S149" t="n">
        <x:f>S148+IF(COUNTIFS(C149:F149,"Reviewed N/A")&gt;0,1,0)</x:f>
        <x:v>0</x:v>
      </x:c>
    </x:row>
    <x:row r="150" ht="48" customHeight="1">
      <x:c r="A150" s="52"/>
      <x:c r="B150" s="52"/>
      <x:c r="C150" s="53"/>
      <x:c r="D150" s="53"/>
      <x:c r="E150" s="53"/>
      <x:c r="F150" s="53"/>
      <x:c r="G150" s="52"/>
      <x:c r="H150" s="21" t="str">
        <x:f>IF(COUNTA(A150:G150,I150)=0,"",IF(A150="","Add registration",IF(OR(COUNTA(C150:F150)&gt;COUNT(C150:F150)+COUNTIFS(C150:F150,"Reviewed N/A"),AND(COUNT(C150:F150)&gt;0,OR(MIN(C150:F150)&lt;36526,MAX(C150:F150)&gt;109574))),"Check date format",IF(AND(COUNTIFS(C150:F150,"Reviewed N/A")&gt;0,I150=""),"Add N/A reason; ","")&amp;IF(COUNT(C150:F150)=0,IF(COUNTIFS(C150:F150,"Reviewed N/A")=4,"No applicable dates recorded","Add dates"),IF(COUNT(C150:F150)+COUNTIFS(C150:F150,"Reviewed N/A")&lt;4,"Missing dates; ","")&amp;IF(MIN(C150:F150)&lt;TODAY(),"Overdue: ",IF(MIN(C150:F150)=TODAY(),"Due today: ",IF(MIN(C150:F150)&lt;=TODAY()+30,"Due within 30 days: ","Next: ")))&amp;INDEX($C$8:$F$8,1,MATCH(MIN(C150:F150),C150:F150,0))&amp;" "&amp;TEXT(MIN(C150:F150),"dd mmm yyyy")))))</x:f>
      </x:c>
      <x:c r="I150" s="52"/>
      <x:c r="J150" t="str">
        <x:f>IF(AND(A150&lt;&gt;"",COUNTIFS(C150,"&gt;=36526",C150,"&lt;"&amp;TODAY())+COUNTIFS(D150,"&gt;=36526",D150,"&lt;"&amp;TODAY())+COUNTIFS(E150,"&gt;=36526",E150,"&lt;"&amp;TODAY())+COUNTIFS(F150,"&gt;=36526",F150,"&lt;"&amp;TODAY())&gt;0),O150,"")</x:f>
      </x:c>
      <x:c r="K150" t="str">
        <x:f>IF(AND(A150&lt;&gt;"",COUNTIFS(C150,"&gt;=36526",C150,TODAY())+COUNTIFS(D150,"&gt;=36526",D150,TODAY())+COUNTIFS(E150,"&gt;=36526",E150,TODAY())+COUNTIFS(F150,"&gt;=36526",F150,TODAY())&gt;0),P150,"")</x:f>
      </x:c>
      <x:c r="L150" t="str">
        <x:f>IF(AND(A150&lt;&gt;"",COUNTIFS(C150,"&gt;"&amp;TODAY(),C150,"&lt;="&amp;TODAY()+30)+COUNTIFS(D150,"&gt;"&amp;TODAY(),D150,"&lt;="&amp;TODAY()+30)+COUNTIFS(E150,"&gt;"&amp;TODAY(),E150,"&lt;="&amp;TODAY()+30)+COUNTIFS(F150,"&gt;"&amp;TODAY(),F150,"&lt;="&amp;TODAY()+30)&gt;0),Q150,"")</x:f>
      </x:c>
      <x:c r="M150" t="str">
        <x:f>IF(OR(LEFT(H150,15)="Missing dates; ",LEFT(H150,16)="Add N/A reason; ",H150="Add dates",H150="Add registration",H150="Check date format"),R150,"")</x:f>
      </x:c>
      <x:c r="N150" t="str">
        <x:f>IF(COUNTIFS(C150:F150,"Reviewed N/A")&gt;0,S150,"")</x:f>
      </x:c>
      <x:c r="O150" t="n">
        <x:f>O149+IF(AND(A150&lt;&gt;"",COUNTIFS(C150,"&gt;=36526",C150,"&lt;"&amp;TODAY())+COUNTIFS(D150,"&gt;=36526",D150,"&lt;"&amp;TODAY())+COUNTIFS(E150,"&gt;=36526",E150,"&lt;"&amp;TODAY())+COUNTIFS(F150,"&gt;=36526",F150,"&lt;"&amp;TODAY())&gt;0),1,0)</x:f>
        <x:v>0</x:v>
      </x:c>
      <x:c r="P150" t="n">
        <x:f>P149+IF(AND(A150&lt;&gt;"",COUNTIFS(C150,"&gt;=36526",C150,TODAY())+COUNTIFS(D150,"&gt;=36526",D150,TODAY())+COUNTIFS(E150,"&gt;=36526",E150,TODAY())+COUNTIFS(F150,"&gt;=36526",F150,TODAY())&gt;0),1,0)</x:f>
        <x:v>0</x:v>
      </x:c>
      <x:c r="Q150" t="n">
        <x:f>Q149+IF(AND(A150&lt;&gt;"",COUNTIFS(C150,"&gt;"&amp;TODAY(),C150,"&lt;="&amp;TODAY()+30)+COUNTIFS(D150,"&gt;"&amp;TODAY(),D150,"&lt;="&amp;TODAY()+30)+COUNTIFS(E150,"&gt;"&amp;TODAY(),E150,"&lt;="&amp;TODAY()+30)+COUNTIFS(F150,"&gt;"&amp;TODAY(),F150,"&lt;="&amp;TODAY()+30)&gt;0),1,0)</x:f>
        <x:v>0</x:v>
      </x:c>
      <x:c r="R150" t="n">
        <x:f>R149+IF(OR(LEFT(H150,15)="Missing dates; ",LEFT(H150,16)="Add N/A reason; ",H150="Add dates",H150="Add registration",H150="Check date format"),1,0)</x:f>
        <x:v>0</x:v>
      </x:c>
      <x:c r="S150" t="n">
        <x:f>S149+IF(COUNTIFS(C150:F150,"Reviewed N/A")&gt;0,1,0)</x:f>
        <x:v>0</x:v>
      </x:c>
    </x:row>
    <x:row r="151" ht="48" customHeight="1">
      <x:c r="A151" s="52"/>
      <x:c r="B151" s="52"/>
      <x:c r="C151" s="53"/>
      <x:c r="D151" s="53"/>
      <x:c r="E151" s="53"/>
      <x:c r="F151" s="53"/>
      <x:c r="G151" s="52"/>
      <x:c r="H151" s="21" t="str">
        <x:f>IF(COUNTA(A151:G151,I151)=0,"",IF(A151="","Add registration",IF(OR(COUNTA(C151:F151)&gt;COUNT(C151:F151)+COUNTIFS(C151:F151,"Reviewed N/A"),AND(COUNT(C151:F151)&gt;0,OR(MIN(C151:F151)&lt;36526,MAX(C151:F151)&gt;109574))),"Check date format",IF(AND(COUNTIFS(C151:F151,"Reviewed N/A")&gt;0,I151=""),"Add N/A reason; ","")&amp;IF(COUNT(C151:F151)=0,IF(COUNTIFS(C151:F151,"Reviewed N/A")=4,"No applicable dates recorded","Add dates"),IF(COUNT(C151:F151)+COUNTIFS(C151:F151,"Reviewed N/A")&lt;4,"Missing dates; ","")&amp;IF(MIN(C151:F151)&lt;TODAY(),"Overdue: ",IF(MIN(C151:F151)=TODAY(),"Due today: ",IF(MIN(C151:F151)&lt;=TODAY()+30,"Due within 30 days: ","Next: ")))&amp;INDEX($C$8:$F$8,1,MATCH(MIN(C151:F151),C151:F151,0))&amp;" "&amp;TEXT(MIN(C151:F151),"dd mmm yyyy")))))</x:f>
      </x:c>
      <x:c r="I151" s="52"/>
      <x:c r="J151" t="str">
        <x:f>IF(AND(A151&lt;&gt;"",COUNTIFS(C151,"&gt;=36526",C151,"&lt;"&amp;TODAY())+COUNTIFS(D151,"&gt;=36526",D151,"&lt;"&amp;TODAY())+COUNTIFS(E151,"&gt;=36526",E151,"&lt;"&amp;TODAY())+COUNTIFS(F151,"&gt;=36526",F151,"&lt;"&amp;TODAY())&gt;0),O151,"")</x:f>
      </x:c>
      <x:c r="K151" t="str">
        <x:f>IF(AND(A151&lt;&gt;"",COUNTIFS(C151,"&gt;=36526",C151,TODAY())+COUNTIFS(D151,"&gt;=36526",D151,TODAY())+COUNTIFS(E151,"&gt;=36526",E151,TODAY())+COUNTIFS(F151,"&gt;=36526",F151,TODAY())&gt;0),P151,"")</x:f>
      </x:c>
      <x:c r="L151" t="str">
        <x:f>IF(AND(A151&lt;&gt;"",COUNTIFS(C151,"&gt;"&amp;TODAY(),C151,"&lt;="&amp;TODAY()+30)+COUNTIFS(D151,"&gt;"&amp;TODAY(),D151,"&lt;="&amp;TODAY()+30)+COUNTIFS(E151,"&gt;"&amp;TODAY(),E151,"&lt;="&amp;TODAY()+30)+COUNTIFS(F151,"&gt;"&amp;TODAY(),F151,"&lt;="&amp;TODAY()+30)&gt;0),Q151,"")</x:f>
      </x:c>
      <x:c r="M151" t="str">
        <x:f>IF(OR(LEFT(H151,15)="Missing dates; ",LEFT(H151,16)="Add N/A reason; ",H151="Add dates",H151="Add registration",H151="Check date format"),R151,"")</x:f>
      </x:c>
      <x:c r="N151" t="str">
        <x:f>IF(COUNTIFS(C151:F151,"Reviewed N/A")&gt;0,S151,"")</x:f>
      </x:c>
      <x:c r="O151" t="n">
        <x:f>O150+IF(AND(A151&lt;&gt;"",COUNTIFS(C151,"&gt;=36526",C151,"&lt;"&amp;TODAY())+COUNTIFS(D151,"&gt;=36526",D151,"&lt;"&amp;TODAY())+COUNTIFS(E151,"&gt;=36526",E151,"&lt;"&amp;TODAY())+COUNTIFS(F151,"&gt;=36526",F151,"&lt;"&amp;TODAY())&gt;0),1,0)</x:f>
        <x:v>0</x:v>
      </x:c>
      <x:c r="P151" t="n">
        <x:f>P150+IF(AND(A151&lt;&gt;"",COUNTIFS(C151,"&gt;=36526",C151,TODAY())+COUNTIFS(D151,"&gt;=36526",D151,TODAY())+COUNTIFS(E151,"&gt;=36526",E151,TODAY())+COUNTIFS(F151,"&gt;=36526",F151,TODAY())&gt;0),1,0)</x:f>
        <x:v>0</x:v>
      </x:c>
      <x:c r="Q151" t="n">
        <x:f>Q150+IF(AND(A151&lt;&gt;"",COUNTIFS(C151,"&gt;"&amp;TODAY(),C151,"&lt;="&amp;TODAY()+30)+COUNTIFS(D151,"&gt;"&amp;TODAY(),D151,"&lt;="&amp;TODAY()+30)+COUNTIFS(E151,"&gt;"&amp;TODAY(),E151,"&lt;="&amp;TODAY()+30)+COUNTIFS(F151,"&gt;"&amp;TODAY(),F151,"&lt;="&amp;TODAY()+30)&gt;0),1,0)</x:f>
        <x:v>0</x:v>
      </x:c>
      <x:c r="R151" t="n">
        <x:f>R150+IF(OR(LEFT(H151,15)="Missing dates; ",LEFT(H151,16)="Add N/A reason; ",H151="Add dates",H151="Add registration",H151="Check date format"),1,0)</x:f>
        <x:v>0</x:v>
      </x:c>
      <x:c r="S151" t="n">
        <x:f>S150+IF(COUNTIFS(C151:F151,"Reviewed N/A")&gt;0,1,0)</x:f>
        <x:v>0</x:v>
      </x:c>
    </x:row>
    <x:row r="152" ht="48" customHeight="1">
      <x:c r="A152" s="52"/>
      <x:c r="B152" s="52"/>
      <x:c r="C152" s="53"/>
      <x:c r="D152" s="53"/>
      <x:c r="E152" s="53"/>
      <x:c r="F152" s="53"/>
      <x:c r="G152" s="52"/>
      <x:c r="H152" s="21" t="str">
        <x:f>IF(COUNTA(A152:G152,I152)=0,"",IF(A152="","Add registration",IF(OR(COUNTA(C152:F152)&gt;COUNT(C152:F152)+COUNTIFS(C152:F152,"Reviewed N/A"),AND(COUNT(C152:F152)&gt;0,OR(MIN(C152:F152)&lt;36526,MAX(C152:F152)&gt;109574))),"Check date format",IF(AND(COUNTIFS(C152:F152,"Reviewed N/A")&gt;0,I152=""),"Add N/A reason; ","")&amp;IF(COUNT(C152:F152)=0,IF(COUNTIFS(C152:F152,"Reviewed N/A")=4,"No applicable dates recorded","Add dates"),IF(COUNT(C152:F152)+COUNTIFS(C152:F152,"Reviewed N/A")&lt;4,"Missing dates; ","")&amp;IF(MIN(C152:F152)&lt;TODAY(),"Overdue: ",IF(MIN(C152:F152)=TODAY(),"Due today: ",IF(MIN(C152:F152)&lt;=TODAY()+30,"Due within 30 days: ","Next: ")))&amp;INDEX($C$8:$F$8,1,MATCH(MIN(C152:F152),C152:F152,0))&amp;" "&amp;TEXT(MIN(C152:F152),"dd mmm yyyy")))))</x:f>
      </x:c>
      <x:c r="I152" s="52"/>
      <x:c r="J152" t="str">
        <x:f>IF(AND(A152&lt;&gt;"",COUNTIFS(C152,"&gt;=36526",C152,"&lt;"&amp;TODAY())+COUNTIFS(D152,"&gt;=36526",D152,"&lt;"&amp;TODAY())+COUNTIFS(E152,"&gt;=36526",E152,"&lt;"&amp;TODAY())+COUNTIFS(F152,"&gt;=36526",F152,"&lt;"&amp;TODAY())&gt;0),O152,"")</x:f>
      </x:c>
      <x:c r="K152" t="str">
        <x:f>IF(AND(A152&lt;&gt;"",COUNTIFS(C152,"&gt;=36526",C152,TODAY())+COUNTIFS(D152,"&gt;=36526",D152,TODAY())+COUNTIFS(E152,"&gt;=36526",E152,TODAY())+COUNTIFS(F152,"&gt;=36526",F152,TODAY())&gt;0),P152,"")</x:f>
      </x:c>
      <x:c r="L152" t="str">
        <x:f>IF(AND(A152&lt;&gt;"",COUNTIFS(C152,"&gt;"&amp;TODAY(),C152,"&lt;="&amp;TODAY()+30)+COUNTIFS(D152,"&gt;"&amp;TODAY(),D152,"&lt;="&amp;TODAY()+30)+COUNTIFS(E152,"&gt;"&amp;TODAY(),E152,"&lt;="&amp;TODAY()+30)+COUNTIFS(F152,"&gt;"&amp;TODAY(),F152,"&lt;="&amp;TODAY()+30)&gt;0),Q152,"")</x:f>
      </x:c>
      <x:c r="M152" t="str">
        <x:f>IF(OR(LEFT(H152,15)="Missing dates; ",LEFT(H152,16)="Add N/A reason; ",H152="Add dates",H152="Add registration",H152="Check date format"),R152,"")</x:f>
      </x:c>
      <x:c r="N152" t="str">
        <x:f>IF(COUNTIFS(C152:F152,"Reviewed N/A")&gt;0,S152,"")</x:f>
      </x:c>
      <x:c r="O152" t="n">
        <x:f>O151+IF(AND(A152&lt;&gt;"",COUNTIFS(C152,"&gt;=36526",C152,"&lt;"&amp;TODAY())+COUNTIFS(D152,"&gt;=36526",D152,"&lt;"&amp;TODAY())+COUNTIFS(E152,"&gt;=36526",E152,"&lt;"&amp;TODAY())+COUNTIFS(F152,"&gt;=36526",F152,"&lt;"&amp;TODAY())&gt;0),1,0)</x:f>
        <x:v>0</x:v>
      </x:c>
      <x:c r="P152" t="n">
        <x:f>P151+IF(AND(A152&lt;&gt;"",COUNTIFS(C152,"&gt;=36526",C152,TODAY())+COUNTIFS(D152,"&gt;=36526",D152,TODAY())+COUNTIFS(E152,"&gt;=36526",E152,TODAY())+COUNTIFS(F152,"&gt;=36526",F152,TODAY())&gt;0),1,0)</x:f>
        <x:v>0</x:v>
      </x:c>
      <x:c r="Q152" t="n">
        <x:f>Q151+IF(AND(A152&lt;&gt;"",COUNTIFS(C152,"&gt;"&amp;TODAY(),C152,"&lt;="&amp;TODAY()+30)+COUNTIFS(D152,"&gt;"&amp;TODAY(),D152,"&lt;="&amp;TODAY()+30)+COUNTIFS(E152,"&gt;"&amp;TODAY(),E152,"&lt;="&amp;TODAY()+30)+COUNTIFS(F152,"&gt;"&amp;TODAY(),F152,"&lt;="&amp;TODAY()+30)&gt;0),1,0)</x:f>
        <x:v>0</x:v>
      </x:c>
      <x:c r="R152" t="n">
        <x:f>R151+IF(OR(LEFT(H152,15)="Missing dates; ",LEFT(H152,16)="Add N/A reason; ",H152="Add dates",H152="Add registration",H152="Check date format"),1,0)</x:f>
        <x:v>0</x:v>
      </x:c>
      <x:c r="S152" t="n">
        <x:f>S151+IF(COUNTIFS(C152:F152,"Reviewed N/A")&gt;0,1,0)</x:f>
        <x:v>0</x:v>
      </x:c>
    </x:row>
    <x:row r="153" ht="48" customHeight="1">
      <x:c r="A153" s="52"/>
      <x:c r="B153" s="52"/>
      <x:c r="C153" s="53"/>
      <x:c r="D153" s="53"/>
      <x:c r="E153" s="53"/>
      <x:c r="F153" s="53"/>
      <x:c r="G153" s="52"/>
      <x:c r="H153" s="21" t="str">
        <x:f>IF(COUNTA(A153:G153,I153)=0,"",IF(A153="","Add registration",IF(OR(COUNTA(C153:F153)&gt;COUNT(C153:F153)+COUNTIFS(C153:F153,"Reviewed N/A"),AND(COUNT(C153:F153)&gt;0,OR(MIN(C153:F153)&lt;36526,MAX(C153:F153)&gt;109574))),"Check date format",IF(AND(COUNTIFS(C153:F153,"Reviewed N/A")&gt;0,I153=""),"Add N/A reason; ","")&amp;IF(COUNT(C153:F153)=0,IF(COUNTIFS(C153:F153,"Reviewed N/A")=4,"No applicable dates recorded","Add dates"),IF(COUNT(C153:F153)+COUNTIFS(C153:F153,"Reviewed N/A")&lt;4,"Missing dates; ","")&amp;IF(MIN(C153:F153)&lt;TODAY(),"Overdue: ",IF(MIN(C153:F153)=TODAY(),"Due today: ",IF(MIN(C153:F153)&lt;=TODAY()+30,"Due within 30 days: ","Next: ")))&amp;INDEX($C$8:$F$8,1,MATCH(MIN(C153:F153),C153:F153,0))&amp;" "&amp;TEXT(MIN(C153:F153),"dd mmm yyyy")))))</x:f>
      </x:c>
      <x:c r="I153" s="52"/>
      <x:c r="J153" t="str">
        <x:f>IF(AND(A153&lt;&gt;"",COUNTIFS(C153,"&gt;=36526",C153,"&lt;"&amp;TODAY())+COUNTIFS(D153,"&gt;=36526",D153,"&lt;"&amp;TODAY())+COUNTIFS(E153,"&gt;=36526",E153,"&lt;"&amp;TODAY())+COUNTIFS(F153,"&gt;=36526",F153,"&lt;"&amp;TODAY())&gt;0),O153,"")</x:f>
      </x:c>
      <x:c r="K153" t="str">
        <x:f>IF(AND(A153&lt;&gt;"",COUNTIFS(C153,"&gt;=36526",C153,TODAY())+COUNTIFS(D153,"&gt;=36526",D153,TODAY())+COUNTIFS(E153,"&gt;=36526",E153,TODAY())+COUNTIFS(F153,"&gt;=36526",F153,TODAY())&gt;0),P153,"")</x:f>
      </x:c>
      <x:c r="L153" t="str">
        <x:f>IF(AND(A153&lt;&gt;"",COUNTIFS(C153,"&gt;"&amp;TODAY(),C153,"&lt;="&amp;TODAY()+30)+COUNTIFS(D153,"&gt;"&amp;TODAY(),D153,"&lt;="&amp;TODAY()+30)+COUNTIFS(E153,"&gt;"&amp;TODAY(),E153,"&lt;="&amp;TODAY()+30)+COUNTIFS(F153,"&gt;"&amp;TODAY(),F153,"&lt;="&amp;TODAY()+30)&gt;0),Q153,"")</x:f>
      </x:c>
      <x:c r="M153" t="str">
        <x:f>IF(OR(LEFT(H153,15)="Missing dates; ",LEFT(H153,16)="Add N/A reason; ",H153="Add dates",H153="Add registration",H153="Check date format"),R153,"")</x:f>
      </x:c>
      <x:c r="N153" t="str">
        <x:f>IF(COUNTIFS(C153:F153,"Reviewed N/A")&gt;0,S153,"")</x:f>
      </x:c>
      <x:c r="O153" t="n">
        <x:f>O152+IF(AND(A153&lt;&gt;"",COUNTIFS(C153,"&gt;=36526",C153,"&lt;"&amp;TODAY())+COUNTIFS(D153,"&gt;=36526",D153,"&lt;"&amp;TODAY())+COUNTIFS(E153,"&gt;=36526",E153,"&lt;"&amp;TODAY())+COUNTIFS(F153,"&gt;=36526",F153,"&lt;"&amp;TODAY())&gt;0),1,0)</x:f>
        <x:v>0</x:v>
      </x:c>
      <x:c r="P153" t="n">
        <x:f>P152+IF(AND(A153&lt;&gt;"",COUNTIFS(C153,"&gt;=36526",C153,TODAY())+COUNTIFS(D153,"&gt;=36526",D153,TODAY())+COUNTIFS(E153,"&gt;=36526",E153,TODAY())+COUNTIFS(F153,"&gt;=36526",F153,TODAY())&gt;0),1,0)</x:f>
        <x:v>0</x:v>
      </x:c>
      <x:c r="Q153" t="n">
        <x:f>Q152+IF(AND(A153&lt;&gt;"",COUNTIFS(C153,"&gt;"&amp;TODAY(),C153,"&lt;="&amp;TODAY()+30)+COUNTIFS(D153,"&gt;"&amp;TODAY(),D153,"&lt;="&amp;TODAY()+30)+COUNTIFS(E153,"&gt;"&amp;TODAY(),E153,"&lt;="&amp;TODAY()+30)+COUNTIFS(F153,"&gt;"&amp;TODAY(),F153,"&lt;="&amp;TODAY()+30)&gt;0),1,0)</x:f>
        <x:v>0</x:v>
      </x:c>
      <x:c r="R153" t="n">
        <x:f>R152+IF(OR(LEFT(H153,15)="Missing dates; ",LEFT(H153,16)="Add N/A reason; ",H153="Add dates",H153="Add registration",H153="Check date format"),1,0)</x:f>
        <x:v>0</x:v>
      </x:c>
      <x:c r="S153" t="n">
        <x:f>S152+IF(COUNTIFS(C153:F153,"Reviewed N/A")&gt;0,1,0)</x:f>
        <x:v>0</x:v>
      </x:c>
    </x:row>
    <x:row r="154" ht="48" customHeight="1">
      <x:c r="A154" s="52"/>
      <x:c r="B154" s="52"/>
      <x:c r="C154" s="53"/>
      <x:c r="D154" s="53"/>
      <x:c r="E154" s="53"/>
      <x:c r="F154" s="53"/>
      <x:c r="G154" s="52"/>
      <x:c r="H154" s="21" t="str">
        <x:f>IF(COUNTA(A154:G154,I154)=0,"",IF(A154="","Add registration",IF(OR(COUNTA(C154:F154)&gt;COUNT(C154:F154)+COUNTIFS(C154:F154,"Reviewed N/A"),AND(COUNT(C154:F154)&gt;0,OR(MIN(C154:F154)&lt;36526,MAX(C154:F154)&gt;109574))),"Check date format",IF(AND(COUNTIFS(C154:F154,"Reviewed N/A")&gt;0,I154=""),"Add N/A reason; ","")&amp;IF(COUNT(C154:F154)=0,IF(COUNTIFS(C154:F154,"Reviewed N/A")=4,"No applicable dates recorded","Add dates"),IF(COUNT(C154:F154)+COUNTIFS(C154:F154,"Reviewed N/A")&lt;4,"Missing dates; ","")&amp;IF(MIN(C154:F154)&lt;TODAY(),"Overdue: ",IF(MIN(C154:F154)=TODAY(),"Due today: ",IF(MIN(C154:F154)&lt;=TODAY()+30,"Due within 30 days: ","Next: ")))&amp;INDEX($C$8:$F$8,1,MATCH(MIN(C154:F154),C154:F154,0))&amp;" "&amp;TEXT(MIN(C154:F154),"dd mmm yyyy")))))</x:f>
      </x:c>
      <x:c r="I154" s="52"/>
      <x:c r="J154" t="str">
        <x:f>IF(AND(A154&lt;&gt;"",COUNTIFS(C154,"&gt;=36526",C154,"&lt;"&amp;TODAY())+COUNTIFS(D154,"&gt;=36526",D154,"&lt;"&amp;TODAY())+COUNTIFS(E154,"&gt;=36526",E154,"&lt;"&amp;TODAY())+COUNTIFS(F154,"&gt;=36526",F154,"&lt;"&amp;TODAY())&gt;0),O154,"")</x:f>
      </x:c>
      <x:c r="K154" t="str">
        <x:f>IF(AND(A154&lt;&gt;"",COUNTIFS(C154,"&gt;=36526",C154,TODAY())+COUNTIFS(D154,"&gt;=36526",D154,TODAY())+COUNTIFS(E154,"&gt;=36526",E154,TODAY())+COUNTIFS(F154,"&gt;=36526",F154,TODAY())&gt;0),P154,"")</x:f>
      </x:c>
      <x:c r="L154" t="str">
        <x:f>IF(AND(A154&lt;&gt;"",COUNTIFS(C154,"&gt;"&amp;TODAY(),C154,"&lt;="&amp;TODAY()+30)+COUNTIFS(D154,"&gt;"&amp;TODAY(),D154,"&lt;="&amp;TODAY()+30)+COUNTIFS(E154,"&gt;"&amp;TODAY(),E154,"&lt;="&amp;TODAY()+30)+COUNTIFS(F154,"&gt;"&amp;TODAY(),F154,"&lt;="&amp;TODAY()+30)&gt;0),Q154,"")</x:f>
      </x:c>
      <x:c r="M154" t="str">
        <x:f>IF(OR(LEFT(H154,15)="Missing dates; ",LEFT(H154,16)="Add N/A reason; ",H154="Add dates",H154="Add registration",H154="Check date format"),R154,"")</x:f>
      </x:c>
      <x:c r="N154" t="str">
        <x:f>IF(COUNTIFS(C154:F154,"Reviewed N/A")&gt;0,S154,"")</x:f>
      </x:c>
      <x:c r="O154" t="n">
        <x:f>O153+IF(AND(A154&lt;&gt;"",COUNTIFS(C154,"&gt;=36526",C154,"&lt;"&amp;TODAY())+COUNTIFS(D154,"&gt;=36526",D154,"&lt;"&amp;TODAY())+COUNTIFS(E154,"&gt;=36526",E154,"&lt;"&amp;TODAY())+COUNTIFS(F154,"&gt;=36526",F154,"&lt;"&amp;TODAY())&gt;0),1,0)</x:f>
        <x:v>0</x:v>
      </x:c>
      <x:c r="P154" t="n">
        <x:f>P153+IF(AND(A154&lt;&gt;"",COUNTIFS(C154,"&gt;=36526",C154,TODAY())+COUNTIFS(D154,"&gt;=36526",D154,TODAY())+COUNTIFS(E154,"&gt;=36526",E154,TODAY())+COUNTIFS(F154,"&gt;=36526",F154,TODAY())&gt;0),1,0)</x:f>
        <x:v>0</x:v>
      </x:c>
      <x:c r="Q154" t="n">
        <x:f>Q153+IF(AND(A154&lt;&gt;"",COUNTIFS(C154,"&gt;"&amp;TODAY(),C154,"&lt;="&amp;TODAY()+30)+COUNTIFS(D154,"&gt;"&amp;TODAY(),D154,"&lt;="&amp;TODAY()+30)+COUNTIFS(E154,"&gt;"&amp;TODAY(),E154,"&lt;="&amp;TODAY()+30)+COUNTIFS(F154,"&gt;"&amp;TODAY(),F154,"&lt;="&amp;TODAY()+30)&gt;0),1,0)</x:f>
        <x:v>0</x:v>
      </x:c>
      <x:c r="R154" t="n">
        <x:f>R153+IF(OR(LEFT(H154,15)="Missing dates; ",LEFT(H154,16)="Add N/A reason; ",H154="Add dates",H154="Add registration",H154="Check date format"),1,0)</x:f>
        <x:v>0</x:v>
      </x:c>
      <x:c r="S154" t="n">
        <x:f>S153+IF(COUNTIFS(C154:F154,"Reviewed N/A")&gt;0,1,0)</x:f>
        <x:v>0</x:v>
      </x:c>
    </x:row>
    <x:row r="155" ht="48" customHeight="1">
      <x:c r="A155" s="52"/>
      <x:c r="B155" s="52"/>
      <x:c r="C155" s="53"/>
      <x:c r="D155" s="53"/>
      <x:c r="E155" s="53"/>
      <x:c r="F155" s="53"/>
      <x:c r="G155" s="52"/>
      <x:c r="H155" s="21" t="str">
        <x:f>IF(COUNTA(A155:G155,I155)=0,"",IF(A155="","Add registration",IF(OR(COUNTA(C155:F155)&gt;COUNT(C155:F155)+COUNTIFS(C155:F155,"Reviewed N/A"),AND(COUNT(C155:F155)&gt;0,OR(MIN(C155:F155)&lt;36526,MAX(C155:F155)&gt;109574))),"Check date format",IF(AND(COUNTIFS(C155:F155,"Reviewed N/A")&gt;0,I155=""),"Add N/A reason; ","")&amp;IF(COUNT(C155:F155)=0,IF(COUNTIFS(C155:F155,"Reviewed N/A")=4,"No applicable dates recorded","Add dates"),IF(COUNT(C155:F155)+COUNTIFS(C155:F155,"Reviewed N/A")&lt;4,"Missing dates; ","")&amp;IF(MIN(C155:F155)&lt;TODAY(),"Overdue: ",IF(MIN(C155:F155)=TODAY(),"Due today: ",IF(MIN(C155:F155)&lt;=TODAY()+30,"Due within 30 days: ","Next: ")))&amp;INDEX($C$8:$F$8,1,MATCH(MIN(C155:F155),C155:F155,0))&amp;" "&amp;TEXT(MIN(C155:F155),"dd mmm yyyy")))))</x:f>
      </x:c>
      <x:c r="I155" s="52"/>
      <x:c r="J155" t="str">
        <x:f>IF(AND(A155&lt;&gt;"",COUNTIFS(C155,"&gt;=36526",C155,"&lt;"&amp;TODAY())+COUNTIFS(D155,"&gt;=36526",D155,"&lt;"&amp;TODAY())+COUNTIFS(E155,"&gt;=36526",E155,"&lt;"&amp;TODAY())+COUNTIFS(F155,"&gt;=36526",F155,"&lt;"&amp;TODAY())&gt;0),O155,"")</x:f>
      </x:c>
      <x:c r="K155" t="str">
        <x:f>IF(AND(A155&lt;&gt;"",COUNTIFS(C155,"&gt;=36526",C155,TODAY())+COUNTIFS(D155,"&gt;=36526",D155,TODAY())+COUNTIFS(E155,"&gt;=36526",E155,TODAY())+COUNTIFS(F155,"&gt;=36526",F155,TODAY())&gt;0),P155,"")</x:f>
      </x:c>
      <x:c r="L155" t="str">
        <x:f>IF(AND(A155&lt;&gt;"",COUNTIFS(C155,"&gt;"&amp;TODAY(),C155,"&lt;="&amp;TODAY()+30)+COUNTIFS(D155,"&gt;"&amp;TODAY(),D155,"&lt;="&amp;TODAY()+30)+COUNTIFS(E155,"&gt;"&amp;TODAY(),E155,"&lt;="&amp;TODAY()+30)+COUNTIFS(F155,"&gt;"&amp;TODAY(),F155,"&lt;="&amp;TODAY()+30)&gt;0),Q155,"")</x:f>
      </x:c>
      <x:c r="M155" t="str">
        <x:f>IF(OR(LEFT(H155,15)="Missing dates; ",LEFT(H155,16)="Add N/A reason; ",H155="Add dates",H155="Add registration",H155="Check date format"),R155,"")</x:f>
      </x:c>
      <x:c r="N155" t="str">
        <x:f>IF(COUNTIFS(C155:F155,"Reviewed N/A")&gt;0,S155,"")</x:f>
      </x:c>
      <x:c r="O155" t="n">
        <x:f>O154+IF(AND(A155&lt;&gt;"",COUNTIFS(C155,"&gt;=36526",C155,"&lt;"&amp;TODAY())+COUNTIFS(D155,"&gt;=36526",D155,"&lt;"&amp;TODAY())+COUNTIFS(E155,"&gt;=36526",E155,"&lt;"&amp;TODAY())+COUNTIFS(F155,"&gt;=36526",F155,"&lt;"&amp;TODAY())&gt;0),1,0)</x:f>
        <x:v>0</x:v>
      </x:c>
      <x:c r="P155" t="n">
        <x:f>P154+IF(AND(A155&lt;&gt;"",COUNTIFS(C155,"&gt;=36526",C155,TODAY())+COUNTIFS(D155,"&gt;=36526",D155,TODAY())+COUNTIFS(E155,"&gt;=36526",E155,TODAY())+COUNTIFS(F155,"&gt;=36526",F155,TODAY())&gt;0),1,0)</x:f>
        <x:v>0</x:v>
      </x:c>
      <x:c r="Q155" t="n">
        <x:f>Q154+IF(AND(A155&lt;&gt;"",COUNTIFS(C155,"&gt;"&amp;TODAY(),C155,"&lt;="&amp;TODAY()+30)+COUNTIFS(D155,"&gt;"&amp;TODAY(),D155,"&lt;="&amp;TODAY()+30)+COUNTIFS(E155,"&gt;"&amp;TODAY(),E155,"&lt;="&amp;TODAY()+30)+COUNTIFS(F155,"&gt;"&amp;TODAY(),F155,"&lt;="&amp;TODAY()+30)&gt;0),1,0)</x:f>
        <x:v>0</x:v>
      </x:c>
      <x:c r="R155" t="n">
        <x:f>R154+IF(OR(LEFT(H155,15)="Missing dates; ",LEFT(H155,16)="Add N/A reason; ",H155="Add dates",H155="Add registration",H155="Check date format"),1,0)</x:f>
        <x:v>0</x:v>
      </x:c>
      <x:c r="S155" t="n">
        <x:f>S154+IF(COUNTIFS(C155:F155,"Reviewed N/A")&gt;0,1,0)</x:f>
        <x:v>0</x:v>
      </x:c>
    </x:row>
    <x:row r="156" ht="48" customHeight="1">
      <x:c r="A156" s="52"/>
      <x:c r="B156" s="52"/>
      <x:c r="C156" s="53"/>
      <x:c r="D156" s="53"/>
      <x:c r="E156" s="53"/>
      <x:c r="F156" s="53"/>
      <x:c r="G156" s="52"/>
      <x:c r="H156" s="21" t="str">
        <x:f>IF(COUNTA(A156:G156,I156)=0,"",IF(A156="","Add registration",IF(OR(COUNTA(C156:F156)&gt;COUNT(C156:F156)+COUNTIFS(C156:F156,"Reviewed N/A"),AND(COUNT(C156:F156)&gt;0,OR(MIN(C156:F156)&lt;36526,MAX(C156:F156)&gt;109574))),"Check date format",IF(AND(COUNTIFS(C156:F156,"Reviewed N/A")&gt;0,I156=""),"Add N/A reason; ","")&amp;IF(COUNT(C156:F156)=0,IF(COUNTIFS(C156:F156,"Reviewed N/A")=4,"No applicable dates recorded","Add dates"),IF(COUNT(C156:F156)+COUNTIFS(C156:F156,"Reviewed N/A")&lt;4,"Missing dates; ","")&amp;IF(MIN(C156:F156)&lt;TODAY(),"Overdue: ",IF(MIN(C156:F156)=TODAY(),"Due today: ",IF(MIN(C156:F156)&lt;=TODAY()+30,"Due within 30 days: ","Next: ")))&amp;INDEX($C$8:$F$8,1,MATCH(MIN(C156:F156),C156:F156,0))&amp;" "&amp;TEXT(MIN(C156:F156),"dd mmm yyyy")))))</x:f>
      </x:c>
      <x:c r="I156" s="52"/>
      <x:c r="J156" t="str">
        <x:f>IF(AND(A156&lt;&gt;"",COUNTIFS(C156,"&gt;=36526",C156,"&lt;"&amp;TODAY())+COUNTIFS(D156,"&gt;=36526",D156,"&lt;"&amp;TODAY())+COUNTIFS(E156,"&gt;=36526",E156,"&lt;"&amp;TODAY())+COUNTIFS(F156,"&gt;=36526",F156,"&lt;"&amp;TODAY())&gt;0),O156,"")</x:f>
      </x:c>
      <x:c r="K156" t="str">
        <x:f>IF(AND(A156&lt;&gt;"",COUNTIFS(C156,"&gt;=36526",C156,TODAY())+COUNTIFS(D156,"&gt;=36526",D156,TODAY())+COUNTIFS(E156,"&gt;=36526",E156,TODAY())+COUNTIFS(F156,"&gt;=36526",F156,TODAY())&gt;0),P156,"")</x:f>
      </x:c>
      <x:c r="L156" t="str">
        <x:f>IF(AND(A156&lt;&gt;"",COUNTIFS(C156,"&gt;"&amp;TODAY(),C156,"&lt;="&amp;TODAY()+30)+COUNTIFS(D156,"&gt;"&amp;TODAY(),D156,"&lt;="&amp;TODAY()+30)+COUNTIFS(E156,"&gt;"&amp;TODAY(),E156,"&lt;="&amp;TODAY()+30)+COUNTIFS(F156,"&gt;"&amp;TODAY(),F156,"&lt;="&amp;TODAY()+30)&gt;0),Q156,"")</x:f>
      </x:c>
      <x:c r="M156" t="str">
        <x:f>IF(OR(LEFT(H156,15)="Missing dates; ",LEFT(H156,16)="Add N/A reason; ",H156="Add dates",H156="Add registration",H156="Check date format"),R156,"")</x:f>
      </x:c>
      <x:c r="N156" t="str">
        <x:f>IF(COUNTIFS(C156:F156,"Reviewed N/A")&gt;0,S156,"")</x:f>
      </x:c>
      <x:c r="O156" t="n">
        <x:f>O155+IF(AND(A156&lt;&gt;"",COUNTIFS(C156,"&gt;=36526",C156,"&lt;"&amp;TODAY())+COUNTIFS(D156,"&gt;=36526",D156,"&lt;"&amp;TODAY())+COUNTIFS(E156,"&gt;=36526",E156,"&lt;"&amp;TODAY())+COUNTIFS(F156,"&gt;=36526",F156,"&lt;"&amp;TODAY())&gt;0),1,0)</x:f>
        <x:v>0</x:v>
      </x:c>
      <x:c r="P156" t="n">
        <x:f>P155+IF(AND(A156&lt;&gt;"",COUNTIFS(C156,"&gt;=36526",C156,TODAY())+COUNTIFS(D156,"&gt;=36526",D156,TODAY())+COUNTIFS(E156,"&gt;=36526",E156,TODAY())+COUNTIFS(F156,"&gt;=36526",F156,TODAY())&gt;0),1,0)</x:f>
        <x:v>0</x:v>
      </x:c>
      <x:c r="Q156" t="n">
        <x:f>Q155+IF(AND(A156&lt;&gt;"",COUNTIFS(C156,"&gt;"&amp;TODAY(),C156,"&lt;="&amp;TODAY()+30)+COUNTIFS(D156,"&gt;"&amp;TODAY(),D156,"&lt;="&amp;TODAY()+30)+COUNTIFS(E156,"&gt;"&amp;TODAY(),E156,"&lt;="&amp;TODAY()+30)+COUNTIFS(F156,"&gt;"&amp;TODAY(),F156,"&lt;="&amp;TODAY()+30)&gt;0),1,0)</x:f>
        <x:v>0</x:v>
      </x:c>
      <x:c r="R156" t="n">
        <x:f>R155+IF(OR(LEFT(H156,15)="Missing dates; ",LEFT(H156,16)="Add N/A reason; ",H156="Add dates",H156="Add registration",H156="Check date format"),1,0)</x:f>
        <x:v>0</x:v>
      </x:c>
      <x:c r="S156" t="n">
        <x:f>S155+IF(COUNTIFS(C156:F156,"Reviewed N/A")&gt;0,1,0)</x:f>
        <x:v>0</x:v>
      </x:c>
    </x:row>
    <x:row r="157" ht="48" customHeight="1">
      <x:c r="A157" s="52"/>
      <x:c r="B157" s="52"/>
      <x:c r="C157" s="53"/>
      <x:c r="D157" s="53"/>
      <x:c r="E157" s="53"/>
      <x:c r="F157" s="53"/>
      <x:c r="G157" s="52"/>
      <x:c r="H157" s="21" t="str">
        <x:f>IF(COUNTA(A157:G157,I157)=0,"",IF(A157="","Add registration",IF(OR(COUNTA(C157:F157)&gt;COUNT(C157:F157)+COUNTIFS(C157:F157,"Reviewed N/A"),AND(COUNT(C157:F157)&gt;0,OR(MIN(C157:F157)&lt;36526,MAX(C157:F157)&gt;109574))),"Check date format",IF(AND(COUNTIFS(C157:F157,"Reviewed N/A")&gt;0,I157=""),"Add N/A reason; ","")&amp;IF(COUNT(C157:F157)=0,IF(COUNTIFS(C157:F157,"Reviewed N/A")=4,"No applicable dates recorded","Add dates"),IF(COUNT(C157:F157)+COUNTIFS(C157:F157,"Reviewed N/A")&lt;4,"Missing dates; ","")&amp;IF(MIN(C157:F157)&lt;TODAY(),"Overdue: ",IF(MIN(C157:F157)=TODAY(),"Due today: ",IF(MIN(C157:F157)&lt;=TODAY()+30,"Due within 30 days: ","Next: ")))&amp;INDEX($C$8:$F$8,1,MATCH(MIN(C157:F157),C157:F157,0))&amp;" "&amp;TEXT(MIN(C157:F157),"dd mmm yyyy")))))</x:f>
      </x:c>
      <x:c r="I157" s="52"/>
      <x:c r="J157" t="str">
        <x:f>IF(AND(A157&lt;&gt;"",COUNTIFS(C157,"&gt;=36526",C157,"&lt;"&amp;TODAY())+COUNTIFS(D157,"&gt;=36526",D157,"&lt;"&amp;TODAY())+COUNTIFS(E157,"&gt;=36526",E157,"&lt;"&amp;TODAY())+COUNTIFS(F157,"&gt;=36526",F157,"&lt;"&amp;TODAY())&gt;0),O157,"")</x:f>
      </x:c>
      <x:c r="K157" t="str">
        <x:f>IF(AND(A157&lt;&gt;"",COUNTIFS(C157,"&gt;=36526",C157,TODAY())+COUNTIFS(D157,"&gt;=36526",D157,TODAY())+COUNTIFS(E157,"&gt;=36526",E157,TODAY())+COUNTIFS(F157,"&gt;=36526",F157,TODAY())&gt;0),P157,"")</x:f>
      </x:c>
      <x:c r="L157" t="str">
        <x:f>IF(AND(A157&lt;&gt;"",COUNTIFS(C157,"&gt;"&amp;TODAY(),C157,"&lt;="&amp;TODAY()+30)+COUNTIFS(D157,"&gt;"&amp;TODAY(),D157,"&lt;="&amp;TODAY()+30)+COUNTIFS(E157,"&gt;"&amp;TODAY(),E157,"&lt;="&amp;TODAY()+30)+COUNTIFS(F157,"&gt;"&amp;TODAY(),F157,"&lt;="&amp;TODAY()+30)&gt;0),Q157,"")</x:f>
      </x:c>
      <x:c r="M157" t="str">
        <x:f>IF(OR(LEFT(H157,15)="Missing dates; ",LEFT(H157,16)="Add N/A reason; ",H157="Add dates",H157="Add registration",H157="Check date format"),R157,"")</x:f>
      </x:c>
      <x:c r="N157" t="str">
        <x:f>IF(COUNTIFS(C157:F157,"Reviewed N/A")&gt;0,S157,"")</x:f>
      </x:c>
      <x:c r="O157" t="n">
        <x:f>O156+IF(AND(A157&lt;&gt;"",COUNTIFS(C157,"&gt;=36526",C157,"&lt;"&amp;TODAY())+COUNTIFS(D157,"&gt;=36526",D157,"&lt;"&amp;TODAY())+COUNTIFS(E157,"&gt;=36526",E157,"&lt;"&amp;TODAY())+COUNTIFS(F157,"&gt;=36526",F157,"&lt;"&amp;TODAY())&gt;0),1,0)</x:f>
        <x:v>0</x:v>
      </x:c>
      <x:c r="P157" t="n">
        <x:f>P156+IF(AND(A157&lt;&gt;"",COUNTIFS(C157,"&gt;=36526",C157,TODAY())+COUNTIFS(D157,"&gt;=36526",D157,TODAY())+COUNTIFS(E157,"&gt;=36526",E157,TODAY())+COUNTIFS(F157,"&gt;=36526",F157,TODAY())&gt;0),1,0)</x:f>
        <x:v>0</x:v>
      </x:c>
      <x:c r="Q157" t="n">
        <x:f>Q156+IF(AND(A157&lt;&gt;"",COUNTIFS(C157,"&gt;"&amp;TODAY(),C157,"&lt;="&amp;TODAY()+30)+COUNTIFS(D157,"&gt;"&amp;TODAY(),D157,"&lt;="&amp;TODAY()+30)+COUNTIFS(E157,"&gt;"&amp;TODAY(),E157,"&lt;="&amp;TODAY()+30)+COUNTIFS(F157,"&gt;"&amp;TODAY(),F157,"&lt;="&amp;TODAY()+30)&gt;0),1,0)</x:f>
        <x:v>0</x:v>
      </x:c>
      <x:c r="R157" t="n">
        <x:f>R156+IF(OR(LEFT(H157,15)="Missing dates; ",LEFT(H157,16)="Add N/A reason; ",H157="Add dates",H157="Add registration",H157="Check date format"),1,0)</x:f>
        <x:v>0</x:v>
      </x:c>
      <x:c r="S157" t="n">
        <x:f>S156+IF(COUNTIFS(C157:F157,"Reviewed N/A")&gt;0,1,0)</x:f>
        <x:v>0</x:v>
      </x:c>
    </x:row>
    <x:row r="158" ht="48" customHeight="1">
      <x:c r="A158" s="52"/>
      <x:c r="B158" s="52"/>
      <x:c r="C158" s="53"/>
      <x:c r="D158" s="53"/>
      <x:c r="E158" s="53"/>
      <x:c r="F158" s="53"/>
      <x:c r="G158" s="52"/>
      <x:c r="H158" s="21" t="str">
        <x:f>IF(COUNTA(A158:G158,I158)=0,"",IF(A158="","Add registration",IF(OR(COUNTA(C158:F158)&gt;COUNT(C158:F158)+COUNTIFS(C158:F158,"Reviewed N/A"),AND(COUNT(C158:F158)&gt;0,OR(MIN(C158:F158)&lt;36526,MAX(C158:F158)&gt;109574))),"Check date format",IF(AND(COUNTIFS(C158:F158,"Reviewed N/A")&gt;0,I158=""),"Add N/A reason; ","")&amp;IF(COUNT(C158:F158)=0,IF(COUNTIFS(C158:F158,"Reviewed N/A")=4,"No applicable dates recorded","Add dates"),IF(COUNT(C158:F158)+COUNTIFS(C158:F158,"Reviewed N/A")&lt;4,"Missing dates; ","")&amp;IF(MIN(C158:F158)&lt;TODAY(),"Overdue: ",IF(MIN(C158:F158)=TODAY(),"Due today: ",IF(MIN(C158:F158)&lt;=TODAY()+30,"Due within 30 days: ","Next: ")))&amp;INDEX($C$8:$F$8,1,MATCH(MIN(C158:F158),C158:F158,0))&amp;" "&amp;TEXT(MIN(C158:F158),"dd mmm yyyy")))))</x:f>
      </x:c>
      <x:c r="I158" s="52"/>
      <x:c r="J158" t="str">
        <x:f>IF(AND(A158&lt;&gt;"",COUNTIFS(C158,"&gt;=36526",C158,"&lt;"&amp;TODAY())+COUNTIFS(D158,"&gt;=36526",D158,"&lt;"&amp;TODAY())+COUNTIFS(E158,"&gt;=36526",E158,"&lt;"&amp;TODAY())+COUNTIFS(F158,"&gt;=36526",F158,"&lt;"&amp;TODAY())&gt;0),O158,"")</x:f>
      </x:c>
      <x:c r="K158" t="str">
        <x:f>IF(AND(A158&lt;&gt;"",COUNTIFS(C158,"&gt;=36526",C158,TODAY())+COUNTIFS(D158,"&gt;=36526",D158,TODAY())+COUNTIFS(E158,"&gt;=36526",E158,TODAY())+COUNTIFS(F158,"&gt;=36526",F158,TODAY())&gt;0),P158,"")</x:f>
      </x:c>
      <x:c r="L158" t="str">
        <x:f>IF(AND(A158&lt;&gt;"",COUNTIFS(C158,"&gt;"&amp;TODAY(),C158,"&lt;="&amp;TODAY()+30)+COUNTIFS(D158,"&gt;"&amp;TODAY(),D158,"&lt;="&amp;TODAY()+30)+COUNTIFS(E158,"&gt;"&amp;TODAY(),E158,"&lt;="&amp;TODAY()+30)+COUNTIFS(F158,"&gt;"&amp;TODAY(),F158,"&lt;="&amp;TODAY()+30)&gt;0),Q158,"")</x:f>
      </x:c>
      <x:c r="M158" t="str">
        <x:f>IF(OR(LEFT(H158,15)="Missing dates; ",LEFT(H158,16)="Add N/A reason; ",H158="Add dates",H158="Add registration",H158="Check date format"),R158,"")</x:f>
      </x:c>
      <x:c r="N158" t="str">
        <x:f>IF(COUNTIFS(C158:F158,"Reviewed N/A")&gt;0,S158,"")</x:f>
      </x:c>
      <x:c r="O158" t="n">
        <x:f>O157+IF(AND(A158&lt;&gt;"",COUNTIFS(C158,"&gt;=36526",C158,"&lt;"&amp;TODAY())+COUNTIFS(D158,"&gt;=36526",D158,"&lt;"&amp;TODAY())+COUNTIFS(E158,"&gt;=36526",E158,"&lt;"&amp;TODAY())+COUNTIFS(F158,"&gt;=36526",F158,"&lt;"&amp;TODAY())&gt;0),1,0)</x:f>
        <x:v>0</x:v>
      </x:c>
      <x:c r="P158" t="n">
        <x:f>P157+IF(AND(A158&lt;&gt;"",COUNTIFS(C158,"&gt;=36526",C158,TODAY())+COUNTIFS(D158,"&gt;=36526",D158,TODAY())+COUNTIFS(E158,"&gt;=36526",E158,TODAY())+COUNTIFS(F158,"&gt;=36526",F158,TODAY())&gt;0),1,0)</x:f>
        <x:v>0</x:v>
      </x:c>
      <x:c r="Q158" t="n">
        <x:f>Q157+IF(AND(A158&lt;&gt;"",COUNTIFS(C158,"&gt;"&amp;TODAY(),C158,"&lt;="&amp;TODAY()+30)+COUNTIFS(D158,"&gt;"&amp;TODAY(),D158,"&lt;="&amp;TODAY()+30)+COUNTIFS(E158,"&gt;"&amp;TODAY(),E158,"&lt;="&amp;TODAY()+30)+COUNTIFS(F158,"&gt;"&amp;TODAY(),F158,"&lt;="&amp;TODAY()+30)&gt;0),1,0)</x:f>
        <x:v>0</x:v>
      </x:c>
      <x:c r="R158" t="n">
        <x:f>R157+IF(OR(LEFT(H158,15)="Missing dates; ",LEFT(H158,16)="Add N/A reason; ",H158="Add dates",H158="Add registration",H158="Check date format"),1,0)</x:f>
        <x:v>0</x:v>
      </x:c>
      <x:c r="S158" t="n">
        <x:f>S157+IF(COUNTIFS(C158:F158,"Reviewed N/A")&gt;0,1,0)</x:f>
        <x:v>0</x:v>
      </x:c>
    </x:row>
    <x:row r="159" ht="48" customHeight="1">
      <x:c r="A159" s="52"/>
      <x:c r="B159" s="52"/>
      <x:c r="C159" s="53"/>
      <x:c r="D159" s="53"/>
      <x:c r="E159" s="53"/>
      <x:c r="F159" s="53"/>
      <x:c r="G159" s="52"/>
      <x:c r="H159" s="21" t="str">
        <x:f>IF(COUNTA(A159:G159,I159)=0,"",IF(A159="","Add registration",IF(OR(COUNTA(C159:F159)&gt;COUNT(C159:F159)+COUNTIFS(C159:F159,"Reviewed N/A"),AND(COUNT(C159:F159)&gt;0,OR(MIN(C159:F159)&lt;36526,MAX(C159:F159)&gt;109574))),"Check date format",IF(AND(COUNTIFS(C159:F159,"Reviewed N/A")&gt;0,I159=""),"Add N/A reason; ","")&amp;IF(COUNT(C159:F159)=0,IF(COUNTIFS(C159:F159,"Reviewed N/A")=4,"No applicable dates recorded","Add dates"),IF(COUNT(C159:F159)+COUNTIFS(C159:F159,"Reviewed N/A")&lt;4,"Missing dates; ","")&amp;IF(MIN(C159:F159)&lt;TODAY(),"Overdue: ",IF(MIN(C159:F159)=TODAY(),"Due today: ",IF(MIN(C159:F159)&lt;=TODAY()+30,"Due within 30 days: ","Next: ")))&amp;INDEX($C$8:$F$8,1,MATCH(MIN(C159:F159),C159:F159,0))&amp;" "&amp;TEXT(MIN(C159:F159),"dd mmm yyyy")))))</x:f>
      </x:c>
      <x:c r="I159" s="52"/>
      <x:c r="J159" t="str">
        <x:f>IF(AND(A159&lt;&gt;"",COUNTIFS(C159,"&gt;=36526",C159,"&lt;"&amp;TODAY())+COUNTIFS(D159,"&gt;=36526",D159,"&lt;"&amp;TODAY())+COUNTIFS(E159,"&gt;=36526",E159,"&lt;"&amp;TODAY())+COUNTIFS(F159,"&gt;=36526",F159,"&lt;"&amp;TODAY())&gt;0),O159,"")</x:f>
      </x:c>
      <x:c r="K159" t="str">
        <x:f>IF(AND(A159&lt;&gt;"",COUNTIFS(C159,"&gt;=36526",C159,TODAY())+COUNTIFS(D159,"&gt;=36526",D159,TODAY())+COUNTIFS(E159,"&gt;=36526",E159,TODAY())+COUNTIFS(F159,"&gt;=36526",F159,TODAY())&gt;0),P159,"")</x:f>
      </x:c>
      <x:c r="L159" t="str">
        <x:f>IF(AND(A159&lt;&gt;"",COUNTIFS(C159,"&gt;"&amp;TODAY(),C159,"&lt;="&amp;TODAY()+30)+COUNTIFS(D159,"&gt;"&amp;TODAY(),D159,"&lt;="&amp;TODAY()+30)+COUNTIFS(E159,"&gt;"&amp;TODAY(),E159,"&lt;="&amp;TODAY()+30)+COUNTIFS(F159,"&gt;"&amp;TODAY(),F159,"&lt;="&amp;TODAY()+30)&gt;0),Q159,"")</x:f>
      </x:c>
      <x:c r="M159" t="str">
        <x:f>IF(OR(LEFT(H159,15)="Missing dates; ",LEFT(H159,16)="Add N/A reason; ",H159="Add dates",H159="Add registration",H159="Check date format"),R159,"")</x:f>
      </x:c>
      <x:c r="N159" t="str">
        <x:f>IF(COUNTIFS(C159:F159,"Reviewed N/A")&gt;0,S159,"")</x:f>
      </x:c>
      <x:c r="O159" t="n">
        <x:f>O158+IF(AND(A159&lt;&gt;"",COUNTIFS(C159,"&gt;=36526",C159,"&lt;"&amp;TODAY())+COUNTIFS(D159,"&gt;=36526",D159,"&lt;"&amp;TODAY())+COUNTIFS(E159,"&gt;=36526",E159,"&lt;"&amp;TODAY())+COUNTIFS(F159,"&gt;=36526",F159,"&lt;"&amp;TODAY())&gt;0),1,0)</x:f>
        <x:v>0</x:v>
      </x:c>
      <x:c r="P159" t="n">
        <x:f>P158+IF(AND(A159&lt;&gt;"",COUNTIFS(C159,"&gt;=36526",C159,TODAY())+COUNTIFS(D159,"&gt;=36526",D159,TODAY())+COUNTIFS(E159,"&gt;=36526",E159,TODAY())+COUNTIFS(F159,"&gt;=36526",F159,TODAY())&gt;0),1,0)</x:f>
        <x:v>0</x:v>
      </x:c>
      <x:c r="Q159" t="n">
        <x:f>Q158+IF(AND(A159&lt;&gt;"",COUNTIFS(C159,"&gt;"&amp;TODAY(),C159,"&lt;="&amp;TODAY()+30)+COUNTIFS(D159,"&gt;"&amp;TODAY(),D159,"&lt;="&amp;TODAY()+30)+COUNTIFS(E159,"&gt;"&amp;TODAY(),E159,"&lt;="&amp;TODAY()+30)+COUNTIFS(F159,"&gt;"&amp;TODAY(),F159,"&lt;="&amp;TODAY()+30)&gt;0),1,0)</x:f>
        <x:v>0</x:v>
      </x:c>
      <x:c r="R159" t="n">
        <x:f>R158+IF(OR(LEFT(H159,15)="Missing dates; ",LEFT(H159,16)="Add N/A reason; ",H159="Add dates",H159="Add registration",H159="Check date format"),1,0)</x:f>
        <x:v>0</x:v>
      </x:c>
      <x:c r="S159" t="n">
        <x:f>S158+IF(COUNTIFS(C159:F159,"Reviewed N/A")&gt;0,1,0)</x:f>
        <x:v>0</x:v>
      </x:c>
    </x:row>
    <x:row r="160" ht="48" customHeight="1">
      <x:c r="A160" s="52"/>
      <x:c r="B160" s="52"/>
      <x:c r="C160" s="53"/>
      <x:c r="D160" s="53"/>
      <x:c r="E160" s="53"/>
      <x:c r="F160" s="53"/>
      <x:c r="G160" s="52"/>
      <x:c r="H160" s="21" t="str">
        <x:f>IF(COUNTA(A160:G160,I160)=0,"",IF(A160="","Add registration",IF(OR(COUNTA(C160:F160)&gt;COUNT(C160:F160)+COUNTIFS(C160:F160,"Reviewed N/A"),AND(COUNT(C160:F160)&gt;0,OR(MIN(C160:F160)&lt;36526,MAX(C160:F160)&gt;109574))),"Check date format",IF(AND(COUNTIFS(C160:F160,"Reviewed N/A")&gt;0,I160=""),"Add N/A reason; ","")&amp;IF(COUNT(C160:F160)=0,IF(COUNTIFS(C160:F160,"Reviewed N/A")=4,"No applicable dates recorded","Add dates"),IF(COUNT(C160:F160)+COUNTIFS(C160:F160,"Reviewed N/A")&lt;4,"Missing dates; ","")&amp;IF(MIN(C160:F160)&lt;TODAY(),"Overdue: ",IF(MIN(C160:F160)=TODAY(),"Due today: ",IF(MIN(C160:F160)&lt;=TODAY()+30,"Due within 30 days: ","Next: ")))&amp;INDEX($C$8:$F$8,1,MATCH(MIN(C160:F160),C160:F160,0))&amp;" "&amp;TEXT(MIN(C160:F160),"dd mmm yyyy")))))</x:f>
      </x:c>
      <x:c r="I160" s="52"/>
      <x:c r="J160" t="str">
        <x:f>IF(AND(A160&lt;&gt;"",COUNTIFS(C160,"&gt;=36526",C160,"&lt;"&amp;TODAY())+COUNTIFS(D160,"&gt;=36526",D160,"&lt;"&amp;TODAY())+COUNTIFS(E160,"&gt;=36526",E160,"&lt;"&amp;TODAY())+COUNTIFS(F160,"&gt;=36526",F160,"&lt;"&amp;TODAY())&gt;0),O160,"")</x:f>
      </x:c>
      <x:c r="K160" t="str">
        <x:f>IF(AND(A160&lt;&gt;"",COUNTIFS(C160,"&gt;=36526",C160,TODAY())+COUNTIFS(D160,"&gt;=36526",D160,TODAY())+COUNTIFS(E160,"&gt;=36526",E160,TODAY())+COUNTIFS(F160,"&gt;=36526",F160,TODAY())&gt;0),P160,"")</x:f>
      </x:c>
      <x:c r="L160" t="str">
        <x:f>IF(AND(A160&lt;&gt;"",COUNTIFS(C160,"&gt;"&amp;TODAY(),C160,"&lt;="&amp;TODAY()+30)+COUNTIFS(D160,"&gt;"&amp;TODAY(),D160,"&lt;="&amp;TODAY()+30)+COUNTIFS(E160,"&gt;"&amp;TODAY(),E160,"&lt;="&amp;TODAY()+30)+COUNTIFS(F160,"&gt;"&amp;TODAY(),F160,"&lt;="&amp;TODAY()+30)&gt;0),Q160,"")</x:f>
      </x:c>
      <x:c r="M160" t="str">
        <x:f>IF(OR(LEFT(H160,15)="Missing dates; ",LEFT(H160,16)="Add N/A reason; ",H160="Add dates",H160="Add registration",H160="Check date format"),R160,"")</x:f>
      </x:c>
      <x:c r="N160" t="str">
        <x:f>IF(COUNTIFS(C160:F160,"Reviewed N/A")&gt;0,S160,"")</x:f>
      </x:c>
      <x:c r="O160" t="n">
        <x:f>O159+IF(AND(A160&lt;&gt;"",COUNTIFS(C160,"&gt;=36526",C160,"&lt;"&amp;TODAY())+COUNTIFS(D160,"&gt;=36526",D160,"&lt;"&amp;TODAY())+COUNTIFS(E160,"&gt;=36526",E160,"&lt;"&amp;TODAY())+COUNTIFS(F160,"&gt;=36526",F160,"&lt;"&amp;TODAY())&gt;0),1,0)</x:f>
        <x:v>0</x:v>
      </x:c>
      <x:c r="P160" t="n">
        <x:f>P159+IF(AND(A160&lt;&gt;"",COUNTIFS(C160,"&gt;=36526",C160,TODAY())+COUNTIFS(D160,"&gt;=36526",D160,TODAY())+COUNTIFS(E160,"&gt;=36526",E160,TODAY())+COUNTIFS(F160,"&gt;=36526",F160,TODAY())&gt;0),1,0)</x:f>
        <x:v>0</x:v>
      </x:c>
      <x:c r="Q160" t="n">
        <x:f>Q159+IF(AND(A160&lt;&gt;"",COUNTIFS(C160,"&gt;"&amp;TODAY(),C160,"&lt;="&amp;TODAY()+30)+COUNTIFS(D160,"&gt;"&amp;TODAY(),D160,"&lt;="&amp;TODAY()+30)+COUNTIFS(E160,"&gt;"&amp;TODAY(),E160,"&lt;="&amp;TODAY()+30)+COUNTIFS(F160,"&gt;"&amp;TODAY(),F160,"&lt;="&amp;TODAY()+30)&gt;0),1,0)</x:f>
        <x:v>0</x:v>
      </x:c>
      <x:c r="R160" t="n">
        <x:f>R159+IF(OR(LEFT(H160,15)="Missing dates; ",LEFT(H160,16)="Add N/A reason; ",H160="Add dates",H160="Add registration",H160="Check date format"),1,0)</x:f>
        <x:v>0</x:v>
      </x:c>
      <x:c r="S160" t="n">
        <x:f>S159+IF(COUNTIFS(C160:F160,"Reviewed N/A")&gt;0,1,0)</x:f>
        <x:v>0</x:v>
      </x:c>
    </x:row>
    <x:row r="161" ht="48" customHeight="1">
      <x:c r="A161" s="52"/>
      <x:c r="B161" s="52"/>
      <x:c r="C161" s="53"/>
      <x:c r="D161" s="53"/>
      <x:c r="E161" s="53"/>
      <x:c r="F161" s="53"/>
      <x:c r="G161" s="52"/>
      <x:c r="H161" s="21" t="str">
        <x:f>IF(COUNTA(A161:G161,I161)=0,"",IF(A161="","Add registration",IF(OR(COUNTA(C161:F161)&gt;COUNT(C161:F161)+COUNTIFS(C161:F161,"Reviewed N/A"),AND(COUNT(C161:F161)&gt;0,OR(MIN(C161:F161)&lt;36526,MAX(C161:F161)&gt;109574))),"Check date format",IF(AND(COUNTIFS(C161:F161,"Reviewed N/A")&gt;0,I161=""),"Add N/A reason; ","")&amp;IF(COUNT(C161:F161)=0,IF(COUNTIFS(C161:F161,"Reviewed N/A")=4,"No applicable dates recorded","Add dates"),IF(COUNT(C161:F161)+COUNTIFS(C161:F161,"Reviewed N/A")&lt;4,"Missing dates; ","")&amp;IF(MIN(C161:F161)&lt;TODAY(),"Overdue: ",IF(MIN(C161:F161)=TODAY(),"Due today: ",IF(MIN(C161:F161)&lt;=TODAY()+30,"Due within 30 days: ","Next: ")))&amp;INDEX($C$8:$F$8,1,MATCH(MIN(C161:F161),C161:F161,0))&amp;" "&amp;TEXT(MIN(C161:F161),"dd mmm yyyy")))))</x:f>
      </x:c>
      <x:c r="I161" s="52"/>
      <x:c r="J161" t="str">
        <x:f>IF(AND(A161&lt;&gt;"",COUNTIFS(C161,"&gt;=36526",C161,"&lt;"&amp;TODAY())+COUNTIFS(D161,"&gt;=36526",D161,"&lt;"&amp;TODAY())+COUNTIFS(E161,"&gt;=36526",E161,"&lt;"&amp;TODAY())+COUNTIFS(F161,"&gt;=36526",F161,"&lt;"&amp;TODAY())&gt;0),O161,"")</x:f>
      </x:c>
      <x:c r="K161" t="str">
        <x:f>IF(AND(A161&lt;&gt;"",COUNTIFS(C161,"&gt;=36526",C161,TODAY())+COUNTIFS(D161,"&gt;=36526",D161,TODAY())+COUNTIFS(E161,"&gt;=36526",E161,TODAY())+COUNTIFS(F161,"&gt;=36526",F161,TODAY())&gt;0),P161,"")</x:f>
      </x:c>
      <x:c r="L161" t="str">
        <x:f>IF(AND(A161&lt;&gt;"",COUNTIFS(C161,"&gt;"&amp;TODAY(),C161,"&lt;="&amp;TODAY()+30)+COUNTIFS(D161,"&gt;"&amp;TODAY(),D161,"&lt;="&amp;TODAY()+30)+COUNTIFS(E161,"&gt;"&amp;TODAY(),E161,"&lt;="&amp;TODAY()+30)+COUNTIFS(F161,"&gt;"&amp;TODAY(),F161,"&lt;="&amp;TODAY()+30)&gt;0),Q161,"")</x:f>
      </x:c>
      <x:c r="M161" t="str">
        <x:f>IF(OR(LEFT(H161,15)="Missing dates; ",LEFT(H161,16)="Add N/A reason; ",H161="Add dates",H161="Add registration",H161="Check date format"),R161,"")</x:f>
      </x:c>
      <x:c r="N161" t="str">
        <x:f>IF(COUNTIFS(C161:F161,"Reviewed N/A")&gt;0,S161,"")</x:f>
      </x:c>
      <x:c r="O161" t="n">
        <x:f>O160+IF(AND(A161&lt;&gt;"",COUNTIFS(C161,"&gt;=36526",C161,"&lt;"&amp;TODAY())+COUNTIFS(D161,"&gt;=36526",D161,"&lt;"&amp;TODAY())+COUNTIFS(E161,"&gt;=36526",E161,"&lt;"&amp;TODAY())+COUNTIFS(F161,"&gt;=36526",F161,"&lt;"&amp;TODAY())&gt;0),1,0)</x:f>
        <x:v>0</x:v>
      </x:c>
      <x:c r="P161" t="n">
        <x:f>P160+IF(AND(A161&lt;&gt;"",COUNTIFS(C161,"&gt;=36526",C161,TODAY())+COUNTIFS(D161,"&gt;=36526",D161,TODAY())+COUNTIFS(E161,"&gt;=36526",E161,TODAY())+COUNTIFS(F161,"&gt;=36526",F161,TODAY())&gt;0),1,0)</x:f>
        <x:v>0</x:v>
      </x:c>
      <x:c r="Q161" t="n">
        <x:f>Q160+IF(AND(A161&lt;&gt;"",COUNTIFS(C161,"&gt;"&amp;TODAY(),C161,"&lt;="&amp;TODAY()+30)+COUNTIFS(D161,"&gt;"&amp;TODAY(),D161,"&lt;="&amp;TODAY()+30)+COUNTIFS(E161,"&gt;"&amp;TODAY(),E161,"&lt;="&amp;TODAY()+30)+COUNTIFS(F161,"&gt;"&amp;TODAY(),F161,"&lt;="&amp;TODAY()+30)&gt;0),1,0)</x:f>
        <x:v>0</x:v>
      </x:c>
      <x:c r="R161" t="n">
        <x:f>R160+IF(OR(LEFT(H161,15)="Missing dates; ",LEFT(H161,16)="Add N/A reason; ",H161="Add dates",H161="Add registration",H161="Check date format"),1,0)</x:f>
        <x:v>0</x:v>
      </x:c>
      <x:c r="S161" t="n">
        <x:f>S160+IF(COUNTIFS(C161:F161,"Reviewed N/A")&gt;0,1,0)</x:f>
        <x:v>0</x:v>
      </x:c>
    </x:row>
    <x:row r="162" ht="48" customHeight="1">
      <x:c r="A162" s="52"/>
      <x:c r="B162" s="52"/>
      <x:c r="C162" s="53"/>
      <x:c r="D162" s="53"/>
      <x:c r="E162" s="53"/>
      <x:c r="F162" s="53"/>
      <x:c r="G162" s="52"/>
      <x:c r="H162" s="21" t="str">
        <x:f>IF(COUNTA(A162:G162,I162)=0,"",IF(A162="","Add registration",IF(OR(COUNTA(C162:F162)&gt;COUNT(C162:F162)+COUNTIFS(C162:F162,"Reviewed N/A"),AND(COUNT(C162:F162)&gt;0,OR(MIN(C162:F162)&lt;36526,MAX(C162:F162)&gt;109574))),"Check date format",IF(AND(COUNTIFS(C162:F162,"Reviewed N/A")&gt;0,I162=""),"Add N/A reason; ","")&amp;IF(COUNT(C162:F162)=0,IF(COUNTIFS(C162:F162,"Reviewed N/A")=4,"No applicable dates recorded","Add dates"),IF(COUNT(C162:F162)+COUNTIFS(C162:F162,"Reviewed N/A")&lt;4,"Missing dates; ","")&amp;IF(MIN(C162:F162)&lt;TODAY(),"Overdue: ",IF(MIN(C162:F162)=TODAY(),"Due today: ",IF(MIN(C162:F162)&lt;=TODAY()+30,"Due within 30 days: ","Next: ")))&amp;INDEX($C$8:$F$8,1,MATCH(MIN(C162:F162),C162:F162,0))&amp;" "&amp;TEXT(MIN(C162:F162),"dd mmm yyyy")))))</x:f>
      </x:c>
      <x:c r="I162" s="52"/>
      <x:c r="J162" t="str">
        <x:f>IF(AND(A162&lt;&gt;"",COUNTIFS(C162,"&gt;=36526",C162,"&lt;"&amp;TODAY())+COUNTIFS(D162,"&gt;=36526",D162,"&lt;"&amp;TODAY())+COUNTIFS(E162,"&gt;=36526",E162,"&lt;"&amp;TODAY())+COUNTIFS(F162,"&gt;=36526",F162,"&lt;"&amp;TODAY())&gt;0),O162,"")</x:f>
      </x:c>
      <x:c r="K162" t="str">
        <x:f>IF(AND(A162&lt;&gt;"",COUNTIFS(C162,"&gt;=36526",C162,TODAY())+COUNTIFS(D162,"&gt;=36526",D162,TODAY())+COUNTIFS(E162,"&gt;=36526",E162,TODAY())+COUNTIFS(F162,"&gt;=36526",F162,TODAY())&gt;0),P162,"")</x:f>
      </x:c>
      <x:c r="L162" t="str">
        <x:f>IF(AND(A162&lt;&gt;"",COUNTIFS(C162,"&gt;"&amp;TODAY(),C162,"&lt;="&amp;TODAY()+30)+COUNTIFS(D162,"&gt;"&amp;TODAY(),D162,"&lt;="&amp;TODAY()+30)+COUNTIFS(E162,"&gt;"&amp;TODAY(),E162,"&lt;="&amp;TODAY()+30)+COUNTIFS(F162,"&gt;"&amp;TODAY(),F162,"&lt;="&amp;TODAY()+30)&gt;0),Q162,"")</x:f>
      </x:c>
      <x:c r="M162" t="str">
        <x:f>IF(OR(LEFT(H162,15)="Missing dates; ",LEFT(H162,16)="Add N/A reason; ",H162="Add dates",H162="Add registration",H162="Check date format"),R162,"")</x:f>
      </x:c>
      <x:c r="N162" t="str">
        <x:f>IF(COUNTIFS(C162:F162,"Reviewed N/A")&gt;0,S162,"")</x:f>
      </x:c>
      <x:c r="O162" t="n">
        <x:f>O161+IF(AND(A162&lt;&gt;"",COUNTIFS(C162,"&gt;=36526",C162,"&lt;"&amp;TODAY())+COUNTIFS(D162,"&gt;=36526",D162,"&lt;"&amp;TODAY())+COUNTIFS(E162,"&gt;=36526",E162,"&lt;"&amp;TODAY())+COUNTIFS(F162,"&gt;=36526",F162,"&lt;"&amp;TODAY())&gt;0),1,0)</x:f>
        <x:v>0</x:v>
      </x:c>
      <x:c r="P162" t="n">
        <x:f>P161+IF(AND(A162&lt;&gt;"",COUNTIFS(C162,"&gt;=36526",C162,TODAY())+COUNTIFS(D162,"&gt;=36526",D162,TODAY())+COUNTIFS(E162,"&gt;=36526",E162,TODAY())+COUNTIFS(F162,"&gt;=36526",F162,TODAY())&gt;0),1,0)</x:f>
        <x:v>0</x:v>
      </x:c>
      <x:c r="Q162" t="n">
        <x:f>Q161+IF(AND(A162&lt;&gt;"",COUNTIFS(C162,"&gt;"&amp;TODAY(),C162,"&lt;="&amp;TODAY()+30)+COUNTIFS(D162,"&gt;"&amp;TODAY(),D162,"&lt;="&amp;TODAY()+30)+COUNTIFS(E162,"&gt;"&amp;TODAY(),E162,"&lt;="&amp;TODAY()+30)+COUNTIFS(F162,"&gt;"&amp;TODAY(),F162,"&lt;="&amp;TODAY()+30)&gt;0),1,0)</x:f>
        <x:v>0</x:v>
      </x:c>
      <x:c r="R162" t="n">
        <x:f>R161+IF(OR(LEFT(H162,15)="Missing dates; ",LEFT(H162,16)="Add N/A reason; ",H162="Add dates",H162="Add registration",H162="Check date format"),1,0)</x:f>
        <x:v>0</x:v>
      </x:c>
      <x:c r="S162" t="n">
        <x:f>S161+IF(COUNTIFS(C162:F162,"Reviewed N/A")&gt;0,1,0)</x:f>
        <x:v>0</x:v>
      </x:c>
    </x:row>
    <x:row r="163" ht="48" customHeight="1">
      <x:c r="A163" s="52"/>
      <x:c r="B163" s="52"/>
      <x:c r="C163" s="53"/>
      <x:c r="D163" s="53"/>
      <x:c r="E163" s="53"/>
      <x:c r="F163" s="53"/>
      <x:c r="G163" s="52"/>
      <x:c r="H163" s="21" t="str">
        <x:f>IF(COUNTA(A163:G163,I163)=0,"",IF(A163="","Add registration",IF(OR(COUNTA(C163:F163)&gt;COUNT(C163:F163)+COUNTIFS(C163:F163,"Reviewed N/A"),AND(COUNT(C163:F163)&gt;0,OR(MIN(C163:F163)&lt;36526,MAX(C163:F163)&gt;109574))),"Check date format",IF(AND(COUNTIFS(C163:F163,"Reviewed N/A")&gt;0,I163=""),"Add N/A reason; ","")&amp;IF(COUNT(C163:F163)=0,IF(COUNTIFS(C163:F163,"Reviewed N/A")=4,"No applicable dates recorded","Add dates"),IF(COUNT(C163:F163)+COUNTIFS(C163:F163,"Reviewed N/A")&lt;4,"Missing dates; ","")&amp;IF(MIN(C163:F163)&lt;TODAY(),"Overdue: ",IF(MIN(C163:F163)=TODAY(),"Due today: ",IF(MIN(C163:F163)&lt;=TODAY()+30,"Due within 30 days: ","Next: ")))&amp;INDEX($C$8:$F$8,1,MATCH(MIN(C163:F163),C163:F163,0))&amp;" "&amp;TEXT(MIN(C163:F163),"dd mmm yyyy")))))</x:f>
      </x:c>
      <x:c r="I163" s="52"/>
      <x:c r="J163" t="str">
        <x:f>IF(AND(A163&lt;&gt;"",COUNTIFS(C163,"&gt;=36526",C163,"&lt;"&amp;TODAY())+COUNTIFS(D163,"&gt;=36526",D163,"&lt;"&amp;TODAY())+COUNTIFS(E163,"&gt;=36526",E163,"&lt;"&amp;TODAY())+COUNTIFS(F163,"&gt;=36526",F163,"&lt;"&amp;TODAY())&gt;0),O163,"")</x:f>
      </x:c>
      <x:c r="K163" t="str">
        <x:f>IF(AND(A163&lt;&gt;"",COUNTIFS(C163,"&gt;=36526",C163,TODAY())+COUNTIFS(D163,"&gt;=36526",D163,TODAY())+COUNTIFS(E163,"&gt;=36526",E163,TODAY())+COUNTIFS(F163,"&gt;=36526",F163,TODAY())&gt;0),P163,"")</x:f>
      </x:c>
      <x:c r="L163" t="str">
        <x:f>IF(AND(A163&lt;&gt;"",COUNTIFS(C163,"&gt;"&amp;TODAY(),C163,"&lt;="&amp;TODAY()+30)+COUNTIFS(D163,"&gt;"&amp;TODAY(),D163,"&lt;="&amp;TODAY()+30)+COUNTIFS(E163,"&gt;"&amp;TODAY(),E163,"&lt;="&amp;TODAY()+30)+COUNTIFS(F163,"&gt;"&amp;TODAY(),F163,"&lt;="&amp;TODAY()+30)&gt;0),Q163,"")</x:f>
      </x:c>
      <x:c r="M163" t="str">
        <x:f>IF(OR(LEFT(H163,15)="Missing dates; ",LEFT(H163,16)="Add N/A reason; ",H163="Add dates",H163="Add registration",H163="Check date format"),R163,"")</x:f>
      </x:c>
      <x:c r="N163" t="str">
        <x:f>IF(COUNTIFS(C163:F163,"Reviewed N/A")&gt;0,S163,"")</x:f>
      </x:c>
      <x:c r="O163" t="n">
        <x:f>O162+IF(AND(A163&lt;&gt;"",COUNTIFS(C163,"&gt;=36526",C163,"&lt;"&amp;TODAY())+COUNTIFS(D163,"&gt;=36526",D163,"&lt;"&amp;TODAY())+COUNTIFS(E163,"&gt;=36526",E163,"&lt;"&amp;TODAY())+COUNTIFS(F163,"&gt;=36526",F163,"&lt;"&amp;TODAY())&gt;0),1,0)</x:f>
        <x:v>0</x:v>
      </x:c>
      <x:c r="P163" t="n">
        <x:f>P162+IF(AND(A163&lt;&gt;"",COUNTIFS(C163,"&gt;=36526",C163,TODAY())+COUNTIFS(D163,"&gt;=36526",D163,TODAY())+COUNTIFS(E163,"&gt;=36526",E163,TODAY())+COUNTIFS(F163,"&gt;=36526",F163,TODAY())&gt;0),1,0)</x:f>
        <x:v>0</x:v>
      </x:c>
      <x:c r="Q163" t="n">
        <x:f>Q162+IF(AND(A163&lt;&gt;"",COUNTIFS(C163,"&gt;"&amp;TODAY(),C163,"&lt;="&amp;TODAY()+30)+COUNTIFS(D163,"&gt;"&amp;TODAY(),D163,"&lt;="&amp;TODAY()+30)+COUNTIFS(E163,"&gt;"&amp;TODAY(),E163,"&lt;="&amp;TODAY()+30)+COUNTIFS(F163,"&gt;"&amp;TODAY(),F163,"&lt;="&amp;TODAY()+30)&gt;0),1,0)</x:f>
        <x:v>0</x:v>
      </x:c>
      <x:c r="R163" t="n">
        <x:f>R162+IF(OR(LEFT(H163,15)="Missing dates; ",LEFT(H163,16)="Add N/A reason; ",H163="Add dates",H163="Add registration",H163="Check date format"),1,0)</x:f>
        <x:v>0</x:v>
      </x:c>
      <x:c r="S163" t="n">
        <x:f>S162+IF(COUNTIFS(C163:F163,"Reviewed N/A")&gt;0,1,0)</x:f>
        <x:v>0</x:v>
      </x:c>
    </x:row>
    <x:row r="164" ht="48" customHeight="1">
      <x:c r="A164" s="52"/>
      <x:c r="B164" s="52"/>
      <x:c r="C164" s="53"/>
      <x:c r="D164" s="53"/>
      <x:c r="E164" s="53"/>
      <x:c r="F164" s="53"/>
      <x:c r="G164" s="52"/>
      <x:c r="H164" s="21" t="str">
        <x:f>IF(COUNTA(A164:G164,I164)=0,"",IF(A164="","Add registration",IF(OR(COUNTA(C164:F164)&gt;COUNT(C164:F164)+COUNTIFS(C164:F164,"Reviewed N/A"),AND(COUNT(C164:F164)&gt;0,OR(MIN(C164:F164)&lt;36526,MAX(C164:F164)&gt;109574))),"Check date format",IF(AND(COUNTIFS(C164:F164,"Reviewed N/A")&gt;0,I164=""),"Add N/A reason; ","")&amp;IF(COUNT(C164:F164)=0,IF(COUNTIFS(C164:F164,"Reviewed N/A")=4,"No applicable dates recorded","Add dates"),IF(COUNT(C164:F164)+COUNTIFS(C164:F164,"Reviewed N/A")&lt;4,"Missing dates; ","")&amp;IF(MIN(C164:F164)&lt;TODAY(),"Overdue: ",IF(MIN(C164:F164)=TODAY(),"Due today: ",IF(MIN(C164:F164)&lt;=TODAY()+30,"Due within 30 days: ","Next: ")))&amp;INDEX($C$8:$F$8,1,MATCH(MIN(C164:F164),C164:F164,0))&amp;" "&amp;TEXT(MIN(C164:F164),"dd mmm yyyy")))))</x:f>
      </x:c>
      <x:c r="I164" s="52"/>
      <x:c r="J164" t="str">
        <x:f>IF(AND(A164&lt;&gt;"",COUNTIFS(C164,"&gt;=36526",C164,"&lt;"&amp;TODAY())+COUNTIFS(D164,"&gt;=36526",D164,"&lt;"&amp;TODAY())+COUNTIFS(E164,"&gt;=36526",E164,"&lt;"&amp;TODAY())+COUNTIFS(F164,"&gt;=36526",F164,"&lt;"&amp;TODAY())&gt;0),O164,"")</x:f>
      </x:c>
      <x:c r="K164" t="str">
        <x:f>IF(AND(A164&lt;&gt;"",COUNTIFS(C164,"&gt;=36526",C164,TODAY())+COUNTIFS(D164,"&gt;=36526",D164,TODAY())+COUNTIFS(E164,"&gt;=36526",E164,TODAY())+COUNTIFS(F164,"&gt;=36526",F164,TODAY())&gt;0),P164,"")</x:f>
      </x:c>
      <x:c r="L164" t="str">
        <x:f>IF(AND(A164&lt;&gt;"",COUNTIFS(C164,"&gt;"&amp;TODAY(),C164,"&lt;="&amp;TODAY()+30)+COUNTIFS(D164,"&gt;"&amp;TODAY(),D164,"&lt;="&amp;TODAY()+30)+COUNTIFS(E164,"&gt;"&amp;TODAY(),E164,"&lt;="&amp;TODAY()+30)+COUNTIFS(F164,"&gt;"&amp;TODAY(),F164,"&lt;="&amp;TODAY()+30)&gt;0),Q164,"")</x:f>
      </x:c>
      <x:c r="M164" t="str">
        <x:f>IF(OR(LEFT(H164,15)="Missing dates; ",LEFT(H164,16)="Add N/A reason; ",H164="Add dates",H164="Add registration",H164="Check date format"),R164,"")</x:f>
      </x:c>
      <x:c r="N164" t="str">
        <x:f>IF(COUNTIFS(C164:F164,"Reviewed N/A")&gt;0,S164,"")</x:f>
      </x:c>
      <x:c r="O164" t="n">
        <x:f>O163+IF(AND(A164&lt;&gt;"",COUNTIFS(C164,"&gt;=36526",C164,"&lt;"&amp;TODAY())+COUNTIFS(D164,"&gt;=36526",D164,"&lt;"&amp;TODAY())+COUNTIFS(E164,"&gt;=36526",E164,"&lt;"&amp;TODAY())+COUNTIFS(F164,"&gt;=36526",F164,"&lt;"&amp;TODAY())&gt;0),1,0)</x:f>
        <x:v>0</x:v>
      </x:c>
      <x:c r="P164" t="n">
        <x:f>P163+IF(AND(A164&lt;&gt;"",COUNTIFS(C164,"&gt;=36526",C164,TODAY())+COUNTIFS(D164,"&gt;=36526",D164,TODAY())+COUNTIFS(E164,"&gt;=36526",E164,TODAY())+COUNTIFS(F164,"&gt;=36526",F164,TODAY())&gt;0),1,0)</x:f>
        <x:v>0</x:v>
      </x:c>
      <x:c r="Q164" t="n">
        <x:f>Q163+IF(AND(A164&lt;&gt;"",COUNTIFS(C164,"&gt;"&amp;TODAY(),C164,"&lt;="&amp;TODAY()+30)+COUNTIFS(D164,"&gt;"&amp;TODAY(),D164,"&lt;="&amp;TODAY()+30)+COUNTIFS(E164,"&gt;"&amp;TODAY(),E164,"&lt;="&amp;TODAY()+30)+COUNTIFS(F164,"&gt;"&amp;TODAY(),F164,"&lt;="&amp;TODAY()+30)&gt;0),1,0)</x:f>
        <x:v>0</x:v>
      </x:c>
      <x:c r="R164" t="n">
        <x:f>R163+IF(OR(LEFT(H164,15)="Missing dates; ",LEFT(H164,16)="Add N/A reason; ",H164="Add dates",H164="Add registration",H164="Check date format"),1,0)</x:f>
        <x:v>0</x:v>
      </x:c>
      <x:c r="S164" t="n">
        <x:f>S163+IF(COUNTIFS(C164:F164,"Reviewed N/A")&gt;0,1,0)</x:f>
        <x:v>0</x:v>
      </x:c>
    </x:row>
    <x:row r="165" ht="48" customHeight="1">
      <x:c r="A165" s="52"/>
      <x:c r="B165" s="52"/>
      <x:c r="C165" s="53"/>
      <x:c r="D165" s="53"/>
      <x:c r="E165" s="53"/>
      <x:c r="F165" s="53"/>
      <x:c r="G165" s="52"/>
      <x:c r="H165" s="21" t="str">
        <x:f>IF(COUNTA(A165:G165,I165)=0,"",IF(A165="","Add registration",IF(OR(COUNTA(C165:F165)&gt;COUNT(C165:F165)+COUNTIFS(C165:F165,"Reviewed N/A"),AND(COUNT(C165:F165)&gt;0,OR(MIN(C165:F165)&lt;36526,MAX(C165:F165)&gt;109574))),"Check date format",IF(AND(COUNTIFS(C165:F165,"Reviewed N/A")&gt;0,I165=""),"Add N/A reason; ","")&amp;IF(COUNT(C165:F165)=0,IF(COUNTIFS(C165:F165,"Reviewed N/A")=4,"No applicable dates recorded","Add dates"),IF(COUNT(C165:F165)+COUNTIFS(C165:F165,"Reviewed N/A")&lt;4,"Missing dates; ","")&amp;IF(MIN(C165:F165)&lt;TODAY(),"Overdue: ",IF(MIN(C165:F165)=TODAY(),"Due today: ",IF(MIN(C165:F165)&lt;=TODAY()+30,"Due within 30 days: ","Next: ")))&amp;INDEX($C$8:$F$8,1,MATCH(MIN(C165:F165),C165:F165,0))&amp;" "&amp;TEXT(MIN(C165:F165),"dd mmm yyyy")))))</x:f>
      </x:c>
      <x:c r="I165" s="52"/>
      <x:c r="J165" t="str">
        <x:f>IF(AND(A165&lt;&gt;"",COUNTIFS(C165,"&gt;=36526",C165,"&lt;"&amp;TODAY())+COUNTIFS(D165,"&gt;=36526",D165,"&lt;"&amp;TODAY())+COUNTIFS(E165,"&gt;=36526",E165,"&lt;"&amp;TODAY())+COUNTIFS(F165,"&gt;=36526",F165,"&lt;"&amp;TODAY())&gt;0),O165,"")</x:f>
      </x:c>
      <x:c r="K165" t="str">
        <x:f>IF(AND(A165&lt;&gt;"",COUNTIFS(C165,"&gt;=36526",C165,TODAY())+COUNTIFS(D165,"&gt;=36526",D165,TODAY())+COUNTIFS(E165,"&gt;=36526",E165,TODAY())+COUNTIFS(F165,"&gt;=36526",F165,TODAY())&gt;0),P165,"")</x:f>
      </x:c>
      <x:c r="L165" t="str">
        <x:f>IF(AND(A165&lt;&gt;"",COUNTIFS(C165,"&gt;"&amp;TODAY(),C165,"&lt;="&amp;TODAY()+30)+COUNTIFS(D165,"&gt;"&amp;TODAY(),D165,"&lt;="&amp;TODAY()+30)+COUNTIFS(E165,"&gt;"&amp;TODAY(),E165,"&lt;="&amp;TODAY()+30)+COUNTIFS(F165,"&gt;"&amp;TODAY(),F165,"&lt;="&amp;TODAY()+30)&gt;0),Q165,"")</x:f>
      </x:c>
      <x:c r="M165" t="str">
        <x:f>IF(OR(LEFT(H165,15)="Missing dates; ",LEFT(H165,16)="Add N/A reason; ",H165="Add dates",H165="Add registration",H165="Check date format"),R165,"")</x:f>
      </x:c>
      <x:c r="N165" t="str">
        <x:f>IF(COUNTIFS(C165:F165,"Reviewed N/A")&gt;0,S165,"")</x:f>
      </x:c>
      <x:c r="O165" t="n">
        <x:f>O164+IF(AND(A165&lt;&gt;"",COUNTIFS(C165,"&gt;=36526",C165,"&lt;"&amp;TODAY())+COUNTIFS(D165,"&gt;=36526",D165,"&lt;"&amp;TODAY())+COUNTIFS(E165,"&gt;=36526",E165,"&lt;"&amp;TODAY())+COUNTIFS(F165,"&gt;=36526",F165,"&lt;"&amp;TODAY())&gt;0),1,0)</x:f>
        <x:v>0</x:v>
      </x:c>
      <x:c r="P165" t="n">
        <x:f>P164+IF(AND(A165&lt;&gt;"",COUNTIFS(C165,"&gt;=36526",C165,TODAY())+COUNTIFS(D165,"&gt;=36526",D165,TODAY())+COUNTIFS(E165,"&gt;=36526",E165,TODAY())+COUNTIFS(F165,"&gt;=36526",F165,TODAY())&gt;0),1,0)</x:f>
        <x:v>0</x:v>
      </x:c>
      <x:c r="Q165" t="n">
        <x:f>Q164+IF(AND(A165&lt;&gt;"",COUNTIFS(C165,"&gt;"&amp;TODAY(),C165,"&lt;="&amp;TODAY()+30)+COUNTIFS(D165,"&gt;"&amp;TODAY(),D165,"&lt;="&amp;TODAY()+30)+COUNTIFS(E165,"&gt;"&amp;TODAY(),E165,"&lt;="&amp;TODAY()+30)+COUNTIFS(F165,"&gt;"&amp;TODAY(),F165,"&lt;="&amp;TODAY()+30)&gt;0),1,0)</x:f>
        <x:v>0</x:v>
      </x:c>
      <x:c r="R165" t="n">
        <x:f>R164+IF(OR(LEFT(H165,15)="Missing dates; ",LEFT(H165,16)="Add N/A reason; ",H165="Add dates",H165="Add registration",H165="Check date format"),1,0)</x:f>
        <x:v>0</x:v>
      </x:c>
      <x:c r="S165" t="n">
        <x:f>S164+IF(COUNTIFS(C165:F165,"Reviewed N/A")&gt;0,1,0)</x:f>
        <x:v>0</x:v>
      </x:c>
    </x:row>
    <x:row r="166" ht="48" customHeight="1">
      <x:c r="A166" s="52"/>
      <x:c r="B166" s="52"/>
      <x:c r="C166" s="53"/>
      <x:c r="D166" s="53"/>
      <x:c r="E166" s="53"/>
      <x:c r="F166" s="53"/>
      <x:c r="G166" s="52"/>
      <x:c r="H166" s="21" t="str">
        <x:f>IF(COUNTA(A166:G166,I166)=0,"",IF(A166="","Add registration",IF(OR(COUNTA(C166:F166)&gt;COUNT(C166:F166)+COUNTIFS(C166:F166,"Reviewed N/A"),AND(COUNT(C166:F166)&gt;0,OR(MIN(C166:F166)&lt;36526,MAX(C166:F166)&gt;109574))),"Check date format",IF(AND(COUNTIFS(C166:F166,"Reviewed N/A")&gt;0,I166=""),"Add N/A reason; ","")&amp;IF(COUNT(C166:F166)=0,IF(COUNTIFS(C166:F166,"Reviewed N/A")=4,"No applicable dates recorded","Add dates"),IF(COUNT(C166:F166)+COUNTIFS(C166:F166,"Reviewed N/A")&lt;4,"Missing dates; ","")&amp;IF(MIN(C166:F166)&lt;TODAY(),"Overdue: ",IF(MIN(C166:F166)=TODAY(),"Due today: ",IF(MIN(C166:F166)&lt;=TODAY()+30,"Due within 30 days: ","Next: ")))&amp;INDEX($C$8:$F$8,1,MATCH(MIN(C166:F166),C166:F166,0))&amp;" "&amp;TEXT(MIN(C166:F166),"dd mmm yyyy")))))</x:f>
      </x:c>
      <x:c r="I166" s="52"/>
      <x:c r="J166" t="str">
        <x:f>IF(AND(A166&lt;&gt;"",COUNTIFS(C166,"&gt;=36526",C166,"&lt;"&amp;TODAY())+COUNTIFS(D166,"&gt;=36526",D166,"&lt;"&amp;TODAY())+COUNTIFS(E166,"&gt;=36526",E166,"&lt;"&amp;TODAY())+COUNTIFS(F166,"&gt;=36526",F166,"&lt;"&amp;TODAY())&gt;0),O166,"")</x:f>
      </x:c>
      <x:c r="K166" t="str">
        <x:f>IF(AND(A166&lt;&gt;"",COUNTIFS(C166,"&gt;=36526",C166,TODAY())+COUNTIFS(D166,"&gt;=36526",D166,TODAY())+COUNTIFS(E166,"&gt;=36526",E166,TODAY())+COUNTIFS(F166,"&gt;=36526",F166,TODAY())&gt;0),P166,"")</x:f>
      </x:c>
      <x:c r="L166" t="str">
        <x:f>IF(AND(A166&lt;&gt;"",COUNTIFS(C166,"&gt;"&amp;TODAY(),C166,"&lt;="&amp;TODAY()+30)+COUNTIFS(D166,"&gt;"&amp;TODAY(),D166,"&lt;="&amp;TODAY()+30)+COUNTIFS(E166,"&gt;"&amp;TODAY(),E166,"&lt;="&amp;TODAY()+30)+COUNTIFS(F166,"&gt;"&amp;TODAY(),F166,"&lt;="&amp;TODAY()+30)&gt;0),Q166,"")</x:f>
      </x:c>
      <x:c r="M166" t="str">
        <x:f>IF(OR(LEFT(H166,15)="Missing dates; ",LEFT(H166,16)="Add N/A reason; ",H166="Add dates",H166="Add registration",H166="Check date format"),R166,"")</x:f>
      </x:c>
      <x:c r="N166" t="str">
        <x:f>IF(COUNTIFS(C166:F166,"Reviewed N/A")&gt;0,S166,"")</x:f>
      </x:c>
      <x:c r="O166" t="n">
        <x:f>O165+IF(AND(A166&lt;&gt;"",COUNTIFS(C166,"&gt;=36526",C166,"&lt;"&amp;TODAY())+COUNTIFS(D166,"&gt;=36526",D166,"&lt;"&amp;TODAY())+COUNTIFS(E166,"&gt;=36526",E166,"&lt;"&amp;TODAY())+COUNTIFS(F166,"&gt;=36526",F166,"&lt;"&amp;TODAY())&gt;0),1,0)</x:f>
        <x:v>0</x:v>
      </x:c>
      <x:c r="P166" t="n">
        <x:f>P165+IF(AND(A166&lt;&gt;"",COUNTIFS(C166,"&gt;=36526",C166,TODAY())+COUNTIFS(D166,"&gt;=36526",D166,TODAY())+COUNTIFS(E166,"&gt;=36526",E166,TODAY())+COUNTIFS(F166,"&gt;=36526",F166,TODAY())&gt;0),1,0)</x:f>
        <x:v>0</x:v>
      </x:c>
      <x:c r="Q166" t="n">
        <x:f>Q165+IF(AND(A166&lt;&gt;"",COUNTIFS(C166,"&gt;"&amp;TODAY(),C166,"&lt;="&amp;TODAY()+30)+COUNTIFS(D166,"&gt;"&amp;TODAY(),D166,"&lt;="&amp;TODAY()+30)+COUNTIFS(E166,"&gt;"&amp;TODAY(),E166,"&lt;="&amp;TODAY()+30)+COUNTIFS(F166,"&gt;"&amp;TODAY(),F166,"&lt;="&amp;TODAY()+30)&gt;0),1,0)</x:f>
        <x:v>0</x:v>
      </x:c>
      <x:c r="R166" t="n">
        <x:f>R165+IF(OR(LEFT(H166,15)="Missing dates; ",LEFT(H166,16)="Add N/A reason; ",H166="Add dates",H166="Add registration",H166="Check date format"),1,0)</x:f>
        <x:v>0</x:v>
      </x:c>
      <x:c r="S166" t="n">
        <x:f>S165+IF(COUNTIFS(C166:F166,"Reviewed N/A")&gt;0,1,0)</x:f>
        <x:v>0</x:v>
      </x:c>
    </x:row>
    <x:row r="167" ht="48" customHeight="1">
      <x:c r="A167" s="52"/>
      <x:c r="B167" s="52"/>
      <x:c r="C167" s="53"/>
      <x:c r="D167" s="53"/>
      <x:c r="E167" s="53"/>
      <x:c r="F167" s="53"/>
      <x:c r="G167" s="52"/>
      <x:c r="H167" s="21" t="str">
        <x:f>IF(COUNTA(A167:G167,I167)=0,"",IF(A167="","Add registration",IF(OR(COUNTA(C167:F167)&gt;COUNT(C167:F167)+COUNTIFS(C167:F167,"Reviewed N/A"),AND(COUNT(C167:F167)&gt;0,OR(MIN(C167:F167)&lt;36526,MAX(C167:F167)&gt;109574))),"Check date format",IF(AND(COUNTIFS(C167:F167,"Reviewed N/A")&gt;0,I167=""),"Add N/A reason; ","")&amp;IF(COUNT(C167:F167)=0,IF(COUNTIFS(C167:F167,"Reviewed N/A")=4,"No applicable dates recorded","Add dates"),IF(COUNT(C167:F167)+COUNTIFS(C167:F167,"Reviewed N/A")&lt;4,"Missing dates; ","")&amp;IF(MIN(C167:F167)&lt;TODAY(),"Overdue: ",IF(MIN(C167:F167)=TODAY(),"Due today: ",IF(MIN(C167:F167)&lt;=TODAY()+30,"Due within 30 days: ","Next: ")))&amp;INDEX($C$8:$F$8,1,MATCH(MIN(C167:F167),C167:F167,0))&amp;" "&amp;TEXT(MIN(C167:F167),"dd mmm yyyy")))))</x:f>
      </x:c>
      <x:c r="I167" s="52"/>
      <x:c r="J167" t="str">
        <x:f>IF(AND(A167&lt;&gt;"",COUNTIFS(C167,"&gt;=36526",C167,"&lt;"&amp;TODAY())+COUNTIFS(D167,"&gt;=36526",D167,"&lt;"&amp;TODAY())+COUNTIFS(E167,"&gt;=36526",E167,"&lt;"&amp;TODAY())+COUNTIFS(F167,"&gt;=36526",F167,"&lt;"&amp;TODAY())&gt;0),O167,"")</x:f>
      </x:c>
      <x:c r="K167" t="str">
        <x:f>IF(AND(A167&lt;&gt;"",COUNTIFS(C167,"&gt;=36526",C167,TODAY())+COUNTIFS(D167,"&gt;=36526",D167,TODAY())+COUNTIFS(E167,"&gt;=36526",E167,TODAY())+COUNTIFS(F167,"&gt;=36526",F167,TODAY())&gt;0),P167,"")</x:f>
      </x:c>
      <x:c r="L167" t="str">
        <x:f>IF(AND(A167&lt;&gt;"",COUNTIFS(C167,"&gt;"&amp;TODAY(),C167,"&lt;="&amp;TODAY()+30)+COUNTIFS(D167,"&gt;"&amp;TODAY(),D167,"&lt;="&amp;TODAY()+30)+COUNTIFS(E167,"&gt;"&amp;TODAY(),E167,"&lt;="&amp;TODAY()+30)+COUNTIFS(F167,"&gt;"&amp;TODAY(),F167,"&lt;="&amp;TODAY()+30)&gt;0),Q167,"")</x:f>
      </x:c>
      <x:c r="M167" t="str">
        <x:f>IF(OR(LEFT(H167,15)="Missing dates; ",LEFT(H167,16)="Add N/A reason; ",H167="Add dates",H167="Add registration",H167="Check date format"),R167,"")</x:f>
      </x:c>
      <x:c r="N167" t="str">
        <x:f>IF(COUNTIFS(C167:F167,"Reviewed N/A")&gt;0,S167,"")</x:f>
      </x:c>
      <x:c r="O167" t="n">
        <x:f>O166+IF(AND(A167&lt;&gt;"",COUNTIFS(C167,"&gt;=36526",C167,"&lt;"&amp;TODAY())+COUNTIFS(D167,"&gt;=36526",D167,"&lt;"&amp;TODAY())+COUNTIFS(E167,"&gt;=36526",E167,"&lt;"&amp;TODAY())+COUNTIFS(F167,"&gt;=36526",F167,"&lt;"&amp;TODAY())&gt;0),1,0)</x:f>
        <x:v>0</x:v>
      </x:c>
      <x:c r="P167" t="n">
        <x:f>P166+IF(AND(A167&lt;&gt;"",COUNTIFS(C167,"&gt;=36526",C167,TODAY())+COUNTIFS(D167,"&gt;=36526",D167,TODAY())+COUNTIFS(E167,"&gt;=36526",E167,TODAY())+COUNTIFS(F167,"&gt;=36526",F167,TODAY())&gt;0),1,0)</x:f>
        <x:v>0</x:v>
      </x:c>
      <x:c r="Q167" t="n">
        <x:f>Q166+IF(AND(A167&lt;&gt;"",COUNTIFS(C167,"&gt;"&amp;TODAY(),C167,"&lt;="&amp;TODAY()+30)+COUNTIFS(D167,"&gt;"&amp;TODAY(),D167,"&lt;="&amp;TODAY()+30)+COUNTIFS(E167,"&gt;"&amp;TODAY(),E167,"&lt;="&amp;TODAY()+30)+COUNTIFS(F167,"&gt;"&amp;TODAY(),F167,"&lt;="&amp;TODAY()+30)&gt;0),1,0)</x:f>
        <x:v>0</x:v>
      </x:c>
      <x:c r="R167" t="n">
        <x:f>R166+IF(OR(LEFT(H167,15)="Missing dates; ",LEFT(H167,16)="Add N/A reason; ",H167="Add dates",H167="Add registration",H167="Check date format"),1,0)</x:f>
        <x:v>0</x:v>
      </x:c>
      <x:c r="S167" t="n">
        <x:f>S166+IF(COUNTIFS(C167:F167,"Reviewed N/A")&gt;0,1,0)</x:f>
        <x:v>0</x:v>
      </x:c>
    </x:row>
    <x:row r="168" ht="48" customHeight="1">
      <x:c r="A168" s="52"/>
      <x:c r="B168" s="52"/>
      <x:c r="C168" s="53"/>
      <x:c r="D168" s="53"/>
      <x:c r="E168" s="53"/>
      <x:c r="F168" s="53"/>
      <x:c r="G168" s="52"/>
      <x:c r="H168" s="21" t="str">
        <x:f>IF(COUNTA(A168:G168,I168)=0,"",IF(A168="","Add registration",IF(OR(COUNTA(C168:F168)&gt;COUNT(C168:F168)+COUNTIFS(C168:F168,"Reviewed N/A"),AND(COUNT(C168:F168)&gt;0,OR(MIN(C168:F168)&lt;36526,MAX(C168:F168)&gt;109574))),"Check date format",IF(AND(COUNTIFS(C168:F168,"Reviewed N/A")&gt;0,I168=""),"Add N/A reason; ","")&amp;IF(COUNT(C168:F168)=0,IF(COUNTIFS(C168:F168,"Reviewed N/A")=4,"No applicable dates recorded","Add dates"),IF(COUNT(C168:F168)+COUNTIFS(C168:F168,"Reviewed N/A")&lt;4,"Missing dates; ","")&amp;IF(MIN(C168:F168)&lt;TODAY(),"Overdue: ",IF(MIN(C168:F168)=TODAY(),"Due today: ",IF(MIN(C168:F168)&lt;=TODAY()+30,"Due within 30 days: ","Next: ")))&amp;INDEX($C$8:$F$8,1,MATCH(MIN(C168:F168),C168:F168,0))&amp;" "&amp;TEXT(MIN(C168:F168),"dd mmm yyyy")))))</x:f>
      </x:c>
      <x:c r="I168" s="52"/>
      <x:c r="J168" t="str">
        <x:f>IF(AND(A168&lt;&gt;"",COUNTIFS(C168,"&gt;=36526",C168,"&lt;"&amp;TODAY())+COUNTIFS(D168,"&gt;=36526",D168,"&lt;"&amp;TODAY())+COUNTIFS(E168,"&gt;=36526",E168,"&lt;"&amp;TODAY())+COUNTIFS(F168,"&gt;=36526",F168,"&lt;"&amp;TODAY())&gt;0),O168,"")</x:f>
      </x:c>
      <x:c r="K168" t="str">
        <x:f>IF(AND(A168&lt;&gt;"",COUNTIFS(C168,"&gt;=36526",C168,TODAY())+COUNTIFS(D168,"&gt;=36526",D168,TODAY())+COUNTIFS(E168,"&gt;=36526",E168,TODAY())+COUNTIFS(F168,"&gt;=36526",F168,TODAY())&gt;0),P168,"")</x:f>
      </x:c>
      <x:c r="L168" t="str">
        <x:f>IF(AND(A168&lt;&gt;"",COUNTIFS(C168,"&gt;"&amp;TODAY(),C168,"&lt;="&amp;TODAY()+30)+COUNTIFS(D168,"&gt;"&amp;TODAY(),D168,"&lt;="&amp;TODAY()+30)+COUNTIFS(E168,"&gt;"&amp;TODAY(),E168,"&lt;="&amp;TODAY()+30)+COUNTIFS(F168,"&gt;"&amp;TODAY(),F168,"&lt;="&amp;TODAY()+30)&gt;0),Q168,"")</x:f>
      </x:c>
      <x:c r="M168" t="str">
        <x:f>IF(OR(LEFT(H168,15)="Missing dates; ",LEFT(H168,16)="Add N/A reason; ",H168="Add dates",H168="Add registration",H168="Check date format"),R168,"")</x:f>
      </x:c>
      <x:c r="N168" t="str">
        <x:f>IF(COUNTIFS(C168:F168,"Reviewed N/A")&gt;0,S168,"")</x:f>
      </x:c>
      <x:c r="O168" t="n">
        <x:f>O167+IF(AND(A168&lt;&gt;"",COUNTIFS(C168,"&gt;=36526",C168,"&lt;"&amp;TODAY())+COUNTIFS(D168,"&gt;=36526",D168,"&lt;"&amp;TODAY())+COUNTIFS(E168,"&gt;=36526",E168,"&lt;"&amp;TODAY())+COUNTIFS(F168,"&gt;=36526",F168,"&lt;"&amp;TODAY())&gt;0),1,0)</x:f>
        <x:v>0</x:v>
      </x:c>
      <x:c r="P168" t="n">
        <x:f>P167+IF(AND(A168&lt;&gt;"",COUNTIFS(C168,"&gt;=36526",C168,TODAY())+COUNTIFS(D168,"&gt;=36526",D168,TODAY())+COUNTIFS(E168,"&gt;=36526",E168,TODAY())+COUNTIFS(F168,"&gt;=36526",F168,TODAY())&gt;0),1,0)</x:f>
        <x:v>0</x:v>
      </x:c>
      <x:c r="Q168" t="n">
        <x:f>Q167+IF(AND(A168&lt;&gt;"",COUNTIFS(C168,"&gt;"&amp;TODAY(),C168,"&lt;="&amp;TODAY()+30)+COUNTIFS(D168,"&gt;"&amp;TODAY(),D168,"&lt;="&amp;TODAY()+30)+COUNTIFS(E168,"&gt;"&amp;TODAY(),E168,"&lt;="&amp;TODAY()+30)+COUNTIFS(F168,"&gt;"&amp;TODAY(),F168,"&lt;="&amp;TODAY()+30)&gt;0),1,0)</x:f>
        <x:v>0</x:v>
      </x:c>
      <x:c r="R168" t="n">
        <x:f>R167+IF(OR(LEFT(H168,15)="Missing dates; ",LEFT(H168,16)="Add N/A reason; ",H168="Add dates",H168="Add registration",H168="Check date format"),1,0)</x:f>
        <x:v>0</x:v>
      </x:c>
      <x:c r="S168" t="n">
        <x:f>S167+IF(COUNTIFS(C168:F168,"Reviewed N/A")&gt;0,1,0)</x:f>
        <x:v>0</x:v>
      </x:c>
    </x:row>
    <x:row r="169" ht="48" customHeight="1">
      <x:c r="A169" s="52"/>
      <x:c r="B169" s="52"/>
      <x:c r="C169" s="53"/>
      <x:c r="D169" s="53"/>
      <x:c r="E169" s="53"/>
      <x:c r="F169" s="53"/>
      <x:c r="G169" s="52"/>
      <x:c r="H169" s="21" t="str">
        <x:f>IF(COUNTA(A169:G169,I169)=0,"",IF(A169="","Add registration",IF(OR(COUNTA(C169:F169)&gt;COUNT(C169:F169)+COUNTIFS(C169:F169,"Reviewed N/A"),AND(COUNT(C169:F169)&gt;0,OR(MIN(C169:F169)&lt;36526,MAX(C169:F169)&gt;109574))),"Check date format",IF(AND(COUNTIFS(C169:F169,"Reviewed N/A")&gt;0,I169=""),"Add N/A reason; ","")&amp;IF(COUNT(C169:F169)=0,IF(COUNTIFS(C169:F169,"Reviewed N/A")=4,"No applicable dates recorded","Add dates"),IF(COUNT(C169:F169)+COUNTIFS(C169:F169,"Reviewed N/A")&lt;4,"Missing dates; ","")&amp;IF(MIN(C169:F169)&lt;TODAY(),"Overdue: ",IF(MIN(C169:F169)=TODAY(),"Due today: ",IF(MIN(C169:F169)&lt;=TODAY()+30,"Due within 30 days: ","Next: ")))&amp;INDEX($C$8:$F$8,1,MATCH(MIN(C169:F169),C169:F169,0))&amp;" "&amp;TEXT(MIN(C169:F169),"dd mmm yyyy")))))</x:f>
      </x:c>
      <x:c r="I169" s="52"/>
      <x:c r="J169" t="str">
        <x:f>IF(AND(A169&lt;&gt;"",COUNTIFS(C169,"&gt;=36526",C169,"&lt;"&amp;TODAY())+COUNTIFS(D169,"&gt;=36526",D169,"&lt;"&amp;TODAY())+COUNTIFS(E169,"&gt;=36526",E169,"&lt;"&amp;TODAY())+COUNTIFS(F169,"&gt;=36526",F169,"&lt;"&amp;TODAY())&gt;0),O169,"")</x:f>
      </x:c>
      <x:c r="K169" t="str">
        <x:f>IF(AND(A169&lt;&gt;"",COUNTIFS(C169,"&gt;=36526",C169,TODAY())+COUNTIFS(D169,"&gt;=36526",D169,TODAY())+COUNTIFS(E169,"&gt;=36526",E169,TODAY())+COUNTIFS(F169,"&gt;=36526",F169,TODAY())&gt;0),P169,"")</x:f>
      </x:c>
      <x:c r="L169" t="str">
        <x:f>IF(AND(A169&lt;&gt;"",COUNTIFS(C169,"&gt;"&amp;TODAY(),C169,"&lt;="&amp;TODAY()+30)+COUNTIFS(D169,"&gt;"&amp;TODAY(),D169,"&lt;="&amp;TODAY()+30)+COUNTIFS(E169,"&gt;"&amp;TODAY(),E169,"&lt;="&amp;TODAY()+30)+COUNTIFS(F169,"&gt;"&amp;TODAY(),F169,"&lt;="&amp;TODAY()+30)&gt;0),Q169,"")</x:f>
      </x:c>
      <x:c r="M169" t="str">
        <x:f>IF(OR(LEFT(H169,15)="Missing dates; ",LEFT(H169,16)="Add N/A reason; ",H169="Add dates",H169="Add registration",H169="Check date format"),R169,"")</x:f>
      </x:c>
      <x:c r="N169" t="str">
        <x:f>IF(COUNTIFS(C169:F169,"Reviewed N/A")&gt;0,S169,"")</x:f>
      </x:c>
      <x:c r="O169" t="n">
        <x:f>O168+IF(AND(A169&lt;&gt;"",COUNTIFS(C169,"&gt;=36526",C169,"&lt;"&amp;TODAY())+COUNTIFS(D169,"&gt;=36526",D169,"&lt;"&amp;TODAY())+COUNTIFS(E169,"&gt;=36526",E169,"&lt;"&amp;TODAY())+COUNTIFS(F169,"&gt;=36526",F169,"&lt;"&amp;TODAY())&gt;0),1,0)</x:f>
        <x:v>0</x:v>
      </x:c>
      <x:c r="P169" t="n">
        <x:f>P168+IF(AND(A169&lt;&gt;"",COUNTIFS(C169,"&gt;=36526",C169,TODAY())+COUNTIFS(D169,"&gt;=36526",D169,TODAY())+COUNTIFS(E169,"&gt;=36526",E169,TODAY())+COUNTIFS(F169,"&gt;=36526",F169,TODAY())&gt;0),1,0)</x:f>
        <x:v>0</x:v>
      </x:c>
      <x:c r="Q169" t="n">
        <x:f>Q168+IF(AND(A169&lt;&gt;"",COUNTIFS(C169,"&gt;"&amp;TODAY(),C169,"&lt;="&amp;TODAY()+30)+COUNTIFS(D169,"&gt;"&amp;TODAY(),D169,"&lt;="&amp;TODAY()+30)+COUNTIFS(E169,"&gt;"&amp;TODAY(),E169,"&lt;="&amp;TODAY()+30)+COUNTIFS(F169,"&gt;"&amp;TODAY(),F169,"&lt;="&amp;TODAY()+30)&gt;0),1,0)</x:f>
        <x:v>0</x:v>
      </x:c>
      <x:c r="R169" t="n">
        <x:f>R168+IF(OR(LEFT(H169,15)="Missing dates; ",LEFT(H169,16)="Add N/A reason; ",H169="Add dates",H169="Add registration",H169="Check date format"),1,0)</x:f>
        <x:v>0</x:v>
      </x:c>
      <x:c r="S169" t="n">
        <x:f>S168+IF(COUNTIFS(C169:F169,"Reviewed N/A")&gt;0,1,0)</x:f>
        <x:v>0</x:v>
      </x:c>
    </x:row>
    <x:row r="170" ht="48" customHeight="1">
      <x:c r="A170" s="52"/>
      <x:c r="B170" s="52"/>
      <x:c r="C170" s="53"/>
      <x:c r="D170" s="53"/>
      <x:c r="E170" s="53"/>
      <x:c r="F170" s="53"/>
      <x:c r="G170" s="52"/>
      <x:c r="H170" s="21" t="str">
        <x:f>IF(COUNTA(A170:G170,I170)=0,"",IF(A170="","Add registration",IF(OR(COUNTA(C170:F170)&gt;COUNT(C170:F170)+COUNTIFS(C170:F170,"Reviewed N/A"),AND(COUNT(C170:F170)&gt;0,OR(MIN(C170:F170)&lt;36526,MAX(C170:F170)&gt;109574))),"Check date format",IF(AND(COUNTIFS(C170:F170,"Reviewed N/A")&gt;0,I170=""),"Add N/A reason; ","")&amp;IF(COUNT(C170:F170)=0,IF(COUNTIFS(C170:F170,"Reviewed N/A")=4,"No applicable dates recorded","Add dates"),IF(COUNT(C170:F170)+COUNTIFS(C170:F170,"Reviewed N/A")&lt;4,"Missing dates; ","")&amp;IF(MIN(C170:F170)&lt;TODAY(),"Overdue: ",IF(MIN(C170:F170)=TODAY(),"Due today: ",IF(MIN(C170:F170)&lt;=TODAY()+30,"Due within 30 days: ","Next: ")))&amp;INDEX($C$8:$F$8,1,MATCH(MIN(C170:F170),C170:F170,0))&amp;" "&amp;TEXT(MIN(C170:F170),"dd mmm yyyy")))))</x:f>
      </x:c>
      <x:c r="I170" s="52"/>
      <x:c r="J170" t="str">
        <x:f>IF(AND(A170&lt;&gt;"",COUNTIFS(C170,"&gt;=36526",C170,"&lt;"&amp;TODAY())+COUNTIFS(D170,"&gt;=36526",D170,"&lt;"&amp;TODAY())+COUNTIFS(E170,"&gt;=36526",E170,"&lt;"&amp;TODAY())+COUNTIFS(F170,"&gt;=36526",F170,"&lt;"&amp;TODAY())&gt;0),O170,"")</x:f>
      </x:c>
      <x:c r="K170" t="str">
        <x:f>IF(AND(A170&lt;&gt;"",COUNTIFS(C170,"&gt;=36526",C170,TODAY())+COUNTIFS(D170,"&gt;=36526",D170,TODAY())+COUNTIFS(E170,"&gt;=36526",E170,TODAY())+COUNTIFS(F170,"&gt;=36526",F170,TODAY())&gt;0),P170,"")</x:f>
      </x:c>
      <x:c r="L170" t="str">
        <x:f>IF(AND(A170&lt;&gt;"",COUNTIFS(C170,"&gt;"&amp;TODAY(),C170,"&lt;="&amp;TODAY()+30)+COUNTIFS(D170,"&gt;"&amp;TODAY(),D170,"&lt;="&amp;TODAY()+30)+COUNTIFS(E170,"&gt;"&amp;TODAY(),E170,"&lt;="&amp;TODAY()+30)+COUNTIFS(F170,"&gt;"&amp;TODAY(),F170,"&lt;="&amp;TODAY()+30)&gt;0),Q170,"")</x:f>
      </x:c>
      <x:c r="M170" t="str">
        <x:f>IF(OR(LEFT(H170,15)="Missing dates; ",LEFT(H170,16)="Add N/A reason; ",H170="Add dates",H170="Add registration",H170="Check date format"),R170,"")</x:f>
      </x:c>
      <x:c r="N170" t="str">
        <x:f>IF(COUNTIFS(C170:F170,"Reviewed N/A")&gt;0,S170,"")</x:f>
      </x:c>
      <x:c r="O170" t="n">
        <x:f>O169+IF(AND(A170&lt;&gt;"",COUNTIFS(C170,"&gt;=36526",C170,"&lt;"&amp;TODAY())+COUNTIFS(D170,"&gt;=36526",D170,"&lt;"&amp;TODAY())+COUNTIFS(E170,"&gt;=36526",E170,"&lt;"&amp;TODAY())+COUNTIFS(F170,"&gt;=36526",F170,"&lt;"&amp;TODAY())&gt;0),1,0)</x:f>
        <x:v>0</x:v>
      </x:c>
      <x:c r="P170" t="n">
        <x:f>P169+IF(AND(A170&lt;&gt;"",COUNTIFS(C170,"&gt;=36526",C170,TODAY())+COUNTIFS(D170,"&gt;=36526",D170,TODAY())+COUNTIFS(E170,"&gt;=36526",E170,TODAY())+COUNTIFS(F170,"&gt;=36526",F170,TODAY())&gt;0),1,0)</x:f>
        <x:v>0</x:v>
      </x:c>
      <x:c r="Q170" t="n">
        <x:f>Q169+IF(AND(A170&lt;&gt;"",COUNTIFS(C170,"&gt;"&amp;TODAY(),C170,"&lt;="&amp;TODAY()+30)+COUNTIFS(D170,"&gt;"&amp;TODAY(),D170,"&lt;="&amp;TODAY()+30)+COUNTIFS(E170,"&gt;"&amp;TODAY(),E170,"&lt;="&amp;TODAY()+30)+COUNTIFS(F170,"&gt;"&amp;TODAY(),F170,"&lt;="&amp;TODAY()+30)&gt;0),1,0)</x:f>
        <x:v>0</x:v>
      </x:c>
      <x:c r="R170" t="n">
        <x:f>R169+IF(OR(LEFT(H170,15)="Missing dates; ",LEFT(H170,16)="Add N/A reason; ",H170="Add dates",H170="Add registration",H170="Check date format"),1,0)</x:f>
        <x:v>0</x:v>
      </x:c>
      <x:c r="S170" t="n">
        <x:f>S169+IF(COUNTIFS(C170:F170,"Reviewed N/A")&gt;0,1,0)</x:f>
        <x:v>0</x:v>
      </x:c>
    </x:row>
    <x:row r="171" ht="48" customHeight="1">
      <x:c r="A171" s="52"/>
      <x:c r="B171" s="52"/>
      <x:c r="C171" s="53"/>
      <x:c r="D171" s="53"/>
      <x:c r="E171" s="53"/>
      <x:c r="F171" s="53"/>
      <x:c r="G171" s="52"/>
      <x:c r="H171" s="21" t="str">
        <x:f>IF(COUNTA(A171:G171,I171)=0,"",IF(A171="","Add registration",IF(OR(COUNTA(C171:F171)&gt;COUNT(C171:F171)+COUNTIFS(C171:F171,"Reviewed N/A"),AND(COUNT(C171:F171)&gt;0,OR(MIN(C171:F171)&lt;36526,MAX(C171:F171)&gt;109574))),"Check date format",IF(AND(COUNTIFS(C171:F171,"Reviewed N/A")&gt;0,I171=""),"Add N/A reason; ","")&amp;IF(COUNT(C171:F171)=0,IF(COUNTIFS(C171:F171,"Reviewed N/A")=4,"No applicable dates recorded","Add dates"),IF(COUNT(C171:F171)+COUNTIFS(C171:F171,"Reviewed N/A")&lt;4,"Missing dates; ","")&amp;IF(MIN(C171:F171)&lt;TODAY(),"Overdue: ",IF(MIN(C171:F171)=TODAY(),"Due today: ",IF(MIN(C171:F171)&lt;=TODAY()+30,"Due within 30 days: ","Next: ")))&amp;INDEX($C$8:$F$8,1,MATCH(MIN(C171:F171),C171:F171,0))&amp;" "&amp;TEXT(MIN(C171:F171),"dd mmm yyyy")))))</x:f>
      </x:c>
      <x:c r="I171" s="52"/>
      <x:c r="J171" t="str">
        <x:f>IF(AND(A171&lt;&gt;"",COUNTIFS(C171,"&gt;=36526",C171,"&lt;"&amp;TODAY())+COUNTIFS(D171,"&gt;=36526",D171,"&lt;"&amp;TODAY())+COUNTIFS(E171,"&gt;=36526",E171,"&lt;"&amp;TODAY())+COUNTIFS(F171,"&gt;=36526",F171,"&lt;"&amp;TODAY())&gt;0),O171,"")</x:f>
      </x:c>
      <x:c r="K171" t="str">
        <x:f>IF(AND(A171&lt;&gt;"",COUNTIFS(C171,"&gt;=36526",C171,TODAY())+COUNTIFS(D171,"&gt;=36526",D171,TODAY())+COUNTIFS(E171,"&gt;=36526",E171,TODAY())+COUNTIFS(F171,"&gt;=36526",F171,TODAY())&gt;0),P171,"")</x:f>
      </x:c>
      <x:c r="L171" t="str">
        <x:f>IF(AND(A171&lt;&gt;"",COUNTIFS(C171,"&gt;"&amp;TODAY(),C171,"&lt;="&amp;TODAY()+30)+COUNTIFS(D171,"&gt;"&amp;TODAY(),D171,"&lt;="&amp;TODAY()+30)+COUNTIFS(E171,"&gt;"&amp;TODAY(),E171,"&lt;="&amp;TODAY()+30)+COUNTIFS(F171,"&gt;"&amp;TODAY(),F171,"&lt;="&amp;TODAY()+30)&gt;0),Q171,"")</x:f>
      </x:c>
      <x:c r="M171" t="str">
        <x:f>IF(OR(LEFT(H171,15)="Missing dates; ",LEFT(H171,16)="Add N/A reason; ",H171="Add dates",H171="Add registration",H171="Check date format"),R171,"")</x:f>
      </x:c>
      <x:c r="N171" t="str">
        <x:f>IF(COUNTIFS(C171:F171,"Reviewed N/A")&gt;0,S171,"")</x:f>
      </x:c>
      <x:c r="O171" t="n">
        <x:f>O170+IF(AND(A171&lt;&gt;"",COUNTIFS(C171,"&gt;=36526",C171,"&lt;"&amp;TODAY())+COUNTIFS(D171,"&gt;=36526",D171,"&lt;"&amp;TODAY())+COUNTIFS(E171,"&gt;=36526",E171,"&lt;"&amp;TODAY())+COUNTIFS(F171,"&gt;=36526",F171,"&lt;"&amp;TODAY())&gt;0),1,0)</x:f>
        <x:v>0</x:v>
      </x:c>
      <x:c r="P171" t="n">
        <x:f>P170+IF(AND(A171&lt;&gt;"",COUNTIFS(C171,"&gt;=36526",C171,TODAY())+COUNTIFS(D171,"&gt;=36526",D171,TODAY())+COUNTIFS(E171,"&gt;=36526",E171,TODAY())+COUNTIFS(F171,"&gt;=36526",F171,TODAY())&gt;0),1,0)</x:f>
        <x:v>0</x:v>
      </x:c>
      <x:c r="Q171" t="n">
        <x:f>Q170+IF(AND(A171&lt;&gt;"",COUNTIFS(C171,"&gt;"&amp;TODAY(),C171,"&lt;="&amp;TODAY()+30)+COUNTIFS(D171,"&gt;"&amp;TODAY(),D171,"&lt;="&amp;TODAY()+30)+COUNTIFS(E171,"&gt;"&amp;TODAY(),E171,"&lt;="&amp;TODAY()+30)+COUNTIFS(F171,"&gt;"&amp;TODAY(),F171,"&lt;="&amp;TODAY()+30)&gt;0),1,0)</x:f>
        <x:v>0</x:v>
      </x:c>
      <x:c r="R171" t="n">
        <x:f>R170+IF(OR(LEFT(H171,15)="Missing dates; ",LEFT(H171,16)="Add N/A reason; ",H171="Add dates",H171="Add registration",H171="Check date format"),1,0)</x:f>
        <x:v>0</x:v>
      </x:c>
      <x:c r="S171" t="n">
        <x:f>S170+IF(COUNTIFS(C171:F171,"Reviewed N/A")&gt;0,1,0)</x:f>
        <x:v>0</x:v>
      </x:c>
    </x:row>
    <x:row r="172" ht="48" customHeight="1">
      <x:c r="A172" s="52"/>
      <x:c r="B172" s="52"/>
      <x:c r="C172" s="53"/>
      <x:c r="D172" s="53"/>
      <x:c r="E172" s="53"/>
      <x:c r="F172" s="53"/>
      <x:c r="G172" s="52"/>
      <x:c r="H172" s="21" t="str">
        <x:f>IF(COUNTA(A172:G172,I172)=0,"",IF(A172="","Add registration",IF(OR(COUNTA(C172:F172)&gt;COUNT(C172:F172)+COUNTIFS(C172:F172,"Reviewed N/A"),AND(COUNT(C172:F172)&gt;0,OR(MIN(C172:F172)&lt;36526,MAX(C172:F172)&gt;109574))),"Check date format",IF(AND(COUNTIFS(C172:F172,"Reviewed N/A")&gt;0,I172=""),"Add N/A reason; ","")&amp;IF(COUNT(C172:F172)=0,IF(COUNTIFS(C172:F172,"Reviewed N/A")=4,"No applicable dates recorded","Add dates"),IF(COUNT(C172:F172)+COUNTIFS(C172:F172,"Reviewed N/A")&lt;4,"Missing dates; ","")&amp;IF(MIN(C172:F172)&lt;TODAY(),"Overdue: ",IF(MIN(C172:F172)=TODAY(),"Due today: ",IF(MIN(C172:F172)&lt;=TODAY()+30,"Due within 30 days: ","Next: ")))&amp;INDEX($C$8:$F$8,1,MATCH(MIN(C172:F172),C172:F172,0))&amp;" "&amp;TEXT(MIN(C172:F172),"dd mmm yyyy")))))</x:f>
      </x:c>
      <x:c r="I172" s="52"/>
      <x:c r="J172" t="str">
        <x:f>IF(AND(A172&lt;&gt;"",COUNTIFS(C172,"&gt;=36526",C172,"&lt;"&amp;TODAY())+COUNTIFS(D172,"&gt;=36526",D172,"&lt;"&amp;TODAY())+COUNTIFS(E172,"&gt;=36526",E172,"&lt;"&amp;TODAY())+COUNTIFS(F172,"&gt;=36526",F172,"&lt;"&amp;TODAY())&gt;0),O172,"")</x:f>
      </x:c>
      <x:c r="K172" t="str">
        <x:f>IF(AND(A172&lt;&gt;"",COUNTIFS(C172,"&gt;=36526",C172,TODAY())+COUNTIFS(D172,"&gt;=36526",D172,TODAY())+COUNTIFS(E172,"&gt;=36526",E172,TODAY())+COUNTIFS(F172,"&gt;=36526",F172,TODAY())&gt;0),P172,"")</x:f>
      </x:c>
      <x:c r="L172" t="str">
        <x:f>IF(AND(A172&lt;&gt;"",COUNTIFS(C172,"&gt;"&amp;TODAY(),C172,"&lt;="&amp;TODAY()+30)+COUNTIFS(D172,"&gt;"&amp;TODAY(),D172,"&lt;="&amp;TODAY()+30)+COUNTIFS(E172,"&gt;"&amp;TODAY(),E172,"&lt;="&amp;TODAY()+30)+COUNTIFS(F172,"&gt;"&amp;TODAY(),F172,"&lt;="&amp;TODAY()+30)&gt;0),Q172,"")</x:f>
      </x:c>
      <x:c r="M172" t="str">
        <x:f>IF(OR(LEFT(H172,15)="Missing dates; ",LEFT(H172,16)="Add N/A reason; ",H172="Add dates",H172="Add registration",H172="Check date format"),R172,"")</x:f>
      </x:c>
      <x:c r="N172" t="str">
        <x:f>IF(COUNTIFS(C172:F172,"Reviewed N/A")&gt;0,S172,"")</x:f>
      </x:c>
      <x:c r="O172" t="n">
        <x:f>O171+IF(AND(A172&lt;&gt;"",COUNTIFS(C172,"&gt;=36526",C172,"&lt;"&amp;TODAY())+COUNTIFS(D172,"&gt;=36526",D172,"&lt;"&amp;TODAY())+COUNTIFS(E172,"&gt;=36526",E172,"&lt;"&amp;TODAY())+COUNTIFS(F172,"&gt;=36526",F172,"&lt;"&amp;TODAY())&gt;0),1,0)</x:f>
        <x:v>0</x:v>
      </x:c>
      <x:c r="P172" t="n">
        <x:f>P171+IF(AND(A172&lt;&gt;"",COUNTIFS(C172,"&gt;=36526",C172,TODAY())+COUNTIFS(D172,"&gt;=36526",D172,TODAY())+COUNTIFS(E172,"&gt;=36526",E172,TODAY())+COUNTIFS(F172,"&gt;=36526",F172,TODAY())&gt;0),1,0)</x:f>
        <x:v>0</x:v>
      </x:c>
      <x:c r="Q172" t="n">
        <x:f>Q171+IF(AND(A172&lt;&gt;"",COUNTIFS(C172,"&gt;"&amp;TODAY(),C172,"&lt;="&amp;TODAY()+30)+COUNTIFS(D172,"&gt;"&amp;TODAY(),D172,"&lt;="&amp;TODAY()+30)+COUNTIFS(E172,"&gt;"&amp;TODAY(),E172,"&lt;="&amp;TODAY()+30)+COUNTIFS(F172,"&gt;"&amp;TODAY(),F172,"&lt;="&amp;TODAY()+30)&gt;0),1,0)</x:f>
        <x:v>0</x:v>
      </x:c>
      <x:c r="R172" t="n">
        <x:f>R171+IF(OR(LEFT(H172,15)="Missing dates; ",LEFT(H172,16)="Add N/A reason; ",H172="Add dates",H172="Add registration",H172="Check date format"),1,0)</x:f>
        <x:v>0</x:v>
      </x:c>
      <x:c r="S172" t="n">
        <x:f>S171+IF(COUNTIFS(C172:F172,"Reviewed N/A")&gt;0,1,0)</x:f>
        <x:v>0</x:v>
      </x:c>
    </x:row>
    <x:row r="173" ht="48" customHeight="1">
      <x:c r="A173" s="52"/>
      <x:c r="B173" s="52"/>
      <x:c r="C173" s="53"/>
      <x:c r="D173" s="53"/>
      <x:c r="E173" s="53"/>
      <x:c r="F173" s="53"/>
      <x:c r="G173" s="52"/>
      <x:c r="H173" s="21" t="str">
        <x:f>IF(COUNTA(A173:G173,I173)=0,"",IF(A173="","Add registration",IF(OR(COUNTA(C173:F173)&gt;COUNT(C173:F173)+COUNTIFS(C173:F173,"Reviewed N/A"),AND(COUNT(C173:F173)&gt;0,OR(MIN(C173:F173)&lt;36526,MAX(C173:F173)&gt;109574))),"Check date format",IF(AND(COUNTIFS(C173:F173,"Reviewed N/A")&gt;0,I173=""),"Add N/A reason; ","")&amp;IF(COUNT(C173:F173)=0,IF(COUNTIFS(C173:F173,"Reviewed N/A")=4,"No applicable dates recorded","Add dates"),IF(COUNT(C173:F173)+COUNTIFS(C173:F173,"Reviewed N/A")&lt;4,"Missing dates; ","")&amp;IF(MIN(C173:F173)&lt;TODAY(),"Overdue: ",IF(MIN(C173:F173)=TODAY(),"Due today: ",IF(MIN(C173:F173)&lt;=TODAY()+30,"Due within 30 days: ","Next: ")))&amp;INDEX($C$8:$F$8,1,MATCH(MIN(C173:F173),C173:F173,0))&amp;" "&amp;TEXT(MIN(C173:F173),"dd mmm yyyy")))))</x:f>
      </x:c>
      <x:c r="I173" s="52"/>
      <x:c r="J173" t="str">
        <x:f>IF(AND(A173&lt;&gt;"",COUNTIFS(C173,"&gt;=36526",C173,"&lt;"&amp;TODAY())+COUNTIFS(D173,"&gt;=36526",D173,"&lt;"&amp;TODAY())+COUNTIFS(E173,"&gt;=36526",E173,"&lt;"&amp;TODAY())+COUNTIFS(F173,"&gt;=36526",F173,"&lt;"&amp;TODAY())&gt;0),O173,"")</x:f>
      </x:c>
      <x:c r="K173" t="str">
        <x:f>IF(AND(A173&lt;&gt;"",COUNTIFS(C173,"&gt;=36526",C173,TODAY())+COUNTIFS(D173,"&gt;=36526",D173,TODAY())+COUNTIFS(E173,"&gt;=36526",E173,TODAY())+COUNTIFS(F173,"&gt;=36526",F173,TODAY())&gt;0),P173,"")</x:f>
      </x:c>
      <x:c r="L173" t="str">
        <x:f>IF(AND(A173&lt;&gt;"",COUNTIFS(C173,"&gt;"&amp;TODAY(),C173,"&lt;="&amp;TODAY()+30)+COUNTIFS(D173,"&gt;"&amp;TODAY(),D173,"&lt;="&amp;TODAY()+30)+COUNTIFS(E173,"&gt;"&amp;TODAY(),E173,"&lt;="&amp;TODAY()+30)+COUNTIFS(F173,"&gt;"&amp;TODAY(),F173,"&lt;="&amp;TODAY()+30)&gt;0),Q173,"")</x:f>
      </x:c>
      <x:c r="M173" t="str">
        <x:f>IF(OR(LEFT(H173,15)="Missing dates; ",LEFT(H173,16)="Add N/A reason; ",H173="Add dates",H173="Add registration",H173="Check date format"),R173,"")</x:f>
      </x:c>
      <x:c r="N173" t="str">
        <x:f>IF(COUNTIFS(C173:F173,"Reviewed N/A")&gt;0,S173,"")</x:f>
      </x:c>
      <x:c r="O173" t="n">
        <x:f>O172+IF(AND(A173&lt;&gt;"",COUNTIFS(C173,"&gt;=36526",C173,"&lt;"&amp;TODAY())+COUNTIFS(D173,"&gt;=36526",D173,"&lt;"&amp;TODAY())+COUNTIFS(E173,"&gt;=36526",E173,"&lt;"&amp;TODAY())+COUNTIFS(F173,"&gt;=36526",F173,"&lt;"&amp;TODAY())&gt;0),1,0)</x:f>
        <x:v>0</x:v>
      </x:c>
      <x:c r="P173" t="n">
        <x:f>P172+IF(AND(A173&lt;&gt;"",COUNTIFS(C173,"&gt;=36526",C173,TODAY())+COUNTIFS(D173,"&gt;=36526",D173,TODAY())+COUNTIFS(E173,"&gt;=36526",E173,TODAY())+COUNTIFS(F173,"&gt;=36526",F173,TODAY())&gt;0),1,0)</x:f>
        <x:v>0</x:v>
      </x:c>
      <x:c r="Q173" t="n">
        <x:f>Q172+IF(AND(A173&lt;&gt;"",COUNTIFS(C173,"&gt;"&amp;TODAY(),C173,"&lt;="&amp;TODAY()+30)+COUNTIFS(D173,"&gt;"&amp;TODAY(),D173,"&lt;="&amp;TODAY()+30)+COUNTIFS(E173,"&gt;"&amp;TODAY(),E173,"&lt;="&amp;TODAY()+30)+COUNTIFS(F173,"&gt;"&amp;TODAY(),F173,"&lt;="&amp;TODAY()+30)&gt;0),1,0)</x:f>
        <x:v>0</x:v>
      </x:c>
      <x:c r="R173" t="n">
        <x:f>R172+IF(OR(LEFT(H173,15)="Missing dates; ",LEFT(H173,16)="Add N/A reason; ",H173="Add dates",H173="Add registration",H173="Check date format"),1,0)</x:f>
        <x:v>0</x:v>
      </x:c>
      <x:c r="S173" t="n">
        <x:f>S172+IF(COUNTIFS(C173:F173,"Reviewed N/A")&gt;0,1,0)</x:f>
        <x:v>0</x:v>
      </x:c>
    </x:row>
    <x:row r="174" ht="48" customHeight="1">
      <x:c r="A174" s="52"/>
      <x:c r="B174" s="52"/>
      <x:c r="C174" s="53"/>
      <x:c r="D174" s="53"/>
      <x:c r="E174" s="53"/>
      <x:c r="F174" s="53"/>
      <x:c r="G174" s="52"/>
      <x:c r="H174" s="21" t="str">
        <x:f>IF(COUNTA(A174:G174,I174)=0,"",IF(A174="","Add registration",IF(OR(COUNTA(C174:F174)&gt;COUNT(C174:F174)+COUNTIFS(C174:F174,"Reviewed N/A"),AND(COUNT(C174:F174)&gt;0,OR(MIN(C174:F174)&lt;36526,MAX(C174:F174)&gt;109574))),"Check date format",IF(AND(COUNTIFS(C174:F174,"Reviewed N/A")&gt;0,I174=""),"Add N/A reason; ","")&amp;IF(COUNT(C174:F174)=0,IF(COUNTIFS(C174:F174,"Reviewed N/A")=4,"No applicable dates recorded","Add dates"),IF(COUNT(C174:F174)+COUNTIFS(C174:F174,"Reviewed N/A")&lt;4,"Missing dates; ","")&amp;IF(MIN(C174:F174)&lt;TODAY(),"Overdue: ",IF(MIN(C174:F174)=TODAY(),"Due today: ",IF(MIN(C174:F174)&lt;=TODAY()+30,"Due within 30 days: ","Next: ")))&amp;INDEX($C$8:$F$8,1,MATCH(MIN(C174:F174),C174:F174,0))&amp;" "&amp;TEXT(MIN(C174:F174),"dd mmm yyyy")))))</x:f>
      </x:c>
      <x:c r="I174" s="52"/>
      <x:c r="J174" t="str">
        <x:f>IF(AND(A174&lt;&gt;"",COUNTIFS(C174,"&gt;=36526",C174,"&lt;"&amp;TODAY())+COUNTIFS(D174,"&gt;=36526",D174,"&lt;"&amp;TODAY())+COUNTIFS(E174,"&gt;=36526",E174,"&lt;"&amp;TODAY())+COUNTIFS(F174,"&gt;=36526",F174,"&lt;"&amp;TODAY())&gt;0),O174,"")</x:f>
      </x:c>
      <x:c r="K174" t="str">
        <x:f>IF(AND(A174&lt;&gt;"",COUNTIFS(C174,"&gt;=36526",C174,TODAY())+COUNTIFS(D174,"&gt;=36526",D174,TODAY())+COUNTIFS(E174,"&gt;=36526",E174,TODAY())+COUNTIFS(F174,"&gt;=36526",F174,TODAY())&gt;0),P174,"")</x:f>
      </x:c>
      <x:c r="L174" t="str">
        <x:f>IF(AND(A174&lt;&gt;"",COUNTIFS(C174,"&gt;"&amp;TODAY(),C174,"&lt;="&amp;TODAY()+30)+COUNTIFS(D174,"&gt;"&amp;TODAY(),D174,"&lt;="&amp;TODAY()+30)+COUNTIFS(E174,"&gt;"&amp;TODAY(),E174,"&lt;="&amp;TODAY()+30)+COUNTIFS(F174,"&gt;"&amp;TODAY(),F174,"&lt;="&amp;TODAY()+30)&gt;0),Q174,"")</x:f>
      </x:c>
      <x:c r="M174" t="str">
        <x:f>IF(OR(LEFT(H174,15)="Missing dates; ",LEFT(H174,16)="Add N/A reason; ",H174="Add dates",H174="Add registration",H174="Check date format"),R174,"")</x:f>
      </x:c>
      <x:c r="N174" t="str">
        <x:f>IF(COUNTIFS(C174:F174,"Reviewed N/A")&gt;0,S174,"")</x:f>
      </x:c>
      <x:c r="O174" t="n">
        <x:f>O173+IF(AND(A174&lt;&gt;"",COUNTIFS(C174,"&gt;=36526",C174,"&lt;"&amp;TODAY())+COUNTIFS(D174,"&gt;=36526",D174,"&lt;"&amp;TODAY())+COUNTIFS(E174,"&gt;=36526",E174,"&lt;"&amp;TODAY())+COUNTIFS(F174,"&gt;=36526",F174,"&lt;"&amp;TODAY())&gt;0),1,0)</x:f>
        <x:v>0</x:v>
      </x:c>
      <x:c r="P174" t="n">
        <x:f>P173+IF(AND(A174&lt;&gt;"",COUNTIFS(C174,"&gt;=36526",C174,TODAY())+COUNTIFS(D174,"&gt;=36526",D174,TODAY())+COUNTIFS(E174,"&gt;=36526",E174,TODAY())+COUNTIFS(F174,"&gt;=36526",F174,TODAY())&gt;0),1,0)</x:f>
        <x:v>0</x:v>
      </x:c>
      <x:c r="Q174" t="n">
        <x:f>Q173+IF(AND(A174&lt;&gt;"",COUNTIFS(C174,"&gt;"&amp;TODAY(),C174,"&lt;="&amp;TODAY()+30)+COUNTIFS(D174,"&gt;"&amp;TODAY(),D174,"&lt;="&amp;TODAY()+30)+COUNTIFS(E174,"&gt;"&amp;TODAY(),E174,"&lt;="&amp;TODAY()+30)+COUNTIFS(F174,"&gt;"&amp;TODAY(),F174,"&lt;="&amp;TODAY()+30)&gt;0),1,0)</x:f>
        <x:v>0</x:v>
      </x:c>
      <x:c r="R174" t="n">
        <x:f>R173+IF(OR(LEFT(H174,15)="Missing dates; ",LEFT(H174,16)="Add N/A reason; ",H174="Add dates",H174="Add registration",H174="Check date format"),1,0)</x:f>
        <x:v>0</x:v>
      </x:c>
      <x:c r="S174" t="n">
        <x:f>S173+IF(COUNTIFS(C174:F174,"Reviewed N/A")&gt;0,1,0)</x:f>
        <x:v>0</x:v>
      </x:c>
    </x:row>
    <x:row r="175" ht="48" customHeight="1">
      <x:c r="A175" s="52"/>
      <x:c r="B175" s="52"/>
      <x:c r="C175" s="53"/>
      <x:c r="D175" s="53"/>
      <x:c r="E175" s="53"/>
      <x:c r="F175" s="53"/>
      <x:c r="G175" s="52"/>
      <x:c r="H175" s="21" t="str">
        <x:f>IF(COUNTA(A175:G175,I175)=0,"",IF(A175="","Add registration",IF(OR(COUNTA(C175:F175)&gt;COUNT(C175:F175)+COUNTIFS(C175:F175,"Reviewed N/A"),AND(COUNT(C175:F175)&gt;0,OR(MIN(C175:F175)&lt;36526,MAX(C175:F175)&gt;109574))),"Check date format",IF(AND(COUNTIFS(C175:F175,"Reviewed N/A")&gt;0,I175=""),"Add N/A reason; ","")&amp;IF(COUNT(C175:F175)=0,IF(COUNTIFS(C175:F175,"Reviewed N/A")=4,"No applicable dates recorded","Add dates"),IF(COUNT(C175:F175)+COUNTIFS(C175:F175,"Reviewed N/A")&lt;4,"Missing dates; ","")&amp;IF(MIN(C175:F175)&lt;TODAY(),"Overdue: ",IF(MIN(C175:F175)=TODAY(),"Due today: ",IF(MIN(C175:F175)&lt;=TODAY()+30,"Due within 30 days: ","Next: ")))&amp;INDEX($C$8:$F$8,1,MATCH(MIN(C175:F175),C175:F175,0))&amp;" "&amp;TEXT(MIN(C175:F175),"dd mmm yyyy")))))</x:f>
      </x:c>
      <x:c r="I175" s="52"/>
      <x:c r="J175" t="str">
        <x:f>IF(AND(A175&lt;&gt;"",COUNTIFS(C175,"&gt;=36526",C175,"&lt;"&amp;TODAY())+COUNTIFS(D175,"&gt;=36526",D175,"&lt;"&amp;TODAY())+COUNTIFS(E175,"&gt;=36526",E175,"&lt;"&amp;TODAY())+COUNTIFS(F175,"&gt;=36526",F175,"&lt;"&amp;TODAY())&gt;0),O175,"")</x:f>
      </x:c>
      <x:c r="K175" t="str">
        <x:f>IF(AND(A175&lt;&gt;"",COUNTIFS(C175,"&gt;=36526",C175,TODAY())+COUNTIFS(D175,"&gt;=36526",D175,TODAY())+COUNTIFS(E175,"&gt;=36526",E175,TODAY())+COUNTIFS(F175,"&gt;=36526",F175,TODAY())&gt;0),P175,"")</x:f>
      </x:c>
      <x:c r="L175" t="str">
        <x:f>IF(AND(A175&lt;&gt;"",COUNTIFS(C175,"&gt;"&amp;TODAY(),C175,"&lt;="&amp;TODAY()+30)+COUNTIFS(D175,"&gt;"&amp;TODAY(),D175,"&lt;="&amp;TODAY()+30)+COUNTIFS(E175,"&gt;"&amp;TODAY(),E175,"&lt;="&amp;TODAY()+30)+COUNTIFS(F175,"&gt;"&amp;TODAY(),F175,"&lt;="&amp;TODAY()+30)&gt;0),Q175,"")</x:f>
      </x:c>
      <x:c r="M175" t="str">
        <x:f>IF(OR(LEFT(H175,15)="Missing dates; ",LEFT(H175,16)="Add N/A reason; ",H175="Add dates",H175="Add registration",H175="Check date format"),R175,"")</x:f>
      </x:c>
      <x:c r="N175" t="str">
        <x:f>IF(COUNTIFS(C175:F175,"Reviewed N/A")&gt;0,S175,"")</x:f>
      </x:c>
      <x:c r="O175" t="n">
        <x:f>O174+IF(AND(A175&lt;&gt;"",COUNTIFS(C175,"&gt;=36526",C175,"&lt;"&amp;TODAY())+COUNTIFS(D175,"&gt;=36526",D175,"&lt;"&amp;TODAY())+COUNTIFS(E175,"&gt;=36526",E175,"&lt;"&amp;TODAY())+COUNTIFS(F175,"&gt;=36526",F175,"&lt;"&amp;TODAY())&gt;0),1,0)</x:f>
        <x:v>0</x:v>
      </x:c>
      <x:c r="P175" t="n">
        <x:f>P174+IF(AND(A175&lt;&gt;"",COUNTIFS(C175,"&gt;=36526",C175,TODAY())+COUNTIFS(D175,"&gt;=36526",D175,TODAY())+COUNTIFS(E175,"&gt;=36526",E175,TODAY())+COUNTIFS(F175,"&gt;=36526",F175,TODAY())&gt;0),1,0)</x:f>
        <x:v>0</x:v>
      </x:c>
      <x:c r="Q175" t="n">
        <x:f>Q174+IF(AND(A175&lt;&gt;"",COUNTIFS(C175,"&gt;"&amp;TODAY(),C175,"&lt;="&amp;TODAY()+30)+COUNTIFS(D175,"&gt;"&amp;TODAY(),D175,"&lt;="&amp;TODAY()+30)+COUNTIFS(E175,"&gt;"&amp;TODAY(),E175,"&lt;="&amp;TODAY()+30)+COUNTIFS(F175,"&gt;"&amp;TODAY(),F175,"&lt;="&amp;TODAY()+30)&gt;0),1,0)</x:f>
        <x:v>0</x:v>
      </x:c>
      <x:c r="R175" t="n">
        <x:f>R174+IF(OR(LEFT(H175,15)="Missing dates; ",LEFT(H175,16)="Add N/A reason; ",H175="Add dates",H175="Add registration",H175="Check date format"),1,0)</x:f>
        <x:v>0</x:v>
      </x:c>
      <x:c r="S175" t="n">
        <x:f>S174+IF(COUNTIFS(C175:F175,"Reviewed N/A")&gt;0,1,0)</x:f>
        <x:v>0</x:v>
      </x:c>
    </x:row>
    <x:row r="176" ht="48" customHeight="1">
      <x:c r="A176" s="52"/>
      <x:c r="B176" s="52"/>
      <x:c r="C176" s="53"/>
      <x:c r="D176" s="53"/>
      <x:c r="E176" s="53"/>
      <x:c r="F176" s="53"/>
      <x:c r="G176" s="52"/>
      <x:c r="H176" s="21" t="str">
        <x:f>IF(COUNTA(A176:G176,I176)=0,"",IF(A176="","Add registration",IF(OR(COUNTA(C176:F176)&gt;COUNT(C176:F176)+COUNTIFS(C176:F176,"Reviewed N/A"),AND(COUNT(C176:F176)&gt;0,OR(MIN(C176:F176)&lt;36526,MAX(C176:F176)&gt;109574))),"Check date format",IF(AND(COUNTIFS(C176:F176,"Reviewed N/A")&gt;0,I176=""),"Add N/A reason; ","")&amp;IF(COUNT(C176:F176)=0,IF(COUNTIFS(C176:F176,"Reviewed N/A")=4,"No applicable dates recorded","Add dates"),IF(COUNT(C176:F176)+COUNTIFS(C176:F176,"Reviewed N/A")&lt;4,"Missing dates; ","")&amp;IF(MIN(C176:F176)&lt;TODAY(),"Overdue: ",IF(MIN(C176:F176)=TODAY(),"Due today: ",IF(MIN(C176:F176)&lt;=TODAY()+30,"Due within 30 days: ","Next: ")))&amp;INDEX($C$8:$F$8,1,MATCH(MIN(C176:F176),C176:F176,0))&amp;" "&amp;TEXT(MIN(C176:F176),"dd mmm yyyy")))))</x:f>
      </x:c>
      <x:c r="I176" s="52"/>
      <x:c r="J176" t="str">
        <x:f>IF(AND(A176&lt;&gt;"",COUNTIFS(C176,"&gt;=36526",C176,"&lt;"&amp;TODAY())+COUNTIFS(D176,"&gt;=36526",D176,"&lt;"&amp;TODAY())+COUNTIFS(E176,"&gt;=36526",E176,"&lt;"&amp;TODAY())+COUNTIFS(F176,"&gt;=36526",F176,"&lt;"&amp;TODAY())&gt;0),O176,"")</x:f>
      </x:c>
      <x:c r="K176" t="str">
        <x:f>IF(AND(A176&lt;&gt;"",COUNTIFS(C176,"&gt;=36526",C176,TODAY())+COUNTIFS(D176,"&gt;=36526",D176,TODAY())+COUNTIFS(E176,"&gt;=36526",E176,TODAY())+COUNTIFS(F176,"&gt;=36526",F176,TODAY())&gt;0),P176,"")</x:f>
      </x:c>
      <x:c r="L176" t="str">
        <x:f>IF(AND(A176&lt;&gt;"",COUNTIFS(C176,"&gt;"&amp;TODAY(),C176,"&lt;="&amp;TODAY()+30)+COUNTIFS(D176,"&gt;"&amp;TODAY(),D176,"&lt;="&amp;TODAY()+30)+COUNTIFS(E176,"&gt;"&amp;TODAY(),E176,"&lt;="&amp;TODAY()+30)+COUNTIFS(F176,"&gt;"&amp;TODAY(),F176,"&lt;="&amp;TODAY()+30)&gt;0),Q176,"")</x:f>
      </x:c>
      <x:c r="M176" t="str">
        <x:f>IF(OR(LEFT(H176,15)="Missing dates; ",LEFT(H176,16)="Add N/A reason; ",H176="Add dates",H176="Add registration",H176="Check date format"),R176,"")</x:f>
      </x:c>
      <x:c r="N176" t="str">
        <x:f>IF(COUNTIFS(C176:F176,"Reviewed N/A")&gt;0,S176,"")</x:f>
      </x:c>
      <x:c r="O176" t="n">
        <x:f>O175+IF(AND(A176&lt;&gt;"",COUNTIFS(C176,"&gt;=36526",C176,"&lt;"&amp;TODAY())+COUNTIFS(D176,"&gt;=36526",D176,"&lt;"&amp;TODAY())+COUNTIFS(E176,"&gt;=36526",E176,"&lt;"&amp;TODAY())+COUNTIFS(F176,"&gt;=36526",F176,"&lt;"&amp;TODAY())&gt;0),1,0)</x:f>
        <x:v>0</x:v>
      </x:c>
      <x:c r="P176" t="n">
        <x:f>P175+IF(AND(A176&lt;&gt;"",COUNTIFS(C176,"&gt;=36526",C176,TODAY())+COUNTIFS(D176,"&gt;=36526",D176,TODAY())+COUNTIFS(E176,"&gt;=36526",E176,TODAY())+COUNTIFS(F176,"&gt;=36526",F176,TODAY())&gt;0),1,0)</x:f>
        <x:v>0</x:v>
      </x:c>
      <x:c r="Q176" t="n">
        <x:f>Q175+IF(AND(A176&lt;&gt;"",COUNTIFS(C176,"&gt;"&amp;TODAY(),C176,"&lt;="&amp;TODAY()+30)+COUNTIFS(D176,"&gt;"&amp;TODAY(),D176,"&lt;="&amp;TODAY()+30)+COUNTIFS(E176,"&gt;"&amp;TODAY(),E176,"&lt;="&amp;TODAY()+30)+COUNTIFS(F176,"&gt;"&amp;TODAY(),F176,"&lt;="&amp;TODAY()+30)&gt;0),1,0)</x:f>
        <x:v>0</x:v>
      </x:c>
      <x:c r="R176" t="n">
        <x:f>R175+IF(OR(LEFT(H176,15)="Missing dates; ",LEFT(H176,16)="Add N/A reason; ",H176="Add dates",H176="Add registration",H176="Check date format"),1,0)</x:f>
        <x:v>0</x:v>
      </x:c>
      <x:c r="S176" t="n">
        <x:f>S175+IF(COUNTIFS(C176:F176,"Reviewed N/A")&gt;0,1,0)</x:f>
        <x:v>0</x:v>
      </x:c>
    </x:row>
    <x:row r="177" ht="48" customHeight="1">
      <x:c r="A177" s="52"/>
      <x:c r="B177" s="52"/>
      <x:c r="C177" s="53"/>
      <x:c r="D177" s="53"/>
      <x:c r="E177" s="53"/>
      <x:c r="F177" s="53"/>
      <x:c r="G177" s="52"/>
      <x:c r="H177" s="21" t="str">
        <x:f>IF(COUNTA(A177:G177,I177)=0,"",IF(A177="","Add registration",IF(OR(COUNTA(C177:F177)&gt;COUNT(C177:F177)+COUNTIFS(C177:F177,"Reviewed N/A"),AND(COUNT(C177:F177)&gt;0,OR(MIN(C177:F177)&lt;36526,MAX(C177:F177)&gt;109574))),"Check date format",IF(AND(COUNTIFS(C177:F177,"Reviewed N/A")&gt;0,I177=""),"Add N/A reason; ","")&amp;IF(COUNT(C177:F177)=0,IF(COUNTIFS(C177:F177,"Reviewed N/A")=4,"No applicable dates recorded","Add dates"),IF(COUNT(C177:F177)+COUNTIFS(C177:F177,"Reviewed N/A")&lt;4,"Missing dates; ","")&amp;IF(MIN(C177:F177)&lt;TODAY(),"Overdue: ",IF(MIN(C177:F177)=TODAY(),"Due today: ",IF(MIN(C177:F177)&lt;=TODAY()+30,"Due within 30 days: ","Next: ")))&amp;INDEX($C$8:$F$8,1,MATCH(MIN(C177:F177),C177:F177,0))&amp;" "&amp;TEXT(MIN(C177:F177),"dd mmm yyyy")))))</x:f>
      </x:c>
      <x:c r="I177" s="52"/>
      <x:c r="J177" t="str">
        <x:f>IF(AND(A177&lt;&gt;"",COUNTIFS(C177,"&gt;=36526",C177,"&lt;"&amp;TODAY())+COUNTIFS(D177,"&gt;=36526",D177,"&lt;"&amp;TODAY())+COUNTIFS(E177,"&gt;=36526",E177,"&lt;"&amp;TODAY())+COUNTIFS(F177,"&gt;=36526",F177,"&lt;"&amp;TODAY())&gt;0),O177,"")</x:f>
      </x:c>
      <x:c r="K177" t="str">
        <x:f>IF(AND(A177&lt;&gt;"",COUNTIFS(C177,"&gt;=36526",C177,TODAY())+COUNTIFS(D177,"&gt;=36526",D177,TODAY())+COUNTIFS(E177,"&gt;=36526",E177,TODAY())+COUNTIFS(F177,"&gt;=36526",F177,TODAY())&gt;0),P177,"")</x:f>
      </x:c>
      <x:c r="L177" t="str">
        <x:f>IF(AND(A177&lt;&gt;"",COUNTIFS(C177,"&gt;"&amp;TODAY(),C177,"&lt;="&amp;TODAY()+30)+COUNTIFS(D177,"&gt;"&amp;TODAY(),D177,"&lt;="&amp;TODAY()+30)+COUNTIFS(E177,"&gt;"&amp;TODAY(),E177,"&lt;="&amp;TODAY()+30)+COUNTIFS(F177,"&gt;"&amp;TODAY(),F177,"&lt;="&amp;TODAY()+30)&gt;0),Q177,"")</x:f>
      </x:c>
      <x:c r="M177" t="str">
        <x:f>IF(OR(LEFT(H177,15)="Missing dates; ",LEFT(H177,16)="Add N/A reason; ",H177="Add dates",H177="Add registration",H177="Check date format"),R177,"")</x:f>
      </x:c>
      <x:c r="N177" t="str">
        <x:f>IF(COUNTIFS(C177:F177,"Reviewed N/A")&gt;0,S177,"")</x:f>
      </x:c>
      <x:c r="O177" t="n">
        <x:f>O176+IF(AND(A177&lt;&gt;"",COUNTIFS(C177,"&gt;=36526",C177,"&lt;"&amp;TODAY())+COUNTIFS(D177,"&gt;=36526",D177,"&lt;"&amp;TODAY())+COUNTIFS(E177,"&gt;=36526",E177,"&lt;"&amp;TODAY())+COUNTIFS(F177,"&gt;=36526",F177,"&lt;"&amp;TODAY())&gt;0),1,0)</x:f>
        <x:v>0</x:v>
      </x:c>
      <x:c r="P177" t="n">
        <x:f>P176+IF(AND(A177&lt;&gt;"",COUNTIFS(C177,"&gt;=36526",C177,TODAY())+COUNTIFS(D177,"&gt;=36526",D177,TODAY())+COUNTIFS(E177,"&gt;=36526",E177,TODAY())+COUNTIFS(F177,"&gt;=36526",F177,TODAY())&gt;0),1,0)</x:f>
        <x:v>0</x:v>
      </x:c>
      <x:c r="Q177" t="n">
        <x:f>Q176+IF(AND(A177&lt;&gt;"",COUNTIFS(C177,"&gt;"&amp;TODAY(),C177,"&lt;="&amp;TODAY()+30)+COUNTIFS(D177,"&gt;"&amp;TODAY(),D177,"&lt;="&amp;TODAY()+30)+COUNTIFS(E177,"&gt;"&amp;TODAY(),E177,"&lt;="&amp;TODAY()+30)+COUNTIFS(F177,"&gt;"&amp;TODAY(),F177,"&lt;="&amp;TODAY()+30)&gt;0),1,0)</x:f>
        <x:v>0</x:v>
      </x:c>
      <x:c r="R177" t="n">
        <x:f>R176+IF(OR(LEFT(H177,15)="Missing dates; ",LEFT(H177,16)="Add N/A reason; ",H177="Add dates",H177="Add registration",H177="Check date format"),1,0)</x:f>
        <x:v>0</x:v>
      </x:c>
      <x:c r="S177" t="n">
        <x:f>S176+IF(COUNTIFS(C177:F177,"Reviewed N/A")&gt;0,1,0)</x:f>
        <x:v>0</x:v>
      </x:c>
    </x:row>
    <x:row r="178" ht="48" customHeight="1">
      <x:c r="A178" s="52"/>
      <x:c r="B178" s="52"/>
      <x:c r="C178" s="53"/>
      <x:c r="D178" s="53"/>
      <x:c r="E178" s="53"/>
      <x:c r="F178" s="53"/>
      <x:c r="G178" s="52"/>
      <x:c r="H178" s="21" t="str">
        <x:f>IF(COUNTA(A178:G178,I178)=0,"",IF(A178="","Add registration",IF(OR(COUNTA(C178:F178)&gt;COUNT(C178:F178)+COUNTIFS(C178:F178,"Reviewed N/A"),AND(COUNT(C178:F178)&gt;0,OR(MIN(C178:F178)&lt;36526,MAX(C178:F178)&gt;109574))),"Check date format",IF(AND(COUNTIFS(C178:F178,"Reviewed N/A")&gt;0,I178=""),"Add N/A reason; ","")&amp;IF(COUNT(C178:F178)=0,IF(COUNTIFS(C178:F178,"Reviewed N/A")=4,"No applicable dates recorded","Add dates"),IF(COUNT(C178:F178)+COUNTIFS(C178:F178,"Reviewed N/A")&lt;4,"Missing dates; ","")&amp;IF(MIN(C178:F178)&lt;TODAY(),"Overdue: ",IF(MIN(C178:F178)=TODAY(),"Due today: ",IF(MIN(C178:F178)&lt;=TODAY()+30,"Due within 30 days: ","Next: ")))&amp;INDEX($C$8:$F$8,1,MATCH(MIN(C178:F178),C178:F178,0))&amp;" "&amp;TEXT(MIN(C178:F178),"dd mmm yyyy")))))</x:f>
      </x:c>
      <x:c r="I178" s="52"/>
      <x:c r="J178" t="str">
        <x:f>IF(AND(A178&lt;&gt;"",COUNTIFS(C178,"&gt;=36526",C178,"&lt;"&amp;TODAY())+COUNTIFS(D178,"&gt;=36526",D178,"&lt;"&amp;TODAY())+COUNTIFS(E178,"&gt;=36526",E178,"&lt;"&amp;TODAY())+COUNTIFS(F178,"&gt;=36526",F178,"&lt;"&amp;TODAY())&gt;0),O178,"")</x:f>
      </x:c>
      <x:c r="K178" t="str">
        <x:f>IF(AND(A178&lt;&gt;"",COUNTIFS(C178,"&gt;=36526",C178,TODAY())+COUNTIFS(D178,"&gt;=36526",D178,TODAY())+COUNTIFS(E178,"&gt;=36526",E178,TODAY())+COUNTIFS(F178,"&gt;=36526",F178,TODAY())&gt;0),P178,"")</x:f>
      </x:c>
      <x:c r="L178" t="str">
        <x:f>IF(AND(A178&lt;&gt;"",COUNTIFS(C178,"&gt;"&amp;TODAY(),C178,"&lt;="&amp;TODAY()+30)+COUNTIFS(D178,"&gt;"&amp;TODAY(),D178,"&lt;="&amp;TODAY()+30)+COUNTIFS(E178,"&gt;"&amp;TODAY(),E178,"&lt;="&amp;TODAY()+30)+COUNTIFS(F178,"&gt;"&amp;TODAY(),F178,"&lt;="&amp;TODAY()+30)&gt;0),Q178,"")</x:f>
      </x:c>
      <x:c r="M178" t="str">
        <x:f>IF(OR(LEFT(H178,15)="Missing dates; ",LEFT(H178,16)="Add N/A reason; ",H178="Add dates",H178="Add registration",H178="Check date format"),R178,"")</x:f>
      </x:c>
      <x:c r="N178" t="str">
        <x:f>IF(COUNTIFS(C178:F178,"Reviewed N/A")&gt;0,S178,"")</x:f>
      </x:c>
      <x:c r="O178" t="n">
        <x:f>O177+IF(AND(A178&lt;&gt;"",COUNTIFS(C178,"&gt;=36526",C178,"&lt;"&amp;TODAY())+COUNTIFS(D178,"&gt;=36526",D178,"&lt;"&amp;TODAY())+COUNTIFS(E178,"&gt;=36526",E178,"&lt;"&amp;TODAY())+COUNTIFS(F178,"&gt;=36526",F178,"&lt;"&amp;TODAY())&gt;0),1,0)</x:f>
        <x:v>0</x:v>
      </x:c>
      <x:c r="P178" t="n">
        <x:f>P177+IF(AND(A178&lt;&gt;"",COUNTIFS(C178,"&gt;=36526",C178,TODAY())+COUNTIFS(D178,"&gt;=36526",D178,TODAY())+COUNTIFS(E178,"&gt;=36526",E178,TODAY())+COUNTIFS(F178,"&gt;=36526",F178,TODAY())&gt;0),1,0)</x:f>
        <x:v>0</x:v>
      </x:c>
      <x:c r="Q178" t="n">
        <x:f>Q177+IF(AND(A178&lt;&gt;"",COUNTIFS(C178,"&gt;"&amp;TODAY(),C178,"&lt;="&amp;TODAY()+30)+COUNTIFS(D178,"&gt;"&amp;TODAY(),D178,"&lt;="&amp;TODAY()+30)+COUNTIFS(E178,"&gt;"&amp;TODAY(),E178,"&lt;="&amp;TODAY()+30)+COUNTIFS(F178,"&gt;"&amp;TODAY(),F178,"&lt;="&amp;TODAY()+30)&gt;0),1,0)</x:f>
        <x:v>0</x:v>
      </x:c>
      <x:c r="R178" t="n">
        <x:f>R177+IF(OR(LEFT(H178,15)="Missing dates; ",LEFT(H178,16)="Add N/A reason; ",H178="Add dates",H178="Add registration",H178="Check date format"),1,0)</x:f>
        <x:v>0</x:v>
      </x:c>
      <x:c r="S178" t="n">
        <x:f>S177+IF(COUNTIFS(C178:F178,"Reviewed N/A")&gt;0,1,0)</x:f>
        <x:v>0</x:v>
      </x:c>
    </x:row>
    <x:row r="179" ht="48" customHeight="1">
      <x:c r="A179" s="52"/>
      <x:c r="B179" s="52"/>
      <x:c r="C179" s="53"/>
      <x:c r="D179" s="53"/>
      <x:c r="E179" s="53"/>
      <x:c r="F179" s="53"/>
      <x:c r="G179" s="52"/>
      <x:c r="H179" s="21" t="str">
        <x:f>IF(COUNTA(A179:G179,I179)=0,"",IF(A179="","Add registration",IF(OR(COUNTA(C179:F179)&gt;COUNT(C179:F179)+COUNTIFS(C179:F179,"Reviewed N/A"),AND(COUNT(C179:F179)&gt;0,OR(MIN(C179:F179)&lt;36526,MAX(C179:F179)&gt;109574))),"Check date format",IF(AND(COUNTIFS(C179:F179,"Reviewed N/A")&gt;0,I179=""),"Add N/A reason; ","")&amp;IF(COUNT(C179:F179)=0,IF(COUNTIFS(C179:F179,"Reviewed N/A")=4,"No applicable dates recorded","Add dates"),IF(COUNT(C179:F179)+COUNTIFS(C179:F179,"Reviewed N/A")&lt;4,"Missing dates; ","")&amp;IF(MIN(C179:F179)&lt;TODAY(),"Overdue: ",IF(MIN(C179:F179)=TODAY(),"Due today: ",IF(MIN(C179:F179)&lt;=TODAY()+30,"Due within 30 days: ","Next: ")))&amp;INDEX($C$8:$F$8,1,MATCH(MIN(C179:F179),C179:F179,0))&amp;" "&amp;TEXT(MIN(C179:F179),"dd mmm yyyy")))))</x:f>
      </x:c>
      <x:c r="I179" s="52"/>
      <x:c r="J179" t="str">
        <x:f>IF(AND(A179&lt;&gt;"",COUNTIFS(C179,"&gt;=36526",C179,"&lt;"&amp;TODAY())+COUNTIFS(D179,"&gt;=36526",D179,"&lt;"&amp;TODAY())+COUNTIFS(E179,"&gt;=36526",E179,"&lt;"&amp;TODAY())+COUNTIFS(F179,"&gt;=36526",F179,"&lt;"&amp;TODAY())&gt;0),O179,"")</x:f>
      </x:c>
      <x:c r="K179" t="str">
        <x:f>IF(AND(A179&lt;&gt;"",COUNTIFS(C179,"&gt;=36526",C179,TODAY())+COUNTIFS(D179,"&gt;=36526",D179,TODAY())+COUNTIFS(E179,"&gt;=36526",E179,TODAY())+COUNTIFS(F179,"&gt;=36526",F179,TODAY())&gt;0),P179,"")</x:f>
      </x:c>
      <x:c r="L179" t="str">
        <x:f>IF(AND(A179&lt;&gt;"",COUNTIFS(C179,"&gt;"&amp;TODAY(),C179,"&lt;="&amp;TODAY()+30)+COUNTIFS(D179,"&gt;"&amp;TODAY(),D179,"&lt;="&amp;TODAY()+30)+COUNTIFS(E179,"&gt;"&amp;TODAY(),E179,"&lt;="&amp;TODAY()+30)+COUNTIFS(F179,"&gt;"&amp;TODAY(),F179,"&lt;="&amp;TODAY()+30)&gt;0),Q179,"")</x:f>
      </x:c>
      <x:c r="M179" t="str">
        <x:f>IF(OR(LEFT(H179,15)="Missing dates; ",LEFT(H179,16)="Add N/A reason; ",H179="Add dates",H179="Add registration",H179="Check date format"),R179,"")</x:f>
      </x:c>
      <x:c r="N179" t="str">
        <x:f>IF(COUNTIFS(C179:F179,"Reviewed N/A")&gt;0,S179,"")</x:f>
      </x:c>
      <x:c r="O179" t="n">
        <x:f>O178+IF(AND(A179&lt;&gt;"",COUNTIFS(C179,"&gt;=36526",C179,"&lt;"&amp;TODAY())+COUNTIFS(D179,"&gt;=36526",D179,"&lt;"&amp;TODAY())+COUNTIFS(E179,"&gt;=36526",E179,"&lt;"&amp;TODAY())+COUNTIFS(F179,"&gt;=36526",F179,"&lt;"&amp;TODAY())&gt;0),1,0)</x:f>
        <x:v>0</x:v>
      </x:c>
      <x:c r="P179" t="n">
        <x:f>P178+IF(AND(A179&lt;&gt;"",COUNTIFS(C179,"&gt;=36526",C179,TODAY())+COUNTIFS(D179,"&gt;=36526",D179,TODAY())+COUNTIFS(E179,"&gt;=36526",E179,TODAY())+COUNTIFS(F179,"&gt;=36526",F179,TODAY())&gt;0),1,0)</x:f>
        <x:v>0</x:v>
      </x:c>
      <x:c r="Q179" t="n">
        <x:f>Q178+IF(AND(A179&lt;&gt;"",COUNTIFS(C179,"&gt;"&amp;TODAY(),C179,"&lt;="&amp;TODAY()+30)+COUNTIFS(D179,"&gt;"&amp;TODAY(),D179,"&lt;="&amp;TODAY()+30)+COUNTIFS(E179,"&gt;"&amp;TODAY(),E179,"&lt;="&amp;TODAY()+30)+COUNTIFS(F179,"&gt;"&amp;TODAY(),F179,"&lt;="&amp;TODAY()+30)&gt;0),1,0)</x:f>
        <x:v>0</x:v>
      </x:c>
      <x:c r="R179" t="n">
        <x:f>R178+IF(OR(LEFT(H179,15)="Missing dates; ",LEFT(H179,16)="Add N/A reason; ",H179="Add dates",H179="Add registration",H179="Check date format"),1,0)</x:f>
        <x:v>0</x:v>
      </x:c>
      <x:c r="S179" t="n">
        <x:f>S178+IF(COUNTIFS(C179:F179,"Reviewed N/A")&gt;0,1,0)</x:f>
        <x:v>0</x:v>
      </x:c>
    </x:row>
    <x:row r="180" ht="48" customHeight="1">
      <x:c r="A180" s="52"/>
      <x:c r="B180" s="52"/>
      <x:c r="C180" s="53"/>
      <x:c r="D180" s="53"/>
      <x:c r="E180" s="53"/>
      <x:c r="F180" s="53"/>
      <x:c r="G180" s="52"/>
      <x:c r="H180" s="21" t="str">
        <x:f>IF(COUNTA(A180:G180,I180)=0,"",IF(A180="","Add registration",IF(OR(COUNTA(C180:F180)&gt;COUNT(C180:F180)+COUNTIFS(C180:F180,"Reviewed N/A"),AND(COUNT(C180:F180)&gt;0,OR(MIN(C180:F180)&lt;36526,MAX(C180:F180)&gt;109574))),"Check date format",IF(AND(COUNTIFS(C180:F180,"Reviewed N/A")&gt;0,I180=""),"Add N/A reason; ","")&amp;IF(COUNT(C180:F180)=0,IF(COUNTIFS(C180:F180,"Reviewed N/A")=4,"No applicable dates recorded","Add dates"),IF(COUNT(C180:F180)+COUNTIFS(C180:F180,"Reviewed N/A")&lt;4,"Missing dates; ","")&amp;IF(MIN(C180:F180)&lt;TODAY(),"Overdue: ",IF(MIN(C180:F180)=TODAY(),"Due today: ",IF(MIN(C180:F180)&lt;=TODAY()+30,"Due within 30 days: ","Next: ")))&amp;INDEX($C$8:$F$8,1,MATCH(MIN(C180:F180),C180:F180,0))&amp;" "&amp;TEXT(MIN(C180:F180),"dd mmm yyyy")))))</x:f>
      </x:c>
      <x:c r="I180" s="52"/>
      <x:c r="J180" t="str">
        <x:f>IF(AND(A180&lt;&gt;"",COUNTIFS(C180,"&gt;=36526",C180,"&lt;"&amp;TODAY())+COUNTIFS(D180,"&gt;=36526",D180,"&lt;"&amp;TODAY())+COUNTIFS(E180,"&gt;=36526",E180,"&lt;"&amp;TODAY())+COUNTIFS(F180,"&gt;=36526",F180,"&lt;"&amp;TODAY())&gt;0),O180,"")</x:f>
      </x:c>
      <x:c r="K180" t="str">
        <x:f>IF(AND(A180&lt;&gt;"",COUNTIFS(C180,"&gt;=36526",C180,TODAY())+COUNTIFS(D180,"&gt;=36526",D180,TODAY())+COUNTIFS(E180,"&gt;=36526",E180,TODAY())+COUNTIFS(F180,"&gt;=36526",F180,TODAY())&gt;0),P180,"")</x:f>
      </x:c>
      <x:c r="L180" t="str">
        <x:f>IF(AND(A180&lt;&gt;"",COUNTIFS(C180,"&gt;"&amp;TODAY(),C180,"&lt;="&amp;TODAY()+30)+COUNTIFS(D180,"&gt;"&amp;TODAY(),D180,"&lt;="&amp;TODAY()+30)+COUNTIFS(E180,"&gt;"&amp;TODAY(),E180,"&lt;="&amp;TODAY()+30)+COUNTIFS(F180,"&gt;"&amp;TODAY(),F180,"&lt;="&amp;TODAY()+30)&gt;0),Q180,"")</x:f>
      </x:c>
      <x:c r="M180" t="str">
        <x:f>IF(OR(LEFT(H180,15)="Missing dates; ",LEFT(H180,16)="Add N/A reason; ",H180="Add dates",H180="Add registration",H180="Check date format"),R180,"")</x:f>
      </x:c>
      <x:c r="N180" t="str">
        <x:f>IF(COUNTIFS(C180:F180,"Reviewed N/A")&gt;0,S180,"")</x:f>
      </x:c>
      <x:c r="O180" t="n">
        <x:f>O179+IF(AND(A180&lt;&gt;"",COUNTIFS(C180,"&gt;=36526",C180,"&lt;"&amp;TODAY())+COUNTIFS(D180,"&gt;=36526",D180,"&lt;"&amp;TODAY())+COUNTIFS(E180,"&gt;=36526",E180,"&lt;"&amp;TODAY())+COUNTIFS(F180,"&gt;=36526",F180,"&lt;"&amp;TODAY())&gt;0),1,0)</x:f>
        <x:v>0</x:v>
      </x:c>
      <x:c r="P180" t="n">
        <x:f>P179+IF(AND(A180&lt;&gt;"",COUNTIFS(C180,"&gt;=36526",C180,TODAY())+COUNTIFS(D180,"&gt;=36526",D180,TODAY())+COUNTIFS(E180,"&gt;=36526",E180,TODAY())+COUNTIFS(F180,"&gt;=36526",F180,TODAY())&gt;0),1,0)</x:f>
        <x:v>0</x:v>
      </x:c>
      <x:c r="Q180" t="n">
        <x:f>Q179+IF(AND(A180&lt;&gt;"",COUNTIFS(C180,"&gt;"&amp;TODAY(),C180,"&lt;="&amp;TODAY()+30)+COUNTIFS(D180,"&gt;"&amp;TODAY(),D180,"&lt;="&amp;TODAY()+30)+COUNTIFS(E180,"&gt;"&amp;TODAY(),E180,"&lt;="&amp;TODAY()+30)+COUNTIFS(F180,"&gt;"&amp;TODAY(),F180,"&lt;="&amp;TODAY()+30)&gt;0),1,0)</x:f>
        <x:v>0</x:v>
      </x:c>
      <x:c r="R180" t="n">
        <x:f>R179+IF(OR(LEFT(H180,15)="Missing dates; ",LEFT(H180,16)="Add N/A reason; ",H180="Add dates",H180="Add registration",H180="Check date format"),1,0)</x:f>
        <x:v>0</x:v>
      </x:c>
      <x:c r="S180" t="n">
        <x:f>S179+IF(COUNTIFS(C180:F180,"Reviewed N/A")&gt;0,1,0)</x:f>
        <x:v>0</x:v>
      </x:c>
    </x:row>
    <x:row r="181" ht="48" customHeight="1">
      <x:c r="A181" s="52"/>
      <x:c r="B181" s="52"/>
      <x:c r="C181" s="53"/>
      <x:c r="D181" s="53"/>
      <x:c r="E181" s="53"/>
      <x:c r="F181" s="53"/>
      <x:c r="G181" s="52"/>
      <x:c r="H181" s="21" t="str">
        <x:f>IF(COUNTA(A181:G181,I181)=0,"",IF(A181="","Add registration",IF(OR(COUNTA(C181:F181)&gt;COUNT(C181:F181)+COUNTIFS(C181:F181,"Reviewed N/A"),AND(COUNT(C181:F181)&gt;0,OR(MIN(C181:F181)&lt;36526,MAX(C181:F181)&gt;109574))),"Check date format",IF(AND(COUNTIFS(C181:F181,"Reviewed N/A")&gt;0,I181=""),"Add N/A reason; ","")&amp;IF(COUNT(C181:F181)=0,IF(COUNTIFS(C181:F181,"Reviewed N/A")=4,"No applicable dates recorded","Add dates"),IF(COUNT(C181:F181)+COUNTIFS(C181:F181,"Reviewed N/A")&lt;4,"Missing dates; ","")&amp;IF(MIN(C181:F181)&lt;TODAY(),"Overdue: ",IF(MIN(C181:F181)=TODAY(),"Due today: ",IF(MIN(C181:F181)&lt;=TODAY()+30,"Due within 30 days: ","Next: ")))&amp;INDEX($C$8:$F$8,1,MATCH(MIN(C181:F181),C181:F181,0))&amp;" "&amp;TEXT(MIN(C181:F181),"dd mmm yyyy")))))</x:f>
      </x:c>
      <x:c r="I181" s="52"/>
      <x:c r="J181" t="str">
        <x:f>IF(AND(A181&lt;&gt;"",COUNTIFS(C181,"&gt;=36526",C181,"&lt;"&amp;TODAY())+COUNTIFS(D181,"&gt;=36526",D181,"&lt;"&amp;TODAY())+COUNTIFS(E181,"&gt;=36526",E181,"&lt;"&amp;TODAY())+COUNTIFS(F181,"&gt;=36526",F181,"&lt;"&amp;TODAY())&gt;0),O181,"")</x:f>
      </x:c>
      <x:c r="K181" t="str">
        <x:f>IF(AND(A181&lt;&gt;"",COUNTIFS(C181,"&gt;=36526",C181,TODAY())+COUNTIFS(D181,"&gt;=36526",D181,TODAY())+COUNTIFS(E181,"&gt;=36526",E181,TODAY())+COUNTIFS(F181,"&gt;=36526",F181,TODAY())&gt;0),P181,"")</x:f>
      </x:c>
      <x:c r="L181" t="str">
        <x:f>IF(AND(A181&lt;&gt;"",COUNTIFS(C181,"&gt;"&amp;TODAY(),C181,"&lt;="&amp;TODAY()+30)+COUNTIFS(D181,"&gt;"&amp;TODAY(),D181,"&lt;="&amp;TODAY()+30)+COUNTIFS(E181,"&gt;"&amp;TODAY(),E181,"&lt;="&amp;TODAY()+30)+COUNTIFS(F181,"&gt;"&amp;TODAY(),F181,"&lt;="&amp;TODAY()+30)&gt;0),Q181,"")</x:f>
      </x:c>
      <x:c r="M181" t="str">
        <x:f>IF(OR(LEFT(H181,15)="Missing dates; ",LEFT(H181,16)="Add N/A reason; ",H181="Add dates",H181="Add registration",H181="Check date format"),R181,"")</x:f>
      </x:c>
      <x:c r="N181" t="str">
        <x:f>IF(COUNTIFS(C181:F181,"Reviewed N/A")&gt;0,S181,"")</x:f>
      </x:c>
      <x:c r="O181" t="n">
        <x:f>O180+IF(AND(A181&lt;&gt;"",COUNTIFS(C181,"&gt;=36526",C181,"&lt;"&amp;TODAY())+COUNTIFS(D181,"&gt;=36526",D181,"&lt;"&amp;TODAY())+COUNTIFS(E181,"&gt;=36526",E181,"&lt;"&amp;TODAY())+COUNTIFS(F181,"&gt;=36526",F181,"&lt;"&amp;TODAY())&gt;0),1,0)</x:f>
        <x:v>0</x:v>
      </x:c>
      <x:c r="P181" t="n">
        <x:f>P180+IF(AND(A181&lt;&gt;"",COUNTIFS(C181,"&gt;=36526",C181,TODAY())+COUNTIFS(D181,"&gt;=36526",D181,TODAY())+COUNTIFS(E181,"&gt;=36526",E181,TODAY())+COUNTIFS(F181,"&gt;=36526",F181,TODAY())&gt;0),1,0)</x:f>
        <x:v>0</x:v>
      </x:c>
      <x:c r="Q181" t="n">
        <x:f>Q180+IF(AND(A181&lt;&gt;"",COUNTIFS(C181,"&gt;"&amp;TODAY(),C181,"&lt;="&amp;TODAY()+30)+COUNTIFS(D181,"&gt;"&amp;TODAY(),D181,"&lt;="&amp;TODAY()+30)+COUNTIFS(E181,"&gt;"&amp;TODAY(),E181,"&lt;="&amp;TODAY()+30)+COUNTIFS(F181,"&gt;"&amp;TODAY(),F181,"&lt;="&amp;TODAY()+30)&gt;0),1,0)</x:f>
        <x:v>0</x:v>
      </x:c>
      <x:c r="R181" t="n">
        <x:f>R180+IF(OR(LEFT(H181,15)="Missing dates; ",LEFT(H181,16)="Add N/A reason; ",H181="Add dates",H181="Add registration",H181="Check date format"),1,0)</x:f>
        <x:v>0</x:v>
      </x:c>
      <x:c r="S181" t="n">
        <x:f>S180+IF(COUNTIFS(C181:F181,"Reviewed N/A")&gt;0,1,0)</x:f>
        <x:v>0</x:v>
      </x:c>
    </x:row>
    <x:row r="182" ht="48" customHeight="1">
      <x:c r="A182" s="52"/>
      <x:c r="B182" s="52"/>
      <x:c r="C182" s="53"/>
      <x:c r="D182" s="53"/>
      <x:c r="E182" s="53"/>
      <x:c r="F182" s="53"/>
      <x:c r="G182" s="52"/>
      <x:c r="H182" s="21" t="str">
        <x:f>IF(COUNTA(A182:G182,I182)=0,"",IF(A182="","Add registration",IF(OR(COUNTA(C182:F182)&gt;COUNT(C182:F182)+COUNTIFS(C182:F182,"Reviewed N/A"),AND(COUNT(C182:F182)&gt;0,OR(MIN(C182:F182)&lt;36526,MAX(C182:F182)&gt;109574))),"Check date format",IF(AND(COUNTIFS(C182:F182,"Reviewed N/A")&gt;0,I182=""),"Add N/A reason; ","")&amp;IF(COUNT(C182:F182)=0,IF(COUNTIFS(C182:F182,"Reviewed N/A")=4,"No applicable dates recorded","Add dates"),IF(COUNT(C182:F182)+COUNTIFS(C182:F182,"Reviewed N/A")&lt;4,"Missing dates; ","")&amp;IF(MIN(C182:F182)&lt;TODAY(),"Overdue: ",IF(MIN(C182:F182)=TODAY(),"Due today: ",IF(MIN(C182:F182)&lt;=TODAY()+30,"Due within 30 days: ","Next: ")))&amp;INDEX($C$8:$F$8,1,MATCH(MIN(C182:F182),C182:F182,0))&amp;" "&amp;TEXT(MIN(C182:F182),"dd mmm yyyy")))))</x:f>
      </x:c>
      <x:c r="I182" s="52"/>
      <x:c r="J182" t="str">
        <x:f>IF(AND(A182&lt;&gt;"",COUNTIFS(C182,"&gt;=36526",C182,"&lt;"&amp;TODAY())+COUNTIFS(D182,"&gt;=36526",D182,"&lt;"&amp;TODAY())+COUNTIFS(E182,"&gt;=36526",E182,"&lt;"&amp;TODAY())+COUNTIFS(F182,"&gt;=36526",F182,"&lt;"&amp;TODAY())&gt;0),O182,"")</x:f>
      </x:c>
      <x:c r="K182" t="str">
        <x:f>IF(AND(A182&lt;&gt;"",COUNTIFS(C182,"&gt;=36526",C182,TODAY())+COUNTIFS(D182,"&gt;=36526",D182,TODAY())+COUNTIFS(E182,"&gt;=36526",E182,TODAY())+COUNTIFS(F182,"&gt;=36526",F182,TODAY())&gt;0),P182,"")</x:f>
      </x:c>
      <x:c r="L182" t="str">
        <x:f>IF(AND(A182&lt;&gt;"",COUNTIFS(C182,"&gt;"&amp;TODAY(),C182,"&lt;="&amp;TODAY()+30)+COUNTIFS(D182,"&gt;"&amp;TODAY(),D182,"&lt;="&amp;TODAY()+30)+COUNTIFS(E182,"&gt;"&amp;TODAY(),E182,"&lt;="&amp;TODAY()+30)+COUNTIFS(F182,"&gt;"&amp;TODAY(),F182,"&lt;="&amp;TODAY()+30)&gt;0),Q182,"")</x:f>
      </x:c>
      <x:c r="M182" t="str">
        <x:f>IF(OR(LEFT(H182,15)="Missing dates; ",LEFT(H182,16)="Add N/A reason; ",H182="Add dates",H182="Add registration",H182="Check date format"),R182,"")</x:f>
      </x:c>
      <x:c r="N182" t="str">
        <x:f>IF(COUNTIFS(C182:F182,"Reviewed N/A")&gt;0,S182,"")</x:f>
      </x:c>
      <x:c r="O182" t="n">
        <x:f>O181+IF(AND(A182&lt;&gt;"",COUNTIFS(C182,"&gt;=36526",C182,"&lt;"&amp;TODAY())+COUNTIFS(D182,"&gt;=36526",D182,"&lt;"&amp;TODAY())+COUNTIFS(E182,"&gt;=36526",E182,"&lt;"&amp;TODAY())+COUNTIFS(F182,"&gt;=36526",F182,"&lt;"&amp;TODAY())&gt;0),1,0)</x:f>
        <x:v>0</x:v>
      </x:c>
      <x:c r="P182" t="n">
        <x:f>P181+IF(AND(A182&lt;&gt;"",COUNTIFS(C182,"&gt;=36526",C182,TODAY())+COUNTIFS(D182,"&gt;=36526",D182,TODAY())+COUNTIFS(E182,"&gt;=36526",E182,TODAY())+COUNTIFS(F182,"&gt;=36526",F182,TODAY())&gt;0),1,0)</x:f>
        <x:v>0</x:v>
      </x:c>
      <x:c r="Q182" t="n">
        <x:f>Q181+IF(AND(A182&lt;&gt;"",COUNTIFS(C182,"&gt;"&amp;TODAY(),C182,"&lt;="&amp;TODAY()+30)+COUNTIFS(D182,"&gt;"&amp;TODAY(),D182,"&lt;="&amp;TODAY()+30)+COUNTIFS(E182,"&gt;"&amp;TODAY(),E182,"&lt;="&amp;TODAY()+30)+COUNTIFS(F182,"&gt;"&amp;TODAY(),F182,"&lt;="&amp;TODAY()+30)&gt;0),1,0)</x:f>
        <x:v>0</x:v>
      </x:c>
      <x:c r="R182" t="n">
        <x:f>R181+IF(OR(LEFT(H182,15)="Missing dates; ",LEFT(H182,16)="Add N/A reason; ",H182="Add dates",H182="Add registration",H182="Check date format"),1,0)</x:f>
        <x:v>0</x:v>
      </x:c>
      <x:c r="S182" t="n">
        <x:f>S181+IF(COUNTIFS(C182:F182,"Reviewed N/A")&gt;0,1,0)</x:f>
        <x:v>0</x:v>
      </x:c>
    </x:row>
    <x:row r="183" ht="48" customHeight="1">
      <x:c r="A183" s="52"/>
      <x:c r="B183" s="52"/>
      <x:c r="C183" s="53"/>
      <x:c r="D183" s="53"/>
      <x:c r="E183" s="53"/>
      <x:c r="F183" s="53"/>
      <x:c r="G183" s="52"/>
      <x:c r="H183" s="21" t="str">
        <x:f>IF(COUNTA(A183:G183,I183)=0,"",IF(A183="","Add registration",IF(OR(COUNTA(C183:F183)&gt;COUNT(C183:F183)+COUNTIFS(C183:F183,"Reviewed N/A"),AND(COUNT(C183:F183)&gt;0,OR(MIN(C183:F183)&lt;36526,MAX(C183:F183)&gt;109574))),"Check date format",IF(AND(COUNTIFS(C183:F183,"Reviewed N/A")&gt;0,I183=""),"Add N/A reason; ","")&amp;IF(COUNT(C183:F183)=0,IF(COUNTIFS(C183:F183,"Reviewed N/A")=4,"No applicable dates recorded","Add dates"),IF(COUNT(C183:F183)+COUNTIFS(C183:F183,"Reviewed N/A")&lt;4,"Missing dates; ","")&amp;IF(MIN(C183:F183)&lt;TODAY(),"Overdue: ",IF(MIN(C183:F183)=TODAY(),"Due today: ",IF(MIN(C183:F183)&lt;=TODAY()+30,"Due within 30 days: ","Next: ")))&amp;INDEX($C$8:$F$8,1,MATCH(MIN(C183:F183),C183:F183,0))&amp;" "&amp;TEXT(MIN(C183:F183),"dd mmm yyyy")))))</x:f>
      </x:c>
      <x:c r="I183" s="52"/>
      <x:c r="J183" t="str">
        <x:f>IF(AND(A183&lt;&gt;"",COUNTIFS(C183,"&gt;=36526",C183,"&lt;"&amp;TODAY())+COUNTIFS(D183,"&gt;=36526",D183,"&lt;"&amp;TODAY())+COUNTIFS(E183,"&gt;=36526",E183,"&lt;"&amp;TODAY())+COUNTIFS(F183,"&gt;=36526",F183,"&lt;"&amp;TODAY())&gt;0),O183,"")</x:f>
      </x:c>
      <x:c r="K183" t="str">
        <x:f>IF(AND(A183&lt;&gt;"",COUNTIFS(C183,"&gt;=36526",C183,TODAY())+COUNTIFS(D183,"&gt;=36526",D183,TODAY())+COUNTIFS(E183,"&gt;=36526",E183,TODAY())+COUNTIFS(F183,"&gt;=36526",F183,TODAY())&gt;0),P183,"")</x:f>
      </x:c>
      <x:c r="L183" t="str">
        <x:f>IF(AND(A183&lt;&gt;"",COUNTIFS(C183,"&gt;"&amp;TODAY(),C183,"&lt;="&amp;TODAY()+30)+COUNTIFS(D183,"&gt;"&amp;TODAY(),D183,"&lt;="&amp;TODAY()+30)+COUNTIFS(E183,"&gt;"&amp;TODAY(),E183,"&lt;="&amp;TODAY()+30)+COUNTIFS(F183,"&gt;"&amp;TODAY(),F183,"&lt;="&amp;TODAY()+30)&gt;0),Q183,"")</x:f>
      </x:c>
      <x:c r="M183" t="str">
        <x:f>IF(OR(LEFT(H183,15)="Missing dates; ",LEFT(H183,16)="Add N/A reason; ",H183="Add dates",H183="Add registration",H183="Check date format"),R183,"")</x:f>
      </x:c>
      <x:c r="N183" t="str">
        <x:f>IF(COUNTIFS(C183:F183,"Reviewed N/A")&gt;0,S183,"")</x:f>
      </x:c>
      <x:c r="O183" t="n">
        <x:f>O182+IF(AND(A183&lt;&gt;"",COUNTIFS(C183,"&gt;=36526",C183,"&lt;"&amp;TODAY())+COUNTIFS(D183,"&gt;=36526",D183,"&lt;"&amp;TODAY())+COUNTIFS(E183,"&gt;=36526",E183,"&lt;"&amp;TODAY())+COUNTIFS(F183,"&gt;=36526",F183,"&lt;"&amp;TODAY())&gt;0),1,0)</x:f>
        <x:v>0</x:v>
      </x:c>
      <x:c r="P183" t="n">
        <x:f>P182+IF(AND(A183&lt;&gt;"",COUNTIFS(C183,"&gt;=36526",C183,TODAY())+COUNTIFS(D183,"&gt;=36526",D183,TODAY())+COUNTIFS(E183,"&gt;=36526",E183,TODAY())+COUNTIFS(F183,"&gt;=36526",F183,TODAY())&gt;0),1,0)</x:f>
        <x:v>0</x:v>
      </x:c>
      <x:c r="Q183" t="n">
        <x:f>Q182+IF(AND(A183&lt;&gt;"",COUNTIFS(C183,"&gt;"&amp;TODAY(),C183,"&lt;="&amp;TODAY()+30)+COUNTIFS(D183,"&gt;"&amp;TODAY(),D183,"&lt;="&amp;TODAY()+30)+COUNTIFS(E183,"&gt;"&amp;TODAY(),E183,"&lt;="&amp;TODAY()+30)+COUNTIFS(F183,"&gt;"&amp;TODAY(),F183,"&lt;="&amp;TODAY()+30)&gt;0),1,0)</x:f>
        <x:v>0</x:v>
      </x:c>
      <x:c r="R183" t="n">
        <x:f>R182+IF(OR(LEFT(H183,15)="Missing dates; ",LEFT(H183,16)="Add N/A reason; ",H183="Add dates",H183="Add registration",H183="Check date format"),1,0)</x:f>
        <x:v>0</x:v>
      </x:c>
      <x:c r="S183" t="n">
        <x:f>S182+IF(COUNTIFS(C183:F183,"Reviewed N/A")&gt;0,1,0)</x:f>
        <x:v>0</x:v>
      </x:c>
    </x:row>
    <x:row r="184" ht="48" customHeight="1">
      <x:c r="A184" s="52"/>
      <x:c r="B184" s="52"/>
      <x:c r="C184" s="53"/>
      <x:c r="D184" s="53"/>
      <x:c r="E184" s="53"/>
      <x:c r="F184" s="53"/>
      <x:c r="G184" s="52"/>
      <x:c r="H184" s="21" t="str">
        <x:f>IF(COUNTA(A184:G184,I184)=0,"",IF(A184="","Add registration",IF(OR(COUNTA(C184:F184)&gt;COUNT(C184:F184)+COUNTIFS(C184:F184,"Reviewed N/A"),AND(COUNT(C184:F184)&gt;0,OR(MIN(C184:F184)&lt;36526,MAX(C184:F184)&gt;109574))),"Check date format",IF(AND(COUNTIFS(C184:F184,"Reviewed N/A")&gt;0,I184=""),"Add N/A reason; ","")&amp;IF(COUNT(C184:F184)=0,IF(COUNTIFS(C184:F184,"Reviewed N/A")=4,"No applicable dates recorded","Add dates"),IF(COUNT(C184:F184)+COUNTIFS(C184:F184,"Reviewed N/A")&lt;4,"Missing dates; ","")&amp;IF(MIN(C184:F184)&lt;TODAY(),"Overdue: ",IF(MIN(C184:F184)=TODAY(),"Due today: ",IF(MIN(C184:F184)&lt;=TODAY()+30,"Due within 30 days: ","Next: ")))&amp;INDEX($C$8:$F$8,1,MATCH(MIN(C184:F184),C184:F184,0))&amp;" "&amp;TEXT(MIN(C184:F184),"dd mmm yyyy")))))</x:f>
      </x:c>
      <x:c r="I184" s="52"/>
      <x:c r="J184" t="str">
        <x:f>IF(AND(A184&lt;&gt;"",COUNTIFS(C184,"&gt;=36526",C184,"&lt;"&amp;TODAY())+COUNTIFS(D184,"&gt;=36526",D184,"&lt;"&amp;TODAY())+COUNTIFS(E184,"&gt;=36526",E184,"&lt;"&amp;TODAY())+COUNTIFS(F184,"&gt;=36526",F184,"&lt;"&amp;TODAY())&gt;0),O184,"")</x:f>
      </x:c>
      <x:c r="K184" t="str">
        <x:f>IF(AND(A184&lt;&gt;"",COUNTIFS(C184,"&gt;=36526",C184,TODAY())+COUNTIFS(D184,"&gt;=36526",D184,TODAY())+COUNTIFS(E184,"&gt;=36526",E184,TODAY())+COUNTIFS(F184,"&gt;=36526",F184,TODAY())&gt;0),P184,"")</x:f>
      </x:c>
      <x:c r="L184" t="str">
        <x:f>IF(AND(A184&lt;&gt;"",COUNTIFS(C184,"&gt;"&amp;TODAY(),C184,"&lt;="&amp;TODAY()+30)+COUNTIFS(D184,"&gt;"&amp;TODAY(),D184,"&lt;="&amp;TODAY()+30)+COUNTIFS(E184,"&gt;"&amp;TODAY(),E184,"&lt;="&amp;TODAY()+30)+COUNTIFS(F184,"&gt;"&amp;TODAY(),F184,"&lt;="&amp;TODAY()+30)&gt;0),Q184,"")</x:f>
      </x:c>
      <x:c r="M184" t="str">
        <x:f>IF(OR(LEFT(H184,15)="Missing dates; ",LEFT(H184,16)="Add N/A reason; ",H184="Add dates",H184="Add registration",H184="Check date format"),R184,"")</x:f>
      </x:c>
      <x:c r="N184" t="str">
        <x:f>IF(COUNTIFS(C184:F184,"Reviewed N/A")&gt;0,S184,"")</x:f>
      </x:c>
      <x:c r="O184" t="n">
        <x:f>O183+IF(AND(A184&lt;&gt;"",COUNTIFS(C184,"&gt;=36526",C184,"&lt;"&amp;TODAY())+COUNTIFS(D184,"&gt;=36526",D184,"&lt;"&amp;TODAY())+COUNTIFS(E184,"&gt;=36526",E184,"&lt;"&amp;TODAY())+COUNTIFS(F184,"&gt;=36526",F184,"&lt;"&amp;TODAY())&gt;0),1,0)</x:f>
        <x:v>0</x:v>
      </x:c>
      <x:c r="P184" t="n">
        <x:f>P183+IF(AND(A184&lt;&gt;"",COUNTIFS(C184,"&gt;=36526",C184,TODAY())+COUNTIFS(D184,"&gt;=36526",D184,TODAY())+COUNTIFS(E184,"&gt;=36526",E184,TODAY())+COUNTIFS(F184,"&gt;=36526",F184,TODAY())&gt;0),1,0)</x:f>
        <x:v>0</x:v>
      </x:c>
      <x:c r="Q184" t="n">
        <x:f>Q183+IF(AND(A184&lt;&gt;"",COUNTIFS(C184,"&gt;"&amp;TODAY(),C184,"&lt;="&amp;TODAY()+30)+COUNTIFS(D184,"&gt;"&amp;TODAY(),D184,"&lt;="&amp;TODAY()+30)+COUNTIFS(E184,"&gt;"&amp;TODAY(),E184,"&lt;="&amp;TODAY()+30)+COUNTIFS(F184,"&gt;"&amp;TODAY(),F184,"&lt;="&amp;TODAY()+30)&gt;0),1,0)</x:f>
        <x:v>0</x:v>
      </x:c>
      <x:c r="R184" t="n">
        <x:f>R183+IF(OR(LEFT(H184,15)="Missing dates; ",LEFT(H184,16)="Add N/A reason; ",H184="Add dates",H184="Add registration",H184="Check date format"),1,0)</x:f>
        <x:v>0</x:v>
      </x:c>
      <x:c r="S184" t="n">
        <x:f>S183+IF(COUNTIFS(C184:F184,"Reviewed N/A")&gt;0,1,0)</x:f>
        <x:v>0</x:v>
      </x:c>
    </x:row>
    <x:row r="185" ht="48" customHeight="1">
      <x:c r="A185" s="52"/>
      <x:c r="B185" s="52"/>
      <x:c r="C185" s="53"/>
      <x:c r="D185" s="53"/>
      <x:c r="E185" s="53"/>
      <x:c r="F185" s="53"/>
      <x:c r="G185" s="52"/>
      <x:c r="H185" s="21" t="str">
        <x:f>IF(COUNTA(A185:G185,I185)=0,"",IF(A185="","Add registration",IF(OR(COUNTA(C185:F185)&gt;COUNT(C185:F185)+COUNTIFS(C185:F185,"Reviewed N/A"),AND(COUNT(C185:F185)&gt;0,OR(MIN(C185:F185)&lt;36526,MAX(C185:F185)&gt;109574))),"Check date format",IF(AND(COUNTIFS(C185:F185,"Reviewed N/A")&gt;0,I185=""),"Add N/A reason; ","")&amp;IF(COUNT(C185:F185)=0,IF(COUNTIFS(C185:F185,"Reviewed N/A")=4,"No applicable dates recorded","Add dates"),IF(COUNT(C185:F185)+COUNTIFS(C185:F185,"Reviewed N/A")&lt;4,"Missing dates; ","")&amp;IF(MIN(C185:F185)&lt;TODAY(),"Overdue: ",IF(MIN(C185:F185)=TODAY(),"Due today: ",IF(MIN(C185:F185)&lt;=TODAY()+30,"Due within 30 days: ","Next: ")))&amp;INDEX($C$8:$F$8,1,MATCH(MIN(C185:F185),C185:F185,0))&amp;" "&amp;TEXT(MIN(C185:F185),"dd mmm yyyy")))))</x:f>
      </x:c>
      <x:c r="I185" s="52"/>
      <x:c r="J185" t="str">
        <x:f>IF(AND(A185&lt;&gt;"",COUNTIFS(C185,"&gt;=36526",C185,"&lt;"&amp;TODAY())+COUNTIFS(D185,"&gt;=36526",D185,"&lt;"&amp;TODAY())+COUNTIFS(E185,"&gt;=36526",E185,"&lt;"&amp;TODAY())+COUNTIFS(F185,"&gt;=36526",F185,"&lt;"&amp;TODAY())&gt;0),O185,"")</x:f>
      </x:c>
      <x:c r="K185" t="str">
        <x:f>IF(AND(A185&lt;&gt;"",COUNTIFS(C185,"&gt;=36526",C185,TODAY())+COUNTIFS(D185,"&gt;=36526",D185,TODAY())+COUNTIFS(E185,"&gt;=36526",E185,TODAY())+COUNTIFS(F185,"&gt;=36526",F185,TODAY())&gt;0),P185,"")</x:f>
      </x:c>
      <x:c r="L185" t="str">
        <x:f>IF(AND(A185&lt;&gt;"",COUNTIFS(C185,"&gt;"&amp;TODAY(),C185,"&lt;="&amp;TODAY()+30)+COUNTIFS(D185,"&gt;"&amp;TODAY(),D185,"&lt;="&amp;TODAY()+30)+COUNTIFS(E185,"&gt;"&amp;TODAY(),E185,"&lt;="&amp;TODAY()+30)+COUNTIFS(F185,"&gt;"&amp;TODAY(),F185,"&lt;="&amp;TODAY()+30)&gt;0),Q185,"")</x:f>
      </x:c>
      <x:c r="M185" t="str">
        <x:f>IF(OR(LEFT(H185,15)="Missing dates; ",LEFT(H185,16)="Add N/A reason; ",H185="Add dates",H185="Add registration",H185="Check date format"),R185,"")</x:f>
      </x:c>
      <x:c r="N185" t="str">
        <x:f>IF(COUNTIFS(C185:F185,"Reviewed N/A")&gt;0,S185,"")</x:f>
      </x:c>
      <x:c r="O185" t="n">
        <x:f>O184+IF(AND(A185&lt;&gt;"",COUNTIFS(C185,"&gt;=36526",C185,"&lt;"&amp;TODAY())+COUNTIFS(D185,"&gt;=36526",D185,"&lt;"&amp;TODAY())+COUNTIFS(E185,"&gt;=36526",E185,"&lt;"&amp;TODAY())+COUNTIFS(F185,"&gt;=36526",F185,"&lt;"&amp;TODAY())&gt;0),1,0)</x:f>
        <x:v>0</x:v>
      </x:c>
      <x:c r="P185" t="n">
        <x:f>P184+IF(AND(A185&lt;&gt;"",COUNTIFS(C185,"&gt;=36526",C185,TODAY())+COUNTIFS(D185,"&gt;=36526",D185,TODAY())+COUNTIFS(E185,"&gt;=36526",E185,TODAY())+COUNTIFS(F185,"&gt;=36526",F185,TODAY())&gt;0),1,0)</x:f>
        <x:v>0</x:v>
      </x:c>
      <x:c r="Q185" t="n">
        <x:f>Q184+IF(AND(A185&lt;&gt;"",COUNTIFS(C185,"&gt;"&amp;TODAY(),C185,"&lt;="&amp;TODAY()+30)+COUNTIFS(D185,"&gt;"&amp;TODAY(),D185,"&lt;="&amp;TODAY()+30)+COUNTIFS(E185,"&gt;"&amp;TODAY(),E185,"&lt;="&amp;TODAY()+30)+COUNTIFS(F185,"&gt;"&amp;TODAY(),F185,"&lt;="&amp;TODAY()+30)&gt;0),1,0)</x:f>
        <x:v>0</x:v>
      </x:c>
      <x:c r="R185" t="n">
        <x:f>R184+IF(OR(LEFT(H185,15)="Missing dates; ",LEFT(H185,16)="Add N/A reason; ",H185="Add dates",H185="Add registration",H185="Check date format"),1,0)</x:f>
        <x:v>0</x:v>
      </x:c>
      <x:c r="S185" t="n">
        <x:f>S184+IF(COUNTIFS(C185:F185,"Reviewed N/A")&gt;0,1,0)</x:f>
        <x:v>0</x:v>
      </x:c>
    </x:row>
    <x:row r="186" ht="48" customHeight="1">
      <x:c r="A186" s="52"/>
      <x:c r="B186" s="52"/>
      <x:c r="C186" s="53"/>
      <x:c r="D186" s="53"/>
      <x:c r="E186" s="53"/>
      <x:c r="F186" s="53"/>
      <x:c r="G186" s="52"/>
      <x:c r="H186" s="21" t="str">
        <x:f>IF(COUNTA(A186:G186,I186)=0,"",IF(A186="","Add registration",IF(OR(COUNTA(C186:F186)&gt;COUNT(C186:F186)+COUNTIFS(C186:F186,"Reviewed N/A"),AND(COUNT(C186:F186)&gt;0,OR(MIN(C186:F186)&lt;36526,MAX(C186:F186)&gt;109574))),"Check date format",IF(AND(COUNTIFS(C186:F186,"Reviewed N/A")&gt;0,I186=""),"Add N/A reason; ","")&amp;IF(COUNT(C186:F186)=0,IF(COUNTIFS(C186:F186,"Reviewed N/A")=4,"No applicable dates recorded","Add dates"),IF(COUNT(C186:F186)+COUNTIFS(C186:F186,"Reviewed N/A")&lt;4,"Missing dates; ","")&amp;IF(MIN(C186:F186)&lt;TODAY(),"Overdue: ",IF(MIN(C186:F186)=TODAY(),"Due today: ",IF(MIN(C186:F186)&lt;=TODAY()+30,"Due within 30 days: ","Next: ")))&amp;INDEX($C$8:$F$8,1,MATCH(MIN(C186:F186),C186:F186,0))&amp;" "&amp;TEXT(MIN(C186:F186),"dd mmm yyyy")))))</x:f>
      </x:c>
      <x:c r="I186" s="52"/>
      <x:c r="J186" t="str">
        <x:f>IF(AND(A186&lt;&gt;"",COUNTIFS(C186,"&gt;=36526",C186,"&lt;"&amp;TODAY())+COUNTIFS(D186,"&gt;=36526",D186,"&lt;"&amp;TODAY())+COUNTIFS(E186,"&gt;=36526",E186,"&lt;"&amp;TODAY())+COUNTIFS(F186,"&gt;=36526",F186,"&lt;"&amp;TODAY())&gt;0),O186,"")</x:f>
      </x:c>
      <x:c r="K186" t="str">
        <x:f>IF(AND(A186&lt;&gt;"",COUNTIFS(C186,"&gt;=36526",C186,TODAY())+COUNTIFS(D186,"&gt;=36526",D186,TODAY())+COUNTIFS(E186,"&gt;=36526",E186,TODAY())+COUNTIFS(F186,"&gt;=36526",F186,TODAY())&gt;0),P186,"")</x:f>
      </x:c>
      <x:c r="L186" t="str">
        <x:f>IF(AND(A186&lt;&gt;"",COUNTIFS(C186,"&gt;"&amp;TODAY(),C186,"&lt;="&amp;TODAY()+30)+COUNTIFS(D186,"&gt;"&amp;TODAY(),D186,"&lt;="&amp;TODAY()+30)+COUNTIFS(E186,"&gt;"&amp;TODAY(),E186,"&lt;="&amp;TODAY()+30)+COUNTIFS(F186,"&gt;"&amp;TODAY(),F186,"&lt;="&amp;TODAY()+30)&gt;0),Q186,"")</x:f>
      </x:c>
      <x:c r="M186" t="str">
        <x:f>IF(OR(LEFT(H186,15)="Missing dates; ",LEFT(H186,16)="Add N/A reason; ",H186="Add dates",H186="Add registration",H186="Check date format"),R186,"")</x:f>
      </x:c>
      <x:c r="N186" t="str">
        <x:f>IF(COUNTIFS(C186:F186,"Reviewed N/A")&gt;0,S186,"")</x:f>
      </x:c>
      <x:c r="O186" t="n">
        <x:f>O185+IF(AND(A186&lt;&gt;"",COUNTIFS(C186,"&gt;=36526",C186,"&lt;"&amp;TODAY())+COUNTIFS(D186,"&gt;=36526",D186,"&lt;"&amp;TODAY())+COUNTIFS(E186,"&gt;=36526",E186,"&lt;"&amp;TODAY())+COUNTIFS(F186,"&gt;=36526",F186,"&lt;"&amp;TODAY())&gt;0),1,0)</x:f>
        <x:v>0</x:v>
      </x:c>
      <x:c r="P186" t="n">
        <x:f>P185+IF(AND(A186&lt;&gt;"",COUNTIFS(C186,"&gt;=36526",C186,TODAY())+COUNTIFS(D186,"&gt;=36526",D186,TODAY())+COUNTIFS(E186,"&gt;=36526",E186,TODAY())+COUNTIFS(F186,"&gt;=36526",F186,TODAY())&gt;0),1,0)</x:f>
        <x:v>0</x:v>
      </x:c>
      <x:c r="Q186" t="n">
        <x:f>Q185+IF(AND(A186&lt;&gt;"",COUNTIFS(C186,"&gt;"&amp;TODAY(),C186,"&lt;="&amp;TODAY()+30)+COUNTIFS(D186,"&gt;"&amp;TODAY(),D186,"&lt;="&amp;TODAY()+30)+COUNTIFS(E186,"&gt;"&amp;TODAY(),E186,"&lt;="&amp;TODAY()+30)+COUNTIFS(F186,"&gt;"&amp;TODAY(),F186,"&lt;="&amp;TODAY()+30)&gt;0),1,0)</x:f>
        <x:v>0</x:v>
      </x:c>
      <x:c r="R186" t="n">
        <x:f>R185+IF(OR(LEFT(H186,15)="Missing dates; ",LEFT(H186,16)="Add N/A reason; ",H186="Add dates",H186="Add registration",H186="Check date format"),1,0)</x:f>
        <x:v>0</x:v>
      </x:c>
      <x:c r="S186" t="n">
        <x:f>S185+IF(COUNTIFS(C186:F186,"Reviewed N/A")&gt;0,1,0)</x:f>
        <x:v>0</x:v>
      </x:c>
    </x:row>
    <x:row r="187" ht="48" customHeight="1">
      <x:c r="A187" s="52"/>
      <x:c r="B187" s="52"/>
      <x:c r="C187" s="53"/>
      <x:c r="D187" s="53"/>
      <x:c r="E187" s="53"/>
      <x:c r="F187" s="53"/>
      <x:c r="G187" s="52"/>
      <x:c r="H187" s="21" t="str">
        <x:f>IF(COUNTA(A187:G187,I187)=0,"",IF(A187="","Add registration",IF(OR(COUNTA(C187:F187)&gt;COUNT(C187:F187)+COUNTIFS(C187:F187,"Reviewed N/A"),AND(COUNT(C187:F187)&gt;0,OR(MIN(C187:F187)&lt;36526,MAX(C187:F187)&gt;109574))),"Check date format",IF(AND(COUNTIFS(C187:F187,"Reviewed N/A")&gt;0,I187=""),"Add N/A reason; ","")&amp;IF(COUNT(C187:F187)=0,IF(COUNTIFS(C187:F187,"Reviewed N/A")=4,"No applicable dates recorded","Add dates"),IF(COUNT(C187:F187)+COUNTIFS(C187:F187,"Reviewed N/A")&lt;4,"Missing dates; ","")&amp;IF(MIN(C187:F187)&lt;TODAY(),"Overdue: ",IF(MIN(C187:F187)=TODAY(),"Due today: ",IF(MIN(C187:F187)&lt;=TODAY()+30,"Due within 30 days: ","Next: ")))&amp;INDEX($C$8:$F$8,1,MATCH(MIN(C187:F187),C187:F187,0))&amp;" "&amp;TEXT(MIN(C187:F187),"dd mmm yyyy")))))</x:f>
      </x:c>
      <x:c r="I187" s="52"/>
      <x:c r="J187" t="str">
        <x:f>IF(AND(A187&lt;&gt;"",COUNTIFS(C187,"&gt;=36526",C187,"&lt;"&amp;TODAY())+COUNTIFS(D187,"&gt;=36526",D187,"&lt;"&amp;TODAY())+COUNTIFS(E187,"&gt;=36526",E187,"&lt;"&amp;TODAY())+COUNTIFS(F187,"&gt;=36526",F187,"&lt;"&amp;TODAY())&gt;0),O187,"")</x:f>
      </x:c>
      <x:c r="K187" t="str">
        <x:f>IF(AND(A187&lt;&gt;"",COUNTIFS(C187,"&gt;=36526",C187,TODAY())+COUNTIFS(D187,"&gt;=36526",D187,TODAY())+COUNTIFS(E187,"&gt;=36526",E187,TODAY())+COUNTIFS(F187,"&gt;=36526",F187,TODAY())&gt;0),P187,"")</x:f>
      </x:c>
      <x:c r="L187" t="str">
        <x:f>IF(AND(A187&lt;&gt;"",COUNTIFS(C187,"&gt;"&amp;TODAY(),C187,"&lt;="&amp;TODAY()+30)+COUNTIFS(D187,"&gt;"&amp;TODAY(),D187,"&lt;="&amp;TODAY()+30)+COUNTIFS(E187,"&gt;"&amp;TODAY(),E187,"&lt;="&amp;TODAY()+30)+COUNTIFS(F187,"&gt;"&amp;TODAY(),F187,"&lt;="&amp;TODAY()+30)&gt;0),Q187,"")</x:f>
      </x:c>
      <x:c r="M187" t="str">
        <x:f>IF(OR(LEFT(H187,15)="Missing dates; ",LEFT(H187,16)="Add N/A reason; ",H187="Add dates",H187="Add registration",H187="Check date format"),R187,"")</x:f>
      </x:c>
      <x:c r="N187" t="str">
        <x:f>IF(COUNTIFS(C187:F187,"Reviewed N/A")&gt;0,S187,"")</x:f>
      </x:c>
      <x:c r="O187" t="n">
        <x:f>O186+IF(AND(A187&lt;&gt;"",COUNTIFS(C187,"&gt;=36526",C187,"&lt;"&amp;TODAY())+COUNTIFS(D187,"&gt;=36526",D187,"&lt;"&amp;TODAY())+COUNTIFS(E187,"&gt;=36526",E187,"&lt;"&amp;TODAY())+COUNTIFS(F187,"&gt;=36526",F187,"&lt;"&amp;TODAY())&gt;0),1,0)</x:f>
        <x:v>0</x:v>
      </x:c>
      <x:c r="P187" t="n">
        <x:f>P186+IF(AND(A187&lt;&gt;"",COUNTIFS(C187,"&gt;=36526",C187,TODAY())+COUNTIFS(D187,"&gt;=36526",D187,TODAY())+COUNTIFS(E187,"&gt;=36526",E187,TODAY())+COUNTIFS(F187,"&gt;=36526",F187,TODAY())&gt;0),1,0)</x:f>
        <x:v>0</x:v>
      </x:c>
      <x:c r="Q187" t="n">
        <x:f>Q186+IF(AND(A187&lt;&gt;"",COUNTIFS(C187,"&gt;"&amp;TODAY(),C187,"&lt;="&amp;TODAY()+30)+COUNTIFS(D187,"&gt;"&amp;TODAY(),D187,"&lt;="&amp;TODAY()+30)+COUNTIFS(E187,"&gt;"&amp;TODAY(),E187,"&lt;="&amp;TODAY()+30)+COUNTIFS(F187,"&gt;"&amp;TODAY(),F187,"&lt;="&amp;TODAY()+30)&gt;0),1,0)</x:f>
        <x:v>0</x:v>
      </x:c>
      <x:c r="R187" t="n">
        <x:f>R186+IF(OR(LEFT(H187,15)="Missing dates; ",LEFT(H187,16)="Add N/A reason; ",H187="Add dates",H187="Add registration",H187="Check date format"),1,0)</x:f>
        <x:v>0</x:v>
      </x:c>
      <x:c r="S187" t="n">
        <x:f>S186+IF(COUNTIFS(C187:F187,"Reviewed N/A")&gt;0,1,0)</x:f>
        <x:v>0</x:v>
      </x:c>
    </x:row>
    <x:row r="188" ht="48" customHeight="1">
      <x:c r="A188" s="52"/>
      <x:c r="B188" s="52"/>
      <x:c r="C188" s="53"/>
      <x:c r="D188" s="53"/>
      <x:c r="E188" s="53"/>
      <x:c r="F188" s="53"/>
      <x:c r="G188" s="52"/>
      <x:c r="H188" s="21" t="str">
        <x:f>IF(COUNTA(A188:G188,I188)=0,"",IF(A188="","Add registration",IF(OR(COUNTA(C188:F188)&gt;COUNT(C188:F188)+COUNTIFS(C188:F188,"Reviewed N/A"),AND(COUNT(C188:F188)&gt;0,OR(MIN(C188:F188)&lt;36526,MAX(C188:F188)&gt;109574))),"Check date format",IF(AND(COUNTIFS(C188:F188,"Reviewed N/A")&gt;0,I188=""),"Add N/A reason; ","")&amp;IF(COUNT(C188:F188)=0,IF(COUNTIFS(C188:F188,"Reviewed N/A")=4,"No applicable dates recorded","Add dates"),IF(COUNT(C188:F188)+COUNTIFS(C188:F188,"Reviewed N/A")&lt;4,"Missing dates; ","")&amp;IF(MIN(C188:F188)&lt;TODAY(),"Overdue: ",IF(MIN(C188:F188)=TODAY(),"Due today: ",IF(MIN(C188:F188)&lt;=TODAY()+30,"Due within 30 days: ","Next: ")))&amp;INDEX($C$8:$F$8,1,MATCH(MIN(C188:F188),C188:F188,0))&amp;" "&amp;TEXT(MIN(C188:F188),"dd mmm yyyy")))))</x:f>
      </x:c>
      <x:c r="I188" s="52"/>
      <x:c r="J188" t="str">
        <x:f>IF(AND(A188&lt;&gt;"",COUNTIFS(C188,"&gt;=36526",C188,"&lt;"&amp;TODAY())+COUNTIFS(D188,"&gt;=36526",D188,"&lt;"&amp;TODAY())+COUNTIFS(E188,"&gt;=36526",E188,"&lt;"&amp;TODAY())+COUNTIFS(F188,"&gt;=36526",F188,"&lt;"&amp;TODAY())&gt;0),O188,"")</x:f>
      </x:c>
      <x:c r="K188" t="str">
        <x:f>IF(AND(A188&lt;&gt;"",COUNTIFS(C188,"&gt;=36526",C188,TODAY())+COUNTIFS(D188,"&gt;=36526",D188,TODAY())+COUNTIFS(E188,"&gt;=36526",E188,TODAY())+COUNTIFS(F188,"&gt;=36526",F188,TODAY())&gt;0),P188,"")</x:f>
      </x:c>
      <x:c r="L188" t="str">
        <x:f>IF(AND(A188&lt;&gt;"",COUNTIFS(C188,"&gt;"&amp;TODAY(),C188,"&lt;="&amp;TODAY()+30)+COUNTIFS(D188,"&gt;"&amp;TODAY(),D188,"&lt;="&amp;TODAY()+30)+COUNTIFS(E188,"&gt;"&amp;TODAY(),E188,"&lt;="&amp;TODAY()+30)+COUNTIFS(F188,"&gt;"&amp;TODAY(),F188,"&lt;="&amp;TODAY()+30)&gt;0),Q188,"")</x:f>
      </x:c>
      <x:c r="M188" t="str">
        <x:f>IF(OR(LEFT(H188,15)="Missing dates; ",LEFT(H188,16)="Add N/A reason; ",H188="Add dates",H188="Add registration",H188="Check date format"),R188,"")</x:f>
      </x:c>
      <x:c r="N188" t="str">
        <x:f>IF(COUNTIFS(C188:F188,"Reviewed N/A")&gt;0,S188,"")</x:f>
      </x:c>
      <x:c r="O188" t="n">
        <x:f>O187+IF(AND(A188&lt;&gt;"",COUNTIFS(C188,"&gt;=36526",C188,"&lt;"&amp;TODAY())+COUNTIFS(D188,"&gt;=36526",D188,"&lt;"&amp;TODAY())+COUNTIFS(E188,"&gt;=36526",E188,"&lt;"&amp;TODAY())+COUNTIFS(F188,"&gt;=36526",F188,"&lt;"&amp;TODAY())&gt;0),1,0)</x:f>
        <x:v>0</x:v>
      </x:c>
      <x:c r="P188" t="n">
        <x:f>P187+IF(AND(A188&lt;&gt;"",COUNTIFS(C188,"&gt;=36526",C188,TODAY())+COUNTIFS(D188,"&gt;=36526",D188,TODAY())+COUNTIFS(E188,"&gt;=36526",E188,TODAY())+COUNTIFS(F188,"&gt;=36526",F188,TODAY())&gt;0),1,0)</x:f>
        <x:v>0</x:v>
      </x:c>
      <x:c r="Q188" t="n">
        <x:f>Q187+IF(AND(A188&lt;&gt;"",COUNTIFS(C188,"&gt;"&amp;TODAY(),C188,"&lt;="&amp;TODAY()+30)+COUNTIFS(D188,"&gt;"&amp;TODAY(),D188,"&lt;="&amp;TODAY()+30)+COUNTIFS(E188,"&gt;"&amp;TODAY(),E188,"&lt;="&amp;TODAY()+30)+COUNTIFS(F188,"&gt;"&amp;TODAY(),F188,"&lt;="&amp;TODAY()+30)&gt;0),1,0)</x:f>
        <x:v>0</x:v>
      </x:c>
      <x:c r="R188" t="n">
        <x:f>R187+IF(OR(LEFT(H188,15)="Missing dates; ",LEFT(H188,16)="Add N/A reason; ",H188="Add dates",H188="Add registration",H188="Check date format"),1,0)</x:f>
        <x:v>0</x:v>
      </x:c>
      <x:c r="S188" t="n">
        <x:f>S187+IF(COUNTIFS(C188:F188,"Reviewed N/A")&gt;0,1,0)</x:f>
        <x:v>0</x:v>
      </x:c>
    </x:row>
    <x:row r="189" ht="48" customHeight="1">
      <x:c r="A189" s="52"/>
      <x:c r="B189" s="52"/>
      <x:c r="C189" s="53"/>
      <x:c r="D189" s="53"/>
      <x:c r="E189" s="53"/>
      <x:c r="F189" s="53"/>
      <x:c r="G189" s="52"/>
      <x:c r="H189" s="21" t="str">
        <x:f>IF(COUNTA(A189:G189,I189)=0,"",IF(A189="","Add registration",IF(OR(COUNTA(C189:F189)&gt;COUNT(C189:F189)+COUNTIFS(C189:F189,"Reviewed N/A"),AND(COUNT(C189:F189)&gt;0,OR(MIN(C189:F189)&lt;36526,MAX(C189:F189)&gt;109574))),"Check date format",IF(AND(COUNTIFS(C189:F189,"Reviewed N/A")&gt;0,I189=""),"Add N/A reason; ","")&amp;IF(COUNT(C189:F189)=0,IF(COUNTIFS(C189:F189,"Reviewed N/A")=4,"No applicable dates recorded","Add dates"),IF(COUNT(C189:F189)+COUNTIFS(C189:F189,"Reviewed N/A")&lt;4,"Missing dates; ","")&amp;IF(MIN(C189:F189)&lt;TODAY(),"Overdue: ",IF(MIN(C189:F189)=TODAY(),"Due today: ",IF(MIN(C189:F189)&lt;=TODAY()+30,"Due within 30 days: ","Next: ")))&amp;INDEX($C$8:$F$8,1,MATCH(MIN(C189:F189),C189:F189,0))&amp;" "&amp;TEXT(MIN(C189:F189),"dd mmm yyyy")))))</x:f>
      </x:c>
      <x:c r="I189" s="52"/>
      <x:c r="J189" t="str">
        <x:f>IF(AND(A189&lt;&gt;"",COUNTIFS(C189,"&gt;=36526",C189,"&lt;"&amp;TODAY())+COUNTIFS(D189,"&gt;=36526",D189,"&lt;"&amp;TODAY())+COUNTIFS(E189,"&gt;=36526",E189,"&lt;"&amp;TODAY())+COUNTIFS(F189,"&gt;=36526",F189,"&lt;"&amp;TODAY())&gt;0),O189,"")</x:f>
      </x:c>
      <x:c r="K189" t="str">
        <x:f>IF(AND(A189&lt;&gt;"",COUNTIFS(C189,"&gt;=36526",C189,TODAY())+COUNTIFS(D189,"&gt;=36526",D189,TODAY())+COUNTIFS(E189,"&gt;=36526",E189,TODAY())+COUNTIFS(F189,"&gt;=36526",F189,TODAY())&gt;0),P189,"")</x:f>
      </x:c>
      <x:c r="L189" t="str">
        <x:f>IF(AND(A189&lt;&gt;"",COUNTIFS(C189,"&gt;"&amp;TODAY(),C189,"&lt;="&amp;TODAY()+30)+COUNTIFS(D189,"&gt;"&amp;TODAY(),D189,"&lt;="&amp;TODAY()+30)+COUNTIFS(E189,"&gt;"&amp;TODAY(),E189,"&lt;="&amp;TODAY()+30)+COUNTIFS(F189,"&gt;"&amp;TODAY(),F189,"&lt;="&amp;TODAY()+30)&gt;0),Q189,"")</x:f>
      </x:c>
      <x:c r="M189" t="str">
        <x:f>IF(OR(LEFT(H189,15)="Missing dates; ",LEFT(H189,16)="Add N/A reason; ",H189="Add dates",H189="Add registration",H189="Check date format"),R189,"")</x:f>
      </x:c>
      <x:c r="N189" t="str">
        <x:f>IF(COUNTIFS(C189:F189,"Reviewed N/A")&gt;0,S189,"")</x:f>
      </x:c>
      <x:c r="O189" t="n">
        <x:f>O188+IF(AND(A189&lt;&gt;"",COUNTIFS(C189,"&gt;=36526",C189,"&lt;"&amp;TODAY())+COUNTIFS(D189,"&gt;=36526",D189,"&lt;"&amp;TODAY())+COUNTIFS(E189,"&gt;=36526",E189,"&lt;"&amp;TODAY())+COUNTIFS(F189,"&gt;=36526",F189,"&lt;"&amp;TODAY())&gt;0),1,0)</x:f>
        <x:v>0</x:v>
      </x:c>
      <x:c r="P189" t="n">
        <x:f>P188+IF(AND(A189&lt;&gt;"",COUNTIFS(C189,"&gt;=36526",C189,TODAY())+COUNTIFS(D189,"&gt;=36526",D189,TODAY())+COUNTIFS(E189,"&gt;=36526",E189,TODAY())+COUNTIFS(F189,"&gt;=36526",F189,TODAY())&gt;0),1,0)</x:f>
        <x:v>0</x:v>
      </x:c>
      <x:c r="Q189" t="n">
        <x:f>Q188+IF(AND(A189&lt;&gt;"",COUNTIFS(C189,"&gt;"&amp;TODAY(),C189,"&lt;="&amp;TODAY()+30)+COUNTIFS(D189,"&gt;"&amp;TODAY(),D189,"&lt;="&amp;TODAY()+30)+COUNTIFS(E189,"&gt;"&amp;TODAY(),E189,"&lt;="&amp;TODAY()+30)+COUNTIFS(F189,"&gt;"&amp;TODAY(),F189,"&lt;="&amp;TODAY()+30)&gt;0),1,0)</x:f>
        <x:v>0</x:v>
      </x:c>
      <x:c r="R189" t="n">
        <x:f>R188+IF(OR(LEFT(H189,15)="Missing dates; ",LEFT(H189,16)="Add N/A reason; ",H189="Add dates",H189="Add registration",H189="Check date format"),1,0)</x:f>
        <x:v>0</x:v>
      </x:c>
      <x:c r="S189" t="n">
        <x:f>S188+IF(COUNTIFS(C189:F189,"Reviewed N/A")&gt;0,1,0)</x:f>
        <x:v>0</x:v>
      </x:c>
    </x:row>
    <x:row r="190" ht="48" customHeight="1">
      <x:c r="A190" s="52"/>
      <x:c r="B190" s="52"/>
      <x:c r="C190" s="53"/>
      <x:c r="D190" s="53"/>
      <x:c r="E190" s="53"/>
      <x:c r="F190" s="53"/>
      <x:c r="G190" s="52"/>
      <x:c r="H190" s="21" t="str">
        <x:f>IF(COUNTA(A190:G190,I190)=0,"",IF(A190="","Add registration",IF(OR(COUNTA(C190:F190)&gt;COUNT(C190:F190)+COUNTIFS(C190:F190,"Reviewed N/A"),AND(COUNT(C190:F190)&gt;0,OR(MIN(C190:F190)&lt;36526,MAX(C190:F190)&gt;109574))),"Check date format",IF(AND(COUNTIFS(C190:F190,"Reviewed N/A")&gt;0,I190=""),"Add N/A reason; ","")&amp;IF(COUNT(C190:F190)=0,IF(COUNTIFS(C190:F190,"Reviewed N/A")=4,"No applicable dates recorded","Add dates"),IF(COUNT(C190:F190)+COUNTIFS(C190:F190,"Reviewed N/A")&lt;4,"Missing dates; ","")&amp;IF(MIN(C190:F190)&lt;TODAY(),"Overdue: ",IF(MIN(C190:F190)=TODAY(),"Due today: ",IF(MIN(C190:F190)&lt;=TODAY()+30,"Due within 30 days: ","Next: ")))&amp;INDEX($C$8:$F$8,1,MATCH(MIN(C190:F190),C190:F190,0))&amp;" "&amp;TEXT(MIN(C190:F190),"dd mmm yyyy")))))</x:f>
      </x:c>
      <x:c r="I190" s="52"/>
      <x:c r="J190" t="str">
        <x:f>IF(AND(A190&lt;&gt;"",COUNTIFS(C190,"&gt;=36526",C190,"&lt;"&amp;TODAY())+COUNTIFS(D190,"&gt;=36526",D190,"&lt;"&amp;TODAY())+COUNTIFS(E190,"&gt;=36526",E190,"&lt;"&amp;TODAY())+COUNTIFS(F190,"&gt;=36526",F190,"&lt;"&amp;TODAY())&gt;0),O190,"")</x:f>
      </x:c>
      <x:c r="K190" t="str">
        <x:f>IF(AND(A190&lt;&gt;"",COUNTIFS(C190,"&gt;=36526",C190,TODAY())+COUNTIFS(D190,"&gt;=36526",D190,TODAY())+COUNTIFS(E190,"&gt;=36526",E190,TODAY())+COUNTIFS(F190,"&gt;=36526",F190,TODAY())&gt;0),P190,"")</x:f>
      </x:c>
      <x:c r="L190" t="str">
        <x:f>IF(AND(A190&lt;&gt;"",COUNTIFS(C190,"&gt;"&amp;TODAY(),C190,"&lt;="&amp;TODAY()+30)+COUNTIFS(D190,"&gt;"&amp;TODAY(),D190,"&lt;="&amp;TODAY()+30)+COUNTIFS(E190,"&gt;"&amp;TODAY(),E190,"&lt;="&amp;TODAY()+30)+COUNTIFS(F190,"&gt;"&amp;TODAY(),F190,"&lt;="&amp;TODAY()+30)&gt;0),Q190,"")</x:f>
      </x:c>
      <x:c r="M190" t="str">
        <x:f>IF(OR(LEFT(H190,15)="Missing dates; ",LEFT(H190,16)="Add N/A reason; ",H190="Add dates",H190="Add registration",H190="Check date format"),R190,"")</x:f>
      </x:c>
      <x:c r="N190" t="str">
        <x:f>IF(COUNTIFS(C190:F190,"Reviewed N/A")&gt;0,S190,"")</x:f>
      </x:c>
      <x:c r="O190" t="n">
        <x:f>O189+IF(AND(A190&lt;&gt;"",COUNTIFS(C190,"&gt;=36526",C190,"&lt;"&amp;TODAY())+COUNTIFS(D190,"&gt;=36526",D190,"&lt;"&amp;TODAY())+COUNTIFS(E190,"&gt;=36526",E190,"&lt;"&amp;TODAY())+COUNTIFS(F190,"&gt;=36526",F190,"&lt;"&amp;TODAY())&gt;0),1,0)</x:f>
        <x:v>0</x:v>
      </x:c>
      <x:c r="P190" t="n">
        <x:f>P189+IF(AND(A190&lt;&gt;"",COUNTIFS(C190,"&gt;=36526",C190,TODAY())+COUNTIFS(D190,"&gt;=36526",D190,TODAY())+COUNTIFS(E190,"&gt;=36526",E190,TODAY())+COUNTIFS(F190,"&gt;=36526",F190,TODAY())&gt;0),1,0)</x:f>
        <x:v>0</x:v>
      </x:c>
      <x:c r="Q190" t="n">
        <x:f>Q189+IF(AND(A190&lt;&gt;"",COUNTIFS(C190,"&gt;"&amp;TODAY(),C190,"&lt;="&amp;TODAY()+30)+COUNTIFS(D190,"&gt;"&amp;TODAY(),D190,"&lt;="&amp;TODAY()+30)+COUNTIFS(E190,"&gt;"&amp;TODAY(),E190,"&lt;="&amp;TODAY()+30)+COUNTIFS(F190,"&gt;"&amp;TODAY(),F190,"&lt;="&amp;TODAY()+30)&gt;0),1,0)</x:f>
        <x:v>0</x:v>
      </x:c>
      <x:c r="R190" t="n">
        <x:f>R189+IF(OR(LEFT(H190,15)="Missing dates; ",LEFT(H190,16)="Add N/A reason; ",H190="Add dates",H190="Add registration",H190="Check date format"),1,0)</x:f>
        <x:v>0</x:v>
      </x:c>
      <x:c r="S190" t="n">
        <x:f>S189+IF(COUNTIFS(C190:F190,"Reviewed N/A")&gt;0,1,0)</x:f>
        <x:v>0</x:v>
      </x:c>
    </x:row>
    <x:row r="191" ht="48" customHeight="1">
      <x:c r="A191" s="52"/>
      <x:c r="B191" s="52"/>
      <x:c r="C191" s="53"/>
      <x:c r="D191" s="53"/>
      <x:c r="E191" s="53"/>
      <x:c r="F191" s="53"/>
      <x:c r="G191" s="52"/>
      <x:c r="H191" s="21" t="str">
        <x:f>IF(COUNTA(A191:G191,I191)=0,"",IF(A191="","Add registration",IF(OR(COUNTA(C191:F191)&gt;COUNT(C191:F191)+COUNTIFS(C191:F191,"Reviewed N/A"),AND(COUNT(C191:F191)&gt;0,OR(MIN(C191:F191)&lt;36526,MAX(C191:F191)&gt;109574))),"Check date format",IF(AND(COUNTIFS(C191:F191,"Reviewed N/A")&gt;0,I191=""),"Add N/A reason; ","")&amp;IF(COUNT(C191:F191)=0,IF(COUNTIFS(C191:F191,"Reviewed N/A")=4,"No applicable dates recorded","Add dates"),IF(COUNT(C191:F191)+COUNTIFS(C191:F191,"Reviewed N/A")&lt;4,"Missing dates; ","")&amp;IF(MIN(C191:F191)&lt;TODAY(),"Overdue: ",IF(MIN(C191:F191)=TODAY(),"Due today: ",IF(MIN(C191:F191)&lt;=TODAY()+30,"Due within 30 days: ","Next: ")))&amp;INDEX($C$8:$F$8,1,MATCH(MIN(C191:F191),C191:F191,0))&amp;" "&amp;TEXT(MIN(C191:F191),"dd mmm yyyy")))))</x:f>
      </x:c>
      <x:c r="I191" s="52"/>
      <x:c r="J191" t="str">
        <x:f>IF(AND(A191&lt;&gt;"",COUNTIFS(C191,"&gt;=36526",C191,"&lt;"&amp;TODAY())+COUNTIFS(D191,"&gt;=36526",D191,"&lt;"&amp;TODAY())+COUNTIFS(E191,"&gt;=36526",E191,"&lt;"&amp;TODAY())+COUNTIFS(F191,"&gt;=36526",F191,"&lt;"&amp;TODAY())&gt;0),O191,"")</x:f>
      </x:c>
      <x:c r="K191" t="str">
        <x:f>IF(AND(A191&lt;&gt;"",COUNTIFS(C191,"&gt;=36526",C191,TODAY())+COUNTIFS(D191,"&gt;=36526",D191,TODAY())+COUNTIFS(E191,"&gt;=36526",E191,TODAY())+COUNTIFS(F191,"&gt;=36526",F191,TODAY())&gt;0),P191,"")</x:f>
      </x:c>
      <x:c r="L191" t="str">
        <x:f>IF(AND(A191&lt;&gt;"",COUNTIFS(C191,"&gt;"&amp;TODAY(),C191,"&lt;="&amp;TODAY()+30)+COUNTIFS(D191,"&gt;"&amp;TODAY(),D191,"&lt;="&amp;TODAY()+30)+COUNTIFS(E191,"&gt;"&amp;TODAY(),E191,"&lt;="&amp;TODAY()+30)+COUNTIFS(F191,"&gt;"&amp;TODAY(),F191,"&lt;="&amp;TODAY()+30)&gt;0),Q191,"")</x:f>
      </x:c>
      <x:c r="M191" t="str">
        <x:f>IF(OR(LEFT(H191,15)="Missing dates; ",LEFT(H191,16)="Add N/A reason; ",H191="Add dates",H191="Add registration",H191="Check date format"),R191,"")</x:f>
      </x:c>
      <x:c r="N191" t="str">
        <x:f>IF(COUNTIFS(C191:F191,"Reviewed N/A")&gt;0,S191,"")</x:f>
      </x:c>
      <x:c r="O191" t="n">
        <x:f>O190+IF(AND(A191&lt;&gt;"",COUNTIFS(C191,"&gt;=36526",C191,"&lt;"&amp;TODAY())+COUNTIFS(D191,"&gt;=36526",D191,"&lt;"&amp;TODAY())+COUNTIFS(E191,"&gt;=36526",E191,"&lt;"&amp;TODAY())+COUNTIFS(F191,"&gt;=36526",F191,"&lt;"&amp;TODAY())&gt;0),1,0)</x:f>
        <x:v>0</x:v>
      </x:c>
      <x:c r="P191" t="n">
        <x:f>P190+IF(AND(A191&lt;&gt;"",COUNTIFS(C191,"&gt;=36526",C191,TODAY())+COUNTIFS(D191,"&gt;=36526",D191,TODAY())+COUNTIFS(E191,"&gt;=36526",E191,TODAY())+COUNTIFS(F191,"&gt;=36526",F191,TODAY())&gt;0),1,0)</x:f>
        <x:v>0</x:v>
      </x:c>
      <x:c r="Q191" t="n">
        <x:f>Q190+IF(AND(A191&lt;&gt;"",COUNTIFS(C191,"&gt;"&amp;TODAY(),C191,"&lt;="&amp;TODAY()+30)+COUNTIFS(D191,"&gt;"&amp;TODAY(),D191,"&lt;="&amp;TODAY()+30)+COUNTIFS(E191,"&gt;"&amp;TODAY(),E191,"&lt;="&amp;TODAY()+30)+COUNTIFS(F191,"&gt;"&amp;TODAY(),F191,"&lt;="&amp;TODAY()+30)&gt;0),1,0)</x:f>
        <x:v>0</x:v>
      </x:c>
      <x:c r="R191" t="n">
        <x:f>R190+IF(OR(LEFT(H191,15)="Missing dates; ",LEFT(H191,16)="Add N/A reason; ",H191="Add dates",H191="Add registration",H191="Check date format"),1,0)</x:f>
        <x:v>0</x:v>
      </x:c>
      <x:c r="S191" t="n">
        <x:f>S190+IF(COUNTIFS(C191:F191,"Reviewed N/A")&gt;0,1,0)</x:f>
        <x:v>0</x:v>
      </x:c>
    </x:row>
    <x:row r="192" ht="48" customHeight="1">
      <x:c r="A192" s="52"/>
      <x:c r="B192" s="52"/>
      <x:c r="C192" s="53"/>
      <x:c r="D192" s="53"/>
      <x:c r="E192" s="53"/>
      <x:c r="F192" s="53"/>
      <x:c r="G192" s="52"/>
      <x:c r="H192" s="21" t="str">
        <x:f>IF(COUNTA(A192:G192,I192)=0,"",IF(A192="","Add registration",IF(OR(COUNTA(C192:F192)&gt;COUNT(C192:F192)+COUNTIFS(C192:F192,"Reviewed N/A"),AND(COUNT(C192:F192)&gt;0,OR(MIN(C192:F192)&lt;36526,MAX(C192:F192)&gt;109574))),"Check date format",IF(AND(COUNTIFS(C192:F192,"Reviewed N/A")&gt;0,I192=""),"Add N/A reason; ","")&amp;IF(COUNT(C192:F192)=0,IF(COUNTIFS(C192:F192,"Reviewed N/A")=4,"No applicable dates recorded","Add dates"),IF(COUNT(C192:F192)+COUNTIFS(C192:F192,"Reviewed N/A")&lt;4,"Missing dates; ","")&amp;IF(MIN(C192:F192)&lt;TODAY(),"Overdue: ",IF(MIN(C192:F192)=TODAY(),"Due today: ",IF(MIN(C192:F192)&lt;=TODAY()+30,"Due within 30 days: ","Next: ")))&amp;INDEX($C$8:$F$8,1,MATCH(MIN(C192:F192),C192:F192,0))&amp;" "&amp;TEXT(MIN(C192:F192),"dd mmm yyyy")))))</x:f>
      </x:c>
      <x:c r="I192" s="52"/>
      <x:c r="J192" t="str">
        <x:f>IF(AND(A192&lt;&gt;"",COUNTIFS(C192,"&gt;=36526",C192,"&lt;"&amp;TODAY())+COUNTIFS(D192,"&gt;=36526",D192,"&lt;"&amp;TODAY())+COUNTIFS(E192,"&gt;=36526",E192,"&lt;"&amp;TODAY())+COUNTIFS(F192,"&gt;=36526",F192,"&lt;"&amp;TODAY())&gt;0),O192,"")</x:f>
      </x:c>
      <x:c r="K192" t="str">
        <x:f>IF(AND(A192&lt;&gt;"",COUNTIFS(C192,"&gt;=36526",C192,TODAY())+COUNTIFS(D192,"&gt;=36526",D192,TODAY())+COUNTIFS(E192,"&gt;=36526",E192,TODAY())+COUNTIFS(F192,"&gt;=36526",F192,TODAY())&gt;0),P192,"")</x:f>
      </x:c>
      <x:c r="L192" t="str">
        <x:f>IF(AND(A192&lt;&gt;"",COUNTIFS(C192,"&gt;"&amp;TODAY(),C192,"&lt;="&amp;TODAY()+30)+COUNTIFS(D192,"&gt;"&amp;TODAY(),D192,"&lt;="&amp;TODAY()+30)+COUNTIFS(E192,"&gt;"&amp;TODAY(),E192,"&lt;="&amp;TODAY()+30)+COUNTIFS(F192,"&gt;"&amp;TODAY(),F192,"&lt;="&amp;TODAY()+30)&gt;0),Q192,"")</x:f>
      </x:c>
      <x:c r="M192" t="str">
        <x:f>IF(OR(LEFT(H192,15)="Missing dates; ",LEFT(H192,16)="Add N/A reason; ",H192="Add dates",H192="Add registration",H192="Check date format"),R192,"")</x:f>
      </x:c>
      <x:c r="N192" t="str">
        <x:f>IF(COUNTIFS(C192:F192,"Reviewed N/A")&gt;0,S192,"")</x:f>
      </x:c>
      <x:c r="O192" t="n">
        <x:f>O191+IF(AND(A192&lt;&gt;"",COUNTIFS(C192,"&gt;=36526",C192,"&lt;"&amp;TODAY())+COUNTIFS(D192,"&gt;=36526",D192,"&lt;"&amp;TODAY())+COUNTIFS(E192,"&gt;=36526",E192,"&lt;"&amp;TODAY())+COUNTIFS(F192,"&gt;=36526",F192,"&lt;"&amp;TODAY())&gt;0),1,0)</x:f>
        <x:v>0</x:v>
      </x:c>
      <x:c r="P192" t="n">
        <x:f>P191+IF(AND(A192&lt;&gt;"",COUNTIFS(C192,"&gt;=36526",C192,TODAY())+COUNTIFS(D192,"&gt;=36526",D192,TODAY())+COUNTIFS(E192,"&gt;=36526",E192,TODAY())+COUNTIFS(F192,"&gt;=36526",F192,TODAY())&gt;0),1,0)</x:f>
        <x:v>0</x:v>
      </x:c>
      <x:c r="Q192" t="n">
        <x:f>Q191+IF(AND(A192&lt;&gt;"",COUNTIFS(C192,"&gt;"&amp;TODAY(),C192,"&lt;="&amp;TODAY()+30)+COUNTIFS(D192,"&gt;"&amp;TODAY(),D192,"&lt;="&amp;TODAY()+30)+COUNTIFS(E192,"&gt;"&amp;TODAY(),E192,"&lt;="&amp;TODAY()+30)+COUNTIFS(F192,"&gt;"&amp;TODAY(),F192,"&lt;="&amp;TODAY()+30)&gt;0),1,0)</x:f>
        <x:v>0</x:v>
      </x:c>
      <x:c r="R192" t="n">
        <x:f>R191+IF(OR(LEFT(H192,15)="Missing dates; ",LEFT(H192,16)="Add N/A reason; ",H192="Add dates",H192="Add registration",H192="Check date format"),1,0)</x:f>
        <x:v>0</x:v>
      </x:c>
      <x:c r="S192" t="n">
        <x:f>S191+IF(COUNTIFS(C192:F192,"Reviewed N/A")&gt;0,1,0)</x:f>
        <x:v>0</x:v>
      </x:c>
    </x:row>
    <x:row r="193" ht="48" customHeight="1">
      <x:c r="A193" s="52"/>
      <x:c r="B193" s="52"/>
      <x:c r="C193" s="53"/>
      <x:c r="D193" s="53"/>
      <x:c r="E193" s="53"/>
      <x:c r="F193" s="53"/>
      <x:c r="G193" s="52"/>
      <x:c r="H193" s="21" t="str">
        <x:f>IF(COUNTA(A193:G193,I193)=0,"",IF(A193="","Add registration",IF(OR(COUNTA(C193:F193)&gt;COUNT(C193:F193)+COUNTIFS(C193:F193,"Reviewed N/A"),AND(COUNT(C193:F193)&gt;0,OR(MIN(C193:F193)&lt;36526,MAX(C193:F193)&gt;109574))),"Check date format",IF(AND(COUNTIFS(C193:F193,"Reviewed N/A")&gt;0,I193=""),"Add N/A reason; ","")&amp;IF(COUNT(C193:F193)=0,IF(COUNTIFS(C193:F193,"Reviewed N/A")=4,"No applicable dates recorded","Add dates"),IF(COUNT(C193:F193)+COUNTIFS(C193:F193,"Reviewed N/A")&lt;4,"Missing dates; ","")&amp;IF(MIN(C193:F193)&lt;TODAY(),"Overdue: ",IF(MIN(C193:F193)=TODAY(),"Due today: ",IF(MIN(C193:F193)&lt;=TODAY()+30,"Due within 30 days: ","Next: ")))&amp;INDEX($C$8:$F$8,1,MATCH(MIN(C193:F193),C193:F193,0))&amp;" "&amp;TEXT(MIN(C193:F193),"dd mmm yyyy")))))</x:f>
      </x:c>
      <x:c r="I193" s="52"/>
      <x:c r="J193" t="str">
        <x:f>IF(AND(A193&lt;&gt;"",COUNTIFS(C193,"&gt;=36526",C193,"&lt;"&amp;TODAY())+COUNTIFS(D193,"&gt;=36526",D193,"&lt;"&amp;TODAY())+COUNTIFS(E193,"&gt;=36526",E193,"&lt;"&amp;TODAY())+COUNTIFS(F193,"&gt;=36526",F193,"&lt;"&amp;TODAY())&gt;0),O193,"")</x:f>
      </x:c>
      <x:c r="K193" t="str">
        <x:f>IF(AND(A193&lt;&gt;"",COUNTIFS(C193,"&gt;=36526",C193,TODAY())+COUNTIFS(D193,"&gt;=36526",D193,TODAY())+COUNTIFS(E193,"&gt;=36526",E193,TODAY())+COUNTIFS(F193,"&gt;=36526",F193,TODAY())&gt;0),P193,"")</x:f>
      </x:c>
      <x:c r="L193" t="str">
        <x:f>IF(AND(A193&lt;&gt;"",COUNTIFS(C193,"&gt;"&amp;TODAY(),C193,"&lt;="&amp;TODAY()+30)+COUNTIFS(D193,"&gt;"&amp;TODAY(),D193,"&lt;="&amp;TODAY()+30)+COUNTIFS(E193,"&gt;"&amp;TODAY(),E193,"&lt;="&amp;TODAY()+30)+COUNTIFS(F193,"&gt;"&amp;TODAY(),F193,"&lt;="&amp;TODAY()+30)&gt;0),Q193,"")</x:f>
      </x:c>
      <x:c r="M193" t="str">
        <x:f>IF(OR(LEFT(H193,15)="Missing dates; ",LEFT(H193,16)="Add N/A reason; ",H193="Add dates",H193="Add registration",H193="Check date format"),R193,"")</x:f>
      </x:c>
      <x:c r="N193" t="str">
        <x:f>IF(COUNTIFS(C193:F193,"Reviewed N/A")&gt;0,S193,"")</x:f>
      </x:c>
      <x:c r="O193" t="n">
        <x:f>O192+IF(AND(A193&lt;&gt;"",COUNTIFS(C193,"&gt;=36526",C193,"&lt;"&amp;TODAY())+COUNTIFS(D193,"&gt;=36526",D193,"&lt;"&amp;TODAY())+COUNTIFS(E193,"&gt;=36526",E193,"&lt;"&amp;TODAY())+COUNTIFS(F193,"&gt;=36526",F193,"&lt;"&amp;TODAY())&gt;0),1,0)</x:f>
        <x:v>0</x:v>
      </x:c>
      <x:c r="P193" t="n">
        <x:f>P192+IF(AND(A193&lt;&gt;"",COUNTIFS(C193,"&gt;=36526",C193,TODAY())+COUNTIFS(D193,"&gt;=36526",D193,TODAY())+COUNTIFS(E193,"&gt;=36526",E193,TODAY())+COUNTIFS(F193,"&gt;=36526",F193,TODAY())&gt;0),1,0)</x:f>
        <x:v>0</x:v>
      </x:c>
      <x:c r="Q193" t="n">
        <x:f>Q192+IF(AND(A193&lt;&gt;"",COUNTIFS(C193,"&gt;"&amp;TODAY(),C193,"&lt;="&amp;TODAY()+30)+COUNTIFS(D193,"&gt;"&amp;TODAY(),D193,"&lt;="&amp;TODAY()+30)+COUNTIFS(E193,"&gt;"&amp;TODAY(),E193,"&lt;="&amp;TODAY()+30)+COUNTIFS(F193,"&gt;"&amp;TODAY(),F193,"&lt;="&amp;TODAY()+30)&gt;0),1,0)</x:f>
        <x:v>0</x:v>
      </x:c>
      <x:c r="R193" t="n">
        <x:f>R192+IF(OR(LEFT(H193,15)="Missing dates; ",LEFT(H193,16)="Add N/A reason; ",H193="Add dates",H193="Add registration",H193="Check date format"),1,0)</x:f>
        <x:v>0</x:v>
      </x:c>
      <x:c r="S193" t="n">
        <x:f>S192+IF(COUNTIFS(C193:F193,"Reviewed N/A")&gt;0,1,0)</x:f>
        <x:v>0</x:v>
      </x:c>
    </x:row>
    <x:row r="194" ht="48" customHeight="1">
      <x:c r="A194" s="52"/>
      <x:c r="B194" s="52"/>
      <x:c r="C194" s="53"/>
      <x:c r="D194" s="53"/>
      <x:c r="E194" s="53"/>
      <x:c r="F194" s="53"/>
      <x:c r="G194" s="52"/>
      <x:c r="H194" s="21" t="str">
        <x:f>IF(COUNTA(A194:G194,I194)=0,"",IF(A194="","Add registration",IF(OR(COUNTA(C194:F194)&gt;COUNT(C194:F194)+COUNTIFS(C194:F194,"Reviewed N/A"),AND(COUNT(C194:F194)&gt;0,OR(MIN(C194:F194)&lt;36526,MAX(C194:F194)&gt;109574))),"Check date format",IF(AND(COUNTIFS(C194:F194,"Reviewed N/A")&gt;0,I194=""),"Add N/A reason; ","")&amp;IF(COUNT(C194:F194)=0,IF(COUNTIFS(C194:F194,"Reviewed N/A")=4,"No applicable dates recorded","Add dates"),IF(COUNT(C194:F194)+COUNTIFS(C194:F194,"Reviewed N/A")&lt;4,"Missing dates; ","")&amp;IF(MIN(C194:F194)&lt;TODAY(),"Overdue: ",IF(MIN(C194:F194)=TODAY(),"Due today: ",IF(MIN(C194:F194)&lt;=TODAY()+30,"Due within 30 days: ","Next: ")))&amp;INDEX($C$8:$F$8,1,MATCH(MIN(C194:F194),C194:F194,0))&amp;" "&amp;TEXT(MIN(C194:F194),"dd mmm yyyy")))))</x:f>
      </x:c>
      <x:c r="I194" s="52"/>
      <x:c r="J194" t="str">
        <x:f>IF(AND(A194&lt;&gt;"",COUNTIFS(C194,"&gt;=36526",C194,"&lt;"&amp;TODAY())+COUNTIFS(D194,"&gt;=36526",D194,"&lt;"&amp;TODAY())+COUNTIFS(E194,"&gt;=36526",E194,"&lt;"&amp;TODAY())+COUNTIFS(F194,"&gt;=36526",F194,"&lt;"&amp;TODAY())&gt;0),O194,"")</x:f>
      </x:c>
      <x:c r="K194" t="str">
        <x:f>IF(AND(A194&lt;&gt;"",COUNTIFS(C194,"&gt;=36526",C194,TODAY())+COUNTIFS(D194,"&gt;=36526",D194,TODAY())+COUNTIFS(E194,"&gt;=36526",E194,TODAY())+COUNTIFS(F194,"&gt;=36526",F194,TODAY())&gt;0),P194,"")</x:f>
      </x:c>
      <x:c r="L194" t="str">
        <x:f>IF(AND(A194&lt;&gt;"",COUNTIFS(C194,"&gt;"&amp;TODAY(),C194,"&lt;="&amp;TODAY()+30)+COUNTIFS(D194,"&gt;"&amp;TODAY(),D194,"&lt;="&amp;TODAY()+30)+COUNTIFS(E194,"&gt;"&amp;TODAY(),E194,"&lt;="&amp;TODAY()+30)+COUNTIFS(F194,"&gt;"&amp;TODAY(),F194,"&lt;="&amp;TODAY()+30)&gt;0),Q194,"")</x:f>
      </x:c>
      <x:c r="M194" t="str">
        <x:f>IF(OR(LEFT(H194,15)="Missing dates; ",LEFT(H194,16)="Add N/A reason; ",H194="Add dates",H194="Add registration",H194="Check date format"),R194,"")</x:f>
      </x:c>
      <x:c r="N194" t="str">
        <x:f>IF(COUNTIFS(C194:F194,"Reviewed N/A")&gt;0,S194,"")</x:f>
      </x:c>
      <x:c r="O194" t="n">
        <x:f>O193+IF(AND(A194&lt;&gt;"",COUNTIFS(C194,"&gt;=36526",C194,"&lt;"&amp;TODAY())+COUNTIFS(D194,"&gt;=36526",D194,"&lt;"&amp;TODAY())+COUNTIFS(E194,"&gt;=36526",E194,"&lt;"&amp;TODAY())+COUNTIFS(F194,"&gt;=36526",F194,"&lt;"&amp;TODAY())&gt;0),1,0)</x:f>
        <x:v>0</x:v>
      </x:c>
      <x:c r="P194" t="n">
        <x:f>P193+IF(AND(A194&lt;&gt;"",COUNTIFS(C194,"&gt;=36526",C194,TODAY())+COUNTIFS(D194,"&gt;=36526",D194,TODAY())+COUNTIFS(E194,"&gt;=36526",E194,TODAY())+COUNTIFS(F194,"&gt;=36526",F194,TODAY())&gt;0),1,0)</x:f>
        <x:v>0</x:v>
      </x:c>
      <x:c r="Q194" t="n">
        <x:f>Q193+IF(AND(A194&lt;&gt;"",COUNTIFS(C194,"&gt;"&amp;TODAY(),C194,"&lt;="&amp;TODAY()+30)+COUNTIFS(D194,"&gt;"&amp;TODAY(),D194,"&lt;="&amp;TODAY()+30)+COUNTIFS(E194,"&gt;"&amp;TODAY(),E194,"&lt;="&amp;TODAY()+30)+COUNTIFS(F194,"&gt;"&amp;TODAY(),F194,"&lt;="&amp;TODAY()+30)&gt;0),1,0)</x:f>
        <x:v>0</x:v>
      </x:c>
      <x:c r="R194" t="n">
        <x:f>R193+IF(OR(LEFT(H194,15)="Missing dates; ",LEFT(H194,16)="Add N/A reason; ",H194="Add dates",H194="Add registration",H194="Check date format"),1,0)</x:f>
        <x:v>0</x:v>
      </x:c>
      <x:c r="S194" t="n">
        <x:f>S193+IF(COUNTIFS(C194:F194,"Reviewed N/A")&gt;0,1,0)</x:f>
        <x:v>0</x:v>
      </x:c>
    </x:row>
    <x:row r="195" ht="48" customHeight="1">
      <x:c r="A195" s="52"/>
      <x:c r="B195" s="52"/>
      <x:c r="C195" s="53"/>
      <x:c r="D195" s="53"/>
      <x:c r="E195" s="53"/>
      <x:c r="F195" s="53"/>
      <x:c r="G195" s="52"/>
      <x:c r="H195" s="21" t="str">
        <x:f>IF(COUNTA(A195:G195,I195)=0,"",IF(A195="","Add registration",IF(OR(COUNTA(C195:F195)&gt;COUNT(C195:F195)+COUNTIFS(C195:F195,"Reviewed N/A"),AND(COUNT(C195:F195)&gt;0,OR(MIN(C195:F195)&lt;36526,MAX(C195:F195)&gt;109574))),"Check date format",IF(AND(COUNTIFS(C195:F195,"Reviewed N/A")&gt;0,I195=""),"Add N/A reason; ","")&amp;IF(COUNT(C195:F195)=0,IF(COUNTIFS(C195:F195,"Reviewed N/A")=4,"No applicable dates recorded","Add dates"),IF(COUNT(C195:F195)+COUNTIFS(C195:F195,"Reviewed N/A")&lt;4,"Missing dates; ","")&amp;IF(MIN(C195:F195)&lt;TODAY(),"Overdue: ",IF(MIN(C195:F195)=TODAY(),"Due today: ",IF(MIN(C195:F195)&lt;=TODAY()+30,"Due within 30 days: ","Next: ")))&amp;INDEX($C$8:$F$8,1,MATCH(MIN(C195:F195),C195:F195,0))&amp;" "&amp;TEXT(MIN(C195:F195),"dd mmm yyyy")))))</x:f>
      </x:c>
      <x:c r="I195" s="52"/>
      <x:c r="J195" t="str">
        <x:f>IF(AND(A195&lt;&gt;"",COUNTIFS(C195,"&gt;=36526",C195,"&lt;"&amp;TODAY())+COUNTIFS(D195,"&gt;=36526",D195,"&lt;"&amp;TODAY())+COUNTIFS(E195,"&gt;=36526",E195,"&lt;"&amp;TODAY())+COUNTIFS(F195,"&gt;=36526",F195,"&lt;"&amp;TODAY())&gt;0),O195,"")</x:f>
      </x:c>
      <x:c r="K195" t="str">
        <x:f>IF(AND(A195&lt;&gt;"",COUNTIFS(C195,"&gt;=36526",C195,TODAY())+COUNTIFS(D195,"&gt;=36526",D195,TODAY())+COUNTIFS(E195,"&gt;=36526",E195,TODAY())+COUNTIFS(F195,"&gt;=36526",F195,TODAY())&gt;0),P195,"")</x:f>
      </x:c>
      <x:c r="L195" t="str">
        <x:f>IF(AND(A195&lt;&gt;"",COUNTIFS(C195,"&gt;"&amp;TODAY(),C195,"&lt;="&amp;TODAY()+30)+COUNTIFS(D195,"&gt;"&amp;TODAY(),D195,"&lt;="&amp;TODAY()+30)+COUNTIFS(E195,"&gt;"&amp;TODAY(),E195,"&lt;="&amp;TODAY()+30)+COUNTIFS(F195,"&gt;"&amp;TODAY(),F195,"&lt;="&amp;TODAY()+30)&gt;0),Q195,"")</x:f>
      </x:c>
      <x:c r="M195" t="str">
        <x:f>IF(OR(LEFT(H195,15)="Missing dates; ",LEFT(H195,16)="Add N/A reason; ",H195="Add dates",H195="Add registration",H195="Check date format"),R195,"")</x:f>
      </x:c>
      <x:c r="N195" t="str">
        <x:f>IF(COUNTIFS(C195:F195,"Reviewed N/A")&gt;0,S195,"")</x:f>
      </x:c>
      <x:c r="O195" t="n">
        <x:f>O194+IF(AND(A195&lt;&gt;"",COUNTIFS(C195,"&gt;=36526",C195,"&lt;"&amp;TODAY())+COUNTIFS(D195,"&gt;=36526",D195,"&lt;"&amp;TODAY())+COUNTIFS(E195,"&gt;=36526",E195,"&lt;"&amp;TODAY())+COUNTIFS(F195,"&gt;=36526",F195,"&lt;"&amp;TODAY())&gt;0),1,0)</x:f>
        <x:v>0</x:v>
      </x:c>
      <x:c r="P195" t="n">
        <x:f>P194+IF(AND(A195&lt;&gt;"",COUNTIFS(C195,"&gt;=36526",C195,TODAY())+COUNTIFS(D195,"&gt;=36526",D195,TODAY())+COUNTIFS(E195,"&gt;=36526",E195,TODAY())+COUNTIFS(F195,"&gt;=36526",F195,TODAY())&gt;0),1,0)</x:f>
        <x:v>0</x:v>
      </x:c>
      <x:c r="Q195" t="n">
        <x:f>Q194+IF(AND(A195&lt;&gt;"",COUNTIFS(C195,"&gt;"&amp;TODAY(),C195,"&lt;="&amp;TODAY()+30)+COUNTIFS(D195,"&gt;"&amp;TODAY(),D195,"&lt;="&amp;TODAY()+30)+COUNTIFS(E195,"&gt;"&amp;TODAY(),E195,"&lt;="&amp;TODAY()+30)+COUNTIFS(F195,"&gt;"&amp;TODAY(),F195,"&lt;="&amp;TODAY()+30)&gt;0),1,0)</x:f>
        <x:v>0</x:v>
      </x:c>
      <x:c r="R195" t="n">
        <x:f>R194+IF(OR(LEFT(H195,15)="Missing dates; ",LEFT(H195,16)="Add N/A reason; ",H195="Add dates",H195="Add registration",H195="Check date format"),1,0)</x:f>
        <x:v>0</x:v>
      </x:c>
      <x:c r="S195" t="n">
        <x:f>S194+IF(COUNTIFS(C195:F195,"Reviewed N/A")&gt;0,1,0)</x:f>
        <x:v>0</x:v>
      </x:c>
    </x:row>
    <x:row r="196" ht="48" customHeight="1">
      <x:c r="A196" s="52"/>
      <x:c r="B196" s="52"/>
      <x:c r="C196" s="53"/>
      <x:c r="D196" s="53"/>
      <x:c r="E196" s="53"/>
      <x:c r="F196" s="53"/>
      <x:c r="G196" s="52"/>
      <x:c r="H196" s="21" t="str">
        <x:f>IF(COUNTA(A196:G196,I196)=0,"",IF(A196="","Add registration",IF(OR(COUNTA(C196:F196)&gt;COUNT(C196:F196)+COUNTIFS(C196:F196,"Reviewed N/A"),AND(COUNT(C196:F196)&gt;0,OR(MIN(C196:F196)&lt;36526,MAX(C196:F196)&gt;109574))),"Check date format",IF(AND(COUNTIFS(C196:F196,"Reviewed N/A")&gt;0,I196=""),"Add N/A reason; ","")&amp;IF(COUNT(C196:F196)=0,IF(COUNTIFS(C196:F196,"Reviewed N/A")=4,"No applicable dates recorded","Add dates"),IF(COUNT(C196:F196)+COUNTIFS(C196:F196,"Reviewed N/A")&lt;4,"Missing dates; ","")&amp;IF(MIN(C196:F196)&lt;TODAY(),"Overdue: ",IF(MIN(C196:F196)=TODAY(),"Due today: ",IF(MIN(C196:F196)&lt;=TODAY()+30,"Due within 30 days: ","Next: ")))&amp;INDEX($C$8:$F$8,1,MATCH(MIN(C196:F196),C196:F196,0))&amp;" "&amp;TEXT(MIN(C196:F196),"dd mmm yyyy")))))</x:f>
      </x:c>
      <x:c r="I196" s="52"/>
      <x:c r="J196" t="str">
        <x:f>IF(AND(A196&lt;&gt;"",COUNTIFS(C196,"&gt;=36526",C196,"&lt;"&amp;TODAY())+COUNTIFS(D196,"&gt;=36526",D196,"&lt;"&amp;TODAY())+COUNTIFS(E196,"&gt;=36526",E196,"&lt;"&amp;TODAY())+COUNTIFS(F196,"&gt;=36526",F196,"&lt;"&amp;TODAY())&gt;0),O196,"")</x:f>
      </x:c>
      <x:c r="K196" t="str">
        <x:f>IF(AND(A196&lt;&gt;"",COUNTIFS(C196,"&gt;=36526",C196,TODAY())+COUNTIFS(D196,"&gt;=36526",D196,TODAY())+COUNTIFS(E196,"&gt;=36526",E196,TODAY())+COUNTIFS(F196,"&gt;=36526",F196,TODAY())&gt;0),P196,"")</x:f>
      </x:c>
      <x:c r="L196" t="str">
        <x:f>IF(AND(A196&lt;&gt;"",COUNTIFS(C196,"&gt;"&amp;TODAY(),C196,"&lt;="&amp;TODAY()+30)+COUNTIFS(D196,"&gt;"&amp;TODAY(),D196,"&lt;="&amp;TODAY()+30)+COUNTIFS(E196,"&gt;"&amp;TODAY(),E196,"&lt;="&amp;TODAY()+30)+COUNTIFS(F196,"&gt;"&amp;TODAY(),F196,"&lt;="&amp;TODAY()+30)&gt;0),Q196,"")</x:f>
      </x:c>
      <x:c r="M196" t="str">
        <x:f>IF(OR(LEFT(H196,15)="Missing dates; ",LEFT(H196,16)="Add N/A reason; ",H196="Add dates",H196="Add registration",H196="Check date format"),R196,"")</x:f>
      </x:c>
      <x:c r="N196" t="str">
        <x:f>IF(COUNTIFS(C196:F196,"Reviewed N/A")&gt;0,S196,"")</x:f>
      </x:c>
      <x:c r="O196" t="n">
        <x:f>O195+IF(AND(A196&lt;&gt;"",COUNTIFS(C196,"&gt;=36526",C196,"&lt;"&amp;TODAY())+COUNTIFS(D196,"&gt;=36526",D196,"&lt;"&amp;TODAY())+COUNTIFS(E196,"&gt;=36526",E196,"&lt;"&amp;TODAY())+COUNTIFS(F196,"&gt;=36526",F196,"&lt;"&amp;TODAY())&gt;0),1,0)</x:f>
        <x:v>0</x:v>
      </x:c>
      <x:c r="P196" t="n">
        <x:f>P195+IF(AND(A196&lt;&gt;"",COUNTIFS(C196,"&gt;=36526",C196,TODAY())+COUNTIFS(D196,"&gt;=36526",D196,TODAY())+COUNTIFS(E196,"&gt;=36526",E196,TODAY())+COUNTIFS(F196,"&gt;=36526",F196,TODAY())&gt;0),1,0)</x:f>
        <x:v>0</x:v>
      </x:c>
      <x:c r="Q196" t="n">
        <x:f>Q195+IF(AND(A196&lt;&gt;"",COUNTIFS(C196,"&gt;"&amp;TODAY(),C196,"&lt;="&amp;TODAY()+30)+COUNTIFS(D196,"&gt;"&amp;TODAY(),D196,"&lt;="&amp;TODAY()+30)+COUNTIFS(E196,"&gt;"&amp;TODAY(),E196,"&lt;="&amp;TODAY()+30)+COUNTIFS(F196,"&gt;"&amp;TODAY(),F196,"&lt;="&amp;TODAY()+30)&gt;0),1,0)</x:f>
        <x:v>0</x:v>
      </x:c>
      <x:c r="R196" t="n">
        <x:f>R195+IF(OR(LEFT(H196,15)="Missing dates; ",LEFT(H196,16)="Add N/A reason; ",H196="Add dates",H196="Add registration",H196="Check date format"),1,0)</x:f>
        <x:v>0</x:v>
      </x:c>
      <x:c r="S196" t="n">
        <x:f>S195+IF(COUNTIFS(C196:F196,"Reviewed N/A")&gt;0,1,0)</x:f>
        <x:v>0</x:v>
      </x:c>
    </x:row>
    <x:row r="197" ht="48" customHeight="1">
      <x:c r="A197" s="52"/>
      <x:c r="B197" s="52"/>
      <x:c r="C197" s="53"/>
      <x:c r="D197" s="53"/>
      <x:c r="E197" s="53"/>
      <x:c r="F197" s="53"/>
      <x:c r="G197" s="52"/>
      <x:c r="H197" s="21" t="str">
        <x:f>IF(COUNTA(A197:G197,I197)=0,"",IF(A197="","Add registration",IF(OR(COUNTA(C197:F197)&gt;COUNT(C197:F197)+COUNTIFS(C197:F197,"Reviewed N/A"),AND(COUNT(C197:F197)&gt;0,OR(MIN(C197:F197)&lt;36526,MAX(C197:F197)&gt;109574))),"Check date format",IF(AND(COUNTIFS(C197:F197,"Reviewed N/A")&gt;0,I197=""),"Add N/A reason; ","")&amp;IF(COUNT(C197:F197)=0,IF(COUNTIFS(C197:F197,"Reviewed N/A")=4,"No applicable dates recorded","Add dates"),IF(COUNT(C197:F197)+COUNTIFS(C197:F197,"Reviewed N/A")&lt;4,"Missing dates; ","")&amp;IF(MIN(C197:F197)&lt;TODAY(),"Overdue: ",IF(MIN(C197:F197)=TODAY(),"Due today: ",IF(MIN(C197:F197)&lt;=TODAY()+30,"Due within 30 days: ","Next: ")))&amp;INDEX($C$8:$F$8,1,MATCH(MIN(C197:F197),C197:F197,0))&amp;" "&amp;TEXT(MIN(C197:F197),"dd mmm yyyy")))))</x:f>
      </x:c>
      <x:c r="I197" s="52"/>
      <x:c r="J197" t="str">
        <x:f>IF(AND(A197&lt;&gt;"",COUNTIFS(C197,"&gt;=36526",C197,"&lt;"&amp;TODAY())+COUNTIFS(D197,"&gt;=36526",D197,"&lt;"&amp;TODAY())+COUNTIFS(E197,"&gt;=36526",E197,"&lt;"&amp;TODAY())+COUNTIFS(F197,"&gt;=36526",F197,"&lt;"&amp;TODAY())&gt;0),O197,"")</x:f>
      </x:c>
      <x:c r="K197" t="str">
        <x:f>IF(AND(A197&lt;&gt;"",COUNTIFS(C197,"&gt;=36526",C197,TODAY())+COUNTIFS(D197,"&gt;=36526",D197,TODAY())+COUNTIFS(E197,"&gt;=36526",E197,TODAY())+COUNTIFS(F197,"&gt;=36526",F197,TODAY())&gt;0),P197,"")</x:f>
      </x:c>
      <x:c r="L197" t="str">
        <x:f>IF(AND(A197&lt;&gt;"",COUNTIFS(C197,"&gt;"&amp;TODAY(),C197,"&lt;="&amp;TODAY()+30)+COUNTIFS(D197,"&gt;"&amp;TODAY(),D197,"&lt;="&amp;TODAY()+30)+COUNTIFS(E197,"&gt;"&amp;TODAY(),E197,"&lt;="&amp;TODAY()+30)+COUNTIFS(F197,"&gt;"&amp;TODAY(),F197,"&lt;="&amp;TODAY()+30)&gt;0),Q197,"")</x:f>
      </x:c>
      <x:c r="M197" t="str">
        <x:f>IF(OR(LEFT(H197,15)="Missing dates; ",LEFT(H197,16)="Add N/A reason; ",H197="Add dates",H197="Add registration",H197="Check date format"),R197,"")</x:f>
      </x:c>
      <x:c r="N197" t="str">
        <x:f>IF(COUNTIFS(C197:F197,"Reviewed N/A")&gt;0,S197,"")</x:f>
      </x:c>
      <x:c r="O197" t="n">
        <x:f>O196+IF(AND(A197&lt;&gt;"",COUNTIFS(C197,"&gt;=36526",C197,"&lt;"&amp;TODAY())+COUNTIFS(D197,"&gt;=36526",D197,"&lt;"&amp;TODAY())+COUNTIFS(E197,"&gt;=36526",E197,"&lt;"&amp;TODAY())+COUNTIFS(F197,"&gt;=36526",F197,"&lt;"&amp;TODAY())&gt;0),1,0)</x:f>
        <x:v>0</x:v>
      </x:c>
      <x:c r="P197" t="n">
        <x:f>P196+IF(AND(A197&lt;&gt;"",COUNTIFS(C197,"&gt;=36526",C197,TODAY())+COUNTIFS(D197,"&gt;=36526",D197,TODAY())+COUNTIFS(E197,"&gt;=36526",E197,TODAY())+COUNTIFS(F197,"&gt;=36526",F197,TODAY())&gt;0),1,0)</x:f>
        <x:v>0</x:v>
      </x:c>
      <x:c r="Q197" t="n">
        <x:f>Q196+IF(AND(A197&lt;&gt;"",COUNTIFS(C197,"&gt;"&amp;TODAY(),C197,"&lt;="&amp;TODAY()+30)+COUNTIFS(D197,"&gt;"&amp;TODAY(),D197,"&lt;="&amp;TODAY()+30)+COUNTIFS(E197,"&gt;"&amp;TODAY(),E197,"&lt;="&amp;TODAY()+30)+COUNTIFS(F197,"&gt;"&amp;TODAY(),F197,"&lt;="&amp;TODAY()+30)&gt;0),1,0)</x:f>
        <x:v>0</x:v>
      </x:c>
      <x:c r="R197" t="n">
        <x:f>R196+IF(OR(LEFT(H197,15)="Missing dates; ",LEFT(H197,16)="Add N/A reason; ",H197="Add dates",H197="Add registration",H197="Check date format"),1,0)</x:f>
        <x:v>0</x:v>
      </x:c>
      <x:c r="S197" t="n">
        <x:f>S196+IF(COUNTIFS(C197:F197,"Reviewed N/A")&gt;0,1,0)</x:f>
        <x:v>0</x:v>
      </x:c>
    </x:row>
    <x:row r="198" ht="48" customHeight="1">
      <x:c r="A198" s="52"/>
      <x:c r="B198" s="52"/>
      <x:c r="C198" s="53"/>
      <x:c r="D198" s="53"/>
      <x:c r="E198" s="53"/>
      <x:c r="F198" s="53"/>
      <x:c r="G198" s="52"/>
      <x:c r="H198" s="21" t="str">
        <x:f>IF(COUNTA(A198:G198,I198)=0,"",IF(A198="","Add registration",IF(OR(COUNTA(C198:F198)&gt;COUNT(C198:F198)+COUNTIFS(C198:F198,"Reviewed N/A"),AND(COUNT(C198:F198)&gt;0,OR(MIN(C198:F198)&lt;36526,MAX(C198:F198)&gt;109574))),"Check date format",IF(AND(COUNTIFS(C198:F198,"Reviewed N/A")&gt;0,I198=""),"Add N/A reason; ","")&amp;IF(COUNT(C198:F198)=0,IF(COUNTIFS(C198:F198,"Reviewed N/A")=4,"No applicable dates recorded","Add dates"),IF(COUNT(C198:F198)+COUNTIFS(C198:F198,"Reviewed N/A")&lt;4,"Missing dates; ","")&amp;IF(MIN(C198:F198)&lt;TODAY(),"Overdue: ",IF(MIN(C198:F198)=TODAY(),"Due today: ",IF(MIN(C198:F198)&lt;=TODAY()+30,"Due within 30 days: ","Next: ")))&amp;INDEX($C$8:$F$8,1,MATCH(MIN(C198:F198),C198:F198,0))&amp;" "&amp;TEXT(MIN(C198:F198),"dd mmm yyyy")))))</x:f>
      </x:c>
      <x:c r="I198" s="52"/>
      <x:c r="J198" t="str">
        <x:f>IF(AND(A198&lt;&gt;"",COUNTIFS(C198,"&gt;=36526",C198,"&lt;"&amp;TODAY())+COUNTIFS(D198,"&gt;=36526",D198,"&lt;"&amp;TODAY())+COUNTIFS(E198,"&gt;=36526",E198,"&lt;"&amp;TODAY())+COUNTIFS(F198,"&gt;=36526",F198,"&lt;"&amp;TODAY())&gt;0),O198,"")</x:f>
      </x:c>
      <x:c r="K198" t="str">
        <x:f>IF(AND(A198&lt;&gt;"",COUNTIFS(C198,"&gt;=36526",C198,TODAY())+COUNTIFS(D198,"&gt;=36526",D198,TODAY())+COUNTIFS(E198,"&gt;=36526",E198,TODAY())+COUNTIFS(F198,"&gt;=36526",F198,TODAY())&gt;0),P198,"")</x:f>
      </x:c>
      <x:c r="L198" t="str">
        <x:f>IF(AND(A198&lt;&gt;"",COUNTIFS(C198,"&gt;"&amp;TODAY(),C198,"&lt;="&amp;TODAY()+30)+COUNTIFS(D198,"&gt;"&amp;TODAY(),D198,"&lt;="&amp;TODAY()+30)+COUNTIFS(E198,"&gt;"&amp;TODAY(),E198,"&lt;="&amp;TODAY()+30)+COUNTIFS(F198,"&gt;"&amp;TODAY(),F198,"&lt;="&amp;TODAY()+30)&gt;0),Q198,"")</x:f>
      </x:c>
      <x:c r="M198" t="str">
        <x:f>IF(OR(LEFT(H198,15)="Missing dates; ",LEFT(H198,16)="Add N/A reason; ",H198="Add dates",H198="Add registration",H198="Check date format"),R198,"")</x:f>
      </x:c>
      <x:c r="N198" t="str">
        <x:f>IF(COUNTIFS(C198:F198,"Reviewed N/A")&gt;0,S198,"")</x:f>
      </x:c>
      <x:c r="O198" t="n">
        <x:f>O197+IF(AND(A198&lt;&gt;"",COUNTIFS(C198,"&gt;=36526",C198,"&lt;"&amp;TODAY())+COUNTIFS(D198,"&gt;=36526",D198,"&lt;"&amp;TODAY())+COUNTIFS(E198,"&gt;=36526",E198,"&lt;"&amp;TODAY())+COUNTIFS(F198,"&gt;=36526",F198,"&lt;"&amp;TODAY())&gt;0),1,0)</x:f>
        <x:v>0</x:v>
      </x:c>
      <x:c r="P198" t="n">
        <x:f>P197+IF(AND(A198&lt;&gt;"",COUNTIFS(C198,"&gt;=36526",C198,TODAY())+COUNTIFS(D198,"&gt;=36526",D198,TODAY())+COUNTIFS(E198,"&gt;=36526",E198,TODAY())+COUNTIFS(F198,"&gt;=36526",F198,TODAY())&gt;0),1,0)</x:f>
        <x:v>0</x:v>
      </x:c>
      <x:c r="Q198" t="n">
        <x:f>Q197+IF(AND(A198&lt;&gt;"",COUNTIFS(C198,"&gt;"&amp;TODAY(),C198,"&lt;="&amp;TODAY()+30)+COUNTIFS(D198,"&gt;"&amp;TODAY(),D198,"&lt;="&amp;TODAY()+30)+COUNTIFS(E198,"&gt;"&amp;TODAY(),E198,"&lt;="&amp;TODAY()+30)+COUNTIFS(F198,"&gt;"&amp;TODAY(),F198,"&lt;="&amp;TODAY()+30)&gt;0),1,0)</x:f>
        <x:v>0</x:v>
      </x:c>
      <x:c r="R198" t="n">
        <x:f>R197+IF(OR(LEFT(H198,15)="Missing dates; ",LEFT(H198,16)="Add N/A reason; ",H198="Add dates",H198="Add registration",H198="Check date format"),1,0)</x:f>
        <x:v>0</x:v>
      </x:c>
      <x:c r="S198" t="n">
        <x:f>S197+IF(COUNTIFS(C198:F198,"Reviewed N/A")&gt;0,1,0)</x:f>
        <x:v>0</x:v>
      </x:c>
    </x:row>
    <x:row r="199" ht="48" customHeight="1">
      <x:c r="A199" s="52"/>
      <x:c r="B199" s="52"/>
      <x:c r="C199" s="53"/>
      <x:c r="D199" s="53"/>
      <x:c r="E199" s="53"/>
      <x:c r="F199" s="53"/>
      <x:c r="G199" s="52"/>
      <x:c r="H199" s="21" t="str">
        <x:f>IF(COUNTA(A199:G199,I199)=0,"",IF(A199="","Add registration",IF(OR(COUNTA(C199:F199)&gt;COUNT(C199:F199)+COUNTIFS(C199:F199,"Reviewed N/A"),AND(COUNT(C199:F199)&gt;0,OR(MIN(C199:F199)&lt;36526,MAX(C199:F199)&gt;109574))),"Check date format",IF(AND(COUNTIFS(C199:F199,"Reviewed N/A")&gt;0,I199=""),"Add N/A reason; ","")&amp;IF(COUNT(C199:F199)=0,IF(COUNTIFS(C199:F199,"Reviewed N/A")=4,"No applicable dates recorded","Add dates"),IF(COUNT(C199:F199)+COUNTIFS(C199:F199,"Reviewed N/A")&lt;4,"Missing dates; ","")&amp;IF(MIN(C199:F199)&lt;TODAY(),"Overdue: ",IF(MIN(C199:F199)=TODAY(),"Due today: ",IF(MIN(C199:F199)&lt;=TODAY()+30,"Due within 30 days: ","Next: ")))&amp;INDEX($C$8:$F$8,1,MATCH(MIN(C199:F199),C199:F199,0))&amp;" "&amp;TEXT(MIN(C199:F199),"dd mmm yyyy")))))</x:f>
      </x:c>
      <x:c r="I199" s="52"/>
      <x:c r="J199" t="str">
        <x:f>IF(AND(A199&lt;&gt;"",COUNTIFS(C199,"&gt;=36526",C199,"&lt;"&amp;TODAY())+COUNTIFS(D199,"&gt;=36526",D199,"&lt;"&amp;TODAY())+COUNTIFS(E199,"&gt;=36526",E199,"&lt;"&amp;TODAY())+COUNTIFS(F199,"&gt;=36526",F199,"&lt;"&amp;TODAY())&gt;0),O199,"")</x:f>
      </x:c>
      <x:c r="K199" t="str">
        <x:f>IF(AND(A199&lt;&gt;"",COUNTIFS(C199,"&gt;=36526",C199,TODAY())+COUNTIFS(D199,"&gt;=36526",D199,TODAY())+COUNTIFS(E199,"&gt;=36526",E199,TODAY())+COUNTIFS(F199,"&gt;=36526",F199,TODAY())&gt;0),P199,"")</x:f>
      </x:c>
      <x:c r="L199" t="str">
        <x:f>IF(AND(A199&lt;&gt;"",COUNTIFS(C199,"&gt;"&amp;TODAY(),C199,"&lt;="&amp;TODAY()+30)+COUNTIFS(D199,"&gt;"&amp;TODAY(),D199,"&lt;="&amp;TODAY()+30)+COUNTIFS(E199,"&gt;"&amp;TODAY(),E199,"&lt;="&amp;TODAY()+30)+COUNTIFS(F199,"&gt;"&amp;TODAY(),F199,"&lt;="&amp;TODAY()+30)&gt;0),Q199,"")</x:f>
      </x:c>
      <x:c r="M199" t="str">
        <x:f>IF(OR(LEFT(H199,15)="Missing dates; ",LEFT(H199,16)="Add N/A reason; ",H199="Add dates",H199="Add registration",H199="Check date format"),R199,"")</x:f>
      </x:c>
      <x:c r="N199" t="str">
        <x:f>IF(COUNTIFS(C199:F199,"Reviewed N/A")&gt;0,S199,"")</x:f>
      </x:c>
      <x:c r="O199" t="n">
        <x:f>O198+IF(AND(A199&lt;&gt;"",COUNTIFS(C199,"&gt;=36526",C199,"&lt;"&amp;TODAY())+COUNTIFS(D199,"&gt;=36526",D199,"&lt;"&amp;TODAY())+COUNTIFS(E199,"&gt;=36526",E199,"&lt;"&amp;TODAY())+COUNTIFS(F199,"&gt;=36526",F199,"&lt;"&amp;TODAY())&gt;0),1,0)</x:f>
        <x:v>0</x:v>
      </x:c>
      <x:c r="P199" t="n">
        <x:f>P198+IF(AND(A199&lt;&gt;"",COUNTIFS(C199,"&gt;=36526",C199,TODAY())+COUNTIFS(D199,"&gt;=36526",D199,TODAY())+COUNTIFS(E199,"&gt;=36526",E199,TODAY())+COUNTIFS(F199,"&gt;=36526",F199,TODAY())&gt;0),1,0)</x:f>
        <x:v>0</x:v>
      </x:c>
      <x:c r="Q199" t="n">
        <x:f>Q198+IF(AND(A199&lt;&gt;"",COUNTIFS(C199,"&gt;"&amp;TODAY(),C199,"&lt;="&amp;TODAY()+30)+COUNTIFS(D199,"&gt;"&amp;TODAY(),D199,"&lt;="&amp;TODAY()+30)+COUNTIFS(E199,"&gt;"&amp;TODAY(),E199,"&lt;="&amp;TODAY()+30)+COUNTIFS(F199,"&gt;"&amp;TODAY(),F199,"&lt;="&amp;TODAY()+30)&gt;0),1,0)</x:f>
        <x:v>0</x:v>
      </x:c>
      <x:c r="R199" t="n">
        <x:f>R198+IF(OR(LEFT(H199,15)="Missing dates; ",LEFT(H199,16)="Add N/A reason; ",H199="Add dates",H199="Add registration",H199="Check date format"),1,0)</x:f>
        <x:v>0</x:v>
      </x:c>
      <x:c r="S199" t="n">
        <x:f>S198+IF(COUNTIFS(C199:F199,"Reviewed N/A")&gt;0,1,0)</x:f>
        <x:v>0</x:v>
      </x:c>
    </x:row>
    <x:row r="200" ht="48" customHeight="1">
      <x:c r="A200" s="52"/>
      <x:c r="B200" s="52"/>
      <x:c r="C200" s="53"/>
      <x:c r="D200" s="53"/>
      <x:c r="E200" s="53"/>
      <x:c r="F200" s="53"/>
      <x:c r="G200" s="52"/>
      <x:c r="H200" s="21" t="str">
        <x:f>IF(COUNTA(A200:G200,I200)=0,"",IF(A200="","Add registration",IF(OR(COUNTA(C200:F200)&gt;COUNT(C200:F200)+COUNTIFS(C200:F200,"Reviewed N/A"),AND(COUNT(C200:F200)&gt;0,OR(MIN(C200:F200)&lt;36526,MAX(C200:F200)&gt;109574))),"Check date format",IF(AND(COUNTIFS(C200:F200,"Reviewed N/A")&gt;0,I200=""),"Add N/A reason; ","")&amp;IF(COUNT(C200:F200)=0,IF(COUNTIFS(C200:F200,"Reviewed N/A")=4,"No applicable dates recorded","Add dates"),IF(COUNT(C200:F200)+COUNTIFS(C200:F200,"Reviewed N/A")&lt;4,"Missing dates; ","")&amp;IF(MIN(C200:F200)&lt;TODAY(),"Overdue: ",IF(MIN(C200:F200)=TODAY(),"Due today: ",IF(MIN(C200:F200)&lt;=TODAY()+30,"Due within 30 days: ","Next: ")))&amp;INDEX($C$8:$F$8,1,MATCH(MIN(C200:F200),C200:F200,0))&amp;" "&amp;TEXT(MIN(C200:F200),"dd mmm yyyy")))))</x:f>
      </x:c>
      <x:c r="I200" s="52"/>
      <x:c r="J200" t="str">
        <x:f>IF(AND(A200&lt;&gt;"",COUNTIFS(C200,"&gt;=36526",C200,"&lt;"&amp;TODAY())+COUNTIFS(D200,"&gt;=36526",D200,"&lt;"&amp;TODAY())+COUNTIFS(E200,"&gt;=36526",E200,"&lt;"&amp;TODAY())+COUNTIFS(F200,"&gt;=36526",F200,"&lt;"&amp;TODAY())&gt;0),O200,"")</x:f>
      </x:c>
      <x:c r="K200" t="str">
        <x:f>IF(AND(A200&lt;&gt;"",COUNTIFS(C200,"&gt;=36526",C200,TODAY())+COUNTIFS(D200,"&gt;=36526",D200,TODAY())+COUNTIFS(E200,"&gt;=36526",E200,TODAY())+COUNTIFS(F200,"&gt;=36526",F200,TODAY())&gt;0),P200,"")</x:f>
      </x:c>
      <x:c r="L200" t="str">
        <x:f>IF(AND(A200&lt;&gt;"",COUNTIFS(C200,"&gt;"&amp;TODAY(),C200,"&lt;="&amp;TODAY()+30)+COUNTIFS(D200,"&gt;"&amp;TODAY(),D200,"&lt;="&amp;TODAY()+30)+COUNTIFS(E200,"&gt;"&amp;TODAY(),E200,"&lt;="&amp;TODAY()+30)+COUNTIFS(F200,"&gt;"&amp;TODAY(),F200,"&lt;="&amp;TODAY()+30)&gt;0),Q200,"")</x:f>
      </x:c>
      <x:c r="M200" t="str">
        <x:f>IF(OR(LEFT(H200,15)="Missing dates; ",LEFT(H200,16)="Add N/A reason; ",H200="Add dates",H200="Add registration",H200="Check date format"),R200,"")</x:f>
      </x:c>
      <x:c r="N200" t="str">
        <x:f>IF(COUNTIFS(C200:F200,"Reviewed N/A")&gt;0,S200,"")</x:f>
      </x:c>
      <x:c r="O200" t="n">
        <x:f>O199+IF(AND(A200&lt;&gt;"",COUNTIFS(C200,"&gt;=36526",C200,"&lt;"&amp;TODAY())+COUNTIFS(D200,"&gt;=36526",D200,"&lt;"&amp;TODAY())+COUNTIFS(E200,"&gt;=36526",E200,"&lt;"&amp;TODAY())+COUNTIFS(F200,"&gt;=36526",F200,"&lt;"&amp;TODAY())&gt;0),1,0)</x:f>
        <x:v>0</x:v>
      </x:c>
      <x:c r="P200" t="n">
        <x:f>P199+IF(AND(A200&lt;&gt;"",COUNTIFS(C200,"&gt;=36526",C200,TODAY())+COUNTIFS(D200,"&gt;=36526",D200,TODAY())+COUNTIFS(E200,"&gt;=36526",E200,TODAY())+COUNTIFS(F200,"&gt;=36526",F200,TODAY())&gt;0),1,0)</x:f>
        <x:v>0</x:v>
      </x:c>
      <x:c r="Q200" t="n">
        <x:f>Q199+IF(AND(A200&lt;&gt;"",COUNTIFS(C200,"&gt;"&amp;TODAY(),C200,"&lt;="&amp;TODAY()+30)+COUNTIFS(D200,"&gt;"&amp;TODAY(),D200,"&lt;="&amp;TODAY()+30)+COUNTIFS(E200,"&gt;"&amp;TODAY(),E200,"&lt;="&amp;TODAY()+30)+COUNTIFS(F200,"&gt;"&amp;TODAY(),F200,"&lt;="&amp;TODAY()+30)&gt;0),1,0)</x:f>
        <x:v>0</x:v>
      </x:c>
      <x:c r="R200" t="n">
        <x:f>R199+IF(OR(LEFT(H200,15)="Missing dates; ",LEFT(H200,16)="Add N/A reason; ",H200="Add dates",H200="Add registration",H200="Check date format"),1,0)</x:f>
        <x:v>0</x:v>
      </x:c>
      <x:c r="S200" t="n">
        <x:f>S199+IF(COUNTIFS(C200:F200,"Reviewed N/A")&gt;0,1,0)</x:f>
        <x:v>0</x:v>
      </x:c>
    </x:row>
    <x:row r="201" ht="48" customHeight="1">
      <x:c r="A201" s="52"/>
      <x:c r="B201" s="52"/>
      <x:c r="C201" s="53"/>
      <x:c r="D201" s="53"/>
      <x:c r="E201" s="53"/>
      <x:c r="F201" s="53"/>
      <x:c r="G201" s="52"/>
      <x:c r="H201" s="21" t="str">
        <x:f>IF(COUNTA(A201:G201,I201)=0,"",IF(A201="","Add registration",IF(OR(COUNTA(C201:F201)&gt;COUNT(C201:F201)+COUNTIFS(C201:F201,"Reviewed N/A"),AND(COUNT(C201:F201)&gt;0,OR(MIN(C201:F201)&lt;36526,MAX(C201:F201)&gt;109574))),"Check date format",IF(AND(COUNTIFS(C201:F201,"Reviewed N/A")&gt;0,I201=""),"Add N/A reason; ","")&amp;IF(COUNT(C201:F201)=0,IF(COUNTIFS(C201:F201,"Reviewed N/A")=4,"No applicable dates recorded","Add dates"),IF(COUNT(C201:F201)+COUNTIFS(C201:F201,"Reviewed N/A")&lt;4,"Missing dates; ","")&amp;IF(MIN(C201:F201)&lt;TODAY(),"Overdue: ",IF(MIN(C201:F201)=TODAY(),"Due today: ",IF(MIN(C201:F201)&lt;=TODAY()+30,"Due within 30 days: ","Next: ")))&amp;INDEX($C$8:$F$8,1,MATCH(MIN(C201:F201),C201:F201,0))&amp;" "&amp;TEXT(MIN(C201:F201),"dd mmm yyyy")))))</x:f>
      </x:c>
      <x:c r="I201" s="52"/>
      <x:c r="J201" t="str">
        <x:f>IF(AND(A201&lt;&gt;"",COUNTIFS(C201,"&gt;=36526",C201,"&lt;"&amp;TODAY())+COUNTIFS(D201,"&gt;=36526",D201,"&lt;"&amp;TODAY())+COUNTIFS(E201,"&gt;=36526",E201,"&lt;"&amp;TODAY())+COUNTIFS(F201,"&gt;=36526",F201,"&lt;"&amp;TODAY())&gt;0),O201,"")</x:f>
      </x:c>
      <x:c r="K201" t="str">
        <x:f>IF(AND(A201&lt;&gt;"",COUNTIFS(C201,"&gt;=36526",C201,TODAY())+COUNTIFS(D201,"&gt;=36526",D201,TODAY())+COUNTIFS(E201,"&gt;=36526",E201,TODAY())+COUNTIFS(F201,"&gt;=36526",F201,TODAY())&gt;0),P201,"")</x:f>
      </x:c>
      <x:c r="L201" t="str">
        <x:f>IF(AND(A201&lt;&gt;"",COUNTIFS(C201,"&gt;"&amp;TODAY(),C201,"&lt;="&amp;TODAY()+30)+COUNTIFS(D201,"&gt;"&amp;TODAY(),D201,"&lt;="&amp;TODAY()+30)+COUNTIFS(E201,"&gt;"&amp;TODAY(),E201,"&lt;="&amp;TODAY()+30)+COUNTIFS(F201,"&gt;"&amp;TODAY(),F201,"&lt;="&amp;TODAY()+30)&gt;0),Q201,"")</x:f>
      </x:c>
      <x:c r="M201" t="str">
        <x:f>IF(OR(LEFT(H201,15)="Missing dates; ",LEFT(H201,16)="Add N/A reason; ",H201="Add dates",H201="Add registration",H201="Check date format"),R201,"")</x:f>
      </x:c>
      <x:c r="N201" t="str">
        <x:f>IF(COUNTIFS(C201:F201,"Reviewed N/A")&gt;0,S201,"")</x:f>
      </x:c>
      <x:c r="O201" t="n">
        <x:f>O200+IF(AND(A201&lt;&gt;"",COUNTIFS(C201,"&gt;=36526",C201,"&lt;"&amp;TODAY())+COUNTIFS(D201,"&gt;=36526",D201,"&lt;"&amp;TODAY())+COUNTIFS(E201,"&gt;=36526",E201,"&lt;"&amp;TODAY())+COUNTIFS(F201,"&gt;=36526",F201,"&lt;"&amp;TODAY())&gt;0),1,0)</x:f>
        <x:v>0</x:v>
      </x:c>
      <x:c r="P201" t="n">
        <x:f>P200+IF(AND(A201&lt;&gt;"",COUNTIFS(C201,"&gt;=36526",C201,TODAY())+COUNTIFS(D201,"&gt;=36526",D201,TODAY())+COUNTIFS(E201,"&gt;=36526",E201,TODAY())+COUNTIFS(F201,"&gt;=36526",F201,TODAY())&gt;0),1,0)</x:f>
        <x:v>0</x:v>
      </x:c>
      <x:c r="Q201" t="n">
        <x:f>Q200+IF(AND(A201&lt;&gt;"",COUNTIFS(C201,"&gt;"&amp;TODAY(),C201,"&lt;="&amp;TODAY()+30)+COUNTIFS(D201,"&gt;"&amp;TODAY(),D201,"&lt;="&amp;TODAY()+30)+COUNTIFS(E201,"&gt;"&amp;TODAY(),E201,"&lt;="&amp;TODAY()+30)+COUNTIFS(F201,"&gt;"&amp;TODAY(),F201,"&lt;="&amp;TODAY()+30)&gt;0),1,0)</x:f>
        <x:v>0</x:v>
      </x:c>
      <x:c r="R201" t="n">
        <x:f>R200+IF(OR(LEFT(H201,15)="Missing dates; ",LEFT(H201,16)="Add N/A reason; ",H201="Add dates",H201="Add registration",H201="Check date format"),1,0)</x:f>
        <x:v>0</x:v>
      </x:c>
      <x:c r="S201" t="n">
        <x:f>S200+IF(COUNTIFS(C201:F201,"Reviewed N/A")&gt;0,1,0)</x:f>
        <x:v>0</x:v>
      </x:c>
    </x:row>
    <x:row r="202" ht="48" customHeight="1">
      <x:c r="A202" s="52"/>
      <x:c r="B202" s="52"/>
      <x:c r="C202" s="53"/>
      <x:c r="D202" s="53"/>
      <x:c r="E202" s="53"/>
      <x:c r="F202" s="53"/>
      <x:c r="G202" s="52"/>
      <x:c r="H202" s="21" t="str">
        <x:f>IF(COUNTA(A202:G202,I202)=0,"",IF(A202="","Add registration",IF(OR(COUNTA(C202:F202)&gt;COUNT(C202:F202)+COUNTIFS(C202:F202,"Reviewed N/A"),AND(COUNT(C202:F202)&gt;0,OR(MIN(C202:F202)&lt;36526,MAX(C202:F202)&gt;109574))),"Check date format",IF(AND(COUNTIFS(C202:F202,"Reviewed N/A")&gt;0,I202=""),"Add N/A reason; ","")&amp;IF(COUNT(C202:F202)=0,IF(COUNTIFS(C202:F202,"Reviewed N/A")=4,"No applicable dates recorded","Add dates"),IF(COUNT(C202:F202)+COUNTIFS(C202:F202,"Reviewed N/A")&lt;4,"Missing dates; ","")&amp;IF(MIN(C202:F202)&lt;TODAY(),"Overdue: ",IF(MIN(C202:F202)=TODAY(),"Due today: ",IF(MIN(C202:F202)&lt;=TODAY()+30,"Due within 30 days: ","Next: ")))&amp;INDEX($C$8:$F$8,1,MATCH(MIN(C202:F202),C202:F202,0))&amp;" "&amp;TEXT(MIN(C202:F202),"dd mmm yyyy")))))</x:f>
      </x:c>
      <x:c r="I202" s="52"/>
      <x:c r="J202" t="str">
        <x:f>IF(AND(A202&lt;&gt;"",COUNTIFS(C202,"&gt;=36526",C202,"&lt;"&amp;TODAY())+COUNTIFS(D202,"&gt;=36526",D202,"&lt;"&amp;TODAY())+COUNTIFS(E202,"&gt;=36526",E202,"&lt;"&amp;TODAY())+COUNTIFS(F202,"&gt;=36526",F202,"&lt;"&amp;TODAY())&gt;0),O202,"")</x:f>
      </x:c>
      <x:c r="K202" t="str">
        <x:f>IF(AND(A202&lt;&gt;"",COUNTIFS(C202,"&gt;=36526",C202,TODAY())+COUNTIFS(D202,"&gt;=36526",D202,TODAY())+COUNTIFS(E202,"&gt;=36526",E202,TODAY())+COUNTIFS(F202,"&gt;=36526",F202,TODAY())&gt;0),P202,"")</x:f>
      </x:c>
      <x:c r="L202" t="str">
        <x:f>IF(AND(A202&lt;&gt;"",COUNTIFS(C202,"&gt;"&amp;TODAY(),C202,"&lt;="&amp;TODAY()+30)+COUNTIFS(D202,"&gt;"&amp;TODAY(),D202,"&lt;="&amp;TODAY()+30)+COUNTIFS(E202,"&gt;"&amp;TODAY(),E202,"&lt;="&amp;TODAY()+30)+COUNTIFS(F202,"&gt;"&amp;TODAY(),F202,"&lt;="&amp;TODAY()+30)&gt;0),Q202,"")</x:f>
      </x:c>
      <x:c r="M202" t="str">
        <x:f>IF(OR(LEFT(H202,15)="Missing dates; ",LEFT(H202,16)="Add N/A reason; ",H202="Add dates",H202="Add registration",H202="Check date format"),R202,"")</x:f>
      </x:c>
      <x:c r="N202" t="str">
        <x:f>IF(COUNTIFS(C202:F202,"Reviewed N/A")&gt;0,S202,"")</x:f>
      </x:c>
      <x:c r="O202" t="n">
        <x:f>O201+IF(AND(A202&lt;&gt;"",COUNTIFS(C202,"&gt;=36526",C202,"&lt;"&amp;TODAY())+COUNTIFS(D202,"&gt;=36526",D202,"&lt;"&amp;TODAY())+COUNTIFS(E202,"&gt;=36526",E202,"&lt;"&amp;TODAY())+COUNTIFS(F202,"&gt;=36526",F202,"&lt;"&amp;TODAY())&gt;0),1,0)</x:f>
        <x:v>0</x:v>
      </x:c>
      <x:c r="P202" t="n">
        <x:f>P201+IF(AND(A202&lt;&gt;"",COUNTIFS(C202,"&gt;=36526",C202,TODAY())+COUNTIFS(D202,"&gt;=36526",D202,TODAY())+COUNTIFS(E202,"&gt;=36526",E202,TODAY())+COUNTIFS(F202,"&gt;=36526",F202,TODAY())&gt;0),1,0)</x:f>
        <x:v>0</x:v>
      </x:c>
      <x:c r="Q202" t="n">
        <x:f>Q201+IF(AND(A202&lt;&gt;"",COUNTIFS(C202,"&gt;"&amp;TODAY(),C202,"&lt;="&amp;TODAY()+30)+COUNTIFS(D202,"&gt;"&amp;TODAY(),D202,"&lt;="&amp;TODAY()+30)+COUNTIFS(E202,"&gt;"&amp;TODAY(),E202,"&lt;="&amp;TODAY()+30)+COUNTIFS(F202,"&gt;"&amp;TODAY(),F202,"&lt;="&amp;TODAY()+30)&gt;0),1,0)</x:f>
        <x:v>0</x:v>
      </x:c>
      <x:c r="R202" t="n">
        <x:f>R201+IF(OR(LEFT(H202,15)="Missing dates; ",LEFT(H202,16)="Add N/A reason; ",H202="Add dates",H202="Add registration",H202="Check date format"),1,0)</x:f>
        <x:v>0</x:v>
      </x:c>
      <x:c r="S202" t="n">
        <x:f>S201+IF(COUNTIFS(C202:F202,"Reviewed N/A")&gt;0,1,0)</x:f>
        <x:v>0</x:v>
      </x:c>
    </x:row>
    <x:row r="203" ht="48" customHeight="1">
      <x:c r="A203" s="52"/>
      <x:c r="B203" s="52"/>
      <x:c r="C203" s="53"/>
      <x:c r="D203" s="53"/>
      <x:c r="E203" s="53"/>
      <x:c r="F203" s="53"/>
      <x:c r="G203" s="52"/>
      <x:c r="H203" s="21" t="str">
        <x:f>IF(COUNTA(A203:G203,I203)=0,"",IF(A203="","Add registration",IF(OR(COUNTA(C203:F203)&gt;COUNT(C203:F203)+COUNTIFS(C203:F203,"Reviewed N/A"),AND(COUNT(C203:F203)&gt;0,OR(MIN(C203:F203)&lt;36526,MAX(C203:F203)&gt;109574))),"Check date format",IF(AND(COUNTIFS(C203:F203,"Reviewed N/A")&gt;0,I203=""),"Add N/A reason; ","")&amp;IF(COUNT(C203:F203)=0,IF(COUNTIFS(C203:F203,"Reviewed N/A")=4,"No applicable dates recorded","Add dates"),IF(COUNT(C203:F203)+COUNTIFS(C203:F203,"Reviewed N/A")&lt;4,"Missing dates; ","")&amp;IF(MIN(C203:F203)&lt;TODAY(),"Overdue: ",IF(MIN(C203:F203)=TODAY(),"Due today: ",IF(MIN(C203:F203)&lt;=TODAY()+30,"Due within 30 days: ","Next: ")))&amp;INDEX($C$8:$F$8,1,MATCH(MIN(C203:F203),C203:F203,0))&amp;" "&amp;TEXT(MIN(C203:F203),"dd mmm yyyy")))))</x:f>
      </x:c>
      <x:c r="I203" s="52"/>
      <x:c r="J203" t="str">
        <x:f>IF(AND(A203&lt;&gt;"",COUNTIFS(C203,"&gt;=36526",C203,"&lt;"&amp;TODAY())+COUNTIFS(D203,"&gt;=36526",D203,"&lt;"&amp;TODAY())+COUNTIFS(E203,"&gt;=36526",E203,"&lt;"&amp;TODAY())+COUNTIFS(F203,"&gt;=36526",F203,"&lt;"&amp;TODAY())&gt;0),O203,"")</x:f>
      </x:c>
      <x:c r="K203" t="str">
        <x:f>IF(AND(A203&lt;&gt;"",COUNTIFS(C203,"&gt;=36526",C203,TODAY())+COUNTIFS(D203,"&gt;=36526",D203,TODAY())+COUNTIFS(E203,"&gt;=36526",E203,TODAY())+COUNTIFS(F203,"&gt;=36526",F203,TODAY())&gt;0),P203,"")</x:f>
      </x:c>
      <x:c r="L203" t="str">
        <x:f>IF(AND(A203&lt;&gt;"",COUNTIFS(C203,"&gt;"&amp;TODAY(),C203,"&lt;="&amp;TODAY()+30)+COUNTIFS(D203,"&gt;"&amp;TODAY(),D203,"&lt;="&amp;TODAY()+30)+COUNTIFS(E203,"&gt;"&amp;TODAY(),E203,"&lt;="&amp;TODAY()+30)+COUNTIFS(F203,"&gt;"&amp;TODAY(),F203,"&lt;="&amp;TODAY()+30)&gt;0),Q203,"")</x:f>
      </x:c>
      <x:c r="M203" t="str">
        <x:f>IF(OR(LEFT(H203,15)="Missing dates; ",LEFT(H203,16)="Add N/A reason; ",H203="Add dates",H203="Add registration",H203="Check date format"),R203,"")</x:f>
      </x:c>
      <x:c r="N203" t="str">
        <x:f>IF(COUNTIFS(C203:F203,"Reviewed N/A")&gt;0,S203,"")</x:f>
      </x:c>
      <x:c r="O203" t="n">
        <x:f>O202+IF(AND(A203&lt;&gt;"",COUNTIFS(C203,"&gt;=36526",C203,"&lt;"&amp;TODAY())+COUNTIFS(D203,"&gt;=36526",D203,"&lt;"&amp;TODAY())+COUNTIFS(E203,"&gt;=36526",E203,"&lt;"&amp;TODAY())+COUNTIFS(F203,"&gt;=36526",F203,"&lt;"&amp;TODAY())&gt;0),1,0)</x:f>
        <x:v>0</x:v>
      </x:c>
      <x:c r="P203" t="n">
        <x:f>P202+IF(AND(A203&lt;&gt;"",COUNTIFS(C203,"&gt;=36526",C203,TODAY())+COUNTIFS(D203,"&gt;=36526",D203,TODAY())+COUNTIFS(E203,"&gt;=36526",E203,TODAY())+COUNTIFS(F203,"&gt;=36526",F203,TODAY())&gt;0),1,0)</x:f>
        <x:v>0</x:v>
      </x:c>
      <x:c r="Q203" t="n">
        <x:f>Q202+IF(AND(A203&lt;&gt;"",COUNTIFS(C203,"&gt;"&amp;TODAY(),C203,"&lt;="&amp;TODAY()+30)+COUNTIFS(D203,"&gt;"&amp;TODAY(),D203,"&lt;="&amp;TODAY()+30)+COUNTIFS(E203,"&gt;"&amp;TODAY(),E203,"&lt;="&amp;TODAY()+30)+COUNTIFS(F203,"&gt;"&amp;TODAY(),F203,"&lt;="&amp;TODAY()+30)&gt;0),1,0)</x:f>
        <x:v>0</x:v>
      </x:c>
      <x:c r="R203" t="n">
        <x:f>R202+IF(OR(LEFT(H203,15)="Missing dates; ",LEFT(H203,16)="Add N/A reason; ",H203="Add dates",H203="Add registration",H203="Check date format"),1,0)</x:f>
        <x:v>0</x:v>
      </x:c>
      <x:c r="S203" t="n">
        <x:f>S202+IF(COUNTIFS(C203:F203,"Reviewed N/A")&gt;0,1,0)</x:f>
        <x:v>0</x:v>
      </x:c>
    </x:row>
    <x:row r="204" ht="48" customHeight="1">
      <x:c r="A204" s="52"/>
      <x:c r="B204" s="52"/>
      <x:c r="C204" s="53"/>
      <x:c r="D204" s="53"/>
      <x:c r="E204" s="53"/>
      <x:c r="F204" s="53"/>
      <x:c r="G204" s="52"/>
      <x:c r="H204" s="21" t="str">
        <x:f>IF(COUNTA(A204:G204,I204)=0,"",IF(A204="","Add registration",IF(OR(COUNTA(C204:F204)&gt;COUNT(C204:F204)+COUNTIFS(C204:F204,"Reviewed N/A"),AND(COUNT(C204:F204)&gt;0,OR(MIN(C204:F204)&lt;36526,MAX(C204:F204)&gt;109574))),"Check date format",IF(AND(COUNTIFS(C204:F204,"Reviewed N/A")&gt;0,I204=""),"Add N/A reason; ","")&amp;IF(COUNT(C204:F204)=0,IF(COUNTIFS(C204:F204,"Reviewed N/A")=4,"No applicable dates recorded","Add dates"),IF(COUNT(C204:F204)+COUNTIFS(C204:F204,"Reviewed N/A")&lt;4,"Missing dates; ","")&amp;IF(MIN(C204:F204)&lt;TODAY(),"Overdue: ",IF(MIN(C204:F204)=TODAY(),"Due today: ",IF(MIN(C204:F204)&lt;=TODAY()+30,"Due within 30 days: ","Next: ")))&amp;INDEX($C$8:$F$8,1,MATCH(MIN(C204:F204),C204:F204,0))&amp;" "&amp;TEXT(MIN(C204:F204),"dd mmm yyyy")))))</x:f>
      </x:c>
      <x:c r="I204" s="52"/>
      <x:c r="J204" t="str">
        <x:f>IF(AND(A204&lt;&gt;"",COUNTIFS(C204,"&gt;=36526",C204,"&lt;"&amp;TODAY())+COUNTIFS(D204,"&gt;=36526",D204,"&lt;"&amp;TODAY())+COUNTIFS(E204,"&gt;=36526",E204,"&lt;"&amp;TODAY())+COUNTIFS(F204,"&gt;=36526",F204,"&lt;"&amp;TODAY())&gt;0),O204,"")</x:f>
      </x:c>
      <x:c r="K204" t="str">
        <x:f>IF(AND(A204&lt;&gt;"",COUNTIFS(C204,"&gt;=36526",C204,TODAY())+COUNTIFS(D204,"&gt;=36526",D204,TODAY())+COUNTIFS(E204,"&gt;=36526",E204,TODAY())+COUNTIFS(F204,"&gt;=36526",F204,TODAY())&gt;0),P204,"")</x:f>
      </x:c>
      <x:c r="L204" t="str">
        <x:f>IF(AND(A204&lt;&gt;"",COUNTIFS(C204,"&gt;"&amp;TODAY(),C204,"&lt;="&amp;TODAY()+30)+COUNTIFS(D204,"&gt;"&amp;TODAY(),D204,"&lt;="&amp;TODAY()+30)+COUNTIFS(E204,"&gt;"&amp;TODAY(),E204,"&lt;="&amp;TODAY()+30)+COUNTIFS(F204,"&gt;"&amp;TODAY(),F204,"&lt;="&amp;TODAY()+30)&gt;0),Q204,"")</x:f>
      </x:c>
      <x:c r="M204" t="str">
        <x:f>IF(OR(LEFT(H204,15)="Missing dates; ",LEFT(H204,16)="Add N/A reason; ",H204="Add dates",H204="Add registration",H204="Check date format"),R204,"")</x:f>
      </x:c>
      <x:c r="N204" t="str">
        <x:f>IF(COUNTIFS(C204:F204,"Reviewed N/A")&gt;0,S204,"")</x:f>
      </x:c>
      <x:c r="O204" t="n">
        <x:f>O203+IF(AND(A204&lt;&gt;"",COUNTIFS(C204,"&gt;=36526",C204,"&lt;"&amp;TODAY())+COUNTIFS(D204,"&gt;=36526",D204,"&lt;"&amp;TODAY())+COUNTIFS(E204,"&gt;=36526",E204,"&lt;"&amp;TODAY())+COUNTIFS(F204,"&gt;=36526",F204,"&lt;"&amp;TODAY())&gt;0),1,0)</x:f>
        <x:v>0</x:v>
      </x:c>
      <x:c r="P204" t="n">
        <x:f>P203+IF(AND(A204&lt;&gt;"",COUNTIFS(C204,"&gt;=36526",C204,TODAY())+COUNTIFS(D204,"&gt;=36526",D204,TODAY())+COUNTIFS(E204,"&gt;=36526",E204,TODAY())+COUNTIFS(F204,"&gt;=36526",F204,TODAY())&gt;0),1,0)</x:f>
        <x:v>0</x:v>
      </x:c>
      <x:c r="Q204" t="n">
        <x:f>Q203+IF(AND(A204&lt;&gt;"",COUNTIFS(C204,"&gt;"&amp;TODAY(),C204,"&lt;="&amp;TODAY()+30)+COUNTIFS(D204,"&gt;"&amp;TODAY(),D204,"&lt;="&amp;TODAY()+30)+COUNTIFS(E204,"&gt;"&amp;TODAY(),E204,"&lt;="&amp;TODAY()+30)+COUNTIFS(F204,"&gt;"&amp;TODAY(),F204,"&lt;="&amp;TODAY()+30)&gt;0),1,0)</x:f>
        <x:v>0</x:v>
      </x:c>
      <x:c r="R204" t="n">
        <x:f>R203+IF(OR(LEFT(H204,15)="Missing dates; ",LEFT(H204,16)="Add N/A reason; ",H204="Add dates",H204="Add registration",H204="Check date format"),1,0)</x:f>
        <x:v>0</x:v>
      </x:c>
      <x:c r="S204" t="n">
        <x:f>S203+IF(COUNTIFS(C204:F204,"Reviewed N/A")&gt;0,1,0)</x:f>
        <x:v>0</x:v>
      </x:c>
    </x:row>
    <x:row r="205" ht="48" customHeight="1">
      <x:c r="A205" s="52"/>
      <x:c r="B205" s="52"/>
      <x:c r="C205" s="53"/>
      <x:c r="D205" s="53"/>
      <x:c r="E205" s="53"/>
      <x:c r="F205" s="53"/>
      <x:c r="G205" s="52"/>
      <x:c r="H205" s="21" t="str">
        <x:f>IF(COUNTA(A205:G205,I205)=0,"",IF(A205="","Add registration",IF(OR(COUNTA(C205:F205)&gt;COUNT(C205:F205)+COUNTIFS(C205:F205,"Reviewed N/A"),AND(COUNT(C205:F205)&gt;0,OR(MIN(C205:F205)&lt;36526,MAX(C205:F205)&gt;109574))),"Check date format",IF(AND(COUNTIFS(C205:F205,"Reviewed N/A")&gt;0,I205=""),"Add N/A reason; ","")&amp;IF(COUNT(C205:F205)=0,IF(COUNTIFS(C205:F205,"Reviewed N/A")=4,"No applicable dates recorded","Add dates"),IF(COUNT(C205:F205)+COUNTIFS(C205:F205,"Reviewed N/A")&lt;4,"Missing dates; ","")&amp;IF(MIN(C205:F205)&lt;TODAY(),"Overdue: ",IF(MIN(C205:F205)=TODAY(),"Due today: ",IF(MIN(C205:F205)&lt;=TODAY()+30,"Due within 30 days: ","Next: ")))&amp;INDEX($C$8:$F$8,1,MATCH(MIN(C205:F205),C205:F205,0))&amp;" "&amp;TEXT(MIN(C205:F205),"dd mmm yyyy")))))</x:f>
      </x:c>
      <x:c r="I205" s="52"/>
      <x:c r="J205" t="str">
        <x:f>IF(AND(A205&lt;&gt;"",COUNTIFS(C205,"&gt;=36526",C205,"&lt;"&amp;TODAY())+COUNTIFS(D205,"&gt;=36526",D205,"&lt;"&amp;TODAY())+COUNTIFS(E205,"&gt;=36526",E205,"&lt;"&amp;TODAY())+COUNTIFS(F205,"&gt;=36526",F205,"&lt;"&amp;TODAY())&gt;0),O205,"")</x:f>
      </x:c>
      <x:c r="K205" t="str">
        <x:f>IF(AND(A205&lt;&gt;"",COUNTIFS(C205,"&gt;=36526",C205,TODAY())+COUNTIFS(D205,"&gt;=36526",D205,TODAY())+COUNTIFS(E205,"&gt;=36526",E205,TODAY())+COUNTIFS(F205,"&gt;=36526",F205,TODAY())&gt;0),P205,"")</x:f>
      </x:c>
      <x:c r="L205" t="str">
        <x:f>IF(AND(A205&lt;&gt;"",COUNTIFS(C205,"&gt;"&amp;TODAY(),C205,"&lt;="&amp;TODAY()+30)+COUNTIFS(D205,"&gt;"&amp;TODAY(),D205,"&lt;="&amp;TODAY()+30)+COUNTIFS(E205,"&gt;"&amp;TODAY(),E205,"&lt;="&amp;TODAY()+30)+COUNTIFS(F205,"&gt;"&amp;TODAY(),F205,"&lt;="&amp;TODAY()+30)&gt;0),Q205,"")</x:f>
      </x:c>
      <x:c r="M205" t="str">
        <x:f>IF(OR(LEFT(H205,15)="Missing dates; ",LEFT(H205,16)="Add N/A reason; ",H205="Add dates",H205="Add registration",H205="Check date format"),R205,"")</x:f>
      </x:c>
      <x:c r="N205" t="str">
        <x:f>IF(COUNTIFS(C205:F205,"Reviewed N/A")&gt;0,S205,"")</x:f>
      </x:c>
      <x:c r="O205" t="n">
        <x:f>O204+IF(AND(A205&lt;&gt;"",COUNTIFS(C205,"&gt;=36526",C205,"&lt;"&amp;TODAY())+COUNTIFS(D205,"&gt;=36526",D205,"&lt;"&amp;TODAY())+COUNTIFS(E205,"&gt;=36526",E205,"&lt;"&amp;TODAY())+COUNTIFS(F205,"&gt;=36526",F205,"&lt;"&amp;TODAY())&gt;0),1,0)</x:f>
        <x:v>0</x:v>
      </x:c>
      <x:c r="P205" t="n">
        <x:f>P204+IF(AND(A205&lt;&gt;"",COUNTIFS(C205,"&gt;=36526",C205,TODAY())+COUNTIFS(D205,"&gt;=36526",D205,TODAY())+COUNTIFS(E205,"&gt;=36526",E205,TODAY())+COUNTIFS(F205,"&gt;=36526",F205,TODAY())&gt;0),1,0)</x:f>
        <x:v>0</x:v>
      </x:c>
      <x:c r="Q205" t="n">
        <x:f>Q204+IF(AND(A205&lt;&gt;"",COUNTIFS(C205,"&gt;"&amp;TODAY(),C205,"&lt;="&amp;TODAY()+30)+COUNTIFS(D205,"&gt;"&amp;TODAY(),D205,"&lt;="&amp;TODAY()+30)+COUNTIFS(E205,"&gt;"&amp;TODAY(),E205,"&lt;="&amp;TODAY()+30)+COUNTIFS(F205,"&gt;"&amp;TODAY(),F205,"&lt;="&amp;TODAY()+30)&gt;0),1,0)</x:f>
        <x:v>0</x:v>
      </x:c>
      <x:c r="R205" t="n">
        <x:f>R204+IF(OR(LEFT(H205,15)="Missing dates; ",LEFT(H205,16)="Add N/A reason; ",H205="Add dates",H205="Add registration",H205="Check date format"),1,0)</x:f>
        <x:v>0</x:v>
      </x:c>
      <x:c r="S205" t="n">
        <x:f>S204+IF(COUNTIFS(C205:F205,"Reviewed N/A")&gt;0,1,0)</x:f>
        <x:v>0</x:v>
      </x:c>
    </x:row>
    <x:row r="206" ht="48" customHeight="1">
      <x:c r="A206" s="52"/>
      <x:c r="B206" s="52"/>
      <x:c r="C206" s="53"/>
      <x:c r="D206" s="53"/>
      <x:c r="E206" s="53"/>
      <x:c r="F206" s="53"/>
      <x:c r="G206" s="52"/>
      <x:c r="H206" s="21" t="str">
        <x:f>IF(COUNTA(A206:G206,I206)=0,"",IF(A206="","Add registration",IF(OR(COUNTA(C206:F206)&gt;COUNT(C206:F206)+COUNTIFS(C206:F206,"Reviewed N/A"),AND(COUNT(C206:F206)&gt;0,OR(MIN(C206:F206)&lt;36526,MAX(C206:F206)&gt;109574))),"Check date format",IF(AND(COUNTIFS(C206:F206,"Reviewed N/A")&gt;0,I206=""),"Add N/A reason; ","")&amp;IF(COUNT(C206:F206)=0,IF(COUNTIFS(C206:F206,"Reviewed N/A")=4,"No applicable dates recorded","Add dates"),IF(COUNT(C206:F206)+COUNTIFS(C206:F206,"Reviewed N/A")&lt;4,"Missing dates; ","")&amp;IF(MIN(C206:F206)&lt;TODAY(),"Overdue: ",IF(MIN(C206:F206)=TODAY(),"Due today: ",IF(MIN(C206:F206)&lt;=TODAY()+30,"Due within 30 days: ","Next: ")))&amp;INDEX($C$8:$F$8,1,MATCH(MIN(C206:F206),C206:F206,0))&amp;" "&amp;TEXT(MIN(C206:F206),"dd mmm yyyy")))))</x:f>
      </x:c>
      <x:c r="I206" s="52"/>
      <x:c r="J206" t="str">
        <x:f>IF(AND(A206&lt;&gt;"",COUNTIFS(C206,"&gt;=36526",C206,"&lt;"&amp;TODAY())+COUNTIFS(D206,"&gt;=36526",D206,"&lt;"&amp;TODAY())+COUNTIFS(E206,"&gt;=36526",E206,"&lt;"&amp;TODAY())+COUNTIFS(F206,"&gt;=36526",F206,"&lt;"&amp;TODAY())&gt;0),O206,"")</x:f>
      </x:c>
      <x:c r="K206" t="str">
        <x:f>IF(AND(A206&lt;&gt;"",COUNTIFS(C206,"&gt;=36526",C206,TODAY())+COUNTIFS(D206,"&gt;=36526",D206,TODAY())+COUNTIFS(E206,"&gt;=36526",E206,TODAY())+COUNTIFS(F206,"&gt;=36526",F206,TODAY())&gt;0),P206,"")</x:f>
      </x:c>
      <x:c r="L206" t="str">
        <x:f>IF(AND(A206&lt;&gt;"",COUNTIFS(C206,"&gt;"&amp;TODAY(),C206,"&lt;="&amp;TODAY()+30)+COUNTIFS(D206,"&gt;"&amp;TODAY(),D206,"&lt;="&amp;TODAY()+30)+COUNTIFS(E206,"&gt;"&amp;TODAY(),E206,"&lt;="&amp;TODAY()+30)+COUNTIFS(F206,"&gt;"&amp;TODAY(),F206,"&lt;="&amp;TODAY()+30)&gt;0),Q206,"")</x:f>
      </x:c>
      <x:c r="M206" t="str">
        <x:f>IF(OR(LEFT(H206,15)="Missing dates; ",LEFT(H206,16)="Add N/A reason; ",H206="Add dates",H206="Add registration",H206="Check date format"),R206,"")</x:f>
      </x:c>
      <x:c r="N206" t="str">
        <x:f>IF(COUNTIFS(C206:F206,"Reviewed N/A")&gt;0,S206,"")</x:f>
      </x:c>
      <x:c r="O206" t="n">
        <x:f>O205+IF(AND(A206&lt;&gt;"",COUNTIFS(C206,"&gt;=36526",C206,"&lt;"&amp;TODAY())+COUNTIFS(D206,"&gt;=36526",D206,"&lt;"&amp;TODAY())+COUNTIFS(E206,"&gt;=36526",E206,"&lt;"&amp;TODAY())+COUNTIFS(F206,"&gt;=36526",F206,"&lt;"&amp;TODAY())&gt;0),1,0)</x:f>
        <x:v>0</x:v>
      </x:c>
      <x:c r="P206" t="n">
        <x:f>P205+IF(AND(A206&lt;&gt;"",COUNTIFS(C206,"&gt;=36526",C206,TODAY())+COUNTIFS(D206,"&gt;=36526",D206,TODAY())+COUNTIFS(E206,"&gt;=36526",E206,TODAY())+COUNTIFS(F206,"&gt;=36526",F206,TODAY())&gt;0),1,0)</x:f>
        <x:v>0</x:v>
      </x:c>
      <x:c r="Q206" t="n">
        <x:f>Q205+IF(AND(A206&lt;&gt;"",COUNTIFS(C206,"&gt;"&amp;TODAY(),C206,"&lt;="&amp;TODAY()+30)+COUNTIFS(D206,"&gt;"&amp;TODAY(),D206,"&lt;="&amp;TODAY()+30)+COUNTIFS(E206,"&gt;"&amp;TODAY(),E206,"&lt;="&amp;TODAY()+30)+COUNTIFS(F206,"&gt;"&amp;TODAY(),F206,"&lt;="&amp;TODAY()+30)&gt;0),1,0)</x:f>
        <x:v>0</x:v>
      </x:c>
      <x:c r="R206" t="n">
        <x:f>R205+IF(OR(LEFT(H206,15)="Missing dates; ",LEFT(H206,16)="Add N/A reason; ",H206="Add dates",H206="Add registration",H206="Check date format"),1,0)</x:f>
        <x:v>0</x:v>
      </x:c>
      <x:c r="S206" t="n">
        <x:f>S205+IF(COUNTIFS(C206:F206,"Reviewed N/A")&gt;0,1,0)</x:f>
        <x:v>0</x:v>
      </x:c>
    </x:row>
    <x:row r="207" ht="48" customHeight="1">
      <x:c r="A207" s="52"/>
      <x:c r="B207" s="52"/>
      <x:c r="C207" s="53"/>
      <x:c r="D207" s="53"/>
      <x:c r="E207" s="53"/>
      <x:c r="F207" s="53"/>
      <x:c r="G207" s="52"/>
      <x:c r="H207" s="21" t="str">
        <x:f>IF(COUNTA(A207:G207,I207)=0,"",IF(A207="","Add registration",IF(OR(COUNTA(C207:F207)&gt;COUNT(C207:F207)+COUNTIFS(C207:F207,"Reviewed N/A"),AND(COUNT(C207:F207)&gt;0,OR(MIN(C207:F207)&lt;36526,MAX(C207:F207)&gt;109574))),"Check date format",IF(AND(COUNTIFS(C207:F207,"Reviewed N/A")&gt;0,I207=""),"Add N/A reason; ","")&amp;IF(COUNT(C207:F207)=0,IF(COUNTIFS(C207:F207,"Reviewed N/A")=4,"No applicable dates recorded","Add dates"),IF(COUNT(C207:F207)+COUNTIFS(C207:F207,"Reviewed N/A")&lt;4,"Missing dates; ","")&amp;IF(MIN(C207:F207)&lt;TODAY(),"Overdue: ",IF(MIN(C207:F207)=TODAY(),"Due today: ",IF(MIN(C207:F207)&lt;=TODAY()+30,"Due within 30 days: ","Next: ")))&amp;INDEX($C$8:$F$8,1,MATCH(MIN(C207:F207),C207:F207,0))&amp;" "&amp;TEXT(MIN(C207:F207),"dd mmm yyyy")))))</x:f>
      </x:c>
      <x:c r="I207" s="52"/>
      <x:c r="J207" t="str">
        <x:f>IF(AND(A207&lt;&gt;"",COUNTIFS(C207,"&gt;=36526",C207,"&lt;"&amp;TODAY())+COUNTIFS(D207,"&gt;=36526",D207,"&lt;"&amp;TODAY())+COUNTIFS(E207,"&gt;=36526",E207,"&lt;"&amp;TODAY())+COUNTIFS(F207,"&gt;=36526",F207,"&lt;"&amp;TODAY())&gt;0),O207,"")</x:f>
      </x:c>
      <x:c r="K207" t="str">
        <x:f>IF(AND(A207&lt;&gt;"",COUNTIFS(C207,"&gt;=36526",C207,TODAY())+COUNTIFS(D207,"&gt;=36526",D207,TODAY())+COUNTIFS(E207,"&gt;=36526",E207,TODAY())+COUNTIFS(F207,"&gt;=36526",F207,TODAY())&gt;0),P207,"")</x:f>
      </x:c>
      <x:c r="L207" t="str">
        <x:f>IF(AND(A207&lt;&gt;"",COUNTIFS(C207,"&gt;"&amp;TODAY(),C207,"&lt;="&amp;TODAY()+30)+COUNTIFS(D207,"&gt;"&amp;TODAY(),D207,"&lt;="&amp;TODAY()+30)+COUNTIFS(E207,"&gt;"&amp;TODAY(),E207,"&lt;="&amp;TODAY()+30)+COUNTIFS(F207,"&gt;"&amp;TODAY(),F207,"&lt;="&amp;TODAY()+30)&gt;0),Q207,"")</x:f>
      </x:c>
      <x:c r="M207" t="str">
        <x:f>IF(OR(LEFT(H207,15)="Missing dates; ",LEFT(H207,16)="Add N/A reason; ",H207="Add dates",H207="Add registration",H207="Check date format"),R207,"")</x:f>
      </x:c>
      <x:c r="N207" t="str">
        <x:f>IF(COUNTIFS(C207:F207,"Reviewed N/A")&gt;0,S207,"")</x:f>
      </x:c>
      <x:c r="O207" t="n">
        <x:f>O206+IF(AND(A207&lt;&gt;"",COUNTIFS(C207,"&gt;=36526",C207,"&lt;"&amp;TODAY())+COUNTIFS(D207,"&gt;=36526",D207,"&lt;"&amp;TODAY())+COUNTIFS(E207,"&gt;=36526",E207,"&lt;"&amp;TODAY())+COUNTIFS(F207,"&gt;=36526",F207,"&lt;"&amp;TODAY())&gt;0),1,0)</x:f>
        <x:v>0</x:v>
      </x:c>
      <x:c r="P207" t="n">
        <x:f>P206+IF(AND(A207&lt;&gt;"",COUNTIFS(C207,"&gt;=36526",C207,TODAY())+COUNTIFS(D207,"&gt;=36526",D207,TODAY())+COUNTIFS(E207,"&gt;=36526",E207,TODAY())+COUNTIFS(F207,"&gt;=36526",F207,TODAY())&gt;0),1,0)</x:f>
        <x:v>0</x:v>
      </x:c>
      <x:c r="Q207" t="n">
        <x:f>Q206+IF(AND(A207&lt;&gt;"",COUNTIFS(C207,"&gt;"&amp;TODAY(),C207,"&lt;="&amp;TODAY()+30)+COUNTIFS(D207,"&gt;"&amp;TODAY(),D207,"&lt;="&amp;TODAY()+30)+COUNTIFS(E207,"&gt;"&amp;TODAY(),E207,"&lt;="&amp;TODAY()+30)+COUNTIFS(F207,"&gt;"&amp;TODAY(),F207,"&lt;="&amp;TODAY()+30)&gt;0),1,0)</x:f>
        <x:v>0</x:v>
      </x:c>
      <x:c r="R207" t="n">
        <x:f>R206+IF(OR(LEFT(H207,15)="Missing dates; ",LEFT(H207,16)="Add N/A reason; ",H207="Add dates",H207="Add registration",H207="Check date format"),1,0)</x:f>
        <x:v>0</x:v>
      </x:c>
      <x:c r="S207" t="n">
        <x:f>S206+IF(COUNTIFS(C207:F207,"Reviewed N/A")&gt;0,1,0)</x:f>
        <x:v>0</x:v>
      </x:c>
    </x:row>
    <x:row r="208" ht="48" customHeight="1">
      <x:c r="A208" s="52"/>
      <x:c r="B208" s="52"/>
      <x:c r="C208" s="53"/>
      <x:c r="D208" s="53"/>
      <x:c r="E208" s="53"/>
      <x:c r="F208" s="53"/>
      <x:c r="G208" s="52"/>
      <x:c r="H208" s="21" t="str">
        <x:f>IF(COUNTA(A208:G208,I208)=0,"",IF(A208="","Add registration",IF(OR(COUNTA(C208:F208)&gt;COUNT(C208:F208)+COUNTIFS(C208:F208,"Reviewed N/A"),AND(COUNT(C208:F208)&gt;0,OR(MIN(C208:F208)&lt;36526,MAX(C208:F208)&gt;109574))),"Check date format",IF(AND(COUNTIFS(C208:F208,"Reviewed N/A")&gt;0,I208=""),"Add N/A reason; ","")&amp;IF(COUNT(C208:F208)=0,IF(COUNTIFS(C208:F208,"Reviewed N/A")=4,"No applicable dates recorded","Add dates"),IF(COUNT(C208:F208)+COUNTIFS(C208:F208,"Reviewed N/A")&lt;4,"Missing dates; ","")&amp;IF(MIN(C208:F208)&lt;TODAY(),"Overdue: ",IF(MIN(C208:F208)=TODAY(),"Due today: ",IF(MIN(C208:F208)&lt;=TODAY()+30,"Due within 30 days: ","Next: ")))&amp;INDEX($C$8:$F$8,1,MATCH(MIN(C208:F208),C208:F208,0))&amp;" "&amp;TEXT(MIN(C208:F208),"dd mmm yyyy")))))</x:f>
      </x:c>
      <x:c r="I208" s="52"/>
      <x:c r="J208" t="str">
        <x:f>IF(AND(A208&lt;&gt;"",COUNTIFS(C208,"&gt;=36526",C208,"&lt;"&amp;TODAY())+COUNTIFS(D208,"&gt;=36526",D208,"&lt;"&amp;TODAY())+COUNTIFS(E208,"&gt;=36526",E208,"&lt;"&amp;TODAY())+COUNTIFS(F208,"&gt;=36526",F208,"&lt;"&amp;TODAY())&gt;0),O208,"")</x:f>
      </x:c>
      <x:c r="K208" t="str">
        <x:f>IF(AND(A208&lt;&gt;"",COUNTIFS(C208,"&gt;=36526",C208,TODAY())+COUNTIFS(D208,"&gt;=36526",D208,TODAY())+COUNTIFS(E208,"&gt;=36526",E208,TODAY())+COUNTIFS(F208,"&gt;=36526",F208,TODAY())&gt;0),P208,"")</x:f>
      </x:c>
      <x:c r="L208" t="str">
        <x:f>IF(AND(A208&lt;&gt;"",COUNTIFS(C208,"&gt;"&amp;TODAY(),C208,"&lt;="&amp;TODAY()+30)+COUNTIFS(D208,"&gt;"&amp;TODAY(),D208,"&lt;="&amp;TODAY()+30)+COUNTIFS(E208,"&gt;"&amp;TODAY(),E208,"&lt;="&amp;TODAY()+30)+COUNTIFS(F208,"&gt;"&amp;TODAY(),F208,"&lt;="&amp;TODAY()+30)&gt;0),Q208,"")</x:f>
      </x:c>
      <x:c r="M208" t="str">
        <x:f>IF(OR(LEFT(H208,15)="Missing dates; ",LEFT(H208,16)="Add N/A reason; ",H208="Add dates",H208="Add registration",H208="Check date format"),R208,"")</x:f>
      </x:c>
      <x:c r="N208" t="str">
        <x:f>IF(COUNTIFS(C208:F208,"Reviewed N/A")&gt;0,S208,"")</x:f>
      </x:c>
      <x:c r="O208" t="n">
        <x:f>O207+IF(AND(A208&lt;&gt;"",COUNTIFS(C208,"&gt;=36526",C208,"&lt;"&amp;TODAY())+COUNTIFS(D208,"&gt;=36526",D208,"&lt;"&amp;TODAY())+COUNTIFS(E208,"&gt;=36526",E208,"&lt;"&amp;TODAY())+COUNTIFS(F208,"&gt;=36526",F208,"&lt;"&amp;TODAY())&gt;0),1,0)</x:f>
        <x:v>0</x:v>
      </x:c>
      <x:c r="P208" t="n">
        <x:f>P207+IF(AND(A208&lt;&gt;"",COUNTIFS(C208,"&gt;=36526",C208,TODAY())+COUNTIFS(D208,"&gt;=36526",D208,TODAY())+COUNTIFS(E208,"&gt;=36526",E208,TODAY())+COUNTIFS(F208,"&gt;=36526",F208,TODAY())&gt;0),1,0)</x:f>
        <x:v>0</x:v>
      </x:c>
      <x:c r="Q208" t="n">
        <x:f>Q207+IF(AND(A208&lt;&gt;"",COUNTIFS(C208,"&gt;"&amp;TODAY(),C208,"&lt;="&amp;TODAY()+30)+COUNTIFS(D208,"&gt;"&amp;TODAY(),D208,"&lt;="&amp;TODAY()+30)+COUNTIFS(E208,"&gt;"&amp;TODAY(),E208,"&lt;="&amp;TODAY()+30)+COUNTIFS(F208,"&gt;"&amp;TODAY(),F208,"&lt;="&amp;TODAY()+30)&gt;0),1,0)</x:f>
        <x:v>0</x:v>
      </x:c>
      <x:c r="R208" t="n">
        <x:f>R207+IF(OR(LEFT(H208,15)="Missing dates; ",LEFT(H208,16)="Add N/A reason; ",H208="Add dates",H208="Add registration",H208="Check date format"),1,0)</x:f>
        <x:v>0</x:v>
      </x:c>
      <x:c r="S208" t="n">
        <x:f>S207+IF(COUNTIFS(C208:F208,"Reviewed N/A")&gt;0,1,0)</x:f>
        <x:v>0</x:v>
      </x:c>
    </x:row>
    <x:row r="209" ht="48" customHeight="1">
      <x:c r="A209" s="52"/>
      <x:c r="B209" s="52"/>
      <x:c r="C209" s="53"/>
      <x:c r="D209" s="53"/>
      <x:c r="E209" s="53"/>
      <x:c r="F209" s="53"/>
      <x:c r="G209" s="52"/>
      <x:c r="H209" s="21" t="str">
        <x:f>IF(COUNTA(A209:G209,I209)=0,"",IF(A209="","Add registration",IF(OR(COUNTA(C209:F209)&gt;COUNT(C209:F209)+COUNTIFS(C209:F209,"Reviewed N/A"),AND(COUNT(C209:F209)&gt;0,OR(MIN(C209:F209)&lt;36526,MAX(C209:F209)&gt;109574))),"Check date format",IF(AND(COUNTIFS(C209:F209,"Reviewed N/A")&gt;0,I209=""),"Add N/A reason; ","")&amp;IF(COUNT(C209:F209)=0,IF(COUNTIFS(C209:F209,"Reviewed N/A")=4,"No applicable dates recorded","Add dates"),IF(COUNT(C209:F209)+COUNTIFS(C209:F209,"Reviewed N/A")&lt;4,"Missing dates; ","")&amp;IF(MIN(C209:F209)&lt;TODAY(),"Overdue: ",IF(MIN(C209:F209)=TODAY(),"Due today: ",IF(MIN(C209:F209)&lt;=TODAY()+30,"Due within 30 days: ","Next: ")))&amp;INDEX($C$8:$F$8,1,MATCH(MIN(C209:F209),C209:F209,0))&amp;" "&amp;TEXT(MIN(C209:F209),"dd mmm yyyy")))))</x:f>
      </x:c>
      <x:c r="I209" s="52"/>
      <x:c r="J209" t="str">
        <x:f>IF(AND(A209&lt;&gt;"",COUNTIFS(C209,"&gt;=36526",C209,"&lt;"&amp;TODAY())+COUNTIFS(D209,"&gt;=36526",D209,"&lt;"&amp;TODAY())+COUNTIFS(E209,"&gt;=36526",E209,"&lt;"&amp;TODAY())+COUNTIFS(F209,"&gt;=36526",F209,"&lt;"&amp;TODAY())&gt;0),O209,"")</x:f>
      </x:c>
      <x:c r="K209" t="str">
        <x:f>IF(AND(A209&lt;&gt;"",COUNTIFS(C209,"&gt;=36526",C209,TODAY())+COUNTIFS(D209,"&gt;=36526",D209,TODAY())+COUNTIFS(E209,"&gt;=36526",E209,TODAY())+COUNTIFS(F209,"&gt;=36526",F209,TODAY())&gt;0),P209,"")</x:f>
      </x:c>
      <x:c r="L209" t="str">
        <x:f>IF(AND(A209&lt;&gt;"",COUNTIFS(C209,"&gt;"&amp;TODAY(),C209,"&lt;="&amp;TODAY()+30)+COUNTIFS(D209,"&gt;"&amp;TODAY(),D209,"&lt;="&amp;TODAY()+30)+COUNTIFS(E209,"&gt;"&amp;TODAY(),E209,"&lt;="&amp;TODAY()+30)+COUNTIFS(F209,"&gt;"&amp;TODAY(),F209,"&lt;="&amp;TODAY()+30)&gt;0),Q209,"")</x:f>
      </x:c>
      <x:c r="M209" t="str">
        <x:f>IF(OR(LEFT(H209,15)="Missing dates; ",LEFT(H209,16)="Add N/A reason; ",H209="Add dates",H209="Add registration",H209="Check date format"),R209,"")</x:f>
      </x:c>
      <x:c r="N209" t="str">
        <x:f>IF(COUNTIFS(C209:F209,"Reviewed N/A")&gt;0,S209,"")</x:f>
      </x:c>
      <x:c r="O209" t="n">
        <x:f>O208+IF(AND(A209&lt;&gt;"",COUNTIFS(C209,"&gt;=36526",C209,"&lt;"&amp;TODAY())+COUNTIFS(D209,"&gt;=36526",D209,"&lt;"&amp;TODAY())+COUNTIFS(E209,"&gt;=36526",E209,"&lt;"&amp;TODAY())+COUNTIFS(F209,"&gt;=36526",F209,"&lt;"&amp;TODAY())&gt;0),1,0)</x:f>
        <x:v>0</x:v>
      </x:c>
      <x:c r="P209" t="n">
        <x:f>P208+IF(AND(A209&lt;&gt;"",COUNTIFS(C209,"&gt;=36526",C209,TODAY())+COUNTIFS(D209,"&gt;=36526",D209,TODAY())+COUNTIFS(E209,"&gt;=36526",E209,TODAY())+COUNTIFS(F209,"&gt;=36526",F209,TODAY())&gt;0),1,0)</x:f>
        <x:v>0</x:v>
      </x:c>
      <x:c r="Q209" t="n">
        <x:f>Q208+IF(AND(A209&lt;&gt;"",COUNTIFS(C209,"&gt;"&amp;TODAY(),C209,"&lt;="&amp;TODAY()+30)+COUNTIFS(D209,"&gt;"&amp;TODAY(),D209,"&lt;="&amp;TODAY()+30)+COUNTIFS(E209,"&gt;"&amp;TODAY(),E209,"&lt;="&amp;TODAY()+30)+COUNTIFS(F209,"&gt;"&amp;TODAY(),F209,"&lt;="&amp;TODAY()+30)&gt;0),1,0)</x:f>
        <x:v>0</x:v>
      </x:c>
      <x:c r="R209" t="n">
        <x:f>R208+IF(OR(LEFT(H209,15)="Missing dates; ",LEFT(H209,16)="Add N/A reason; ",H209="Add dates",H209="Add registration",H209="Check date format"),1,0)</x:f>
        <x:v>0</x:v>
      </x:c>
      <x:c r="S209" t="n">
        <x:f>S208+IF(COUNTIFS(C209:F209,"Reviewed N/A")&gt;0,1,0)</x:f>
        <x:v>0</x:v>
      </x:c>
    </x:row>
    <x:row r="210" ht="48" customHeight="1">
      <x:c r="A210" s="52"/>
      <x:c r="B210" s="52"/>
      <x:c r="C210" s="53"/>
      <x:c r="D210" s="53"/>
      <x:c r="E210" s="53"/>
      <x:c r="F210" s="53"/>
      <x:c r="G210" s="52"/>
      <x:c r="H210" s="21" t="str">
        <x:f>IF(COUNTA(A210:G210,I210)=0,"",IF(A210="","Add registration",IF(OR(COUNTA(C210:F210)&gt;COUNT(C210:F210)+COUNTIFS(C210:F210,"Reviewed N/A"),AND(COUNT(C210:F210)&gt;0,OR(MIN(C210:F210)&lt;36526,MAX(C210:F210)&gt;109574))),"Check date format",IF(AND(COUNTIFS(C210:F210,"Reviewed N/A")&gt;0,I210=""),"Add N/A reason; ","")&amp;IF(COUNT(C210:F210)=0,IF(COUNTIFS(C210:F210,"Reviewed N/A")=4,"No applicable dates recorded","Add dates"),IF(COUNT(C210:F210)+COUNTIFS(C210:F210,"Reviewed N/A")&lt;4,"Missing dates; ","")&amp;IF(MIN(C210:F210)&lt;TODAY(),"Overdue: ",IF(MIN(C210:F210)=TODAY(),"Due today: ",IF(MIN(C210:F210)&lt;=TODAY()+30,"Due within 30 days: ","Next: ")))&amp;INDEX($C$8:$F$8,1,MATCH(MIN(C210:F210),C210:F210,0))&amp;" "&amp;TEXT(MIN(C210:F210),"dd mmm yyyy")))))</x:f>
      </x:c>
      <x:c r="I210" s="52"/>
      <x:c r="J210" t="str">
        <x:f>IF(AND(A210&lt;&gt;"",COUNTIFS(C210,"&gt;=36526",C210,"&lt;"&amp;TODAY())+COUNTIFS(D210,"&gt;=36526",D210,"&lt;"&amp;TODAY())+COUNTIFS(E210,"&gt;=36526",E210,"&lt;"&amp;TODAY())+COUNTIFS(F210,"&gt;=36526",F210,"&lt;"&amp;TODAY())&gt;0),O210,"")</x:f>
      </x:c>
      <x:c r="K210" t="str">
        <x:f>IF(AND(A210&lt;&gt;"",COUNTIFS(C210,"&gt;=36526",C210,TODAY())+COUNTIFS(D210,"&gt;=36526",D210,TODAY())+COUNTIFS(E210,"&gt;=36526",E210,TODAY())+COUNTIFS(F210,"&gt;=36526",F210,TODAY())&gt;0),P210,"")</x:f>
      </x:c>
      <x:c r="L210" t="str">
        <x:f>IF(AND(A210&lt;&gt;"",COUNTIFS(C210,"&gt;"&amp;TODAY(),C210,"&lt;="&amp;TODAY()+30)+COUNTIFS(D210,"&gt;"&amp;TODAY(),D210,"&lt;="&amp;TODAY()+30)+COUNTIFS(E210,"&gt;"&amp;TODAY(),E210,"&lt;="&amp;TODAY()+30)+COUNTIFS(F210,"&gt;"&amp;TODAY(),F210,"&lt;="&amp;TODAY()+30)&gt;0),Q210,"")</x:f>
      </x:c>
      <x:c r="M210" t="str">
        <x:f>IF(OR(LEFT(H210,15)="Missing dates; ",LEFT(H210,16)="Add N/A reason; ",H210="Add dates",H210="Add registration",H210="Check date format"),R210,"")</x:f>
      </x:c>
      <x:c r="N210" t="str">
        <x:f>IF(COUNTIFS(C210:F210,"Reviewed N/A")&gt;0,S210,"")</x:f>
      </x:c>
      <x:c r="O210" t="n">
        <x:f>O209+IF(AND(A210&lt;&gt;"",COUNTIFS(C210,"&gt;=36526",C210,"&lt;"&amp;TODAY())+COUNTIFS(D210,"&gt;=36526",D210,"&lt;"&amp;TODAY())+COUNTIFS(E210,"&gt;=36526",E210,"&lt;"&amp;TODAY())+COUNTIFS(F210,"&gt;=36526",F210,"&lt;"&amp;TODAY())&gt;0),1,0)</x:f>
        <x:v>0</x:v>
      </x:c>
      <x:c r="P210" t="n">
        <x:f>P209+IF(AND(A210&lt;&gt;"",COUNTIFS(C210,"&gt;=36526",C210,TODAY())+COUNTIFS(D210,"&gt;=36526",D210,TODAY())+COUNTIFS(E210,"&gt;=36526",E210,TODAY())+COUNTIFS(F210,"&gt;=36526",F210,TODAY())&gt;0),1,0)</x:f>
        <x:v>0</x:v>
      </x:c>
      <x:c r="Q210" t="n">
        <x:f>Q209+IF(AND(A210&lt;&gt;"",COUNTIFS(C210,"&gt;"&amp;TODAY(),C210,"&lt;="&amp;TODAY()+30)+COUNTIFS(D210,"&gt;"&amp;TODAY(),D210,"&lt;="&amp;TODAY()+30)+COUNTIFS(E210,"&gt;"&amp;TODAY(),E210,"&lt;="&amp;TODAY()+30)+COUNTIFS(F210,"&gt;"&amp;TODAY(),F210,"&lt;="&amp;TODAY()+30)&gt;0),1,0)</x:f>
        <x:v>0</x:v>
      </x:c>
      <x:c r="R210" t="n">
        <x:f>R209+IF(OR(LEFT(H210,15)="Missing dates; ",LEFT(H210,16)="Add N/A reason; ",H210="Add dates",H210="Add registration",H210="Check date format"),1,0)</x:f>
        <x:v>0</x:v>
      </x:c>
      <x:c r="S210" t="n">
        <x:f>S209+IF(COUNTIFS(C210:F210,"Reviewed N/A")&gt;0,1,0)</x:f>
        <x:v>0</x:v>
      </x:c>
    </x:row>
    <x:row r="211" ht="48" customHeight="1">
      <x:c r="A211" s="52"/>
      <x:c r="B211" s="52"/>
      <x:c r="C211" s="53"/>
      <x:c r="D211" s="53"/>
      <x:c r="E211" s="53"/>
      <x:c r="F211" s="53"/>
      <x:c r="G211" s="52"/>
      <x:c r="H211" s="21" t="str">
        <x:f>IF(COUNTA(A211:G211,I211)=0,"",IF(A211="","Add registration",IF(OR(COUNTA(C211:F211)&gt;COUNT(C211:F211)+COUNTIFS(C211:F211,"Reviewed N/A"),AND(COUNT(C211:F211)&gt;0,OR(MIN(C211:F211)&lt;36526,MAX(C211:F211)&gt;109574))),"Check date format",IF(AND(COUNTIFS(C211:F211,"Reviewed N/A")&gt;0,I211=""),"Add N/A reason; ","")&amp;IF(COUNT(C211:F211)=0,IF(COUNTIFS(C211:F211,"Reviewed N/A")=4,"No applicable dates recorded","Add dates"),IF(COUNT(C211:F211)+COUNTIFS(C211:F211,"Reviewed N/A")&lt;4,"Missing dates; ","")&amp;IF(MIN(C211:F211)&lt;TODAY(),"Overdue: ",IF(MIN(C211:F211)=TODAY(),"Due today: ",IF(MIN(C211:F211)&lt;=TODAY()+30,"Due within 30 days: ","Next: ")))&amp;INDEX($C$8:$F$8,1,MATCH(MIN(C211:F211),C211:F211,0))&amp;" "&amp;TEXT(MIN(C211:F211),"dd mmm yyyy")))))</x:f>
      </x:c>
      <x:c r="I211" s="52"/>
      <x:c r="J211" t="str">
        <x:f>IF(AND(A211&lt;&gt;"",COUNTIFS(C211,"&gt;=36526",C211,"&lt;"&amp;TODAY())+COUNTIFS(D211,"&gt;=36526",D211,"&lt;"&amp;TODAY())+COUNTIFS(E211,"&gt;=36526",E211,"&lt;"&amp;TODAY())+COUNTIFS(F211,"&gt;=36526",F211,"&lt;"&amp;TODAY())&gt;0),O211,"")</x:f>
      </x:c>
      <x:c r="K211" t="str">
        <x:f>IF(AND(A211&lt;&gt;"",COUNTIFS(C211,"&gt;=36526",C211,TODAY())+COUNTIFS(D211,"&gt;=36526",D211,TODAY())+COUNTIFS(E211,"&gt;=36526",E211,TODAY())+COUNTIFS(F211,"&gt;=36526",F211,TODAY())&gt;0),P211,"")</x:f>
      </x:c>
      <x:c r="L211" t="str">
        <x:f>IF(AND(A211&lt;&gt;"",COUNTIFS(C211,"&gt;"&amp;TODAY(),C211,"&lt;="&amp;TODAY()+30)+COUNTIFS(D211,"&gt;"&amp;TODAY(),D211,"&lt;="&amp;TODAY()+30)+COUNTIFS(E211,"&gt;"&amp;TODAY(),E211,"&lt;="&amp;TODAY()+30)+COUNTIFS(F211,"&gt;"&amp;TODAY(),F211,"&lt;="&amp;TODAY()+30)&gt;0),Q211,"")</x:f>
      </x:c>
      <x:c r="M211" t="str">
        <x:f>IF(OR(LEFT(H211,15)="Missing dates; ",LEFT(H211,16)="Add N/A reason; ",H211="Add dates",H211="Add registration",H211="Check date format"),R211,"")</x:f>
      </x:c>
      <x:c r="N211" t="str">
        <x:f>IF(COUNTIFS(C211:F211,"Reviewed N/A")&gt;0,S211,"")</x:f>
      </x:c>
      <x:c r="O211" t="n">
        <x:f>O210+IF(AND(A211&lt;&gt;"",COUNTIFS(C211,"&gt;=36526",C211,"&lt;"&amp;TODAY())+COUNTIFS(D211,"&gt;=36526",D211,"&lt;"&amp;TODAY())+COUNTIFS(E211,"&gt;=36526",E211,"&lt;"&amp;TODAY())+COUNTIFS(F211,"&gt;=36526",F211,"&lt;"&amp;TODAY())&gt;0),1,0)</x:f>
        <x:v>0</x:v>
      </x:c>
      <x:c r="P211" t="n">
        <x:f>P210+IF(AND(A211&lt;&gt;"",COUNTIFS(C211,"&gt;=36526",C211,TODAY())+COUNTIFS(D211,"&gt;=36526",D211,TODAY())+COUNTIFS(E211,"&gt;=36526",E211,TODAY())+COUNTIFS(F211,"&gt;=36526",F211,TODAY())&gt;0),1,0)</x:f>
        <x:v>0</x:v>
      </x:c>
      <x:c r="Q211" t="n">
        <x:f>Q210+IF(AND(A211&lt;&gt;"",COUNTIFS(C211,"&gt;"&amp;TODAY(),C211,"&lt;="&amp;TODAY()+30)+COUNTIFS(D211,"&gt;"&amp;TODAY(),D211,"&lt;="&amp;TODAY()+30)+COUNTIFS(E211,"&gt;"&amp;TODAY(),E211,"&lt;="&amp;TODAY()+30)+COUNTIFS(F211,"&gt;"&amp;TODAY(),F211,"&lt;="&amp;TODAY()+30)&gt;0),1,0)</x:f>
        <x:v>0</x:v>
      </x:c>
      <x:c r="R211" t="n">
        <x:f>R210+IF(OR(LEFT(H211,15)="Missing dates; ",LEFT(H211,16)="Add N/A reason; ",H211="Add dates",H211="Add registration",H211="Check date format"),1,0)</x:f>
        <x:v>0</x:v>
      </x:c>
      <x:c r="S211" t="n">
        <x:f>S210+IF(COUNTIFS(C211:F211,"Reviewed N/A")&gt;0,1,0)</x:f>
        <x:v>0</x:v>
      </x:c>
    </x:row>
    <x:row r="212" ht="48" customHeight="1">
      <x:c r="A212" s="52"/>
      <x:c r="B212" s="52"/>
      <x:c r="C212" s="53"/>
      <x:c r="D212" s="53"/>
      <x:c r="E212" s="53"/>
      <x:c r="F212" s="53"/>
      <x:c r="G212" s="52"/>
      <x:c r="H212" s="21" t="str">
        <x:f>IF(COUNTA(A212:G212,I212)=0,"",IF(A212="","Add registration",IF(OR(COUNTA(C212:F212)&gt;COUNT(C212:F212)+COUNTIFS(C212:F212,"Reviewed N/A"),AND(COUNT(C212:F212)&gt;0,OR(MIN(C212:F212)&lt;36526,MAX(C212:F212)&gt;109574))),"Check date format",IF(AND(COUNTIFS(C212:F212,"Reviewed N/A")&gt;0,I212=""),"Add N/A reason; ","")&amp;IF(COUNT(C212:F212)=0,IF(COUNTIFS(C212:F212,"Reviewed N/A")=4,"No applicable dates recorded","Add dates"),IF(COUNT(C212:F212)+COUNTIFS(C212:F212,"Reviewed N/A")&lt;4,"Missing dates; ","")&amp;IF(MIN(C212:F212)&lt;TODAY(),"Overdue: ",IF(MIN(C212:F212)=TODAY(),"Due today: ",IF(MIN(C212:F212)&lt;=TODAY()+30,"Due within 30 days: ","Next: ")))&amp;INDEX($C$8:$F$8,1,MATCH(MIN(C212:F212),C212:F212,0))&amp;" "&amp;TEXT(MIN(C212:F212),"dd mmm yyyy")))))</x:f>
      </x:c>
      <x:c r="I212" s="52"/>
      <x:c r="J212" t="str">
        <x:f>IF(AND(A212&lt;&gt;"",COUNTIFS(C212,"&gt;=36526",C212,"&lt;"&amp;TODAY())+COUNTIFS(D212,"&gt;=36526",D212,"&lt;"&amp;TODAY())+COUNTIFS(E212,"&gt;=36526",E212,"&lt;"&amp;TODAY())+COUNTIFS(F212,"&gt;=36526",F212,"&lt;"&amp;TODAY())&gt;0),O212,"")</x:f>
      </x:c>
      <x:c r="K212" t="str">
        <x:f>IF(AND(A212&lt;&gt;"",COUNTIFS(C212,"&gt;=36526",C212,TODAY())+COUNTIFS(D212,"&gt;=36526",D212,TODAY())+COUNTIFS(E212,"&gt;=36526",E212,TODAY())+COUNTIFS(F212,"&gt;=36526",F212,TODAY())&gt;0),P212,"")</x:f>
      </x:c>
      <x:c r="L212" t="str">
        <x:f>IF(AND(A212&lt;&gt;"",COUNTIFS(C212,"&gt;"&amp;TODAY(),C212,"&lt;="&amp;TODAY()+30)+COUNTIFS(D212,"&gt;"&amp;TODAY(),D212,"&lt;="&amp;TODAY()+30)+COUNTIFS(E212,"&gt;"&amp;TODAY(),E212,"&lt;="&amp;TODAY()+30)+COUNTIFS(F212,"&gt;"&amp;TODAY(),F212,"&lt;="&amp;TODAY()+30)&gt;0),Q212,"")</x:f>
      </x:c>
      <x:c r="M212" t="str">
        <x:f>IF(OR(LEFT(H212,15)="Missing dates; ",LEFT(H212,16)="Add N/A reason; ",H212="Add dates",H212="Add registration",H212="Check date format"),R212,"")</x:f>
      </x:c>
      <x:c r="N212" t="str">
        <x:f>IF(COUNTIFS(C212:F212,"Reviewed N/A")&gt;0,S212,"")</x:f>
      </x:c>
      <x:c r="O212" t="n">
        <x:f>O211+IF(AND(A212&lt;&gt;"",COUNTIFS(C212,"&gt;=36526",C212,"&lt;"&amp;TODAY())+COUNTIFS(D212,"&gt;=36526",D212,"&lt;"&amp;TODAY())+COUNTIFS(E212,"&gt;=36526",E212,"&lt;"&amp;TODAY())+COUNTIFS(F212,"&gt;=36526",F212,"&lt;"&amp;TODAY())&gt;0),1,0)</x:f>
        <x:v>0</x:v>
      </x:c>
      <x:c r="P212" t="n">
        <x:f>P211+IF(AND(A212&lt;&gt;"",COUNTIFS(C212,"&gt;=36526",C212,TODAY())+COUNTIFS(D212,"&gt;=36526",D212,TODAY())+COUNTIFS(E212,"&gt;=36526",E212,TODAY())+COUNTIFS(F212,"&gt;=36526",F212,TODAY())&gt;0),1,0)</x:f>
        <x:v>0</x:v>
      </x:c>
      <x:c r="Q212" t="n">
        <x:f>Q211+IF(AND(A212&lt;&gt;"",COUNTIFS(C212,"&gt;"&amp;TODAY(),C212,"&lt;="&amp;TODAY()+30)+COUNTIFS(D212,"&gt;"&amp;TODAY(),D212,"&lt;="&amp;TODAY()+30)+COUNTIFS(E212,"&gt;"&amp;TODAY(),E212,"&lt;="&amp;TODAY()+30)+COUNTIFS(F212,"&gt;"&amp;TODAY(),F212,"&lt;="&amp;TODAY()+30)&gt;0),1,0)</x:f>
        <x:v>0</x:v>
      </x:c>
      <x:c r="R212" t="n">
        <x:f>R211+IF(OR(LEFT(H212,15)="Missing dates; ",LEFT(H212,16)="Add N/A reason; ",H212="Add dates",H212="Add registration",H212="Check date format"),1,0)</x:f>
        <x:v>0</x:v>
      </x:c>
      <x:c r="S212" t="n">
        <x:f>S211+IF(COUNTIFS(C212:F212,"Reviewed N/A")&gt;0,1,0)</x:f>
        <x:v>0</x:v>
      </x:c>
    </x:row>
    <x:row r="213" ht="48" customHeight="1">
      <x:c r="A213" s="52"/>
      <x:c r="B213" s="52"/>
      <x:c r="C213" s="53"/>
      <x:c r="D213" s="53"/>
      <x:c r="E213" s="53"/>
      <x:c r="F213" s="53"/>
      <x:c r="G213" s="52"/>
      <x:c r="H213" s="21" t="str">
        <x:f>IF(COUNTA(A213:G213,I213)=0,"",IF(A213="","Add registration",IF(OR(COUNTA(C213:F213)&gt;COUNT(C213:F213)+COUNTIFS(C213:F213,"Reviewed N/A"),AND(COUNT(C213:F213)&gt;0,OR(MIN(C213:F213)&lt;36526,MAX(C213:F213)&gt;109574))),"Check date format",IF(AND(COUNTIFS(C213:F213,"Reviewed N/A")&gt;0,I213=""),"Add N/A reason; ","")&amp;IF(COUNT(C213:F213)=0,IF(COUNTIFS(C213:F213,"Reviewed N/A")=4,"No applicable dates recorded","Add dates"),IF(COUNT(C213:F213)+COUNTIFS(C213:F213,"Reviewed N/A")&lt;4,"Missing dates; ","")&amp;IF(MIN(C213:F213)&lt;TODAY(),"Overdue: ",IF(MIN(C213:F213)=TODAY(),"Due today: ",IF(MIN(C213:F213)&lt;=TODAY()+30,"Due within 30 days: ","Next: ")))&amp;INDEX($C$8:$F$8,1,MATCH(MIN(C213:F213),C213:F213,0))&amp;" "&amp;TEXT(MIN(C213:F213),"dd mmm yyyy")))))</x:f>
      </x:c>
      <x:c r="I213" s="52"/>
      <x:c r="J213" t="str">
        <x:f>IF(AND(A213&lt;&gt;"",COUNTIFS(C213,"&gt;=36526",C213,"&lt;"&amp;TODAY())+COUNTIFS(D213,"&gt;=36526",D213,"&lt;"&amp;TODAY())+COUNTIFS(E213,"&gt;=36526",E213,"&lt;"&amp;TODAY())+COUNTIFS(F213,"&gt;=36526",F213,"&lt;"&amp;TODAY())&gt;0),O213,"")</x:f>
      </x:c>
      <x:c r="K213" t="str">
        <x:f>IF(AND(A213&lt;&gt;"",COUNTIFS(C213,"&gt;=36526",C213,TODAY())+COUNTIFS(D213,"&gt;=36526",D213,TODAY())+COUNTIFS(E213,"&gt;=36526",E213,TODAY())+COUNTIFS(F213,"&gt;=36526",F213,TODAY())&gt;0),P213,"")</x:f>
      </x:c>
      <x:c r="L213" t="str">
        <x:f>IF(AND(A213&lt;&gt;"",COUNTIFS(C213,"&gt;"&amp;TODAY(),C213,"&lt;="&amp;TODAY()+30)+COUNTIFS(D213,"&gt;"&amp;TODAY(),D213,"&lt;="&amp;TODAY()+30)+COUNTIFS(E213,"&gt;"&amp;TODAY(),E213,"&lt;="&amp;TODAY()+30)+COUNTIFS(F213,"&gt;"&amp;TODAY(),F213,"&lt;="&amp;TODAY()+30)&gt;0),Q213,"")</x:f>
      </x:c>
      <x:c r="M213" t="str">
        <x:f>IF(OR(LEFT(H213,15)="Missing dates; ",LEFT(H213,16)="Add N/A reason; ",H213="Add dates",H213="Add registration",H213="Check date format"),R213,"")</x:f>
      </x:c>
      <x:c r="N213" t="str">
        <x:f>IF(COUNTIFS(C213:F213,"Reviewed N/A")&gt;0,S213,"")</x:f>
      </x:c>
      <x:c r="O213" t="n">
        <x:f>O212+IF(AND(A213&lt;&gt;"",COUNTIFS(C213,"&gt;=36526",C213,"&lt;"&amp;TODAY())+COUNTIFS(D213,"&gt;=36526",D213,"&lt;"&amp;TODAY())+COUNTIFS(E213,"&gt;=36526",E213,"&lt;"&amp;TODAY())+COUNTIFS(F213,"&gt;=36526",F213,"&lt;"&amp;TODAY())&gt;0),1,0)</x:f>
        <x:v>0</x:v>
      </x:c>
      <x:c r="P213" t="n">
        <x:f>P212+IF(AND(A213&lt;&gt;"",COUNTIFS(C213,"&gt;=36526",C213,TODAY())+COUNTIFS(D213,"&gt;=36526",D213,TODAY())+COUNTIFS(E213,"&gt;=36526",E213,TODAY())+COUNTIFS(F213,"&gt;=36526",F213,TODAY())&gt;0),1,0)</x:f>
        <x:v>0</x:v>
      </x:c>
      <x:c r="Q213" t="n">
        <x:f>Q212+IF(AND(A213&lt;&gt;"",COUNTIFS(C213,"&gt;"&amp;TODAY(),C213,"&lt;="&amp;TODAY()+30)+COUNTIFS(D213,"&gt;"&amp;TODAY(),D213,"&lt;="&amp;TODAY()+30)+COUNTIFS(E213,"&gt;"&amp;TODAY(),E213,"&lt;="&amp;TODAY()+30)+COUNTIFS(F213,"&gt;"&amp;TODAY(),F213,"&lt;="&amp;TODAY()+30)&gt;0),1,0)</x:f>
        <x:v>0</x:v>
      </x:c>
      <x:c r="R213" t="n">
        <x:f>R212+IF(OR(LEFT(H213,15)="Missing dates; ",LEFT(H213,16)="Add N/A reason; ",H213="Add dates",H213="Add registration",H213="Check date format"),1,0)</x:f>
        <x:v>0</x:v>
      </x:c>
      <x:c r="S213" t="n">
        <x:f>S212+IF(COUNTIFS(C213:F213,"Reviewed N/A")&gt;0,1,0)</x:f>
        <x:v>0</x:v>
      </x:c>
    </x:row>
    <x:row r="214" ht="48" customHeight="1">
      <x:c r="A214" s="52"/>
      <x:c r="B214" s="52"/>
      <x:c r="C214" s="53"/>
      <x:c r="D214" s="53"/>
      <x:c r="E214" s="53"/>
      <x:c r="F214" s="53"/>
      <x:c r="G214" s="52"/>
      <x:c r="H214" s="21" t="str">
        <x:f>IF(COUNTA(A214:G214,I214)=0,"",IF(A214="","Add registration",IF(OR(COUNTA(C214:F214)&gt;COUNT(C214:F214)+COUNTIFS(C214:F214,"Reviewed N/A"),AND(COUNT(C214:F214)&gt;0,OR(MIN(C214:F214)&lt;36526,MAX(C214:F214)&gt;109574))),"Check date format",IF(AND(COUNTIFS(C214:F214,"Reviewed N/A")&gt;0,I214=""),"Add N/A reason; ","")&amp;IF(COUNT(C214:F214)=0,IF(COUNTIFS(C214:F214,"Reviewed N/A")=4,"No applicable dates recorded","Add dates"),IF(COUNT(C214:F214)+COUNTIFS(C214:F214,"Reviewed N/A")&lt;4,"Missing dates; ","")&amp;IF(MIN(C214:F214)&lt;TODAY(),"Overdue: ",IF(MIN(C214:F214)=TODAY(),"Due today: ",IF(MIN(C214:F214)&lt;=TODAY()+30,"Due within 30 days: ","Next: ")))&amp;INDEX($C$8:$F$8,1,MATCH(MIN(C214:F214),C214:F214,0))&amp;" "&amp;TEXT(MIN(C214:F214),"dd mmm yyyy")))))</x:f>
      </x:c>
      <x:c r="I214" s="52"/>
      <x:c r="J214" t="str">
        <x:f>IF(AND(A214&lt;&gt;"",COUNTIFS(C214,"&gt;=36526",C214,"&lt;"&amp;TODAY())+COUNTIFS(D214,"&gt;=36526",D214,"&lt;"&amp;TODAY())+COUNTIFS(E214,"&gt;=36526",E214,"&lt;"&amp;TODAY())+COUNTIFS(F214,"&gt;=36526",F214,"&lt;"&amp;TODAY())&gt;0),O214,"")</x:f>
      </x:c>
      <x:c r="K214" t="str">
        <x:f>IF(AND(A214&lt;&gt;"",COUNTIFS(C214,"&gt;=36526",C214,TODAY())+COUNTIFS(D214,"&gt;=36526",D214,TODAY())+COUNTIFS(E214,"&gt;=36526",E214,TODAY())+COUNTIFS(F214,"&gt;=36526",F214,TODAY())&gt;0),P214,"")</x:f>
      </x:c>
      <x:c r="L214" t="str">
        <x:f>IF(AND(A214&lt;&gt;"",COUNTIFS(C214,"&gt;"&amp;TODAY(),C214,"&lt;="&amp;TODAY()+30)+COUNTIFS(D214,"&gt;"&amp;TODAY(),D214,"&lt;="&amp;TODAY()+30)+COUNTIFS(E214,"&gt;"&amp;TODAY(),E214,"&lt;="&amp;TODAY()+30)+COUNTIFS(F214,"&gt;"&amp;TODAY(),F214,"&lt;="&amp;TODAY()+30)&gt;0),Q214,"")</x:f>
      </x:c>
      <x:c r="M214" t="str">
        <x:f>IF(OR(LEFT(H214,15)="Missing dates; ",LEFT(H214,16)="Add N/A reason; ",H214="Add dates",H214="Add registration",H214="Check date format"),R214,"")</x:f>
      </x:c>
      <x:c r="N214" t="str">
        <x:f>IF(COUNTIFS(C214:F214,"Reviewed N/A")&gt;0,S214,"")</x:f>
      </x:c>
      <x:c r="O214" t="n">
        <x:f>O213+IF(AND(A214&lt;&gt;"",COUNTIFS(C214,"&gt;=36526",C214,"&lt;"&amp;TODAY())+COUNTIFS(D214,"&gt;=36526",D214,"&lt;"&amp;TODAY())+COUNTIFS(E214,"&gt;=36526",E214,"&lt;"&amp;TODAY())+COUNTIFS(F214,"&gt;=36526",F214,"&lt;"&amp;TODAY())&gt;0),1,0)</x:f>
        <x:v>0</x:v>
      </x:c>
      <x:c r="P214" t="n">
        <x:f>P213+IF(AND(A214&lt;&gt;"",COUNTIFS(C214,"&gt;=36526",C214,TODAY())+COUNTIFS(D214,"&gt;=36526",D214,TODAY())+COUNTIFS(E214,"&gt;=36526",E214,TODAY())+COUNTIFS(F214,"&gt;=36526",F214,TODAY())&gt;0),1,0)</x:f>
        <x:v>0</x:v>
      </x:c>
      <x:c r="Q214" t="n">
        <x:f>Q213+IF(AND(A214&lt;&gt;"",COUNTIFS(C214,"&gt;"&amp;TODAY(),C214,"&lt;="&amp;TODAY()+30)+COUNTIFS(D214,"&gt;"&amp;TODAY(),D214,"&lt;="&amp;TODAY()+30)+COUNTIFS(E214,"&gt;"&amp;TODAY(),E214,"&lt;="&amp;TODAY()+30)+COUNTIFS(F214,"&gt;"&amp;TODAY(),F214,"&lt;="&amp;TODAY()+30)&gt;0),1,0)</x:f>
        <x:v>0</x:v>
      </x:c>
      <x:c r="R214" t="n">
        <x:f>R213+IF(OR(LEFT(H214,15)="Missing dates; ",LEFT(H214,16)="Add N/A reason; ",H214="Add dates",H214="Add registration",H214="Check date format"),1,0)</x:f>
        <x:v>0</x:v>
      </x:c>
      <x:c r="S214" t="n">
        <x:f>S213+IF(COUNTIFS(C214:F214,"Reviewed N/A")&gt;0,1,0)</x:f>
        <x:v>0</x:v>
      </x:c>
    </x:row>
    <x:row r="215" ht="48" customHeight="1">
      <x:c r="A215" s="52"/>
      <x:c r="B215" s="52"/>
      <x:c r="C215" s="53"/>
      <x:c r="D215" s="53"/>
      <x:c r="E215" s="53"/>
      <x:c r="F215" s="53"/>
      <x:c r="G215" s="52"/>
      <x:c r="H215" s="21" t="str">
        <x:f>IF(COUNTA(A215:G215,I215)=0,"",IF(A215="","Add registration",IF(OR(COUNTA(C215:F215)&gt;COUNT(C215:F215)+COUNTIFS(C215:F215,"Reviewed N/A"),AND(COUNT(C215:F215)&gt;0,OR(MIN(C215:F215)&lt;36526,MAX(C215:F215)&gt;109574))),"Check date format",IF(AND(COUNTIFS(C215:F215,"Reviewed N/A")&gt;0,I215=""),"Add N/A reason; ","")&amp;IF(COUNT(C215:F215)=0,IF(COUNTIFS(C215:F215,"Reviewed N/A")=4,"No applicable dates recorded","Add dates"),IF(COUNT(C215:F215)+COUNTIFS(C215:F215,"Reviewed N/A")&lt;4,"Missing dates; ","")&amp;IF(MIN(C215:F215)&lt;TODAY(),"Overdue: ",IF(MIN(C215:F215)=TODAY(),"Due today: ",IF(MIN(C215:F215)&lt;=TODAY()+30,"Due within 30 days: ","Next: ")))&amp;INDEX($C$8:$F$8,1,MATCH(MIN(C215:F215),C215:F215,0))&amp;" "&amp;TEXT(MIN(C215:F215),"dd mmm yyyy")))))</x:f>
      </x:c>
      <x:c r="I215" s="52"/>
      <x:c r="J215" t="str">
        <x:f>IF(AND(A215&lt;&gt;"",COUNTIFS(C215,"&gt;=36526",C215,"&lt;"&amp;TODAY())+COUNTIFS(D215,"&gt;=36526",D215,"&lt;"&amp;TODAY())+COUNTIFS(E215,"&gt;=36526",E215,"&lt;"&amp;TODAY())+COUNTIFS(F215,"&gt;=36526",F215,"&lt;"&amp;TODAY())&gt;0),O215,"")</x:f>
      </x:c>
      <x:c r="K215" t="str">
        <x:f>IF(AND(A215&lt;&gt;"",COUNTIFS(C215,"&gt;=36526",C215,TODAY())+COUNTIFS(D215,"&gt;=36526",D215,TODAY())+COUNTIFS(E215,"&gt;=36526",E215,TODAY())+COUNTIFS(F215,"&gt;=36526",F215,TODAY())&gt;0),P215,"")</x:f>
      </x:c>
      <x:c r="L215" t="str">
        <x:f>IF(AND(A215&lt;&gt;"",COUNTIFS(C215,"&gt;"&amp;TODAY(),C215,"&lt;="&amp;TODAY()+30)+COUNTIFS(D215,"&gt;"&amp;TODAY(),D215,"&lt;="&amp;TODAY()+30)+COUNTIFS(E215,"&gt;"&amp;TODAY(),E215,"&lt;="&amp;TODAY()+30)+COUNTIFS(F215,"&gt;"&amp;TODAY(),F215,"&lt;="&amp;TODAY()+30)&gt;0),Q215,"")</x:f>
      </x:c>
      <x:c r="M215" t="str">
        <x:f>IF(OR(LEFT(H215,15)="Missing dates; ",LEFT(H215,16)="Add N/A reason; ",H215="Add dates",H215="Add registration",H215="Check date format"),R215,"")</x:f>
      </x:c>
      <x:c r="N215" t="str">
        <x:f>IF(COUNTIFS(C215:F215,"Reviewed N/A")&gt;0,S215,"")</x:f>
      </x:c>
      <x:c r="O215" t="n">
        <x:f>O214+IF(AND(A215&lt;&gt;"",COUNTIFS(C215,"&gt;=36526",C215,"&lt;"&amp;TODAY())+COUNTIFS(D215,"&gt;=36526",D215,"&lt;"&amp;TODAY())+COUNTIFS(E215,"&gt;=36526",E215,"&lt;"&amp;TODAY())+COUNTIFS(F215,"&gt;=36526",F215,"&lt;"&amp;TODAY())&gt;0),1,0)</x:f>
        <x:v>0</x:v>
      </x:c>
      <x:c r="P215" t="n">
        <x:f>P214+IF(AND(A215&lt;&gt;"",COUNTIFS(C215,"&gt;=36526",C215,TODAY())+COUNTIFS(D215,"&gt;=36526",D215,TODAY())+COUNTIFS(E215,"&gt;=36526",E215,TODAY())+COUNTIFS(F215,"&gt;=36526",F215,TODAY())&gt;0),1,0)</x:f>
        <x:v>0</x:v>
      </x:c>
      <x:c r="Q215" t="n">
        <x:f>Q214+IF(AND(A215&lt;&gt;"",COUNTIFS(C215,"&gt;"&amp;TODAY(),C215,"&lt;="&amp;TODAY()+30)+COUNTIFS(D215,"&gt;"&amp;TODAY(),D215,"&lt;="&amp;TODAY()+30)+COUNTIFS(E215,"&gt;"&amp;TODAY(),E215,"&lt;="&amp;TODAY()+30)+COUNTIFS(F215,"&gt;"&amp;TODAY(),F215,"&lt;="&amp;TODAY()+30)&gt;0),1,0)</x:f>
        <x:v>0</x:v>
      </x:c>
      <x:c r="R215" t="n">
        <x:f>R214+IF(OR(LEFT(H215,15)="Missing dates; ",LEFT(H215,16)="Add N/A reason; ",H215="Add dates",H215="Add registration",H215="Check date format"),1,0)</x:f>
        <x:v>0</x:v>
      </x:c>
      <x:c r="S215" t="n">
        <x:f>S214+IF(COUNTIFS(C215:F215,"Reviewed N/A")&gt;0,1,0)</x:f>
        <x:v>0</x:v>
      </x:c>
    </x:row>
    <x:row r="216" ht="48" customHeight="1">
      <x:c r="A216" s="52"/>
      <x:c r="B216" s="52"/>
      <x:c r="C216" s="53"/>
      <x:c r="D216" s="53"/>
      <x:c r="E216" s="53"/>
      <x:c r="F216" s="53"/>
      <x:c r="G216" s="52"/>
      <x:c r="H216" s="21" t="str">
        <x:f>IF(COUNTA(A216:G216,I216)=0,"",IF(A216="","Add registration",IF(OR(COUNTA(C216:F216)&gt;COUNT(C216:F216)+COUNTIFS(C216:F216,"Reviewed N/A"),AND(COUNT(C216:F216)&gt;0,OR(MIN(C216:F216)&lt;36526,MAX(C216:F216)&gt;109574))),"Check date format",IF(AND(COUNTIFS(C216:F216,"Reviewed N/A")&gt;0,I216=""),"Add N/A reason; ","")&amp;IF(COUNT(C216:F216)=0,IF(COUNTIFS(C216:F216,"Reviewed N/A")=4,"No applicable dates recorded","Add dates"),IF(COUNT(C216:F216)+COUNTIFS(C216:F216,"Reviewed N/A")&lt;4,"Missing dates; ","")&amp;IF(MIN(C216:F216)&lt;TODAY(),"Overdue: ",IF(MIN(C216:F216)=TODAY(),"Due today: ",IF(MIN(C216:F216)&lt;=TODAY()+30,"Due within 30 days: ","Next: ")))&amp;INDEX($C$8:$F$8,1,MATCH(MIN(C216:F216),C216:F216,0))&amp;" "&amp;TEXT(MIN(C216:F216),"dd mmm yyyy")))))</x:f>
      </x:c>
      <x:c r="I216" s="52"/>
      <x:c r="J216" t="str">
        <x:f>IF(AND(A216&lt;&gt;"",COUNTIFS(C216,"&gt;=36526",C216,"&lt;"&amp;TODAY())+COUNTIFS(D216,"&gt;=36526",D216,"&lt;"&amp;TODAY())+COUNTIFS(E216,"&gt;=36526",E216,"&lt;"&amp;TODAY())+COUNTIFS(F216,"&gt;=36526",F216,"&lt;"&amp;TODAY())&gt;0),O216,"")</x:f>
      </x:c>
      <x:c r="K216" t="str">
        <x:f>IF(AND(A216&lt;&gt;"",COUNTIFS(C216,"&gt;=36526",C216,TODAY())+COUNTIFS(D216,"&gt;=36526",D216,TODAY())+COUNTIFS(E216,"&gt;=36526",E216,TODAY())+COUNTIFS(F216,"&gt;=36526",F216,TODAY())&gt;0),P216,"")</x:f>
      </x:c>
      <x:c r="L216" t="str">
        <x:f>IF(AND(A216&lt;&gt;"",COUNTIFS(C216,"&gt;"&amp;TODAY(),C216,"&lt;="&amp;TODAY()+30)+COUNTIFS(D216,"&gt;"&amp;TODAY(),D216,"&lt;="&amp;TODAY()+30)+COUNTIFS(E216,"&gt;"&amp;TODAY(),E216,"&lt;="&amp;TODAY()+30)+COUNTIFS(F216,"&gt;"&amp;TODAY(),F216,"&lt;="&amp;TODAY()+30)&gt;0),Q216,"")</x:f>
      </x:c>
      <x:c r="M216" t="str">
        <x:f>IF(OR(LEFT(H216,15)="Missing dates; ",LEFT(H216,16)="Add N/A reason; ",H216="Add dates",H216="Add registration",H216="Check date format"),R216,"")</x:f>
      </x:c>
      <x:c r="N216" t="str">
        <x:f>IF(COUNTIFS(C216:F216,"Reviewed N/A")&gt;0,S216,"")</x:f>
      </x:c>
      <x:c r="O216" t="n">
        <x:f>O215+IF(AND(A216&lt;&gt;"",COUNTIFS(C216,"&gt;=36526",C216,"&lt;"&amp;TODAY())+COUNTIFS(D216,"&gt;=36526",D216,"&lt;"&amp;TODAY())+COUNTIFS(E216,"&gt;=36526",E216,"&lt;"&amp;TODAY())+COUNTIFS(F216,"&gt;=36526",F216,"&lt;"&amp;TODAY())&gt;0),1,0)</x:f>
        <x:v>0</x:v>
      </x:c>
      <x:c r="P216" t="n">
        <x:f>P215+IF(AND(A216&lt;&gt;"",COUNTIFS(C216,"&gt;=36526",C216,TODAY())+COUNTIFS(D216,"&gt;=36526",D216,TODAY())+COUNTIFS(E216,"&gt;=36526",E216,TODAY())+COUNTIFS(F216,"&gt;=36526",F216,TODAY())&gt;0),1,0)</x:f>
        <x:v>0</x:v>
      </x:c>
      <x:c r="Q216" t="n">
        <x:f>Q215+IF(AND(A216&lt;&gt;"",COUNTIFS(C216,"&gt;"&amp;TODAY(),C216,"&lt;="&amp;TODAY()+30)+COUNTIFS(D216,"&gt;"&amp;TODAY(),D216,"&lt;="&amp;TODAY()+30)+COUNTIFS(E216,"&gt;"&amp;TODAY(),E216,"&lt;="&amp;TODAY()+30)+COUNTIFS(F216,"&gt;"&amp;TODAY(),F216,"&lt;="&amp;TODAY()+30)&gt;0),1,0)</x:f>
        <x:v>0</x:v>
      </x:c>
      <x:c r="R216" t="n">
        <x:f>R215+IF(OR(LEFT(H216,15)="Missing dates; ",LEFT(H216,16)="Add N/A reason; ",H216="Add dates",H216="Add registration",H216="Check date format"),1,0)</x:f>
        <x:v>0</x:v>
      </x:c>
      <x:c r="S216" t="n">
        <x:f>S215+IF(COUNTIFS(C216:F216,"Reviewed N/A")&gt;0,1,0)</x:f>
        <x:v>0</x:v>
      </x:c>
    </x:row>
    <x:row r="217" ht="48" customHeight="1">
      <x:c r="A217" s="52"/>
      <x:c r="B217" s="52"/>
      <x:c r="C217" s="53"/>
      <x:c r="D217" s="53"/>
      <x:c r="E217" s="53"/>
      <x:c r="F217" s="53"/>
      <x:c r="G217" s="52"/>
      <x:c r="H217" s="21" t="str">
        <x:f>IF(COUNTA(A217:G217,I217)=0,"",IF(A217="","Add registration",IF(OR(COUNTA(C217:F217)&gt;COUNT(C217:F217)+COUNTIFS(C217:F217,"Reviewed N/A"),AND(COUNT(C217:F217)&gt;0,OR(MIN(C217:F217)&lt;36526,MAX(C217:F217)&gt;109574))),"Check date format",IF(AND(COUNTIFS(C217:F217,"Reviewed N/A")&gt;0,I217=""),"Add N/A reason; ","")&amp;IF(COUNT(C217:F217)=0,IF(COUNTIFS(C217:F217,"Reviewed N/A")=4,"No applicable dates recorded","Add dates"),IF(COUNT(C217:F217)+COUNTIFS(C217:F217,"Reviewed N/A")&lt;4,"Missing dates; ","")&amp;IF(MIN(C217:F217)&lt;TODAY(),"Overdue: ",IF(MIN(C217:F217)=TODAY(),"Due today: ",IF(MIN(C217:F217)&lt;=TODAY()+30,"Due within 30 days: ","Next: ")))&amp;INDEX($C$8:$F$8,1,MATCH(MIN(C217:F217),C217:F217,0))&amp;" "&amp;TEXT(MIN(C217:F217),"dd mmm yyyy")))))</x:f>
      </x:c>
      <x:c r="I217" s="52"/>
      <x:c r="J217" t="str">
        <x:f>IF(AND(A217&lt;&gt;"",COUNTIFS(C217,"&gt;=36526",C217,"&lt;"&amp;TODAY())+COUNTIFS(D217,"&gt;=36526",D217,"&lt;"&amp;TODAY())+COUNTIFS(E217,"&gt;=36526",E217,"&lt;"&amp;TODAY())+COUNTIFS(F217,"&gt;=36526",F217,"&lt;"&amp;TODAY())&gt;0),O217,"")</x:f>
      </x:c>
      <x:c r="K217" t="str">
        <x:f>IF(AND(A217&lt;&gt;"",COUNTIFS(C217,"&gt;=36526",C217,TODAY())+COUNTIFS(D217,"&gt;=36526",D217,TODAY())+COUNTIFS(E217,"&gt;=36526",E217,TODAY())+COUNTIFS(F217,"&gt;=36526",F217,TODAY())&gt;0),P217,"")</x:f>
      </x:c>
      <x:c r="L217" t="str">
        <x:f>IF(AND(A217&lt;&gt;"",COUNTIFS(C217,"&gt;"&amp;TODAY(),C217,"&lt;="&amp;TODAY()+30)+COUNTIFS(D217,"&gt;"&amp;TODAY(),D217,"&lt;="&amp;TODAY()+30)+COUNTIFS(E217,"&gt;"&amp;TODAY(),E217,"&lt;="&amp;TODAY()+30)+COUNTIFS(F217,"&gt;"&amp;TODAY(),F217,"&lt;="&amp;TODAY()+30)&gt;0),Q217,"")</x:f>
      </x:c>
      <x:c r="M217" t="str">
        <x:f>IF(OR(LEFT(H217,15)="Missing dates; ",LEFT(H217,16)="Add N/A reason; ",H217="Add dates",H217="Add registration",H217="Check date format"),R217,"")</x:f>
      </x:c>
      <x:c r="N217" t="str">
        <x:f>IF(COUNTIFS(C217:F217,"Reviewed N/A")&gt;0,S217,"")</x:f>
      </x:c>
      <x:c r="O217" t="n">
        <x:f>O216+IF(AND(A217&lt;&gt;"",COUNTIFS(C217,"&gt;=36526",C217,"&lt;"&amp;TODAY())+COUNTIFS(D217,"&gt;=36526",D217,"&lt;"&amp;TODAY())+COUNTIFS(E217,"&gt;=36526",E217,"&lt;"&amp;TODAY())+COUNTIFS(F217,"&gt;=36526",F217,"&lt;"&amp;TODAY())&gt;0),1,0)</x:f>
        <x:v>0</x:v>
      </x:c>
      <x:c r="P217" t="n">
        <x:f>P216+IF(AND(A217&lt;&gt;"",COUNTIFS(C217,"&gt;=36526",C217,TODAY())+COUNTIFS(D217,"&gt;=36526",D217,TODAY())+COUNTIFS(E217,"&gt;=36526",E217,TODAY())+COUNTIFS(F217,"&gt;=36526",F217,TODAY())&gt;0),1,0)</x:f>
        <x:v>0</x:v>
      </x:c>
      <x:c r="Q217" t="n">
        <x:f>Q216+IF(AND(A217&lt;&gt;"",COUNTIFS(C217,"&gt;"&amp;TODAY(),C217,"&lt;="&amp;TODAY()+30)+COUNTIFS(D217,"&gt;"&amp;TODAY(),D217,"&lt;="&amp;TODAY()+30)+COUNTIFS(E217,"&gt;"&amp;TODAY(),E217,"&lt;="&amp;TODAY()+30)+COUNTIFS(F217,"&gt;"&amp;TODAY(),F217,"&lt;="&amp;TODAY()+30)&gt;0),1,0)</x:f>
        <x:v>0</x:v>
      </x:c>
      <x:c r="R217" t="n">
        <x:f>R216+IF(OR(LEFT(H217,15)="Missing dates; ",LEFT(H217,16)="Add N/A reason; ",H217="Add dates",H217="Add registration",H217="Check date format"),1,0)</x:f>
        <x:v>0</x:v>
      </x:c>
      <x:c r="S217" t="n">
        <x:f>S216+IF(COUNTIFS(C217:F217,"Reviewed N/A")&gt;0,1,0)</x:f>
        <x:v>0</x:v>
      </x:c>
    </x:row>
    <x:row r="218" ht="48" customHeight="1">
      <x:c r="A218" s="52"/>
      <x:c r="B218" s="52"/>
      <x:c r="C218" s="53"/>
      <x:c r="D218" s="53"/>
      <x:c r="E218" s="53"/>
      <x:c r="F218" s="53"/>
      <x:c r="G218" s="52"/>
      <x:c r="H218" s="21" t="str">
        <x:f>IF(COUNTA(A218:G218,I218)=0,"",IF(A218="","Add registration",IF(OR(COUNTA(C218:F218)&gt;COUNT(C218:F218)+COUNTIFS(C218:F218,"Reviewed N/A"),AND(COUNT(C218:F218)&gt;0,OR(MIN(C218:F218)&lt;36526,MAX(C218:F218)&gt;109574))),"Check date format",IF(AND(COUNTIFS(C218:F218,"Reviewed N/A")&gt;0,I218=""),"Add N/A reason; ","")&amp;IF(COUNT(C218:F218)=0,IF(COUNTIFS(C218:F218,"Reviewed N/A")=4,"No applicable dates recorded","Add dates"),IF(COUNT(C218:F218)+COUNTIFS(C218:F218,"Reviewed N/A")&lt;4,"Missing dates; ","")&amp;IF(MIN(C218:F218)&lt;TODAY(),"Overdue: ",IF(MIN(C218:F218)=TODAY(),"Due today: ",IF(MIN(C218:F218)&lt;=TODAY()+30,"Due within 30 days: ","Next: ")))&amp;INDEX($C$8:$F$8,1,MATCH(MIN(C218:F218),C218:F218,0))&amp;" "&amp;TEXT(MIN(C218:F218),"dd mmm yyyy")))))</x:f>
      </x:c>
      <x:c r="I218" s="52"/>
      <x:c r="J218" t="str">
        <x:f>IF(AND(A218&lt;&gt;"",COUNTIFS(C218,"&gt;=36526",C218,"&lt;"&amp;TODAY())+COUNTIFS(D218,"&gt;=36526",D218,"&lt;"&amp;TODAY())+COUNTIFS(E218,"&gt;=36526",E218,"&lt;"&amp;TODAY())+COUNTIFS(F218,"&gt;=36526",F218,"&lt;"&amp;TODAY())&gt;0),O218,"")</x:f>
      </x:c>
      <x:c r="K218" t="str">
        <x:f>IF(AND(A218&lt;&gt;"",COUNTIFS(C218,"&gt;=36526",C218,TODAY())+COUNTIFS(D218,"&gt;=36526",D218,TODAY())+COUNTIFS(E218,"&gt;=36526",E218,TODAY())+COUNTIFS(F218,"&gt;=36526",F218,TODAY())&gt;0),P218,"")</x:f>
      </x:c>
      <x:c r="L218" t="str">
        <x:f>IF(AND(A218&lt;&gt;"",COUNTIFS(C218,"&gt;"&amp;TODAY(),C218,"&lt;="&amp;TODAY()+30)+COUNTIFS(D218,"&gt;"&amp;TODAY(),D218,"&lt;="&amp;TODAY()+30)+COUNTIFS(E218,"&gt;"&amp;TODAY(),E218,"&lt;="&amp;TODAY()+30)+COUNTIFS(F218,"&gt;"&amp;TODAY(),F218,"&lt;="&amp;TODAY()+30)&gt;0),Q218,"")</x:f>
      </x:c>
      <x:c r="M218" t="str">
        <x:f>IF(OR(LEFT(H218,15)="Missing dates; ",LEFT(H218,16)="Add N/A reason; ",H218="Add dates",H218="Add registration",H218="Check date format"),R218,"")</x:f>
      </x:c>
      <x:c r="N218" t="str">
        <x:f>IF(COUNTIFS(C218:F218,"Reviewed N/A")&gt;0,S218,"")</x:f>
      </x:c>
      <x:c r="O218" t="n">
        <x:f>O217+IF(AND(A218&lt;&gt;"",COUNTIFS(C218,"&gt;=36526",C218,"&lt;"&amp;TODAY())+COUNTIFS(D218,"&gt;=36526",D218,"&lt;"&amp;TODAY())+COUNTIFS(E218,"&gt;=36526",E218,"&lt;"&amp;TODAY())+COUNTIFS(F218,"&gt;=36526",F218,"&lt;"&amp;TODAY())&gt;0),1,0)</x:f>
        <x:v>0</x:v>
      </x:c>
      <x:c r="P218" t="n">
        <x:f>P217+IF(AND(A218&lt;&gt;"",COUNTIFS(C218,"&gt;=36526",C218,TODAY())+COUNTIFS(D218,"&gt;=36526",D218,TODAY())+COUNTIFS(E218,"&gt;=36526",E218,TODAY())+COUNTIFS(F218,"&gt;=36526",F218,TODAY())&gt;0),1,0)</x:f>
        <x:v>0</x:v>
      </x:c>
      <x:c r="Q218" t="n">
        <x:f>Q217+IF(AND(A218&lt;&gt;"",COUNTIFS(C218,"&gt;"&amp;TODAY(),C218,"&lt;="&amp;TODAY()+30)+COUNTIFS(D218,"&gt;"&amp;TODAY(),D218,"&lt;="&amp;TODAY()+30)+COUNTIFS(E218,"&gt;"&amp;TODAY(),E218,"&lt;="&amp;TODAY()+30)+COUNTIFS(F218,"&gt;"&amp;TODAY(),F218,"&lt;="&amp;TODAY()+30)&gt;0),1,0)</x:f>
        <x:v>0</x:v>
      </x:c>
      <x:c r="R218" t="n">
        <x:f>R217+IF(OR(LEFT(H218,15)="Missing dates; ",LEFT(H218,16)="Add N/A reason; ",H218="Add dates",H218="Add registration",H218="Check date format"),1,0)</x:f>
        <x:v>0</x:v>
      </x:c>
      <x:c r="S218" t="n">
        <x:f>S217+IF(COUNTIFS(C218:F218,"Reviewed N/A")&gt;0,1,0)</x:f>
        <x:v>0</x:v>
      </x:c>
    </x:row>
    <x:row r="219" ht="48" customHeight="1">
      <x:c r="A219" s="52"/>
      <x:c r="B219" s="52"/>
      <x:c r="C219" s="53"/>
      <x:c r="D219" s="53"/>
      <x:c r="E219" s="53"/>
      <x:c r="F219" s="53"/>
      <x:c r="G219" s="52"/>
      <x:c r="H219" s="21" t="str">
        <x:f>IF(COUNTA(A219:G219,I219)=0,"",IF(A219="","Add registration",IF(OR(COUNTA(C219:F219)&gt;COUNT(C219:F219)+COUNTIFS(C219:F219,"Reviewed N/A"),AND(COUNT(C219:F219)&gt;0,OR(MIN(C219:F219)&lt;36526,MAX(C219:F219)&gt;109574))),"Check date format",IF(AND(COUNTIFS(C219:F219,"Reviewed N/A")&gt;0,I219=""),"Add N/A reason; ","")&amp;IF(COUNT(C219:F219)=0,IF(COUNTIFS(C219:F219,"Reviewed N/A")=4,"No applicable dates recorded","Add dates"),IF(COUNT(C219:F219)+COUNTIFS(C219:F219,"Reviewed N/A")&lt;4,"Missing dates; ","")&amp;IF(MIN(C219:F219)&lt;TODAY(),"Overdue: ",IF(MIN(C219:F219)=TODAY(),"Due today: ",IF(MIN(C219:F219)&lt;=TODAY()+30,"Due within 30 days: ","Next: ")))&amp;INDEX($C$8:$F$8,1,MATCH(MIN(C219:F219),C219:F219,0))&amp;" "&amp;TEXT(MIN(C219:F219),"dd mmm yyyy")))))</x:f>
      </x:c>
      <x:c r="I219" s="52"/>
      <x:c r="J219" t="str">
        <x:f>IF(AND(A219&lt;&gt;"",COUNTIFS(C219,"&gt;=36526",C219,"&lt;"&amp;TODAY())+COUNTIFS(D219,"&gt;=36526",D219,"&lt;"&amp;TODAY())+COUNTIFS(E219,"&gt;=36526",E219,"&lt;"&amp;TODAY())+COUNTIFS(F219,"&gt;=36526",F219,"&lt;"&amp;TODAY())&gt;0),O219,"")</x:f>
      </x:c>
      <x:c r="K219" t="str">
        <x:f>IF(AND(A219&lt;&gt;"",COUNTIFS(C219,"&gt;=36526",C219,TODAY())+COUNTIFS(D219,"&gt;=36526",D219,TODAY())+COUNTIFS(E219,"&gt;=36526",E219,TODAY())+COUNTIFS(F219,"&gt;=36526",F219,TODAY())&gt;0),P219,"")</x:f>
      </x:c>
      <x:c r="L219" t="str">
        <x:f>IF(AND(A219&lt;&gt;"",COUNTIFS(C219,"&gt;"&amp;TODAY(),C219,"&lt;="&amp;TODAY()+30)+COUNTIFS(D219,"&gt;"&amp;TODAY(),D219,"&lt;="&amp;TODAY()+30)+COUNTIFS(E219,"&gt;"&amp;TODAY(),E219,"&lt;="&amp;TODAY()+30)+COUNTIFS(F219,"&gt;"&amp;TODAY(),F219,"&lt;="&amp;TODAY()+30)&gt;0),Q219,"")</x:f>
      </x:c>
      <x:c r="M219" t="str">
        <x:f>IF(OR(LEFT(H219,15)="Missing dates; ",LEFT(H219,16)="Add N/A reason; ",H219="Add dates",H219="Add registration",H219="Check date format"),R219,"")</x:f>
      </x:c>
      <x:c r="N219" t="str">
        <x:f>IF(COUNTIFS(C219:F219,"Reviewed N/A")&gt;0,S219,"")</x:f>
      </x:c>
      <x:c r="O219" t="n">
        <x:f>O218+IF(AND(A219&lt;&gt;"",COUNTIFS(C219,"&gt;=36526",C219,"&lt;"&amp;TODAY())+COUNTIFS(D219,"&gt;=36526",D219,"&lt;"&amp;TODAY())+COUNTIFS(E219,"&gt;=36526",E219,"&lt;"&amp;TODAY())+COUNTIFS(F219,"&gt;=36526",F219,"&lt;"&amp;TODAY())&gt;0),1,0)</x:f>
        <x:v>0</x:v>
      </x:c>
      <x:c r="P219" t="n">
        <x:f>P218+IF(AND(A219&lt;&gt;"",COUNTIFS(C219,"&gt;=36526",C219,TODAY())+COUNTIFS(D219,"&gt;=36526",D219,TODAY())+COUNTIFS(E219,"&gt;=36526",E219,TODAY())+COUNTIFS(F219,"&gt;=36526",F219,TODAY())&gt;0),1,0)</x:f>
        <x:v>0</x:v>
      </x:c>
      <x:c r="Q219" t="n">
        <x:f>Q218+IF(AND(A219&lt;&gt;"",COUNTIFS(C219,"&gt;"&amp;TODAY(),C219,"&lt;="&amp;TODAY()+30)+COUNTIFS(D219,"&gt;"&amp;TODAY(),D219,"&lt;="&amp;TODAY()+30)+COUNTIFS(E219,"&gt;"&amp;TODAY(),E219,"&lt;="&amp;TODAY()+30)+COUNTIFS(F219,"&gt;"&amp;TODAY(),F219,"&lt;="&amp;TODAY()+30)&gt;0),1,0)</x:f>
        <x:v>0</x:v>
      </x:c>
      <x:c r="R219" t="n">
        <x:f>R218+IF(OR(LEFT(H219,15)="Missing dates; ",LEFT(H219,16)="Add N/A reason; ",H219="Add dates",H219="Add registration",H219="Check date format"),1,0)</x:f>
        <x:v>0</x:v>
      </x:c>
      <x:c r="S219" t="n">
        <x:f>S218+IF(COUNTIFS(C219:F219,"Reviewed N/A")&gt;0,1,0)</x:f>
        <x:v>0</x:v>
      </x:c>
    </x:row>
    <x:row r="220" ht="48" customHeight="1">
      <x:c r="A220" s="52"/>
      <x:c r="B220" s="52"/>
      <x:c r="C220" s="53"/>
      <x:c r="D220" s="53"/>
      <x:c r="E220" s="53"/>
      <x:c r="F220" s="53"/>
      <x:c r="G220" s="52"/>
      <x:c r="H220" s="21" t="str">
        <x:f>IF(COUNTA(A220:G220,I220)=0,"",IF(A220="","Add registration",IF(OR(COUNTA(C220:F220)&gt;COUNT(C220:F220)+COUNTIFS(C220:F220,"Reviewed N/A"),AND(COUNT(C220:F220)&gt;0,OR(MIN(C220:F220)&lt;36526,MAX(C220:F220)&gt;109574))),"Check date format",IF(AND(COUNTIFS(C220:F220,"Reviewed N/A")&gt;0,I220=""),"Add N/A reason; ","")&amp;IF(COUNT(C220:F220)=0,IF(COUNTIFS(C220:F220,"Reviewed N/A")=4,"No applicable dates recorded","Add dates"),IF(COUNT(C220:F220)+COUNTIFS(C220:F220,"Reviewed N/A")&lt;4,"Missing dates; ","")&amp;IF(MIN(C220:F220)&lt;TODAY(),"Overdue: ",IF(MIN(C220:F220)=TODAY(),"Due today: ",IF(MIN(C220:F220)&lt;=TODAY()+30,"Due within 30 days: ","Next: ")))&amp;INDEX($C$8:$F$8,1,MATCH(MIN(C220:F220),C220:F220,0))&amp;" "&amp;TEXT(MIN(C220:F220),"dd mmm yyyy")))))</x:f>
      </x:c>
      <x:c r="I220" s="52"/>
      <x:c r="J220" t="str">
        <x:f>IF(AND(A220&lt;&gt;"",COUNTIFS(C220,"&gt;=36526",C220,"&lt;"&amp;TODAY())+COUNTIFS(D220,"&gt;=36526",D220,"&lt;"&amp;TODAY())+COUNTIFS(E220,"&gt;=36526",E220,"&lt;"&amp;TODAY())+COUNTIFS(F220,"&gt;=36526",F220,"&lt;"&amp;TODAY())&gt;0),O220,"")</x:f>
      </x:c>
      <x:c r="K220" t="str">
        <x:f>IF(AND(A220&lt;&gt;"",COUNTIFS(C220,"&gt;=36526",C220,TODAY())+COUNTIFS(D220,"&gt;=36526",D220,TODAY())+COUNTIFS(E220,"&gt;=36526",E220,TODAY())+COUNTIFS(F220,"&gt;=36526",F220,TODAY())&gt;0),P220,"")</x:f>
      </x:c>
      <x:c r="L220" t="str">
        <x:f>IF(AND(A220&lt;&gt;"",COUNTIFS(C220,"&gt;"&amp;TODAY(),C220,"&lt;="&amp;TODAY()+30)+COUNTIFS(D220,"&gt;"&amp;TODAY(),D220,"&lt;="&amp;TODAY()+30)+COUNTIFS(E220,"&gt;"&amp;TODAY(),E220,"&lt;="&amp;TODAY()+30)+COUNTIFS(F220,"&gt;"&amp;TODAY(),F220,"&lt;="&amp;TODAY()+30)&gt;0),Q220,"")</x:f>
      </x:c>
      <x:c r="M220" t="str">
        <x:f>IF(OR(LEFT(H220,15)="Missing dates; ",LEFT(H220,16)="Add N/A reason; ",H220="Add dates",H220="Add registration",H220="Check date format"),R220,"")</x:f>
      </x:c>
      <x:c r="N220" t="str">
        <x:f>IF(COUNTIFS(C220:F220,"Reviewed N/A")&gt;0,S220,"")</x:f>
      </x:c>
      <x:c r="O220" t="n">
        <x:f>O219+IF(AND(A220&lt;&gt;"",COUNTIFS(C220,"&gt;=36526",C220,"&lt;"&amp;TODAY())+COUNTIFS(D220,"&gt;=36526",D220,"&lt;"&amp;TODAY())+COUNTIFS(E220,"&gt;=36526",E220,"&lt;"&amp;TODAY())+COUNTIFS(F220,"&gt;=36526",F220,"&lt;"&amp;TODAY())&gt;0),1,0)</x:f>
        <x:v>0</x:v>
      </x:c>
      <x:c r="P220" t="n">
        <x:f>P219+IF(AND(A220&lt;&gt;"",COUNTIFS(C220,"&gt;=36526",C220,TODAY())+COUNTIFS(D220,"&gt;=36526",D220,TODAY())+COUNTIFS(E220,"&gt;=36526",E220,TODAY())+COUNTIFS(F220,"&gt;=36526",F220,TODAY())&gt;0),1,0)</x:f>
        <x:v>0</x:v>
      </x:c>
      <x:c r="Q220" t="n">
        <x:f>Q219+IF(AND(A220&lt;&gt;"",COUNTIFS(C220,"&gt;"&amp;TODAY(),C220,"&lt;="&amp;TODAY()+30)+COUNTIFS(D220,"&gt;"&amp;TODAY(),D220,"&lt;="&amp;TODAY()+30)+COUNTIFS(E220,"&gt;"&amp;TODAY(),E220,"&lt;="&amp;TODAY()+30)+COUNTIFS(F220,"&gt;"&amp;TODAY(),F220,"&lt;="&amp;TODAY()+30)&gt;0),1,0)</x:f>
        <x:v>0</x:v>
      </x:c>
      <x:c r="R220" t="n">
        <x:f>R219+IF(OR(LEFT(H220,15)="Missing dates; ",LEFT(H220,16)="Add N/A reason; ",H220="Add dates",H220="Add registration",H220="Check date format"),1,0)</x:f>
        <x:v>0</x:v>
      </x:c>
      <x:c r="S220" t="n">
        <x:f>S219+IF(COUNTIFS(C220:F220,"Reviewed N/A")&gt;0,1,0)</x:f>
        <x:v>0</x:v>
      </x:c>
    </x:row>
    <x:row r="221" ht="48" customHeight="1">
      <x:c r="A221" s="52"/>
      <x:c r="B221" s="52"/>
      <x:c r="C221" s="53"/>
      <x:c r="D221" s="53"/>
      <x:c r="E221" s="53"/>
      <x:c r="F221" s="53"/>
      <x:c r="G221" s="52"/>
      <x:c r="H221" s="21" t="str">
        <x:f>IF(COUNTA(A221:G221,I221)=0,"",IF(A221="","Add registration",IF(OR(COUNTA(C221:F221)&gt;COUNT(C221:F221)+COUNTIFS(C221:F221,"Reviewed N/A"),AND(COUNT(C221:F221)&gt;0,OR(MIN(C221:F221)&lt;36526,MAX(C221:F221)&gt;109574))),"Check date format",IF(AND(COUNTIFS(C221:F221,"Reviewed N/A")&gt;0,I221=""),"Add N/A reason; ","")&amp;IF(COUNT(C221:F221)=0,IF(COUNTIFS(C221:F221,"Reviewed N/A")=4,"No applicable dates recorded","Add dates"),IF(COUNT(C221:F221)+COUNTIFS(C221:F221,"Reviewed N/A")&lt;4,"Missing dates; ","")&amp;IF(MIN(C221:F221)&lt;TODAY(),"Overdue: ",IF(MIN(C221:F221)=TODAY(),"Due today: ",IF(MIN(C221:F221)&lt;=TODAY()+30,"Due within 30 days: ","Next: ")))&amp;INDEX($C$8:$F$8,1,MATCH(MIN(C221:F221),C221:F221,0))&amp;" "&amp;TEXT(MIN(C221:F221),"dd mmm yyyy")))))</x:f>
      </x:c>
      <x:c r="I221" s="52"/>
      <x:c r="J221" t="str">
        <x:f>IF(AND(A221&lt;&gt;"",COUNTIFS(C221,"&gt;=36526",C221,"&lt;"&amp;TODAY())+COUNTIFS(D221,"&gt;=36526",D221,"&lt;"&amp;TODAY())+COUNTIFS(E221,"&gt;=36526",E221,"&lt;"&amp;TODAY())+COUNTIFS(F221,"&gt;=36526",F221,"&lt;"&amp;TODAY())&gt;0),O221,"")</x:f>
      </x:c>
      <x:c r="K221" t="str">
        <x:f>IF(AND(A221&lt;&gt;"",COUNTIFS(C221,"&gt;=36526",C221,TODAY())+COUNTIFS(D221,"&gt;=36526",D221,TODAY())+COUNTIFS(E221,"&gt;=36526",E221,TODAY())+COUNTIFS(F221,"&gt;=36526",F221,TODAY())&gt;0),P221,"")</x:f>
      </x:c>
      <x:c r="L221" t="str">
        <x:f>IF(AND(A221&lt;&gt;"",COUNTIFS(C221,"&gt;"&amp;TODAY(),C221,"&lt;="&amp;TODAY()+30)+COUNTIFS(D221,"&gt;"&amp;TODAY(),D221,"&lt;="&amp;TODAY()+30)+COUNTIFS(E221,"&gt;"&amp;TODAY(),E221,"&lt;="&amp;TODAY()+30)+COUNTIFS(F221,"&gt;"&amp;TODAY(),F221,"&lt;="&amp;TODAY()+30)&gt;0),Q221,"")</x:f>
      </x:c>
      <x:c r="M221" t="str">
        <x:f>IF(OR(LEFT(H221,15)="Missing dates; ",LEFT(H221,16)="Add N/A reason; ",H221="Add dates",H221="Add registration",H221="Check date format"),R221,"")</x:f>
      </x:c>
      <x:c r="N221" t="str">
        <x:f>IF(COUNTIFS(C221:F221,"Reviewed N/A")&gt;0,S221,"")</x:f>
      </x:c>
      <x:c r="O221" t="n">
        <x:f>O220+IF(AND(A221&lt;&gt;"",COUNTIFS(C221,"&gt;=36526",C221,"&lt;"&amp;TODAY())+COUNTIFS(D221,"&gt;=36526",D221,"&lt;"&amp;TODAY())+COUNTIFS(E221,"&gt;=36526",E221,"&lt;"&amp;TODAY())+COUNTIFS(F221,"&gt;=36526",F221,"&lt;"&amp;TODAY())&gt;0),1,0)</x:f>
        <x:v>0</x:v>
      </x:c>
      <x:c r="P221" t="n">
        <x:f>P220+IF(AND(A221&lt;&gt;"",COUNTIFS(C221,"&gt;=36526",C221,TODAY())+COUNTIFS(D221,"&gt;=36526",D221,TODAY())+COUNTIFS(E221,"&gt;=36526",E221,TODAY())+COUNTIFS(F221,"&gt;=36526",F221,TODAY())&gt;0),1,0)</x:f>
        <x:v>0</x:v>
      </x:c>
      <x:c r="Q221" t="n">
        <x:f>Q220+IF(AND(A221&lt;&gt;"",COUNTIFS(C221,"&gt;"&amp;TODAY(),C221,"&lt;="&amp;TODAY()+30)+COUNTIFS(D221,"&gt;"&amp;TODAY(),D221,"&lt;="&amp;TODAY()+30)+COUNTIFS(E221,"&gt;"&amp;TODAY(),E221,"&lt;="&amp;TODAY()+30)+COUNTIFS(F221,"&gt;"&amp;TODAY(),F221,"&lt;="&amp;TODAY()+30)&gt;0),1,0)</x:f>
        <x:v>0</x:v>
      </x:c>
      <x:c r="R221" t="n">
        <x:f>R220+IF(OR(LEFT(H221,15)="Missing dates; ",LEFT(H221,16)="Add N/A reason; ",H221="Add dates",H221="Add registration",H221="Check date format"),1,0)</x:f>
        <x:v>0</x:v>
      </x:c>
      <x:c r="S221" t="n">
        <x:f>S220+IF(COUNTIFS(C221:F221,"Reviewed N/A")&gt;0,1,0)</x:f>
        <x:v>0</x:v>
      </x:c>
    </x:row>
    <x:row r="222" ht="48" customHeight="1">
      <x:c r="A222" s="52"/>
      <x:c r="B222" s="52"/>
      <x:c r="C222" s="53"/>
      <x:c r="D222" s="53"/>
      <x:c r="E222" s="53"/>
      <x:c r="F222" s="53"/>
      <x:c r="G222" s="52"/>
      <x:c r="H222" s="21" t="str">
        <x:f>IF(COUNTA(A222:G222,I222)=0,"",IF(A222="","Add registration",IF(OR(COUNTA(C222:F222)&gt;COUNT(C222:F222)+COUNTIFS(C222:F222,"Reviewed N/A"),AND(COUNT(C222:F222)&gt;0,OR(MIN(C222:F222)&lt;36526,MAX(C222:F222)&gt;109574))),"Check date format",IF(AND(COUNTIFS(C222:F222,"Reviewed N/A")&gt;0,I222=""),"Add N/A reason; ","")&amp;IF(COUNT(C222:F222)=0,IF(COUNTIFS(C222:F222,"Reviewed N/A")=4,"No applicable dates recorded","Add dates"),IF(COUNT(C222:F222)+COUNTIFS(C222:F222,"Reviewed N/A")&lt;4,"Missing dates; ","")&amp;IF(MIN(C222:F222)&lt;TODAY(),"Overdue: ",IF(MIN(C222:F222)=TODAY(),"Due today: ",IF(MIN(C222:F222)&lt;=TODAY()+30,"Due within 30 days: ","Next: ")))&amp;INDEX($C$8:$F$8,1,MATCH(MIN(C222:F222),C222:F222,0))&amp;" "&amp;TEXT(MIN(C222:F222),"dd mmm yyyy")))))</x:f>
      </x:c>
      <x:c r="I222" s="52"/>
      <x:c r="J222" t="str">
        <x:f>IF(AND(A222&lt;&gt;"",COUNTIFS(C222,"&gt;=36526",C222,"&lt;"&amp;TODAY())+COUNTIFS(D222,"&gt;=36526",D222,"&lt;"&amp;TODAY())+COUNTIFS(E222,"&gt;=36526",E222,"&lt;"&amp;TODAY())+COUNTIFS(F222,"&gt;=36526",F222,"&lt;"&amp;TODAY())&gt;0),O222,"")</x:f>
      </x:c>
      <x:c r="K222" t="str">
        <x:f>IF(AND(A222&lt;&gt;"",COUNTIFS(C222,"&gt;=36526",C222,TODAY())+COUNTIFS(D222,"&gt;=36526",D222,TODAY())+COUNTIFS(E222,"&gt;=36526",E222,TODAY())+COUNTIFS(F222,"&gt;=36526",F222,TODAY())&gt;0),P222,"")</x:f>
      </x:c>
      <x:c r="L222" t="str">
        <x:f>IF(AND(A222&lt;&gt;"",COUNTIFS(C222,"&gt;"&amp;TODAY(),C222,"&lt;="&amp;TODAY()+30)+COUNTIFS(D222,"&gt;"&amp;TODAY(),D222,"&lt;="&amp;TODAY()+30)+COUNTIFS(E222,"&gt;"&amp;TODAY(),E222,"&lt;="&amp;TODAY()+30)+COUNTIFS(F222,"&gt;"&amp;TODAY(),F222,"&lt;="&amp;TODAY()+30)&gt;0),Q222,"")</x:f>
      </x:c>
      <x:c r="M222" t="str">
        <x:f>IF(OR(LEFT(H222,15)="Missing dates; ",LEFT(H222,16)="Add N/A reason; ",H222="Add dates",H222="Add registration",H222="Check date format"),R222,"")</x:f>
      </x:c>
      <x:c r="N222" t="str">
        <x:f>IF(COUNTIFS(C222:F222,"Reviewed N/A")&gt;0,S222,"")</x:f>
      </x:c>
      <x:c r="O222" t="n">
        <x:f>O221+IF(AND(A222&lt;&gt;"",COUNTIFS(C222,"&gt;=36526",C222,"&lt;"&amp;TODAY())+COUNTIFS(D222,"&gt;=36526",D222,"&lt;"&amp;TODAY())+COUNTIFS(E222,"&gt;=36526",E222,"&lt;"&amp;TODAY())+COUNTIFS(F222,"&gt;=36526",F222,"&lt;"&amp;TODAY())&gt;0),1,0)</x:f>
        <x:v>0</x:v>
      </x:c>
      <x:c r="P222" t="n">
        <x:f>P221+IF(AND(A222&lt;&gt;"",COUNTIFS(C222,"&gt;=36526",C222,TODAY())+COUNTIFS(D222,"&gt;=36526",D222,TODAY())+COUNTIFS(E222,"&gt;=36526",E222,TODAY())+COUNTIFS(F222,"&gt;=36526",F222,TODAY())&gt;0),1,0)</x:f>
        <x:v>0</x:v>
      </x:c>
      <x:c r="Q222" t="n">
        <x:f>Q221+IF(AND(A222&lt;&gt;"",COUNTIFS(C222,"&gt;"&amp;TODAY(),C222,"&lt;="&amp;TODAY()+30)+COUNTIFS(D222,"&gt;"&amp;TODAY(),D222,"&lt;="&amp;TODAY()+30)+COUNTIFS(E222,"&gt;"&amp;TODAY(),E222,"&lt;="&amp;TODAY()+30)+COUNTIFS(F222,"&gt;"&amp;TODAY(),F222,"&lt;="&amp;TODAY()+30)&gt;0),1,0)</x:f>
        <x:v>0</x:v>
      </x:c>
      <x:c r="R222" t="n">
        <x:f>R221+IF(OR(LEFT(H222,15)="Missing dates; ",LEFT(H222,16)="Add N/A reason; ",H222="Add dates",H222="Add registration",H222="Check date format"),1,0)</x:f>
        <x:v>0</x:v>
      </x:c>
      <x:c r="S222" t="n">
        <x:f>S221+IF(COUNTIFS(C222:F222,"Reviewed N/A")&gt;0,1,0)</x:f>
        <x:v>0</x:v>
      </x:c>
    </x:row>
    <x:row r="223" ht="48" customHeight="1">
      <x:c r="A223" s="52"/>
      <x:c r="B223" s="52"/>
      <x:c r="C223" s="53"/>
      <x:c r="D223" s="53"/>
      <x:c r="E223" s="53"/>
      <x:c r="F223" s="53"/>
      <x:c r="G223" s="52"/>
      <x:c r="H223" s="21" t="str">
        <x:f>IF(COUNTA(A223:G223,I223)=0,"",IF(A223="","Add registration",IF(OR(COUNTA(C223:F223)&gt;COUNT(C223:F223)+COUNTIFS(C223:F223,"Reviewed N/A"),AND(COUNT(C223:F223)&gt;0,OR(MIN(C223:F223)&lt;36526,MAX(C223:F223)&gt;109574))),"Check date format",IF(AND(COUNTIFS(C223:F223,"Reviewed N/A")&gt;0,I223=""),"Add N/A reason; ","")&amp;IF(COUNT(C223:F223)=0,IF(COUNTIFS(C223:F223,"Reviewed N/A")=4,"No applicable dates recorded","Add dates"),IF(COUNT(C223:F223)+COUNTIFS(C223:F223,"Reviewed N/A")&lt;4,"Missing dates; ","")&amp;IF(MIN(C223:F223)&lt;TODAY(),"Overdue: ",IF(MIN(C223:F223)=TODAY(),"Due today: ",IF(MIN(C223:F223)&lt;=TODAY()+30,"Due within 30 days: ","Next: ")))&amp;INDEX($C$8:$F$8,1,MATCH(MIN(C223:F223),C223:F223,0))&amp;" "&amp;TEXT(MIN(C223:F223),"dd mmm yyyy")))))</x:f>
      </x:c>
      <x:c r="I223" s="52"/>
      <x:c r="J223" t="str">
        <x:f>IF(AND(A223&lt;&gt;"",COUNTIFS(C223,"&gt;=36526",C223,"&lt;"&amp;TODAY())+COUNTIFS(D223,"&gt;=36526",D223,"&lt;"&amp;TODAY())+COUNTIFS(E223,"&gt;=36526",E223,"&lt;"&amp;TODAY())+COUNTIFS(F223,"&gt;=36526",F223,"&lt;"&amp;TODAY())&gt;0),O223,"")</x:f>
      </x:c>
      <x:c r="K223" t="str">
        <x:f>IF(AND(A223&lt;&gt;"",COUNTIFS(C223,"&gt;=36526",C223,TODAY())+COUNTIFS(D223,"&gt;=36526",D223,TODAY())+COUNTIFS(E223,"&gt;=36526",E223,TODAY())+COUNTIFS(F223,"&gt;=36526",F223,TODAY())&gt;0),P223,"")</x:f>
      </x:c>
      <x:c r="L223" t="str">
        <x:f>IF(AND(A223&lt;&gt;"",COUNTIFS(C223,"&gt;"&amp;TODAY(),C223,"&lt;="&amp;TODAY()+30)+COUNTIFS(D223,"&gt;"&amp;TODAY(),D223,"&lt;="&amp;TODAY()+30)+COUNTIFS(E223,"&gt;"&amp;TODAY(),E223,"&lt;="&amp;TODAY()+30)+COUNTIFS(F223,"&gt;"&amp;TODAY(),F223,"&lt;="&amp;TODAY()+30)&gt;0),Q223,"")</x:f>
      </x:c>
      <x:c r="M223" t="str">
        <x:f>IF(OR(LEFT(H223,15)="Missing dates; ",LEFT(H223,16)="Add N/A reason; ",H223="Add dates",H223="Add registration",H223="Check date format"),R223,"")</x:f>
      </x:c>
      <x:c r="N223" t="str">
        <x:f>IF(COUNTIFS(C223:F223,"Reviewed N/A")&gt;0,S223,"")</x:f>
      </x:c>
      <x:c r="O223" t="n">
        <x:f>O222+IF(AND(A223&lt;&gt;"",COUNTIFS(C223,"&gt;=36526",C223,"&lt;"&amp;TODAY())+COUNTIFS(D223,"&gt;=36526",D223,"&lt;"&amp;TODAY())+COUNTIFS(E223,"&gt;=36526",E223,"&lt;"&amp;TODAY())+COUNTIFS(F223,"&gt;=36526",F223,"&lt;"&amp;TODAY())&gt;0),1,0)</x:f>
        <x:v>0</x:v>
      </x:c>
      <x:c r="P223" t="n">
        <x:f>P222+IF(AND(A223&lt;&gt;"",COUNTIFS(C223,"&gt;=36526",C223,TODAY())+COUNTIFS(D223,"&gt;=36526",D223,TODAY())+COUNTIFS(E223,"&gt;=36526",E223,TODAY())+COUNTIFS(F223,"&gt;=36526",F223,TODAY())&gt;0),1,0)</x:f>
        <x:v>0</x:v>
      </x:c>
      <x:c r="Q223" t="n">
        <x:f>Q222+IF(AND(A223&lt;&gt;"",COUNTIFS(C223,"&gt;"&amp;TODAY(),C223,"&lt;="&amp;TODAY()+30)+COUNTIFS(D223,"&gt;"&amp;TODAY(),D223,"&lt;="&amp;TODAY()+30)+COUNTIFS(E223,"&gt;"&amp;TODAY(),E223,"&lt;="&amp;TODAY()+30)+COUNTIFS(F223,"&gt;"&amp;TODAY(),F223,"&lt;="&amp;TODAY()+30)&gt;0),1,0)</x:f>
        <x:v>0</x:v>
      </x:c>
      <x:c r="R223" t="n">
        <x:f>R222+IF(OR(LEFT(H223,15)="Missing dates; ",LEFT(H223,16)="Add N/A reason; ",H223="Add dates",H223="Add registration",H223="Check date format"),1,0)</x:f>
        <x:v>0</x:v>
      </x:c>
      <x:c r="S223" t="n">
        <x:f>S222+IF(COUNTIFS(C223:F223,"Reviewed N/A")&gt;0,1,0)</x:f>
        <x:v>0</x:v>
      </x:c>
    </x:row>
    <x:row r="224" ht="48" customHeight="1">
      <x:c r="A224" s="52"/>
      <x:c r="B224" s="52"/>
      <x:c r="C224" s="53"/>
      <x:c r="D224" s="53"/>
      <x:c r="E224" s="53"/>
      <x:c r="F224" s="53"/>
      <x:c r="G224" s="52"/>
      <x:c r="H224" s="21" t="str">
        <x:f>IF(COUNTA(A224:G224,I224)=0,"",IF(A224="","Add registration",IF(OR(COUNTA(C224:F224)&gt;COUNT(C224:F224)+COUNTIFS(C224:F224,"Reviewed N/A"),AND(COUNT(C224:F224)&gt;0,OR(MIN(C224:F224)&lt;36526,MAX(C224:F224)&gt;109574))),"Check date format",IF(AND(COUNTIFS(C224:F224,"Reviewed N/A")&gt;0,I224=""),"Add N/A reason; ","")&amp;IF(COUNT(C224:F224)=0,IF(COUNTIFS(C224:F224,"Reviewed N/A")=4,"No applicable dates recorded","Add dates"),IF(COUNT(C224:F224)+COUNTIFS(C224:F224,"Reviewed N/A")&lt;4,"Missing dates; ","")&amp;IF(MIN(C224:F224)&lt;TODAY(),"Overdue: ",IF(MIN(C224:F224)=TODAY(),"Due today: ",IF(MIN(C224:F224)&lt;=TODAY()+30,"Due within 30 days: ","Next: ")))&amp;INDEX($C$8:$F$8,1,MATCH(MIN(C224:F224),C224:F224,0))&amp;" "&amp;TEXT(MIN(C224:F224),"dd mmm yyyy")))))</x:f>
      </x:c>
      <x:c r="I224" s="52"/>
      <x:c r="J224" t="str">
        <x:f>IF(AND(A224&lt;&gt;"",COUNTIFS(C224,"&gt;=36526",C224,"&lt;"&amp;TODAY())+COUNTIFS(D224,"&gt;=36526",D224,"&lt;"&amp;TODAY())+COUNTIFS(E224,"&gt;=36526",E224,"&lt;"&amp;TODAY())+COUNTIFS(F224,"&gt;=36526",F224,"&lt;"&amp;TODAY())&gt;0),O224,"")</x:f>
      </x:c>
      <x:c r="K224" t="str">
        <x:f>IF(AND(A224&lt;&gt;"",COUNTIFS(C224,"&gt;=36526",C224,TODAY())+COUNTIFS(D224,"&gt;=36526",D224,TODAY())+COUNTIFS(E224,"&gt;=36526",E224,TODAY())+COUNTIFS(F224,"&gt;=36526",F224,TODAY())&gt;0),P224,"")</x:f>
      </x:c>
      <x:c r="L224" t="str">
        <x:f>IF(AND(A224&lt;&gt;"",COUNTIFS(C224,"&gt;"&amp;TODAY(),C224,"&lt;="&amp;TODAY()+30)+COUNTIFS(D224,"&gt;"&amp;TODAY(),D224,"&lt;="&amp;TODAY()+30)+COUNTIFS(E224,"&gt;"&amp;TODAY(),E224,"&lt;="&amp;TODAY()+30)+COUNTIFS(F224,"&gt;"&amp;TODAY(),F224,"&lt;="&amp;TODAY()+30)&gt;0),Q224,"")</x:f>
      </x:c>
      <x:c r="M224" t="str">
        <x:f>IF(OR(LEFT(H224,15)="Missing dates; ",LEFT(H224,16)="Add N/A reason; ",H224="Add dates",H224="Add registration",H224="Check date format"),R224,"")</x:f>
      </x:c>
      <x:c r="N224" t="str">
        <x:f>IF(COUNTIFS(C224:F224,"Reviewed N/A")&gt;0,S224,"")</x:f>
      </x:c>
      <x:c r="O224" t="n">
        <x:f>O223+IF(AND(A224&lt;&gt;"",COUNTIFS(C224,"&gt;=36526",C224,"&lt;"&amp;TODAY())+COUNTIFS(D224,"&gt;=36526",D224,"&lt;"&amp;TODAY())+COUNTIFS(E224,"&gt;=36526",E224,"&lt;"&amp;TODAY())+COUNTIFS(F224,"&gt;=36526",F224,"&lt;"&amp;TODAY())&gt;0),1,0)</x:f>
        <x:v>0</x:v>
      </x:c>
      <x:c r="P224" t="n">
        <x:f>P223+IF(AND(A224&lt;&gt;"",COUNTIFS(C224,"&gt;=36526",C224,TODAY())+COUNTIFS(D224,"&gt;=36526",D224,TODAY())+COUNTIFS(E224,"&gt;=36526",E224,TODAY())+COUNTIFS(F224,"&gt;=36526",F224,TODAY())&gt;0),1,0)</x:f>
        <x:v>0</x:v>
      </x:c>
      <x:c r="Q224" t="n">
        <x:f>Q223+IF(AND(A224&lt;&gt;"",COUNTIFS(C224,"&gt;"&amp;TODAY(),C224,"&lt;="&amp;TODAY()+30)+COUNTIFS(D224,"&gt;"&amp;TODAY(),D224,"&lt;="&amp;TODAY()+30)+COUNTIFS(E224,"&gt;"&amp;TODAY(),E224,"&lt;="&amp;TODAY()+30)+COUNTIFS(F224,"&gt;"&amp;TODAY(),F224,"&lt;="&amp;TODAY()+30)&gt;0),1,0)</x:f>
        <x:v>0</x:v>
      </x:c>
      <x:c r="R224" t="n">
        <x:f>R223+IF(OR(LEFT(H224,15)="Missing dates; ",LEFT(H224,16)="Add N/A reason; ",H224="Add dates",H224="Add registration",H224="Check date format"),1,0)</x:f>
        <x:v>0</x:v>
      </x:c>
      <x:c r="S224" t="n">
        <x:f>S223+IF(COUNTIFS(C224:F224,"Reviewed N/A")&gt;0,1,0)</x:f>
        <x:v>0</x:v>
      </x:c>
    </x:row>
    <x:row r="225" ht="48" customHeight="1">
      <x:c r="A225" s="52"/>
      <x:c r="B225" s="52"/>
      <x:c r="C225" s="53"/>
      <x:c r="D225" s="53"/>
      <x:c r="E225" s="53"/>
      <x:c r="F225" s="53"/>
      <x:c r="G225" s="52"/>
      <x:c r="H225" s="21" t="str">
        <x:f>IF(COUNTA(A225:G225,I225)=0,"",IF(A225="","Add registration",IF(OR(COUNTA(C225:F225)&gt;COUNT(C225:F225)+COUNTIFS(C225:F225,"Reviewed N/A"),AND(COUNT(C225:F225)&gt;0,OR(MIN(C225:F225)&lt;36526,MAX(C225:F225)&gt;109574))),"Check date format",IF(AND(COUNTIFS(C225:F225,"Reviewed N/A")&gt;0,I225=""),"Add N/A reason; ","")&amp;IF(COUNT(C225:F225)=0,IF(COUNTIFS(C225:F225,"Reviewed N/A")=4,"No applicable dates recorded","Add dates"),IF(COUNT(C225:F225)+COUNTIFS(C225:F225,"Reviewed N/A")&lt;4,"Missing dates; ","")&amp;IF(MIN(C225:F225)&lt;TODAY(),"Overdue: ",IF(MIN(C225:F225)=TODAY(),"Due today: ",IF(MIN(C225:F225)&lt;=TODAY()+30,"Due within 30 days: ","Next: ")))&amp;INDEX($C$8:$F$8,1,MATCH(MIN(C225:F225),C225:F225,0))&amp;" "&amp;TEXT(MIN(C225:F225),"dd mmm yyyy")))))</x:f>
      </x:c>
      <x:c r="I225" s="52"/>
      <x:c r="J225" t="str">
        <x:f>IF(AND(A225&lt;&gt;"",COUNTIFS(C225,"&gt;=36526",C225,"&lt;"&amp;TODAY())+COUNTIFS(D225,"&gt;=36526",D225,"&lt;"&amp;TODAY())+COUNTIFS(E225,"&gt;=36526",E225,"&lt;"&amp;TODAY())+COUNTIFS(F225,"&gt;=36526",F225,"&lt;"&amp;TODAY())&gt;0),O225,"")</x:f>
      </x:c>
      <x:c r="K225" t="str">
        <x:f>IF(AND(A225&lt;&gt;"",COUNTIFS(C225,"&gt;=36526",C225,TODAY())+COUNTIFS(D225,"&gt;=36526",D225,TODAY())+COUNTIFS(E225,"&gt;=36526",E225,TODAY())+COUNTIFS(F225,"&gt;=36526",F225,TODAY())&gt;0),P225,"")</x:f>
      </x:c>
      <x:c r="L225" t="str">
        <x:f>IF(AND(A225&lt;&gt;"",COUNTIFS(C225,"&gt;"&amp;TODAY(),C225,"&lt;="&amp;TODAY()+30)+COUNTIFS(D225,"&gt;"&amp;TODAY(),D225,"&lt;="&amp;TODAY()+30)+COUNTIFS(E225,"&gt;"&amp;TODAY(),E225,"&lt;="&amp;TODAY()+30)+COUNTIFS(F225,"&gt;"&amp;TODAY(),F225,"&lt;="&amp;TODAY()+30)&gt;0),Q225,"")</x:f>
      </x:c>
      <x:c r="M225" t="str">
        <x:f>IF(OR(LEFT(H225,15)="Missing dates; ",LEFT(H225,16)="Add N/A reason; ",H225="Add dates",H225="Add registration",H225="Check date format"),R225,"")</x:f>
      </x:c>
      <x:c r="N225" t="str">
        <x:f>IF(COUNTIFS(C225:F225,"Reviewed N/A")&gt;0,S225,"")</x:f>
      </x:c>
      <x:c r="O225" t="n">
        <x:f>O224+IF(AND(A225&lt;&gt;"",COUNTIFS(C225,"&gt;=36526",C225,"&lt;"&amp;TODAY())+COUNTIFS(D225,"&gt;=36526",D225,"&lt;"&amp;TODAY())+COUNTIFS(E225,"&gt;=36526",E225,"&lt;"&amp;TODAY())+COUNTIFS(F225,"&gt;=36526",F225,"&lt;"&amp;TODAY())&gt;0),1,0)</x:f>
        <x:v>0</x:v>
      </x:c>
      <x:c r="P225" t="n">
        <x:f>P224+IF(AND(A225&lt;&gt;"",COUNTIFS(C225,"&gt;=36526",C225,TODAY())+COUNTIFS(D225,"&gt;=36526",D225,TODAY())+COUNTIFS(E225,"&gt;=36526",E225,TODAY())+COUNTIFS(F225,"&gt;=36526",F225,TODAY())&gt;0),1,0)</x:f>
        <x:v>0</x:v>
      </x:c>
      <x:c r="Q225" t="n">
        <x:f>Q224+IF(AND(A225&lt;&gt;"",COUNTIFS(C225,"&gt;"&amp;TODAY(),C225,"&lt;="&amp;TODAY()+30)+COUNTIFS(D225,"&gt;"&amp;TODAY(),D225,"&lt;="&amp;TODAY()+30)+COUNTIFS(E225,"&gt;"&amp;TODAY(),E225,"&lt;="&amp;TODAY()+30)+COUNTIFS(F225,"&gt;"&amp;TODAY(),F225,"&lt;="&amp;TODAY()+30)&gt;0),1,0)</x:f>
        <x:v>0</x:v>
      </x:c>
      <x:c r="R225" t="n">
        <x:f>R224+IF(OR(LEFT(H225,15)="Missing dates; ",LEFT(H225,16)="Add N/A reason; ",H225="Add dates",H225="Add registration",H225="Check date format"),1,0)</x:f>
        <x:v>0</x:v>
      </x:c>
      <x:c r="S225" t="n">
        <x:f>S224+IF(COUNTIFS(C225:F225,"Reviewed N/A")&gt;0,1,0)</x:f>
        <x:v>0</x:v>
      </x:c>
    </x:row>
    <x:row r="226" ht="48" customHeight="1">
      <x:c r="A226" s="52"/>
      <x:c r="B226" s="52"/>
      <x:c r="C226" s="53"/>
      <x:c r="D226" s="53"/>
      <x:c r="E226" s="53"/>
      <x:c r="F226" s="53"/>
      <x:c r="G226" s="52"/>
      <x:c r="H226" s="21" t="str">
        <x:f>IF(COUNTA(A226:G226,I226)=0,"",IF(A226="","Add registration",IF(OR(COUNTA(C226:F226)&gt;COUNT(C226:F226)+COUNTIFS(C226:F226,"Reviewed N/A"),AND(COUNT(C226:F226)&gt;0,OR(MIN(C226:F226)&lt;36526,MAX(C226:F226)&gt;109574))),"Check date format",IF(AND(COUNTIFS(C226:F226,"Reviewed N/A")&gt;0,I226=""),"Add N/A reason; ","")&amp;IF(COUNT(C226:F226)=0,IF(COUNTIFS(C226:F226,"Reviewed N/A")=4,"No applicable dates recorded","Add dates"),IF(COUNT(C226:F226)+COUNTIFS(C226:F226,"Reviewed N/A")&lt;4,"Missing dates; ","")&amp;IF(MIN(C226:F226)&lt;TODAY(),"Overdue: ",IF(MIN(C226:F226)=TODAY(),"Due today: ",IF(MIN(C226:F226)&lt;=TODAY()+30,"Due within 30 days: ","Next: ")))&amp;INDEX($C$8:$F$8,1,MATCH(MIN(C226:F226),C226:F226,0))&amp;" "&amp;TEXT(MIN(C226:F226),"dd mmm yyyy")))))</x:f>
      </x:c>
      <x:c r="I226" s="52"/>
      <x:c r="J226" t="str">
        <x:f>IF(AND(A226&lt;&gt;"",COUNTIFS(C226,"&gt;=36526",C226,"&lt;"&amp;TODAY())+COUNTIFS(D226,"&gt;=36526",D226,"&lt;"&amp;TODAY())+COUNTIFS(E226,"&gt;=36526",E226,"&lt;"&amp;TODAY())+COUNTIFS(F226,"&gt;=36526",F226,"&lt;"&amp;TODAY())&gt;0),O226,"")</x:f>
      </x:c>
      <x:c r="K226" t="str">
        <x:f>IF(AND(A226&lt;&gt;"",COUNTIFS(C226,"&gt;=36526",C226,TODAY())+COUNTIFS(D226,"&gt;=36526",D226,TODAY())+COUNTIFS(E226,"&gt;=36526",E226,TODAY())+COUNTIFS(F226,"&gt;=36526",F226,TODAY())&gt;0),P226,"")</x:f>
      </x:c>
      <x:c r="L226" t="str">
        <x:f>IF(AND(A226&lt;&gt;"",COUNTIFS(C226,"&gt;"&amp;TODAY(),C226,"&lt;="&amp;TODAY()+30)+COUNTIFS(D226,"&gt;"&amp;TODAY(),D226,"&lt;="&amp;TODAY()+30)+COUNTIFS(E226,"&gt;"&amp;TODAY(),E226,"&lt;="&amp;TODAY()+30)+COUNTIFS(F226,"&gt;"&amp;TODAY(),F226,"&lt;="&amp;TODAY()+30)&gt;0),Q226,"")</x:f>
      </x:c>
      <x:c r="M226" t="str">
        <x:f>IF(OR(LEFT(H226,15)="Missing dates; ",LEFT(H226,16)="Add N/A reason; ",H226="Add dates",H226="Add registration",H226="Check date format"),R226,"")</x:f>
      </x:c>
      <x:c r="N226" t="str">
        <x:f>IF(COUNTIFS(C226:F226,"Reviewed N/A")&gt;0,S226,"")</x:f>
      </x:c>
      <x:c r="O226" t="n">
        <x:f>O225+IF(AND(A226&lt;&gt;"",COUNTIFS(C226,"&gt;=36526",C226,"&lt;"&amp;TODAY())+COUNTIFS(D226,"&gt;=36526",D226,"&lt;"&amp;TODAY())+COUNTIFS(E226,"&gt;=36526",E226,"&lt;"&amp;TODAY())+COUNTIFS(F226,"&gt;=36526",F226,"&lt;"&amp;TODAY())&gt;0),1,0)</x:f>
        <x:v>0</x:v>
      </x:c>
      <x:c r="P226" t="n">
        <x:f>P225+IF(AND(A226&lt;&gt;"",COUNTIFS(C226,"&gt;=36526",C226,TODAY())+COUNTIFS(D226,"&gt;=36526",D226,TODAY())+COUNTIFS(E226,"&gt;=36526",E226,TODAY())+COUNTIFS(F226,"&gt;=36526",F226,TODAY())&gt;0),1,0)</x:f>
        <x:v>0</x:v>
      </x:c>
      <x:c r="Q226" t="n">
        <x:f>Q225+IF(AND(A226&lt;&gt;"",COUNTIFS(C226,"&gt;"&amp;TODAY(),C226,"&lt;="&amp;TODAY()+30)+COUNTIFS(D226,"&gt;"&amp;TODAY(),D226,"&lt;="&amp;TODAY()+30)+COUNTIFS(E226,"&gt;"&amp;TODAY(),E226,"&lt;="&amp;TODAY()+30)+COUNTIFS(F226,"&gt;"&amp;TODAY(),F226,"&lt;="&amp;TODAY()+30)&gt;0),1,0)</x:f>
        <x:v>0</x:v>
      </x:c>
      <x:c r="R226" t="n">
        <x:f>R225+IF(OR(LEFT(H226,15)="Missing dates; ",LEFT(H226,16)="Add N/A reason; ",H226="Add dates",H226="Add registration",H226="Check date format"),1,0)</x:f>
        <x:v>0</x:v>
      </x:c>
      <x:c r="S226" t="n">
        <x:f>S225+IF(COUNTIFS(C226:F226,"Reviewed N/A")&gt;0,1,0)</x:f>
        <x:v>0</x:v>
      </x:c>
    </x:row>
    <x:row r="227" ht="48" customHeight="1">
      <x:c r="A227" s="52"/>
      <x:c r="B227" s="52"/>
      <x:c r="C227" s="53"/>
      <x:c r="D227" s="53"/>
      <x:c r="E227" s="53"/>
      <x:c r="F227" s="53"/>
      <x:c r="G227" s="52"/>
      <x:c r="H227" s="21" t="str">
        <x:f>IF(COUNTA(A227:G227,I227)=0,"",IF(A227="","Add registration",IF(OR(COUNTA(C227:F227)&gt;COUNT(C227:F227)+COUNTIFS(C227:F227,"Reviewed N/A"),AND(COUNT(C227:F227)&gt;0,OR(MIN(C227:F227)&lt;36526,MAX(C227:F227)&gt;109574))),"Check date format",IF(AND(COUNTIFS(C227:F227,"Reviewed N/A")&gt;0,I227=""),"Add N/A reason; ","")&amp;IF(COUNT(C227:F227)=0,IF(COUNTIFS(C227:F227,"Reviewed N/A")=4,"No applicable dates recorded","Add dates"),IF(COUNT(C227:F227)+COUNTIFS(C227:F227,"Reviewed N/A")&lt;4,"Missing dates; ","")&amp;IF(MIN(C227:F227)&lt;TODAY(),"Overdue: ",IF(MIN(C227:F227)=TODAY(),"Due today: ",IF(MIN(C227:F227)&lt;=TODAY()+30,"Due within 30 days: ","Next: ")))&amp;INDEX($C$8:$F$8,1,MATCH(MIN(C227:F227),C227:F227,0))&amp;" "&amp;TEXT(MIN(C227:F227),"dd mmm yyyy")))))</x:f>
      </x:c>
      <x:c r="I227" s="52"/>
      <x:c r="J227" t="str">
        <x:f>IF(AND(A227&lt;&gt;"",COUNTIFS(C227,"&gt;=36526",C227,"&lt;"&amp;TODAY())+COUNTIFS(D227,"&gt;=36526",D227,"&lt;"&amp;TODAY())+COUNTIFS(E227,"&gt;=36526",E227,"&lt;"&amp;TODAY())+COUNTIFS(F227,"&gt;=36526",F227,"&lt;"&amp;TODAY())&gt;0),O227,"")</x:f>
      </x:c>
      <x:c r="K227" t="str">
        <x:f>IF(AND(A227&lt;&gt;"",COUNTIFS(C227,"&gt;=36526",C227,TODAY())+COUNTIFS(D227,"&gt;=36526",D227,TODAY())+COUNTIFS(E227,"&gt;=36526",E227,TODAY())+COUNTIFS(F227,"&gt;=36526",F227,TODAY())&gt;0),P227,"")</x:f>
      </x:c>
      <x:c r="L227" t="str">
        <x:f>IF(AND(A227&lt;&gt;"",COUNTIFS(C227,"&gt;"&amp;TODAY(),C227,"&lt;="&amp;TODAY()+30)+COUNTIFS(D227,"&gt;"&amp;TODAY(),D227,"&lt;="&amp;TODAY()+30)+COUNTIFS(E227,"&gt;"&amp;TODAY(),E227,"&lt;="&amp;TODAY()+30)+COUNTIFS(F227,"&gt;"&amp;TODAY(),F227,"&lt;="&amp;TODAY()+30)&gt;0),Q227,"")</x:f>
      </x:c>
      <x:c r="M227" t="str">
        <x:f>IF(OR(LEFT(H227,15)="Missing dates; ",LEFT(H227,16)="Add N/A reason; ",H227="Add dates",H227="Add registration",H227="Check date format"),R227,"")</x:f>
      </x:c>
      <x:c r="N227" t="str">
        <x:f>IF(COUNTIFS(C227:F227,"Reviewed N/A")&gt;0,S227,"")</x:f>
      </x:c>
      <x:c r="O227" t="n">
        <x:f>O226+IF(AND(A227&lt;&gt;"",COUNTIFS(C227,"&gt;=36526",C227,"&lt;"&amp;TODAY())+COUNTIFS(D227,"&gt;=36526",D227,"&lt;"&amp;TODAY())+COUNTIFS(E227,"&gt;=36526",E227,"&lt;"&amp;TODAY())+COUNTIFS(F227,"&gt;=36526",F227,"&lt;"&amp;TODAY())&gt;0),1,0)</x:f>
        <x:v>0</x:v>
      </x:c>
      <x:c r="P227" t="n">
        <x:f>P226+IF(AND(A227&lt;&gt;"",COUNTIFS(C227,"&gt;=36526",C227,TODAY())+COUNTIFS(D227,"&gt;=36526",D227,TODAY())+COUNTIFS(E227,"&gt;=36526",E227,TODAY())+COUNTIFS(F227,"&gt;=36526",F227,TODAY())&gt;0),1,0)</x:f>
        <x:v>0</x:v>
      </x:c>
      <x:c r="Q227" t="n">
        <x:f>Q226+IF(AND(A227&lt;&gt;"",COUNTIFS(C227,"&gt;"&amp;TODAY(),C227,"&lt;="&amp;TODAY()+30)+COUNTIFS(D227,"&gt;"&amp;TODAY(),D227,"&lt;="&amp;TODAY()+30)+COUNTIFS(E227,"&gt;"&amp;TODAY(),E227,"&lt;="&amp;TODAY()+30)+COUNTIFS(F227,"&gt;"&amp;TODAY(),F227,"&lt;="&amp;TODAY()+30)&gt;0),1,0)</x:f>
        <x:v>0</x:v>
      </x:c>
      <x:c r="R227" t="n">
        <x:f>R226+IF(OR(LEFT(H227,15)="Missing dates; ",LEFT(H227,16)="Add N/A reason; ",H227="Add dates",H227="Add registration",H227="Check date format"),1,0)</x:f>
        <x:v>0</x:v>
      </x:c>
      <x:c r="S227" t="n">
        <x:f>S226+IF(COUNTIFS(C227:F227,"Reviewed N/A")&gt;0,1,0)</x:f>
        <x:v>0</x:v>
      </x:c>
    </x:row>
    <x:row r="228" ht="48" customHeight="1">
      <x:c r="A228" s="52"/>
      <x:c r="B228" s="52"/>
      <x:c r="C228" s="53"/>
      <x:c r="D228" s="53"/>
      <x:c r="E228" s="53"/>
      <x:c r="F228" s="53"/>
      <x:c r="G228" s="52"/>
      <x:c r="H228" s="21" t="str">
        <x:f>IF(COUNTA(A228:G228,I228)=0,"",IF(A228="","Add registration",IF(OR(COUNTA(C228:F228)&gt;COUNT(C228:F228)+COUNTIFS(C228:F228,"Reviewed N/A"),AND(COUNT(C228:F228)&gt;0,OR(MIN(C228:F228)&lt;36526,MAX(C228:F228)&gt;109574))),"Check date format",IF(AND(COUNTIFS(C228:F228,"Reviewed N/A")&gt;0,I228=""),"Add N/A reason; ","")&amp;IF(COUNT(C228:F228)=0,IF(COUNTIFS(C228:F228,"Reviewed N/A")=4,"No applicable dates recorded","Add dates"),IF(COUNT(C228:F228)+COUNTIFS(C228:F228,"Reviewed N/A")&lt;4,"Missing dates; ","")&amp;IF(MIN(C228:F228)&lt;TODAY(),"Overdue: ",IF(MIN(C228:F228)=TODAY(),"Due today: ",IF(MIN(C228:F228)&lt;=TODAY()+30,"Due within 30 days: ","Next: ")))&amp;INDEX($C$8:$F$8,1,MATCH(MIN(C228:F228),C228:F228,0))&amp;" "&amp;TEXT(MIN(C228:F228),"dd mmm yyyy")))))</x:f>
      </x:c>
      <x:c r="I228" s="52"/>
      <x:c r="J228" t="str">
        <x:f>IF(AND(A228&lt;&gt;"",COUNTIFS(C228,"&gt;=36526",C228,"&lt;"&amp;TODAY())+COUNTIFS(D228,"&gt;=36526",D228,"&lt;"&amp;TODAY())+COUNTIFS(E228,"&gt;=36526",E228,"&lt;"&amp;TODAY())+COUNTIFS(F228,"&gt;=36526",F228,"&lt;"&amp;TODAY())&gt;0),O228,"")</x:f>
      </x:c>
      <x:c r="K228" t="str">
        <x:f>IF(AND(A228&lt;&gt;"",COUNTIFS(C228,"&gt;=36526",C228,TODAY())+COUNTIFS(D228,"&gt;=36526",D228,TODAY())+COUNTIFS(E228,"&gt;=36526",E228,TODAY())+COUNTIFS(F228,"&gt;=36526",F228,TODAY())&gt;0),P228,"")</x:f>
      </x:c>
      <x:c r="L228" t="str">
        <x:f>IF(AND(A228&lt;&gt;"",COUNTIFS(C228,"&gt;"&amp;TODAY(),C228,"&lt;="&amp;TODAY()+30)+COUNTIFS(D228,"&gt;"&amp;TODAY(),D228,"&lt;="&amp;TODAY()+30)+COUNTIFS(E228,"&gt;"&amp;TODAY(),E228,"&lt;="&amp;TODAY()+30)+COUNTIFS(F228,"&gt;"&amp;TODAY(),F228,"&lt;="&amp;TODAY()+30)&gt;0),Q228,"")</x:f>
      </x:c>
      <x:c r="M228" t="str">
        <x:f>IF(OR(LEFT(H228,15)="Missing dates; ",LEFT(H228,16)="Add N/A reason; ",H228="Add dates",H228="Add registration",H228="Check date format"),R228,"")</x:f>
      </x:c>
      <x:c r="N228" t="str">
        <x:f>IF(COUNTIFS(C228:F228,"Reviewed N/A")&gt;0,S228,"")</x:f>
      </x:c>
      <x:c r="O228" t="n">
        <x:f>O227+IF(AND(A228&lt;&gt;"",COUNTIFS(C228,"&gt;=36526",C228,"&lt;"&amp;TODAY())+COUNTIFS(D228,"&gt;=36526",D228,"&lt;"&amp;TODAY())+COUNTIFS(E228,"&gt;=36526",E228,"&lt;"&amp;TODAY())+COUNTIFS(F228,"&gt;=36526",F228,"&lt;"&amp;TODAY())&gt;0),1,0)</x:f>
        <x:v>0</x:v>
      </x:c>
      <x:c r="P228" t="n">
        <x:f>P227+IF(AND(A228&lt;&gt;"",COUNTIFS(C228,"&gt;=36526",C228,TODAY())+COUNTIFS(D228,"&gt;=36526",D228,TODAY())+COUNTIFS(E228,"&gt;=36526",E228,TODAY())+COUNTIFS(F228,"&gt;=36526",F228,TODAY())&gt;0),1,0)</x:f>
        <x:v>0</x:v>
      </x:c>
      <x:c r="Q228" t="n">
        <x:f>Q227+IF(AND(A228&lt;&gt;"",COUNTIFS(C228,"&gt;"&amp;TODAY(),C228,"&lt;="&amp;TODAY()+30)+COUNTIFS(D228,"&gt;"&amp;TODAY(),D228,"&lt;="&amp;TODAY()+30)+COUNTIFS(E228,"&gt;"&amp;TODAY(),E228,"&lt;="&amp;TODAY()+30)+COUNTIFS(F228,"&gt;"&amp;TODAY(),F228,"&lt;="&amp;TODAY()+30)&gt;0),1,0)</x:f>
        <x:v>0</x:v>
      </x:c>
      <x:c r="R228" t="n">
        <x:f>R227+IF(OR(LEFT(H228,15)="Missing dates; ",LEFT(H228,16)="Add N/A reason; ",H228="Add dates",H228="Add registration",H228="Check date format"),1,0)</x:f>
        <x:v>0</x:v>
      </x:c>
      <x:c r="S228" t="n">
        <x:f>S227+IF(COUNTIFS(C228:F228,"Reviewed N/A")&gt;0,1,0)</x:f>
        <x:v>0</x:v>
      </x:c>
    </x:row>
    <x:row r="229" ht="48" customHeight="1">
      <x:c r="A229" s="52"/>
      <x:c r="B229" s="52"/>
      <x:c r="C229" s="53"/>
      <x:c r="D229" s="53"/>
      <x:c r="E229" s="53"/>
      <x:c r="F229" s="53"/>
      <x:c r="G229" s="52"/>
      <x:c r="H229" s="21" t="str">
        <x:f>IF(COUNTA(A229:G229,I229)=0,"",IF(A229="","Add registration",IF(OR(COUNTA(C229:F229)&gt;COUNT(C229:F229)+COUNTIFS(C229:F229,"Reviewed N/A"),AND(COUNT(C229:F229)&gt;0,OR(MIN(C229:F229)&lt;36526,MAX(C229:F229)&gt;109574))),"Check date format",IF(AND(COUNTIFS(C229:F229,"Reviewed N/A")&gt;0,I229=""),"Add N/A reason; ","")&amp;IF(COUNT(C229:F229)=0,IF(COUNTIFS(C229:F229,"Reviewed N/A")=4,"No applicable dates recorded","Add dates"),IF(COUNT(C229:F229)+COUNTIFS(C229:F229,"Reviewed N/A")&lt;4,"Missing dates; ","")&amp;IF(MIN(C229:F229)&lt;TODAY(),"Overdue: ",IF(MIN(C229:F229)=TODAY(),"Due today: ",IF(MIN(C229:F229)&lt;=TODAY()+30,"Due within 30 days: ","Next: ")))&amp;INDEX($C$8:$F$8,1,MATCH(MIN(C229:F229),C229:F229,0))&amp;" "&amp;TEXT(MIN(C229:F229),"dd mmm yyyy")))))</x:f>
      </x:c>
      <x:c r="I229" s="52"/>
      <x:c r="J229" t="str">
        <x:f>IF(AND(A229&lt;&gt;"",COUNTIFS(C229,"&gt;=36526",C229,"&lt;"&amp;TODAY())+COUNTIFS(D229,"&gt;=36526",D229,"&lt;"&amp;TODAY())+COUNTIFS(E229,"&gt;=36526",E229,"&lt;"&amp;TODAY())+COUNTIFS(F229,"&gt;=36526",F229,"&lt;"&amp;TODAY())&gt;0),O229,"")</x:f>
      </x:c>
      <x:c r="K229" t="str">
        <x:f>IF(AND(A229&lt;&gt;"",COUNTIFS(C229,"&gt;=36526",C229,TODAY())+COUNTIFS(D229,"&gt;=36526",D229,TODAY())+COUNTIFS(E229,"&gt;=36526",E229,TODAY())+COUNTIFS(F229,"&gt;=36526",F229,TODAY())&gt;0),P229,"")</x:f>
      </x:c>
      <x:c r="L229" t="str">
        <x:f>IF(AND(A229&lt;&gt;"",COUNTIFS(C229,"&gt;"&amp;TODAY(),C229,"&lt;="&amp;TODAY()+30)+COUNTIFS(D229,"&gt;"&amp;TODAY(),D229,"&lt;="&amp;TODAY()+30)+COUNTIFS(E229,"&gt;"&amp;TODAY(),E229,"&lt;="&amp;TODAY()+30)+COUNTIFS(F229,"&gt;"&amp;TODAY(),F229,"&lt;="&amp;TODAY()+30)&gt;0),Q229,"")</x:f>
      </x:c>
      <x:c r="M229" t="str">
        <x:f>IF(OR(LEFT(H229,15)="Missing dates; ",LEFT(H229,16)="Add N/A reason; ",H229="Add dates",H229="Add registration",H229="Check date format"),R229,"")</x:f>
      </x:c>
      <x:c r="N229" t="str">
        <x:f>IF(COUNTIFS(C229:F229,"Reviewed N/A")&gt;0,S229,"")</x:f>
      </x:c>
      <x:c r="O229" t="n">
        <x:f>O228+IF(AND(A229&lt;&gt;"",COUNTIFS(C229,"&gt;=36526",C229,"&lt;"&amp;TODAY())+COUNTIFS(D229,"&gt;=36526",D229,"&lt;"&amp;TODAY())+COUNTIFS(E229,"&gt;=36526",E229,"&lt;"&amp;TODAY())+COUNTIFS(F229,"&gt;=36526",F229,"&lt;"&amp;TODAY())&gt;0),1,0)</x:f>
        <x:v>0</x:v>
      </x:c>
      <x:c r="P229" t="n">
        <x:f>P228+IF(AND(A229&lt;&gt;"",COUNTIFS(C229,"&gt;=36526",C229,TODAY())+COUNTIFS(D229,"&gt;=36526",D229,TODAY())+COUNTIFS(E229,"&gt;=36526",E229,TODAY())+COUNTIFS(F229,"&gt;=36526",F229,TODAY())&gt;0),1,0)</x:f>
        <x:v>0</x:v>
      </x:c>
      <x:c r="Q229" t="n">
        <x:f>Q228+IF(AND(A229&lt;&gt;"",COUNTIFS(C229,"&gt;"&amp;TODAY(),C229,"&lt;="&amp;TODAY()+30)+COUNTIFS(D229,"&gt;"&amp;TODAY(),D229,"&lt;="&amp;TODAY()+30)+COUNTIFS(E229,"&gt;"&amp;TODAY(),E229,"&lt;="&amp;TODAY()+30)+COUNTIFS(F229,"&gt;"&amp;TODAY(),F229,"&lt;="&amp;TODAY()+30)&gt;0),1,0)</x:f>
        <x:v>0</x:v>
      </x:c>
      <x:c r="R229" t="n">
        <x:f>R228+IF(OR(LEFT(H229,15)="Missing dates; ",LEFT(H229,16)="Add N/A reason; ",H229="Add dates",H229="Add registration",H229="Check date format"),1,0)</x:f>
        <x:v>0</x:v>
      </x:c>
      <x:c r="S229" t="n">
        <x:f>S228+IF(COUNTIFS(C229:F229,"Reviewed N/A")&gt;0,1,0)</x:f>
        <x:v>0</x:v>
      </x:c>
    </x:row>
    <x:row r="230" ht="48" customHeight="1">
      <x:c r="A230" s="52"/>
      <x:c r="B230" s="52"/>
      <x:c r="C230" s="53"/>
      <x:c r="D230" s="53"/>
      <x:c r="E230" s="53"/>
      <x:c r="F230" s="53"/>
      <x:c r="G230" s="52"/>
      <x:c r="H230" s="21" t="str">
        <x:f>IF(COUNTA(A230:G230,I230)=0,"",IF(A230="","Add registration",IF(OR(COUNTA(C230:F230)&gt;COUNT(C230:F230)+COUNTIFS(C230:F230,"Reviewed N/A"),AND(COUNT(C230:F230)&gt;0,OR(MIN(C230:F230)&lt;36526,MAX(C230:F230)&gt;109574))),"Check date format",IF(AND(COUNTIFS(C230:F230,"Reviewed N/A")&gt;0,I230=""),"Add N/A reason; ","")&amp;IF(COUNT(C230:F230)=0,IF(COUNTIFS(C230:F230,"Reviewed N/A")=4,"No applicable dates recorded","Add dates"),IF(COUNT(C230:F230)+COUNTIFS(C230:F230,"Reviewed N/A")&lt;4,"Missing dates; ","")&amp;IF(MIN(C230:F230)&lt;TODAY(),"Overdue: ",IF(MIN(C230:F230)=TODAY(),"Due today: ",IF(MIN(C230:F230)&lt;=TODAY()+30,"Due within 30 days: ","Next: ")))&amp;INDEX($C$8:$F$8,1,MATCH(MIN(C230:F230),C230:F230,0))&amp;" "&amp;TEXT(MIN(C230:F230),"dd mmm yyyy")))))</x:f>
      </x:c>
      <x:c r="I230" s="52"/>
      <x:c r="J230" t="str">
        <x:f>IF(AND(A230&lt;&gt;"",COUNTIFS(C230,"&gt;=36526",C230,"&lt;"&amp;TODAY())+COUNTIFS(D230,"&gt;=36526",D230,"&lt;"&amp;TODAY())+COUNTIFS(E230,"&gt;=36526",E230,"&lt;"&amp;TODAY())+COUNTIFS(F230,"&gt;=36526",F230,"&lt;"&amp;TODAY())&gt;0),O230,"")</x:f>
      </x:c>
      <x:c r="K230" t="str">
        <x:f>IF(AND(A230&lt;&gt;"",COUNTIFS(C230,"&gt;=36526",C230,TODAY())+COUNTIFS(D230,"&gt;=36526",D230,TODAY())+COUNTIFS(E230,"&gt;=36526",E230,TODAY())+COUNTIFS(F230,"&gt;=36526",F230,TODAY())&gt;0),P230,"")</x:f>
      </x:c>
      <x:c r="L230" t="str">
        <x:f>IF(AND(A230&lt;&gt;"",COUNTIFS(C230,"&gt;"&amp;TODAY(),C230,"&lt;="&amp;TODAY()+30)+COUNTIFS(D230,"&gt;"&amp;TODAY(),D230,"&lt;="&amp;TODAY()+30)+COUNTIFS(E230,"&gt;"&amp;TODAY(),E230,"&lt;="&amp;TODAY()+30)+COUNTIFS(F230,"&gt;"&amp;TODAY(),F230,"&lt;="&amp;TODAY()+30)&gt;0),Q230,"")</x:f>
      </x:c>
      <x:c r="M230" t="str">
        <x:f>IF(OR(LEFT(H230,15)="Missing dates; ",LEFT(H230,16)="Add N/A reason; ",H230="Add dates",H230="Add registration",H230="Check date format"),R230,"")</x:f>
      </x:c>
      <x:c r="N230" t="str">
        <x:f>IF(COUNTIFS(C230:F230,"Reviewed N/A")&gt;0,S230,"")</x:f>
      </x:c>
      <x:c r="O230" t="n">
        <x:f>O229+IF(AND(A230&lt;&gt;"",COUNTIFS(C230,"&gt;=36526",C230,"&lt;"&amp;TODAY())+COUNTIFS(D230,"&gt;=36526",D230,"&lt;"&amp;TODAY())+COUNTIFS(E230,"&gt;=36526",E230,"&lt;"&amp;TODAY())+COUNTIFS(F230,"&gt;=36526",F230,"&lt;"&amp;TODAY())&gt;0),1,0)</x:f>
        <x:v>0</x:v>
      </x:c>
      <x:c r="P230" t="n">
        <x:f>P229+IF(AND(A230&lt;&gt;"",COUNTIFS(C230,"&gt;=36526",C230,TODAY())+COUNTIFS(D230,"&gt;=36526",D230,TODAY())+COUNTIFS(E230,"&gt;=36526",E230,TODAY())+COUNTIFS(F230,"&gt;=36526",F230,TODAY())&gt;0),1,0)</x:f>
        <x:v>0</x:v>
      </x:c>
      <x:c r="Q230" t="n">
        <x:f>Q229+IF(AND(A230&lt;&gt;"",COUNTIFS(C230,"&gt;"&amp;TODAY(),C230,"&lt;="&amp;TODAY()+30)+COUNTIFS(D230,"&gt;"&amp;TODAY(),D230,"&lt;="&amp;TODAY()+30)+COUNTIFS(E230,"&gt;"&amp;TODAY(),E230,"&lt;="&amp;TODAY()+30)+COUNTIFS(F230,"&gt;"&amp;TODAY(),F230,"&lt;="&amp;TODAY()+30)&gt;0),1,0)</x:f>
        <x:v>0</x:v>
      </x:c>
      <x:c r="R230" t="n">
        <x:f>R229+IF(OR(LEFT(H230,15)="Missing dates; ",LEFT(H230,16)="Add N/A reason; ",H230="Add dates",H230="Add registration",H230="Check date format"),1,0)</x:f>
        <x:v>0</x:v>
      </x:c>
      <x:c r="S230" t="n">
        <x:f>S229+IF(COUNTIFS(C230:F230,"Reviewed N/A")&gt;0,1,0)</x:f>
        <x:v>0</x:v>
      </x:c>
    </x:row>
    <x:row r="231" ht="48" customHeight="1">
      <x:c r="A231" s="52"/>
      <x:c r="B231" s="52"/>
      <x:c r="C231" s="53"/>
      <x:c r="D231" s="53"/>
      <x:c r="E231" s="53"/>
      <x:c r="F231" s="53"/>
      <x:c r="G231" s="52"/>
      <x:c r="H231" s="21" t="str">
        <x:f>IF(COUNTA(A231:G231,I231)=0,"",IF(A231="","Add registration",IF(OR(COUNTA(C231:F231)&gt;COUNT(C231:F231)+COUNTIFS(C231:F231,"Reviewed N/A"),AND(COUNT(C231:F231)&gt;0,OR(MIN(C231:F231)&lt;36526,MAX(C231:F231)&gt;109574))),"Check date format",IF(AND(COUNTIFS(C231:F231,"Reviewed N/A")&gt;0,I231=""),"Add N/A reason; ","")&amp;IF(COUNT(C231:F231)=0,IF(COUNTIFS(C231:F231,"Reviewed N/A")=4,"No applicable dates recorded","Add dates"),IF(COUNT(C231:F231)+COUNTIFS(C231:F231,"Reviewed N/A")&lt;4,"Missing dates; ","")&amp;IF(MIN(C231:F231)&lt;TODAY(),"Overdue: ",IF(MIN(C231:F231)=TODAY(),"Due today: ",IF(MIN(C231:F231)&lt;=TODAY()+30,"Due within 30 days: ","Next: ")))&amp;INDEX($C$8:$F$8,1,MATCH(MIN(C231:F231),C231:F231,0))&amp;" "&amp;TEXT(MIN(C231:F231),"dd mmm yyyy")))))</x:f>
      </x:c>
      <x:c r="I231" s="52"/>
      <x:c r="J231" t="str">
        <x:f>IF(AND(A231&lt;&gt;"",COUNTIFS(C231,"&gt;=36526",C231,"&lt;"&amp;TODAY())+COUNTIFS(D231,"&gt;=36526",D231,"&lt;"&amp;TODAY())+COUNTIFS(E231,"&gt;=36526",E231,"&lt;"&amp;TODAY())+COUNTIFS(F231,"&gt;=36526",F231,"&lt;"&amp;TODAY())&gt;0),O231,"")</x:f>
      </x:c>
      <x:c r="K231" t="str">
        <x:f>IF(AND(A231&lt;&gt;"",COUNTIFS(C231,"&gt;=36526",C231,TODAY())+COUNTIFS(D231,"&gt;=36526",D231,TODAY())+COUNTIFS(E231,"&gt;=36526",E231,TODAY())+COUNTIFS(F231,"&gt;=36526",F231,TODAY())&gt;0),P231,"")</x:f>
      </x:c>
      <x:c r="L231" t="str">
        <x:f>IF(AND(A231&lt;&gt;"",COUNTIFS(C231,"&gt;"&amp;TODAY(),C231,"&lt;="&amp;TODAY()+30)+COUNTIFS(D231,"&gt;"&amp;TODAY(),D231,"&lt;="&amp;TODAY()+30)+COUNTIFS(E231,"&gt;"&amp;TODAY(),E231,"&lt;="&amp;TODAY()+30)+COUNTIFS(F231,"&gt;"&amp;TODAY(),F231,"&lt;="&amp;TODAY()+30)&gt;0),Q231,"")</x:f>
      </x:c>
      <x:c r="M231" t="str">
        <x:f>IF(OR(LEFT(H231,15)="Missing dates; ",LEFT(H231,16)="Add N/A reason; ",H231="Add dates",H231="Add registration",H231="Check date format"),R231,"")</x:f>
      </x:c>
      <x:c r="N231" t="str">
        <x:f>IF(COUNTIFS(C231:F231,"Reviewed N/A")&gt;0,S231,"")</x:f>
      </x:c>
      <x:c r="O231" t="n">
        <x:f>O230+IF(AND(A231&lt;&gt;"",COUNTIFS(C231,"&gt;=36526",C231,"&lt;"&amp;TODAY())+COUNTIFS(D231,"&gt;=36526",D231,"&lt;"&amp;TODAY())+COUNTIFS(E231,"&gt;=36526",E231,"&lt;"&amp;TODAY())+COUNTIFS(F231,"&gt;=36526",F231,"&lt;"&amp;TODAY())&gt;0),1,0)</x:f>
        <x:v>0</x:v>
      </x:c>
      <x:c r="P231" t="n">
        <x:f>P230+IF(AND(A231&lt;&gt;"",COUNTIFS(C231,"&gt;=36526",C231,TODAY())+COUNTIFS(D231,"&gt;=36526",D231,TODAY())+COUNTIFS(E231,"&gt;=36526",E231,TODAY())+COUNTIFS(F231,"&gt;=36526",F231,TODAY())&gt;0),1,0)</x:f>
        <x:v>0</x:v>
      </x:c>
      <x:c r="Q231" t="n">
        <x:f>Q230+IF(AND(A231&lt;&gt;"",COUNTIFS(C231,"&gt;"&amp;TODAY(),C231,"&lt;="&amp;TODAY()+30)+COUNTIFS(D231,"&gt;"&amp;TODAY(),D231,"&lt;="&amp;TODAY()+30)+COUNTIFS(E231,"&gt;"&amp;TODAY(),E231,"&lt;="&amp;TODAY()+30)+COUNTIFS(F231,"&gt;"&amp;TODAY(),F231,"&lt;="&amp;TODAY()+30)&gt;0),1,0)</x:f>
        <x:v>0</x:v>
      </x:c>
      <x:c r="R231" t="n">
        <x:f>R230+IF(OR(LEFT(H231,15)="Missing dates; ",LEFT(H231,16)="Add N/A reason; ",H231="Add dates",H231="Add registration",H231="Check date format"),1,0)</x:f>
        <x:v>0</x:v>
      </x:c>
      <x:c r="S231" t="n">
        <x:f>S230+IF(COUNTIFS(C231:F231,"Reviewed N/A")&gt;0,1,0)</x:f>
        <x:v>0</x:v>
      </x:c>
    </x:row>
    <x:row r="232" ht="48" customHeight="1">
      <x:c r="A232" s="52"/>
      <x:c r="B232" s="52"/>
      <x:c r="C232" s="53"/>
      <x:c r="D232" s="53"/>
      <x:c r="E232" s="53"/>
      <x:c r="F232" s="53"/>
      <x:c r="G232" s="52"/>
      <x:c r="H232" s="21" t="str">
        <x:f>IF(COUNTA(A232:G232,I232)=0,"",IF(A232="","Add registration",IF(OR(COUNTA(C232:F232)&gt;COUNT(C232:F232)+COUNTIFS(C232:F232,"Reviewed N/A"),AND(COUNT(C232:F232)&gt;0,OR(MIN(C232:F232)&lt;36526,MAX(C232:F232)&gt;109574))),"Check date format",IF(AND(COUNTIFS(C232:F232,"Reviewed N/A")&gt;0,I232=""),"Add N/A reason; ","")&amp;IF(COUNT(C232:F232)=0,IF(COUNTIFS(C232:F232,"Reviewed N/A")=4,"No applicable dates recorded","Add dates"),IF(COUNT(C232:F232)+COUNTIFS(C232:F232,"Reviewed N/A")&lt;4,"Missing dates; ","")&amp;IF(MIN(C232:F232)&lt;TODAY(),"Overdue: ",IF(MIN(C232:F232)=TODAY(),"Due today: ",IF(MIN(C232:F232)&lt;=TODAY()+30,"Due within 30 days: ","Next: ")))&amp;INDEX($C$8:$F$8,1,MATCH(MIN(C232:F232),C232:F232,0))&amp;" "&amp;TEXT(MIN(C232:F232),"dd mmm yyyy")))))</x:f>
      </x:c>
      <x:c r="I232" s="52"/>
      <x:c r="J232" t="str">
        <x:f>IF(AND(A232&lt;&gt;"",COUNTIFS(C232,"&gt;=36526",C232,"&lt;"&amp;TODAY())+COUNTIFS(D232,"&gt;=36526",D232,"&lt;"&amp;TODAY())+COUNTIFS(E232,"&gt;=36526",E232,"&lt;"&amp;TODAY())+COUNTIFS(F232,"&gt;=36526",F232,"&lt;"&amp;TODAY())&gt;0),O232,"")</x:f>
      </x:c>
      <x:c r="K232" t="str">
        <x:f>IF(AND(A232&lt;&gt;"",COUNTIFS(C232,"&gt;=36526",C232,TODAY())+COUNTIFS(D232,"&gt;=36526",D232,TODAY())+COUNTIFS(E232,"&gt;=36526",E232,TODAY())+COUNTIFS(F232,"&gt;=36526",F232,TODAY())&gt;0),P232,"")</x:f>
      </x:c>
      <x:c r="L232" t="str">
        <x:f>IF(AND(A232&lt;&gt;"",COUNTIFS(C232,"&gt;"&amp;TODAY(),C232,"&lt;="&amp;TODAY()+30)+COUNTIFS(D232,"&gt;"&amp;TODAY(),D232,"&lt;="&amp;TODAY()+30)+COUNTIFS(E232,"&gt;"&amp;TODAY(),E232,"&lt;="&amp;TODAY()+30)+COUNTIFS(F232,"&gt;"&amp;TODAY(),F232,"&lt;="&amp;TODAY()+30)&gt;0),Q232,"")</x:f>
      </x:c>
      <x:c r="M232" t="str">
        <x:f>IF(OR(LEFT(H232,15)="Missing dates; ",LEFT(H232,16)="Add N/A reason; ",H232="Add dates",H232="Add registration",H232="Check date format"),R232,"")</x:f>
      </x:c>
      <x:c r="N232" t="str">
        <x:f>IF(COUNTIFS(C232:F232,"Reviewed N/A")&gt;0,S232,"")</x:f>
      </x:c>
      <x:c r="O232" t="n">
        <x:f>O231+IF(AND(A232&lt;&gt;"",COUNTIFS(C232,"&gt;=36526",C232,"&lt;"&amp;TODAY())+COUNTIFS(D232,"&gt;=36526",D232,"&lt;"&amp;TODAY())+COUNTIFS(E232,"&gt;=36526",E232,"&lt;"&amp;TODAY())+COUNTIFS(F232,"&gt;=36526",F232,"&lt;"&amp;TODAY())&gt;0),1,0)</x:f>
        <x:v>0</x:v>
      </x:c>
      <x:c r="P232" t="n">
        <x:f>P231+IF(AND(A232&lt;&gt;"",COUNTIFS(C232,"&gt;=36526",C232,TODAY())+COUNTIFS(D232,"&gt;=36526",D232,TODAY())+COUNTIFS(E232,"&gt;=36526",E232,TODAY())+COUNTIFS(F232,"&gt;=36526",F232,TODAY())&gt;0),1,0)</x:f>
        <x:v>0</x:v>
      </x:c>
      <x:c r="Q232" t="n">
        <x:f>Q231+IF(AND(A232&lt;&gt;"",COUNTIFS(C232,"&gt;"&amp;TODAY(),C232,"&lt;="&amp;TODAY()+30)+COUNTIFS(D232,"&gt;"&amp;TODAY(),D232,"&lt;="&amp;TODAY()+30)+COUNTIFS(E232,"&gt;"&amp;TODAY(),E232,"&lt;="&amp;TODAY()+30)+COUNTIFS(F232,"&gt;"&amp;TODAY(),F232,"&lt;="&amp;TODAY()+30)&gt;0),1,0)</x:f>
        <x:v>0</x:v>
      </x:c>
      <x:c r="R232" t="n">
        <x:f>R231+IF(OR(LEFT(H232,15)="Missing dates; ",LEFT(H232,16)="Add N/A reason; ",H232="Add dates",H232="Add registration",H232="Check date format"),1,0)</x:f>
        <x:v>0</x:v>
      </x:c>
      <x:c r="S232" t="n">
        <x:f>S231+IF(COUNTIFS(C232:F232,"Reviewed N/A")&gt;0,1,0)</x:f>
        <x:v>0</x:v>
      </x:c>
    </x:row>
    <x:row r="233" ht="48" customHeight="1">
      <x:c r="A233" s="52"/>
      <x:c r="B233" s="52"/>
      <x:c r="C233" s="53"/>
      <x:c r="D233" s="53"/>
      <x:c r="E233" s="53"/>
      <x:c r="F233" s="53"/>
      <x:c r="G233" s="52"/>
      <x:c r="H233" s="21" t="str">
        <x:f>IF(COUNTA(A233:G233,I233)=0,"",IF(A233="","Add registration",IF(OR(COUNTA(C233:F233)&gt;COUNT(C233:F233)+COUNTIFS(C233:F233,"Reviewed N/A"),AND(COUNT(C233:F233)&gt;0,OR(MIN(C233:F233)&lt;36526,MAX(C233:F233)&gt;109574))),"Check date format",IF(AND(COUNTIFS(C233:F233,"Reviewed N/A")&gt;0,I233=""),"Add N/A reason; ","")&amp;IF(COUNT(C233:F233)=0,IF(COUNTIFS(C233:F233,"Reviewed N/A")=4,"No applicable dates recorded","Add dates"),IF(COUNT(C233:F233)+COUNTIFS(C233:F233,"Reviewed N/A")&lt;4,"Missing dates; ","")&amp;IF(MIN(C233:F233)&lt;TODAY(),"Overdue: ",IF(MIN(C233:F233)=TODAY(),"Due today: ",IF(MIN(C233:F233)&lt;=TODAY()+30,"Due within 30 days: ","Next: ")))&amp;INDEX($C$8:$F$8,1,MATCH(MIN(C233:F233),C233:F233,0))&amp;" "&amp;TEXT(MIN(C233:F233),"dd mmm yyyy")))))</x:f>
      </x:c>
      <x:c r="I233" s="52"/>
      <x:c r="J233" t="str">
        <x:f>IF(AND(A233&lt;&gt;"",COUNTIFS(C233,"&gt;=36526",C233,"&lt;"&amp;TODAY())+COUNTIFS(D233,"&gt;=36526",D233,"&lt;"&amp;TODAY())+COUNTIFS(E233,"&gt;=36526",E233,"&lt;"&amp;TODAY())+COUNTIFS(F233,"&gt;=36526",F233,"&lt;"&amp;TODAY())&gt;0),O233,"")</x:f>
      </x:c>
      <x:c r="K233" t="str">
        <x:f>IF(AND(A233&lt;&gt;"",COUNTIFS(C233,"&gt;=36526",C233,TODAY())+COUNTIFS(D233,"&gt;=36526",D233,TODAY())+COUNTIFS(E233,"&gt;=36526",E233,TODAY())+COUNTIFS(F233,"&gt;=36526",F233,TODAY())&gt;0),P233,"")</x:f>
      </x:c>
      <x:c r="L233" t="str">
        <x:f>IF(AND(A233&lt;&gt;"",COUNTIFS(C233,"&gt;"&amp;TODAY(),C233,"&lt;="&amp;TODAY()+30)+COUNTIFS(D233,"&gt;"&amp;TODAY(),D233,"&lt;="&amp;TODAY()+30)+COUNTIFS(E233,"&gt;"&amp;TODAY(),E233,"&lt;="&amp;TODAY()+30)+COUNTIFS(F233,"&gt;"&amp;TODAY(),F233,"&lt;="&amp;TODAY()+30)&gt;0),Q233,"")</x:f>
      </x:c>
      <x:c r="M233" t="str">
        <x:f>IF(OR(LEFT(H233,15)="Missing dates; ",LEFT(H233,16)="Add N/A reason; ",H233="Add dates",H233="Add registration",H233="Check date format"),R233,"")</x:f>
      </x:c>
      <x:c r="N233" t="str">
        <x:f>IF(COUNTIFS(C233:F233,"Reviewed N/A")&gt;0,S233,"")</x:f>
      </x:c>
      <x:c r="O233" t="n">
        <x:f>O232+IF(AND(A233&lt;&gt;"",COUNTIFS(C233,"&gt;=36526",C233,"&lt;"&amp;TODAY())+COUNTIFS(D233,"&gt;=36526",D233,"&lt;"&amp;TODAY())+COUNTIFS(E233,"&gt;=36526",E233,"&lt;"&amp;TODAY())+COUNTIFS(F233,"&gt;=36526",F233,"&lt;"&amp;TODAY())&gt;0),1,0)</x:f>
        <x:v>0</x:v>
      </x:c>
      <x:c r="P233" t="n">
        <x:f>P232+IF(AND(A233&lt;&gt;"",COUNTIFS(C233,"&gt;=36526",C233,TODAY())+COUNTIFS(D233,"&gt;=36526",D233,TODAY())+COUNTIFS(E233,"&gt;=36526",E233,TODAY())+COUNTIFS(F233,"&gt;=36526",F233,TODAY())&gt;0),1,0)</x:f>
        <x:v>0</x:v>
      </x:c>
      <x:c r="Q233" t="n">
        <x:f>Q232+IF(AND(A233&lt;&gt;"",COUNTIFS(C233,"&gt;"&amp;TODAY(),C233,"&lt;="&amp;TODAY()+30)+COUNTIFS(D233,"&gt;"&amp;TODAY(),D233,"&lt;="&amp;TODAY()+30)+COUNTIFS(E233,"&gt;"&amp;TODAY(),E233,"&lt;="&amp;TODAY()+30)+COUNTIFS(F233,"&gt;"&amp;TODAY(),F233,"&lt;="&amp;TODAY()+30)&gt;0),1,0)</x:f>
        <x:v>0</x:v>
      </x:c>
      <x:c r="R233" t="n">
        <x:f>R232+IF(OR(LEFT(H233,15)="Missing dates; ",LEFT(H233,16)="Add N/A reason; ",H233="Add dates",H233="Add registration",H233="Check date format"),1,0)</x:f>
        <x:v>0</x:v>
      </x:c>
      <x:c r="S233" t="n">
        <x:f>S232+IF(COUNTIFS(C233:F233,"Reviewed N/A")&gt;0,1,0)</x:f>
        <x:v>0</x:v>
      </x:c>
    </x:row>
    <x:row r="234" ht="48" customHeight="1">
      <x:c r="A234" s="52"/>
      <x:c r="B234" s="52"/>
      <x:c r="C234" s="53"/>
      <x:c r="D234" s="53"/>
      <x:c r="E234" s="53"/>
      <x:c r="F234" s="53"/>
      <x:c r="G234" s="52"/>
      <x:c r="H234" s="21" t="str">
        <x:f>IF(COUNTA(A234:G234,I234)=0,"",IF(A234="","Add registration",IF(OR(COUNTA(C234:F234)&gt;COUNT(C234:F234)+COUNTIFS(C234:F234,"Reviewed N/A"),AND(COUNT(C234:F234)&gt;0,OR(MIN(C234:F234)&lt;36526,MAX(C234:F234)&gt;109574))),"Check date format",IF(AND(COUNTIFS(C234:F234,"Reviewed N/A")&gt;0,I234=""),"Add N/A reason; ","")&amp;IF(COUNT(C234:F234)=0,IF(COUNTIFS(C234:F234,"Reviewed N/A")=4,"No applicable dates recorded","Add dates"),IF(COUNT(C234:F234)+COUNTIFS(C234:F234,"Reviewed N/A")&lt;4,"Missing dates; ","")&amp;IF(MIN(C234:F234)&lt;TODAY(),"Overdue: ",IF(MIN(C234:F234)=TODAY(),"Due today: ",IF(MIN(C234:F234)&lt;=TODAY()+30,"Due within 30 days: ","Next: ")))&amp;INDEX($C$8:$F$8,1,MATCH(MIN(C234:F234),C234:F234,0))&amp;" "&amp;TEXT(MIN(C234:F234),"dd mmm yyyy")))))</x:f>
      </x:c>
      <x:c r="I234" s="52"/>
      <x:c r="J234" t="str">
        <x:f>IF(AND(A234&lt;&gt;"",COUNTIFS(C234,"&gt;=36526",C234,"&lt;"&amp;TODAY())+COUNTIFS(D234,"&gt;=36526",D234,"&lt;"&amp;TODAY())+COUNTIFS(E234,"&gt;=36526",E234,"&lt;"&amp;TODAY())+COUNTIFS(F234,"&gt;=36526",F234,"&lt;"&amp;TODAY())&gt;0),O234,"")</x:f>
      </x:c>
      <x:c r="K234" t="str">
        <x:f>IF(AND(A234&lt;&gt;"",COUNTIFS(C234,"&gt;=36526",C234,TODAY())+COUNTIFS(D234,"&gt;=36526",D234,TODAY())+COUNTIFS(E234,"&gt;=36526",E234,TODAY())+COUNTIFS(F234,"&gt;=36526",F234,TODAY())&gt;0),P234,"")</x:f>
      </x:c>
      <x:c r="L234" t="str">
        <x:f>IF(AND(A234&lt;&gt;"",COUNTIFS(C234,"&gt;"&amp;TODAY(),C234,"&lt;="&amp;TODAY()+30)+COUNTIFS(D234,"&gt;"&amp;TODAY(),D234,"&lt;="&amp;TODAY()+30)+COUNTIFS(E234,"&gt;"&amp;TODAY(),E234,"&lt;="&amp;TODAY()+30)+COUNTIFS(F234,"&gt;"&amp;TODAY(),F234,"&lt;="&amp;TODAY()+30)&gt;0),Q234,"")</x:f>
      </x:c>
      <x:c r="M234" t="str">
        <x:f>IF(OR(LEFT(H234,15)="Missing dates; ",LEFT(H234,16)="Add N/A reason; ",H234="Add dates",H234="Add registration",H234="Check date format"),R234,"")</x:f>
      </x:c>
      <x:c r="N234" t="str">
        <x:f>IF(COUNTIFS(C234:F234,"Reviewed N/A")&gt;0,S234,"")</x:f>
      </x:c>
      <x:c r="O234" t="n">
        <x:f>O233+IF(AND(A234&lt;&gt;"",COUNTIFS(C234,"&gt;=36526",C234,"&lt;"&amp;TODAY())+COUNTIFS(D234,"&gt;=36526",D234,"&lt;"&amp;TODAY())+COUNTIFS(E234,"&gt;=36526",E234,"&lt;"&amp;TODAY())+COUNTIFS(F234,"&gt;=36526",F234,"&lt;"&amp;TODAY())&gt;0),1,0)</x:f>
        <x:v>0</x:v>
      </x:c>
      <x:c r="P234" t="n">
        <x:f>P233+IF(AND(A234&lt;&gt;"",COUNTIFS(C234,"&gt;=36526",C234,TODAY())+COUNTIFS(D234,"&gt;=36526",D234,TODAY())+COUNTIFS(E234,"&gt;=36526",E234,TODAY())+COUNTIFS(F234,"&gt;=36526",F234,TODAY())&gt;0),1,0)</x:f>
        <x:v>0</x:v>
      </x:c>
      <x:c r="Q234" t="n">
        <x:f>Q233+IF(AND(A234&lt;&gt;"",COUNTIFS(C234,"&gt;"&amp;TODAY(),C234,"&lt;="&amp;TODAY()+30)+COUNTIFS(D234,"&gt;"&amp;TODAY(),D234,"&lt;="&amp;TODAY()+30)+COUNTIFS(E234,"&gt;"&amp;TODAY(),E234,"&lt;="&amp;TODAY()+30)+COUNTIFS(F234,"&gt;"&amp;TODAY(),F234,"&lt;="&amp;TODAY()+30)&gt;0),1,0)</x:f>
        <x:v>0</x:v>
      </x:c>
      <x:c r="R234" t="n">
        <x:f>R233+IF(OR(LEFT(H234,15)="Missing dates; ",LEFT(H234,16)="Add N/A reason; ",H234="Add dates",H234="Add registration",H234="Check date format"),1,0)</x:f>
        <x:v>0</x:v>
      </x:c>
      <x:c r="S234" t="n">
        <x:f>S233+IF(COUNTIFS(C234:F234,"Reviewed N/A")&gt;0,1,0)</x:f>
        <x:v>0</x:v>
      </x:c>
    </x:row>
    <x:row r="235" ht="48" customHeight="1">
      <x:c r="A235" s="52"/>
      <x:c r="B235" s="52"/>
      <x:c r="C235" s="53"/>
      <x:c r="D235" s="53"/>
      <x:c r="E235" s="53"/>
      <x:c r="F235" s="53"/>
      <x:c r="G235" s="52"/>
      <x:c r="H235" s="21" t="str">
        <x:f>IF(COUNTA(A235:G235,I235)=0,"",IF(A235="","Add registration",IF(OR(COUNTA(C235:F235)&gt;COUNT(C235:F235)+COUNTIFS(C235:F235,"Reviewed N/A"),AND(COUNT(C235:F235)&gt;0,OR(MIN(C235:F235)&lt;36526,MAX(C235:F235)&gt;109574))),"Check date format",IF(AND(COUNTIFS(C235:F235,"Reviewed N/A")&gt;0,I235=""),"Add N/A reason; ","")&amp;IF(COUNT(C235:F235)=0,IF(COUNTIFS(C235:F235,"Reviewed N/A")=4,"No applicable dates recorded","Add dates"),IF(COUNT(C235:F235)+COUNTIFS(C235:F235,"Reviewed N/A")&lt;4,"Missing dates; ","")&amp;IF(MIN(C235:F235)&lt;TODAY(),"Overdue: ",IF(MIN(C235:F235)=TODAY(),"Due today: ",IF(MIN(C235:F235)&lt;=TODAY()+30,"Due within 30 days: ","Next: ")))&amp;INDEX($C$8:$F$8,1,MATCH(MIN(C235:F235),C235:F235,0))&amp;" "&amp;TEXT(MIN(C235:F235),"dd mmm yyyy")))))</x:f>
      </x:c>
      <x:c r="I235" s="52"/>
      <x:c r="J235" t="str">
        <x:f>IF(AND(A235&lt;&gt;"",COUNTIFS(C235,"&gt;=36526",C235,"&lt;"&amp;TODAY())+COUNTIFS(D235,"&gt;=36526",D235,"&lt;"&amp;TODAY())+COUNTIFS(E235,"&gt;=36526",E235,"&lt;"&amp;TODAY())+COUNTIFS(F235,"&gt;=36526",F235,"&lt;"&amp;TODAY())&gt;0),O235,"")</x:f>
      </x:c>
      <x:c r="K235" t="str">
        <x:f>IF(AND(A235&lt;&gt;"",COUNTIFS(C235,"&gt;=36526",C235,TODAY())+COUNTIFS(D235,"&gt;=36526",D235,TODAY())+COUNTIFS(E235,"&gt;=36526",E235,TODAY())+COUNTIFS(F235,"&gt;=36526",F235,TODAY())&gt;0),P235,"")</x:f>
      </x:c>
      <x:c r="L235" t="str">
        <x:f>IF(AND(A235&lt;&gt;"",COUNTIFS(C235,"&gt;"&amp;TODAY(),C235,"&lt;="&amp;TODAY()+30)+COUNTIFS(D235,"&gt;"&amp;TODAY(),D235,"&lt;="&amp;TODAY()+30)+COUNTIFS(E235,"&gt;"&amp;TODAY(),E235,"&lt;="&amp;TODAY()+30)+COUNTIFS(F235,"&gt;"&amp;TODAY(),F235,"&lt;="&amp;TODAY()+30)&gt;0),Q235,"")</x:f>
      </x:c>
      <x:c r="M235" t="str">
        <x:f>IF(OR(LEFT(H235,15)="Missing dates; ",LEFT(H235,16)="Add N/A reason; ",H235="Add dates",H235="Add registration",H235="Check date format"),R235,"")</x:f>
      </x:c>
      <x:c r="N235" t="str">
        <x:f>IF(COUNTIFS(C235:F235,"Reviewed N/A")&gt;0,S235,"")</x:f>
      </x:c>
      <x:c r="O235" t="n">
        <x:f>O234+IF(AND(A235&lt;&gt;"",COUNTIFS(C235,"&gt;=36526",C235,"&lt;"&amp;TODAY())+COUNTIFS(D235,"&gt;=36526",D235,"&lt;"&amp;TODAY())+COUNTIFS(E235,"&gt;=36526",E235,"&lt;"&amp;TODAY())+COUNTIFS(F235,"&gt;=36526",F235,"&lt;"&amp;TODAY())&gt;0),1,0)</x:f>
        <x:v>0</x:v>
      </x:c>
      <x:c r="P235" t="n">
        <x:f>P234+IF(AND(A235&lt;&gt;"",COUNTIFS(C235,"&gt;=36526",C235,TODAY())+COUNTIFS(D235,"&gt;=36526",D235,TODAY())+COUNTIFS(E235,"&gt;=36526",E235,TODAY())+COUNTIFS(F235,"&gt;=36526",F235,TODAY())&gt;0),1,0)</x:f>
        <x:v>0</x:v>
      </x:c>
      <x:c r="Q235" t="n">
        <x:f>Q234+IF(AND(A235&lt;&gt;"",COUNTIFS(C235,"&gt;"&amp;TODAY(),C235,"&lt;="&amp;TODAY()+30)+COUNTIFS(D235,"&gt;"&amp;TODAY(),D235,"&lt;="&amp;TODAY()+30)+COUNTIFS(E235,"&gt;"&amp;TODAY(),E235,"&lt;="&amp;TODAY()+30)+COUNTIFS(F235,"&gt;"&amp;TODAY(),F235,"&lt;="&amp;TODAY()+30)&gt;0),1,0)</x:f>
        <x:v>0</x:v>
      </x:c>
      <x:c r="R235" t="n">
        <x:f>R234+IF(OR(LEFT(H235,15)="Missing dates; ",LEFT(H235,16)="Add N/A reason; ",H235="Add dates",H235="Add registration",H235="Check date format"),1,0)</x:f>
        <x:v>0</x:v>
      </x:c>
      <x:c r="S235" t="n">
        <x:f>S234+IF(COUNTIFS(C235:F235,"Reviewed N/A")&gt;0,1,0)</x:f>
        <x:v>0</x:v>
      </x:c>
    </x:row>
    <x:row r="236" ht="48" customHeight="1">
      <x:c r="A236" s="52"/>
      <x:c r="B236" s="52"/>
      <x:c r="C236" s="53"/>
      <x:c r="D236" s="53"/>
      <x:c r="E236" s="53"/>
      <x:c r="F236" s="53"/>
      <x:c r="G236" s="52"/>
      <x:c r="H236" s="21" t="str">
        <x:f>IF(COUNTA(A236:G236,I236)=0,"",IF(A236="","Add registration",IF(OR(COUNTA(C236:F236)&gt;COUNT(C236:F236)+COUNTIFS(C236:F236,"Reviewed N/A"),AND(COUNT(C236:F236)&gt;0,OR(MIN(C236:F236)&lt;36526,MAX(C236:F236)&gt;109574))),"Check date format",IF(AND(COUNTIFS(C236:F236,"Reviewed N/A")&gt;0,I236=""),"Add N/A reason; ","")&amp;IF(COUNT(C236:F236)=0,IF(COUNTIFS(C236:F236,"Reviewed N/A")=4,"No applicable dates recorded","Add dates"),IF(COUNT(C236:F236)+COUNTIFS(C236:F236,"Reviewed N/A")&lt;4,"Missing dates; ","")&amp;IF(MIN(C236:F236)&lt;TODAY(),"Overdue: ",IF(MIN(C236:F236)=TODAY(),"Due today: ",IF(MIN(C236:F236)&lt;=TODAY()+30,"Due within 30 days: ","Next: ")))&amp;INDEX($C$8:$F$8,1,MATCH(MIN(C236:F236),C236:F236,0))&amp;" "&amp;TEXT(MIN(C236:F236),"dd mmm yyyy")))))</x:f>
      </x:c>
      <x:c r="I236" s="52"/>
      <x:c r="J236" t="str">
        <x:f>IF(AND(A236&lt;&gt;"",COUNTIFS(C236,"&gt;=36526",C236,"&lt;"&amp;TODAY())+COUNTIFS(D236,"&gt;=36526",D236,"&lt;"&amp;TODAY())+COUNTIFS(E236,"&gt;=36526",E236,"&lt;"&amp;TODAY())+COUNTIFS(F236,"&gt;=36526",F236,"&lt;"&amp;TODAY())&gt;0),O236,"")</x:f>
      </x:c>
      <x:c r="K236" t="str">
        <x:f>IF(AND(A236&lt;&gt;"",COUNTIFS(C236,"&gt;=36526",C236,TODAY())+COUNTIFS(D236,"&gt;=36526",D236,TODAY())+COUNTIFS(E236,"&gt;=36526",E236,TODAY())+COUNTIFS(F236,"&gt;=36526",F236,TODAY())&gt;0),P236,"")</x:f>
      </x:c>
      <x:c r="L236" t="str">
        <x:f>IF(AND(A236&lt;&gt;"",COUNTIFS(C236,"&gt;"&amp;TODAY(),C236,"&lt;="&amp;TODAY()+30)+COUNTIFS(D236,"&gt;"&amp;TODAY(),D236,"&lt;="&amp;TODAY()+30)+COUNTIFS(E236,"&gt;"&amp;TODAY(),E236,"&lt;="&amp;TODAY()+30)+COUNTIFS(F236,"&gt;"&amp;TODAY(),F236,"&lt;="&amp;TODAY()+30)&gt;0),Q236,"")</x:f>
      </x:c>
      <x:c r="M236" t="str">
        <x:f>IF(OR(LEFT(H236,15)="Missing dates; ",LEFT(H236,16)="Add N/A reason; ",H236="Add dates",H236="Add registration",H236="Check date format"),R236,"")</x:f>
      </x:c>
      <x:c r="N236" t="str">
        <x:f>IF(COUNTIFS(C236:F236,"Reviewed N/A")&gt;0,S236,"")</x:f>
      </x:c>
      <x:c r="O236" t="n">
        <x:f>O235+IF(AND(A236&lt;&gt;"",COUNTIFS(C236,"&gt;=36526",C236,"&lt;"&amp;TODAY())+COUNTIFS(D236,"&gt;=36526",D236,"&lt;"&amp;TODAY())+COUNTIFS(E236,"&gt;=36526",E236,"&lt;"&amp;TODAY())+COUNTIFS(F236,"&gt;=36526",F236,"&lt;"&amp;TODAY())&gt;0),1,0)</x:f>
        <x:v>0</x:v>
      </x:c>
      <x:c r="P236" t="n">
        <x:f>P235+IF(AND(A236&lt;&gt;"",COUNTIFS(C236,"&gt;=36526",C236,TODAY())+COUNTIFS(D236,"&gt;=36526",D236,TODAY())+COUNTIFS(E236,"&gt;=36526",E236,TODAY())+COUNTIFS(F236,"&gt;=36526",F236,TODAY())&gt;0),1,0)</x:f>
        <x:v>0</x:v>
      </x:c>
      <x:c r="Q236" t="n">
        <x:f>Q235+IF(AND(A236&lt;&gt;"",COUNTIFS(C236,"&gt;"&amp;TODAY(),C236,"&lt;="&amp;TODAY()+30)+COUNTIFS(D236,"&gt;"&amp;TODAY(),D236,"&lt;="&amp;TODAY()+30)+COUNTIFS(E236,"&gt;"&amp;TODAY(),E236,"&lt;="&amp;TODAY()+30)+COUNTIFS(F236,"&gt;"&amp;TODAY(),F236,"&lt;="&amp;TODAY()+30)&gt;0),1,0)</x:f>
        <x:v>0</x:v>
      </x:c>
      <x:c r="R236" t="n">
        <x:f>R235+IF(OR(LEFT(H236,15)="Missing dates; ",LEFT(H236,16)="Add N/A reason; ",H236="Add dates",H236="Add registration",H236="Check date format"),1,0)</x:f>
        <x:v>0</x:v>
      </x:c>
      <x:c r="S236" t="n">
        <x:f>S235+IF(COUNTIFS(C236:F236,"Reviewed N/A")&gt;0,1,0)</x:f>
        <x:v>0</x:v>
      </x:c>
    </x:row>
    <x:row r="237" ht="48" customHeight="1">
      <x:c r="A237" s="52"/>
      <x:c r="B237" s="52"/>
      <x:c r="C237" s="53"/>
      <x:c r="D237" s="53"/>
      <x:c r="E237" s="53"/>
      <x:c r="F237" s="53"/>
      <x:c r="G237" s="52"/>
      <x:c r="H237" s="21" t="str">
        <x:f>IF(COUNTA(A237:G237,I237)=0,"",IF(A237="","Add registration",IF(OR(COUNTA(C237:F237)&gt;COUNT(C237:F237)+COUNTIFS(C237:F237,"Reviewed N/A"),AND(COUNT(C237:F237)&gt;0,OR(MIN(C237:F237)&lt;36526,MAX(C237:F237)&gt;109574))),"Check date format",IF(AND(COUNTIFS(C237:F237,"Reviewed N/A")&gt;0,I237=""),"Add N/A reason; ","")&amp;IF(COUNT(C237:F237)=0,IF(COUNTIFS(C237:F237,"Reviewed N/A")=4,"No applicable dates recorded","Add dates"),IF(COUNT(C237:F237)+COUNTIFS(C237:F237,"Reviewed N/A")&lt;4,"Missing dates; ","")&amp;IF(MIN(C237:F237)&lt;TODAY(),"Overdue: ",IF(MIN(C237:F237)=TODAY(),"Due today: ",IF(MIN(C237:F237)&lt;=TODAY()+30,"Due within 30 days: ","Next: ")))&amp;INDEX($C$8:$F$8,1,MATCH(MIN(C237:F237),C237:F237,0))&amp;" "&amp;TEXT(MIN(C237:F237),"dd mmm yyyy")))))</x:f>
      </x:c>
      <x:c r="I237" s="52"/>
      <x:c r="J237" t="str">
        <x:f>IF(AND(A237&lt;&gt;"",COUNTIFS(C237,"&gt;=36526",C237,"&lt;"&amp;TODAY())+COUNTIFS(D237,"&gt;=36526",D237,"&lt;"&amp;TODAY())+COUNTIFS(E237,"&gt;=36526",E237,"&lt;"&amp;TODAY())+COUNTIFS(F237,"&gt;=36526",F237,"&lt;"&amp;TODAY())&gt;0),O237,"")</x:f>
      </x:c>
      <x:c r="K237" t="str">
        <x:f>IF(AND(A237&lt;&gt;"",COUNTIFS(C237,"&gt;=36526",C237,TODAY())+COUNTIFS(D237,"&gt;=36526",D237,TODAY())+COUNTIFS(E237,"&gt;=36526",E237,TODAY())+COUNTIFS(F237,"&gt;=36526",F237,TODAY())&gt;0),P237,"")</x:f>
      </x:c>
      <x:c r="L237" t="str">
        <x:f>IF(AND(A237&lt;&gt;"",COUNTIFS(C237,"&gt;"&amp;TODAY(),C237,"&lt;="&amp;TODAY()+30)+COUNTIFS(D237,"&gt;"&amp;TODAY(),D237,"&lt;="&amp;TODAY()+30)+COUNTIFS(E237,"&gt;"&amp;TODAY(),E237,"&lt;="&amp;TODAY()+30)+COUNTIFS(F237,"&gt;"&amp;TODAY(),F237,"&lt;="&amp;TODAY()+30)&gt;0),Q237,"")</x:f>
      </x:c>
      <x:c r="M237" t="str">
        <x:f>IF(OR(LEFT(H237,15)="Missing dates; ",LEFT(H237,16)="Add N/A reason; ",H237="Add dates",H237="Add registration",H237="Check date format"),R237,"")</x:f>
      </x:c>
      <x:c r="N237" t="str">
        <x:f>IF(COUNTIFS(C237:F237,"Reviewed N/A")&gt;0,S237,"")</x:f>
      </x:c>
      <x:c r="O237" t="n">
        <x:f>O236+IF(AND(A237&lt;&gt;"",COUNTIFS(C237,"&gt;=36526",C237,"&lt;"&amp;TODAY())+COUNTIFS(D237,"&gt;=36526",D237,"&lt;"&amp;TODAY())+COUNTIFS(E237,"&gt;=36526",E237,"&lt;"&amp;TODAY())+COUNTIFS(F237,"&gt;=36526",F237,"&lt;"&amp;TODAY())&gt;0),1,0)</x:f>
        <x:v>0</x:v>
      </x:c>
      <x:c r="P237" t="n">
        <x:f>P236+IF(AND(A237&lt;&gt;"",COUNTIFS(C237,"&gt;=36526",C237,TODAY())+COUNTIFS(D237,"&gt;=36526",D237,TODAY())+COUNTIFS(E237,"&gt;=36526",E237,TODAY())+COUNTIFS(F237,"&gt;=36526",F237,TODAY())&gt;0),1,0)</x:f>
        <x:v>0</x:v>
      </x:c>
      <x:c r="Q237" t="n">
        <x:f>Q236+IF(AND(A237&lt;&gt;"",COUNTIFS(C237,"&gt;"&amp;TODAY(),C237,"&lt;="&amp;TODAY()+30)+COUNTIFS(D237,"&gt;"&amp;TODAY(),D237,"&lt;="&amp;TODAY()+30)+COUNTIFS(E237,"&gt;"&amp;TODAY(),E237,"&lt;="&amp;TODAY()+30)+COUNTIFS(F237,"&gt;"&amp;TODAY(),F237,"&lt;="&amp;TODAY()+30)&gt;0),1,0)</x:f>
        <x:v>0</x:v>
      </x:c>
      <x:c r="R237" t="n">
        <x:f>R236+IF(OR(LEFT(H237,15)="Missing dates; ",LEFT(H237,16)="Add N/A reason; ",H237="Add dates",H237="Add registration",H237="Check date format"),1,0)</x:f>
        <x:v>0</x:v>
      </x:c>
      <x:c r="S237" t="n">
        <x:f>S236+IF(COUNTIFS(C237:F237,"Reviewed N/A")&gt;0,1,0)</x:f>
        <x:v>0</x:v>
      </x:c>
    </x:row>
    <x:row r="238" ht="48" customHeight="1">
      <x:c r="A238" s="52"/>
      <x:c r="B238" s="52"/>
      <x:c r="C238" s="53"/>
      <x:c r="D238" s="53"/>
      <x:c r="E238" s="53"/>
      <x:c r="F238" s="53"/>
      <x:c r="G238" s="52"/>
      <x:c r="H238" s="21" t="str">
        <x:f>IF(COUNTA(A238:G238,I238)=0,"",IF(A238="","Add registration",IF(OR(COUNTA(C238:F238)&gt;COUNT(C238:F238)+COUNTIFS(C238:F238,"Reviewed N/A"),AND(COUNT(C238:F238)&gt;0,OR(MIN(C238:F238)&lt;36526,MAX(C238:F238)&gt;109574))),"Check date format",IF(AND(COUNTIFS(C238:F238,"Reviewed N/A")&gt;0,I238=""),"Add N/A reason; ","")&amp;IF(COUNT(C238:F238)=0,IF(COUNTIFS(C238:F238,"Reviewed N/A")=4,"No applicable dates recorded","Add dates"),IF(COUNT(C238:F238)+COUNTIFS(C238:F238,"Reviewed N/A")&lt;4,"Missing dates; ","")&amp;IF(MIN(C238:F238)&lt;TODAY(),"Overdue: ",IF(MIN(C238:F238)=TODAY(),"Due today: ",IF(MIN(C238:F238)&lt;=TODAY()+30,"Due within 30 days: ","Next: ")))&amp;INDEX($C$8:$F$8,1,MATCH(MIN(C238:F238),C238:F238,0))&amp;" "&amp;TEXT(MIN(C238:F238),"dd mmm yyyy")))))</x:f>
      </x:c>
      <x:c r="I238" s="52"/>
      <x:c r="J238" t="str">
        <x:f>IF(AND(A238&lt;&gt;"",COUNTIFS(C238,"&gt;=36526",C238,"&lt;"&amp;TODAY())+COUNTIFS(D238,"&gt;=36526",D238,"&lt;"&amp;TODAY())+COUNTIFS(E238,"&gt;=36526",E238,"&lt;"&amp;TODAY())+COUNTIFS(F238,"&gt;=36526",F238,"&lt;"&amp;TODAY())&gt;0),O238,"")</x:f>
      </x:c>
      <x:c r="K238" t="str">
        <x:f>IF(AND(A238&lt;&gt;"",COUNTIFS(C238,"&gt;=36526",C238,TODAY())+COUNTIFS(D238,"&gt;=36526",D238,TODAY())+COUNTIFS(E238,"&gt;=36526",E238,TODAY())+COUNTIFS(F238,"&gt;=36526",F238,TODAY())&gt;0),P238,"")</x:f>
      </x:c>
      <x:c r="L238" t="str">
        <x:f>IF(AND(A238&lt;&gt;"",COUNTIFS(C238,"&gt;"&amp;TODAY(),C238,"&lt;="&amp;TODAY()+30)+COUNTIFS(D238,"&gt;"&amp;TODAY(),D238,"&lt;="&amp;TODAY()+30)+COUNTIFS(E238,"&gt;"&amp;TODAY(),E238,"&lt;="&amp;TODAY()+30)+COUNTIFS(F238,"&gt;"&amp;TODAY(),F238,"&lt;="&amp;TODAY()+30)&gt;0),Q238,"")</x:f>
      </x:c>
      <x:c r="M238" t="str">
        <x:f>IF(OR(LEFT(H238,15)="Missing dates; ",LEFT(H238,16)="Add N/A reason; ",H238="Add dates",H238="Add registration",H238="Check date format"),R238,"")</x:f>
      </x:c>
      <x:c r="N238" t="str">
        <x:f>IF(COUNTIFS(C238:F238,"Reviewed N/A")&gt;0,S238,"")</x:f>
      </x:c>
      <x:c r="O238" t="n">
        <x:f>O237+IF(AND(A238&lt;&gt;"",COUNTIFS(C238,"&gt;=36526",C238,"&lt;"&amp;TODAY())+COUNTIFS(D238,"&gt;=36526",D238,"&lt;"&amp;TODAY())+COUNTIFS(E238,"&gt;=36526",E238,"&lt;"&amp;TODAY())+COUNTIFS(F238,"&gt;=36526",F238,"&lt;"&amp;TODAY())&gt;0),1,0)</x:f>
        <x:v>0</x:v>
      </x:c>
      <x:c r="P238" t="n">
        <x:f>P237+IF(AND(A238&lt;&gt;"",COUNTIFS(C238,"&gt;=36526",C238,TODAY())+COUNTIFS(D238,"&gt;=36526",D238,TODAY())+COUNTIFS(E238,"&gt;=36526",E238,TODAY())+COUNTIFS(F238,"&gt;=36526",F238,TODAY())&gt;0),1,0)</x:f>
        <x:v>0</x:v>
      </x:c>
      <x:c r="Q238" t="n">
        <x:f>Q237+IF(AND(A238&lt;&gt;"",COUNTIFS(C238,"&gt;"&amp;TODAY(),C238,"&lt;="&amp;TODAY()+30)+COUNTIFS(D238,"&gt;"&amp;TODAY(),D238,"&lt;="&amp;TODAY()+30)+COUNTIFS(E238,"&gt;"&amp;TODAY(),E238,"&lt;="&amp;TODAY()+30)+COUNTIFS(F238,"&gt;"&amp;TODAY(),F238,"&lt;="&amp;TODAY()+30)&gt;0),1,0)</x:f>
        <x:v>0</x:v>
      </x:c>
      <x:c r="R238" t="n">
        <x:f>R237+IF(OR(LEFT(H238,15)="Missing dates; ",LEFT(H238,16)="Add N/A reason; ",H238="Add dates",H238="Add registration",H238="Check date format"),1,0)</x:f>
        <x:v>0</x:v>
      </x:c>
      <x:c r="S238" t="n">
        <x:f>S237+IF(COUNTIFS(C238:F238,"Reviewed N/A")&gt;0,1,0)</x:f>
        <x:v>0</x:v>
      </x:c>
    </x:row>
    <x:row r="239" ht="48" customHeight="1">
      <x:c r="A239" s="52"/>
      <x:c r="B239" s="52"/>
      <x:c r="C239" s="53"/>
      <x:c r="D239" s="53"/>
      <x:c r="E239" s="53"/>
      <x:c r="F239" s="53"/>
      <x:c r="G239" s="52"/>
      <x:c r="H239" s="21" t="str">
        <x:f>IF(COUNTA(A239:G239,I239)=0,"",IF(A239="","Add registration",IF(OR(COUNTA(C239:F239)&gt;COUNT(C239:F239)+COUNTIFS(C239:F239,"Reviewed N/A"),AND(COUNT(C239:F239)&gt;0,OR(MIN(C239:F239)&lt;36526,MAX(C239:F239)&gt;109574))),"Check date format",IF(AND(COUNTIFS(C239:F239,"Reviewed N/A")&gt;0,I239=""),"Add N/A reason; ","")&amp;IF(COUNT(C239:F239)=0,IF(COUNTIFS(C239:F239,"Reviewed N/A")=4,"No applicable dates recorded","Add dates"),IF(COUNT(C239:F239)+COUNTIFS(C239:F239,"Reviewed N/A")&lt;4,"Missing dates; ","")&amp;IF(MIN(C239:F239)&lt;TODAY(),"Overdue: ",IF(MIN(C239:F239)=TODAY(),"Due today: ",IF(MIN(C239:F239)&lt;=TODAY()+30,"Due within 30 days: ","Next: ")))&amp;INDEX($C$8:$F$8,1,MATCH(MIN(C239:F239),C239:F239,0))&amp;" "&amp;TEXT(MIN(C239:F239),"dd mmm yyyy")))))</x:f>
      </x:c>
      <x:c r="I239" s="52"/>
      <x:c r="J239" t="str">
        <x:f>IF(AND(A239&lt;&gt;"",COUNTIFS(C239,"&gt;=36526",C239,"&lt;"&amp;TODAY())+COUNTIFS(D239,"&gt;=36526",D239,"&lt;"&amp;TODAY())+COUNTIFS(E239,"&gt;=36526",E239,"&lt;"&amp;TODAY())+COUNTIFS(F239,"&gt;=36526",F239,"&lt;"&amp;TODAY())&gt;0),O239,"")</x:f>
      </x:c>
      <x:c r="K239" t="str">
        <x:f>IF(AND(A239&lt;&gt;"",COUNTIFS(C239,"&gt;=36526",C239,TODAY())+COUNTIFS(D239,"&gt;=36526",D239,TODAY())+COUNTIFS(E239,"&gt;=36526",E239,TODAY())+COUNTIFS(F239,"&gt;=36526",F239,TODAY())&gt;0),P239,"")</x:f>
      </x:c>
      <x:c r="L239" t="str">
        <x:f>IF(AND(A239&lt;&gt;"",COUNTIFS(C239,"&gt;"&amp;TODAY(),C239,"&lt;="&amp;TODAY()+30)+COUNTIFS(D239,"&gt;"&amp;TODAY(),D239,"&lt;="&amp;TODAY()+30)+COUNTIFS(E239,"&gt;"&amp;TODAY(),E239,"&lt;="&amp;TODAY()+30)+COUNTIFS(F239,"&gt;"&amp;TODAY(),F239,"&lt;="&amp;TODAY()+30)&gt;0),Q239,"")</x:f>
      </x:c>
      <x:c r="M239" t="str">
        <x:f>IF(OR(LEFT(H239,15)="Missing dates; ",LEFT(H239,16)="Add N/A reason; ",H239="Add dates",H239="Add registration",H239="Check date format"),R239,"")</x:f>
      </x:c>
      <x:c r="N239" t="str">
        <x:f>IF(COUNTIFS(C239:F239,"Reviewed N/A")&gt;0,S239,"")</x:f>
      </x:c>
      <x:c r="O239" t="n">
        <x:f>O238+IF(AND(A239&lt;&gt;"",COUNTIFS(C239,"&gt;=36526",C239,"&lt;"&amp;TODAY())+COUNTIFS(D239,"&gt;=36526",D239,"&lt;"&amp;TODAY())+COUNTIFS(E239,"&gt;=36526",E239,"&lt;"&amp;TODAY())+COUNTIFS(F239,"&gt;=36526",F239,"&lt;"&amp;TODAY())&gt;0),1,0)</x:f>
        <x:v>0</x:v>
      </x:c>
      <x:c r="P239" t="n">
        <x:f>P238+IF(AND(A239&lt;&gt;"",COUNTIFS(C239,"&gt;=36526",C239,TODAY())+COUNTIFS(D239,"&gt;=36526",D239,TODAY())+COUNTIFS(E239,"&gt;=36526",E239,TODAY())+COUNTIFS(F239,"&gt;=36526",F239,TODAY())&gt;0),1,0)</x:f>
        <x:v>0</x:v>
      </x:c>
      <x:c r="Q239" t="n">
        <x:f>Q238+IF(AND(A239&lt;&gt;"",COUNTIFS(C239,"&gt;"&amp;TODAY(),C239,"&lt;="&amp;TODAY()+30)+COUNTIFS(D239,"&gt;"&amp;TODAY(),D239,"&lt;="&amp;TODAY()+30)+COUNTIFS(E239,"&gt;"&amp;TODAY(),E239,"&lt;="&amp;TODAY()+30)+COUNTIFS(F239,"&gt;"&amp;TODAY(),F239,"&lt;="&amp;TODAY()+30)&gt;0),1,0)</x:f>
        <x:v>0</x:v>
      </x:c>
      <x:c r="R239" t="n">
        <x:f>R238+IF(OR(LEFT(H239,15)="Missing dates; ",LEFT(H239,16)="Add N/A reason; ",H239="Add dates",H239="Add registration",H239="Check date format"),1,0)</x:f>
        <x:v>0</x:v>
      </x:c>
      <x:c r="S239" t="n">
        <x:f>S238+IF(COUNTIFS(C239:F239,"Reviewed N/A")&gt;0,1,0)</x:f>
        <x:v>0</x:v>
      </x:c>
    </x:row>
    <x:row r="240" ht="48" customHeight="1">
      <x:c r="A240" s="52"/>
      <x:c r="B240" s="52"/>
      <x:c r="C240" s="53"/>
      <x:c r="D240" s="53"/>
      <x:c r="E240" s="53"/>
      <x:c r="F240" s="53"/>
      <x:c r="G240" s="52"/>
      <x:c r="H240" s="21" t="str">
        <x:f>IF(COUNTA(A240:G240,I240)=0,"",IF(A240="","Add registration",IF(OR(COUNTA(C240:F240)&gt;COUNT(C240:F240)+COUNTIFS(C240:F240,"Reviewed N/A"),AND(COUNT(C240:F240)&gt;0,OR(MIN(C240:F240)&lt;36526,MAX(C240:F240)&gt;109574))),"Check date format",IF(AND(COUNTIFS(C240:F240,"Reviewed N/A")&gt;0,I240=""),"Add N/A reason; ","")&amp;IF(COUNT(C240:F240)=0,IF(COUNTIFS(C240:F240,"Reviewed N/A")=4,"No applicable dates recorded","Add dates"),IF(COUNT(C240:F240)+COUNTIFS(C240:F240,"Reviewed N/A")&lt;4,"Missing dates; ","")&amp;IF(MIN(C240:F240)&lt;TODAY(),"Overdue: ",IF(MIN(C240:F240)=TODAY(),"Due today: ",IF(MIN(C240:F240)&lt;=TODAY()+30,"Due within 30 days: ","Next: ")))&amp;INDEX($C$8:$F$8,1,MATCH(MIN(C240:F240),C240:F240,0))&amp;" "&amp;TEXT(MIN(C240:F240),"dd mmm yyyy")))))</x:f>
      </x:c>
      <x:c r="I240" s="52"/>
      <x:c r="J240" t="str">
        <x:f>IF(AND(A240&lt;&gt;"",COUNTIFS(C240,"&gt;=36526",C240,"&lt;"&amp;TODAY())+COUNTIFS(D240,"&gt;=36526",D240,"&lt;"&amp;TODAY())+COUNTIFS(E240,"&gt;=36526",E240,"&lt;"&amp;TODAY())+COUNTIFS(F240,"&gt;=36526",F240,"&lt;"&amp;TODAY())&gt;0),O240,"")</x:f>
      </x:c>
      <x:c r="K240" t="str">
        <x:f>IF(AND(A240&lt;&gt;"",COUNTIFS(C240,"&gt;=36526",C240,TODAY())+COUNTIFS(D240,"&gt;=36526",D240,TODAY())+COUNTIFS(E240,"&gt;=36526",E240,TODAY())+COUNTIFS(F240,"&gt;=36526",F240,TODAY())&gt;0),P240,"")</x:f>
      </x:c>
      <x:c r="L240" t="str">
        <x:f>IF(AND(A240&lt;&gt;"",COUNTIFS(C240,"&gt;"&amp;TODAY(),C240,"&lt;="&amp;TODAY()+30)+COUNTIFS(D240,"&gt;"&amp;TODAY(),D240,"&lt;="&amp;TODAY()+30)+COUNTIFS(E240,"&gt;"&amp;TODAY(),E240,"&lt;="&amp;TODAY()+30)+COUNTIFS(F240,"&gt;"&amp;TODAY(),F240,"&lt;="&amp;TODAY()+30)&gt;0),Q240,"")</x:f>
      </x:c>
      <x:c r="M240" t="str">
        <x:f>IF(OR(LEFT(H240,15)="Missing dates; ",LEFT(H240,16)="Add N/A reason; ",H240="Add dates",H240="Add registration",H240="Check date format"),R240,"")</x:f>
      </x:c>
      <x:c r="N240" t="str">
        <x:f>IF(COUNTIFS(C240:F240,"Reviewed N/A")&gt;0,S240,"")</x:f>
      </x:c>
      <x:c r="O240" t="n">
        <x:f>O239+IF(AND(A240&lt;&gt;"",COUNTIFS(C240,"&gt;=36526",C240,"&lt;"&amp;TODAY())+COUNTIFS(D240,"&gt;=36526",D240,"&lt;"&amp;TODAY())+COUNTIFS(E240,"&gt;=36526",E240,"&lt;"&amp;TODAY())+COUNTIFS(F240,"&gt;=36526",F240,"&lt;"&amp;TODAY())&gt;0),1,0)</x:f>
        <x:v>0</x:v>
      </x:c>
      <x:c r="P240" t="n">
        <x:f>P239+IF(AND(A240&lt;&gt;"",COUNTIFS(C240,"&gt;=36526",C240,TODAY())+COUNTIFS(D240,"&gt;=36526",D240,TODAY())+COUNTIFS(E240,"&gt;=36526",E240,TODAY())+COUNTIFS(F240,"&gt;=36526",F240,TODAY())&gt;0),1,0)</x:f>
        <x:v>0</x:v>
      </x:c>
      <x:c r="Q240" t="n">
        <x:f>Q239+IF(AND(A240&lt;&gt;"",COUNTIFS(C240,"&gt;"&amp;TODAY(),C240,"&lt;="&amp;TODAY()+30)+COUNTIFS(D240,"&gt;"&amp;TODAY(),D240,"&lt;="&amp;TODAY()+30)+COUNTIFS(E240,"&gt;"&amp;TODAY(),E240,"&lt;="&amp;TODAY()+30)+COUNTIFS(F240,"&gt;"&amp;TODAY(),F240,"&lt;="&amp;TODAY()+30)&gt;0),1,0)</x:f>
        <x:v>0</x:v>
      </x:c>
      <x:c r="R240" t="n">
        <x:f>R239+IF(OR(LEFT(H240,15)="Missing dates; ",LEFT(H240,16)="Add N/A reason; ",H240="Add dates",H240="Add registration",H240="Check date format"),1,0)</x:f>
        <x:v>0</x:v>
      </x:c>
      <x:c r="S240" t="n">
        <x:f>S239+IF(COUNTIFS(C240:F240,"Reviewed N/A")&gt;0,1,0)</x:f>
        <x:v>0</x:v>
      </x:c>
    </x:row>
    <x:row r="241" ht="48" customHeight="1">
      <x:c r="A241" s="52"/>
      <x:c r="B241" s="52"/>
      <x:c r="C241" s="53"/>
      <x:c r="D241" s="53"/>
      <x:c r="E241" s="53"/>
      <x:c r="F241" s="53"/>
      <x:c r="G241" s="52"/>
      <x:c r="H241" s="21" t="str">
        <x:f>IF(COUNTA(A241:G241,I241)=0,"",IF(A241="","Add registration",IF(OR(COUNTA(C241:F241)&gt;COUNT(C241:F241)+COUNTIFS(C241:F241,"Reviewed N/A"),AND(COUNT(C241:F241)&gt;0,OR(MIN(C241:F241)&lt;36526,MAX(C241:F241)&gt;109574))),"Check date format",IF(AND(COUNTIFS(C241:F241,"Reviewed N/A")&gt;0,I241=""),"Add N/A reason; ","")&amp;IF(COUNT(C241:F241)=0,IF(COUNTIFS(C241:F241,"Reviewed N/A")=4,"No applicable dates recorded","Add dates"),IF(COUNT(C241:F241)+COUNTIFS(C241:F241,"Reviewed N/A")&lt;4,"Missing dates; ","")&amp;IF(MIN(C241:F241)&lt;TODAY(),"Overdue: ",IF(MIN(C241:F241)=TODAY(),"Due today: ",IF(MIN(C241:F241)&lt;=TODAY()+30,"Due within 30 days: ","Next: ")))&amp;INDEX($C$8:$F$8,1,MATCH(MIN(C241:F241),C241:F241,0))&amp;" "&amp;TEXT(MIN(C241:F241),"dd mmm yyyy")))))</x:f>
      </x:c>
      <x:c r="I241" s="52"/>
      <x:c r="J241" t="str">
        <x:f>IF(AND(A241&lt;&gt;"",COUNTIFS(C241,"&gt;=36526",C241,"&lt;"&amp;TODAY())+COUNTIFS(D241,"&gt;=36526",D241,"&lt;"&amp;TODAY())+COUNTIFS(E241,"&gt;=36526",E241,"&lt;"&amp;TODAY())+COUNTIFS(F241,"&gt;=36526",F241,"&lt;"&amp;TODAY())&gt;0),O241,"")</x:f>
      </x:c>
      <x:c r="K241" t="str">
        <x:f>IF(AND(A241&lt;&gt;"",COUNTIFS(C241,"&gt;=36526",C241,TODAY())+COUNTIFS(D241,"&gt;=36526",D241,TODAY())+COUNTIFS(E241,"&gt;=36526",E241,TODAY())+COUNTIFS(F241,"&gt;=36526",F241,TODAY())&gt;0),P241,"")</x:f>
      </x:c>
      <x:c r="L241" t="str">
        <x:f>IF(AND(A241&lt;&gt;"",COUNTIFS(C241,"&gt;"&amp;TODAY(),C241,"&lt;="&amp;TODAY()+30)+COUNTIFS(D241,"&gt;"&amp;TODAY(),D241,"&lt;="&amp;TODAY()+30)+COUNTIFS(E241,"&gt;"&amp;TODAY(),E241,"&lt;="&amp;TODAY()+30)+COUNTIFS(F241,"&gt;"&amp;TODAY(),F241,"&lt;="&amp;TODAY()+30)&gt;0),Q241,"")</x:f>
      </x:c>
      <x:c r="M241" t="str">
        <x:f>IF(OR(LEFT(H241,15)="Missing dates; ",LEFT(H241,16)="Add N/A reason; ",H241="Add dates",H241="Add registration",H241="Check date format"),R241,"")</x:f>
      </x:c>
      <x:c r="N241" t="str">
        <x:f>IF(COUNTIFS(C241:F241,"Reviewed N/A")&gt;0,S241,"")</x:f>
      </x:c>
      <x:c r="O241" t="n">
        <x:f>O240+IF(AND(A241&lt;&gt;"",COUNTIFS(C241,"&gt;=36526",C241,"&lt;"&amp;TODAY())+COUNTIFS(D241,"&gt;=36526",D241,"&lt;"&amp;TODAY())+COUNTIFS(E241,"&gt;=36526",E241,"&lt;"&amp;TODAY())+COUNTIFS(F241,"&gt;=36526",F241,"&lt;"&amp;TODAY())&gt;0),1,0)</x:f>
        <x:v>0</x:v>
      </x:c>
      <x:c r="P241" t="n">
        <x:f>P240+IF(AND(A241&lt;&gt;"",COUNTIFS(C241,"&gt;=36526",C241,TODAY())+COUNTIFS(D241,"&gt;=36526",D241,TODAY())+COUNTIFS(E241,"&gt;=36526",E241,TODAY())+COUNTIFS(F241,"&gt;=36526",F241,TODAY())&gt;0),1,0)</x:f>
        <x:v>0</x:v>
      </x:c>
      <x:c r="Q241" t="n">
        <x:f>Q240+IF(AND(A241&lt;&gt;"",COUNTIFS(C241,"&gt;"&amp;TODAY(),C241,"&lt;="&amp;TODAY()+30)+COUNTIFS(D241,"&gt;"&amp;TODAY(),D241,"&lt;="&amp;TODAY()+30)+COUNTIFS(E241,"&gt;"&amp;TODAY(),E241,"&lt;="&amp;TODAY()+30)+COUNTIFS(F241,"&gt;"&amp;TODAY(),F241,"&lt;="&amp;TODAY()+30)&gt;0),1,0)</x:f>
        <x:v>0</x:v>
      </x:c>
      <x:c r="R241" t="n">
        <x:f>R240+IF(OR(LEFT(H241,15)="Missing dates; ",LEFT(H241,16)="Add N/A reason; ",H241="Add dates",H241="Add registration",H241="Check date format"),1,0)</x:f>
        <x:v>0</x:v>
      </x:c>
      <x:c r="S241" t="n">
        <x:f>S240+IF(COUNTIFS(C241:F241,"Reviewed N/A")&gt;0,1,0)</x:f>
        <x:v>0</x:v>
      </x:c>
    </x:row>
    <x:row r="242" ht="48" customHeight="1">
      <x:c r="A242" s="52"/>
      <x:c r="B242" s="52"/>
      <x:c r="C242" s="53"/>
      <x:c r="D242" s="53"/>
      <x:c r="E242" s="53"/>
      <x:c r="F242" s="53"/>
      <x:c r="G242" s="52"/>
      <x:c r="H242" s="21" t="str">
        <x:f>IF(COUNTA(A242:G242,I242)=0,"",IF(A242="","Add registration",IF(OR(COUNTA(C242:F242)&gt;COUNT(C242:F242)+COUNTIFS(C242:F242,"Reviewed N/A"),AND(COUNT(C242:F242)&gt;0,OR(MIN(C242:F242)&lt;36526,MAX(C242:F242)&gt;109574))),"Check date format",IF(AND(COUNTIFS(C242:F242,"Reviewed N/A")&gt;0,I242=""),"Add N/A reason; ","")&amp;IF(COUNT(C242:F242)=0,IF(COUNTIFS(C242:F242,"Reviewed N/A")=4,"No applicable dates recorded","Add dates"),IF(COUNT(C242:F242)+COUNTIFS(C242:F242,"Reviewed N/A")&lt;4,"Missing dates; ","")&amp;IF(MIN(C242:F242)&lt;TODAY(),"Overdue: ",IF(MIN(C242:F242)=TODAY(),"Due today: ",IF(MIN(C242:F242)&lt;=TODAY()+30,"Due within 30 days: ","Next: ")))&amp;INDEX($C$8:$F$8,1,MATCH(MIN(C242:F242),C242:F242,0))&amp;" "&amp;TEXT(MIN(C242:F242),"dd mmm yyyy")))))</x:f>
      </x:c>
      <x:c r="I242" s="52"/>
      <x:c r="J242" t="str">
        <x:f>IF(AND(A242&lt;&gt;"",COUNTIFS(C242,"&gt;=36526",C242,"&lt;"&amp;TODAY())+COUNTIFS(D242,"&gt;=36526",D242,"&lt;"&amp;TODAY())+COUNTIFS(E242,"&gt;=36526",E242,"&lt;"&amp;TODAY())+COUNTIFS(F242,"&gt;=36526",F242,"&lt;"&amp;TODAY())&gt;0),O242,"")</x:f>
      </x:c>
      <x:c r="K242" t="str">
        <x:f>IF(AND(A242&lt;&gt;"",COUNTIFS(C242,"&gt;=36526",C242,TODAY())+COUNTIFS(D242,"&gt;=36526",D242,TODAY())+COUNTIFS(E242,"&gt;=36526",E242,TODAY())+COUNTIFS(F242,"&gt;=36526",F242,TODAY())&gt;0),P242,"")</x:f>
      </x:c>
      <x:c r="L242" t="str">
        <x:f>IF(AND(A242&lt;&gt;"",COUNTIFS(C242,"&gt;"&amp;TODAY(),C242,"&lt;="&amp;TODAY()+30)+COUNTIFS(D242,"&gt;"&amp;TODAY(),D242,"&lt;="&amp;TODAY()+30)+COUNTIFS(E242,"&gt;"&amp;TODAY(),E242,"&lt;="&amp;TODAY()+30)+COUNTIFS(F242,"&gt;"&amp;TODAY(),F242,"&lt;="&amp;TODAY()+30)&gt;0),Q242,"")</x:f>
      </x:c>
      <x:c r="M242" t="str">
        <x:f>IF(OR(LEFT(H242,15)="Missing dates; ",LEFT(H242,16)="Add N/A reason; ",H242="Add dates",H242="Add registration",H242="Check date format"),R242,"")</x:f>
      </x:c>
      <x:c r="N242" t="str">
        <x:f>IF(COUNTIFS(C242:F242,"Reviewed N/A")&gt;0,S242,"")</x:f>
      </x:c>
      <x:c r="O242" t="n">
        <x:f>O241+IF(AND(A242&lt;&gt;"",COUNTIFS(C242,"&gt;=36526",C242,"&lt;"&amp;TODAY())+COUNTIFS(D242,"&gt;=36526",D242,"&lt;"&amp;TODAY())+COUNTIFS(E242,"&gt;=36526",E242,"&lt;"&amp;TODAY())+COUNTIFS(F242,"&gt;=36526",F242,"&lt;"&amp;TODAY())&gt;0),1,0)</x:f>
        <x:v>0</x:v>
      </x:c>
      <x:c r="P242" t="n">
        <x:f>P241+IF(AND(A242&lt;&gt;"",COUNTIFS(C242,"&gt;=36526",C242,TODAY())+COUNTIFS(D242,"&gt;=36526",D242,TODAY())+COUNTIFS(E242,"&gt;=36526",E242,TODAY())+COUNTIFS(F242,"&gt;=36526",F242,TODAY())&gt;0),1,0)</x:f>
        <x:v>0</x:v>
      </x:c>
      <x:c r="Q242" t="n">
        <x:f>Q241+IF(AND(A242&lt;&gt;"",COUNTIFS(C242,"&gt;"&amp;TODAY(),C242,"&lt;="&amp;TODAY()+30)+COUNTIFS(D242,"&gt;"&amp;TODAY(),D242,"&lt;="&amp;TODAY()+30)+COUNTIFS(E242,"&gt;"&amp;TODAY(),E242,"&lt;="&amp;TODAY()+30)+COUNTIFS(F242,"&gt;"&amp;TODAY(),F242,"&lt;="&amp;TODAY()+30)&gt;0),1,0)</x:f>
        <x:v>0</x:v>
      </x:c>
      <x:c r="R242" t="n">
        <x:f>R241+IF(OR(LEFT(H242,15)="Missing dates; ",LEFT(H242,16)="Add N/A reason; ",H242="Add dates",H242="Add registration",H242="Check date format"),1,0)</x:f>
        <x:v>0</x:v>
      </x:c>
      <x:c r="S242" t="n">
        <x:f>S241+IF(COUNTIFS(C242:F242,"Reviewed N/A")&gt;0,1,0)</x:f>
        <x:v>0</x:v>
      </x:c>
    </x:row>
    <x:row r="243" ht="48" customHeight="1">
      <x:c r="A243" s="52"/>
      <x:c r="B243" s="52"/>
      <x:c r="C243" s="53"/>
      <x:c r="D243" s="53"/>
      <x:c r="E243" s="53"/>
      <x:c r="F243" s="53"/>
      <x:c r="G243" s="52"/>
      <x:c r="H243" s="21" t="str">
        <x:f>IF(COUNTA(A243:G243,I243)=0,"",IF(A243="","Add registration",IF(OR(COUNTA(C243:F243)&gt;COUNT(C243:F243)+COUNTIFS(C243:F243,"Reviewed N/A"),AND(COUNT(C243:F243)&gt;0,OR(MIN(C243:F243)&lt;36526,MAX(C243:F243)&gt;109574))),"Check date format",IF(AND(COUNTIFS(C243:F243,"Reviewed N/A")&gt;0,I243=""),"Add N/A reason; ","")&amp;IF(COUNT(C243:F243)=0,IF(COUNTIFS(C243:F243,"Reviewed N/A")=4,"No applicable dates recorded","Add dates"),IF(COUNT(C243:F243)+COUNTIFS(C243:F243,"Reviewed N/A")&lt;4,"Missing dates; ","")&amp;IF(MIN(C243:F243)&lt;TODAY(),"Overdue: ",IF(MIN(C243:F243)=TODAY(),"Due today: ",IF(MIN(C243:F243)&lt;=TODAY()+30,"Due within 30 days: ","Next: ")))&amp;INDEX($C$8:$F$8,1,MATCH(MIN(C243:F243),C243:F243,0))&amp;" "&amp;TEXT(MIN(C243:F243),"dd mmm yyyy")))))</x:f>
      </x:c>
      <x:c r="I243" s="52"/>
      <x:c r="J243" t="str">
        <x:f>IF(AND(A243&lt;&gt;"",COUNTIFS(C243,"&gt;=36526",C243,"&lt;"&amp;TODAY())+COUNTIFS(D243,"&gt;=36526",D243,"&lt;"&amp;TODAY())+COUNTIFS(E243,"&gt;=36526",E243,"&lt;"&amp;TODAY())+COUNTIFS(F243,"&gt;=36526",F243,"&lt;"&amp;TODAY())&gt;0),O243,"")</x:f>
      </x:c>
      <x:c r="K243" t="str">
        <x:f>IF(AND(A243&lt;&gt;"",COUNTIFS(C243,"&gt;=36526",C243,TODAY())+COUNTIFS(D243,"&gt;=36526",D243,TODAY())+COUNTIFS(E243,"&gt;=36526",E243,TODAY())+COUNTIFS(F243,"&gt;=36526",F243,TODAY())&gt;0),P243,"")</x:f>
      </x:c>
      <x:c r="L243" t="str">
        <x:f>IF(AND(A243&lt;&gt;"",COUNTIFS(C243,"&gt;"&amp;TODAY(),C243,"&lt;="&amp;TODAY()+30)+COUNTIFS(D243,"&gt;"&amp;TODAY(),D243,"&lt;="&amp;TODAY()+30)+COUNTIFS(E243,"&gt;"&amp;TODAY(),E243,"&lt;="&amp;TODAY()+30)+COUNTIFS(F243,"&gt;"&amp;TODAY(),F243,"&lt;="&amp;TODAY()+30)&gt;0),Q243,"")</x:f>
      </x:c>
      <x:c r="M243" t="str">
        <x:f>IF(OR(LEFT(H243,15)="Missing dates; ",LEFT(H243,16)="Add N/A reason; ",H243="Add dates",H243="Add registration",H243="Check date format"),R243,"")</x:f>
      </x:c>
      <x:c r="N243" t="str">
        <x:f>IF(COUNTIFS(C243:F243,"Reviewed N/A")&gt;0,S243,"")</x:f>
      </x:c>
      <x:c r="O243" t="n">
        <x:f>O242+IF(AND(A243&lt;&gt;"",COUNTIFS(C243,"&gt;=36526",C243,"&lt;"&amp;TODAY())+COUNTIFS(D243,"&gt;=36526",D243,"&lt;"&amp;TODAY())+COUNTIFS(E243,"&gt;=36526",E243,"&lt;"&amp;TODAY())+COUNTIFS(F243,"&gt;=36526",F243,"&lt;"&amp;TODAY())&gt;0),1,0)</x:f>
        <x:v>0</x:v>
      </x:c>
      <x:c r="P243" t="n">
        <x:f>P242+IF(AND(A243&lt;&gt;"",COUNTIFS(C243,"&gt;=36526",C243,TODAY())+COUNTIFS(D243,"&gt;=36526",D243,TODAY())+COUNTIFS(E243,"&gt;=36526",E243,TODAY())+COUNTIFS(F243,"&gt;=36526",F243,TODAY())&gt;0),1,0)</x:f>
        <x:v>0</x:v>
      </x:c>
      <x:c r="Q243" t="n">
        <x:f>Q242+IF(AND(A243&lt;&gt;"",COUNTIFS(C243,"&gt;"&amp;TODAY(),C243,"&lt;="&amp;TODAY()+30)+COUNTIFS(D243,"&gt;"&amp;TODAY(),D243,"&lt;="&amp;TODAY()+30)+COUNTIFS(E243,"&gt;"&amp;TODAY(),E243,"&lt;="&amp;TODAY()+30)+COUNTIFS(F243,"&gt;"&amp;TODAY(),F243,"&lt;="&amp;TODAY()+30)&gt;0),1,0)</x:f>
        <x:v>0</x:v>
      </x:c>
      <x:c r="R243" t="n">
        <x:f>R242+IF(OR(LEFT(H243,15)="Missing dates; ",LEFT(H243,16)="Add N/A reason; ",H243="Add dates",H243="Add registration",H243="Check date format"),1,0)</x:f>
        <x:v>0</x:v>
      </x:c>
      <x:c r="S243" t="n">
        <x:f>S242+IF(COUNTIFS(C243:F243,"Reviewed N/A")&gt;0,1,0)</x:f>
        <x:v>0</x:v>
      </x:c>
    </x:row>
    <x:row r="244" ht="48" customHeight="1">
      <x:c r="A244" s="52"/>
      <x:c r="B244" s="52"/>
      <x:c r="C244" s="53"/>
      <x:c r="D244" s="53"/>
      <x:c r="E244" s="53"/>
      <x:c r="F244" s="53"/>
      <x:c r="G244" s="52"/>
      <x:c r="H244" s="21" t="str">
        <x:f>IF(COUNTA(A244:G244,I244)=0,"",IF(A244="","Add registration",IF(OR(COUNTA(C244:F244)&gt;COUNT(C244:F244)+COUNTIFS(C244:F244,"Reviewed N/A"),AND(COUNT(C244:F244)&gt;0,OR(MIN(C244:F244)&lt;36526,MAX(C244:F244)&gt;109574))),"Check date format",IF(AND(COUNTIFS(C244:F244,"Reviewed N/A")&gt;0,I244=""),"Add N/A reason; ","")&amp;IF(COUNT(C244:F244)=0,IF(COUNTIFS(C244:F244,"Reviewed N/A")=4,"No applicable dates recorded","Add dates"),IF(COUNT(C244:F244)+COUNTIFS(C244:F244,"Reviewed N/A")&lt;4,"Missing dates; ","")&amp;IF(MIN(C244:F244)&lt;TODAY(),"Overdue: ",IF(MIN(C244:F244)=TODAY(),"Due today: ",IF(MIN(C244:F244)&lt;=TODAY()+30,"Due within 30 days: ","Next: ")))&amp;INDEX($C$8:$F$8,1,MATCH(MIN(C244:F244),C244:F244,0))&amp;" "&amp;TEXT(MIN(C244:F244),"dd mmm yyyy")))))</x:f>
      </x:c>
      <x:c r="I244" s="52"/>
      <x:c r="J244" t="str">
        <x:f>IF(AND(A244&lt;&gt;"",COUNTIFS(C244,"&gt;=36526",C244,"&lt;"&amp;TODAY())+COUNTIFS(D244,"&gt;=36526",D244,"&lt;"&amp;TODAY())+COUNTIFS(E244,"&gt;=36526",E244,"&lt;"&amp;TODAY())+COUNTIFS(F244,"&gt;=36526",F244,"&lt;"&amp;TODAY())&gt;0),O244,"")</x:f>
      </x:c>
      <x:c r="K244" t="str">
        <x:f>IF(AND(A244&lt;&gt;"",COUNTIFS(C244,"&gt;=36526",C244,TODAY())+COUNTIFS(D244,"&gt;=36526",D244,TODAY())+COUNTIFS(E244,"&gt;=36526",E244,TODAY())+COUNTIFS(F244,"&gt;=36526",F244,TODAY())&gt;0),P244,"")</x:f>
      </x:c>
      <x:c r="L244" t="str">
        <x:f>IF(AND(A244&lt;&gt;"",COUNTIFS(C244,"&gt;"&amp;TODAY(),C244,"&lt;="&amp;TODAY()+30)+COUNTIFS(D244,"&gt;"&amp;TODAY(),D244,"&lt;="&amp;TODAY()+30)+COUNTIFS(E244,"&gt;"&amp;TODAY(),E244,"&lt;="&amp;TODAY()+30)+COUNTIFS(F244,"&gt;"&amp;TODAY(),F244,"&lt;="&amp;TODAY()+30)&gt;0),Q244,"")</x:f>
      </x:c>
      <x:c r="M244" t="str">
        <x:f>IF(OR(LEFT(H244,15)="Missing dates; ",LEFT(H244,16)="Add N/A reason; ",H244="Add dates",H244="Add registration",H244="Check date format"),R244,"")</x:f>
      </x:c>
      <x:c r="N244" t="str">
        <x:f>IF(COUNTIFS(C244:F244,"Reviewed N/A")&gt;0,S244,"")</x:f>
      </x:c>
      <x:c r="O244" t="n">
        <x:f>O243+IF(AND(A244&lt;&gt;"",COUNTIFS(C244,"&gt;=36526",C244,"&lt;"&amp;TODAY())+COUNTIFS(D244,"&gt;=36526",D244,"&lt;"&amp;TODAY())+COUNTIFS(E244,"&gt;=36526",E244,"&lt;"&amp;TODAY())+COUNTIFS(F244,"&gt;=36526",F244,"&lt;"&amp;TODAY())&gt;0),1,0)</x:f>
        <x:v>0</x:v>
      </x:c>
      <x:c r="P244" t="n">
        <x:f>P243+IF(AND(A244&lt;&gt;"",COUNTIFS(C244,"&gt;=36526",C244,TODAY())+COUNTIFS(D244,"&gt;=36526",D244,TODAY())+COUNTIFS(E244,"&gt;=36526",E244,TODAY())+COUNTIFS(F244,"&gt;=36526",F244,TODAY())&gt;0),1,0)</x:f>
        <x:v>0</x:v>
      </x:c>
      <x:c r="Q244" t="n">
        <x:f>Q243+IF(AND(A244&lt;&gt;"",COUNTIFS(C244,"&gt;"&amp;TODAY(),C244,"&lt;="&amp;TODAY()+30)+COUNTIFS(D244,"&gt;"&amp;TODAY(),D244,"&lt;="&amp;TODAY()+30)+COUNTIFS(E244,"&gt;"&amp;TODAY(),E244,"&lt;="&amp;TODAY()+30)+COUNTIFS(F244,"&gt;"&amp;TODAY(),F244,"&lt;="&amp;TODAY()+30)&gt;0),1,0)</x:f>
        <x:v>0</x:v>
      </x:c>
      <x:c r="R244" t="n">
        <x:f>R243+IF(OR(LEFT(H244,15)="Missing dates; ",LEFT(H244,16)="Add N/A reason; ",H244="Add dates",H244="Add registration",H244="Check date format"),1,0)</x:f>
        <x:v>0</x:v>
      </x:c>
      <x:c r="S244" t="n">
        <x:f>S243+IF(COUNTIFS(C244:F244,"Reviewed N/A")&gt;0,1,0)</x:f>
        <x:v>0</x:v>
      </x:c>
    </x:row>
    <x:row r="245" ht="48" customHeight="1">
      <x:c r="A245" s="52"/>
      <x:c r="B245" s="52"/>
      <x:c r="C245" s="53"/>
      <x:c r="D245" s="53"/>
      <x:c r="E245" s="53"/>
      <x:c r="F245" s="53"/>
      <x:c r="G245" s="52"/>
      <x:c r="H245" s="21" t="str">
        <x:f>IF(COUNTA(A245:G245,I245)=0,"",IF(A245="","Add registration",IF(OR(COUNTA(C245:F245)&gt;COUNT(C245:F245)+COUNTIFS(C245:F245,"Reviewed N/A"),AND(COUNT(C245:F245)&gt;0,OR(MIN(C245:F245)&lt;36526,MAX(C245:F245)&gt;109574))),"Check date format",IF(AND(COUNTIFS(C245:F245,"Reviewed N/A")&gt;0,I245=""),"Add N/A reason; ","")&amp;IF(COUNT(C245:F245)=0,IF(COUNTIFS(C245:F245,"Reviewed N/A")=4,"No applicable dates recorded","Add dates"),IF(COUNT(C245:F245)+COUNTIFS(C245:F245,"Reviewed N/A")&lt;4,"Missing dates; ","")&amp;IF(MIN(C245:F245)&lt;TODAY(),"Overdue: ",IF(MIN(C245:F245)=TODAY(),"Due today: ",IF(MIN(C245:F245)&lt;=TODAY()+30,"Due within 30 days: ","Next: ")))&amp;INDEX($C$8:$F$8,1,MATCH(MIN(C245:F245),C245:F245,0))&amp;" "&amp;TEXT(MIN(C245:F245),"dd mmm yyyy")))))</x:f>
      </x:c>
      <x:c r="I245" s="52"/>
      <x:c r="J245" t="str">
        <x:f>IF(AND(A245&lt;&gt;"",COUNTIFS(C245,"&gt;=36526",C245,"&lt;"&amp;TODAY())+COUNTIFS(D245,"&gt;=36526",D245,"&lt;"&amp;TODAY())+COUNTIFS(E245,"&gt;=36526",E245,"&lt;"&amp;TODAY())+COUNTIFS(F245,"&gt;=36526",F245,"&lt;"&amp;TODAY())&gt;0),O245,"")</x:f>
      </x:c>
      <x:c r="K245" t="str">
        <x:f>IF(AND(A245&lt;&gt;"",COUNTIFS(C245,"&gt;=36526",C245,TODAY())+COUNTIFS(D245,"&gt;=36526",D245,TODAY())+COUNTIFS(E245,"&gt;=36526",E245,TODAY())+COUNTIFS(F245,"&gt;=36526",F245,TODAY())&gt;0),P245,"")</x:f>
      </x:c>
      <x:c r="L245" t="str">
        <x:f>IF(AND(A245&lt;&gt;"",COUNTIFS(C245,"&gt;"&amp;TODAY(),C245,"&lt;="&amp;TODAY()+30)+COUNTIFS(D245,"&gt;"&amp;TODAY(),D245,"&lt;="&amp;TODAY()+30)+COUNTIFS(E245,"&gt;"&amp;TODAY(),E245,"&lt;="&amp;TODAY()+30)+COUNTIFS(F245,"&gt;"&amp;TODAY(),F245,"&lt;="&amp;TODAY()+30)&gt;0),Q245,"")</x:f>
      </x:c>
      <x:c r="M245" t="str">
        <x:f>IF(OR(LEFT(H245,15)="Missing dates; ",LEFT(H245,16)="Add N/A reason; ",H245="Add dates",H245="Add registration",H245="Check date format"),R245,"")</x:f>
      </x:c>
      <x:c r="N245" t="str">
        <x:f>IF(COUNTIFS(C245:F245,"Reviewed N/A")&gt;0,S245,"")</x:f>
      </x:c>
      <x:c r="O245" t="n">
        <x:f>O244+IF(AND(A245&lt;&gt;"",COUNTIFS(C245,"&gt;=36526",C245,"&lt;"&amp;TODAY())+COUNTIFS(D245,"&gt;=36526",D245,"&lt;"&amp;TODAY())+COUNTIFS(E245,"&gt;=36526",E245,"&lt;"&amp;TODAY())+COUNTIFS(F245,"&gt;=36526",F245,"&lt;"&amp;TODAY())&gt;0),1,0)</x:f>
        <x:v>0</x:v>
      </x:c>
      <x:c r="P245" t="n">
        <x:f>P244+IF(AND(A245&lt;&gt;"",COUNTIFS(C245,"&gt;=36526",C245,TODAY())+COUNTIFS(D245,"&gt;=36526",D245,TODAY())+COUNTIFS(E245,"&gt;=36526",E245,TODAY())+COUNTIFS(F245,"&gt;=36526",F245,TODAY())&gt;0),1,0)</x:f>
        <x:v>0</x:v>
      </x:c>
      <x:c r="Q245" t="n">
        <x:f>Q244+IF(AND(A245&lt;&gt;"",COUNTIFS(C245,"&gt;"&amp;TODAY(),C245,"&lt;="&amp;TODAY()+30)+COUNTIFS(D245,"&gt;"&amp;TODAY(),D245,"&lt;="&amp;TODAY()+30)+COUNTIFS(E245,"&gt;"&amp;TODAY(),E245,"&lt;="&amp;TODAY()+30)+COUNTIFS(F245,"&gt;"&amp;TODAY(),F245,"&lt;="&amp;TODAY()+30)&gt;0),1,0)</x:f>
        <x:v>0</x:v>
      </x:c>
      <x:c r="R245" t="n">
        <x:f>R244+IF(OR(LEFT(H245,15)="Missing dates; ",LEFT(H245,16)="Add N/A reason; ",H245="Add dates",H245="Add registration",H245="Check date format"),1,0)</x:f>
        <x:v>0</x:v>
      </x:c>
      <x:c r="S245" t="n">
        <x:f>S244+IF(COUNTIFS(C245:F245,"Reviewed N/A")&gt;0,1,0)</x:f>
        <x:v>0</x:v>
      </x:c>
    </x:row>
    <x:row r="246" ht="48" customHeight="1">
      <x:c r="A246" s="52"/>
      <x:c r="B246" s="52"/>
      <x:c r="C246" s="53"/>
      <x:c r="D246" s="53"/>
      <x:c r="E246" s="53"/>
      <x:c r="F246" s="53"/>
      <x:c r="G246" s="52"/>
      <x:c r="H246" s="21" t="str">
        <x:f>IF(COUNTA(A246:G246,I246)=0,"",IF(A246="","Add registration",IF(OR(COUNTA(C246:F246)&gt;COUNT(C246:F246)+COUNTIFS(C246:F246,"Reviewed N/A"),AND(COUNT(C246:F246)&gt;0,OR(MIN(C246:F246)&lt;36526,MAX(C246:F246)&gt;109574))),"Check date format",IF(AND(COUNTIFS(C246:F246,"Reviewed N/A")&gt;0,I246=""),"Add N/A reason; ","")&amp;IF(COUNT(C246:F246)=0,IF(COUNTIFS(C246:F246,"Reviewed N/A")=4,"No applicable dates recorded","Add dates"),IF(COUNT(C246:F246)+COUNTIFS(C246:F246,"Reviewed N/A")&lt;4,"Missing dates; ","")&amp;IF(MIN(C246:F246)&lt;TODAY(),"Overdue: ",IF(MIN(C246:F246)=TODAY(),"Due today: ",IF(MIN(C246:F246)&lt;=TODAY()+30,"Due within 30 days: ","Next: ")))&amp;INDEX($C$8:$F$8,1,MATCH(MIN(C246:F246),C246:F246,0))&amp;" "&amp;TEXT(MIN(C246:F246),"dd mmm yyyy")))))</x:f>
      </x:c>
      <x:c r="I246" s="52"/>
      <x:c r="J246" t="str">
        <x:f>IF(AND(A246&lt;&gt;"",COUNTIFS(C246,"&gt;=36526",C246,"&lt;"&amp;TODAY())+COUNTIFS(D246,"&gt;=36526",D246,"&lt;"&amp;TODAY())+COUNTIFS(E246,"&gt;=36526",E246,"&lt;"&amp;TODAY())+COUNTIFS(F246,"&gt;=36526",F246,"&lt;"&amp;TODAY())&gt;0),O246,"")</x:f>
      </x:c>
      <x:c r="K246" t="str">
        <x:f>IF(AND(A246&lt;&gt;"",COUNTIFS(C246,"&gt;=36526",C246,TODAY())+COUNTIFS(D246,"&gt;=36526",D246,TODAY())+COUNTIFS(E246,"&gt;=36526",E246,TODAY())+COUNTIFS(F246,"&gt;=36526",F246,TODAY())&gt;0),P246,"")</x:f>
      </x:c>
      <x:c r="L246" t="str">
        <x:f>IF(AND(A246&lt;&gt;"",COUNTIFS(C246,"&gt;"&amp;TODAY(),C246,"&lt;="&amp;TODAY()+30)+COUNTIFS(D246,"&gt;"&amp;TODAY(),D246,"&lt;="&amp;TODAY()+30)+COUNTIFS(E246,"&gt;"&amp;TODAY(),E246,"&lt;="&amp;TODAY()+30)+COUNTIFS(F246,"&gt;"&amp;TODAY(),F246,"&lt;="&amp;TODAY()+30)&gt;0),Q246,"")</x:f>
      </x:c>
      <x:c r="M246" t="str">
        <x:f>IF(OR(LEFT(H246,15)="Missing dates; ",LEFT(H246,16)="Add N/A reason; ",H246="Add dates",H246="Add registration",H246="Check date format"),R246,"")</x:f>
      </x:c>
      <x:c r="N246" t="str">
        <x:f>IF(COUNTIFS(C246:F246,"Reviewed N/A")&gt;0,S246,"")</x:f>
      </x:c>
      <x:c r="O246" t="n">
        <x:f>O245+IF(AND(A246&lt;&gt;"",COUNTIFS(C246,"&gt;=36526",C246,"&lt;"&amp;TODAY())+COUNTIFS(D246,"&gt;=36526",D246,"&lt;"&amp;TODAY())+COUNTIFS(E246,"&gt;=36526",E246,"&lt;"&amp;TODAY())+COUNTIFS(F246,"&gt;=36526",F246,"&lt;"&amp;TODAY())&gt;0),1,0)</x:f>
        <x:v>0</x:v>
      </x:c>
      <x:c r="P246" t="n">
        <x:f>P245+IF(AND(A246&lt;&gt;"",COUNTIFS(C246,"&gt;=36526",C246,TODAY())+COUNTIFS(D246,"&gt;=36526",D246,TODAY())+COUNTIFS(E246,"&gt;=36526",E246,TODAY())+COUNTIFS(F246,"&gt;=36526",F246,TODAY())&gt;0),1,0)</x:f>
        <x:v>0</x:v>
      </x:c>
      <x:c r="Q246" t="n">
        <x:f>Q245+IF(AND(A246&lt;&gt;"",COUNTIFS(C246,"&gt;"&amp;TODAY(),C246,"&lt;="&amp;TODAY()+30)+COUNTIFS(D246,"&gt;"&amp;TODAY(),D246,"&lt;="&amp;TODAY()+30)+COUNTIFS(E246,"&gt;"&amp;TODAY(),E246,"&lt;="&amp;TODAY()+30)+COUNTIFS(F246,"&gt;"&amp;TODAY(),F246,"&lt;="&amp;TODAY()+30)&gt;0),1,0)</x:f>
        <x:v>0</x:v>
      </x:c>
      <x:c r="R246" t="n">
        <x:f>R245+IF(OR(LEFT(H246,15)="Missing dates; ",LEFT(H246,16)="Add N/A reason; ",H246="Add dates",H246="Add registration",H246="Check date format"),1,0)</x:f>
        <x:v>0</x:v>
      </x:c>
      <x:c r="S246" t="n">
        <x:f>S245+IF(COUNTIFS(C246:F246,"Reviewed N/A")&gt;0,1,0)</x:f>
        <x:v>0</x:v>
      </x:c>
    </x:row>
    <x:row r="247" ht="48" customHeight="1">
      <x:c r="A247" s="52"/>
      <x:c r="B247" s="52"/>
      <x:c r="C247" s="53"/>
      <x:c r="D247" s="53"/>
      <x:c r="E247" s="53"/>
      <x:c r="F247" s="53"/>
      <x:c r="G247" s="52"/>
      <x:c r="H247" s="21" t="str">
        <x:f>IF(COUNTA(A247:G247,I247)=0,"",IF(A247="","Add registration",IF(OR(COUNTA(C247:F247)&gt;COUNT(C247:F247)+COUNTIFS(C247:F247,"Reviewed N/A"),AND(COUNT(C247:F247)&gt;0,OR(MIN(C247:F247)&lt;36526,MAX(C247:F247)&gt;109574))),"Check date format",IF(AND(COUNTIFS(C247:F247,"Reviewed N/A")&gt;0,I247=""),"Add N/A reason; ","")&amp;IF(COUNT(C247:F247)=0,IF(COUNTIFS(C247:F247,"Reviewed N/A")=4,"No applicable dates recorded","Add dates"),IF(COUNT(C247:F247)+COUNTIFS(C247:F247,"Reviewed N/A")&lt;4,"Missing dates; ","")&amp;IF(MIN(C247:F247)&lt;TODAY(),"Overdue: ",IF(MIN(C247:F247)=TODAY(),"Due today: ",IF(MIN(C247:F247)&lt;=TODAY()+30,"Due within 30 days: ","Next: ")))&amp;INDEX($C$8:$F$8,1,MATCH(MIN(C247:F247),C247:F247,0))&amp;" "&amp;TEXT(MIN(C247:F247),"dd mmm yyyy")))))</x:f>
      </x:c>
      <x:c r="I247" s="52"/>
      <x:c r="J247" t="str">
        <x:f>IF(AND(A247&lt;&gt;"",COUNTIFS(C247,"&gt;=36526",C247,"&lt;"&amp;TODAY())+COUNTIFS(D247,"&gt;=36526",D247,"&lt;"&amp;TODAY())+COUNTIFS(E247,"&gt;=36526",E247,"&lt;"&amp;TODAY())+COUNTIFS(F247,"&gt;=36526",F247,"&lt;"&amp;TODAY())&gt;0),O247,"")</x:f>
      </x:c>
      <x:c r="K247" t="str">
        <x:f>IF(AND(A247&lt;&gt;"",COUNTIFS(C247,"&gt;=36526",C247,TODAY())+COUNTIFS(D247,"&gt;=36526",D247,TODAY())+COUNTIFS(E247,"&gt;=36526",E247,TODAY())+COUNTIFS(F247,"&gt;=36526",F247,TODAY())&gt;0),P247,"")</x:f>
      </x:c>
      <x:c r="L247" t="str">
        <x:f>IF(AND(A247&lt;&gt;"",COUNTIFS(C247,"&gt;"&amp;TODAY(),C247,"&lt;="&amp;TODAY()+30)+COUNTIFS(D247,"&gt;"&amp;TODAY(),D247,"&lt;="&amp;TODAY()+30)+COUNTIFS(E247,"&gt;"&amp;TODAY(),E247,"&lt;="&amp;TODAY()+30)+COUNTIFS(F247,"&gt;"&amp;TODAY(),F247,"&lt;="&amp;TODAY()+30)&gt;0),Q247,"")</x:f>
      </x:c>
      <x:c r="M247" t="str">
        <x:f>IF(OR(LEFT(H247,15)="Missing dates; ",LEFT(H247,16)="Add N/A reason; ",H247="Add dates",H247="Add registration",H247="Check date format"),R247,"")</x:f>
      </x:c>
      <x:c r="N247" t="str">
        <x:f>IF(COUNTIFS(C247:F247,"Reviewed N/A")&gt;0,S247,"")</x:f>
      </x:c>
      <x:c r="O247" t="n">
        <x:f>O246+IF(AND(A247&lt;&gt;"",COUNTIFS(C247,"&gt;=36526",C247,"&lt;"&amp;TODAY())+COUNTIFS(D247,"&gt;=36526",D247,"&lt;"&amp;TODAY())+COUNTIFS(E247,"&gt;=36526",E247,"&lt;"&amp;TODAY())+COUNTIFS(F247,"&gt;=36526",F247,"&lt;"&amp;TODAY())&gt;0),1,0)</x:f>
        <x:v>0</x:v>
      </x:c>
      <x:c r="P247" t="n">
        <x:f>P246+IF(AND(A247&lt;&gt;"",COUNTIFS(C247,"&gt;=36526",C247,TODAY())+COUNTIFS(D247,"&gt;=36526",D247,TODAY())+COUNTIFS(E247,"&gt;=36526",E247,TODAY())+COUNTIFS(F247,"&gt;=36526",F247,TODAY())&gt;0),1,0)</x:f>
        <x:v>0</x:v>
      </x:c>
      <x:c r="Q247" t="n">
        <x:f>Q246+IF(AND(A247&lt;&gt;"",COUNTIFS(C247,"&gt;"&amp;TODAY(),C247,"&lt;="&amp;TODAY()+30)+COUNTIFS(D247,"&gt;"&amp;TODAY(),D247,"&lt;="&amp;TODAY()+30)+COUNTIFS(E247,"&gt;"&amp;TODAY(),E247,"&lt;="&amp;TODAY()+30)+COUNTIFS(F247,"&gt;"&amp;TODAY(),F247,"&lt;="&amp;TODAY()+30)&gt;0),1,0)</x:f>
        <x:v>0</x:v>
      </x:c>
      <x:c r="R247" t="n">
        <x:f>R246+IF(OR(LEFT(H247,15)="Missing dates; ",LEFT(H247,16)="Add N/A reason; ",H247="Add dates",H247="Add registration",H247="Check date format"),1,0)</x:f>
        <x:v>0</x:v>
      </x:c>
      <x:c r="S247" t="n">
        <x:f>S246+IF(COUNTIFS(C247:F247,"Reviewed N/A")&gt;0,1,0)</x:f>
        <x:v>0</x:v>
      </x:c>
    </x:row>
    <x:row r="248" ht="48" customHeight="1">
      <x:c r="A248" s="52"/>
      <x:c r="B248" s="52"/>
      <x:c r="C248" s="53"/>
      <x:c r="D248" s="53"/>
      <x:c r="E248" s="53"/>
      <x:c r="F248" s="53"/>
      <x:c r="G248" s="52"/>
      <x:c r="H248" s="21" t="str">
        <x:f>IF(COUNTA(A248:G248,I248)=0,"",IF(A248="","Add registration",IF(OR(COUNTA(C248:F248)&gt;COUNT(C248:F248)+COUNTIFS(C248:F248,"Reviewed N/A"),AND(COUNT(C248:F248)&gt;0,OR(MIN(C248:F248)&lt;36526,MAX(C248:F248)&gt;109574))),"Check date format",IF(AND(COUNTIFS(C248:F248,"Reviewed N/A")&gt;0,I248=""),"Add N/A reason; ","")&amp;IF(COUNT(C248:F248)=0,IF(COUNTIFS(C248:F248,"Reviewed N/A")=4,"No applicable dates recorded","Add dates"),IF(COUNT(C248:F248)+COUNTIFS(C248:F248,"Reviewed N/A")&lt;4,"Missing dates; ","")&amp;IF(MIN(C248:F248)&lt;TODAY(),"Overdue: ",IF(MIN(C248:F248)=TODAY(),"Due today: ",IF(MIN(C248:F248)&lt;=TODAY()+30,"Due within 30 days: ","Next: ")))&amp;INDEX($C$8:$F$8,1,MATCH(MIN(C248:F248),C248:F248,0))&amp;" "&amp;TEXT(MIN(C248:F248),"dd mmm yyyy")))))</x:f>
      </x:c>
      <x:c r="I248" s="52"/>
      <x:c r="J248" t="str">
        <x:f>IF(AND(A248&lt;&gt;"",COUNTIFS(C248,"&gt;=36526",C248,"&lt;"&amp;TODAY())+COUNTIFS(D248,"&gt;=36526",D248,"&lt;"&amp;TODAY())+COUNTIFS(E248,"&gt;=36526",E248,"&lt;"&amp;TODAY())+COUNTIFS(F248,"&gt;=36526",F248,"&lt;"&amp;TODAY())&gt;0),O248,"")</x:f>
      </x:c>
      <x:c r="K248" t="str">
        <x:f>IF(AND(A248&lt;&gt;"",COUNTIFS(C248,"&gt;=36526",C248,TODAY())+COUNTIFS(D248,"&gt;=36526",D248,TODAY())+COUNTIFS(E248,"&gt;=36526",E248,TODAY())+COUNTIFS(F248,"&gt;=36526",F248,TODAY())&gt;0),P248,"")</x:f>
      </x:c>
      <x:c r="L248" t="str">
        <x:f>IF(AND(A248&lt;&gt;"",COUNTIFS(C248,"&gt;"&amp;TODAY(),C248,"&lt;="&amp;TODAY()+30)+COUNTIFS(D248,"&gt;"&amp;TODAY(),D248,"&lt;="&amp;TODAY()+30)+COUNTIFS(E248,"&gt;"&amp;TODAY(),E248,"&lt;="&amp;TODAY()+30)+COUNTIFS(F248,"&gt;"&amp;TODAY(),F248,"&lt;="&amp;TODAY()+30)&gt;0),Q248,"")</x:f>
      </x:c>
      <x:c r="M248" t="str">
        <x:f>IF(OR(LEFT(H248,15)="Missing dates; ",LEFT(H248,16)="Add N/A reason; ",H248="Add dates",H248="Add registration",H248="Check date format"),R248,"")</x:f>
      </x:c>
      <x:c r="N248" t="str">
        <x:f>IF(COUNTIFS(C248:F248,"Reviewed N/A")&gt;0,S248,"")</x:f>
      </x:c>
      <x:c r="O248" t="n">
        <x:f>O247+IF(AND(A248&lt;&gt;"",COUNTIFS(C248,"&gt;=36526",C248,"&lt;"&amp;TODAY())+COUNTIFS(D248,"&gt;=36526",D248,"&lt;"&amp;TODAY())+COUNTIFS(E248,"&gt;=36526",E248,"&lt;"&amp;TODAY())+COUNTIFS(F248,"&gt;=36526",F248,"&lt;"&amp;TODAY())&gt;0),1,0)</x:f>
        <x:v>0</x:v>
      </x:c>
      <x:c r="P248" t="n">
        <x:f>P247+IF(AND(A248&lt;&gt;"",COUNTIFS(C248,"&gt;=36526",C248,TODAY())+COUNTIFS(D248,"&gt;=36526",D248,TODAY())+COUNTIFS(E248,"&gt;=36526",E248,TODAY())+COUNTIFS(F248,"&gt;=36526",F248,TODAY())&gt;0),1,0)</x:f>
        <x:v>0</x:v>
      </x:c>
      <x:c r="Q248" t="n">
        <x:f>Q247+IF(AND(A248&lt;&gt;"",COUNTIFS(C248,"&gt;"&amp;TODAY(),C248,"&lt;="&amp;TODAY()+30)+COUNTIFS(D248,"&gt;"&amp;TODAY(),D248,"&lt;="&amp;TODAY()+30)+COUNTIFS(E248,"&gt;"&amp;TODAY(),E248,"&lt;="&amp;TODAY()+30)+COUNTIFS(F248,"&gt;"&amp;TODAY(),F248,"&lt;="&amp;TODAY()+30)&gt;0),1,0)</x:f>
        <x:v>0</x:v>
      </x:c>
      <x:c r="R248" t="n">
        <x:f>R247+IF(OR(LEFT(H248,15)="Missing dates; ",LEFT(H248,16)="Add N/A reason; ",H248="Add dates",H248="Add registration",H248="Check date format"),1,0)</x:f>
        <x:v>0</x:v>
      </x:c>
      <x:c r="S248" t="n">
        <x:f>S247+IF(COUNTIFS(C248:F248,"Reviewed N/A")&gt;0,1,0)</x:f>
        <x:v>0</x:v>
      </x:c>
    </x:row>
    <x:row r="249" ht="48" customHeight="1">
      <x:c r="A249" s="52"/>
      <x:c r="B249" s="52"/>
      <x:c r="C249" s="53"/>
      <x:c r="D249" s="53"/>
      <x:c r="E249" s="53"/>
      <x:c r="F249" s="53"/>
      <x:c r="G249" s="52"/>
      <x:c r="H249" s="21" t="str">
        <x:f>IF(COUNTA(A249:G249,I249)=0,"",IF(A249="","Add registration",IF(OR(COUNTA(C249:F249)&gt;COUNT(C249:F249)+COUNTIFS(C249:F249,"Reviewed N/A"),AND(COUNT(C249:F249)&gt;0,OR(MIN(C249:F249)&lt;36526,MAX(C249:F249)&gt;109574))),"Check date format",IF(AND(COUNTIFS(C249:F249,"Reviewed N/A")&gt;0,I249=""),"Add N/A reason; ","")&amp;IF(COUNT(C249:F249)=0,IF(COUNTIFS(C249:F249,"Reviewed N/A")=4,"No applicable dates recorded","Add dates"),IF(COUNT(C249:F249)+COUNTIFS(C249:F249,"Reviewed N/A")&lt;4,"Missing dates; ","")&amp;IF(MIN(C249:F249)&lt;TODAY(),"Overdue: ",IF(MIN(C249:F249)=TODAY(),"Due today: ",IF(MIN(C249:F249)&lt;=TODAY()+30,"Due within 30 days: ","Next: ")))&amp;INDEX($C$8:$F$8,1,MATCH(MIN(C249:F249),C249:F249,0))&amp;" "&amp;TEXT(MIN(C249:F249),"dd mmm yyyy")))))</x:f>
      </x:c>
      <x:c r="I249" s="52"/>
      <x:c r="J249" t="str">
        <x:f>IF(AND(A249&lt;&gt;"",COUNTIFS(C249,"&gt;=36526",C249,"&lt;"&amp;TODAY())+COUNTIFS(D249,"&gt;=36526",D249,"&lt;"&amp;TODAY())+COUNTIFS(E249,"&gt;=36526",E249,"&lt;"&amp;TODAY())+COUNTIFS(F249,"&gt;=36526",F249,"&lt;"&amp;TODAY())&gt;0),O249,"")</x:f>
      </x:c>
      <x:c r="K249" t="str">
        <x:f>IF(AND(A249&lt;&gt;"",COUNTIFS(C249,"&gt;=36526",C249,TODAY())+COUNTIFS(D249,"&gt;=36526",D249,TODAY())+COUNTIFS(E249,"&gt;=36526",E249,TODAY())+COUNTIFS(F249,"&gt;=36526",F249,TODAY())&gt;0),P249,"")</x:f>
      </x:c>
      <x:c r="L249" t="str">
        <x:f>IF(AND(A249&lt;&gt;"",COUNTIFS(C249,"&gt;"&amp;TODAY(),C249,"&lt;="&amp;TODAY()+30)+COUNTIFS(D249,"&gt;"&amp;TODAY(),D249,"&lt;="&amp;TODAY()+30)+COUNTIFS(E249,"&gt;"&amp;TODAY(),E249,"&lt;="&amp;TODAY()+30)+COUNTIFS(F249,"&gt;"&amp;TODAY(),F249,"&lt;="&amp;TODAY()+30)&gt;0),Q249,"")</x:f>
      </x:c>
      <x:c r="M249" t="str">
        <x:f>IF(OR(LEFT(H249,15)="Missing dates; ",LEFT(H249,16)="Add N/A reason; ",H249="Add dates",H249="Add registration",H249="Check date format"),R249,"")</x:f>
      </x:c>
      <x:c r="N249" t="str">
        <x:f>IF(COUNTIFS(C249:F249,"Reviewed N/A")&gt;0,S249,"")</x:f>
      </x:c>
      <x:c r="O249" t="n">
        <x:f>O248+IF(AND(A249&lt;&gt;"",COUNTIFS(C249,"&gt;=36526",C249,"&lt;"&amp;TODAY())+COUNTIFS(D249,"&gt;=36526",D249,"&lt;"&amp;TODAY())+COUNTIFS(E249,"&gt;=36526",E249,"&lt;"&amp;TODAY())+COUNTIFS(F249,"&gt;=36526",F249,"&lt;"&amp;TODAY())&gt;0),1,0)</x:f>
        <x:v>0</x:v>
      </x:c>
      <x:c r="P249" t="n">
        <x:f>P248+IF(AND(A249&lt;&gt;"",COUNTIFS(C249,"&gt;=36526",C249,TODAY())+COUNTIFS(D249,"&gt;=36526",D249,TODAY())+COUNTIFS(E249,"&gt;=36526",E249,TODAY())+COUNTIFS(F249,"&gt;=36526",F249,TODAY())&gt;0),1,0)</x:f>
        <x:v>0</x:v>
      </x:c>
      <x:c r="Q249" t="n">
        <x:f>Q248+IF(AND(A249&lt;&gt;"",COUNTIFS(C249,"&gt;"&amp;TODAY(),C249,"&lt;="&amp;TODAY()+30)+COUNTIFS(D249,"&gt;"&amp;TODAY(),D249,"&lt;="&amp;TODAY()+30)+COUNTIFS(E249,"&gt;"&amp;TODAY(),E249,"&lt;="&amp;TODAY()+30)+COUNTIFS(F249,"&gt;"&amp;TODAY(),F249,"&lt;="&amp;TODAY()+30)&gt;0),1,0)</x:f>
        <x:v>0</x:v>
      </x:c>
      <x:c r="R249" t="n">
        <x:f>R248+IF(OR(LEFT(H249,15)="Missing dates; ",LEFT(H249,16)="Add N/A reason; ",H249="Add dates",H249="Add registration",H249="Check date format"),1,0)</x:f>
        <x:v>0</x:v>
      </x:c>
      <x:c r="S249" t="n">
        <x:f>S248+IF(COUNTIFS(C249:F249,"Reviewed N/A")&gt;0,1,0)</x:f>
        <x:v>0</x:v>
      </x:c>
    </x:row>
    <x:row r="250" ht="48" customHeight="1">
      <x:c r="A250" s="52"/>
      <x:c r="B250" s="52"/>
      <x:c r="C250" s="53"/>
      <x:c r="D250" s="53"/>
      <x:c r="E250" s="53"/>
      <x:c r="F250" s="53"/>
      <x:c r="G250" s="52"/>
      <x:c r="H250" s="21" t="str">
        <x:f>IF(COUNTA(A250:G250,I250)=0,"",IF(A250="","Add registration",IF(OR(COUNTA(C250:F250)&gt;COUNT(C250:F250)+COUNTIFS(C250:F250,"Reviewed N/A"),AND(COUNT(C250:F250)&gt;0,OR(MIN(C250:F250)&lt;36526,MAX(C250:F250)&gt;109574))),"Check date format",IF(AND(COUNTIFS(C250:F250,"Reviewed N/A")&gt;0,I250=""),"Add N/A reason; ","")&amp;IF(COUNT(C250:F250)=0,IF(COUNTIFS(C250:F250,"Reviewed N/A")=4,"No applicable dates recorded","Add dates"),IF(COUNT(C250:F250)+COUNTIFS(C250:F250,"Reviewed N/A")&lt;4,"Missing dates; ","")&amp;IF(MIN(C250:F250)&lt;TODAY(),"Overdue: ",IF(MIN(C250:F250)=TODAY(),"Due today: ",IF(MIN(C250:F250)&lt;=TODAY()+30,"Due within 30 days: ","Next: ")))&amp;INDEX($C$8:$F$8,1,MATCH(MIN(C250:F250),C250:F250,0))&amp;" "&amp;TEXT(MIN(C250:F250),"dd mmm yyyy")))))</x:f>
      </x:c>
      <x:c r="I250" s="52"/>
      <x:c r="J250" t="str">
        <x:f>IF(AND(A250&lt;&gt;"",COUNTIFS(C250,"&gt;=36526",C250,"&lt;"&amp;TODAY())+COUNTIFS(D250,"&gt;=36526",D250,"&lt;"&amp;TODAY())+COUNTIFS(E250,"&gt;=36526",E250,"&lt;"&amp;TODAY())+COUNTIFS(F250,"&gt;=36526",F250,"&lt;"&amp;TODAY())&gt;0),O250,"")</x:f>
      </x:c>
      <x:c r="K250" t="str">
        <x:f>IF(AND(A250&lt;&gt;"",COUNTIFS(C250,"&gt;=36526",C250,TODAY())+COUNTIFS(D250,"&gt;=36526",D250,TODAY())+COUNTIFS(E250,"&gt;=36526",E250,TODAY())+COUNTIFS(F250,"&gt;=36526",F250,TODAY())&gt;0),P250,"")</x:f>
      </x:c>
      <x:c r="L250" t="str">
        <x:f>IF(AND(A250&lt;&gt;"",COUNTIFS(C250,"&gt;"&amp;TODAY(),C250,"&lt;="&amp;TODAY()+30)+COUNTIFS(D250,"&gt;"&amp;TODAY(),D250,"&lt;="&amp;TODAY()+30)+COUNTIFS(E250,"&gt;"&amp;TODAY(),E250,"&lt;="&amp;TODAY()+30)+COUNTIFS(F250,"&gt;"&amp;TODAY(),F250,"&lt;="&amp;TODAY()+30)&gt;0),Q250,"")</x:f>
      </x:c>
      <x:c r="M250" t="str">
        <x:f>IF(OR(LEFT(H250,15)="Missing dates; ",LEFT(H250,16)="Add N/A reason; ",H250="Add dates",H250="Add registration",H250="Check date format"),R250,"")</x:f>
      </x:c>
      <x:c r="N250" t="str">
        <x:f>IF(COUNTIFS(C250:F250,"Reviewed N/A")&gt;0,S250,"")</x:f>
      </x:c>
      <x:c r="O250" t="n">
        <x:f>O249+IF(AND(A250&lt;&gt;"",COUNTIFS(C250,"&gt;=36526",C250,"&lt;"&amp;TODAY())+COUNTIFS(D250,"&gt;=36526",D250,"&lt;"&amp;TODAY())+COUNTIFS(E250,"&gt;=36526",E250,"&lt;"&amp;TODAY())+COUNTIFS(F250,"&gt;=36526",F250,"&lt;"&amp;TODAY())&gt;0),1,0)</x:f>
        <x:v>0</x:v>
      </x:c>
      <x:c r="P250" t="n">
        <x:f>P249+IF(AND(A250&lt;&gt;"",COUNTIFS(C250,"&gt;=36526",C250,TODAY())+COUNTIFS(D250,"&gt;=36526",D250,TODAY())+COUNTIFS(E250,"&gt;=36526",E250,TODAY())+COUNTIFS(F250,"&gt;=36526",F250,TODAY())&gt;0),1,0)</x:f>
        <x:v>0</x:v>
      </x:c>
      <x:c r="Q250" t="n">
        <x:f>Q249+IF(AND(A250&lt;&gt;"",COUNTIFS(C250,"&gt;"&amp;TODAY(),C250,"&lt;="&amp;TODAY()+30)+COUNTIFS(D250,"&gt;"&amp;TODAY(),D250,"&lt;="&amp;TODAY()+30)+COUNTIFS(E250,"&gt;"&amp;TODAY(),E250,"&lt;="&amp;TODAY()+30)+COUNTIFS(F250,"&gt;"&amp;TODAY(),F250,"&lt;="&amp;TODAY()+30)&gt;0),1,0)</x:f>
        <x:v>0</x:v>
      </x:c>
      <x:c r="R250" t="n">
        <x:f>R249+IF(OR(LEFT(H250,15)="Missing dates; ",LEFT(H250,16)="Add N/A reason; ",H250="Add dates",H250="Add registration",H250="Check date format"),1,0)</x:f>
        <x:v>0</x:v>
      </x:c>
      <x:c r="S250" t="n">
        <x:f>S249+IF(COUNTIFS(C250:F250,"Reviewed N/A")&gt;0,1,0)</x:f>
        <x:v>0</x:v>
      </x:c>
    </x:row>
    <x:row r="251" ht="48" customHeight="1">
      <x:c r="A251" s="52"/>
      <x:c r="B251" s="52"/>
      <x:c r="C251" s="53"/>
      <x:c r="D251" s="53"/>
      <x:c r="E251" s="53"/>
      <x:c r="F251" s="53"/>
      <x:c r="G251" s="52"/>
      <x:c r="H251" s="21" t="str">
        <x:f>IF(COUNTA(A251:G251,I251)=0,"",IF(A251="","Add registration",IF(OR(COUNTA(C251:F251)&gt;COUNT(C251:F251)+COUNTIFS(C251:F251,"Reviewed N/A"),AND(COUNT(C251:F251)&gt;0,OR(MIN(C251:F251)&lt;36526,MAX(C251:F251)&gt;109574))),"Check date format",IF(AND(COUNTIFS(C251:F251,"Reviewed N/A")&gt;0,I251=""),"Add N/A reason; ","")&amp;IF(COUNT(C251:F251)=0,IF(COUNTIFS(C251:F251,"Reviewed N/A")=4,"No applicable dates recorded","Add dates"),IF(COUNT(C251:F251)+COUNTIFS(C251:F251,"Reviewed N/A")&lt;4,"Missing dates; ","")&amp;IF(MIN(C251:F251)&lt;TODAY(),"Overdue: ",IF(MIN(C251:F251)=TODAY(),"Due today: ",IF(MIN(C251:F251)&lt;=TODAY()+30,"Due within 30 days: ","Next: ")))&amp;INDEX($C$8:$F$8,1,MATCH(MIN(C251:F251),C251:F251,0))&amp;" "&amp;TEXT(MIN(C251:F251),"dd mmm yyyy")))))</x:f>
      </x:c>
      <x:c r="I251" s="52"/>
      <x:c r="J251" t="str">
        <x:f>IF(AND(A251&lt;&gt;"",COUNTIFS(C251,"&gt;=36526",C251,"&lt;"&amp;TODAY())+COUNTIFS(D251,"&gt;=36526",D251,"&lt;"&amp;TODAY())+COUNTIFS(E251,"&gt;=36526",E251,"&lt;"&amp;TODAY())+COUNTIFS(F251,"&gt;=36526",F251,"&lt;"&amp;TODAY())&gt;0),O251,"")</x:f>
      </x:c>
      <x:c r="K251" t="str">
        <x:f>IF(AND(A251&lt;&gt;"",COUNTIFS(C251,"&gt;=36526",C251,TODAY())+COUNTIFS(D251,"&gt;=36526",D251,TODAY())+COUNTIFS(E251,"&gt;=36526",E251,TODAY())+COUNTIFS(F251,"&gt;=36526",F251,TODAY())&gt;0),P251,"")</x:f>
      </x:c>
      <x:c r="L251" t="str">
        <x:f>IF(AND(A251&lt;&gt;"",COUNTIFS(C251,"&gt;"&amp;TODAY(),C251,"&lt;="&amp;TODAY()+30)+COUNTIFS(D251,"&gt;"&amp;TODAY(),D251,"&lt;="&amp;TODAY()+30)+COUNTIFS(E251,"&gt;"&amp;TODAY(),E251,"&lt;="&amp;TODAY()+30)+COUNTIFS(F251,"&gt;"&amp;TODAY(),F251,"&lt;="&amp;TODAY()+30)&gt;0),Q251,"")</x:f>
      </x:c>
      <x:c r="M251" t="str">
        <x:f>IF(OR(LEFT(H251,15)="Missing dates; ",LEFT(H251,16)="Add N/A reason; ",H251="Add dates",H251="Add registration",H251="Check date format"),R251,"")</x:f>
      </x:c>
      <x:c r="N251" t="str">
        <x:f>IF(COUNTIFS(C251:F251,"Reviewed N/A")&gt;0,S251,"")</x:f>
      </x:c>
      <x:c r="O251" t="n">
        <x:f>O250+IF(AND(A251&lt;&gt;"",COUNTIFS(C251,"&gt;=36526",C251,"&lt;"&amp;TODAY())+COUNTIFS(D251,"&gt;=36526",D251,"&lt;"&amp;TODAY())+COUNTIFS(E251,"&gt;=36526",E251,"&lt;"&amp;TODAY())+COUNTIFS(F251,"&gt;=36526",F251,"&lt;"&amp;TODAY())&gt;0),1,0)</x:f>
        <x:v>0</x:v>
      </x:c>
      <x:c r="P251" t="n">
        <x:f>P250+IF(AND(A251&lt;&gt;"",COUNTIFS(C251,"&gt;=36526",C251,TODAY())+COUNTIFS(D251,"&gt;=36526",D251,TODAY())+COUNTIFS(E251,"&gt;=36526",E251,TODAY())+COUNTIFS(F251,"&gt;=36526",F251,TODAY())&gt;0),1,0)</x:f>
        <x:v>0</x:v>
      </x:c>
      <x:c r="Q251" t="n">
        <x:f>Q250+IF(AND(A251&lt;&gt;"",COUNTIFS(C251,"&gt;"&amp;TODAY(),C251,"&lt;="&amp;TODAY()+30)+COUNTIFS(D251,"&gt;"&amp;TODAY(),D251,"&lt;="&amp;TODAY()+30)+COUNTIFS(E251,"&gt;"&amp;TODAY(),E251,"&lt;="&amp;TODAY()+30)+COUNTIFS(F251,"&gt;"&amp;TODAY(),F251,"&lt;="&amp;TODAY()+30)&gt;0),1,0)</x:f>
        <x:v>0</x:v>
      </x:c>
      <x:c r="R251" t="n">
        <x:f>R250+IF(OR(LEFT(H251,15)="Missing dates; ",LEFT(H251,16)="Add N/A reason; ",H251="Add dates",H251="Add registration",H251="Check date format"),1,0)</x:f>
        <x:v>0</x:v>
      </x:c>
      <x:c r="S251" t="n">
        <x:f>S250+IF(COUNTIFS(C251:F251,"Reviewed N/A")&gt;0,1,0)</x:f>
        <x:v>0</x:v>
      </x:c>
    </x:row>
    <x:row r="252" ht="48" customHeight="1">
      <x:c r="A252" s="52"/>
      <x:c r="B252" s="52"/>
      <x:c r="C252" s="53"/>
      <x:c r="D252" s="53"/>
      <x:c r="E252" s="53"/>
      <x:c r="F252" s="53"/>
      <x:c r="G252" s="52"/>
      <x:c r="H252" s="21" t="str">
        <x:f>IF(COUNTA(A252:G252,I252)=0,"",IF(A252="","Add registration",IF(OR(COUNTA(C252:F252)&gt;COUNT(C252:F252)+COUNTIFS(C252:F252,"Reviewed N/A"),AND(COUNT(C252:F252)&gt;0,OR(MIN(C252:F252)&lt;36526,MAX(C252:F252)&gt;109574))),"Check date format",IF(AND(COUNTIFS(C252:F252,"Reviewed N/A")&gt;0,I252=""),"Add N/A reason; ","")&amp;IF(COUNT(C252:F252)=0,IF(COUNTIFS(C252:F252,"Reviewed N/A")=4,"No applicable dates recorded","Add dates"),IF(COUNT(C252:F252)+COUNTIFS(C252:F252,"Reviewed N/A")&lt;4,"Missing dates; ","")&amp;IF(MIN(C252:F252)&lt;TODAY(),"Overdue: ",IF(MIN(C252:F252)=TODAY(),"Due today: ",IF(MIN(C252:F252)&lt;=TODAY()+30,"Due within 30 days: ","Next: ")))&amp;INDEX($C$8:$F$8,1,MATCH(MIN(C252:F252),C252:F252,0))&amp;" "&amp;TEXT(MIN(C252:F252),"dd mmm yyyy")))))</x:f>
      </x:c>
      <x:c r="I252" s="52"/>
      <x:c r="J252" t="str">
        <x:f>IF(AND(A252&lt;&gt;"",COUNTIFS(C252,"&gt;=36526",C252,"&lt;"&amp;TODAY())+COUNTIFS(D252,"&gt;=36526",D252,"&lt;"&amp;TODAY())+COUNTIFS(E252,"&gt;=36526",E252,"&lt;"&amp;TODAY())+COUNTIFS(F252,"&gt;=36526",F252,"&lt;"&amp;TODAY())&gt;0),O252,"")</x:f>
      </x:c>
      <x:c r="K252" t="str">
        <x:f>IF(AND(A252&lt;&gt;"",COUNTIFS(C252,"&gt;=36526",C252,TODAY())+COUNTIFS(D252,"&gt;=36526",D252,TODAY())+COUNTIFS(E252,"&gt;=36526",E252,TODAY())+COUNTIFS(F252,"&gt;=36526",F252,TODAY())&gt;0),P252,"")</x:f>
      </x:c>
      <x:c r="L252" t="str">
        <x:f>IF(AND(A252&lt;&gt;"",COUNTIFS(C252,"&gt;"&amp;TODAY(),C252,"&lt;="&amp;TODAY()+30)+COUNTIFS(D252,"&gt;"&amp;TODAY(),D252,"&lt;="&amp;TODAY()+30)+COUNTIFS(E252,"&gt;"&amp;TODAY(),E252,"&lt;="&amp;TODAY()+30)+COUNTIFS(F252,"&gt;"&amp;TODAY(),F252,"&lt;="&amp;TODAY()+30)&gt;0),Q252,"")</x:f>
      </x:c>
      <x:c r="M252" t="str">
        <x:f>IF(OR(LEFT(H252,15)="Missing dates; ",LEFT(H252,16)="Add N/A reason; ",H252="Add dates",H252="Add registration",H252="Check date format"),R252,"")</x:f>
      </x:c>
      <x:c r="N252" t="str">
        <x:f>IF(COUNTIFS(C252:F252,"Reviewed N/A")&gt;0,S252,"")</x:f>
      </x:c>
      <x:c r="O252" t="n">
        <x:f>O251+IF(AND(A252&lt;&gt;"",COUNTIFS(C252,"&gt;=36526",C252,"&lt;"&amp;TODAY())+COUNTIFS(D252,"&gt;=36526",D252,"&lt;"&amp;TODAY())+COUNTIFS(E252,"&gt;=36526",E252,"&lt;"&amp;TODAY())+COUNTIFS(F252,"&gt;=36526",F252,"&lt;"&amp;TODAY())&gt;0),1,0)</x:f>
        <x:v>0</x:v>
      </x:c>
      <x:c r="P252" t="n">
        <x:f>P251+IF(AND(A252&lt;&gt;"",COUNTIFS(C252,"&gt;=36526",C252,TODAY())+COUNTIFS(D252,"&gt;=36526",D252,TODAY())+COUNTIFS(E252,"&gt;=36526",E252,TODAY())+COUNTIFS(F252,"&gt;=36526",F252,TODAY())&gt;0),1,0)</x:f>
        <x:v>0</x:v>
      </x:c>
      <x:c r="Q252" t="n">
        <x:f>Q251+IF(AND(A252&lt;&gt;"",COUNTIFS(C252,"&gt;"&amp;TODAY(),C252,"&lt;="&amp;TODAY()+30)+COUNTIFS(D252,"&gt;"&amp;TODAY(),D252,"&lt;="&amp;TODAY()+30)+COUNTIFS(E252,"&gt;"&amp;TODAY(),E252,"&lt;="&amp;TODAY()+30)+COUNTIFS(F252,"&gt;"&amp;TODAY(),F252,"&lt;="&amp;TODAY()+30)&gt;0),1,0)</x:f>
        <x:v>0</x:v>
      </x:c>
      <x:c r="R252" t="n">
        <x:f>R251+IF(OR(LEFT(H252,15)="Missing dates; ",LEFT(H252,16)="Add N/A reason; ",H252="Add dates",H252="Add registration",H252="Check date format"),1,0)</x:f>
        <x:v>0</x:v>
      </x:c>
      <x:c r="S252" t="n">
        <x:f>S251+IF(COUNTIFS(C252:F252,"Reviewed N/A")&gt;0,1,0)</x:f>
        <x:v>0</x:v>
      </x:c>
    </x:row>
    <x:row r="253" ht="48" customHeight="1">
      <x:c r="A253" s="52"/>
      <x:c r="B253" s="52"/>
      <x:c r="C253" s="53"/>
      <x:c r="D253" s="53"/>
      <x:c r="E253" s="53"/>
      <x:c r="F253" s="53"/>
      <x:c r="G253" s="52"/>
      <x:c r="H253" s="21" t="str">
        <x:f>IF(COUNTA(A253:G253,I253)=0,"",IF(A253="","Add registration",IF(OR(COUNTA(C253:F253)&gt;COUNT(C253:F253)+COUNTIFS(C253:F253,"Reviewed N/A"),AND(COUNT(C253:F253)&gt;0,OR(MIN(C253:F253)&lt;36526,MAX(C253:F253)&gt;109574))),"Check date format",IF(AND(COUNTIFS(C253:F253,"Reviewed N/A")&gt;0,I253=""),"Add N/A reason; ","")&amp;IF(COUNT(C253:F253)=0,IF(COUNTIFS(C253:F253,"Reviewed N/A")=4,"No applicable dates recorded","Add dates"),IF(COUNT(C253:F253)+COUNTIFS(C253:F253,"Reviewed N/A")&lt;4,"Missing dates; ","")&amp;IF(MIN(C253:F253)&lt;TODAY(),"Overdue: ",IF(MIN(C253:F253)=TODAY(),"Due today: ",IF(MIN(C253:F253)&lt;=TODAY()+30,"Due within 30 days: ","Next: ")))&amp;INDEX($C$8:$F$8,1,MATCH(MIN(C253:F253),C253:F253,0))&amp;" "&amp;TEXT(MIN(C253:F253),"dd mmm yyyy")))))</x:f>
      </x:c>
      <x:c r="I253" s="52"/>
      <x:c r="J253" t="str">
        <x:f>IF(AND(A253&lt;&gt;"",COUNTIFS(C253,"&gt;=36526",C253,"&lt;"&amp;TODAY())+COUNTIFS(D253,"&gt;=36526",D253,"&lt;"&amp;TODAY())+COUNTIFS(E253,"&gt;=36526",E253,"&lt;"&amp;TODAY())+COUNTIFS(F253,"&gt;=36526",F253,"&lt;"&amp;TODAY())&gt;0),O253,"")</x:f>
      </x:c>
      <x:c r="K253" t="str">
        <x:f>IF(AND(A253&lt;&gt;"",COUNTIFS(C253,"&gt;=36526",C253,TODAY())+COUNTIFS(D253,"&gt;=36526",D253,TODAY())+COUNTIFS(E253,"&gt;=36526",E253,TODAY())+COUNTIFS(F253,"&gt;=36526",F253,TODAY())&gt;0),P253,"")</x:f>
      </x:c>
      <x:c r="L253" t="str">
        <x:f>IF(AND(A253&lt;&gt;"",COUNTIFS(C253,"&gt;"&amp;TODAY(),C253,"&lt;="&amp;TODAY()+30)+COUNTIFS(D253,"&gt;"&amp;TODAY(),D253,"&lt;="&amp;TODAY()+30)+COUNTIFS(E253,"&gt;"&amp;TODAY(),E253,"&lt;="&amp;TODAY()+30)+COUNTIFS(F253,"&gt;"&amp;TODAY(),F253,"&lt;="&amp;TODAY()+30)&gt;0),Q253,"")</x:f>
      </x:c>
      <x:c r="M253" t="str">
        <x:f>IF(OR(LEFT(H253,15)="Missing dates; ",LEFT(H253,16)="Add N/A reason; ",H253="Add dates",H253="Add registration",H253="Check date format"),R253,"")</x:f>
      </x:c>
      <x:c r="N253" t="str">
        <x:f>IF(COUNTIFS(C253:F253,"Reviewed N/A")&gt;0,S253,"")</x:f>
      </x:c>
      <x:c r="O253" t="n">
        <x:f>O252+IF(AND(A253&lt;&gt;"",COUNTIFS(C253,"&gt;=36526",C253,"&lt;"&amp;TODAY())+COUNTIFS(D253,"&gt;=36526",D253,"&lt;"&amp;TODAY())+COUNTIFS(E253,"&gt;=36526",E253,"&lt;"&amp;TODAY())+COUNTIFS(F253,"&gt;=36526",F253,"&lt;"&amp;TODAY())&gt;0),1,0)</x:f>
        <x:v>0</x:v>
      </x:c>
      <x:c r="P253" t="n">
        <x:f>P252+IF(AND(A253&lt;&gt;"",COUNTIFS(C253,"&gt;=36526",C253,TODAY())+COUNTIFS(D253,"&gt;=36526",D253,TODAY())+COUNTIFS(E253,"&gt;=36526",E253,TODAY())+COUNTIFS(F253,"&gt;=36526",F253,TODAY())&gt;0),1,0)</x:f>
        <x:v>0</x:v>
      </x:c>
      <x:c r="Q253" t="n">
        <x:f>Q252+IF(AND(A253&lt;&gt;"",COUNTIFS(C253,"&gt;"&amp;TODAY(),C253,"&lt;="&amp;TODAY()+30)+COUNTIFS(D253,"&gt;"&amp;TODAY(),D253,"&lt;="&amp;TODAY()+30)+COUNTIFS(E253,"&gt;"&amp;TODAY(),E253,"&lt;="&amp;TODAY()+30)+COUNTIFS(F253,"&gt;"&amp;TODAY(),F253,"&lt;="&amp;TODAY()+30)&gt;0),1,0)</x:f>
        <x:v>0</x:v>
      </x:c>
      <x:c r="R253" t="n">
        <x:f>R252+IF(OR(LEFT(H253,15)="Missing dates; ",LEFT(H253,16)="Add N/A reason; ",H253="Add dates",H253="Add registration",H253="Check date format"),1,0)</x:f>
        <x:v>0</x:v>
      </x:c>
      <x:c r="S253" t="n">
        <x:f>S252+IF(COUNTIFS(C253:F253,"Reviewed N/A")&gt;0,1,0)</x:f>
        <x:v>0</x:v>
      </x:c>
    </x:row>
    <x:row r="254" ht="48" customHeight="1">
      <x:c r="A254" s="52"/>
      <x:c r="B254" s="52"/>
      <x:c r="C254" s="53"/>
      <x:c r="D254" s="53"/>
      <x:c r="E254" s="53"/>
      <x:c r="F254" s="53"/>
      <x:c r="G254" s="52"/>
      <x:c r="H254" s="21" t="str">
        <x:f>IF(COUNTA(A254:G254,I254)=0,"",IF(A254="","Add registration",IF(OR(COUNTA(C254:F254)&gt;COUNT(C254:F254)+COUNTIFS(C254:F254,"Reviewed N/A"),AND(COUNT(C254:F254)&gt;0,OR(MIN(C254:F254)&lt;36526,MAX(C254:F254)&gt;109574))),"Check date format",IF(AND(COUNTIFS(C254:F254,"Reviewed N/A")&gt;0,I254=""),"Add N/A reason; ","")&amp;IF(COUNT(C254:F254)=0,IF(COUNTIFS(C254:F254,"Reviewed N/A")=4,"No applicable dates recorded","Add dates"),IF(COUNT(C254:F254)+COUNTIFS(C254:F254,"Reviewed N/A")&lt;4,"Missing dates; ","")&amp;IF(MIN(C254:F254)&lt;TODAY(),"Overdue: ",IF(MIN(C254:F254)=TODAY(),"Due today: ",IF(MIN(C254:F254)&lt;=TODAY()+30,"Due within 30 days: ","Next: ")))&amp;INDEX($C$8:$F$8,1,MATCH(MIN(C254:F254),C254:F254,0))&amp;" "&amp;TEXT(MIN(C254:F254),"dd mmm yyyy")))))</x:f>
      </x:c>
      <x:c r="I254" s="52"/>
      <x:c r="J254" t="str">
        <x:f>IF(AND(A254&lt;&gt;"",COUNTIFS(C254,"&gt;=36526",C254,"&lt;"&amp;TODAY())+COUNTIFS(D254,"&gt;=36526",D254,"&lt;"&amp;TODAY())+COUNTIFS(E254,"&gt;=36526",E254,"&lt;"&amp;TODAY())+COUNTIFS(F254,"&gt;=36526",F254,"&lt;"&amp;TODAY())&gt;0),O254,"")</x:f>
      </x:c>
      <x:c r="K254" t="str">
        <x:f>IF(AND(A254&lt;&gt;"",COUNTIFS(C254,"&gt;=36526",C254,TODAY())+COUNTIFS(D254,"&gt;=36526",D254,TODAY())+COUNTIFS(E254,"&gt;=36526",E254,TODAY())+COUNTIFS(F254,"&gt;=36526",F254,TODAY())&gt;0),P254,"")</x:f>
      </x:c>
      <x:c r="L254" t="str">
        <x:f>IF(AND(A254&lt;&gt;"",COUNTIFS(C254,"&gt;"&amp;TODAY(),C254,"&lt;="&amp;TODAY()+30)+COUNTIFS(D254,"&gt;"&amp;TODAY(),D254,"&lt;="&amp;TODAY()+30)+COUNTIFS(E254,"&gt;"&amp;TODAY(),E254,"&lt;="&amp;TODAY()+30)+COUNTIFS(F254,"&gt;"&amp;TODAY(),F254,"&lt;="&amp;TODAY()+30)&gt;0),Q254,"")</x:f>
      </x:c>
      <x:c r="M254" t="str">
        <x:f>IF(OR(LEFT(H254,15)="Missing dates; ",LEFT(H254,16)="Add N/A reason; ",H254="Add dates",H254="Add registration",H254="Check date format"),R254,"")</x:f>
      </x:c>
      <x:c r="N254" t="str">
        <x:f>IF(COUNTIFS(C254:F254,"Reviewed N/A")&gt;0,S254,"")</x:f>
      </x:c>
      <x:c r="O254" t="n">
        <x:f>O253+IF(AND(A254&lt;&gt;"",COUNTIFS(C254,"&gt;=36526",C254,"&lt;"&amp;TODAY())+COUNTIFS(D254,"&gt;=36526",D254,"&lt;"&amp;TODAY())+COUNTIFS(E254,"&gt;=36526",E254,"&lt;"&amp;TODAY())+COUNTIFS(F254,"&gt;=36526",F254,"&lt;"&amp;TODAY())&gt;0),1,0)</x:f>
        <x:v>0</x:v>
      </x:c>
      <x:c r="P254" t="n">
        <x:f>P253+IF(AND(A254&lt;&gt;"",COUNTIFS(C254,"&gt;=36526",C254,TODAY())+COUNTIFS(D254,"&gt;=36526",D254,TODAY())+COUNTIFS(E254,"&gt;=36526",E254,TODAY())+COUNTIFS(F254,"&gt;=36526",F254,TODAY())&gt;0),1,0)</x:f>
        <x:v>0</x:v>
      </x:c>
      <x:c r="Q254" t="n">
        <x:f>Q253+IF(AND(A254&lt;&gt;"",COUNTIFS(C254,"&gt;"&amp;TODAY(),C254,"&lt;="&amp;TODAY()+30)+COUNTIFS(D254,"&gt;"&amp;TODAY(),D254,"&lt;="&amp;TODAY()+30)+COUNTIFS(E254,"&gt;"&amp;TODAY(),E254,"&lt;="&amp;TODAY()+30)+COUNTIFS(F254,"&gt;"&amp;TODAY(),F254,"&lt;="&amp;TODAY()+30)&gt;0),1,0)</x:f>
        <x:v>0</x:v>
      </x:c>
      <x:c r="R254" t="n">
        <x:f>R253+IF(OR(LEFT(H254,15)="Missing dates; ",LEFT(H254,16)="Add N/A reason; ",H254="Add dates",H254="Add registration",H254="Check date format"),1,0)</x:f>
        <x:v>0</x:v>
      </x:c>
      <x:c r="S254" t="n">
        <x:f>S253+IF(COUNTIFS(C254:F254,"Reviewed N/A")&gt;0,1,0)</x:f>
        <x:v>0</x:v>
      </x:c>
    </x:row>
    <x:row r="255" ht="48" customHeight="1">
      <x:c r="A255" s="52"/>
      <x:c r="B255" s="52"/>
      <x:c r="C255" s="53"/>
      <x:c r="D255" s="53"/>
      <x:c r="E255" s="53"/>
      <x:c r="F255" s="53"/>
      <x:c r="G255" s="52"/>
      <x:c r="H255" s="21" t="str">
        <x:f>IF(COUNTA(A255:G255,I255)=0,"",IF(A255="","Add registration",IF(OR(COUNTA(C255:F255)&gt;COUNT(C255:F255)+COUNTIFS(C255:F255,"Reviewed N/A"),AND(COUNT(C255:F255)&gt;0,OR(MIN(C255:F255)&lt;36526,MAX(C255:F255)&gt;109574))),"Check date format",IF(AND(COUNTIFS(C255:F255,"Reviewed N/A")&gt;0,I255=""),"Add N/A reason; ","")&amp;IF(COUNT(C255:F255)=0,IF(COUNTIFS(C255:F255,"Reviewed N/A")=4,"No applicable dates recorded","Add dates"),IF(COUNT(C255:F255)+COUNTIFS(C255:F255,"Reviewed N/A")&lt;4,"Missing dates; ","")&amp;IF(MIN(C255:F255)&lt;TODAY(),"Overdue: ",IF(MIN(C255:F255)=TODAY(),"Due today: ",IF(MIN(C255:F255)&lt;=TODAY()+30,"Due within 30 days: ","Next: ")))&amp;INDEX($C$8:$F$8,1,MATCH(MIN(C255:F255),C255:F255,0))&amp;" "&amp;TEXT(MIN(C255:F255),"dd mmm yyyy")))))</x:f>
      </x:c>
      <x:c r="I255" s="52"/>
      <x:c r="J255" t="str">
        <x:f>IF(AND(A255&lt;&gt;"",COUNTIFS(C255,"&gt;=36526",C255,"&lt;"&amp;TODAY())+COUNTIFS(D255,"&gt;=36526",D255,"&lt;"&amp;TODAY())+COUNTIFS(E255,"&gt;=36526",E255,"&lt;"&amp;TODAY())+COUNTIFS(F255,"&gt;=36526",F255,"&lt;"&amp;TODAY())&gt;0),O255,"")</x:f>
      </x:c>
      <x:c r="K255" t="str">
        <x:f>IF(AND(A255&lt;&gt;"",COUNTIFS(C255,"&gt;=36526",C255,TODAY())+COUNTIFS(D255,"&gt;=36526",D255,TODAY())+COUNTIFS(E255,"&gt;=36526",E255,TODAY())+COUNTIFS(F255,"&gt;=36526",F255,TODAY())&gt;0),P255,"")</x:f>
      </x:c>
      <x:c r="L255" t="str">
        <x:f>IF(AND(A255&lt;&gt;"",COUNTIFS(C255,"&gt;"&amp;TODAY(),C255,"&lt;="&amp;TODAY()+30)+COUNTIFS(D255,"&gt;"&amp;TODAY(),D255,"&lt;="&amp;TODAY()+30)+COUNTIFS(E255,"&gt;"&amp;TODAY(),E255,"&lt;="&amp;TODAY()+30)+COUNTIFS(F255,"&gt;"&amp;TODAY(),F255,"&lt;="&amp;TODAY()+30)&gt;0),Q255,"")</x:f>
      </x:c>
      <x:c r="M255" t="str">
        <x:f>IF(OR(LEFT(H255,15)="Missing dates; ",LEFT(H255,16)="Add N/A reason; ",H255="Add dates",H255="Add registration",H255="Check date format"),R255,"")</x:f>
      </x:c>
      <x:c r="N255" t="str">
        <x:f>IF(COUNTIFS(C255:F255,"Reviewed N/A")&gt;0,S255,"")</x:f>
      </x:c>
      <x:c r="O255" t="n">
        <x:f>O254+IF(AND(A255&lt;&gt;"",COUNTIFS(C255,"&gt;=36526",C255,"&lt;"&amp;TODAY())+COUNTIFS(D255,"&gt;=36526",D255,"&lt;"&amp;TODAY())+COUNTIFS(E255,"&gt;=36526",E255,"&lt;"&amp;TODAY())+COUNTIFS(F255,"&gt;=36526",F255,"&lt;"&amp;TODAY())&gt;0),1,0)</x:f>
        <x:v>0</x:v>
      </x:c>
      <x:c r="P255" t="n">
        <x:f>P254+IF(AND(A255&lt;&gt;"",COUNTIFS(C255,"&gt;=36526",C255,TODAY())+COUNTIFS(D255,"&gt;=36526",D255,TODAY())+COUNTIFS(E255,"&gt;=36526",E255,TODAY())+COUNTIFS(F255,"&gt;=36526",F255,TODAY())&gt;0),1,0)</x:f>
        <x:v>0</x:v>
      </x:c>
      <x:c r="Q255" t="n">
        <x:f>Q254+IF(AND(A255&lt;&gt;"",COUNTIFS(C255,"&gt;"&amp;TODAY(),C255,"&lt;="&amp;TODAY()+30)+COUNTIFS(D255,"&gt;"&amp;TODAY(),D255,"&lt;="&amp;TODAY()+30)+COUNTIFS(E255,"&gt;"&amp;TODAY(),E255,"&lt;="&amp;TODAY()+30)+COUNTIFS(F255,"&gt;"&amp;TODAY(),F255,"&lt;="&amp;TODAY()+30)&gt;0),1,0)</x:f>
        <x:v>0</x:v>
      </x:c>
      <x:c r="R255" t="n">
        <x:f>R254+IF(OR(LEFT(H255,15)="Missing dates; ",LEFT(H255,16)="Add N/A reason; ",H255="Add dates",H255="Add registration",H255="Check date format"),1,0)</x:f>
        <x:v>0</x:v>
      </x:c>
      <x:c r="S255" t="n">
        <x:f>S254+IF(COUNTIFS(C255:F255,"Reviewed N/A")&gt;0,1,0)</x:f>
        <x:v>0</x:v>
      </x:c>
    </x:row>
    <x:row r="256" ht="48" customHeight="1">
      <x:c r="A256" s="52"/>
      <x:c r="B256" s="52"/>
      <x:c r="C256" s="53"/>
      <x:c r="D256" s="53"/>
      <x:c r="E256" s="53"/>
      <x:c r="F256" s="53"/>
      <x:c r="G256" s="52"/>
      <x:c r="H256" s="21" t="str">
        <x:f>IF(COUNTA(A256:G256,I256)=0,"",IF(A256="","Add registration",IF(OR(COUNTA(C256:F256)&gt;COUNT(C256:F256)+COUNTIFS(C256:F256,"Reviewed N/A"),AND(COUNT(C256:F256)&gt;0,OR(MIN(C256:F256)&lt;36526,MAX(C256:F256)&gt;109574))),"Check date format",IF(AND(COUNTIFS(C256:F256,"Reviewed N/A")&gt;0,I256=""),"Add N/A reason; ","")&amp;IF(COUNT(C256:F256)=0,IF(COUNTIFS(C256:F256,"Reviewed N/A")=4,"No applicable dates recorded","Add dates"),IF(COUNT(C256:F256)+COUNTIFS(C256:F256,"Reviewed N/A")&lt;4,"Missing dates; ","")&amp;IF(MIN(C256:F256)&lt;TODAY(),"Overdue: ",IF(MIN(C256:F256)=TODAY(),"Due today: ",IF(MIN(C256:F256)&lt;=TODAY()+30,"Due within 30 days: ","Next: ")))&amp;INDEX($C$8:$F$8,1,MATCH(MIN(C256:F256),C256:F256,0))&amp;" "&amp;TEXT(MIN(C256:F256),"dd mmm yyyy")))))</x:f>
      </x:c>
      <x:c r="I256" s="52"/>
      <x:c r="J256" t="str">
        <x:f>IF(AND(A256&lt;&gt;"",COUNTIFS(C256,"&gt;=36526",C256,"&lt;"&amp;TODAY())+COUNTIFS(D256,"&gt;=36526",D256,"&lt;"&amp;TODAY())+COUNTIFS(E256,"&gt;=36526",E256,"&lt;"&amp;TODAY())+COUNTIFS(F256,"&gt;=36526",F256,"&lt;"&amp;TODAY())&gt;0),O256,"")</x:f>
      </x:c>
      <x:c r="K256" t="str">
        <x:f>IF(AND(A256&lt;&gt;"",COUNTIFS(C256,"&gt;=36526",C256,TODAY())+COUNTIFS(D256,"&gt;=36526",D256,TODAY())+COUNTIFS(E256,"&gt;=36526",E256,TODAY())+COUNTIFS(F256,"&gt;=36526",F256,TODAY())&gt;0),P256,"")</x:f>
      </x:c>
      <x:c r="L256" t="str">
        <x:f>IF(AND(A256&lt;&gt;"",COUNTIFS(C256,"&gt;"&amp;TODAY(),C256,"&lt;="&amp;TODAY()+30)+COUNTIFS(D256,"&gt;"&amp;TODAY(),D256,"&lt;="&amp;TODAY()+30)+COUNTIFS(E256,"&gt;"&amp;TODAY(),E256,"&lt;="&amp;TODAY()+30)+COUNTIFS(F256,"&gt;"&amp;TODAY(),F256,"&lt;="&amp;TODAY()+30)&gt;0),Q256,"")</x:f>
      </x:c>
      <x:c r="M256" t="str">
        <x:f>IF(OR(LEFT(H256,15)="Missing dates; ",LEFT(H256,16)="Add N/A reason; ",H256="Add dates",H256="Add registration",H256="Check date format"),R256,"")</x:f>
      </x:c>
      <x:c r="N256" t="str">
        <x:f>IF(COUNTIFS(C256:F256,"Reviewed N/A")&gt;0,S256,"")</x:f>
      </x:c>
      <x:c r="O256" t="n">
        <x:f>O255+IF(AND(A256&lt;&gt;"",COUNTIFS(C256,"&gt;=36526",C256,"&lt;"&amp;TODAY())+COUNTIFS(D256,"&gt;=36526",D256,"&lt;"&amp;TODAY())+COUNTIFS(E256,"&gt;=36526",E256,"&lt;"&amp;TODAY())+COUNTIFS(F256,"&gt;=36526",F256,"&lt;"&amp;TODAY())&gt;0),1,0)</x:f>
        <x:v>0</x:v>
      </x:c>
      <x:c r="P256" t="n">
        <x:f>P255+IF(AND(A256&lt;&gt;"",COUNTIFS(C256,"&gt;=36526",C256,TODAY())+COUNTIFS(D256,"&gt;=36526",D256,TODAY())+COUNTIFS(E256,"&gt;=36526",E256,TODAY())+COUNTIFS(F256,"&gt;=36526",F256,TODAY())&gt;0),1,0)</x:f>
        <x:v>0</x:v>
      </x:c>
      <x:c r="Q256" t="n">
        <x:f>Q255+IF(AND(A256&lt;&gt;"",COUNTIFS(C256,"&gt;"&amp;TODAY(),C256,"&lt;="&amp;TODAY()+30)+COUNTIFS(D256,"&gt;"&amp;TODAY(),D256,"&lt;="&amp;TODAY()+30)+COUNTIFS(E256,"&gt;"&amp;TODAY(),E256,"&lt;="&amp;TODAY()+30)+COUNTIFS(F256,"&gt;"&amp;TODAY(),F256,"&lt;="&amp;TODAY()+30)&gt;0),1,0)</x:f>
        <x:v>0</x:v>
      </x:c>
      <x:c r="R256" t="n">
        <x:f>R255+IF(OR(LEFT(H256,15)="Missing dates; ",LEFT(H256,16)="Add N/A reason; ",H256="Add dates",H256="Add registration",H256="Check date format"),1,0)</x:f>
        <x:v>0</x:v>
      </x:c>
      <x:c r="S256" t="n">
        <x:f>S255+IF(COUNTIFS(C256:F256,"Reviewed N/A")&gt;0,1,0)</x:f>
        <x:v>0</x:v>
      </x:c>
    </x:row>
    <x:row r="257" ht="48" customHeight="1">
      <x:c r="A257" s="52"/>
      <x:c r="B257" s="52"/>
      <x:c r="C257" s="53"/>
      <x:c r="D257" s="53"/>
      <x:c r="E257" s="53"/>
      <x:c r="F257" s="53"/>
      <x:c r="G257" s="52"/>
      <x:c r="H257" s="21" t="str">
        <x:f>IF(COUNTA(A257:G257,I257)=0,"",IF(A257="","Add registration",IF(OR(COUNTA(C257:F257)&gt;COUNT(C257:F257)+COUNTIFS(C257:F257,"Reviewed N/A"),AND(COUNT(C257:F257)&gt;0,OR(MIN(C257:F257)&lt;36526,MAX(C257:F257)&gt;109574))),"Check date format",IF(AND(COUNTIFS(C257:F257,"Reviewed N/A")&gt;0,I257=""),"Add N/A reason; ","")&amp;IF(COUNT(C257:F257)=0,IF(COUNTIFS(C257:F257,"Reviewed N/A")=4,"No applicable dates recorded","Add dates"),IF(COUNT(C257:F257)+COUNTIFS(C257:F257,"Reviewed N/A")&lt;4,"Missing dates; ","")&amp;IF(MIN(C257:F257)&lt;TODAY(),"Overdue: ",IF(MIN(C257:F257)=TODAY(),"Due today: ",IF(MIN(C257:F257)&lt;=TODAY()+30,"Due within 30 days: ","Next: ")))&amp;INDEX($C$8:$F$8,1,MATCH(MIN(C257:F257),C257:F257,0))&amp;" "&amp;TEXT(MIN(C257:F257),"dd mmm yyyy")))))</x:f>
      </x:c>
      <x:c r="I257" s="52"/>
      <x:c r="J257" t="str">
        <x:f>IF(AND(A257&lt;&gt;"",COUNTIFS(C257,"&gt;=36526",C257,"&lt;"&amp;TODAY())+COUNTIFS(D257,"&gt;=36526",D257,"&lt;"&amp;TODAY())+COUNTIFS(E257,"&gt;=36526",E257,"&lt;"&amp;TODAY())+COUNTIFS(F257,"&gt;=36526",F257,"&lt;"&amp;TODAY())&gt;0),O257,"")</x:f>
      </x:c>
      <x:c r="K257" t="str">
        <x:f>IF(AND(A257&lt;&gt;"",COUNTIFS(C257,"&gt;=36526",C257,TODAY())+COUNTIFS(D257,"&gt;=36526",D257,TODAY())+COUNTIFS(E257,"&gt;=36526",E257,TODAY())+COUNTIFS(F257,"&gt;=36526",F257,TODAY())&gt;0),P257,"")</x:f>
      </x:c>
      <x:c r="L257" t="str">
        <x:f>IF(AND(A257&lt;&gt;"",COUNTIFS(C257,"&gt;"&amp;TODAY(),C257,"&lt;="&amp;TODAY()+30)+COUNTIFS(D257,"&gt;"&amp;TODAY(),D257,"&lt;="&amp;TODAY()+30)+COUNTIFS(E257,"&gt;"&amp;TODAY(),E257,"&lt;="&amp;TODAY()+30)+COUNTIFS(F257,"&gt;"&amp;TODAY(),F257,"&lt;="&amp;TODAY()+30)&gt;0),Q257,"")</x:f>
      </x:c>
      <x:c r="M257" t="str">
        <x:f>IF(OR(LEFT(H257,15)="Missing dates; ",LEFT(H257,16)="Add N/A reason; ",H257="Add dates",H257="Add registration",H257="Check date format"),R257,"")</x:f>
      </x:c>
      <x:c r="N257" t="str">
        <x:f>IF(COUNTIFS(C257:F257,"Reviewed N/A")&gt;0,S257,"")</x:f>
      </x:c>
      <x:c r="O257" t="n">
        <x:f>O256+IF(AND(A257&lt;&gt;"",COUNTIFS(C257,"&gt;=36526",C257,"&lt;"&amp;TODAY())+COUNTIFS(D257,"&gt;=36526",D257,"&lt;"&amp;TODAY())+COUNTIFS(E257,"&gt;=36526",E257,"&lt;"&amp;TODAY())+COUNTIFS(F257,"&gt;=36526",F257,"&lt;"&amp;TODAY())&gt;0),1,0)</x:f>
        <x:v>0</x:v>
      </x:c>
      <x:c r="P257" t="n">
        <x:f>P256+IF(AND(A257&lt;&gt;"",COUNTIFS(C257,"&gt;=36526",C257,TODAY())+COUNTIFS(D257,"&gt;=36526",D257,TODAY())+COUNTIFS(E257,"&gt;=36526",E257,TODAY())+COUNTIFS(F257,"&gt;=36526",F257,TODAY())&gt;0),1,0)</x:f>
        <x:v>0</x:v>
      </x:c>
      <x:c r="Q257" t="n">
        <x:f>Q256+IF(AND(A257&lt;&gt;"",COUNTIFS(C257,"&gt;"&amp;TODAY(),C257,"&lt;="&amp;TODAY()+30)+COUNTIFS(D257,"&gt;"&amp;TODAY(),D257,"&lt;="&amp;TODAY()+30)+COUNTIFS(E257,"&gt;"&amp;TODAY(),E257,"&lt;="&amp;TODAY()+30)+COUNTIFS(F257,"&gt;"&amp;TODAY(),F257,"&lt;="&amp;TODAY()+30)&gt;0),1,0)</x:f>
        <x:v>0</x:v>
      </x:c>
      <x:c r="R257" t="n">
        <x:f>R256+IF(OR(LEFT(H257,15)="Missing dates; ",LEFT(H257,16)="Add N/A reason; ",H257="Add dates",H257="Add registration",H257="Check date format"),1,0)</x:f>
        <x:v>0</x:v>
      </x:c>
      <x:c r="S257" t="n">
        <x:f>S256+IF(COUNTIFS(C257:F257,"Reviewed N/A")&gt;0,1,0)</x:f>
        <x:v>0</x:v>
      </x:c>
    </x:row>
    <x:row r="258" ht="48" customHeight="1">
      <x:c r="A258" s="52"/>
      <x:c r="B258" s="52"/>
      <x:c r="C258" s="53"/>
      <x:c r="D258" s="53"/>
      <x:c r="E258" s="53"/>
      <x:c r="F258" s="53"/>
      <x:c r="G258" s="52"/>
      <x:c r="H258" s="21" t="str">
        <x:f>IF(COUNTA(A258:G258,I258)=0,"",IF(A258="","Add registration",IF(OR(COUNTA(C258:F258)&gt;COUNT(C258:F258)+COUNTIFS(C258:F258,"Reviewed N/A"),AND(COUNT(C258:F258)&gt;0,OR(MIN(C258:F258)&lt;36526,MAX(C258:F258)&gt;109574))),"Check date format",IF(AND(COUNTIFS(C258:F258,"Reviewed N/A")&gt;0,I258=""),"Add N/A reason; ","")&amp;IF(COUNT(C258:F258)=0,IF(COUNTIFS(C258:F258,"Reviewed N/A")=4,"No applicable dates recorded","Add dates"),IF(COUNT(C258:F258)+COUNTIFS(C258:F258,"Reviewed N/A")&lt;4,"Missing dates; ","")&amp;IF(MIN(C258:F258)&lt;TODAY(),"Overdue: ",IF(MIN(C258:F258)=TODAY(),"Due today: ",IF(MIN(C258:F258)&lt;=TODAY()+30,"Due within 30 days: ","Next: ")))&amp;INDEX($C$8:$F$8,1,MATCH(MIN(C258:F258),C258:F258,0))&amp;" "&amp;TEXT(MIN(C258:F258),"dd mmm yyyy")))))</x:f>
      </x:c>
      <x:c r="I258" s="52"/>
      <x:c r="J258" t="str">
        <x:f>IF(AND(A258&lt;&gt;"",COUNTIFS(C258,"&gt;=36526",C258,"&lt;"&amp;TODAY())+COUNTIFS(D258,"&gt;=36526",D258,"&lt;"&amp;TODAY())+COUNTIFS(E258,"&gt;=36526",E258,"&lt;"&amp;TODAY())+COUNTIFS(F258,"&gt;=36526",F258,"&lt;"&amp;TODAY())&gt;0),O258,"")</x:f>
      </x:c>
      <x:c r="K258" t="str">
        <x:f>IF(AND(A258&lt;&gt;"",COUNTIFS(C258,"&gt;=36526",C258,TODAY())+COUNTIFS(D258,"&gt;=36526",D258,TODAY())+COUNTIFS(E258,"&gt;=36526",E258,TODAY())+COUNTIFS(F258,"&gt;=36526",F258,TODAY())&gt;0),P258,"")</x:f>
      </x:c>
      <x:c r="L258" t="str">
        <x:f>IF(AND(A258&lt;&gt;"",COUNTIFS(C258,"&gt;"&amp;TODAY(),C258,"&lt;="&amp;TODAY()+30)+COUNTIFS(D258,"&gt;"&amp;TODAY(),D258,"&lt;="&amp;TODAY()+30)+COUNTIFS(E258,"&gt;"&amp;TODAY(),E258,"&lt;="&amp;TODAY()+30)+COUNTIFS(F258,"&gt;"&amp;TODAY(),F258,"&lt;="&amp;TODAY()+30)&gt;0),Q258,"")</x:f>
      </x:c>
      <x:c r="M258" t="str">
        <x:f>IF(OR(LEFT(H258,15)="Missing dates; ",LEFT(H258,16)="Add N/A reason; ",H258="Add dates",H258="Add registration",H258="Check date format"),R258,"")</x:f>
      </x:c>
      <x:c r="N258" t="str">
        <x:f>IF(COUNTIFS(C258:F258,"Reviewed N/A")&gt;0,S258,"")</x:f>
      </x:c>
      <x:c r="O258" t="n">
        <x:f>O257+IF(AND(A258&lt;&gt;"",COUNTIFS(C258,"&gt;=36526",C258,"&lt;"&amp;TODAY())+COUNTIFS(D258,"&gt;=36526",D258,"&lt;"&amp;TODAY())+COUNTIFS(E258,"&gt;=36526",E258,"&lt;"&amp;TODAY())+COUNTIFS(F258,"&gt;=36526",F258,"&lt;"&amp;TODAY())&gt;0),1,0)</x:f>
        <x:v>0</x:v>
      </x:c>
      <x:c r="P258" t="n">
        <x:f>P257+IF(AND(A258&lt;&gt;"",COUNTIFS(C258,"&gt;=36526",C258,TODAY())+COUNTIFS(D258,"&gt;=36526",D258,TODAY())+COUNTIFS(E258,"&gt;=36526",E258,TODAY())+COUNTIFS(F258,"&gt;=36526",F258,TODAY())&gt;0),1,0)</x:f>
        <x:v>0</x:v>
      </x:c>
      <x:c r="Q258" t="n">
        <x:f>Q257+IF(AND(A258&lt;&gt;"",COUNTIFS(C258,"&gt;"&amp;TODAY(),C258,"&lt;="&amp;TODAY()+30)+COUNTIFS(D258,"&gt;"&amp;TODAY(),D258,"&lt;="&amp;TODAY()+30)+COUNTIFS(E258,"&gt;"&amp;TODAY(),E258,"&lt;="&amp;TODAY()+30)+COUNTIFS(F258,"&gt;"&amp;TODAY(),F258,"&lt;="&amp;TODAY()+30)&gt;0),1,0)</x:f>
        <x:v>0</x:v>
      </x:c>
      <x:c r="R258" t="n">
        <x:f>R257+IF(OR(LEFT(H258,15)="Missing dates; ",LEFT(H258,16)="Add N/A reason; ",H258="Add dates",H258="Add registration",H258="Check date format"),1,0)</x:f>
        <x:v>0</x:v>
      </x:c>
      <x:c r="S258" t="n">
        <x:f>S257+IF(COUNTIFS(C258:F258,"Reviewed N/A")&gt;0,1,0)</x:f>
        <x:v>0</x:v>
      </x:c>
    </x:row>
    <x:row r="259" ht="48" customHeight="1">
      <x:c r="A259" s="52"/>
      <x:c r="B259" s="52"/>
      <x:c r="C259" s="53"/>
      <x:c r="D259" s="53"/>
      <x:c r="E259" s="53"/>
      <x:c r="F259" s="53"/>
      <x:c r="G259" s="52"/>
      <x:c r="H259" s="21" t="str">
        <x:f>IF(COUNTA(A259:G259,I259)=0,"",IF(A259="","Add registration",IF(OR(COUNTA(C259:F259)&gt;COUNT(C259:F259)+COUNTIFS(C259:F259,"Reviewed N/A"),AND(COUNT(C259:F259)&gt;0,OR(MIN(C259:F259)&lt;36526,MAX(C259:F259)&gt;109574))),"Check date format",IF(AND(COUNTIFS(C259:F259,"Reviewed N/A")&gt;0,I259=""),"Add N/A reason; ","")&amp;IF(COUNT(C259:F259)=0,IF(COUNTIFS(C259:F259,"Reviewed N/A")=4,"No applicable dates recorded","Add dates"),IF(COUNT(C259:F259)+COUNTIFS(C259:F259,"Reviewed N/A")&lt;4,"Missing dates; ","")&amp;IF(MIN(C259:F259)&lt;TODAY(),"Overdue: ",IF(MIN(C259:F259)=TODAY(),"Due today: ",IF(MIN(C259:F259)&lt;=TODAY()+30,"Due within 30 days: ","Next: ")))&amp;INDEX($C$8:$F$8,1,MATCH(MIN(C259:F259),C259:F259,0))&amp;" "&amp;TEXT(MIN(C259:F259),"dd mmm yyyy")))))</x:f>
      </x:c>
      <x:c r="I259" s="52"/>
      <x:c r="J259" t="str">
        <x:f>IF(AND(A259&lt;&gt;"",COUNTIFS(C259,"&gt;=36526",C259,"&lt;"&amp;TODAY())+COUNTIFS(D259,"&gt;=36526",D259,"&lt;"&amp;TODAY())+COUNTIFS(E259,"&gt;=36526",E259,"&lt;"&amp;TODAY())+COUNTIFS(F259,"&gt;=36526",F259,"&lt;"&amp;TODAY())&gt;0),O259,"")</x:f>
      </x:c>
      <x:c r="K259" t="str">
        <x:f>IF(AND(A259&lt;&gt;"",COUNTIFS(C259,"&gt;=36526",C259,TODAY())+COUNTIFS(D259,"&gt;=36526",D259,TODAY())+COUNTIFS(E259,"&gt;=36526",E259,TODAY())+COUNTIFS(F259,"&gt;=36526",F259,TODAY())&gt;0),P259,"")</x:f>
      </x:c>
      <x:c r="L259" t="str">
        <x:f>IF(AND(A259&lt;&gt;"",COUNTIFS(C259,"&gt;"&amp;TODAY(),C259,"&lt;="&amp;TODAY()+30)+COUNTIFS(D259,"&gt;"&amp;TODAY(),D259,"&lt;="&amp;TODAY()+30)+COUNTIFS(E259,"&gt;"&amp;TODAY(),E259,"&lt;="&amp;TODAY()+30)+COUNTIFS(F259,"&gt;"&amp;TODAY(),F259,"&lt;="&amp;TODAY()+30)&gt;0),Q259,"")</x:f>
      </x:c>
      <x:c r="M259" t="str">
        <x:f>IF(OR(LEFT(H259,15)="Missing dates; ",LEFT(H259,16)="Add N/A reason; ",H259="Add dates",H259="Add registration",H259="Check date format"),R259,"")</x:f>
      </x:c>
      <x:c r="N259" t="str">
        <x:f>IF(COUNTIFS(C259:F259,"Reviewed N/A")&gt;0,S259,"")</x:f>
      </x:c>
      <x:c r="O259" t="n">
        <x:f>O258+IF(AND(A259&lt;&gt;"",COUNTIFS(C259,"&gt;=36526",C259,"&lt;"&amp;TODAY())+COUNTIFS(D259,"&gt;=36526",D259,"&lt;"&amp;TODAY())+COUNTIFS(E259,"&gt;=36526",E259,"&lt;"&amp;TODAY())+COUNTIFS(F259,"&gt;=36526",F259,"&lt;"&amp;TODAY())&gt;0),1,0)</x:f>
        <x:v>0</x:v>
      </x:c>
      <x:c r="P259" t="n">
        <x:f>P258+IF(AND(A259&lt;&gt;"",COUNTIFS(C259,"&gt;=36526",C259,TODAY())+COUNTIFS(D259,"&gt;=36526",D259,TODAY())+COUNTIFS(E259,"&gt;=36526",E259,TODAY())+COUNTIFS(F259,"&gt;=36526",F259,TODAY())&gt;0),1,0)</x:f>
        <x:v>0</x:v>
      </x:c>
      <x:c r="Q259" t="n">
        <x:f>Q258+IF(AND(A259&lt;&gt;"",COUNTIFS(C259,"&gt;"&amp;TODAY(),C259,"&lt;="&amp;TODAY()+30)+COUNTIFS(D259,"&gt;"&amp;TODAY(),D259,"&lt;="&amp;TODAY()+30)+COUNTIFS(E259,"&gt;"&amp;TODAY(),E259,"&lt;="&amp;TODAY()+30)+COUNTIFS(F259,"&gt;"&amp;TODAY(),F259,"&lt;="&amp;TODAY()+30)&gt;0),1,0)</x:f>
        <x:v>0</x:v>
      </x:c>
      <x:c r="R259" t="n">
        <x:f>R258+IF(OR(LEFT(H259,15)="Missing dates; ",LEFT(H259,16)="Add N/A reason; ",H259="Add dates",H259="Add registration",H259="Check date format"),1,0)</x:f>
        <x:v>0</x:v>
      </x:c>
      <x:c r="S259" t="n">
        <x:f>S258+IF(COUNTIFS(C259:F259,"Reviewed N/A")&gt;0,1,0)</x:f>
        <x:v>0</x:v>
      </x:c>
    </x:row>
    <x:row r="260" ht="48" customHeight="1">
      <x:c r="A260" s="52"/>
      <x:c r="B260" s="52"/>
      <x:c r="C260" s="53"/>
      <x:c r="D260" s="53"/>
      <x:c r="E260" s="53"/>
      <x:c r="F260" s="53"/>
      <x:c r="G260" s="52"/>
      <x:c r="H260" s="21" t="str">
        <x:f>IF(COUNTA(A260:G260,I260)=0,"",IF(A260="","Add registration",IF(OR(COUNTA(C260:F260)&gt;COUNT(C260:F260)+COUNTIFS(C260:F260,"Reviewed N/A"),AND(COUNT(C260:F260)&gt;0,OR(MIN(C260:F260)&lt;36526,MAX(C260:F260)&gt;109574))),"Check date format",IF(AND(COUNTIFS(C260:F260,"Reviewed N/A")&gt;0,I260=""),"Add N/A reason; ","")&amp;IF(COUNT(C260:F260)=0,IF(COUNTIFS(C260:F260,"Reviewed N/A")=4,"No applicable dates recorded","Add dates"),IF(COUNT(C260:F260)+COUNTIFS(C260:F260,"Reviewed N/A")&lt;4,"Missing dates; ","")&amp;IF(MIN(C260:F260)&lt;TODAY(),"Overdue: ",IF(MIN(C260:F260)=TODAY(),"Due today: ",IF(MIN(C260:F260)&lt;=TODAY()+30,"Due within 30 days: ","Next: ")))&amp;INDEX($C$8:$F$8,1,MATCH(MIN(C260:F260),C260:F260,0))&amp;" "&amp;TEXT(MIN(C260:F260),"dd mmm yyyy")))))</x:f>
      </x:c>
      <x:c r="I260" s="52"/>
      <x:c r="J260" t="str">
        <x:f>IF(AND(A260&lt;&gt;"",COUNTIFS(C260,"&gt;=36526",C260,"&lt;"&amp;TODAY())+COUNTIFS(D260,"&gt;=36526",D260,"&lt;"&amp;TODAY())+COUNTIFS(E260,"&gt;=36526",E260,"&lt;"&amp;TODAY())+COUNTIFS(F260,"&gt;=36526",F260,"&lt;"&amp;TODAY())&gt;0),O260,"")</x:f>
      </x:c>
      <x:c r="K260" t="str">
        <x:f>IF(AND(A260&lt;&gt;"",COUNTIFS(C260,"&gt;=36526",C260,TODAY())+COUNTIFS(D260,"&gt;=36526",D260,TODAY())+COUNTIFS(E260,"&gt;=36526",E260,TODAY())+COUNTIFS(F260,"&gt;=36526",F260,TODAY())&gt;0),P260,"")</x:f>
      </x:c>
      <x:c r="L260" t="str">
        <x:f>IF(AND(A260&lt;&gt;"",COUNTIFS(C260,"&gt;"&amp;TODAY(),C260,"&lt;="&amp;TODAY()+30)+COUNTIFS(D260,"&gt;"&amp;TODAY(),D260,"&lt;="&amp;TODAY()+30)+COUNTIFS(E260,"&gt;"&amp;TODAY(),E260,"&lt;="&amp;TODAY()+30)+COUNTIFS(F260,"&gt;"&amp;TODAY(),F260,"&lt;="&amp;TODAY()+30)&gt;0),Q260,"")</x:f>
      </x:c>
      <x:c r="M260" t="str">
        <x:f>IF(OR(LEFT(H260,15)="Missing dates; ",LEFT(H260,16)="Add N/A reason; ",H260="Add dates",H260="Add registration",H260="Check date format"),R260,"")</x:f>
      </x:c>
      <x:c r="N260" t="str">
        <x:f>IF(COUNTIFS(C260:F260,"Reviewed N/A")&gt;0,S260,"")</x:f>
      </x:c>
      <x:c r="O260" t="n">
        <x:f>O259+IF(AND(A260&lt;&gt;"",COUNTIFS(C260,"&gt;=36526",C260,"&lt;"&amp;TODAY())+COUNTIFS(D260,"&gt;=36526",D260,"&lt;"&amp;TODAY())+COUNTIFS(E260,"&gt;=36526",E260,"&lt;"&amp;TODAY())+COUNTIFS(F260,"&gt;=36526",F260,"&lt;"&amp;TODAY())&gt;0),1,0)</x:f>
        <x:v>0</x:v>
      </x:c>
      <x:c r="P260" t="n">
        <x:f>P259+IF(AND(A260&lt;&gt;"",COUNTIFS(C260,"&gt;=36526",C260,TODAY())+COUNTIFS(D260,"&gt;=36526",D260,TODAY())+COUNTIFS(E260,"&gt;=36526",E260,TODAY())+COUNTIFS(F260,"&gt;=36526",F260,TODAY())&gt;0),1,0)</x:f>
        <x:v>0</x:v>
      </x:c>
      <x:c r="Q260" t="n">
        <x:f>Q259+IF(AND(A260&lt;&gt;"",COUNTIFS(C260,"&gt;"&amp;TODAY(),C260,"&lt;="&amp;TODAY()+30)+COUNTIFS(D260,"&gt;"&amp;TODAY(),D260,"&lt;="&amp;TODAY()+30)+COUNTIFS(E260,"&gt;"&amp;TODAY(),E260,"&lt;="&amp;TODAY()+30)+COUNTIFS(F260,"&gt;"&amp;TODAY(),F260,"&lt;="&amp;TODAY()+30)&gt;0),1,0)</x:f>
        <x:v>0</x:v>
      </x:c>
      <x:c r="R260" t="n">
        <x:f>R259+IF(OR(LEFT(H260,15)="Missing dates; ",LEFT(H260,16)="Add N/A reason; ",H260="Add dates",H260="Add registration",H260="Check date format"),1,0)</x:f>
        <x:v>0</x:v>
      </x:c>
      <x:c r="S260" t="n">
        <x:f>S259+IF(COUNTIFS(C260:F260,"Reviewed N/A")&gt;0,1,0)</x:f>
        <x:v>0</x:v>
      </x:c>
    </x:row>
    <x:row r="261" ht="48" customHeight="1">
      <x:c r="A261" s="52"/>
      <x:c r="B261" s="52"/>
      <x:c r="C261" s="53"/>
      <x:c r="D261" s="53"/>
      <x:c r="E261" s="53"/>
      <x:c r="F261" s="53"/>
      <x:c r="G261" s="52"/>
      <x:c r="H261" s="21" t="str">
        <x:f>IF(COUNTA(A261:G261,I261)=0,"",IF(A261="","Add registration",IF(OR(COUNTA(C261:F261)&gt;COUNT(C261:F261)+COUNTIFS(C261:F261,"Reviewed N/A"),AND(COUNT(C261:F261)&gt;0,OR(MIN(C261:F261)&lt;36526,MAX(C261:F261)&gt;109574))),"Check date format",IF(AND(COUNTIFS(C261:F261,"Reviewed N/A")&gt;0,I261=""),"Add N/A reason; ","")&amp;IF(COUNT(C261:F261)=0,IF(COUNTIFS(C261:F261,"Reviewed N/A")=4,"No applicable dates recorded","Add dates"),IF(COUNT(C261:F261)+COUNTIFS(C261:F261,"Reviewed N/A")&lt;4,"Missing dates; ","")&amp;IF(MIN(C261:F261)&lt;TODAY(),"Overdue: ",IF(MIN(C261:F261)=TODAY(),"Due today: ",IF(MIN(C261:F261)&lt;=TODAY()+30,"Due within 30 days: ","Next: ")))&amp;INDEX($C$8:$F$8,1,MATCH(MIN(C261:F261),C261:F261,0))&amp;" "&amp;TEXT(MIN(C261:F261),"dd mmm yyyy")))))</x:f>
      </x:c>
      <x:c r="I261" s="52"/>
      <x:c r="J261" t="str">
        <x:f>IF(AND(A261&lt;&gt;"",COUNTIFS(C261,"&gt;=36526",C261,"&lt;"&amp;TODAY())+COUNTIFS(D261,"&gt;=36526",D261,"&lt;"&amp;TODAY())+COUNTIFS(E261,"&gt;=36526",E261,"&lt;"&amp;TODAY())+COUNTIFS(F261,"&gt;=36526",F261,"&lt;"&amp;TODAY())&gt;0),O261,"")</x:f>
      </x:c>
      <x:c r="K261" t="str">
        <x:f>IF(AND(A261&lt;&gt;"",COUNTIFS(C261,"&gt;=36526",C261,TODAY())+COUNTIFS(D261,"&gt;=36526",D261,TODAY())+COUNTIFS(E261,"&gt;=36526",E261,TODAY())+COUNTIFS(F261,"&gt;=36526",F261,TODAY())&gt;0),P261,"")</x:f>
      </x:c>
      <x:c r="L261" t="str">
        <x:f>IF(AND(A261&lt;&gt;"",COUNTIFS(C261,"&gt;"&amp;TODAY(),C261,"&lt;="&amp;TODAY()+30)+COUNTIFS(D261,"&gt;"&amp;TODAY(),D261,"&lt;="&amp;TODAY()+30)+COUNTIFS(E261,"&gt;"&amp;TODAY(),E261,"&lt;="&amp;TODAY()+30)+COUNTIFS(F261,"&gt;"&amp;TODAY(),F261,"&lt;="&amp;TODAY()+30)&gt;0),Q261,"")</x:f>
      </x:c>
      <x:c r="M261" t="str">
        <x:f>IF(OR(LEFT(H261,15)="Missing dates; ",LEFT(H261,16)="Add N/A reason; ",H261="Add dates",H261="Add registration",H261="Check date format"),R261,"")</x:f>
      </x:c>
      <x:c r="N261" t="str">
        <x:f>IF(COUNTIFS(C261:F261,"Reviewed N/A")&gt;0,S261,"")</x:f>
      </x:c>
      <x:c r="O261" t="n">
        <x:f>O260+IF(AND(A261&lt;&gt;"",COUNTIFS(C261,"&gt;=36526",C261,"&lt;"&amp;TODAY())+COUNTIFS(D261,"&gt;=36526",D261,"&lt;"&amp;TODAY())+COUNTIFS(E261,"&gt;=36526",E261,"&lt;"&amp;TODAY())+COUNTIFS(F261,"&gt;=36526",F261,"&lt;"&amp;TODAY())&gt;0),1,0)</x:f>
        <x:v>0</x:v>
      </x:c>
      <x:c r="P261" t="n">
        <x:f>P260+IF(AND(A261&lt;&gt;"",COUNTIFS(C261,"&gt;=36526",C261,TODAY())+COUNTIFS(D261,"&gt;=36526",D261,TODAY())+COUNTIFS(E261,"&gt;=36526",E261,TODAY())+COUNTIFS(F261,"&gt;=36526",F261,TODAY())&gt;0),1,0)</x:f>
        <x:v>0</x:v>
      </x:c>
      <x:c r="Q261" t="n">
        <x:f>Q260+IF(AND(A261&lt;&gt;"",COUNTIFS(C261,"&gt;"&amp;TODAY(),C261,"&lt;="&amp;TODAY()+30)+COUNTIFS(D261,"&gt;"&amp;TODAY(),D261,"&lt;="&amp;TODAY()+30)+COUNTIFS(E261,"&gt;"&amp;TODAY(),E261,"&lt;="&amp;TODAY()+30)+COUNTIFS(F261,"&gt;"&amp;TODAY(),F261,"&lt;="&amp;TODAY()+30)&gt;0),1,0)</x:f>
        <x:v>0</x:v>
      </x:c>
      <x:c r="R261" t="n">
        <x:f>R260+IF(OR(LEFT(H261,15)="Missing dates; ",LEFT(H261,16)="Add N/A reason; ",H261="Add dates",H261="Add registration",H261="Check date format"),1,0)</x:f>
        <x:v>0</x:v>
      </x:c>
      <x:c r="S261" t="n">
        <x:f>S260+IF(COUNTIFS(C261:F261,"Reviewed N/A")&gt;0,1,0)</x:f>
        <x:v>0</x:v>
      </x:c>
    </x:row>
    <x:row r="262" ht="48" customHeight="1">
      <x:c r="A262" s="52"/>
      <x:c r="B262" s="52"/>
      <x:c r="C262" s="53"/>
      <x:c r="D262" s="53"/>
      <x:c r="E262" s="53"/>
      <x:c r="F262" s="53"/>
      <x:c r="G262" s="52"/>
      <x:c r="H262" s="21" t="str">
        <x:f>IF(COUNTA(A262:G262,I262)=0,"",IF(A262="","Add registration",IF(OR(COUNTA(C262:F262)&gt;COUNT(C262:F262)+COUNTIFS(C262:F262,"Reviewed N/A"),AND(COUNT(C262:F262)&gt;0,OR(MIN(C262:F262)&lt;36526,MAX(C262:F262)&gt;109574))),"Check date format",IF(AND(COUNTIFS(C262:F262,"Reviewed N/A")&gt;0,I262=""),"Add N/A reason; ","")&amp;IF(COUNT(C262:F262)=0,IF(COUNTIFS(C262:F262,"Reviewed N/A")=4,"No applicable dates recorded","Add dates"),IF(COUNT(C262:F262)+COUNTIFS(C262:F262,"Reviewed N/A")&lt;4,"Missing dates; ","")&amp;IF(MIN(C262:F262)&lt;TODAY(),"Overdue: ",IF(MIN(C262:F262)=TODAY(),"Due today: ",IF(MIN(C262:F262)&lt;=TODAY()+30,"Due within 30 days: ","Next: ")))&amp;INDEX($C$8:$F$8,1,MATCH(MIN(C262:F262),C262:F262,0))&amp;" "&amp;TEXT(MIN(C262:F262),"dd mmm yyyy")))))</x:f>
      </x:c>
      <x:c r="I262" s="52"/>
      <x:c r="J262" t="str">
        <x:f>IF(AND(A262&lt;&gt;"",COUNTIFS(C262,"&gt;=36526",C262,"&lt;"&amp;TODAY())+COUNTIFS(D262,"&gt;=36526",D262,"&lt;"&amp;TODAY())+COUNTIFS(E262,"&gt;=36526",E262,"&lt;"&amp;TODAY())+COUNTIFS(F262,"&gt;=36526",F262,"&lt;"&amp;TODAY())&gt;0),O262,"")</x:f>
      </x:c>
      <x:c r="K262" t="str">
        <x:f>IF(AND(A262&lt;&gt;"",COUNTIFS(C262,"&gt;=36526",C262,TODAY())+COUNTIFS(D262,"&gt;=36526",D262,TODAY())+COUNTIFS(E262,"&gt;=36526",E262,TODAY())+COUNTIFS(F262,"&gt;=36526",F262,TODAY())&gt;0),P262,"")</x:f>
      </x:c>
      <x:c r="L262" t="str">
        <x:f>IF(AND(A262&lt;&gt;"",COUNTIFS(C262,"&gt;"&amp;TODAY(),C262,"&lt;="&amp;TODAY()+30)+COUNTIFS(D262,"&gt;"&amp;TODAY(),D262,"&lt;="&amp;TODAY()+30)+COUNTIFS(E262,"&gt;"&amp;TODAY(),E262,"&lt;="&amp;TODAY()+30)+COUNTIFS(F262,"&gt;"&amp;TODAY(),F262,"&lt;="&amp;TODAY()+30)&gt;0),Q262,"")</x:f>
      </x:c>
      <x:c r="M262" t="str">
        <x:f>IF(OR(LEFT(H262,15)="Missing dates; ",LEFT(H262,16)="Add N/A reason; ",H262="Add dates",H262="Add registration",H262="Check date format"),R262,"")</x:f>
      </x:c>
      <x:c r="N262" t="str">
        <x:f>IF(COUNTIFS(C262:F262,"Reviewed N/A")&gt;0,S262,"")</x:f>
      </x:c>
      <x:c r="O262" t="n">
        <x:f>O261+IF(AND(A262&lt;&gt;"",COUNTIFS(C262,"&gt;=36526",C262,"&lt;"&amp;TODAY())+COUNTIFS(D262,"&gt;=36526",D262,"&lt;"&amp;TODAY())+COUNTIFS(E262,"&gt;=36526",E262,"&lt;"&amp;TODAY())+COUNTIFS(F262,"&gt;=36526",F262,"&lt;"&amp;TODAY())&gt;0),1,0)</x:f>
        <x:v>0</x:v>
      </x:c>
      <x:c r="P262" t="n">
        <x:f>P261+IF(AND(A262&lt;&gt;"",COUNTIFS(C262,"&gt;=36526",C262,TODAY())+COUNTIFS(D262,"&gt;=36526",D262,TODAY())+COUNTIFS(E262,"&gt;=36526",E262,TODAY())+COUNTIFS(F262,"&gt;=36526",F262,TODAY())&gt;0),1,0)</x:f>
        <x:v>0</x:v>
      </x:c>
      <x:c r="Q262" t="n">
        <x:f>Q261+IF(AND(A262&lt;&gt;"",COUNTIFS(C262,"&gt;"&amp;TODAY(),C262,"&lt;="&amp;TODAY()+30)+COUNTIFS(D262,"&gt;"&amp;TODAY(),D262,"&lt;="&amp;TODAY()+30)+COUNTIFS(E262,"&gt;"&amp;TODAY(),E262,"&lt;="&amp;TODAY()+30)+COUNTIFS(F262,"&gt;"&amp;TODAY(),F262,"&lt;="&amp;TODAY()+30)&gt;0),1,0)</x:f>
        <x:v>0</x:v>
      </x:c>
      <x:c r="R262" t="n">
        <x:f>R261+IF(OR(LEFT(H262,15)="Missing dates; ",LEFT(H262,16)="Add N/A reason; ",H262="Add dates",H262="Add registration",H262="Check date format"),1,0)</x:f>
        <x:v>0</x:v>
      </x:c>
      <x:c r="S262" t="n">
        <x:f>S261+IF(COUNTIFS(C262:F262,"Reviewed N/A")&gt;0,1,0)</x:f>
        <x:v>0</x:v>
      </x:c>
    </x:row>
    <x:row r="263" ht="48" customHeight="1">
      <x:c r="A263" s="52"/>
      <x:c r="B263" s="52"/>
      <x:c r="C263" s="53"/>
      <x:c r="D263" s="53"/>
      <x:c r="E263" s="53"/>
      <x:c r="F263" s="53"/>
      <x:c r="G263" s="52"/>
      <x:c r="H263" s="21" t="str">
        <x:f>IF(COUNTA(A263:G263,I263)=0,"",IF(A263="","Add registration",IF(OR(COUNTA(C263:F263)&gt;COUNT(C263:F263)+COUNTIFS(C263:F263,"Reviewed N/A"),AND(COUNT(C263:F263)&gt;0,OR(MIN(C263:F263)&lt;36526,MAX(C263:F263)&gt;109574))),"Check date format",IF(AND(COUNTIFS(C263:F263,"Reviewed N/A")&gt;0,I263=""),"Add N/A reason; ","")&amp;IF(COUNT(C263:F263)=0,IF(COUNTIFS(C263:F263,"Reviewed N/A")=4,"No applicable dates recorded","Add dates"),IF(COUNT(C263:F263)+COUNTIFS(C263:F263,"Reviewed N/A")&lt;4,"Missing dates; ","")&amp;IF(MIN(C263:F263)&lt;TODAY(),"Overdue: ",IF(MIN(C263:F263)=TODAY(),"Due today: ",IF(MIN(C263:F263)&lt;=TODAY()+30,"Due within 30 days: ","Next: ")))&amp;INDEX($C$8:$F$8,1,MATCH(MIN(C263:F263),C263:F263,0))&amp;" "&amp;TEXT(MIN(C263:F263),"dd mmm yyyy")))))</x:f>
      </x:c>
      <x:c r="I263" s="52"/>
      <x:c r="J263" t="str">
        <x:f>IF(AND(A263&lt;&gt;"",COUNTIFS(C263,"&gt;=36526",C263,"&lt;"&amp;TODAY())+COUNTIFS(D263,"&gt;=36526",D263,"&lt;"&amp;TODAY())+COUNTIFS(E263,"&gt;=36526",E263,"&lt;"&amp;TODAY())+COUNTIFS(F263,"&gt;=36526",F263,"&lt;"&amp;TODAY())&gt;0),O263,"")</x:f>
      </x:c>
      <x:c r="K263" t="str">
        <x:f>IF(AND(A263&lt;&gt;"",COUNTIFS(C263,"&gt;=36526",C263,TODAY())+COUNTIFS(D263,"&gt;=36526",D263,TODAY())+COUNTIFS(E263,"&gt;=36526",E263,TODAY())+COUNTIFS(F263,"&gt;=36526",F263,TODAY())&gt;0),P263,"")</x:f>
      </x:c>
      <x:c r="L263" t="str">
        <x:f>IF(AND(A263&lt;&gt;"",COUNTIFS(C263,"&gt;"&amp;TODAY(),C263,"&lt;="&amp;TODAY()+30)+COUNTIFS(D263,"&gt;"&amp;TODAY(),D263,"&lt;="&amp;TODAY()+30)+COUNTIFS(E263,"&gt;"&amp;TODAY(),E263,"&lt;="&amp;TODAY()+30)+COUNTIFS(F263,"&gt;"&amp;TODAY(),F263,"&lt;="&amp;TODAY()+30)&gt;0),Q263,"")</x:f>
      </x:c>
      <x:c r="M263" t="str">
        <x:f>IF(OR(LEFT(H263,15)="Missing dates; ",LEFT(H263,16)="Add N/A reason; ",H263="Add dates",H263="Add registration",H263="Check date format"),R263,"")</x:f>
      </x:c>
      <x:c r="N263" t="str">
        <x:f>IF(COUNTIFS(C263:F263,"Reviewed N/A")&gt;0,S263,"")</x:f>
      </x:c>
      <x:c r="O263" t="n">
        <x:f>O262+IF(AND(A263&lt;&gt;"",COUNTIFS(C263,"&gt;=36526",C263,"&lt;"&amp;TODAY())+COUNTIFS(D263,"&gt;=36526",D263,"&lt;"&amp;TODAY())+COUNTIFS(E263,"&gt;=36526",E263,"&lt;"&amp;TODAY())+COUNTIFS(F263,"&gt;=36526",F263,"&lt;"&amp;TODAY())&gt;0),1,0)</x:f>
        <x:v>0</x:v>
      </x:c>
      <x:c r="P263" t="n">
        <x:f>P262+IF(AND(A263&lt;&gt;"",COUNTIFS(C263,"&gt;=36526",C263,TODAY())+COUNTIFS(D263,"&gt;=36526",D263,TODAY())+COUNTIFS(E263,"&gt;=36526",E263,TODAY())+COUNTIFS(F263,"&gt;=36526",F263,TODAY())&gt;0),1,0)</x:f>
        <x:v>0</x:v>
      </x:c>
      <x:c r="Q263" t="n">
        <x:f>Q262+IF(AND(A263&lt;&gt;"",COUNTIFS(C263,"&gt;"&amp;TODAY(),C263,"&lt;="&amp;TODAY()+30)+COUNTIFS(D263,"&gt;"&amp;TODAY(),D263,"&lt;="&amp;TODAY()+30)+COUNTIFS(E263,"&gt;"&amp;TODAY(),E263,"&lt;="&amp;TODAY()+30)+COUNTIFS(F263,"&gt;"&amp;TODAY(),F263,"&lt;="&amp;TODAY()+30)&gt;0),1,0)</x:f>
        <x:v>0</x:v>
      </x:c>
      <x:c r="R263" t="n">
        <x:f>R262+IF(OR(LEFT(H263,15)="Missing dates; ",LEFT(H263,16)="Add N/A reason; ",H263="Add dates",H263="Add registration",H263="Check date format"),1,0)</x:f>
        <x:v>0</x:v>
      </x:c>
      <x:c r="S263" t="n">
        <x:f>S262+IF(COUNTIFS(C263:F263,"Reviewed N/A")&gt;0,1,0)</x:f>
        <x:v>0</x:v>
      </x:c>
    </x:row>
    <x:row r="264" ht="48" customHeight="1">
      <x:c r="A264" s="52"/>
      <x:c r="B264" s="52"/>
      <x:c r="C264" s="53"/>
      <x:c r="D264" s="53"/>
      <x:c r="E264" s="53"/>
      <x:c r="F264" s="53"/>
      <x:c r="G264" s="52"/>
      <x:c r="H264" s="21" t="str">
        <x:f>IF(COUNTA(A264:G264,I264)=0,"",IF(A264="","Add registration",IF(OR(COUNTA(C264:F264)&gt;COUNT(C264:F264)+COUNTIFS(C264:F264,"Reviewed N/A"),AND(COUNT(C264:F264)&gt;0,OR(MIN(C264:F264)&lt;36526,MAX(C264:F264)&gt;109574))),"Check date format",IF(AND(COUNTIFS(C264:F264,"Reviewed N/A")&gt;0,I264=""),"Add N/A reason; ","")&amp;IF(COUNT(C264:F264)=0,IF(COUNTIFS(C264:F264,"Reviewed N/A")=4,"No applicable dates recorded","Add dates"),IF(COUNT(C264:F264)+COUNTIFS(C264:F264,"Reviewed N/A")&lt;4,"Missing dates; ","")&amp;IF(MIN(C264:F264)&lt;TODAY(),"Overdue: ",IF(MIN(C264:F264)=TODAY(),"Due today: ",IF(MIN(C264:F264)&lt;=TODAY()+30,"Due within 30 days: ","Next: ")))&amp;INDEX($C$8:$F$8,1,MATCH(MIN(C264:F264),C264:F264,0))&amp;" "&amp;TEXT(MIN(C264:F264),"dd mmm yyyy")))))</x:f>
      </x:c>
      <x:c r="I264" s="52"/>
      <x:c r="J264" t="str">
        <x:f>IF(AND(A264&lt;&gt;"",COUNTIFS(C264,"&gt;=36526",C264,"&lt;"&amp;TODAY())+COUNTIFS(D264,"&gt;=36526",D264,"&lt;"&amp;TODAY())+COUNTIFS(E264,"&gt;=36526",E264,"&lt;"&amp;TODAY())+COUNTIFS(F264,"&gt;=36526",F264,"&lt;"&amp;TODAY())&gt;0),O264,"")</x:f>
      </x:c>
      <x:c r="K264" t="str">
        <x:f>IF(AND(A264&lt;&gt;"",COUNTIFS(C264,"&gt;=36526",C264,TODAY())+COUNTIFS(D264,"&gt;=36526",D264,TODAY())+COUNTIFS(E264,"&gt;=36526",E264,TODAY())+COUNTIFS(F264,"&gt;=36526",F264,TODAY())&gt;0),P264,"")</x:f>
      </x:c>
      <x:c r="L264" t="str">
        <x:f>IF(AND(A264&lt;&gt;"",COUNTIFS(C264,"&gt;"&amp;TODAY(),C264,"&lt;="&amp;TODAY()+30)+COUNTIFS(D264,"&gt;"&amp;TODAY(),D264,"&lt;="&amp;TODAY()+30)+COUNTIFS(E264,"&gt;"&amp;TODAY(),E264,"&lt;="&amp;TODAY()+30)+COUNTIFS(F264,"&gt;"&amp;TODAY(),F264,"&lt;="&amp;TODAY()+30)&gt;0),Q264,"")</x:f>
      </x:c>
      <x:c r="M264" t="str">
        <x:f>IF(OR(LEFT(H264,15)="Missing dates; ",LEFT(H264,16)="Add N/A reason; ",H264="Add dates",H264="Add registration",H264="Check date format"),R264,"")</x:f>
      </x:c>
      <x:c r="N264" t="str">
        <x:f>IF(COUNTIFS(C264:F264,"Reviewed N/A")&gt;0,S264,"")</x:f>
      </x:c>
      <x:c r="O264" t="n">
        <x:f>O263+IF(AND(A264&lt;&gt;"",COUNTIFS(C264,"&gt;=36526",C264,"&lt;"&amp;TODAY())+COUNTIFS(D264,"&gt;=36526",D264,"&lt;"&amp;TODAY())+COUNTIFS(E264,"&gt;=36526",E264,"&lt;"&amp;TODAY())+COUNTIFS(F264,"&gt;=36526",F264,"&lt;"&amp;TODAY())&gt;0),1,0)</x:f>
        <x:v>0</x:v>
      </x:c>
      <x:c r="P264" t="n">
        <x:f>P263+IF(AND(A264&lt;&gt;"",COUNTIFS(C264,"&gt;=36526",C264,TODAY())+COUNTIFS(D264,"&gt;=36526",D264,TODAY())+COUNTIFS(E264,"&gt;=36526",E264,TODAY())+COUNTIFS(F264,"&gt;=36526",F264,TODAY())&gt;0),1,0)</x:f>
        <x:v>0</x:v>
      </x:c>
      <x:c r="Q264" t="n">
        <x:f>Q263+IF(AND(A264&lt;&gt;"",COUNTIFS(C264,"&gt;"&amp;TODAY(),C264,"&lt;="&amp;TODAY()+30)+COUNTIFS(D264,"&gt;"&amp;TODAY(),D264,"&lt;="&amp;TODAY()+30)+COUNTIFS(E264,"&gt;"&amp;TODAY(),E264,"&lt;="&amp;TODAY()+30)+COUNTIFS(F264,"&gt;"&amp;TODAY(),F264,"&lt;="&amp;TODAY()+30)&gt;0),1,0)</x:f>
        <x:v>0</x:v>
      </x:c>
      <x:c r="R264" t="n">
        <x:f>R263+IF(OR(LEFT(H264,15)="Missing dates; ",LEFT(H264,16)="Add N/A reason; ",H264="Add dates",H264="Add registration",H264="Check date format"),1,0)</x:f>
        <x:v>0</x:v>
      </x:c>
      <x:c r="S264" t="n">
        <x:f>S263+IF(COUNTIFS(C264:F264,"Reviewed N/A")&gt;0,1,0)</x:f>
        <x:v>0</x:v>
      </x:c>
    </x:row>
    <x:row r="265" ht="48" customHeight="1">
      <x:c r="A265" s="52"/>
      <x:c r="B265" s="52"/>
      <x:c r="C265" s="53"/>
      <x:c r="D265" s="53"/>
      <x:c r="E265" s="53"/>
      <x:c r="F265" s="53"/>
      <x:c r="G265" s="52"/>
      <x:c r="H265" s="21" t="str">
        <x:f>IF(COUNTA(A265:G265,I265)=0,"",IF(A265="","Add registration",IF(OR(COUNTA(C265:F265)&gt;COUNT(C265:F265)+COUNTIFS(C265:F265,"Reviewed N/A"),AND(COUNT(C265:F265)&gt;0,OR(MIN(C265:F265)&lt;36526,MAX(C265:F265)&gt;109574))),"Check date format",IF(AND(COUNTIFS(C265:F265,"Reviewed N/A")&gt;0,I265=""),"Add N/A reason; ","")&amp;IF(COUNT(C265:F265)=0,IF(COUNTIFS(C265:F265,"Reviewed N/A")=4,"No applicable dates recorded","Add dates"),IF(COUNT(C265:F265)+COUNTIFS(C265:F265,"Reviewed N/A")&lt;4,"Missing dates; ","")&amp;IF(MIN(C265:F265)&lt;TODAY(),"Overdue: ",IF(MIN(C265:F265)=TODAY(),"Due today: ",IF(MIN(C265:F265)&lt;=TODAY()+30,"Due within 30 days: ","Next: ")))&amp;INDEX($C$8:$F$8,1,MATCH(MIN(C265:F265),C265:F265,0))&amp;" "&amp;TEXT(MIN(C265:F265),"dd mmm yyyy")))))</x:f>
      </x:c>
      <x:c r="I265" s="52"/>
      <x:c r="J265" t="str">
        <x:f>IF(AND(A265&lt;&gt;"",COUNTIFS(C265,"&gt;=36526",C265,"&lt;"&amp;TODAY())+COUNTIFS(D265,"&gt;=36526",D265,"&lt;"&amp;TODAY())+COUNTIFS(E265,"&gt;=36526",E265,"&lt;"&amp;TODAY())+COUNTIFS(F265,"&gt;=36526",F265,"&lt;"&amp;TODAY())&gt;0),O265,"")</x:f>
      </x:c>
      <x:c r="K265" t="str">
        <x:f>IF(AND(A265&lt;&gt;"",COUNTIFS(C265,"&gt;=36526",C265,TODAY())+COUNTIFS(D265,"&gt;=36526",D265,TODAY())+COUNTIFS(E265,"&gt;=36526",E265,TODAY())+COUNTIFS(F265,"&gt;=36526",F265,TODAY())&gt;0),P265,"")</x:f>
      </x:c>
      <x:c r="L265" t="str">
        <x:f>IF(AND(A265&lt;&gt;"",COUNTIFS(C265,"&gt;"&amp;TODAY(),C265,"&lt;="&amp;TODAY()+30)+COUNTIFS(D265,"&gt;"&amp;TODAY(),D265,"&lt;="&amp;TODAY()+30)+COUNTIFS(E265,"&gt;"&amp;TODAY(),E265,"&lt;="&amp;TODAY()+30)+COUNTIFS(F265,"&gt;"&amp;TODAY(),F265,"&lt;="&amp;TODAY()+30)&gt;0),Q265,"")</x:f>
      </x:c>
      <x:c r="M265" t="str">
        <x:f>IF(OR(LEFT(H265,15)="Missing dates; ",LEFT(H265,16)="Add N/A reason; ",H265="Add dates",H265="Add registration",H265="Check date format"),R265,"")</x:f>
      </x:c>
      <x:c r="N265" t="str">
        <x:f>IF(COUNTIFS(C265:F265,"Reviewed N/A")&gt;0,S265,"")</x:f>
      </x:c>
      <x:c r="O265" t="n">
        <x:f>O264+IF(AND(A265&lt;&gt;"",COUNTIFS(C265,"&gt;=36526",C265,"&lt;"&amp;TODAY())+COUNTIFS(D265,"&gt;=36526",D265,"&lt;"&amp;TODAY())+COUNTIFS(E265,"&gt;=36526",E265,"&lt;"&amp;TODAY())+COUNTIFS(F265,"&gt;=36526",F265,"&lt;"&amp;TODAY())&gt;0),1,0)</x:f>
        <x:v>0</x:v>
      </x:c>
      <x:c r="P265" t="n">
        <x:f>P264+IF(AND(A265&lt;&gt;"",COUNTIFS(C265,"&gt;=36526",C265,TODAY())+COUNTIFS(D265,"&gt;=36526",D265,TODAY())+COUNTIFS(E265,"&gt;=36526",E265,TODAY())+COUNTIFS(F265,"&gt;=36526",F265,TODAY())&gt;0),1,0)</x:f>
        <x:v>0</x:v>
      </x:c>
      <x:c r="Q265" t="n">
        <x:f>Q264+IF(AND(A265&lt;&gt;"",COUNTIFS(C265,"&gt;"&amp;TODAY(),C265,"&lt;="&amp;TODAY()+30)+COUNTIFS(D265,"&gt;"&amp;TODAY(),D265,"&lt;="&amp;TODAY()+30)+COUNTIFS(E265,"&gt;"&amp;TODAY(),E265,"&lt;="&amp;TODAY()+30)+COUNTIFS(F265,"&gt;"&amp;TODAY(),F265,"&lt;="&amp;TODAY()+30)&gt;0),1,0)</x:f>
        <x:v>0</x:v>
      </x:c>
      <x:c r="R265" t="n">
        <x:f>R264+IF(OR(LEFT(H265,15)="Missing dates; ",LEFT(H265,16)="Add N/A reason; ",H265="Add dates",H265="Add registration",H265="Check date format"),1,0)</x:f>
        <x:v>0</x:v>
      </x:c>
      <x:c r="S265" t="n">
        <x:f>S264+IF(COUNTIFS(C265:F265,"Reviewed N/A")&gt;0,1,0)</x:f>
        <x:v>0</x:v>
      </x:c>
    </x:row>
    <x:row r="266" ht="48" customHeight="1">
      <x:c r="A266" s="52"/>
      <x:c r="B266" s="52"/>
      <x:c r="C266" s="53"/>
      <x:c r="D266" s="53"/>
      <x:c r="E266" s="53"/>
      <x:c r="F266" s="53"/>
      <x:c r="G266" s="52"/>
      <x:c r="H266" s="21" t="str">
        <x:f>IF(COUNTA(A266:G266,I266)=0,"",IF(A266="","Add registration",IF(OR(COUNTA(C266:F266)&gt;COUNT(C266:F266)+COUNTIFS(C266:F266,"Reviewed N/A"),AND(COUNT(C266:F266)&gt;0,OR(MIN(C266:F266)&lt;36526,MAX(C266:F266)&gt;109574))),"Check date format",IF(AND(COUNTIFS(C266:F266,"Reviewed N/A")&gt;0,I266=""),"Add N/A reason; ","")&amp;IF(COUNT(C266:F266)=0,IF(COUNTIFS(C266:F266,"Reviewed N/A")=4,"No applicable dates recorded","Add dates"),IF(COUNT(C266:F266)+COUNTIFS(C266:F266,"Reviewed N/A")&lt;4,"Missing dates; ","")&amp;IF(MIN(C266:F266)&lt;TODAY(),"Overdue: ",IF(MIN(C266:F266)=TODAY(),"Due today: ",IF(MIN(C266:F266)&lt;=TODAY()+30,"Due within 30 days: ","Next: ")))&amp;INDEX($C$8:$F$8,1,MATCH(MIN(C266:F266),C266:F266,0))&amp;" "&amp;TEXT(MIN(C266:F266),"dd mmm yyyy")))))</x:f>
      </x:c>
      <x:c r="I266" s="52"/>
      <x:c r="J266" t="str">
        <x:f>IF(AND(A266&lt;&gt;"",COUNTIFS(C266,"&gt;=36526",C266,"&lt;"&amp;TODAY())+COUNTIFS(D266,"&gt;=36526",D266,"&lt;"&amp;TODAY())+COUNTIFS(E266,"&gt;=36526",E266,"&lt;"&amp;TODAY())+COUNTIFS(F266,"&gt;=36526",F266,"&lt;"&amp;TODAY())&gt;0),O266,"")</x:f>
      </x:c>
      <x:c r="K266" t="str">
        <x:f>IF(AND(A266&lt;&gt;"",COUNTIFS(C266,"&gt;=36526",C266,TODAY())+COUNTIFS(D266,"&gt;=36526",D266,TODAY())+COUNTIFS(E266,"&gt;=36526",E266,TODAY())+COUNTIFS(F266,"&gt;=36526",F266,TODAY())&gt;0),P266,"")</x:f>
      </x:c>
      <x:c r="L266" t="str">
        <x:f>IF(AND(A266&lt;&gt;"",COUNTIFS(C266,"&gt;"&amp;TODAY(),C266,"&lt;="&amp;TODAY()+30)+COUNTIFS(D266,"&gt;"&amp;TODAY(),D266,"&lt;="&amp;TODAY()+30)+COUNTIFS(E266,"&gt;"&amp;TODAY(),E266,"&lt;="&amp;TODAY()+30)+COUNTIFS(F266,"&gt;"&amp;TODAY(),F266,"&lt;="&amp;TODAY()+30)&gt;0),Q266,"")</x:f>
      </x:c>
      <x:c r="M266" t="str">
        <x:f>IF(OR(LEFT(H266,15)="Missing dates; ",LEFT(H266,16)="Add N/A reason; ",H266="Add dates",H266="Add registration",H266="Check date format"),R266,"")</x:f>
      </x:c>
      <x:c r="N266" t="str">
        <x:f>IF(COUNTIFS(C266:F266,"Reviewed N/A")&gt;0,S266,"")</x:f>
      </x:c>
      <x:c r="O266" t="n">
        <x:f>O265+IF(AND(A266&lt;&gt;"",COUNTIFS(C266,"&gt;=36526",C266,"&lt;"&amp;TODAY())+COUNTIFS(D266,"&gt;=36526",D266,"&lt;"&amp;TODAY())+COUNTIFS(E266,"&gt;=36526",E266,"&lt;"&amp;TODAY())+COUNTIFS(F266,"&gt;=36526",F266,"&lt;"&amp;TODAY())&gt;0),1,0)</x:f>
        <x:v>0</x:v>
      </x:c>
      <x:c r="P266" t="n">
        <x:f>P265+IF(AND(A266&lt;&gt;"",COUNTIFS(C266,"&gt;=36526",C266,TODAY())+COUNTIFS(D266,"&gt;=36526",D266,TODAY())+COUNTIFS(E266,"&gt;=36526",E266,TODAY())+COUNTIFS(F266,"&gt;=36526",F266,TODAY())&gt;0),1,0)</x:f>
        <x:v>0</x:v>
      </x:c>
      <x:c r="Q266" t="n">
        <x:f>Q265+IF(AND(A266&lt;&gt;"",COUNTIFS(C266,"&gt;"&amp;TODAY(),C266,"&lt;="&amp;TODAY()+30)+COUNTIFS(D266,"&gt;"&amp;TODAY(),D266,"&lt;="&amp;TODAY()+30)+COUNTIFS(E266,"&gt;"&amp;TODAY(),E266,"&lt;="&amp;TODAY()+30)+COUNTIFS(F266,"&gt;"&amp;TODAY(),F266,"&lt;="&amp;TODAY()+30)&gt;0),1,0)</x:f>
        <x:v>0</x:v>
      </x:c>
      <x:c r="R266" t="n">
        <x:f>R265+IF(OR(LEFT(H266,15)="Missing dates; ",LEFT(H266,16)="Add N/A reason; ",H266="Add dates",H266="Add registration",H266="Check date format"),1,0)</x:f>
        <x:v>0</x:v>
      </x:c>
      <x:c r="S266" t="n">
        <x:f>S265+IF(COUNTIFS(C266:F266,"Reviewed N/A")&gt;0,1,0)</x:f>
        <x:v>0</x:v>
      </x:c>
    </x:row>
    <x:row r="267" ht="48" customHeight="1">
      <x:c r="A267" s="52"/>
      <x:c r="B267" s="52"/>
      <x:c r="C267" s="53"/>
      <x:c r="D267" s="53"/>
      <x:c r="E267" s="53"/>
      <x:c r="F267" s="53"/>
      <x:c r="G267" s="52"/>
      <x:c r="H267" s="21" t="str">
        <x:f>IF(COUNTA(A267:G267,I267)=0,"",IF(A267="","Add registration",IF(OR(COUNTA(C267:F267)&gt;COUNT(C267:F267)+COUNTIFS(C267:F267,"Reviewed N/A"),AND(COUNT(C267:F267)&gt;0,OR(MIN(C267:F267)&lt;36526,MAX(C267:F267)&gt;109574))),"Check date format",IF(AND(COUNTIFS(C267:F267,"Reviewed N/A")&gt;0,I267=""),"Add N/A reason; ","")&amp;IF(COUNT(C267:F267)=0,IF(COUNTIFS(C267:F267,"Reviewed N/A")=4,"No applicable dates recorded","Add dates"),IF(COUNT(C267:F267)+COUNTIFS(C267:F267,"Reviewed N/A")&lt;4,"Missing dates; ","")&amp;IF(MIN(C267:F267)&lt;TODAY(),"Overdue: ",IF(MIN(C267:F267)=TODAY(),"Due today: ",IF(MIN(C267:F267)&lt;=TODAY()+30,"Due within 30 days: ","Next: ")))&amp;INDEX($C$8:$F$8,1,MATCH(MIN(C267:F267),C267:F267,0))&amp;" "&amp;TEXT(MIN(C267:F267),"dd mmm yyyy")))))</x:f>
      </x:c>
      <x:c r="I267" s="52"/>
      <x:c r="J267" t="str">
        <x:f>IF(AND(A267&lt;&gt;"",COUNTIFS(C267,"&gt;=36526",C267,"&lt;"&amp;TODAY())+COUNTIFS(D267,"&gt;=36526",D267,"&lt;"&amp;TODAY())+COUNTIFS(E267,"&gt;=36526",E267,"&lt;"&amp;TODAY())+COUNTIFS(F267,"&gt;=36526",F267,"&lt;"&amp;TODAY())&gt;0),O267,"")</x:f>
      </x:c>
      <x:c r="K267" t="str">
        <x:f>IF(AND(A267&lt;&gt;"",COUNTIFS(C267,"&gt;=36526",C267,TODAY())+COUNTIFS(D267,"&gt;=36526",D267,TODAY())+COUNTIFS(E267,"&gt;=36526",E267,TODAY())+COUNTIFS(F267,"&gt;=36526",F267,TODAY())&gt;0),P267,"")</x:f>
      </x:c>
      <x:c r="L267" t="str">
        <x:f>IF(AND(A267&lt;&gt;"",COUNTIFS(C267,"&gt;"&amp;TODAY(),C267,"&lt;="&amp;TODAY()+30)+COUNTIFS(D267,"&gt;"&amp;TODAY(),D267,"&lt;="&amp;TODAY()+30)+COUNTIFS(E267,"&gt;"&amp;TODAY(),E267,"&lt;="&amp;TODAY()+30)+COUNTIFS(F267,"&gt;"&amp;TODAY(),F267,"&lt;="&amp;TODAY()+30)&gt;0),Q267,"")</x:f>
      </x:c>
      <x:c r="M267" t="str">
        <x:f>IF(OR(LEFT(H267,15)="Missing dates; ",LEFT(H267,16)="Add N/A reason; ",H267="Add dates",H267="Add registration",H267="Check date format"),R267,"")</x:f>
      </x:c>
      <x:c r="N267" t="str">
        <x:f>IF(COUNTIFS(C267:F267,"Reviewed N/A")&gt;0,S267,"")</x:f>
      </x:c>
      <x:c r="O267" t="n">
        <x:f>O266+IF(AND(A267&lt;&gt;"",COUNTIFS(C267,"&gt;=36526",C267,"&lt;"&amp;TODAY())+COUNTIFS(D267,"&gt;=36526",D267,"&lt;"&amp;TODAY())+COUNTIFS(E267,"&gt;=36526",E267,"&lt;"&amp;TODAY())+COUNTIFS(F267,"&gt;=36526",F267,"&lt;"&amp;TODAY())&gt;0),1,0)</x:f>
        <x:v>0</x:v>
      </x:c>
      <x:c r="P267" t="n">
        <x:f>P266+IF(AND(A267&lt;&gt;"",COUNTIFS(C267,"&gt;=36526",C267,TODAY())+COUNTIFS(D267,"&gt;=36526",D267,TODAY())+COUNTIFS(E267,"&gt;=36526",E267,TODAY())+COUNTIFS(F267,"&gt;=36526",F267,TODAY())&gt;0),1,0)</x:f>
        <x:v>0</x:v>
      </x:c>
      <x:c r="Q267" t="n">
        <x:f>Q266+IF(AND(A267&lt;&gt;"",COUNTIFS(C267,"&gt;"&amp;TODAY(),C267,"&lt;="&amp;TODAY()+30)+COUNTIFS(D267,"&gt;"&amp;TODAY(),D267,"&lt;="&amp;TODAY()+30)+COUNTIFS(E267,"&gt;"&amp;TODAY(),E267,"&lt;="&amp;TODAY()+30)+COUNTIFS(F267,"&gt;"&amp;TODAY(),F267,"&lt;="&amp;TODAY()+30)&gt;0),1,0)</x:f>
        <x:v>0</x:v>
      </x:c>
      <x:c r="R267" t="n">
        <x:f>R266+IF(OR(LEFT(H267,15)="Missing dates; ",LEFT(H267,16)="Add N/A reason; ",H267="Add dates",H267="Add registration",H267="Check date format"),1,0)</x:f>
        <x:v>0</x:v>
      </x:c>
      <x:c r="S267" t="n">
        <x:f>S266+IF(COUNTIFS(C267:F267,"Reviewed N/A")&gt;0,1,0)</x:f>
        <x:v>0</x:v>
      </x:c>
    </x:row>
    <x:row r="268" ht="48" customHeight="1">
      <x:c r="A268" s="52"/>
      <x:c r="B268" s="52"/>
      <x:c r="C268" s="53"/>
      <x:c r="D268" s="53"/>
      <x:c r="E268" s="53"/>
      <x:c r="F268" s="53"/>
      <x:c r="G268" s="52"/>
      <x:c r="H268" s="21" t="str">
        <x:f>IF(COUNTA(A268:G268,I268)=0,"",IF(A268="","Add registration",IF(OR(COUNTA(C268:F268)&gt;COUNT(C268:F268)+COUNTIFS(C268:F268,"Reviewed N/A"),AND(COUNT(C268:F268)&gt;0,OR(MIN(C268:F268)&lt;36526,MAX(C268:F268)&gt;109574))),"Check date format",IF(AND(COUNTIFS(C268:F268,"Reviewed N/A")&gt;0,I268=""),"Add N/A reason; ","")&amp;IF(COUNT(C268:F268)=0,IF(COUNTIFS(C268:F268,"Reviewed N/A")=4,"No applicable dates recorded","Add dates"),IF(COUNT(C268:F268)+COUNTIFS(C268:F268,"Reviewed N/A")&lt;4,"Missing dates; ","")&amp;IF(MIN(C268:F268)&lt;TODAY(),"Overdue: ",IF(MIN(C268:F268)=TODAY(),"Due today: ",IF(MIN(C268:F268)&lt;=TODAY()+30,"Due within 30 days: ","Next: ")))&amp;INDEX($C$8:$F$8,1,MATCH(MIN(C268:F268),C268:F268,0))&amp;" "&amp;TEXT(MIN(C268:F268),"dd mmm yyyy")))))</x:f>
      </x:c>
      <x:c r="I268" s="52"/>
      <x:c r="J268" t="str">
        <x:f>IF(AND(A268&lt;&gt;"",COUNTIFS(C268,"&gt;=36526",C268,"&lt;"&amp;TODAY())+COUNTIFS(D268,"&gt;=36526",D268,"&lt;"&amp;TODAY())+COUNTIFS(E268,"&gt;=36526",E268,"&lt;"&amp;TODAY())+COUNTIFS(F268,"&gt;=36526",F268,"&lt;"&amp;TODAY())&gt;0),O268,"")</x:f>
      </x:c>
      <x:c r="K268" t="str">
        <x:f>IF(AND(A268&lt;&gt;"",COUNTIFS(C268,"&gt;=36526",C268,TODAY())+COUNTIFS(D268,"&gt;=36526",D268,TODAY())+COUNTIFS(E268,"&gt;=36526",E268,TODAY())+COUNTIFS(F268,"&gt;=36526",F268,TODAY())&gt;0),P268,"")</x:f>
      </x:c>
      <x:c r="L268" t="str">
        <x:f>IF(AND(A268&lt;&gt;"",COUNTIFS(C268,"&gt;"&amp;TODAY(),C268,"&lt;="&amp;TODAY()+30)+COUNTIFS(D268,"&gt;"&amp;TODAY(),D268,"&lt;="&amp;TODAY()+30)+COUNTIFS(E268,"&gt;"&amp;TODAY(),E268,"&lt;="&amp;TODAY()+30)+COUNTIFS(F268,"&gt;"&amp;TODAY(),F268,"&lt;="&amp;TODAY()+30)&gt;0),Q268,"")</x:f>
      </x:c>
      <x:c r="M268" t="str">
        <x:f>IF(OR(LEFT(H268,15)="Missing dates; ",LEFT(H268,16)="Add N/A reason; ",H268="Add dates",H268="Add registration",H268="Check date format"),R268,"")</x:f>
      </x:c>
      <x:c r="N268" t="str">
        <x:f>IF(COUNTIFS(C268:F268,"Reviewed N/A")&gt;0,S268,"")</x:f>
      </x:c>
      <x:c r="O268" t="n">
        <x:f>O267+IF(AND(A268&lt;&gt;"",COUNTIFS(C268,"&gt;=36526",C268,"&lt;"&amp;TODAY())+COUNTIFS(D268,"&gt;=36526",D268,"&lt;"&amp;TODAY())+COUNTIFS(E268,"&gt;=36526",E268,"&lt;"&amp;TODAY())+COUNTIFS(F268,"&gt;=36526",F268,"&lt;"&amp;TODAY())&gt;0),1,0)</x:f>
        <x:v>0</x:v>
      </x:c>
      <x:c r="P268" t="n">
        <x:f>P267+IF(AND(A268&lt;&gt;"",COUNTIFS(C268,"&gt;=36526",C268,TODAY())+COUNTIFS(D268,"&gt;=36526",D268,TODAY())+COUNTIFS(E268,"&gt;=36526",E268,TODAY())+COUNTIFS(F268,"&gt;=36526",F268,TODAY())&gt;0),1,0)</x:f>
        <x:v>0</x:v>
      </x:c>
      <x:c r="Q268" t="n">
        <x:f>Q267+IF(AND(A268&lt;&gt;"",COUNTIFS(C268,"&gt;"&amp;TODAY(),C268,"&lt;="&amp;TODAY()+30)+COUNTIFS(D268,"&gt;"&amp;TODAY(),D268,"&lt;="&amp;TODAY()+30)+COUNTIFS(E268,"&gt;"&amp;TODAY(),E268,"&lt;="&amp;TODAY()+30)+COUNTIFS(F268,"&gt;"&amp;TODAY(),F268,"&lt;="&amp;TODAY()+30)&gt;0),1,0)</x:f>
        <x:v>0</x:v>
      </x:c>
      <x:c r="R268" t="n">
        <x:f>R267+IF(OR(LEFT(H268,15)="Missing dates; ",LEFT(H268,16)="Add N/A reason; ",H268="Add dates",H268="Add registration",H268="Check date format"),1,0)</x:f>
        <x:v>0</x:v>
      </x:c>
      <x:c r="S268" t="n">
        <x:f>S267+IF(COUNTIFS(C268:F268,"Reviewed N/A")&gt;0,1,0)</x:f>
        <x:v>0</x:v>
      </x:c>
    </x:row>
    <x:row r="269" ht="48" customHeight="1">
      <x:c r="A269" s="52"/>
      <x:c r="B269" s="52"/>
      <x:c r="C269" s="53"/>
      <x:c r="D269" s="53"/>
      <x:c r="E269" s="53"/>
      <x:c r="F269" s="53"/>
      <x:c r="G269" s="52"/>
      <x:c r="H269" s="21" t="str">
        <x:f>IF(COUNTA(A269:G269,I269)=0,"",IF(A269="","Add registration",IF(OR(COUNTA(C269:F269)&gt;COUNT(C269:F269)+COUNTIFS(C269:F269,"Reviewed N/A"),AND(COUNT(C269:F269)&gt;0,OR(MIN(C269:F269)&lt;36526,MAX(C269:F269)&gt;109574))),"Check date format",IF(AND(COUNTIFS(C269:F269,"Reviewed N/A")&gt;0,I269=""),"Add N/A reason; ","")&amp;IF(COUNT(C269:F269)=0,IF(COUNTIFS(C269:F269,"Reviewed N/A")=4,"No applicable dates recorded","Add dates"),IF(COUNT(C269:F269)+COUNTIFS(C269:F269,"Reviewed N/A")&lt;4,"Missing dates; ","")&amp;IF(MIN(C269:F269)&lt;TODAY(),"Overdue: ",IF(MIN(C269:F269)=TODAY(),"Due today: ",IF(MIN(C269:F269)&lt;=TODAY()+30,"Due within 30 days: ","Next: ")))&amp;INDEX($C$8:$F$8,1,MATCH(MIN(C269:F269),C269:F269,0))&amp;" "&amp;TEXT(MIN(C269:F269),"dd mmm yyyy")))))</x:f>
      </x:c>
      <x:c r="I269" s="52"/>
      <x:c r="J269" t="str">
        <x:f>IF(AND(A269&lt;&gt;"",COUNTIFS(C269,"&gt;=36526",C269,"&lt;"&amp;TODAY())+COUNTIFS(D269,"&gt;=36526",D269,"&lt;"&amp;TODAY())+COUNTIFS(E269,"&gt;=36526",E269,"&lt;"&amp;TODAY())+COUNTIFS(F269,"&gt;=36526",F269,"&lt;"&amp;TODAY())&gt;0),O269,"")</x:f>
      </x:c>
      <x:c r="K269" t="str">
        <x:f>IF(AND(A269&lt;&gt;"",COUNTIFS(C269,"&gt;=36526",C269,TODAY())+COUNTIFS(D269,"&gt;=36526",D269,TODAY())+COUNTIFS(E269,"&gt;=36526",E269,TODAY())+COUNTIFS(F269,"&gt;=36526",F269,TODAY())&gt;0),P269,"")</x:f>
      </x:c>
      <x:c r="L269" t="str">
        <x:f>IF(AND(A269&lt;&gt;"",COUNTIFS(C269,"&gt;"&amp;TODAY(),C269,"&lt;="&amp;TODAY()+30)+COUNTIFS(D269,"&gt;"&amp;TODAY(),D269,"&lt;="&amp;TODAY()+30)+COUNTIFS(E269,"&gt;"&amp;TODAY(),E269,"&lt;="&amp;TODAY()+30)+COUNTIFS(F269,"&gt;"&amp;TODAY(),F269,"&lt;="&amp;TODAY()+30)&gt;0),Q269,"")</x:f>
      </x:c>
      <x:c r="M269" t="str">
        <x:f>IF(OR(LEFT(H269,15)="Missing dates; ",LEFT(H269,16)="Add N/A reason; ",H269="Add dates",H269="Add registration",H269="Check date format"),R269,"")</x:f>
      </x:c>
      <x:c r="N269" t="str">
        <x:f>IF(COUNTIFS(C269:F269,"Reviewed N/A")&gt;0,S269,"")</x:f>
      </x:c>
      <x:c r="O269" t="n">
        <x:f>O268+IF(AND(A269&lt;&gt;"",COUNTIFS(C269,"&gt;=36526",C269,"&lt;"&amp;TODAY())+COUNTIFS(D269,"&gt;=36526",D269,"&lt;"&amp;TODAY())+COUNTIFS(E269,"&gt;=36526",E269,"&lt;"&amp;TODAY())+COUNTIFS(F269,"&gt;=36526",F269,"&lt;"&amp;TODAY())&gt;0),1,0)</x:f>
        <x:v>0</x:v>
      </x:c>
      <x:c r="P269" t="n">
        <x:f>P268+IF(AND(A269&lt;&gt;"",COUNTIFS(C269,"&gt;=36526",C269,TODAY())+COUNTIFS(D269,"&gt;=36526",D269,TODAY())+COUNTIFS(E269,"&gt;=36526",E269,TODAY())+COUNTIFS(F269,"&gt;=36526",F269,TODAY())&gt;0),1,0)</x:f>
        <x:v>0</x:v>
      </x:c>
      <x:c r="Q269" t="n">
        <x:f>Q268+IF(AND(A269&lt;&gt;"",COUNTIFS(C269,"&gt;"&amp;TODAY(),C269,"&lt;="&amp;TODAY()+30)+COUNTIFS(D269,"&gt;"&amp;TODAY(),D269,"&lt;="&amp;TODAY()+30)+COUNTIFS(E269,"&gt;"&amp;TODAY(),E269,"&lt;="&amp;TODAY()+30)+COUNTIFS(F269,"&gt;"&amp;TODAY(),F269,"&lt;="&amp;TODAY()+30)&gt;0),1,0)</x:f>
        <x:v>0</x:v>
      </x:c>
      <x:c r="R269" t="n">
        <x:f>R268+IF(OR(LEFT(H269,15)="Missing dates; ",LEFT(H269,16)="Add N/A reason; ",H269="Add dates",H269="Add registration",H269="Check date format"),1,0)</x:f>
        <x:v>0</x:v>
      </x:c>
      <x:c r="S269" t="n">
        <x:f>S268+IF(COUNTIFS(C269:F269,"Reviewed N/A")&gt;0,1,0)</x:f>
        <x:v>0</x:v>
      </x:c>
    </x:row>
    <x:row r="270" ht="48" customHeight="1">
      <x:c r="A270" s="52"/>
      <x:c r="B270" s="52"/>
      <x:c r="C270" s="53"/>
      <x:c r="D270" s="53"/>
      <x:c r="E270" s="53"/>
      <x:c r="F270" s="53"/>
      <x:c r="G270" s="52"/>
      <x:c r="H270" s="21" t="str">
        <x:f>IF(COUNTA(A270:G270,I270)=0,"",IF(A270="","Add registration",IF(OR(COUNTA(C270:F270)&gt;COUNT(C270:F270)+COUNTIFS(C270:F270,"Reviewed N/A"),AND(COUNT(C270:F270)&gt;0,OR(MIN(C270:F270)&lt;36526,MAX(C270:F270)&gt;109574))),"Check date format",IF(AND(COUNTIFS(C270:F270,"Reviewed N/A")&gt;0,I270=""),"Add N/A reason; ","")&amp;IF(COUNT(C270:F270)=0,IF(COUNTIFS(C270:F270,"Reviewed N/A")=4,"No applicable dates recorded","Add dates"),IF(COUNT(C270:F270)+COUNTIFS(C270:F270,"Reviewed N/A")&lt;4,"Missing dates; ","")&amp;IF(MIN(C270:F270)&lt;TODAY(),"Overdue: ",IF(MIN(C270:F270)=TODAY(),"Due today: ",IF(MIN(C270:F270)&lt;=TODAY()+30,"Due within 30 days: ","Next: ")))&amp;INDEX($C$8:$F$8,1,MATCH(MIN(C270:F270),C270:F270,0))&amp;" "&amp;TEXT(MIN(C270:F270),"dd mmm yyyy")))))</x:f>
      </x:c>
      <x:c r="I270" s="52"/>
      <x:c r="J270" t="str">
        <x:f>IF(AND(A270&lt;&gt;"",COUNTIFS(C270,"&gt;=36526",C270,"&lt;"&amp;TODAY())+COUNTIFS(D270,"&gt;=36526",D270,"&lt;"&amp;TODAY())+COUNTIFS(E270,"&gt;=36526",E270,"&lt;"&amp;TODAY())+COUNTIFS(F270,"&gt;=36526",F270,"&lt;"&amp;TODAY())&gt;0),O270,"")</x:f>
      </x:c>
      <x:c r="K270" t="str">
        <x:f>IF(AND(A270&lt;&gt;"",COUNTIFS(C270,"&gt;=36526",C270,TODAY())+COUNTIFS(D270,"&gt;=36526",D270,TODAY())+COUNTIFS(E270,"&gt;=36526",E270,TODAY())+COUNTIFS(F270,"&gt;=36526",F270,TODAY())&gt;0),P270,"")</x:f>
      </x:c>
      <x:c r="L270" t="str">
        <x:f>IF(AND(A270&lt;&gt;"",COUNTIFS(C270,"&gt;"&amp;TODAY(),C270,"&lt;="&amp;TODAY()+30)+COUNTIFS(D270,"&gt;"&amp;TODAY(),D270,"&lt;="&amp;TODAY()+30)+COUNTIFS(E270,"&gt;"&amp;TODAY(),E270,"&lt;="&amp;TODAY()+30)+COUNTIFS(F270,"&gt;"&amp;TODAY(),F270,"&lt;="&amp;TODAY()+30)&gt;0),Q270,"")</x:f>
      </x:c>
      <x:c r="M270" t="str">
        <x:f>IF(OR(LEFT(H270,15)="Missing dates; ",LEFT(H270,16)="Add N/A reason; ",H270="Add dates",H270="Add registration",H270="Check date format"),R270,"")</x:f>
      </x:c>
      <x:c r="N270" t="str">
        <x:f>IF(COUNTIFS(C270:F270,"Reviewed N/A")&gt;0,S270,"")</x:f>
      </x:c>
      <x:c r="O270" t="n">
        <x:f>O269+IF(AND(A270&lt;&gt;"",COUNTIFS(C270,"&gt;=36526",C270,"&lt;"&amp;TODAY())+COUNTIFS(D270,"&gt;=36526",D270,"&lt;"&amp;TODAY())+COUNTIFS(E270,"&gt;=36526",E270,"&lt;"&amp;TODAY())+COUNTIFS(F270,"&gt;=36526",F270,"&lt;"&amp;TODAY())&gt;0),1,0)</x:f>
        <x:v>0</x:v>
      </x:c>
      <x:c r="P270" t="n">
        <x:f>P269+IF(AND(A270&lt;&gt;"",COUNTIFS(C270,"&gt;=36526",C270,TODAY())+COUNTIFS(D270,"&gt;=36526",D270,TODAY())+COUNTIFS(E270,"&gt;=36526",E270,TODAY())+COUNTIFS(F270,"&gt;=36526",F270,TODAY())&gt;0),1,0)</x:f>
        <x:v>0</x:v>
      </x:c>
      <x:c r="Q270" t="n">
        <x:f>Q269+IF(AND(A270&lt;&gt;"",COUNTIFS(C270,"&gt;"&amp;TODAY(),C270,"&lt;="&amp;TODAY()+30)+COUNTIFS(D270,"&gt;"&amp;TODAY(),D270,"&lt;="&amp;TODAY()+30)+COUNTIFS(E270,"&gt;"&amp;TODAY(),E270,"&lt;="&amp;TODAY()+30)+COUNTIFS(F270,"&gt;"&amp;TODAY(),F270,"&lt;="&amp;TODAY()+30)&gt;0),1,0)</x:f>
        <x:v>0</x:v>
      </x:c>
      <x:c r="R270" t="n">
        <x:f>R269+IF(OR(LEFT(H270,15)="Missing dates; ",LEFT(H270,16)="Add N/A reason; ",H270="Add dates",H270="Add registration",H270="Check date format"),1,0)</x:f>
        <x:v>0</x:v>
      </x:c>
      <x:c r="S270" t="n">
        <x:f>S269+IF(COUNTIFS(C270:F270,"Reviewed N/A")&gt;0,1,0)</x:f>
        <x:v>0</x:v>
      </x:c>
    </x:row>
    <x:row r="271" ht="48" customHeight="1">
      <x:c r="A271" s="52"/>
      <x:c r="B271" s="52"/>
      <x:c r="C271" s="53"/>
      <x:c r="D271" s="53"/>
      <x:c r="E271" s="53"/>
      <x:c r="F271" s="53"/>
      <x:c r="G271" s="52"/>
      <x:c r="H271" s="21" t="str">
        <x:f>IF(COUNTA(A271:G271,I271)=0,"",IF(A271="","Add registration",IF(OR(COUNTA(C271:F271)&gt;COUNT(C271:F271)+COUNTIFS(C271:F271,"Reviewed N/A"),AND(COUNT(C271:F271)&gt;0,OR(MIN(C271:F271)&lt;36526,MAX(C271:F271)&gt;109574))),"Check date format",IF(AND(COUNTIFS(C271:F271,"Reviewed N/A")&gt;0,I271=""),"Add N/A reason; ","")&amp;IF(COUNT(C271:F271)=0,IF(COUNTIFS(C271:F271,"Reviewed N/A")=4,"No applicable dates recorded","Add dates"),IF(COUNT(C271:F271)+COUNTIFS(C271:F271,"Reviewed N/A")&lt;4,"Missing dates; ","")&amp;IF(MIN(C271:F271)&lt;TODAY(),"Overdue: ",IF(MIN(C271:F271)=TODAY(),"Due today: ",IF(MIN(C271:F271)&lt;=TODAY()+30,"Due within 30 days: ","Next: ")))&amp;INDEX($C$8:$F$8,1,MATCH(MIN(C271:F271),C271:F271,0))&amp;" "&amp;TEXT(MIN(C271:F271),"dd mmm yyyy")))))</x:f>
      </x:c>
      <x:c r="I271" s="52"/>
      <x:c r="J271" t="str">
        <x:f>IF(AND(A271&lt;&gt;"",COUNTIFS(C271,"&gt;=36526",C271,"&lt;"&amp;TODAY())+COUNTIFS(D271,"&gt;=36526",D271,"&lt;"&amp;TODAY())+COUNTIFS(E271,"&gt;=36526",E271,"&lt;"&amp;TODAY())+COUNTIFS(F271,"&gt;=36526",F271,"&lt;"&amp;TODAY())&gt;0),O271,"")</x:f>
      </x:c>
      <x:c r="K271" t="str">
        <x:f>IF(AND(A271&lt;&gt;"",COUNTIFS(C271,"&gt;=36526",C271,TODAY())+COUNTIFS(D271,"&gt;=36526",D271,TODAY())+COUNTIFS(E271,"&gt;=36526",E271,TODAY())+COUNTIFS(F271,"&gt;=36526",F271,TODAY())&gt;0),P271,"")</x:f>
      </x:c>
      <x:c r="L271" t="str">
        <x:f>IF(AND(A271&lt;&gt;"",COUNTIFS(C271,"&gt;"&amp;TODAY(),C271,"&lt;="&amp;TODAY()+30)+COUNTIFS(D271,"&gt;"&amp;TODAY(),D271,"&lt;="&amp;TODAY()+30)+COUNTIFS(E271,"&gt;"&amp;TODAY(),E271,"&lt;="&amp;TODAY()+30)+COUNTIFS(F271,"&gt;"&amp;TODAY(),F271,"&lt;="&amp;TODAY()+30)&gt;0),Q271,"")</x:f>
      </x:c>
      <x:c r="M271" t="str">
        <x:f>IF(OR(LEFT(H271,15)="Missing dates; ",LEFT(H271,16)="Add N/A reason; ",H271="Add dates",H271="Add registration",H271="Check date format"),R271,"")</x:f>
      </x:c>
      <x:c r="N271" t="str">
        <x:f>IF(COUNTIFS(C271:F271,"Reviewed N/A")&gt;0,S271,"")</x:f>
      </x:c>
      <x:c r="O271" t="n">
        <x:f>O270+IF(AND(A271&lt;&gt;"",COUNTIFS(C271,"&gt;=36526",C271,"&lt;"&amp;TODAY())+COUNTIFS(D271,"&gt;=36526",D271,"&lt;"&amp;TODAY())+COUNTIFS(E271,"&gt;=36526",E271,"&lt;"&amp;TODAY())+COUNTIFS(F271,"&gt;=36526",F271,"&lt;"&amp;TODAY())&gt;0),1,0)</x:f>
        <x:v>0</x:v>
      </x:c>
      <x:c r="P271" t="n">
        <x:f>P270+IF(AND(A271&lt;&gt;"",COUNTIFS(C271,"&gt;=36526",C271,TODAY())+COUNTIFS(D271,"&gt;=36526",D271,TODAY())+COUNTIFS(E271,"&gt;=36526",E271,TODAY())+COUNTIFS(F271,"&gt;=36526",F271,TODAY())&gt;0),1,0)</x:f>
        <x:v>0</x:v>
      </x:c>
      <x:c r="Q271" t="n">
        <x:f>Q270+IF(AND(A271&lt;&gt;"",COUNTIFS(C271,"&gt;"&amp;TODAY(),C271,"&lt;="&amp;TODAY()+30)+COUNTIFS(D271,"&gt;"&amp;TODAY(),D271,"&lt;="&amp;TODAY()+30)+COUNTIFS(E271,"&gt;"&amp;TODAY(),E271,"&lt;="&amp;TODAY()+30)+COUNTIFS(F271,"&gt;"&amp;TODAY(),F271,"&lt;="&amp;TODAY()+30)&gt;0),1,0)</x:f>
        <x:v>0</x:v>
      </x:c>
      <x:c r="R271" t="n">
        <x:f>R270+IF(OR(LEFT(H271,15)="Missing dates; ",LEFT(H271,16)="Add N/A reason; ",H271="Add dates",H271="Add registration",H271="Check date format"),1,0)</x:f>
        <x:v>0</x:v>
      </x:c>
      <x:c r="S271" t="n">
        <x:f>S270+IF(COUNTIFS(C271:F271,"Reviewed N/A")&gt;0,1,0)</x:f>
        <x:v>0</x:v>
      </x:c>
    </x:row>
    <x:row r="272" ht="48" customHeight="1">
      <x:c r="A272" s="52"/>
      <x:c r="B272" s="52"/>
      <x:c r="C272" s="53"/>
      <x:c r="D272" s="53"/>
      <x:c r="E272" s="53"/>
      <x:c r="F272" s="53"/>
      <x:c r="G272" s="52"/>
      <x:c r="H272" s="21" t="str">
        <x:f>IF(COUNTA(A272:G272,I272)=0,"",IF(A272="","Add registration",IF(OR(COUNTA(C272:F272)&gt;COUNT(C272:F272)+COUNTIFS(C272:F272,"Reviewed N/A"),AND(COUNT(C272:F272)&gt;0,OR(MIN(C272:F272)&lt;36526,MAX(C272:F272)&gt;109574))),"Check date format",IF(AND(COUNTIFS(C272:F272,"Reviewed N/A")&gt;0,I272=""),"Add N/A reason; ","")&amp;IF(COUNT(C272:F272)=0,IF(COUNTIFS(C272:F272,"Reviewed N/A")=4,"No applicable dates recorded","Add dates"),IF(COUNT(C272:F272)+COUNTIFS(C272:F272,"Reviewed N/A")&lt;4,"Missing dates; ","")&amp;IF(MIN(C272:F272)&lt;TODAY(),"Overdue: ",IF(MIN(C272:F272)=TODAY(),"Due today: ",IF(MIN(C272:F272)&lt;=TODAY()+30,"Due within 30 days: ","Next: ")))&amp;INDEX($C$8:$F$8,1,MATCH(MIN(C272:F272),C272:F272,0))&amp;" "&amp;TEXT(MIN(C272:F272),"dd mmm yyyy")))))</x:f>
      </x:c>
      <x:c r="I272" s="52"/>
      <x:c r="J272" t="str">
        <x:f>IF(AND(A272&lt;&gt;"",COUNTIFS(C272,"&gt;=36526",C272,"&lt;"&amp;TODAY())+COUNTIFS(D272,"&gt;=36526",D272,"&lt;"&amp;TODAY())+COUNTIFS(E272,"&gt;=36526",E272,"&lt;"&amp;TODAY())+COUNTIFS(F272,"&gt;=36526",F272,"&lt;"&amp;TODAY())&gt;0),O272,"")</x:f>
      </x:c>
      <x:c r="K272" t="str">
        <x:f>IF(AND(A272&lt;&gt;"",COUNTIFS(C272,"&gt;=36526",C272,TODAY())+COUNTIFS(D272,"&gt;=36526",D272,TODAY())+COUNTIFS(E272,"&gt;=36526",E272,TODAY())+COUNTIFS(F272,"&gt;=36526",F272,TODAY())&gt;0),P272,"")</x:f>
      </x:c>
      <x:c r="L272" t="str">
        <x:f>IF(AND(A272&lt;&gt;"",COUNTIFS(C272,"&gt;"&amp;TODAY(),C272,"&lt;="&amp;TODAY()+30)+COUNTIFS(D272,"&gt;"&amp;TODAY(),D272,"&lt;="&amp;TODAY()+30)+COUNTIFS(E272,"&gt;"&amp;TODAY(),E272,"&lt;="&amp;TODAY()+30)+COUNTIFS(F272,"&gt;"&amp;TODAY(),F272,"&lt;="&amp;TODAY()+30)&gt;0),Q272,"")</x:f>
      </x:c>
      <x:c r="M272" t="str">
        <x:f>IF(OR(LEFT(H272,15)="Missing dates; ",LEFT(H272,16)="Add N/A reason; ",H272="Add dates",H272="Add registration",H272="Check date format"),R272,"")</x:f>
      </x:c>
      <x:c r="N272" t="str">
        <x:f>IF(COUNTIFS(C272:F272,"Reviewed N/A")&gt;0,S272,"")</x:f>
      </x:c>
      <x:c r="O272" t="n">
        <x:f>O271+IF(AND(A272&lt;&gt;"",COUNTIFS(C272,"&gt;=36526",C272,"&lt;"&amp;TODAY())+COUNTIFS(D272,"&gt;=36526",D272,"&lt;"&amp;TODAY())+COUNTIFS(E272,"&gt;=36526",E272,"&lt;"&amp;TODAY())+COUNTIFS(F272,"&gt;=36526",F272,"&lt;"&amp;TODAY())&gt;0),1,0)</x:f>
        <x:v>0</x:v>
      </x:c>
      <x:c r="P272" t="n">
        <x:f>P271+IF(AND(A272&lt;&gt;"",COUNTIFS(C272,"&gt;=36526",C272,TODAY())+COUNTIFS(D272,"&gt;=36526",D272,TODAY())+COUNTIFS(E272,"&gt;=36526",E272,TODAY())+COUNTIFS(F272,"&gt;=36526",F272,TODAY())&gt;0),1,0)</x:f>
        <x:v>0</x:v>
      </x:c>
      <x:c r="Q272" t="n">
        <x:f>Q271+IF(AND(A272&lt;&gt;"",COUNTIFS(C272,"&gt;"&amp;TODAY(),C272,"&lt;="&amp;TODAY()+30)+COUNTIFS(D272,"&gt;"&amp;TODAY(),D272,"&lt;="&amp;TODAY()+30)+COUNTIFS(E272,"&gt;"&amp;TODAY(),E272,"&lt;="&amp;TODAY()+30)+COUNTIFS(F272,"&gt;"&amp;TODAY(),F272,"&lt;="&amp;TODAY()+30)&gt;0),1,0)</x:f>
        <x:v>0</x:v>
      </x:c>
      <x:c r="R272" t="n">
        <x:f>R271+IF(OR(LEFT(H272,15)="Missing dates; ",LEFT(H272,16)="Add N/A reason; ",H272="Add dates",H272="Add registration",H272="Check date format"),1,0)</x:f>
        <x:v>0</x:v>
      </x:c>
      <x:c r="S272" t="n">
        <x:f>S271+IF(COUNTIFS(C272:F272,"Reviewed N/A")&gt;0,1,0)</x:f>
        <x:v>0</x:v>
      </x:c>
    </x:row>
    <x:row r="273" ht="48" customHeight="1">
      <x:c r="A273" s="52"/>
      <x:c r="B273" s="52"/>
      <x:c r="C273" s="53"/>
      <x:c r="D273" s="53"/>
      <x:c r="E273" s="53"/>
      <x:c r="F273" s="53"/>
      <x:c r="G273" s="52"/>
      <x:c r="H273" s="21" t="str">
        <x:f>IF(COUNTA(A273:G273,I273)=0,"",IF(A273="","Add registration",IF(OR(COUNTA(C273:F273)&gt;COUNT(C273:F273)+COUNTIFS(C273:F273,"Reviewed N/A"),AND(COUNT(C273:F273)&gt;0,OR(MIN(C273:F273)&lt;36526,MAX(C273:F273)&gt;109574))),"Check date format",IF(AND(COUNTIFS(C273:F273,"Reviewed N/A")&gt;0,I273=""),"Add N/A reason; ","")&amp;IF(COUNT(C273:F273)=0,IF(COUNTIFS(C273:F273,"Reviewed N/A")=4,"No applicable dates recorded","Add dates"),IF(COUNT(C273:F273)+COUNTIFS(C273:F273,"Reviewed N/A")&lt;4,"Missing dates; ","")&amp;IF(MIN(C273:F273)&lt;TODAY(),"Overdue: ",IF(MIN(C273:F273)=TODAY(),"Due today: ",IF(MIN(C273:F273)&lt;=TODAY()+30,"Due within 30 days: ","Next: ")))&amp;INDEX($C$8:$F$8,1,MATCH(MIN(C273:F273),C273:F273,0))&amp;" "&amp;TEXT(MIN(C273:F273),"dd mmm yyyy")))))</x:f>
      </x:c>
      <x:c r="I273" s="52"/>
      <x:c r="J273" t="str">
        <x:f>IF(AND(A273&lt;&gt;"",COUNTIFS(C273,"&gt;=36526",C273,"&lt;"&amp;TODAY())+COUNTIFS(D273,"&gt;=36526",D273,"&lt;"&amp;TODAY())+COUNTIFS(E273,"&gt;=36526",E273,"&lt;"&amp;TODAY())+COUNTIFS(F273,"&gt;=36526",F273,"&lt;"&amp;TODAY())&gt;0),O273,"")</x:f>
      </x:c>
      <x:c r="K273" t="str">
        <x:f>IF(AND(A273&lt;&gt;"",COUNTIFS(C273,"&gt;=36526",C273,TODAY())+COUNTIFS(D273,"&gt;=36526",D273,TODAY())+COUNTIFS(E273,"&gt;=36526",E273,TODAY())+COUNTIFS(F273,"&gt;=36526",F273,TODAY())&gt;0),P273,"")</x:f>
      </x:c>
      <x:c r="L273" t="str">
        <x:f>IF(AND(A273&lt;&gt;"",COUNTIFS(C273,"&gt;"&amp;TODAY(),C273,"&lt;="&amp;TODAY()+30)+COUNTIFS(D273,"&gt;"&amp;TODAY(),D273,"&lt;="&amp;TODAY()+30)+COUNTIFS(E273,"&gt;"&amp;TODAY(),E273,"&lt;="&amp;TODAY()+30)+COUNTIFS(F273,"&gt;"&amp;TODAY(),F273,"&lt;="&amp;TODAY()+30)&gt;0),Q273,"")</x:f>
      </x:c>
      <x:c r="M273" t="str">
        <x:f>IF(OR(LEFT(H273,15)="Missing dates; ",LEFT(H273,16)="Add N/A reason; ",H273="Add dates",H273="Add registration",H273="Check date format"),R273,"")</x:f>
      </x:c>
      <x:c r="N273" t="str">
        <x:f>IF(COUNTIFS(C273:F273,"Reviewed N/A")&gt;0,S273,"")</x:f>
      </x:c>
      <x:c r="O273" t="n">
        <x:f>O272+IF(AND(A273&lt;&gt;"",COUNTIFS(C273,"&gt;=36526",C273,"&lt;"&amp;TODAY())+COUNTIFS(D273,"&gt;=36526",D273,"&lt;"&amp;TODAY())+COUNTIFS(E273,"&gt;=36526",E273,"&lt;"&amp;TODAY())+COUNTIFS(F273,"&gt;=36526",F273,"&lt;"&amp;TODAY())&gt;0),1,0)</x:f>
        <x:v>0</x:v>
      </x:c>
      <x:c r="P273" t="n">
        <x:f>P272+IF(AND(A273&lt;&gt;"",COUNTIFS(C273,"&gt;=36526",C273,TODAY())+COUNTIFS(D273,"&gt;=36526",D273,TODAY())+COUNTIFS(E273,"&gt;=36526",E273,TODAY())+COUNTIFS(F273,"&gt;=36526",F273,TODAY())&gt;0),1,0)</x:f>
        <x:v>0</x:v>
      </x:c>
      <x:c r="Q273" t="n">
        <x:f>Q272+IF(AND(A273&lt;&gt;"",COUNTIFS(C273,"&gt;"&amp;TODAY(),C273,"&lt;="&amp;TODAY()+30)+COUNTIFS(D273,"&gt;"&amp;TODAY(),D273,"&lt;="&amp;TODAY()+30)+COUNTIFS(E273,"&gt;"&amp;TODAY(),E273,"&lt;="&amp;TODAY()+30)+COUNTIFS(F273,"&gt;"&amp;TODAY(),F273,"&lt;="&amp;TODAY()+30)&gt;0),1,0)</x:f>
        <x:v>0</x:v>
      </x:c>
      <x:c r="R273" t="n">
        <x:f>R272+IF(OR(LEFT(H273,15)="Missing dates; ",LEFT(H273,16)="Add N/A reason; ",H273="Add dates",H273="Add registration",H273="Check date format"),1,0)</x:f>
        <x:v>0</x:v>
      </x:c>
      <x:c r="S273" t="n">
        <x:f>S272+IF(COUNTIFS(C273:F273,"Reviewed N/A")&gt;0,1,0)</x:f>
        <x:v>0</x:v>
      </x:c>
    </x:row>
    <x:row r="274" ht="48" customHeight="1">
      <x:c r="A274" s="52"/>
      <x:c r="B274" s="52"/>
      <x:c r="C274" s="53"/>
      <x:c r="D274" s="53"/>
      <x:c r="E274" s="53"/>
      <x:c r="F274" s="53"/>
      <x:c r="G274" s="52"/>
      <x:c r="H274" s="21" t="str">
        <x:f>IF(COUNTA(A274:G274,I274)=0,"",IF(A274="","Add registration",IF(OR(COUNTA(C274:F274)&gt;COUNT(C274:F274)+COUNTIFS(C274:F274,"Reviewed N/A"),AND(COUNT(C274:F274)&gt;0,OR(MIN(C274:F274)&lt;36526,MAX(C274:F274)&gt;109574))),"Check date format",IF(AND(COUNTIFS(C274:F274,"Reviewed N/A")&gt;0,I274=""),"Add N/A reason; ","")&amp;IF(COUNT(C274:F274)=0,IF(COUNTIFS(C274:F274,"Reviewed N/A")=4,"No applicable dates recorded","Add dates"),IF(COUNT(C274:F274)+COUNTIFS(C274:F274,"Reviewed N/A")&lt;4,"Missing dates; ","")&amp;IF(MIN(C274:F274)&lt;TODAY(),"Overdue: ",IF(MIN(C274:F274)=TODAY(),"Due today: ",IF(MIN(C274:F274)&lt;=TODAY()+30,"Due within 30 days: ","Next: ")))&amp;INDEX($C$8:$F$8,1,MATCH(MIN(C274:F274),C274:F274,0))&amp;" "&amp;TEXT(MIN(C274:F274),"dd mmm yyyy")))))</x:f>
      </x:c>
      <x:c r="I274" s="52"/>
      <x:c r="J274" t="str">
        <x:f>IF(AND(A274&lt;&gt;"",COUNTIFS(C274,"&gt;=36526",C274,"&lt;"&amp;TODAY())+COUNTIFS(D274,"&gt;=36526",D274,"&lt;"&amp;TODAY())+COUNTIFS(E274,"&gt;=36526",E274,"&lt;"&amp;TODAY())+COUNTIFS(F274,"&gt;=36526",F274,"&lt;"&amp;TODAY())&gt;0),O274,"")</x:f>
      </x:c>
      <x:c r="K274" t="str">
        <x:f>IF(AND(A274&lt;&gt;"",COUNTIFS(C274,"&gt;=36526",C274,TODAY())+COUNTIFS(D274,"&gt;=36526",D274,TODAY())+COUNTIFS(E274,"&gt;=36526",E274,TODAY())+COUNTIFS(F274,"&gt;=36526",F274,TODAY())&gt;0),P274,"")</x:f>
      </x:c>
      <x:c r="L274" t="str">
        <x:f>IF(AND(A274&lt;&gt;"",COUNTIFS(C274,"&gt;"&amp;TODAY(),C274,"&lt;="&amp;TODAY()+30)+COUNTIFS(D274,"&gt;"&amp;TODAY(),D274,"&lt;="&amp;TODAY()+30)+COUNTIFS(E274,"&gt;"&amp;TODAY(),E274,"&lt;="&amp;TODAY()+30)+COUNTIFS(F274,"&gt;"&amp;TODAY(),F274,"&lt;="&amp;TODAY()+30)&gt;0),Q274,"")</x:f>
      </x:c>
      <x:c r="M274" t="str">
        <x:f>IF(OR(LEFT(H274,15)="Missing dates; ",LEFT(H274,16)="Add N/A reason; ",H274="Add dates",H274="Add registration",H274="Check date format"),R274,"")</x:f>
      </x:c>
      <x:c r="N274" t="str">
        <x:f>IF(COUNTIFS(C274:F274,"Reviewed N/A")&gt;0,S274,"")</x:f>
      </x:c>
      <x:c r="O274" t="n">
        <x:f>O273+IF(AND(A274&lt;&gt;"",COUNTIFS(C274,"&gt;=36526",C274,"&lt;"&amp;TODAY())+COUNTIFS(D274,"&gt;=36526",D274,"&lt;"&amp;TODAY())+COUNTIFS(E274,"&gt;=36526",E274,"&lt;"&amp;TODAY())+COUNTIFS(F274,"&gt;=36526",F274,"&lt;"&amp;TODAY())&gt;0),1,0)</x:f>
        <x:v>0</x:v>
      </x:c>
      <x:c r="P274" t="n">
        <x:f>P273+IF(AND(A274&lt;&gt;"",COUNTIFS(C274,"&gt;=36526",C274,TODAY())+COUNTIFS(D274,"&gt;=36526",D274,TODAY())+COUNTIFS(E274,"&gt;=36526",E274,TODAY())+COUNTIFS(F274,"&gt;=36526",F274,TODAY())&gt;0),1,0)</x:f>
        <x:v>0</x:v>
      </x:c>
      <x:c r="Q274" t="n">
        <x:f>Q273+IF(AND(A274&lt;&gt;"",COUNTIFS(C274,"&gt;"&amp;TODAY(),C274,"&lt;="&amp;TODAY()+30)+COUNTIFS(D274,"&gt;"&amp;TODAY(),D274,"&lt;="&amp;TODAY()+30)+COUNTIFS(E274,"&gt;"&amp;TODAY(),E274,"&lt;="&amp;TODAY()+30)+COUNTIFS(F274,"&gt;"&amp;TODAY(),F274,"&lt;="&amp;TODAY()+30)&gt;0),1,0)</x:f>
        <x:v>0</x:v>
      </x:c>
      <x:c r="R274" t="n">
        <x:f>R273+IF(OR(LEFT(H274,15)="Missing dates; ",LEFT(H274,16)="Add N/A reason; ",H274="Add dates",H274="Add registration",H274="Check date format"),1,0)</x:f>
        <x:v>0</x:v>
      </x:c>
      <x:c r="S274" t="n">
        <x:f>S273+IF(COUNTIFS(C274:F274,"Reviewed N/A")&gt;0,1,0)</x:f>
        <x:v>0</x:v>
      </x:c>
    </x:row>
    <x:row r="275" ht="48" customHeight="1">
      <x:c r="A275" s="52"/>
      <x:c r="B275" s="52"/>
      <x:c r="C275" s="53"/>
      <x:c r="D275" s="53"/>
      <x:c r="E275" s="53"/>
      <x:c r="F275" s="53"/>
      <x:c r="G275" s="52"/>
      <x:c r="H275" s="21" t="str">
        <x:f>IF(COUNTA(A275:G275,I275)=0,"",IF(A275="","Add registration",IF(OR(COUNTA(C275:F275)&gt;COUNT(C275:F275)+COUNTIFS(C275:F275,"Reviewed N/A"),AND(COUNT(C275:F275)&gt;0,OR(MIN(C275:F275)&lt;36526,MAX(C275:F275)&gt;109574))),"Check date format",IF(AND(COUNTIFS(C275:F275,"Reviewed N/A")&gt;0,I275=""),"Add N/A reason; ","")&amp;IF(COUNT(C275:F275)=0,IF(COUNTIFS(C275:F275,"Reviewed N/A")=4,"No applicable dates recorded","Add dates"),IF(COUNT(C275:F275)+COUNTIFS(C275:F275,"Reviewed N/A")&lt;4,"Missing dates; ","")&amp;IF(MIN(C275:F275)&lt;TODAY(),"Overdue: ",IF(MIN(C275:F275)=TODAY(),"Due today: ",IF(MIN(C275:F275)&lt;=TODAY()+30,"Due within 30 days: ","Next: ")))&amp;INDEX($C$8:$F$8,1,MATCH(MIN(C275:F275),C275:F275,0))&amp;" "&amp;TEXT(MIN(C275:F275),"dd mmm yyyy")))))</x:f>
      </x:c>
      <x:c r="I275" s="52"/>
      <x:c r="J275" t="str">
        <x:f>IF(AND(A275&lt;&gt;"",COUNTIFS(C275,"&gt;=36526",C275,"&lt;"&amp;TODAY())+COUNTIFS(D275,"&gt;=36526",D275,"&lt;"&amp;TODAY())+COUNTIFS(E275,"&gt;=36526",E275,"&lt;"&amp;TODAY())+COUNTIFS(F275,"&gt;=36526",F275,"&lt;"&amp;TODAY())&gt;0),O275,"")</x:f>
      </x:c>
      <x:c r="K275" t="str">
        <x:f>IF(AND(A275&lt;&gt;"",COUNTIFS(C275,"&gt;=36526",C275,TODAY())+COUNTIFS(D275,"&gt;=36526",D275,TODAY())+COUNTIFS(E275,"&gt;=36526",E275,TODAY())+COUNTIFS(F275,"&gt;=36526",F275,TODAY())&gt;0),P275,"")</x:f>
      </x:c>
      <x:c r="L275" t="str">
        <x:f>IF(AND(A275&lt;&gt;"",COUNTIFS(C275,"&gt;"&amp;TODAY(),C275,"&lt;="&amp;TODAY()+30)+COUNTIFS(D275,"&gt;"&amp;TODAY(),D275,"&lt;="&amp;TODAY()+30)+COUNTIFS(E275,"&gt;"&amp;TODAY(),E275,"&lt;="&amp;TODAY()+30)+COUNTIFS(F275,"&gt;"&amp;TODAY(),F275,"&lt;="&amp;TODAY()+30)&gt;0),Q275,"")</x:f>
      </x:c>
      <x:c r="M275" t="str">
        <x:f>IF(OR(LEFT(H275,15)="Missing dates; ",LEFT(H275,16)="Add N/A reason; ",H275="Add dates",H275="Add registration",H275="Check date format"),R275,"")</x:f>
      </x:c>
      <x:c r="N275" t="str">
        <x:f>IF(COUNTIFS(C275:F275,"Reviewed N/A")&gt;0,S275,"")</x:f>
      </x:c>
      <x:c r="O275" t="n">
        <x:f>O274+IF(AND(A275&lt;&gt;"",COUNTIFS(C275,"&gt;=36526",C275,"&lt;"&amp;TODAY())+COUNTIFS(D275,"&gt;=36526",D275,"&lt;"&amp;TODAY())+COUNTIFS(E275,"&gt;=36526",E275,"&lt;"&amp;TODAY())+COUNTIFS(F275,"&gt;=36526",F275,"&lt;"&amp;TODAY())&gt;0),1,0)</x:f>
        <x:v>0</x:v>
      </x:c>
      <x:c r="P275" t="n">
        <x:f>P274+IF(AND(A275&lt;&gt;"",COUNTIFS(C275,"&gt;=36526",C275,TODAY())+COUNTIFS(D275,"&gt;=36526",D275,TODAY())+COUNTIFS(E275,"&gt;=36526",E275,TODAY())+COUNTIFS(F275,"&gt;=36526",F275,TODAY())&gt;0),1,0)</x:f>
        <x:v>0</x:v>
      </x:c>
      <x:c r="Q275" t="n">
        <x:f>Q274+IF(AND(A275&lt;&gt;"",COUNTIFS(C275,"&gt;"&amp;TODAY(),C275,"&lt;="&amp;TODAY()+30)+COUNTIFS(D275,"&gt;"&amp;TODAY(),D275,"&lt;="&amp;TODAY()+30)+COUNTIFS(E275,"&gt;"&amp;TODAY(),E275,"&lt;="&amp;TODAY()+30)+COUNTIFS(F275,"&gt;"&amp;TODAY(),F275,"&lt;="&amp;TODAY()+30)&gt;0),1,0)</x:f>
        <x:v>0</x:v>
      </x:c>
      <x:c r="R275" t="n">
        <x:f>R274+IF(OR(LEFT(H275,15)="Missing dates; ",LEFT(H275,16)="Add N/A reason; ",H275="Add dates",H275="Add registration",H275="Check date format"),1,0)</x:f>
        <x:v>0</x:v>
      </x:c>
      <x:c r="S275" t="n">
        <x:f>S274+IF(COUNTIFS(C275:F275,"Reviewed N/A")&gt;0,1,0)</x:f>
        <x:v>0</x:v>
      </x:c>
    </x:row>
    <x:row r="276" ht="48" customHeight="1">
      <x:c r="A276" s="52"/>
      <x:c r="B276" s="52"/>
      <x:c r="C276" s="53"/>
      <x:c r="D276" s="53"/>
      <x:c r="E276" s="53"/>
      <x:c r="F276" s="53"/>
      <x:c r="G276" s="52"/>
      <x:c r="H276" s="21" t="str">
        <x:f>IF(COUNTA(A276:G276,I276)=0,"",IF(A276="","Add registration",IF(OR(COUNTA(C276:F276)&gt;COUNT(C276:F276)+COUNTIFS(C276:F276,"Reviewed N/A"),AND(COUNT(C276:F276)&gt;0,OR(MIN(C276:F276)&lt;36526,MAX(C276:F276)&gt;109574))),"Check date format",IF(AND(COUNTIFS(C276:F276,"Reviewed N/A")&gt;0,I276=""),"Add N/A reason; ","")&amp;IF(COUNT(C276:F276)=0,IF(COUNTIFS(C276:F276,"Reviewed N/A")=4,"No applicable dates recorded","Add dates"),IF(COUNT(C276:F276)+COUNTIFS(C276:F276,"Reviewed N/A")&lt;4,"Missing dates; ","")&amp;IF(MIN(C276:F276)&lt;TODAY(),"Overdue: ",IF(MIN(C276:F276)=TODAY(),"Due today: ",IF(MIN(C276:F276)&lt;=TODAY()+30,"Due within 30 days: ","Next: ")))&amp;INDEX($C$8:$F$8,1,MATCH(MIN(C276:F276),C276:F276,0))&amp;" "&amp;TEXT(MIN(C276:F276),"dd mmm yyyy")))))</x:f>
      </x:c>
      <x:c r="I276" s="52"/>
      <x:c r="J276" t="str">
        <x:f>IF(AND(A276&lt;&gt;"",COUNTIFS(C276,"&gt;=36526",C276,"&lt;"&amp;TODAY())+COUNTIFS(D276,"&gt;=36526",D276,"&lt;"&amp;TODAY())+COUNTIFS(E276,"&gt;=36526",E276,"&lt;"&amp;TODAY())+COUNTIFS(F276,"&gt;=36526",F276,"&lt;"&amp;TODAY())&gt;0),O276,"")</x:f>
      </x:c>
      <x:c r="K276" t="str">
        <x:f>IF(AND(A276&lt;&gt;"",COUNTIFS(C276,"&gt;=36526",C276,TODAY())+COUNTIFS(D276,"&gt;=36526",D276,TODAY())+COUNTIFS(E276,"&gt;=36526",E276,TODAY())+COUNTIFS(F276,"&gt;=36526",F276,TODAY())&gt;0),P276,"")</x:f>
      </x:c>
      <x:c r="L276" t="str">
        <x:f>IF(AND(A276&lt;&gt;"",COUNTIFS(C276,"&gt;"&amp;TODAY(),C276,"&lt;="&amp;TODAY()+30)+COUNTIFS(D276,"&gt;"&amp;TODAY(),D276,"&lt;="&amp;TODAY()+30)+COUNTIFS(E276,"&gt;"&amp;TODAY(),E276,"&lt;="&amp;TODAY()+30)+COUNTIFS(F276,"&gt;"&amp;TODAY(),F276,"&lt;="&amp;TODAY()+30)&gt;0),Q276,"")</x:f>
      </x:c>
      <x:c r="M276" t="str">
        <x:f>IF(OR(LEFT(H276,15)="Missing dates; ",LEFT(H276,16)="Add N/A reason; ",H276="Add dates",H276="Add registration",H276="Check date format"),R276,"")</x:f>
      </x:c>
      <x:c r="N276" t="str">
        <x:f>IF(COUNTIFS(C276:F276,"Reviewed N/A")&gt;0,S276,"")</x:f>
      </x:c>
      <x:c r="O276" t="n">
        <x:f>O275+IF(AND(A276&lt;&gt;"",COUNTIFS(C276,"&gt;=36526",C276,"&lt;"&amp;TODAY())+COUNTIFS(D276,"&gt;=36526",D276,"&lt;"&amp;TODAY())+COUNTIFS(E276,"&gt;=36526",E276,"&lt;"&amp;TODAY())+COUNTIFS(F276,"&gt;=36526",F276,"&lt;"&amp;TODAY())&gt;0),1,0)</x:f>
        <x:v>0</x:v>
      </x:c>
      <x:c r="P276" t="n">
        <x:f>P275+IF(AND(A276&lt;&gt;"",COUNTIFS(C276,"&gt;=36526",C276,TODAY())+COUNTIFS(D276,"&gt;=36526",D276,TODAY())+COUNTIFS(E276,"&gt;=36526",E276,TODAY())+COUNTIFS(F276,"&gt;=36526",F276,TODAY())&gt;0),1,0)</x:f>
        <x:v>0</x:v>
      </x:c>
      <x:c r="Q276" t="n">
        <x:f>Q275+IF(AND(A276&lt;&gt;"",COUNTIFS(C276,"&gt;"&amp;TODAY(),C276,"&lt;="&amp;TODAY()+30)+COUNTIFS(D276,"&gt;"&amp;TODAY(),D276,"&lt;="&amp;TODAY()+30)+COUNTIFS(E276,"&gt;"&amp;TODAY(),E276,"&lt;="&amp;TODAY()+30)+COUNTIFS(F276,"&gt;"&amp;TODAY(),F276,"&lt;="&amp;TODAY()+30)&gt;0),1,0)</x:f>
        <x:v>0</x:v>
      </x:c>
      <x:c r="R276" t="n">
        <x:f>R275+IF(OR(LEFT(H276,15)="Missing dates; ",LEFT(H276,16)="Add N/A reason; ",H276="Add dates",H276="Add registration",H276="Check date format"),1,0)</x:f>
        <x:v>0</x:v>
      </x:c>
      <x:c r="S276" t="n">
        <x:f>S275+IF(COUNTIFS(C276:F276,"Reviewed N/A")&gt;0,1,0)</x:f>
        <x:v>0</x:v>
      </x:c>
    </x:row>
    <x:row r="277" ht="48" customHeight="1">
      <x:c r="A277" s="52"/>
      <x:c r="B277" s="52"/>
      <x:c r="C277" s="53"/>
      <x:c r="D277" s="53"/>
      <x:c r="E277" s="53"/>
      <x:c r="F277" s="53"/>
      <x:c r="G277" s="52"/>
      <x:c r="H277" s="21" t="str">
        <x:f>IF(COUNTA(A277:G277,I277)=0,"",IF(A277="","Add registration",IF(OR(COUNTA(C277:F277)&gt;COUNT(C277:F277)+COUNTIFS(C277:F277,"Reviewed N/A"),AND(COUNT(C277:F277)&gt;0,OR(MIN(C277:F277)&lt;36526,MAX(C277:F277)&gt;109574))),"Check date format",IF(AND(COUNTIFS(C277:F277,"Reviewed N/A")&gt;0,I277=""),"Add N/A reason; ","")&amp;IF(COUNT(C277:F277)=0,IF(COUNTIFS(C277:F277,"Reviewed N/A")=4,"No applicable dates recorded","Add dates"),IF(COUNT(C277:F277)+COUNTIFS(C277:F277,"Reviewed N/A")&lt;4,"Missing dates; ","")&amp;IF(MIN(C277:F277)&lt;TODAY(),"Overdue: ",IF(MIN(C277:F277)=TODAY(),"Due today: ",IF(MIN(C277:F277)&lt;=TODAY()+30,"Due within 30 days: ","Next: ")))&amp;INDEX($C$8:$F$8,1,MATCH(MIN(C277:F277),C277:F277,0))&amp;" "&amp;TEXT(MIN(C277:F277),"dd mmm yyyy")))))</x:f>
      </x:c>
      <x:c r="I277" s="52"/>
      <x:c r="J277" t="str">
        <x:f>IF(AND(A277&lt;&gt;"",COUNTIFS(C277,"&gt;=36526",C277,"&lt;"&amp;TODAY())+COUNTIFS(D277,"&gt;=36526",D277,"&lt;"&amp;TODAY())+COUNTIFS(E277,"&gt;=36526",E277,"&lt;"&amp;TODAY())+COUNTIFS(F277,"&gt;=36526",F277,"&lt;"&amp;TODAY())&gt;0),O277,"")</x:f>
      </x:c>
      <x:c r="K277" t="str">
        <x:f>IF(AND(A277&lt;&gt;"",COUNTIFS(C277,"&gt;=36526",C277,TODAY())+COUNTIFS(D277,"&gt;=36526",D277,TODAY())+COUNTIFS(E277,"&gt;=36526",E277,TODAY())+COUNTIFS(F277,"&gt;=36526",F277,TODAY())&gt;0),P277,"")</x:f>
      </x:c>
      <x:c r="L277" t="str">
        <x:f>IF(AND(A277&lt;&gt;"",COUNTIFS(C277,"&gt;"&amp;TODAY(),C277,"&lt;="&amp;TODAY()+30)+COUNTIFS(D277,"&gt;"&amp;TODAY(),D277,"&lt;="&amp;TODAY()+30)+COUNTIFS(E277,"&gt;"&amp;TODAY(),E277,"&lt;="&amp;TODAY()+30)+COUNTIFS(F277,"&gt;"&amp;TODAY(),F277,"&lt;="&amp;TODAY()+30)&gt;0),Q277,"")</x:f>
      </x:c>
      <x:c r="M277" t="str">
        <x:f>IF(OR(LEFT(H277,15)="Missing dates; ",LEFT(H277,16)="Add N/A reason; ",H277="Add dates",H277="Add registration",H277="Check date format"),R277,"")</x:f>
      </x:c>
      <x:c r="N277" t="str">
        <x:f>IF(COUNTIFS(C277:F277,"Reviewed N/A")&gt;0,S277,"")</x:f>
      </x:c>
      <x:c r="O277" t="n">
        <x:f>O276+IF(AND(A277&lt;&gt;"",COUNTIFS(C277,"&gt;=36526",C277,"&lt;"&amp;TODAY())+COUNTIFS(D277,"&gt;=36526",D277,"&lt;"&amp;TODAY())+COUNTIFS(E277,"&gt;=36526",E277,"&lt;"&amp;TODAY())+COUNTIFS(F277,"&gt;=36526",F277,"&lt;"&amp;TODAY())&gt;0),1,0)</x:f>
        <x:v>0</x:v>
      </x:c>
      <x:c r="P277" t="n">
        <x:f>P276+IF(AND(A277&lt;&gt;"",COUNTIFS(C277,"&gt;=36526",C277,TODAY())+COUNTIFS(D277,"&gt;=36526",D277,TODAY())+COUNTIFS(E277,"&gt;=36526",E277,TODAY())+COUNTIFS(F277,"&gt;=36526",F277,TODAY())&gt;0),1,0)</x:f>
        <x:v>0</x:v>
      </x:c>
      <x:c r="Q277" t="n">
        <x:f>Q276+IF(AND(A277&lt;&gt;"",COUNTIFS(C277,"&gt;"&amp;TODAY(),C277,"&lt;="&amp;TODAY()+30)+COUNTIFS(D277,"&gt;"&amp;TODAY(),D277,"&lt;="&amp;TODAY()+30)+COUNTIFS(E277,"&gt;"&amp;TODAY(),E277,"&lt;="&amp;TODAY()+30)+COUNTIFS(F277,"&gt;"&amp;TODAY(),F277,"&lt;="&amp;TODAY()+30)&gt;0),1,0)</x:f>
        <x:v>0</x:v>
      </x:c>
      <x:c r="R277" t="n">
        <x:f>R276+IF(OR(LEFT(H277,15)="Missing dates; ",LEFT(H277,16)="Add N/A reason; ",H277="Add dates",H277="Add registration",H277="Check date format"),1,0)</x:f>
        <x:v>0</x:v>
      </x:c>
      <x:c r="S277" t="n">
        <x:f>S276+IF(COUNTIFS(C277:F277,"Reviewed N/A")&gt;0,1,0)</x:f>
        <x:v>0</x:v>
      </x:c>
    </x:row>
    <x:row r="278" ht="48" customHeight="1">
      <x:c r="A278" s="52"/>
      <x:c r="B278" s="52"/>
      <x:c r="C278" s="53"/>
      <x:c r="D278" s="53"/>
      <x:c r="E278" s="53"/>
      <x:c r="F278" s="53"/>
      <x:c r="G278" s="52"/>
      <x:c r="H278" s="21" t="str">
        <x:f>IF(COUNTA(A278:G278,I278)=0,"",IF(A278="","Add registration",IF(OR(COUNTA(C278:F278)&gt;COUNT(C278:F278)+COUNTIFS(C278:F278,"Reviewed N/A"),AND(COUNT(C278:F278)&gt;0,OR(MIN(C278:F278)&lt;36526,MAX(C278:F278)&gt;109574))),"Check date format",IF(AND(COUNTIFS(C278:F278,"Reviewed N/A")&gt;0,I278=""),"Add N/A reason; ","")&amp;IF(COUNT(C278:F278)=0,IF(COUNTIFS(C278:F278,"Reviewed N/A")=4,"No applicable dates recorded","Add dates"),IF(COUNT(C278:F278)+COUNTIFS(C278:F278,"Reviewed N/A")&lt;4,"Missing dates; ","")&amp;IF(MIN(C278:F278)&lt;TODAY(),"Overdue: ",IF(MIN(C278:F278)=TODAY(),"Due today: ",IF(MIN(C278:F278)&lt;=TODAY()+30,"Due within 30 days: ","Next: ")))&amp;INDEX($C$8:$F$8,1,MATCH(MIN(C278:F278),C278:F278,0))&amp;" "&amp;TEXT(MIN(C278:F278),"dd mmm yyyy")))))</x:f>
      </x:c>
      <x:c r="I278" s="52"/>
      <x:c r="J278" t="str">
        <x:f>IF(AND(A278&lt;&gt;"",COUNTIFS(C278,"&gt;=36526",C278,"&lt;"&amp;TODAY())+COUNTIFS(D278,"&gt;=36526",D278,"&lt;"&amp;TODAY())+COUNTIFS(E278,"&gt;=36526",E278,"&lt;"&amp;TODAY())+COUNTIFS(F278,"&gt;=36526",F278,"&lt;"&amp;TODAY())&gt;0),O278,"")</x:f>
      </x:c>
      <x:c r="K278" t="str">
        <x:f>IF(AND(A278&lt;&gt;"",COUNTIFS(C278,"&gt;=36526",C278,TODAY())+COUNTIFS(D278,"&gt;=36526",D278,TODAY())+COUNTIFS(E278,"&gt;=36526",E278,TODAY())+COUNTIFS(F278,"&gt;=36526",F278,TODAY())&gt;0),P278,"")</x:f>
      </x:c>
      <x:c r="L278" t="str">
        <x:f>IF(AND(A278&lt;&gt;"",COUNTIFS(C278,"&gt;"&amp;TODAY(),C278,"&lt;="&amp;TODAY()+30)+COUNTIFS(D278,"&gt;"&amp;TODAY(),D278,"&lt;="&amp;TODAY()+30)+COUNTIFS(E278,"&gt;"&amp;TODAY(),E278,"&lt;="&amp;TODAY()+30)+COUNTIFS(F278,"&gt;"&amp;TODAY(),F278,"&lt;="&amp;TODAY()+30)&gt;0),Q278,"")</x:f>
      </x:c>
      <x:c r="M278" t="str">
        <x:f>IF(OR(LEFT(H278,15)="Missing dates; ",LEFT(H278,16)="Add N/A reason; ",H278="Add dates",H278="Add registration",H278="Check date format"),R278,"")</x:f>
      </x:c>
      <x:c r="N278" t="str">
        <x:f>IF(COUNTIFS(C278:F278,"Reviewed N/A")&gt;0,S278,"")</x:f>
      </x:c>
      <x:c r="O278" t="n">
        <x:f>O277+IF(AND(A278&lt;&gt;"",COUNTIFS(C278,"&gt;=36526",C278,"&lt;"&amp;TODAY())+COUNTIFS(D278,"&gt;=36526",D278,"&lt;"&amp;TODAY())+COUNTIFS(E278,"&gt;=36526",E278,"&lt;"&amp;TODAY())+COUNTIFS(F278,"&gt;=36526",F278,"&lt;"&amp;TODAY())&gt;0),1,0)</x:f>
        <x:v>0</x:v>
      </x:c>
      <x:c r="P278" t="n">
        <x:f>P277+IF(AND(A278&lt;&gt;"",COUNTIFS(C278,"&gt;=36526",C278,TODAY())+COUNTIFS(D278,"&gt;=36526",D278,TODAY())+COUNTIFS(E278,"&gt;=36526",E278,TODAY())+COUNTIFS(F278,"&gt;=36526",F278,TODAY())&gt;0),1,0)</x:f>
        <x:v>0</x:v>
      </x:c>
      <x:c r="Q278" t="n">
        <x:f>Q277+IF(AND(A278&lt;&gt;"",COUNTIFS(C278,"&gt;"&amp;TODAY(),C278,"&lt;="&amp;TODAY()+30)+COUNTIFS(D278,"&gt;"&amp;TODAY(),D278,"&lt;="&amp;TODAY()+30)+COUNTIFS(E278,"&gt;"&amp;TODAY(),E278,"&lt;="&amp;TODAY()+30)+COUNTIFS(F278,"&gt;"&amp;TODAY(),F278,"&lt;="&amp;TODAY()+30)&gt;0),1,0)</x:f>
        <x:v>0</x:v>
      </x:c>
      <x:c r="R278" t="n">
        <x:f>R277+IF(OR(LEFT(H278,15)="Missing dates; ",LEFT(H278,16)="Add N/A reason; ",H278="Add dates",H278="Add registration",H278="Check date format"),1,0)</x:f>
        <x:v>0</x:v>
      </x:c>
      <x:c r="S278" t="n">
        <x:f>S277+IF(COUNTIFS(C278:F278,"Reviewed N/A")&gt;0,1,0)</x:f>
        <x:v>0</x:v>
      </x:c>
    </x:row>
    <x:row r="279" ht="48" customHeight="1">
      <x:c r="A279" s="52"/>
      <x:c r="B279" s="52"/>
      <x:c r="C279" s="53"/>
      <x:c r="D279" s="53"/>
      <x:c r="E279" s="53"/>
      <x:c r="F279" s="53"/>
      <x:c r="G279" s="52"/>
      <x:c r="H279" s="21" t="str">
        <x:f>IF(COUNTA(A279:G279,I279)=0,"",IF(A279="","Add registration",IF(OR(COUNTA(C279:F279)&gt;COUNT(C279:F279)+COUNTIFS(C279:F279,"Reviewed N/A"),AND(COUNT(C279:F279)&gt;0,OR(MIN(C279:F279)&lt;36526,MAX(C279:F279)&gt;109574))),"Check date format",IF(AND(COUNTIFS(C279:F279,"Reviewed N/A")&gt;0,I279=""),"Add N/A reason; ","")&amp;IF(COUNT(C279:F279)=0,IF(COUNTIFS(C279:F279,"Reviewed N/A")=4,"No applicable dates recorded","Add dates"),IF(COUNT(C279:F279)+COUNTIFS(C279:F279,"Reviewed N/A")&lt;4,"Missing dates; ","")&amp;IF(MIN(C279:F279)&lt;TODAY(),"Overdue: ",IF(MIN(C279:F279)=TODAY(),"Due today: ",IF(MIN(C279:F279)&lt;=TODAY()+30,"Due within 30 days: ","Next: ")))&amp;INDEX($C$8:$F$8,1,MATCH(MIN(C279:F279),C279:F279,0))&amp;" "&amp;TEXT(MIN(C279:F279),"dd mmm yyyy")))))</x:f>
      </x:c>
      <x:c r="I279" s="52"/>
      <x:c r="J279" t="str">
        <x:f>IF(AND(A279&lt;&gt;"",COUNTIFS(C279,"&gt;=36526",C279,"&lt;"&amp;TODAY())+COUNTIFS(D279,"&gt;=36526",D279,"&lt;"&amp;TODAY())+COUNTIFS(E279,"&gt;=36526",E279,"&lt;"&amp;TODAY())+COUNTIFS(F279,"&gt;=36526",F279,"&lt;"&amp;TODAY())&gt;0),O279,"")</x:f>
      </x:c>
      <x:c r="K279" t="str">
        <x:f>IF(AND(A279&lt;&gt;"",COUNTIFS(C279,"&gt;=36526",C279,TODAY())+COUNTIFS(D279,"&gt;=36526",D279,TODAY())+COUNTIFS(E279,"&gt;=36526",E279,TODAY())+COUNTIFS(F279,"&gt;=36526",F279,TODAY())&gt;0),P279,"")</x:f>
      </x:c>
      <x:c r="L279" t="str">
        <x:f>IF(AND(A279&lt;&gt;"",COUNTIFS(C279,"&gt;"&amp;TODAY(),C279,"&lt;="&amp;TODAY()+30)+COUNTIFS(D279,"&gt;"&amp;TODAY(),D279,"&lt;="&amp;TODAY()+30)+COUNTIFS(E279,"&gt;"&amp;TODAY(),E279,"&lt;="&amp;TODAY()+30)+COUNTIFS(F279,"&gt;"&amp;TODAY(),F279,"&lt;="&amp;TODAY()+30)&gt;0),Q279,"")</x:f>
      </x:c>
      <x:c r="M279" t="str">
        <x:f>IF(OR(LEFT(H279,15)="Missing dates; ",LEFT(H279,16)="Add N/A reason; ",H279="Add dates",H279="Add registration",H279="Check date format"),R279,"")</x:f>
      </x:c>
      <x:c r="N279" t="str">
        <x:f>IF(COUNTIFS(C279:F279,"Reviewed N/A")&gt;0,S279,"")</x:f>
      </x:c>
      <x:c r="O279" t="n">
        <x:f>O278+IF(AND(A279&lt;&gt;"",COUNTIFS(C279,"&gt;=36526",C279,"&lt;"&amp;TODAY())+COUNTIFS(D279,"&gt;=36526",D279,"&lt;"&amp;TODAY())+COUNTIFS(E279,"&gt;=36526",E279,"&lt;"&amp;TODAY())+COUNTIFS(F279,"&gt;=36526",F279,"&lt;"&amp;TODAY())&gt;0),1,0)</x:f>
        <x:v>0</x:v>
      </x:c>
      <x:c r="P279" t="n">
        <x:f>P278+IF(AND(A279&lt;&gt;"",COUNTIFS(C279,"&gt;=36526",C279,TODAY())+COUNTIFS(D279,"&gt;=36526",D279,TODAY())+COUNTIFS(E279,"&gt;=36526",E279,TODAY())+COUNTIFS(F279,"&gt;=36526",F279,TODAY())&gt;0),1,0)</x:f>
        <x:v>0</x:v>
      </x:c>
      <x:c r="Q279" t="n">
        <x:f>Q278+IF(AND(A279&lt;&gt;"",COUNTIFS(C279,"&gt;"&amp;TODAY(),C279,"&lt;="&amp;TODAY()+30)+COUNTIFS(D279,"&gt;"&amp;TODAY(),D279,"&lt;="&amp;TODAY()+30)+COUNTIFS(E279,"&gt;"&amp;TODAY(),E279,"&lt;="&amp;TODAY()+30)+COUNTIFS(F279,"&gt;"&amp;TODAY(),F279,"&lt;="&amp;TODAY()+30)&gt;0),1,0)</x:f>
        <x:v>0</x:v>
      </x:c>
      <x:c r="R279" t="n">
        <x:f>R278+IF(OR(LEFT(H279,15)="Missing dates; ",LEFT(H279,16)="Add N/A reason; ",H279="Add dates",H279="Add registration",H279="Check date format"),1,0)</x:f>
        <x:v>0</x:v>
      </x:c>
      <x:c r="S279" t="n">
        <x:f>S278+IF(COUNTIFS(C279:F279,"Reviewed N/A")&gt;0,1,0)</x:f>
        <x:v>0</x:v>
      </x:c>
    </x:row>
    <x:row r="280" ht="48" customHeight="1">
      <x:c r="A280" s="52"/>
      <x:c r="B280" s="52"/>
      <x:c r="C280" s="53"/>
      <x:c r="D280" s="53"/>
      <x:c r="E280" s="53"/>
      <x:c r="F280" s="53"/>
      <x:c r="G280" s="52"/>
      <x:c r="H280" s="21" t="str">
        <x:f>IF(COUNTA(A280:G280,I280)=0,"",IF(A280="","Add registration",IF(OR(COUNTA(C280:F280)&gt;COUNT(C280:F280)+COUNTIFS(C280:F280,"Reviewed N/A"),AND(COUNT(C280:F280)&gt;0,OR(MIN(C280:F280)&lt;36526,MAX(C280:F280)&gt;109574))),"Check date format",IF(AND(COUNTIFS(C280:F280,"Reviewed N/A")&gt;0,I280=""),"Add N/A reason; ","")&amp;IF(COUNT(C280:F280)=0,IF(COUNTIFS(C280:F280,"Reviewed N/A")=4,"No applicable dates recorded","Add dates"),IF(COUNT(C280:F280)+COUNTIFS(C280:F280,"Reviewed N/A")&lt;4,"Missing dates; ","")&amp;IF(MIN(C280:F280)&lt;TODAY(),"Overdue: ",IF(MIN(C280:F280)=TODAY(),"Due today: ",IF(MIN(C280:F280)&lt;=TODAY()+30,"Due within 30 days: ","Next: ")))&amp;INDEX($C$8:$F$8,1,MATCH(MIN(C280:F280),C280:F280,0))&amp;" "&amp;TEXT(MIN(C280:F280),"dd mmm yyyy")))))</x:f>
      </x:c>
      <x:c r="I280" s="52"/>
      <x:c r="J280" t="str">
        <x:f>IF(AND(A280&lt;&gt;"",COUNTIFS(C280,"&gt;=36526",C280,"&lt;"&amp;TODAY())+COUNTIFS(D280,"&gt;=36526",D280,"&lt;"&amp;TODAY())+COUNTIFS(E280,"&gt;=36526",E280,"&lt;"&amp;TODAY())+COUNTIFS(F280,"&gt;=36526",F280,"&lt;"&amp;TODAY())&gt;0),O280,"")</x:f>
      </x:c>
      <x:c r="K280" t="str">
        <x:f>IF(AND(A280&lt;&gt;"",COUNTIFS(C280,"&gt;=36526",C280,TODAY())+COUNTIFS(D280,"&gt;=36526",D280,TODAY())+COUNTIFS(E280,"&gt;=36526",E280,TODAY())+COUNTIFS(F280,"&gt;=36526",F280,TODAY())&gt;0),P280,"")</x:f>
      </x:c>
      <x:c r="L280" t="str">
        <x:f>IF(AND(A280&lt;&gt;"",COUNTIFS(C280,"&gt;"&amp;TODAY(),C280,"&lt;="&amp;TODAY()+30)+COUNTIFS(D280,"&gt;"&amp;TODAY(),D280,"&lt;="&amp;TODAY()+30)+COUNTIFS(E280,"&gt;"&amp;TODAY(),E280,"&lt;="&amp;TODAY()+30)+COUNTIFS(F280,"&gt;"&amp;TODAY(),F280,"&lt;="&amp;TODAY()+30)&gt;0),Q280,"")</x:f>
      </x:c>
      <x:c r="M280" t="str">
        <x:f>IF(OR(LEFT(H280,15)="Missing dates; ",LEFT(H280,16)="Add N/A reason; ",H280="Add dates",H280="Add registration",H280="Check date format"),R280,"")</x:f>
      </x:c>
      <x:c r="N280" t="str">
        <x:f>IF(COUNTIFS(C280:F280,"Reviewed N/A")&gt;0,S280,"")</x:f>
      </x:c>
      <x:c r="O280" t="n">
        <x:f>O279+IF(AND(A280&lt;&gt;"",COUNTIFS(C280,"&gt;=36526",C280,"&lt;"&amp;TODAY())+COUNTIFS(D280,"&gt;=36526",D280,"&lt;"&amp;TODAY())+COUNTIFS(E280,"&gt;=36526",E280,"&lt;"&amp;TODAY())+COUNTIFS(F280,"&gt;=36526",F280,"&lt;"&amp;TODAY())&gt;0),1,0)</x:f>
        <x:v>0</x:v>
      </x:c>
      <x:c r="P280" t="n">
        <x:f>P279+IF(AND(A280&lt;&gt;"",COUNTIFS(C280,"&gt;=36526",C280,TODAY())+COUNTIFS(D280,"&gt;=36526",D280,TODAY())+COUNTIFS(E280,"&gt;=36526",E280,TODAY())+COUNTIFS(F280,"&gt;=36526",F280,TODAY())&gt;0),1,0)</x:f>
        <x:v>0</x:v>
      </x:c>
      <x:c r="Q280" t="n">
        <x:f>Q279+IF(AND(A280&lt;&gt;"",COUNTIFS(C280,"&gt;"&amp;TODAY(),C280,"&lt;="&amp;TODAY()+30)+COUNTIFS(D280,"&gt;"&amp;TODAY(),D280,"&lt;="&amp;TODAY()+30)+COUNTIFS(E280,"&gt;"&amp;TODAY(),E280,"&lt;="&amp;TODAY()+30)+COUNTIFS(F280,"&gt;"&amp;TODAY(),F280,"&lt;="&amp;TODAY()+30)&gt;0),1,0)</x:f>
        <x:v>0</x:v>
      </x:c>
      <x:c r="R280" t="n">
        <x:f>R279+IF(OR(LEFT(H280,15)="Missing dates; ",LEFT(H280,16)="Add N/A reason; ",H280="Add dates",H280="Add registration",H280="Check date format"),1,0)</x:f>
        <x:v>0</x:v>
      </x:c>
      <x:c r="S280" t="n">
        <x:f>S279+IF(COUNTIFS(C280:F280,"Reviewed N/A")&gt;0,1,0)</x:f>
        <x:v>0</x:v>
      </x:c>
    </x:row>
    <x:row r="281" ht="48" customHeight="1">
      <x:c r="A281" s="52"/>
      <x:c r="B281" s="52"/>
      <x:c r="C281" s="53"/>
      <x:c r="D281" s="53"/>
      <x:c r="E281" s="53"/>
      <x:c r="F281" s="53"/>
      <x:c r="G281" s="52"/>
      <x:c r="H281" s="21" t="str">
        <x:f>IF(COUNTA(A281:G281,I281)=0,"",IF(A281="","Add registration",IF(OR(COUNTA(C281:F281)&gt;COUNT(C281:F281)+COUNTIFS(C281:F281,"Reviewed N/A"),AND(COUNT(C281:F281)&gt;0,OR(MIN(C281:F281)&lt;36526,MAX(C281:F281)&gt;109574))),"Check date format",IF(AND(COUNTIFS(C281:F281,"Reviewed N/A")&gt;0,I281=""),"Add N/A reason; ","")&amp;IF(COUNT(C281:F281)=0,IF(COUNTIFS(C281:F281,"Reviewed N/A")=4,"No applicable dates recorded","Add dates"),IF(COUNT(C281:F281)+COUNTIFS(C281:F281,"Reviewed N/A")&lt;4,"Missing dates; ","")&amp;IF(MIN(C281:F281)&lt;TODAY(),"Overdue: ",IF(MIN(C281:F281)=TODAY(),"Due today: ",IF(MIN(C281:F281)&lt;=TODAY()+30,"Due within 30 days: ","Next: ")))&amp;INDEX($C$8:$F$8,1,MATCH(MIN(C281:F281),C281:F281,0))&amp;" "&amp;TEXT(MIN(C281:F281),"dd mmm yyyy")))))</x:f>
      </x:c>
      <x:c r="I281" s="52"/>
      <x:c r="J281" t="str">
        <x:f>IF(AND(A281&lt;&gt;"",COUNTIFS(C281,"&gt;=36526",C281,"&lt;"&amp;TODAY())+COUNTIFS(D281,"&gt;=36526",D281,"&lt;"&amp;TODAY())+COUNTIFS(E281,"&gt;=36526",E281,"&lt;"&amp;TODAY())+COUNTIFS(F281,"&gt;=36526",F281,"&lt;"&amp;TODAY())&gt;0),O281,"")</x:f>
      </x:c>
      <x:c r="K281" t="str">
        <x:f>IF(AND(A281&lt;&gt;"",COUNTIFS(C281,"&gt;=36526",C281,TODAY())+COUNTIFS(D281,"&gt;=36526",D281,TODAY())+COUNTIFS(E281,"&gt;=36526",E281,TODAY())+COUNTIFS(F281,"&gt;=36526",F281,TODAY())&gt;0),P281,"")</x:f>
      </x:c>
      <x:c r="L281" t="str">
        <x:f>IF(AND(A281&lt;&gt;"",COUNTIFS(C281,"&gt;"&amp;TODAY(),C281,"&lt;="&amp;TODAY()+30)+COUNTIFS(D281,"&gt;"&amp;TODAY(),D281,"&lt;="&amp;TODAY()+30)+COUNTIFS(E281,"&gt;"&amp;TODAY(),E281,"&lt;="&amp;TODAY()+30)+COUNTIFS(F281,"&gt;"&amp;TODAY(),F281,"&lt;="&amp;TODAY()+30)&gt;0),Q281,"")</x:f>
      </x:c>
      <x:c r="M281" t="str">
        <x:f>IF(OR(LEFT(H281,15)="Missing dates; ",LEFT(H281,16)="Add N/A reason; ",H281="Add dates",H281="Add registration",H281="Check date format"),R281,"")</x:f>
      </x:c>
      <x:c r="N281" t="str">
        <x:f>IF(COUNTIFS(C281:F281,"Reviewed N/A")&gt;0,S281,"")</x:f>
      </x:c>
      <x:c r="O281" t="n">
        <x:f>O280+IF(AND(A281&lt;&gt;"",COUNTIFS(C281,"&gt;=36526",C281,"&lt;"&amp;TODAY())+COUNTIFS(D281,"&gt;=36526",D281,"&lt;"&amp;TODAY())+COUNTIFS(E281,"&gt;=36526",E281,"&lt;"&amp;TODAY())+COUNTIFS(F281,"&gt;=36526",F281,"&lt;"&amp;TODAY())&gt;0),1,0)</x:f>
        <x:v>0</x:v>
      </x:c>
      <x:c r="P281" t="n">
        <x:f>P280+IF(AND(A281&lt;&gt;"",COUNTIFS(C281,"&gt;=36526",C281,TODAY())+COUNTIFS(D281,"&gt;=36526",D281,TODAY())+COUNTIFS(E281,"&gt;=36526",E281,TODAY())+COUNTIFS(F281,"&gt;=36526",F281,TODAY())&gt;0),1,0)</x:f>
        <x:v>0</x:v>
      </x:c>
      <x:c r="Q281" t="n">
        <x:f>Q280+IF(AND(A281&lt;&gt;"",COUNTIFS(C281,"&gt;"&amp;TODAY(),C281,"&lt;="&amp;TODAY()+30)+COUNTIFS(D281,"&gt;"&amp;TODAY(),D281,"&lt;="&amp;TODAY()+30)+COUNTIFS(E281,"&gt;"&amp;TODAY(),E281,"&lt;="&amp;TODAY()+30)+COUNTIFS(F281,"&gt;"&amp;TODAY(),F281,"&lt;="&amp;TODAY()+30)&gt;0),1,0)</x:f>
        <x:v>0</x:v>
      </x:c>
      <x:c r="R281" t="n">
        <x:f>R280+IF(OR(LEFT(H281,15)="Missing dates; ",LEFT(H281,16)="Add N/A reason; ",H281="Add dates",H281="Add registration",H281="Check date format"),1,0)</x:f>
        <x:v>0</x:v>
      </x:c>
      <x:c r="S281" t="n">
        <x:f>S280+IF(COUNTIFS(C281:F281,"Reviewed N/A")&gt;0,1,0)</x:f>
        <x:v>0</x:v>
      </x:c>
    </x:row>
    <x:row r="282" ht="48" customHeight="1">
      <x:c r="A282" s="52"/>
      <x:c r="B282" s="52"/>
      <x:c r="C282" s="53"/>
      <x:c r="D282" s="53"/>
      <x:c r="E282" s="53"/>
      <x:c r="F282" s="53"/>
      <x:c r="G282" s="52"/>
      <x:c r="H282" s="21" t="str">
        <x:f>IF(COUNTA(A282:G282,I282)=0,"",IF(A282="","Add registration",IF(OR(COUNTA(C282:F282)&gt;COUNT(C282:F282)+COUNTIFS(C282:F282,"Reviewed N/A"),AND(COUNT(C282:F282)&gt;0,OR(MIN(C282:F282)&lt;36526,MAX(C282:F282)&gt;109574))),"Check date format",IF(AND(COUNTIFS(C282:F282,"Reviewed N/A")&gt;0,I282=""),"Add N/A reason; ","")&amp;IF(COUNT(C282:F282)=0,IF(COUNTIFS(C282:F282,"Reviewed N/A")=4,"No applicable dates recorded","Add dates"),IF(COUNT(C282:F282)+COUNTIFS(C282:F282,"Reviewed N/A")&lt;4,"Missing dates; ","")&amp;IF(MIN(C282:F282)&lt;TODAY(),"Overdue: ",IF(MIN(C282:F282)=TODAY(),"Due today: ",IF(MIN(C282:F282)&lt;=TODAY()+30,"Due within 30 days: ","Next: ")))&amp;INDEX($C$8:$F$8,1,MATCH(MIN(C282:F282),C282:F282,0))&amp;" "&amp;TEXT(MIN(C282:F282),"dd mmm yyyy")))))</x:f>
      </x:c>
      <x:c r="I282" s="52"/>
      <x:c r="J282" t="str">
        <x:f>IF(AND(A282&lt;&gt;"",COUNTIFS(C282,"&gt;=36526",C282,"&lt;"&amp;TODAY())+COUNTIFS(D282,"&gt;=36526",D282,"&lt;"&amp;TODAY())+COUNTIFS(E282,"&gt;=36526",E282,"&lt;"&amp;TODAY())+COUNTIFS(F282,"&gt;=36526",F282,"&lt;"&amp;TODAY())&gt;0),O282,"")</x:f>
      </x:c>
      <x:c r="K282" t="str">
        <x:f>IF(AND(A282&lt;&gt;"",COUNTIFS(C282,"&gt;=36526",C282,TODAY())+COUNTIFS(D282,"&gt;=36526",D282,TODAY())+COUNTIFS(E282,"&gt;=36526",E282,TODAY())+COUNTIFS(F282,"&gt;=36526",F282,TODAY())&gt;0),P282,"")</x:f>
      </x:c>
      <x:c r="L282" t="str">
        <x:f>IF(AND(A282&lt;&gt;"",COUNTIFS(C282,"&gt;"&amp;TODAY(),C282,"&lt;="&amp;TODAY()+30)+COUNTIFS(D282,"&gt;"&amp;TODAY(),D282,"&lt;="&amp;TODAY()+30)+COUNTIFS(E282,"&gt;"&amp;TODAY(),E282,"&lt;="&amp;TODAY()+30)+COUNTIFS(F282,"&gt;"&amp;TODAY(),F282,"&lt;="&amp;TODAY()+30)&gt;0),Q282,"")</x:f>
      </x:c>
      <x:c r="M282" t="str">
        <x:f>IF(OR(LEFT(H282,15)="Missing dates; ",LEFT(H282,16)="Add N/A reason; ",H282="Add dates",H282="Add registration",H282="Check date format"),R282,"")</x:f>
      </x:c>
      <x:c r="N282" t="str">
        <x:f>IF(COUNTIFS(C282:F282,"Reviewed N/A")&gt;0,S282,"")</x:f>
      </x:c>
      <x:c r="O282" t="n">
        <x:f>O281+IF(AND(A282&lt;&gt;"",COUNTIFS(C282,"&gt;=36526",C282,"&lt;"&amp;TODAY())+COUNTIFS(D282,"&gt;=36526",D282,"&lt;"&amp;TODAY())+COUNTIFS(E282,"&gt;=36526",E282,"&lt;"&amp;TODAY())+COUNTIFS(F282,"&gt;=36526",F282,"&lt;"&amp;TODAY())&gt;0),1,0)</x:f>
        <x:v>0</x:v>
      </x:c>
      <x:c r="P282" t="n">
        <x:f>P281+IF(AND(A282&lt;&gt;"",COUNTIFS(C282,"&gt;=36526",C282,TODAY())+COUNTIFS(D282,"&gt;=36526",D282,TODAY())+COUNTIFS(E282,"&gt;=36526",E282,TODAY())+COUNTIFS(F282,"&gt;=36526",F282,TODAY())&gt;0),1,0)</x:f>
        <x:v>0</x:v>
      </x:c>
      <x:c r="Q282" t="n">
        <x:f>Q281+IF(AND(A282&lt;&gt;"",COUNTIFS(C282,"&gt;"&amp;TODAY(),C282,"&lt;="&amp;TODAY()+30)+COUNTIFS(D282,"&gt;"&amp;TODAY(),D282,"&lt;="&amp;TODAY()+30)+COUNTIFS(E282,"&gt;"&amp;TODAY(),E282,"&lt;="&amp;TODAY()+30)+COUNTIFS(F282,"&gt;"&amp;TODAY(),F282,"&lt;="&amp;TODAY()+30)&gt;0),1,0)</x:f>
        <x:v>0</x:v>
      </x:c>
      <x:c r="R282" t="n">
        <x:f>R281+IF(OR(LEFT(H282,15)="Missing dates; ",LEFT(H282,16)="Add N/A reason; ",H282="Add dates",H282="Add registration",H282="Check date format"),1,0)</x:f>
        <x:v>0</x:v>
      </x:c>
      <x:c r="S282" t="n">
        <x:f>S281+IF(COUNTIFS(C282:F282,"Reviewed N/A")&gt;0,1,0)</x:f>
        <x:v>0</x:v>
      </x:c>
    </x:row>
    <x:row r="283" ht="48" customHeight="1">
      <x:c r="A283" s="52"/>
      <x:c r="B283" s="52"/>
      <x:c r="C283" s="53"/>
      <x:c r="D283" s="53"/>
      <x:c r="E283" s="53"/>
      <x:c r="F283" s="53"/>
      <x:c r="G283" s="52"/>
      <x:c r="H283" s="21" t="str">
        <x:f>IF(COUNTA(A283:G283,I283)=0,"",IF(A283="","Add registration",IF(OR(COUNTA(C283:F283)&gt;COUNT(C283:F283)+COUNTIFS(C283:F283,"Reviewed N/A"),AND(COUNT(C283:F283)&gt;0,OR(MIN(C283:F283)&lt;36526,MAX(C283:F283)&gt;109574))),"Check date format",IF(AND(COUNTIFS(C283:F283,"Reviewed N/A")&gt;0,I283=""),"Add N/A reason; ","")&amp;IF(COUNT(C283:F283)=0,IF(COUNTIFS(C283:F283,"Reviewed N/A")=4,"No applicable dates recorded","Add dates"),IF(COUNT(C283:F283)+COUNTIFS(C283:F283,"Reviewed N/A")&lt;4,"Missing dates; ","")&amp;IF(MIN(C283:F283)&lt;TODAY(),"Overdue: ",IF(MIN(C283:F283)=TODAY(),"Due today: ",IF(MIN(C283:F283)&lt;=TODAY()+30,"Due within 30 days: ","Next: ")))&amp;INDEX($C$8:$F$8,1,MATCH(MIN(C283:F283),C283:F283,0))&amp;" "&amp;TEXT(MIN(C283:F283),"dd mmm yyyy")))))</x:f>
      </x:c>
      <x:c r="I283" s="52"/>
      <x:c r="J283" t="str">
        <x:f>IF(AND(A283&lt;&gt;"",COUNTIFS(C283,"&gt;=36526",C283,"&lt;"&amp;TODAY())+COUNTIFS(D283,"&gt;=36526",D283,"&lt;"&amp;TODAY())+COUNTIFS(E283,"&gt;=36526",E283,"&lt;"&amp;TODAY())+COUNTIFS(F283,"&gt;=36526",F283,"&lt;"&amp;TODAY())&gt;0),O283,"")</x:f>
      </x:c>
      <x:c r="K283" t="str">
        <x:f>IF(AND(A283&lt;&gt;"",COUNTIFS(C283,"&gt;=36526",C283,TODAY())+COUNTIFS(D283,"&gt;=36526",D283,TODAY())+COUNTIFS(E283,"&gt;=36526",E283,TODAY())+COUNTIFS(F283,"&gt;=36526",F283,TODAY())&gt;0),P283,"")</x:f>
      </x:c>
      <x:c r="L283" t="str">
        <x:f>IF(AND(A283&lt;&gt;"",COUNTIFS(C283,"&gt;"&amp;TODAY(),C283,"&lt;="&amp;TODAY()+30)+COUNTIFS(D283,"&gt;"&amp;TODAY(),D283,"&lt;="&amp;TODAY()+30)+COUNTIFS(E283,"&gt;"&amp;TODAY(),E283,"&lt;="&amp;TODAY()+30)+COUNTIFS(F283,"&gt;"&amp;TODAY(),F283,"&lt;="&amp;TODAY()+30)&gt;0),Q283,"")</x:f>
      </x:c>
      <x:c r="M283" t="str">
        <x:f>IF(OR(LEFT(H283,15)="Missing dates; ",LEFT(H283,16)="Add N/A reason; ",H283="Add dates",H283="Add registration",H283="Check date format"),R283,"")</x:f>
      </x:c>
      <x:c r="N283" t="str">
        <x:f>IF(COUNTIFS(C283:F283,"Reviewed N/A")&gt;0,S283,"")</x:f>
      </x:c>
      <x:c r="O283" t="n">
        <x:f>O282+IF(AND(A283&lt;&gt;"",COUNTIFS(C283,"&gt;=36526",C283,"&lt;"&amp;TODAY())+COUNTIFS(D283,"&gt;=36526",D283,"&lt;"&amp;TODAY())+COUNTIFS(E283,"&gt;=36526",E283,"&lt;"&amp;TODAY())+COUNTIFS(F283,"&gt;=36526",F283,"&lt;"&amp;TODAY())&gt;0),1,0)</x:f>
        <x:v>0</x:v>
      </x:c>
      <x:c r="P283" t="n">
        <x:f>P282+IF(AND(A283&lt;&gt;"",COUNTIFS(C283,"&gt;=36526",C283,TODAY())+COUNTIFS(D283,"&gt;=36526",D283,TODAY())+COUNTIFS(E283,"&gt;=36526",E283,TODAY())+COUNTIFS(F283,"&gt;=36526",F283,TODAY())&gt;0),1,0)</x:f>
        <x:v>0</x:v>
      </x:c>
      <x:c r="Q283" t="n">
        <x:f>Q282+IF(AND(A283&lt;&gt;"",COUNTIFS(C283,"&gt;"&amp;TODAY(),C283,"&lt;="&amp;TODAY()+30)+COUNTIFS(D283,"&gt;"&amp;TODAY(),D283,"&lt;="&amp;TODAY()+30)+COUNTIFS(E283,"&gt;"&amp;TODAY(),E283,"&lt;="&amp;TODAY()+30)+COUNTIFS(F283,"&gt;"&amp;TODAY(),F283,"&lt;="&amp;TODAY()+30)&gt;0),1,0)</x:f>
        <x:v>0</x:v>
      </x:c>
      <x:c r="R283" t="n">
        <x:f>R282+IF(OR(LEFT(H283,15)="Missing dates; ",LEFT(H283,16)="Add N/A reason; ",H283="Add dates",H283="Add registration",H283="Check date format"),1,0)</x:f>
        <x:v>0</x:v>
      </x:c>
      <x:c r="S283" t="n">
        <x:f>S282+IF(COUNTIFS(C283:F283,"Reviewed N/A")&gt;0,1,0)</x:f>
        <x:v>0</x:v>
      </x:c>
    </x:row>
    <x:row r="284" ht="48" customHeight="1">
      <x:c r="A284" s="52"/>
      <x:c r="B284" s="52"/>
      <x:c r="C284" s="53"/>
      <x:c r="D284" s="53"/>
      <x:c r="E284" s="53"/>
      <x:c r="F284" s="53"/>
      <x:c r="G284" s="52"/>
      <x:c r="H284" s="21" t="str">
        <x:f>IF(COUNTA(A284:G284,I284)=0,"",IF(A284="","Add registration",IF(OR(COUNTA(C284:F284)&gt;COUNT(C284:F284)+COUNTIFS(C284:F284,"Reviewed N/A"),AND(COUNT(C284:F284)&gt;0,OR(MIN(C284:F284)&lt;36526,MAX(C284:F284)&gt;109574))),"Check date format",IF(AND(COUNTIFS(C284:F284,"Reviewed N/A")&gt;0,I284=""),"Add N/A reason; ","")&amp;IF(COUNT(C284:F284)=0,IF(COUNTIFS(C284:F284,"Reviewed N/A")=4,"No applicable dates recorded","Add dates"),IF(COUNT(C284:F284)+COUNTIFS(C284:F284,"Reviewed N/A")&lt;4,"Missing dates; ","")&amp;IF(MIN(C284:F284)&lt;TODAY(),"Overdue: ",IF(MIN(C284:F284)=TODAY(),"Due today: ",IF(MIN(C284:F284)&lt;=TODAY()+30,"Due within 30 days: ","Next: ")))&amp;INDEX($C$8:$F$8,1,MATCH(MIN(C284:F284),C284:F284,0))&amp;" "&amp;TEXT(MIN(C284:F284),"dd mmm yyyy")))))</x:f>
      </x:c>
      <x:c r="I284" s="52"/>
      <x:c r="J284" t="str">
        <x:f>IF(AND(A284&lt;&gt;"",COUNTIFS(C284,"&gt;=36526",C284,"&lt;"&amp;TODAY())+COUNTIFS(D284,"&gt;=36526",D284,"&lt;"&amp;TODAY())+COUNTIFS(E284,"&gt;=36526",E284,"&lt;"&amp;TODAY())+COUNTIFS(F284,"&gt;=36526",F284,"&lt;"&amp;TODAY())&gt;0),O284,"")</x:f>
      </x:c>
      <x:c r="K284" t="str">
        <x:f>IF(AND(A284&lt;&gt;"",COUNTIFS(C284,"&gt;=36526",C284,TODAY())+COUNTIFS(D284,"&gt;=36526",D284,TODAY())+COUNTIFS(E284,"&gt;=36526",E284,TODAY())+COUNTIFS(F284,"&gt;=36526",F284,TODAY())&gt;0),P284,"")</x:f>
      </x:c>
      <x:c r="L284" t="str">
        <x:f>IF(AND(A284&lt;&gt;"",COUNTIFS(C284,"&gt;"&amp;TODAY(),C284,"&lt;="&amp;TODAY()+30)+COUNTIFS(D284,"&gt;"&amp;TODAY(),D284,"&lt;="&amp;TODAY()+30)+COUNTIFS(E284,"&gt;"&amp;TODAY(),E284,"&lt;="&amp;TODAY()+30)+COUNTIFS(F284,"&gt;"&amp;TODAY(),F284,"&lt;="&amp;TODAY()+30)&gt;0),Q284,"")</x:f>
      </x:c>
      <x:c r="M284" t="str">
        <x:f>IF(OR(LEFT(H284,15)="Missing dates; ",LEFT(H284,16)="Add N/A reason; ",H284="Add dates",H284="Add registration",H284="Check date format"),R284,"")</x:f>
      </x:c>
      <x:c r="N284" t="str">
        <x:f>IF(COUNTIFS(C284:F284,"Reviewed N/A")&gt;0,S284,"")</x:f>
      </x:c>
      <x:c r="O284" t="n">
        <x:f>O283+IF(AND(A284&lt;&gt;"",COUNTIFS(C284,"&gt;=36526",C284,"&lt;"&amp;TODAY())+COUNTIFS(D284,"&gt;=36526",D284,"&lt;"&amp;TODAY())+COUNTIFS(E284,"&gt;=36526",E284,"&lt;"&amp;TODAY())+COUNTIFS(F284,"&gt;=36526",F284,"&lt;"&amp;TODAY())&gt;0),1,0)</x:f>
        <x:v>0</x:v>
      </x:c>
      <x:c r="P284" t="n">
        <x:f>P283+IF(AND(A284&lt;&gt;"",COUNTIFS(C284,"&gt;=36526",C284,TODAY())+COUNTIFS(D284,"&gt;=36526",D284,TODAY())+COUNTIFS(E284,"&gt;=36526",E284,TODAY())+COUNTIFS(F284,"&gt;=36526",F284,TODAY())&gt;0),1,0)</x:f>
        <x:v>0</x:v>
      </x:c>
      <x:c r="Q284" t="n">
        <x:f>Q283+IF(AND(A284&lt;&gt;"",COUNTIFS(C284,"&gt;"&amp;TODAY(),C284,"&lt;="&amp;TODAY()+30)+COUNTIFS(D284,"&gt;"&amp;TODAY(),D284,"&lt;="&amp;TODAY()+30)+COUNTIFS(E284,"&gt;"&amp;TODAY(),E284,"&lt;="&amp;TODAY()+30)+COUNTIFS(F284,"&gt;"&amp;TODAY(),F284,"&lt;="&amp;TODAY()+30)&gt;0),1,0)</x:f>
        <x:v>0</x:v>
      </x:c>
      <x:c r="R284" t="n">
        <x:f>R283+IF(OR(LEFT(H284,15)="Missing dates; ",LEFT(H284,16)="Add N/A reason; ",H284="Add dates",H284="Add registration",H284="Check date format"),1,0)</x:f>
        <x:v>0</x:v>
      </x:c>
      <x:c r="S284" t="n">
        <x:f>S283+IF(COUNTIFS(C284:F284,"Reviewed N/A")&gt;0,1,0)</x:f>
        <x:v>0</x:v>
      </x:c>
    </x:row>
    <x:row r="285" ht="48" customHeight="1">
      <x:c r="A285" s="52"/>
      <x:c r="B285" s="52"/>
      <x:c r="C285" s="53"/>
      <x:c r="D285" s="53"/>
      <x:c r="E285" s="53"/>
      <x:c r="F285" s="53"/>
      <x:c r="G285" s="52"/>
      <x:c r="H285" s="21" t="str">
        <x:f>IF(COUNTA(A285:G285,I285)=0,"",IF(A285="","Add registration",IF(OR(COUNTA(C285:F285)&gt;COUNT(C285:F285)+COUNTIFS(C285:F285,"Reviewed N/A"),AND(COUNT(C285:F285)&gt;0,OR(MIN(C285:F285)&lt;36526,MAX(C285:F285)&gt;109574))),"Check date format",IF(AND(COUNTIFS(C285:F285,"Reviewed N/A")&gt;0,I285=""),"Add N/A reason; ","")&amp;IF(COUNT(C285:F285)=0,IF(COUNTIFS(C285:F285,"Reviewed N/A")=4,"No applicable dates recorded","Add dates"),IF(COUNT(C285:F285)+COUNTIFS(C285:F285,"Reviewed N/A")&lt;4,"Missing dates; ","")&amp;IF(MIN(C285:F285)&lt;TODAY(),"Overdue: ",IF(MIN(C285:F285)=TODAY(),"Due today: ",IF(MIN(C285:F285)&lt;=TODAY()+30,"Due within 30 days: ","Next: ")))&amp;INDEX($C$8:$F$8,1,MATCH(MIN(C285:F285),C285:F285,0))&amp;" "&amp;TEXT(MIN(C285:F285),"dd mmm yyyy")))))</x:f>
      </x:c>
      <x:c r="I285" s="52"/>
      <x:c r="J285" t="str">
        <x:f>IF(AND(A285&lt;&gt;"",COUNTIFS(C285,"&gt;=36526",C285,"&lt;"&amp;TODAY())+COUNTIFS(D285,"&gt;=36526",D285,"&lt;"&amp;TODAY())+COUNTIFS(E285,"&gt;=36526",E285,"&lt;"&amp;TODAY())+COUNTIFS(F285,"&gt;=36526",F285,"&lt;"&amp;TODAY())&gt;0),O285,"")</x:f>
      </x:c>
      <x:c r="K285" t="str">
        <x:f>IF(AND(A285&lt;&gt;"",COUNTIFS(C285,"&gt;=36526",C285,TODAY())+COUNTIFS(D285,"&gt;=36526",D285,TODAY())+COUNTIFS(E285,"&gt;=36526",E285,TODAY())+COUNTIFS(F285,"&gt;=36526",F285,TODAY())&gt;0),P285,"")</x:f>
      </x:c>
      <x:c r="L285" t="str">
        <x:f>IF(AND(A285&lt;&gt;"",COUNTIFS(C285,"&gt;"&amp;TODAY(),C285,"&lt;="&amp;TODAY()+30)+COUNTIFS(D285,"&gt;"&amp;TODAY(),D285,"&lt;="&amp;TODAY()+30)+COUNTIFS(E285,"&gt;"&amp;TODAY(),E285,"&lt;="&amp;TODAY()+30)+COUNTIFS(F285,"&gt;"&amp;TODAY(),F285,"&lt;="&amp;TODAY()+30)&gt;0),Q285,"")</x:f>
      </x:c>
      <x:c r="M285" t="str">
        <x:f>IF(OR(LEFT(H285,15)="Missing dates; ",LEFT(H285,16)="Add N/A reason; ",H285="Add dates",H285="Add registration",H285="Check date format"),R285,"")</x:f>
      </x:c>
      <x:c r="N285" t="str">
        <x:f>IF(COUNTIFS(C285:F285,"Reviewed N/A")&gt;0,S285,"")</x:f>
      </x:c>
      <x:c r="O285" t="n">
        <x:f>O284+IF(AND(A285&lt;&gt;"",COUNTIFS(C285,"&gt;=36526",C285,"&lt;"&amp;TODAY())+COUNTIFS(D285,"&gt;=36526",D285,"&lt;"&amp;TODAY())+COUNTIFS(E285,"&gt;=36526",E285,"&lt;"&amp;TODAY())+COUNTIFS(F285,"&gt;=36526",F285,"&lt;"&amp;TODAY())&gt;0),1,0)</x:f>
        <x:v>0</x:v>
      </x:c>
      <x:c r="P285" t="n">
        <x:f>P284+IF(AND(A285&lt;&gt;"",COUNTIFS(C285,"&gt;=36526",C285,TODAY())+COUNTIFS(D285,"&gt;=36526",D285,TODAY())+COUNTIFS(E285,"&gt;=36526",E285,TODAY())+COUNTIFS(F285,"&gt;=36526",F285,TODAY())&gt;0),1,0)</x:f>
        <x:v>0</x:v>
      </x:c>
      <x:c r="Q285" t="n">
        <x:f>Q284+IF(AND(A285&lt;&gt;"",COUNTIFS(C285,"&gt;"&amp;TODAY(),C285,"&lt;="&amp;TODAY()+30)+COUNTIFS(D285,"&gt;"&amp;TODAY(),D285,"&lt;="&amp;TODAY()+30)+COUNTIFS(E285,"&gt;"&amp;TODAY(),E285,"&lt;="&amp;TODAY()+30)+COUNTIFS(F285,"&gt;"&amp;TODAY(),F285,"&lt;="&amp;TODAY()+30)&gt;0),1,0)</x:f>
        <x:v>0</x:v>
      </x:c>
      <x:c r="R285" t="n">
        <x:f>R284+IF(OR(LEFT(H285,15)="Missing dates; ",LEFT(H285,16)="Add N/A reason; ",H285="Add dates",H285="Add registration",H285="Check date format"),1,0)</x:f>
        <x:v>0</x:v>
      </x:c>
      <x:c r="S285" t="n">
        <x:f>S284+IF(COUNTIFS(C285:F285,"Reviewed N/A")&gt;0,1,0)</x:f>
        <x:v>0</x:v>
      </x:c>
    </x:row>
    <x:row r="286" ht="48" customHeight="1">
      <x:c r="A286" s="52"/>
      <x:c r="B286" s="52"/>
      <x:c r="C286" s="53"/>
      <x:c r="D286" s="53"/>
      <x:c r="E286" s="53"/>
      <x:c r="F286" s="53"/>
      <x:c r="G286" s="52"/>
      <x:c r="H286" s="21" t="str">
        <x:f>IF(COUNTA(A286:G286,I286)=0,"",IF(A286="","Add registration",IF(OR(COUNTA(C286:F286)&gt;COUNT(C286:F286)+COUNTIFS(C286:F286,"Reviewed N/A"),AND(COUNT(C286:F286)&gt;0,OR(MIN(C286:F286)&lt;36526,MAX(C286:F286)&gt;109574))),"Check date format",IF(AND(COUNTIFS(C286:F286,"Reviewed N/A")&gt;0,I286=""),"Add N/A reason; ","")&amp;IF(COUNT(C286:F286)=0,IF(COUNTIFS(C286:F286,"Reviewed N/A")=4,"No applicable dates recorded","Add dates"),IF(COUNT(C286:F286)+COUNTIFS(C286:F286,"Reviewed N/A")&lt;4,"Missing dates; ","")&amp;IF(MIN(C286:F286)&lt;TODAY(),"Overdue: ",IF(MIN(C286:F286)=TODAY(),"Due today: ",IF(MIN(C286:F286)&lt;=TODAY()+30,"Due within 30 days: ","Next: ")))&amp;INDEX($C$8:$F$8,1,MATCH(MIN(C286:F286),C286:F286,0))&amp;" "&amp;TEXT(MIN(C286:F286),"dd mmm yyyy")))))</x:f>
      </x:c>
      <x:c r="I286" s="52"/>
      <x:c r="J286" t="str">
        <x:f>IF(AND(A286&lt;&gt;"",COUNTIFS(C286,"&gt;=36526",C286,"&lt;"&amp;TODAY())+COUNTIFS(D286,"&gt;=36526",D286,"&lt;"&amp;TODAY())+COUNTIFS(E286,"&gt;=36526",E286,"&lt;"&amp;TODAY())+COUNTIFS(F286,"&gt;=36526",F286,"&lt;"&amp;TODAY())&gt;0),O286,"")</x:f>
      </x:c>
      <x:c r="K286" t="str">
        <x:f>IF(AND(A286&lt;&gt;"",COUNTIFS(C286,"&gt;=36526",C286,TODAY())+COUNTIFS(D286,"&gt;=36526",D286,TODAY())+COUNTIFS(E286,"&gt;=36526",E286,TODAY())+COUNTIFS(F286,"&gt;=36526",F286,TODAY())&gt;0),P286,"")</x:f>
      </x:c>
      <x:c r="L286" t="str">
        <x:f>IF(AND(A286&lt;&gt;"",COUNTIFS(C286,"&gt;"&amp;TODAY(),C286,"&lt;="&amp;TODAY()+30)+COUNTIFS(D286,"&gt;"&amp;TODAY(),D286,"&lt;="&amp;TODAY()+30)+COUNTIFS(E286,"&gt;"&amp;TODAY(),E286,"&lt;="&amp;TODAY()+30)+COUNTIFS(F286,"&gt;"&amp;TODAY(),F286,"&lt;="&amp;TODAY()+30)&gt;0),Q286,"")</x:f>
      </x:c>
      <x:c r="M286" t="str">
        <x:f>IF(OR(LEFT(H286,15)="Missing dates; ",LEFT(H286,16)="Add N/A reason; ",H286="Add dates",H286="Add registration",H286="Check date format"),R286,"")</x:f>
      </x:c>
      <x:c r="N286" t="str">
        <x:f>IF(COUNTIFS(C286:F286,"Reviewed N/A")&gt;0,S286,"")</x:f>
      </x:c>
      <x:c r="O286" t="n">
        <x:f>O285+IF(AND(A286&lt;&gt;"",COUNTIFS(C286,"&gt;=36526",C286,"&lt;"&amp;TODAY())+COUNTIFS(D286,"&gt;=36526",D286,"&lt;"&amp;TODAY())+COUNTIFS(E286,"&gt;=36526",E286,"&lt;"&amp;TODAY())+COUNTIFS(F286,"&gt;=36526",F286,"&lt;"&amp;TODAY())&gt;0),1,0)</x:f>
        <x:v>0</x:v>
      </x:c>
      <x:c r="P286" t="n">
        <x:f>P285+IF(AND(A286&lt;&gt;"",COUNTIFS(C286,"&gt;=36526",C286,TODAY())+COUNTIFS(D286,"&gt;=36526",D286,TODAY())+COUNTIFS(E286,"&gt;=36526",E286,TODAY())+COUNTIFS(F286,"&gt;=36526",F286,TODAY())&gt;0),1,0)</x:f>
        <x:v>0</x:v>
      </x:c>
      <x:c r="Q286" t="n">
        <x:f>Q285+IF(AND(A286&lt;&gt;"",COUNTIFS(C286,"&gt;"&amp;TODAY(),C286,"&lt;="&amp;TODAY()+30)+COUNTIFS(D286,"&gt;"&amp;TODAY(),D286,"&lt;="&amp;TODAY()+30)+COUNTIFS(E286,"&gt;"&amp;TODAY(),E286,"&lt;="&amp;TODAY()+30)+COUNTIFS(F286,"&gt;"&amp;TODAY(),F286,"&lt;="&amp;TODAY()+30)&gt;0),1,0)</x:f>
        <x:v>0</x:v>
      </x:c>
      <x:c r="R286" t="n">
        <x:f>R285+IF(OR(LEFT(H286,15)="Missing dates; ",LEFT(H286,16)="Add N/A reason; ",H286="Add dates",H286="Add registration",H286="Check date format"),1,0)</x:f>
        <x:v>0</x:v>
      </x:c>
      <x:c r="S286" t="n">
        <x:f>S285+IF(COUNTIFS(C286:F286,"Reviewed N/A")&gt;0,1,0)</x:f>
        <x:v>0</x:v>
      </x:c>
    </x:row>
    <x:row r="287" ht="48" customHeight="1">
      <x:c r="A287" s="52"/>
      <x:c r="B287" s="52"/>
      <x:c r="C287" s="53"/>
      <x:c r="D287" s="53"/>
      <x:c r="E287" s="53"/>
      <x:c r="F287" s="53"/>
      <x:c r="G287" s="52"/>
      <x:c r="H287" s="21" t="str">
        <x:f>IF(COUNTA(A287:G287,I287)=0,"",IF(A287="","Add registration",IF(OR(COUNTA(C287:F287)&gt;COUNT(C287:F287)+COUNTIFS(C287:F287,"Reviewed N/A"),AND(COUNT(C287:F287)&gt;0,OR(MIN(C287:F287)&lt;36526,MAX(C287:F287)&gt;109574))),"Check date format",IF(AND(COUNTIFS(C287:F287,"Reviewed N/A")&gt;0,I287=""),"Add N/A reason; ","")&amp;IF(COUNT(C287:F287)=0,IF(COUNTIFS(C287:F287,"Reviewed N/A")=4,"No applicable dates recorded","Add dates"),IF(COUNT(C287:F287)+COUNTIFS(C287:F287,"Reviewed N/A")&lt;4,"Missing dates; ","")&amp;IF(MIN(C287:F287)&lt;TODAY(),"Overdue: ",IF(MIN(C287:F287)=TODAY(),"Due today: ",IF(MIN(C287:F287)&lt;=TODAY()+30,"Due within 30 days: ","Next: ")))&amp;INDEX($C$8:$F$8,1,MATCH(MIN(C287:F287),C287:F287,0))&amp;" "&amp;TEXT(MIN(C287:F287),"dd mmm yyyy")))))</x:f>
      </x:c>
      <x:c r="I287" s="52"/>
      <x:c r="J287" t="str">
        <x:f>IF(AND(A287&lt;&gt;"",COUNTIFS(C287,"&gt;=36526",C287,"&lt;"&amp;TODAY())+COUNTIFS(D287,"&gt;=36526",D287,"&lt;"&amp;TODAY())+COUNTIFS(E287,"&gt;=36526",E287,"&lt;"&amp;TODAY())+COUNTIFS(F287,"&gt;=36526",F287,"&lt;"&amp;TODAY())&gt;0),O287,"")</x:f>
      </x:c>
      <x:c r="K287" t="str">
        <x:f>IF(AND(A287&lt;&gt;"",COUNTIFS(C287,"&gt;=36526",C287,TODAY())+COUNTIFS(D287,"&gt;=36526",D287,TODAY())+COUNTIFS(E287,"&gt;=36526",E287,TODAY())+COUNTIFS(F287,"&gt;=36526",F287,TODAY())&gt;0),P287,"")</x:f>
      </x:c>
      <x:c r="L287" t="str">
        <x:f>IF(AND(A287&lt;&gt;"",COUNTIFS(C287,"&gt;"&amp;TODAY(),C287,"&lt;="&amp;TODAY()+30)+COUNTIFS(D287,"&gt;"&amp;TODAY(),D287,"&lt;="&amp;TODAY()+30)+COUNTIFS(E287,"&gt;"&amp;TODAY(),E287,"&lt;="&amp;TODAY()+30)+COUNTIFS(F287,"&gt;"&amp;TODAY(),F287,"&lt;="&amp;TODAY()+30)&gt;0),Q287,"")</x:f>
      </x:c>
      <x:c r="M287" t="str">
        <x:f>IF(OR(LEFT(H287,15)="Missing dates; ",LEFT(H287,16)="Add N/A reason; ",H287="Add dates",H287="Add registration",H287="Check date format"),R287,"")</x:f>
      </x:c>
      <x:c r="N287" t="str">
        <x:f>IF(COUNTIFS(C287:F287,"Reviewed N/A")&gt;0,S287,"")</x:f>
      </x:c>
      <x:c r="O287" t="n">
        <x:f>O286+IF(AND(A287&lt;&gt;"",COUNTIFS(C287,"&gt;=36526",C287,"&lt;"&amp;TODAY())+COUNTIFS(D287,"&gt;=36526",D287,"&lt;"&amp;TODAY())+COUNTIFS(E287,"&gt;=36526",E287,"&lt;"&amp;TODAY())+COUNTIFS(F287,"&gt;=36526",F287,"&lt;"&amp;TODAY())&gt;0),1,0)</x:f>
        <x:v>0</x:v>
      </x:c>
      <x:c r="P287" t="n">
        <x:f>P286+IF(AND(A287&lt;&gt;"",COUNTIFS(C287,"&gt;=36526",C287,TODAY())+COUNTIFS(D287,"&gt;=36526",D287,TODAY())+COUNTIFS(E287,"&gt;=36526",E287,TODAY())+COUNTIFS(F287,"&gt;=36526",F287,TODAY())&gt;0),1,0)</x:f>
        <x:v>0</x:v>
      </x:c>
      <x:c r="Q287" t="n">
        <x:f>Q286+IF(AND(A287&lt;&gt;"",COUNTIFS(C287,"&gt;"&amp;TODAY(),C287,"&lt;="&amp;TODAY()+30)+COUNTIFS(D287,"&gt;"&amp;TODAY(),D287,"&lt;="&amp;TODAY()+30)+COUNTIFS(E287,"&gt;"&amp;TODAY(),E287,"&lt;="&amp;TODAY()+30)+COUNTIFS(F287,"&gt;"&amp;TODAY(),F287,"&lt;="&amp;TODAY()+30)&gt;0),1,0)</x:f>
        <x:v>0</x:v>
      </x:c>
      <x:c r="R287" t="n">
        <x:f>R286+IF(OR(LEFT(H287,15)="Missing dates; ",LEFT(H287,16)="Add N/A reason; ",H287="Add dates",H287="Add registration",H287="Check date format"),1,0)</x:f>
        <x:v>0</x:v>
      </x:c>
      <x:c r="S287" t="n">
        <x:f>S286+IF(COUNTIFS(C287:F287,"Reviewed N/A")&gt;0,1,0)</x:f>
        <x:v>0</x:v>
      </x:c>
    </x:row>
    <x:row r="288" ht="48" customHeight="1">
      <x:c r="A288" s="52"/>
      <x:c r="B288" s="52"/>
      <x:c r="C288" s="53"/>
      <x:c r="D288" s="53"/>
      <x:c r="E288" s="53"/>
      <x:c r="F288" s="53"/>
      <x:c r="G288" s="52"/>
      <x:c r="H288" s="21" t="str">
        <x:f>IF(COUNTA(A288:G288,I288)=0,"",IF(A288="","Add registration",IF(OR(COUNTA(C288:F288)&gt;COUNT(C288:F288)+COUNTIFS(C288:F288,"Reviewed N/A"),AND(COUNT(C288:F288)&gt;0,OR(MIN(C288:F288)&lt;36526,MAX(C288:F288)&gt;109574))),"Check date format",IF(AND(COUNTIFS(C288:F288,"Reviewed N/A")&gt;0,I288=""),"Add N/A reason; ","")&amp;IF(COUNT(C288:F288)=0,IF(COUNTIFS(C288:F288,"Reviewed N/A")=4,"No applicable dates recorded","Add dates"),IF(COUNT(C288:F288)+COUNTIFS(C288:F288,"Reviewed N/A")&lt;4,"Missing dates; ","")&amp;IF(MIN(C288:F288)&lt;TODAY(),"Overdue: ",IF(MIN(C288:F288)=TODAY(),"Due today: ",IF(MIN(C288:F288)&lt;=TODAY()+30,"Due within 30 days: ","Next: ")))&amp;INDEX($C$8:$F$8,1,MATCH(MIN(C288:F288),C288:F288,0))&amp;" "&amp;TEXT(MIN(C288:F288),"dd mmm yyyy")))))</x:f>
      </x:c>
      <x:c r="I288" s="52"/>
      <x:c r="J288" t="str">
        <x:f>IF(AND(A288&lt;&gt;"",COUNTIFS(C288,"&gt;=36526",C288,"&lt;"&amp;TODAY())+COUNTIFS(D288,"&gt;=36526",D288,"&lt;"&amp;TODAY())+COUNTIFS(E288,"&gt;=36526",E288,"&lt;"&amp;TODAY())+COUNTIFS(F288,"&gt;=36526",F288,"&lt;"&amp;TODAY())&gt;0),O288,"")</x:f>
      </x:c>
      <x:c r="K288" t="str">
        <x:f>IF(AND(A288&lt;&gt;"",COUNTIFS(C288,"&gt;=36526",C288,TODAY())+COUNTIFS(D288,"&gt;=36526",D288,TODAY())+COUNTIFS(E288,"&gt;=36526",E288,TODAY())+COUNTIFS(F288,"&gt;=36526",F288,TODAY())&gt;0),P288,"")</x:f>
      </x:c>
      <x:c r="L288" t="str">
        <x:f>IF(AND(A288&lt;&gt;"",COUNTIFS(C288,"&gt;"&amp;TODAY(),C288,"&lt;="&amp;TODAY()+30)+COUNTIFS(D288,"&gt;"&amp;TODAY(),D288,"&lt;="&amp;TODAY()+30)+COUNTIFS(E288,"&gt;"&amp;TODAY(),E288,"&lt;="&amp;TODAY()+30)+COUNTIFS(F288,"&gt;"&amp;TODAY(),F288,"&lt;="&amp;TODAY()+30)&gt;0),Q288,"")</x:f>
      </x:c>
      <x:c r="M288" t="str">
        <x:f>IF(OR(LEFT(H288,15)="Missing dates; ",LEFT(H288,16)="Add N/A reason; ",H288="Add dates",H288="Add registration",H288="Check date format"),R288,"")</x:f>
      </x:c>
      <x:c r="N288" t="str">
        <x:f>IF(COUNTIFS(C288:F288,"Reviewed N/A")&gt;0,S288,"")</x:f>
      </x:c>
      <x:c r="O288" t="n">
        <x:f>O287+IF(AND(A288&lt;&gt;"",COUNTIFS(C288,"&gt;=36526",C288,"&lt;"&amp;TODAY())+COUNTIFS(D288,"&gt;=36526",D288,"&lt;"&amp;TODAY())+COUNTIFS(E288,"&gt;=36526",E288,"&lt;"&amp;TODAY())+COUNTIFS(F288,"&gt;=36526",F288,"&lt;"&amp;TODAY())&gt;0),1,0)</x:f>
        <x:v>0</x:v>
      </x:c>
      <x:c r="P288" t="n">
        <x:f>P287+IF(AND(A288&lt;&gt;"",COUNTIFS(C288,"&gt;=36526",C288,TODAY())+COUNTIFS(D288,"&gt;=36526",D288,TODAY())+COUNTIFS(E288,"&gt;=36526",E288,TODAY())+COUNTIFS(F288,"&gt;=36526",F288,TODAY())&gt;0),1,0)</x:f>
        <x:v>0</x:v>
      </x:c>
      <x:c r="Q288" t="n">
        <x:f>Q287+IF(AND(A288&lt;&gt;"",COUNTIFS(C288,"&gt;"&amp;TODAY(),C288,"&lt;="&amp;TODAY()+30)+COUNTIFS(D288,"&gt;"&amp;TODAY(),D288,"&lt;="&amp;TODAY()+30)+COUNTIFS(E288,"&gt;"&amp;TODAY(),E288,"&lt;="&amp;TODAY()+30)+COUNTIFS(F288,"&gt;"&amp;TODAY(),F288,"&lt;="&amp;TODAY()+30)&gt;0),1,0)</x:f>
        <x:v>0</x:v>
      </x:c>
      <x:c r="R288" t="n">
        <x:f>R287+IF(OR(LEFT(H288,15)="Missing dates; ",LEFT(H288,16)="Add N/A reason; ",H288="Add dates",H288="Add registration",H288="Check date format"),1,0)</x:f>
        <x:v>0</x:v>
      </x:c>
      <x:c r="S288" t="n">
        <x:f>S287+IF(COUNTIFS(C288:F288,"Reviewed N/A")&gt;0,1,0)</x:f>
        <x:v>0</x:v>
      </x:c>
    </x:row>
    <x:row r="289" ht="48" customHeight="1">
      <x:c r="A289" s="52"/>
      <x:c r="B289" s="52"/>
      <x:c r="C289" s="53"/>
      <x:c r="D289" s="53"/>
      <x:c r="E289" s="53"/>
      <x:c r="F289" s="53"/>
      <x:c r="G289" s="52"/>
      <x:c r="H289" s="21" t="str">
        <x:f>IF(COUNTA(A289:G289,I289)=0,"",IF(A289="","Add registration",IF(OR(COUNTA(C289:F289)&gt;COUNT(C289:F289)+COUNTIFS(C289:F289,"Reviewed N/A"),AND(COUNT(C289:F289)&gt;0,OR(MIN(C289:F289)&lt;36526,MAX(C289:F289)&gt;109574))),"Check date format",IF(AND(COUNTIFS(C289:F289,"Reviewed N/A")&gt;0,I289=""),"Add N/A reason; ","")&amp;IF(COUNT(C289:F289)=0,IF(COUNTIFS(C289:F289,"Reviewed N/A")=4,"No applicable dates recorded","Add dates"),IF(COUNT(C289:F289)+COUNTIFS(C289:F289,"Reviewed N/A")&lt;4,"Missing dates; ","")&amp;IF(MIN(C289:F289)&lt;TODAY(),"Overdue: ",IF(MIN(C289:F289)=TODAY(),"Due today: ",IF(MIN(C289:F289)&lt;=TODAY()+30,"Due within 30 days: ","Next: ")))&amp;INDEX($C$8:$F$8,1,MATCH(MIN(C289:F289),C289:F289,0))&amp;" "&amp;TEXT(MIN(C289:F289),"dd mmm yyyy")))))</x:f>
      </x:c>
      <x:c r="I289" s="52"/>
      <x:c r="J289" t="str">
        <x:f>IF(AND(A289&lt;&gt;"",COUNTIFS(C289,"&gt;=36526",C289,"&lt;"&amp;TODAY())+COUNTIFS(D289,"&gt;=36526",D289,"&lt;"&amp;TODAY())+COUNTIFS(E289,"&gt;=36526",E289,"&lt;"&amp;TODAY())+COUNTIFS(F289,"&gt;=36526",F289,"&lt;"&amp;TODAY())&gt;0),O289,"")</x:f>
      </x:c>
      <x:c r="K289" t="str">
        <x:f>IF(AND(A289&lt;&gt;"",COUNTIFS(C289,"&gt;=36526",C289,TODAY())+COUNTIFS(D289,"&gt;=36526",D289,TODAY())+COUNTIFS(E289,"&gt;=36526",E289,TODAY())+COUNTIFS(F289,"&gt;=36526",F289,TODAY())&gt;0),P289,"")</x:f>
      </x:c>
      <x:c r="L289" t="str">
        <x:f>IF(AND(A289&lt;&gt;"",COUNTIFS(C289,"&gt;"&amp;TODAY(),C289,"&lt;="&amp;TODAY()+30)+COUNTIFS(D289,"&gt;"&amp;TODAY(),D289,"&lt;="&amp;TODAY()+30)+COUNTIFS(E289,"&gt;"&amp;TODAY(),E289,"&lt;="&amp;TODAY()+30)+COUNTIFS(F289,"&gt;"&amp;TODAY(),F289,"&lt;="&amp;TODAY()+30)&gt;0),Q289,"")</x:f>
      </x:c>
      <x:c r="M289" t="str">
        <x:f>IF(OR(LEFT(H289,15)="Missing dates; ",LEFT(H289,16)="Add N/A reason; ",H289="Add dates",H289="Add registration",H289="Check date format"),R289,"")</x:f>
      </x:c>
      <x:c r="N289" t="str">
        <x:f>IF(COUNTIFS(C289:F289,"Reviewed N/A")&gt;0,S289,"")</x:f>
      </x:c>
      <x:c r="O289" t="n">
        <x:f>O288+IF(AND(A289&lt;&gt;"",COUNTIFS(C289,"&gt;=36526",C289,"&lt;"&amp;TODAY())+COUNTIFS(D289,"&gt;=36526",D289,"&lt;"&amp;TODAY())+COUNTIFS(E289,"&gt;=36526",E289,"&lt;"&amp;TODAY())+COUNTIFS(F289,"&gt;=36526",F289,"&lt;"&amp;TODAY())&gt;0),1,0)</x:f>
        <x:v>0</x:v>
      </x:c>
      <x:c r="P289" t="n">
        <x:f>P288+IF(AND(A289&lt;&gt;"",COUNTIFS(C289,"&gt;=36526",C289,TODAY())+COUNTIFS(D289,"&gt;=36526",D289,TODAY())+COUNTIFS(E289,"&gt;=36526",E289,TODAY())+COUNTIFS(F289,"&gt;=36526",F289,TODAY())&gt;0),1,0)</x:f>
        <x:v>0</x:v>
      </x:c>
      <x:c r="Q289" t="n">
        <x:f>Q288+IF(AND(A289&lt;&gt;"",COUNTIFS(C289,"&gt;"&amp;TODAY(),C289,"&lt;="&amp;TODAY()+30)+COUNTIFS(D289,"&gt;"&amp;TODAY(),D289,"&lt;="&amp;TODAY()+30)+COUNTIFS(E289,"&gt;"&amp;TODAY(),E289,"&lt;="&amp;TODAY()+30)+COUNTIFS(F289,"&gt;"&amp;TODAY(),F289,"&lt;="&amp;TODAY()+30)&gt;0),1,0)</x:f>
        <x:v>0</x:v>
      </x:c>
      <x:c r="R289" t="n">
        <x:f>R288+IF(OR(LEFT(H289,15)="Missing dates; ",LEFT(H289,16)="Add N/A reason; ",H289="Add dates",H289="Add registration",H289="Check date format"),1,0)</x:f>
        <x:v>0</x:v>
      </x:c>
      <x:c r="S289" t="n">
        <x:f>S288+IF(COUNTIFS(C289:F289,"Reviewed N/A")&gt;0,1,0)</x:f>
        <x:v>0</x:v>
      </x:c>
    </x:row>
    <x:row r="290" ht="48" customHeight="1">
      <x:c r="A290" s="52"/>
      <x:c r="B290" s="52"/>
      <x:c r="C290" s="53"/>
      <x:c r="D290" s="53"/>
      <x:c r="E290" s="53"/>
      <x:c r="F290" s="53"/>
      <x:c r="G290" s="52"/>
      <x:c r="H290" s="21" t="str">
        <x:f>IF(COUNTA(A290:G290,I290)=0,"",IF(A290="","Add registration",IF(OR(COUNTA(C290:F290)&gt;COUNT(C290:F290)+COUNTIFS(C290:F290,"Reviewed N/A"),AND(COUNT(C290:F290)&gt;0,OR(MIN(C290:F290)&lt;36526,MAX(C290:F290)&gt;109574))),"Check date format",IF(AND(COUNTIFS(C290:F290,"Reviewed N/A")&gt;0,I290=""),"Add N/A reason; ","")&amp;IF(COUNT(C290:F290)=0,IF(COUNTIFS(C290:F290,"Reviewed N/A")=4,"No applicable dates recorded","Add dates"),IF(COUNT(C290:F290)+COUNTIFS(C290:F290,"Reviewed N/A")&lt;4,"Missing dates; ","")&amp;IF(MIN(C290:F290)&lt;TODAY(),"Overdue: ",IF(MIN(C290:F290)=TODAY(),"Due today: ",IF(MIN(C290:F290)&lt;=TODAY()+30,"Due within 30 days: ","Next: ")))&amp;INDEX($C$8:$F$8,1,MATCH(MIN(C290:F290),C290:F290,0))&amp;" "&amp;TEXT(MIN(C290:F290),"dd mmm yyyy")))))</x:f>
      </x:c>
      <x:c r="I290" s="52"/>
      <x:c r="J290" t="str">
        <x:f>IF(AND(A290&lt;&gt;"",COUNTIFS(C290,"&gt;=36526",C290,"&lt;"&amp;TODAY())+COUNTIFS(D290,"&gt;=36526",D290,"&lt;"&amp;TODAY())+COUNTIFS(E290,"&gt;=36526",E290,"&lt;"&amp;TODAY())+COUNTIFS(F290,"&gt;=36526",F290,"&lt;"&amp;TODAY())&gt;0),O290,"")</x:f>
      </x:c>
      <x:c r="K290" t="str">
        <x:f>IF(AND(A290&lt;&gt;"",COUNTIFS(C290,"&gt;=36526",C290,TODAY())+COUNTIFS(D290,"&gt;=36526",D290,TODAY())+COUNTIFS(E290,"&gt;=36526",E290,TODAY())+COUNTIFS(F290,"&gt;=36526",F290,TODAY())&gt;0),P290,"")</x:f>
      </x:c>
      <x:c r="L290" t="str">
        <x:f>IF(AND(A290&lt;&gt;"",COUNTIFS(C290,"&gt;"&amp;TODAY(),C290,"&lt;="&amp;TODAY()+30)+COUNTIFS(D290,"&gt;"&amp;TODAY(),D290,"&lt;="&amp;TODAY()+30)+COUNTIFS(E290,"&gt;"&amp;TODAY(),E290,"&lt;="&amp;TODAY()+30)+COUNTIFS(F290,"&gt;"&amp;TODAY(),F290,"&lt;="&amp;TODAY()+30)&gt;0),Q290,"")</x:f>
      </x:c>
      <x:c r="M290" t="str">
        <x:f>IF(OR(LEFT(H290,15)="Missing dates; ",LEFT(H290,16)="Add N/A reason; ",H290="Add dates",H290="Add registration",H290="Check date format"),R290,"")</x:f>
      </x:c>
      <x:c r="N290" t="str">
        <x:f>IF(COUNTIFS(C290:F290,"Reviewed N/A")&gt;0,S290,"")</x:f>
      </x:c>
      <x:c r="O290" t="n">
        <x:f>O289+IF(AND(A290&lt;&gt;"",COUNTIFS(C290,"&gt;=36526",C290,"&lt;"&amp;TODAY())+COUNTIFS(D290,"&gt;=36526",D290,"&lt;"&amp;TODAY())+COUNTIFS(E290,"&gt;=36526",E290,"&lt;"&amp;TODAY())+COUNTIFS(F290,"&gt;=36526",F290,"&lt;"&amp;TODAY())&gt;0),1,0)</x:f>
        <x:v>0</x:v>
      </x:c>
      <x:c r="P290" t="n">
        <x:f>P289+IF(AND(A290&lt;&gt;"",COUNTIFS(C290,"&gt;=36526",C290,TODAY())+COUNTIFS(D290,"&gt;=36526",D290,TODAY())+COUNTIFS(E290,"&gt;=36526",E290,TODAY())+COUNTIFS(F290,"&gt;=36526",F290,TODAY())&gt;0),1,0)</x:f>
        <x:v>0</x:v>
      </x:c>
      <x:c r="Q290" t="n">
        <x:f>Q289+IF(AND(A290&lt;&gt;"",COUNTIFS(C290,"&gt;"&amp;TODAY(),C290,"&lt;="&amp;TODAY()+30)+COUNTIFS(D290,"&gt;"&amp;TODAY(),D290,"&lt;="&amp;TODAY()+30)+COUNTIFS(E290,"&gt;"&amp;TODAY(),E290,"&lt;="&amp;TODAY()+30)+COUNTIFS(F290,"&gt;"&amp;TODAY(),F290,"&lt;="&amp;TODAY()+30)&gt;0),1,0)</x:f>
        <x:v>0</x:v>
      </x:c>
      <x:c r="R290" t="n">
        <x:f>R289+IF(OR(LEFT(H290,15)="Missing dates; ",LEFT(H290,16)="Add N/A reason; ",H290="Add dates",H290="Add registration",H290="Check date format"),1,0)</x:f>
        <x:v>0</x:v>
      </x:c>
      <x:c r="S290" t="n">
        <x:f>S289+IF(COUNTIFS(C290:F290,"Reviewed N/A")&gt;0,1,0)</x:f>
        <x:v>0</x:v>
      </x:c>
    </x:row>
    <x:row r="291" ht="48" customHeight="1">
      <x:c r="A291" s="52"/>
      <x:c r="B291" s="52"/>
      <x:c r="C291" s="53"/>
      <x:c r="D291" s="53"/>
      <x:c r="E291" s="53"/>
      <x:c r="F291" s="53"/>
      <x:c r="G291" s="52"/>
      <x:c r="H291" s="21" t="str">
        <x:f>IF(COUNTA(A291:G291,I291)=0,"",IF(A291="","Add registration",IF(OR(COUNTA(C291:F291)&gt;COUNT(C291:F291)+COUNTIFS(C291:F291,"Reviewed N/A"),AND(COUNT(C291:F291)&gt;0,OR(MIN(C291:F291)&lt;36526,MAX(C291:F291)&gt;109574))),"Check date format",IF(AND(COUNTIFS(C291:F291,"Reviewed N/A")&gt;0,I291=""),"Add N/A reason; ","")&amp;IF(COUNT(C291:F291)=0,IF(COUNTIFS(C291:F291,"Reviewed N/A")=4,"No applicable dates recorded","Add dates"),IF(COUNT(C291:F291)+COUNTIFS(C291:F291,"Reviewed N/A")&lt;4,"Missing dates; ","")&amp;IF(MIN(C291:F291)&lt;TODAY(),"Overdue: ",IF(MIN(C291:F291)=TODAY(),"Due today: ",IF(MIN(C291:F291)&lt;=TODAY()+30,"Due within 30 days: ","Next: ")))&amp;INDEX($C$8:$F$8,1,MATCH(MIN(C291:F291),C291:F291,0))&amp;" "&amp;TEXT(MIN(C291:F291),"dd mmm yyyy")))))</x:f>
      </x:c>
      <x:c r="I291" s="52"/>
      <x:c r="J291" t="str">
        <x:f>IF(AND(A291&lt;&gt;"",COUNTIFS(C291,"&gt;=36526",C291,"&lt;"&amp;TODAY())+COUNTIFS(D291,"&gt;=36526",D291,"&lt;"&amp;TODAY())+COUNTIFS(E291,"&gt;=36526",E291,"&lt;"&amp;TODAY())+COUNTIFS(F291,"&gt;=36526",F291,"&lt;"&amp;TODAY())&gt;0),O291,"")</x:f>
      </x:c>
      <x:c r="K291" t="str">
        <x:f>IF(AND(A291&lt;&gt;"",COUNTIFS(C291,"&gt;=36526",C291,TODAY())+COUNTIFS(D291,"&gt;=36526",D291,TODAY())+COUNTIFS(E291,"&gt;=36526",E291,TODAY())+COUNTIFS(F291,"&gt;=36526",F291,TODAY())&gt;0),P291,"")</x:f>
      </x:c>
      <x:c r="L291" t="str">
        <x:f>IF(AND(A291&lt;&gt;"",COUNTIFS(C291,"&gt;"&amp;TODAY(),C291,"&lt;="&amp;TODAY()+30)+COUNTIFS(D291,"&gt;"&amp;TODAY(),D291,"&lt;="&amp;TODAY()+30)+COUNTIFS(E291,"&gt;"&amp;TODAY(),E291,"&lt;="&amp;TODAY()+30)+COUNTIFS(F291,"&gt;"&amp;TODAY(),F291,"&lt;="&amp;TODAY()+30)&gt;0),Q291,"")</x:f>
      </x:c>
      <x:c r="M291" t="str">
        <x:f>IF(OR(LEFT(H291,15)="Missing dates; ",LEFT(H291,16)="Add N/A reason; ",H291="Add dates",H291="Add registration",H291="Check date format"),R291,"")</x:f>
      </x:c>
      <x:c r="N291" t="str">
        <x:f>IF(COUNTIFS(C291:F291,"Reviewed N/A")&gt;0,S291,"")</x:f>
      </x:c>
      <x:c r="O291" t="n">
        <x:f>O290+IF(AND(A291&lt;&gt;"",COUNTIFS(C291,"&gt;=36526",C291,"&lt;"&amp;TODAY())+COUNTIFS(D291,"&gt;=36526",D291,"&lt;"&amp;TODAY())+COUNTIFS(E291,"&gt;=36526",E291,"&lt;"&amp;TODAY())+COUNTIFS(F291,"&gt;=36526",F291,"&lt;"&amp;TODAY())&gt;0),1,0)</x:f>
        <x:v>0</x:v>
      </x:c>
      <x:c r="P291" t="n">
        <x:f>P290+IF(AND(A291&lt;&gt;"",COUNTIFS(C291,"&gt;=36526",C291,TODAY())+COUNTIFS(D291,"&gt;=36526",D291,TODAY())+COUNTIFS(E291,"&gt;=36526",E291,TODAY())+COUNTIFS(F291,"&gt;=36526",F291,TODAY())&gt;0),1,0)</x:f>
        <x:v>0</x:v>
      </x:c>
      <x:c r="Q291" t="n">
        <x:f>Q290+IF(AND(A291&lt;&gt;"",COUNTIFS(C291,"&gt;"&amp;TODAY(),C291,"&lt;="&amp;TODAY()+30)+COUNTIFS(D291,"&gt;"&amp;TODAY(),D291,"&lt;="&amp;TODAY()+30)+COUNTIFS(E291,"&gt;"&amp;TODAY(),E291,"&lt;="&amp;TODAY()+30)+COUNTIFS(F291,"&gt;"&amp;TODAY(),F291,"&lt;="&amp;TODAY()+30)&gt;0),1,0)</x:f>
        <x:v>0</x:v>
      </x:c>
      <x:c r="R291" t="n">
        <x:f>R290+IF(OR(LEFT(H291,15)="Missing dates; ",LEFT(H291,16)="Add N/A reason; ",H291="Add dates",H291="Add registration",H291="Check date format"),1,0)</x:f>
        <x:v>0</x:v>
      </x:c>
      <x:c r="S291" t="n">
        <x:f>S290+IF(COUNTIFS(C291:F291,"Reviewed N/A")&gt;0,1,0)</x:f>
        <x:v>0</x:v>
      </x:c>
    </x:row>
    <x:row r="292" ht="48" customHeight="1">
      <x:c r="A292" s="52"/>
      <x:c r="B292" s="52"/>
      <x:c r="C292" s="53"/>
      <x:c r="D292" s="53"/>
      <x:c r="E292" s="53"/>
      <x:c r="F292" s="53"/>
      <x:c r="G292" s="52"/>
      <x:c r="H292" s="21" t="str">
        <x:f>IF(COUNTA(A292:G292,I292)=0,"",IF(A292="","Add registration",IF(OR(COUNTA(C292:F292)&gt;COUNT(C292:F292)+COUNTIFS(C292:F292,"Reviewed N/A"),AND(COUNT(C292:F292)&gt;0,OR(MIN(C292:F292)&lt;36526,MAX(C292:F292)&gt;109574))),"Check date format",IF(AND(COUNTIFS(C292:F292,"Reviewed N/A")&gt;0,I292=""),"Add N/A reason; ","")&amp;IF(COUNT(C292:F292)=0,IF(COUNTIFS(C292:F292,"Reviewed N/A")=4,"No applicable dates recorded","Add dates"),IF(COUNT(C292:F292)+COUNTIFS(C292:F292,"Reviewed N/A")&lt;4,"Missing dates; ","")&amp;IF(MIN(C292:F292)&lt;TODAY(),"Overdue: ",IF(MIN(C292:F292)=TODAY(),"Due today: ",IF(MIN(C292:F292)&lt;=TODAY()+30,"Due within 30 days: ","Next: ")))&amp;INDEX($C$8:$F$8,1,MATCH(MIN(C292:F292),C292:F292,0))&amp;" "&amp;TEXT(MIN(C292:F292),"dd mmm yyyy")))))</x:f>
      </x:c>
      <x:c r="I292" s="52"/>
      <x:c r="J292" t="str">
        <x:f>IF(AND(A292&lt;&gt;"",COUNTIFS(C292,"&gt;=36526",C292,"&lt;"&amp;TODAY())+COUNTIFS(D292,"&gt;=36526",D292,"&lt;"&amp;TODAY())+COUNTIFS(E292,"&gt;=36526",E292,"&lt;"&amp;TODAY())+COUNTIFS(F292,"&gt;=36526",F292,"&lt;"&amp;TODAY())&gt;0),O292,"")</x:f>
      </x:c>
      <x:c r="K292" t="str">
        <x:f>IF(AND(A292&lt;&gt;"",COUNTIFS(C292,"&gt;=36526",C292,TODAY())+COUNTIFS(D292,"&gt;=36526",D292,TODAY())+COUNTIFS(E292,"&gt;=36526",E292,TODAY())+COUNTIFS(F292,"&gt;=36526",F292,TODAY())&gt;0),P292,"")</x:f>
      </x:c>
      <x:c r="L292" t="str">
        <x:f>IF(AND(A292&lt;&gt;"",COUNTIFS(C292,"&gt;"&amp;TODAY(),C292,"&lt;="&amp;TODAY()+30)+COUNTIFS(D292,"&gt;"&amp;TODAY(),D292,"&lt;="&amp;TODAY()+30)+COUNTIFS(E292,"&gt;"&amp;TODAY(),E292,"&lt;="&amp;TODAY()+30)+COUNTIFS(F292,"&gt;"&amp;TODAY(),F292,"&lt;="&amp;TODAY()+30)&gt;0),Q292,"")</x:f>
      </x:c>
      <x:c r="M292" t="str">
        <x:f>IF(OR(LEFT(H292,15)="Missing dates; ",LEFT(H292,16)="Add N/A reason; ",H292="Add dates",H292="Add registration",H292="Check date format"),R292,"")</x:f>
      </x:c>
      <x:c r="N292" t="str">
        <x:f>IF(COUNTIFS(C292:F292,"Reviewed N/A")&gt;0,S292,"")</x:f>
      </x:c>
      <x:c r="O292" t="n">
        <x:f>O291+IF(AND(A292&lt;&gt;"",COUNTIFS(C292,"&gt;=36526",C292,"&lt;"&amp;TODAY())+COUNTIFS(D292,"&gt;=36526",D292,"&lt;"&amp;TODAY())+COUNTIFS(E292,"&gt;=36526",E292,"&lt;"&amp;TODAY())+COUNTIFS(F292,"&gt;=36526",F292,"&lt;"&amp;TODAY())&gt;0),1,0)</x:f>
        <x:v>0</x:v>
      </x:c>
      <x:c r="P292" t="n">
        <x:f>P291+IF(AND(A292&lt;&gt;"",COUNTIFS(C292,"&gt;=36526",C292,TODAY())+COUNTIFS(D292,"&gt;=36526",D292,TODAY())+COUNTIFS(E292,"&gt;=36526",E292,TODAY())+COUNTIFS(F292,"&gt;=36526",F292,TODAY())&gt;0),1,0)</x:f>
        <x:v>0</x:v>
      </x:c>
      <x:c r="Q292" t="n">
        <x:f>Q291+IF(AND(A292&lt;&gt;"",COUNTIFS(C292,"&gt;"&amp;TODAY(),C292,"&lt;="&amp;TODAY()+30)+COUNTIFS(D292,"&gt;"&amp;TODAY(),D292,"&lt;="&amp;TODAY()+30)+COUNTIFS(E292,"&gt;"&amp;TODAY(),E292,"&lt;="&amp;TODAY()+30)+COUNTIFS(F292,"&gt;"&amp;TODAY(),F292,"&lt;="&amp;TODAY()+30)&gt;0),1,0)</x:f>
        <x:v>0</x:v>
      </x:c>
      <x:c r="R292" t="n">
        <x:f>R291+IF(OR(LEFT(H292,15)="Missing dates; ",LEFT(H292,16)="Add N/A reason; ",H292="Add dates",H292="Add registration",H292="Check date format"),1,0)</x:f>
        <x:v>0</x:v>
      </x:c>
      <x:c r="S292" t="n">
        <x:f>S291+IF(COUNTIFS(C292:F292,"Reviewed N/A")&gt;0,1,0)</x:f>
        <x:v>0</x:v>
      </x:c>
    </x:row>
    <x:row r="293" ht="48" customHeight="1">
      <x:c r="A293" s="52"/>
      <x:c r="B293" s="52"/>
      <x:c r="C293" s="53"/>
      <x:c r="D293" s="53"/>
      <x:c r="E293" s="53"/>
      <x:c r="F293" s="53"/>
      <x:c r="G293" s="52"/>
      <x:c r="H293" s="21" t="str">
        <x:f>IF(COUNTA(A293:G293,I293)=0,"",IF(A293="","Add registration",IF(OR(COUNTA(C293:F293)&gt;COUNT(C293:F293)+COUNTIFS(C293:F293,"Reviewed N/A"),AND(COUNT(C293:F293)&gt;0,OR(MIN(C293:F293)&lt;36526,MAX(C293:F293)&gt;109574))),"Check date format",IF(AND(COUNTIFS(C293:F293,"Reviewed N/A")&gt;0,I293=""),"Add N/A reason; ","")&amp;IF(COUNT(C293:F293)=0,IF(COUNTIFS(C293:F293,"Reviewed N/A")=4,"No applicable dates recorded","Add dates"),IF(COUNT(C293:F293)+COUNTIFS(C293:F293,"Reviewed N/A")&lt;4,"Missing dates; ","")&amp;IF(MIN(C293:F293)&lt;TODAY(),"Overdue: ",IF(MIN(C293:F293)=TODAY(),"Due today: ",IF(MIN(C293:F293)&lt;=TODAY()+30,"Due within 30 days: ","Next: ")))&amp;INDEX($C$8:$F$8,1,MATCH(MIN(C293:F293),C293:F293,0))&amp;" "&amp;TEXT(MIN(C293:F293),"dd mmm yyyy")))))</x:f>
      </x:c>
      <x:c r="I293" s="52"/>
      <x:c r="J293" t="str">
        <x:f>IF(AND(A293&lt;&gt;"",COUNTIFS(C293,"&gt;=36526",C293,"&lt;"&amp;TODAY())+COUNTIFS(D293,"&gt;=36526",D293,"&lt;"&amp;TODAY())+COUNTIFS(E293,"&gt;=36526",E293,"&lt;"&amp;TODAY())+COUNTIFS(F293,"&gt;=36526",F293,"&lt;"&amp;TODAY())&gt;0),O293,"")</x:f>
      </x:c>
      <x:c r="K293" t="str">
        <x:f>IF(AND(A293&lt;&gt;"",COUNTIFS(C293,"&gt;=36526",C293,TODAY())+COUNTIFS(D293,"&gt;=36526",D293,TODAY())+COUNTIFS(E293,"&gt;=36526",E293,TODAY())+COUNTIFS(F293,"&gt;=36526",F293,TODAY())&gt;0),P293,"")</x:f>
      </x:c>
      <x:c r="L293" t="str">
        <x:f>IF(AND(A293&lt;&gt;"",COUNTIFS(C293,"&gt;"&amp;TODAY(),C293,"&lt;="&amp;TODAY()+30)+COUNTIFS(D293,"&gt;"&amp;TODAY(),D293,"&lt;="&amp;TODAY()+30)+COUNTIFS(E293,"&gt;"&amp;TODAY(),E293,"&lt;="&amp;TODAY()+30)+COUNTIFS(F293,"&gt;"&amp;TODAY(),F293,"&lt;="&amp;TODAY()+30)&gt;0),Q293,"")</x:f>
      </x:c>
      <x:c r="M293" t="str">
        <x:f>IF(OR(LEFT(H293,15)="Missing dates; ",LEFT(H293,16)="Add N/A reason; ",H293="Add dates",H293="Add registration",H293="Check date format"),R293,"")</x:f>
      </x:c>
      <x:c r="N293" t="str">
        <x:f>IF(COUNTIFS(C293:F293,"Reviewed N/A")&gt;0,S293,"")</x:f>
      </x:c>
      <x:c r="O293" t="n">
        <x:f>O292+IF(AND(A293&lt;&gt;"",COUNTIFS(C293,"&gt;=36526",C293,"&lt;"&amp;TODAY())+COUNTIFS(D293,"&gt;=36526",D293,"&lt;"&amp;TODAY())+COUNTIFS(E293,"&gt;=36526",E293,"&lt;"&amp;TODAY())+COUNTIFS(F293,"&gt;=36526",F293,"&lt;"&amp;TODAY())&gt;0),1,0)</x:f>
        <x:v>0</x:v>
      </x:c>
      <x:c r="P293" t="n">
        <x:f>P292+IF(AND(A293&lt;&gt;"",COUNTIFS(C293,"&gt;=36526",C293,TODAY())+COUNTIFS(D293,"&gt;=36526",D293,TODAY())+COUNTIFS(E293,"&gt;=36526",E293,TODAY())+COUNTIFS(F293,"&gt;=36526",F293,TODAY())&gt;0),1,0)</x:f>
        <x:v>0</x:v>
      </x:c>
      <x:c r="Q293" t="n">
        <x:f>Q292+IF(AND(A293&lt;&gt;"",COUNTIFS(C293,"&gt;"&amp;TODAY(),C293,"&lt;="&amp;TODAY()+30)+COUNTIFS(D293,"&gt;"&amp;TODAY(),D293,"&lt;="&amp;TODAY()+30)+COUNTIFS(E293,"&gt;"&amp;TODAY(),E293,"&lt;="&amp;TODAY()+30)+COUNTIFS(F293,"&gt;"&amp;TODAY(),F293,"&lt;="&amp;TODAY()+30)&gt;0),1,0)</x:f>
        <x:v>0</x:v>
      </x:c>
      <x:c r="R293" t="n">
        <x:f>R292+IF(OR(LEFT(H293,15)="Missing dates; ",LEFT(H293,16)="Add N/A reason; ",H293="Add dates",H293="Add registration",H293="Check date format"),1,0)</x:f>
        <x:v>0</x:v>
      </x:c>
      <x:c r="S293" t="n">
        <x:f>S292+IF(COUNTIFS(C293:F293,"Reviewed N/A")&gt;0,1,0)</x:f>
        <x:v>0</x:v>
      </x:c>
    </x:row>
    <x:row r="294" ht="48" customHeight="1">
      <x:c r="A294" s="52"/>
      <x:c r="B294" s="52"/>
      <x:c r="C294" s="53"/>
      <x:c r="D294" s="53"/>
      <x:c r="E294" s="53"/>
      <x:c r="F294" s="53"/>
      <x:c r="G294" s="52"/>
      <x:c r="H294" s="21" t="str">
        <x:f>IF(COUNTA(A294:G294,I294)=0,"",IF(A294="","Add registration",IF(OR(COUNTA(C294:F294)&gt;COUNT(C294:F294)+COUNTIFS(C294:F294,"Reviewed N/A"),AND(COUNT(C294:F294)&gt;0,OR(MIN(C294:F294)&lt;36526,MAX(C294:F294)&gt;109574))),"Check date format",IF(AND(COUNTIFS(C294:F294,"Reviewed N/A")&gt;0,I294=""),"Add N/A reason; ","")&amp;IF(COUNT(C294:F294)=0,IF(COUNTIFS(C294:F294,"Reviewed N/A")=4,"No applicable dates recorded","Add dates"),IF(COUNT(C294:F294)+COUNTIFS(C294:F294,"Reviewed N/A")&lt;4,"Missing dates; ","")&amp;IF(MIN(C294:F294)&lt;TODAY(),"Overdue: ",IF(MIN(C294:F294)=TODAY(),"Due today: ",IF(MIN(C294:F294)&lt;=TODAY()+30,"Due within 30 days: ","Next: ")))&amp;INDEX($C$8:$F$8,1,MATCH(MIN(C294:F294),C294:F294,0))&amp;" "&amp;TEXT(MIN(C294:F294),"dd mmm yyyy")))))</x:f>
      </x:c>
      <x:c r="I294" s="52"/>
      <x:c r="J294" t="str">
        <x:f>IF(AND(A294&lt;&gt;"",COUNTIFS(C294,"&gt;=36526",C294,"&lt;"&amp;TODAY())+COUNTIFS(D294,"&gt;=36526",D294,"&lt;"&amp;TODAY())+COUNTIFS(E294,"&gt;=36526",E294,"&lt;"&amp;TODAY())+COUNTIFS(F294,"&gt;=36526",F294,"&lt;"&amp;TODAY())&gt;0),O294,"")</x:f>
      </x:c>
      <x:c r="K294" t="str">
        <x:f>IF(AND(A294&lt;&gt;"",COUNTIFS(C294,"&gt;=36526",C294,TODAY())+COUNTIFS(D294,"&gt;=36526",D294,TODAY())+COUNTIFS(E294,"&gt;=36526",E294,TODAY())+COUNTIFS(F294,"&gt;=36526",F294,TODAY())&gt;0),P294,"")</x:f>
      </x:c>
      <x:c r="L294" t="str">
        <x:f>IF(AND(A294&lt;&gt;"",COUNTIFS(C294,"&gt;"&amp;TODAY(),C294,"&lt;="&amp;TODAY()+30)+COUNTIFS(D294,"&gt;"&amp;TODAY(),D294,"&lt;="&amp;TODAY()+30)+COUNTIFS(E294,"&gt;"&amp;TODAY(),E294,"&lt;="&amp;TODAY()+30)+COUNTIFS(F294,"&gt;"&amp;TODAY(),F294,"&lt;="&amp;TODAY()+30)&gt;0),Q294,"")</x:f>
      </x:c>
      <x:c r="M294" t="str">
        <x:f>IF(OR(LEFT(H294,15)="Missing dates; ",LEFT(H294,16)="Add N/A reason; ",H294="Add dates",H294="Add registration",H294="Check date format"),R294,"")</x:f>
      </x:c>
      <x:c r="N294" t="str">
        <x:f>IF(COUNTIFS(C294:F294,"Reviewed N/A")&gt;0,S294,"")</x:f>
      </x:c>
      <x:c r="O294" t="n">
        <x:f>O293+IF(AND(A294&lt;&gt;"",COUNTIFS(C294,"&gt;=36526",C294,"&lt;"&amp;TODAY())+COUNTIFS(D294,"&gt;=36526",D294,"&lt;"&amp;TODAY())+COUNTIFS(E294,"&gt;=36526",E294,"&lt;"&amp;TODAY())+COUNTIFS(F294,"&gt;=36526",F294,"&lt;"&amp;TODAY())&gt;0),1,0)</x:f>
        <x:v>0</x:v>
      </x:c>
      <x:c r="P294" t="n">
        <x:f>P293+IF(AND(A294&lt;&gt;"",COUNTIFS(C294,"&gt;=36526",C294,TODAY())+COUNTIFS(D294,"&gt;=36526",D294,TODAY())+COUNTIFS(E294,"&gt;=36526",E294,TODAY())+COUNTIFS(F294,"&gt;=36526",F294,TODAY())&gt;0),1,0)</x:f>
        <x:v>0</x:v>
      </x:c>
      <x:c r="Q294" t="n">
        <x:f>Q293+IF(AND(A294&lt;&gt;"",COUNTIFS(C294,"&gt;"&amp;TODAY(),C294,"&lt;="&amp;TODAY()+30)+COUNTIFS(D294,"&gt;"&amp;TODAY(),D294,"&lt;="&amp;TODAY()+30)+COUNTIFS(E294,"&gt;"&amp;TODAY(),E294,"&lt;="&amp;TODAY()+30)+COUNTIFS(F294,"&gt;"&amp;TODAY(),F294,"&lt;="&amp;TODAY()+30)&gt;0),1,0)</x:f>
        <x:v>0</x:v>
      </x:c>
      <x:c r="R294" t="n">
        <x:f>R293+IF(OR(LEFT(H294,15)="Missing dates; ",LEFT(H294,16)="Add N/A reason; ",H294="Add dates",H294="Add registration",H294="Check date format"),1,0)</x:f>
        <x:v>0</x:v>
      </x:c>
      <x:c r="S294" t="n">
        <x:f>S293+IF(COUNTIFS(C294:F294,"Reviewed N/A")&gt;0,1,0)</x:f>
        <x:v>0</x:v>
      </x:c>
    </x:row>
    <x:row r="295" ht="48" customHeight="1">
      <x:c r="A295" s="52"/>
      <x:c r="B295" s="52"/>
      <x:c r="C295" s="53"/>
      <x:c r="D295" s="53"/>
      <x:c r="E295" s="53"/>
      <x:c r="F295" s="53"/>
      <x:c r="G295" s="52"/>
      <x:c r="H295" s="21" t="str">
        <x:f>IF(COUNTA(A295:G295,I295)=0,"",IF(A295="","Add registration",IF(OR(COUNTA(C295:F295)&gt;COUNT(C295:F295)+COUNTIFS(C295:F295,"Reviewed N/A"),AND(COUNT(C295:F295)&gt;0,OR(MIN(C295:F295)&lt;36526,MAX(C295:F295)&gt;109574))),"Check date format",IF(AND(COUNTIFS(C295:F295,"Reviewed N/A")&gt;0,I295=""),"Add N/A reason; ","")&amp;IF(COUNT(C295:F295)=0,IF(COUNTIFS(C295:F295,"Reviewed N/A")=4,"No applicable dates recorded","Add dates"),IF(COUNT(C295:F295)+COUNTIFS(C295:F295,"Reviewed N/A")&lt;4,"Missing dates; ","")&amp;IF(MIN(C295:F295)&lt;TODAY(),"Overdue: ",IF(MIN(C295:F295)=TODAY(),"Due today: ",IF(MIN(C295:F295)&lt;=TODAY()+30,"Due within 30 days: ","Next: ")))&amp;INDEX($C$8:$F$8,1,MATCH(MIN(C295:F295),C295:F295,0))&amp;" "&amp;TEXT(MIN(C295:F295),"dd mmm yyyy")))))</x:f>
      </x:c>
      <x:c r="I295" s="52"/>
      <x:c r="J295" t="str">
        <x:f>IF(AND(A295&lt;&gt;"",COUNTIFS(C295,"&gt;=36526",C295,"&lt;"&amp;TODAY())+COUNTIFS(D295,"&gt;=36526",D295,"&lt;"&amp;TODAY())+COUNTIFS(E295,"&gt;=36526",E295,"&lt;"&amp;TODAY())+COUNTIFS(F295,"&gt;=36526",F295,"&lt;"&amp;TODAY())&gt;0),O295,"")</x:f>
      </x:c>
      <x:c r="K295" t="str">
        <x:f>IF(AND(A295&lt;&gt;"",COUNTIFS(C295,"&gt;=36526",C295,TODAY())+COUNTIFS(D295,"&gt;=36526",D295,TODAY())+COUNTIFS(E295,"&gt;=36526",E295,TODAY())+COUNTIFS(F295,"&gt;=36526",F295,TODAY())&gt;0),P295,"")</x:f>
      </x:c>
      <x:c r="L295" t="str">
        <x:f>IF(AND(A295&lt;&gt;"",COUNTIFS(C295,"&gt;"&amp;TODAY(),C295,"&lt;="&amp;TODAY()+30)+COUNTIFS(D295,"&gt;"&amp;TODAY(),D295,"&lt;="&amp;TODAY()+30)+COUNTIFS(E295,"&gt;"&amp;TODAY(),E295,"&lt;="&amp;TODAY()+30)+COUNTIFS(F295,"&gt;"&amp;TODAY(),F295,"&lt;="&amp;TODAY()+30)&gt;0),Q295,"")</x:f>
      </x:c>
      <x:c r="M295" t="str">
        <x:f>IF(OR(LEFT(H295,15)="Missing dates; ",LEFT(H295,16)="Add N/A reason; ",H295="Add dates",H295="Add registration",H295="Check date format"),R295,"")</x:f>
      </x:c>
      <x:c r="N295" t="str">
        <x:f>IF(COUNTIFS(C295:F295,"Reviewed N/A")&gt;0,S295,"")</x:f>
      </x:c>
      <x:c r="O295" t="n">
        <x:f>O294+IF(AND(A295&lt;&gt;"",COUNTIFS(C295,"&gt;=36526",C295,"&lt;"&amp;TODAY())+COUNTIFS(D295,"&gt;=36526",D295,"&lt;"&amp;TODAY())+COUNTIFS(E295,"&gt;=36526",E295,"&lt;"&amp;TODAY())+COUNTIFS(F295,"&gt;=36526",F295,"&lt;"&amp;TODAY())&gt;0),1,0)</x:f>
        <x:v>0</x:v>
      </x:c>
      <x:c r="P295" t="n">
        <x:f>P294+IF(AND(A295&lt;&gt;"",COUNTIFS(C295,"&gt;=36526",C295,TODAY())+COUNTIFS(D295,"&gt;=36526",D295,TODAY())+COUNTIFS(E295,"&gt;=36526",E295,TODAY())+COUNTIFS(F295,"&gt;=36526",F295,TODAY())&gt;0),1,0)</x:f>
        <x:v>0</x:v>
      </x:c>
      <x:c r="Q295" t="n">
        <x:f>Q294+IF(AND(A295&lt;&gt;"",COUNTIFS(C295,"&gt;"&amp;TODAY(),C295,"&lt;="&amp;TODAY()+30)+COUNTIFS(D295,"&gt;"&amp;TODAY(),D295,"&lt;="&amp;TODAY()+30)+COUNTIFS(E295,"&gt;"&amp;TODAY(),E295,"&lt;="&amp;TODAY()+30)+COUNTIFS(F295,"&gt;"&amp;TODAY(),F295,"&lt;="&amp;TODAY()+30)&gt;0),1,0)</x:f>
        <x:v>0</x:v>
      </x:c>
      <x:c r="R295" t="n">
        <x:f>R294+IF(OR(LEFT(H295,15)="Missing dates; ",LEFT(H295,16)="Add N/A reason; ",H295="Add dates",H295="Add registration",H295="Check date format"),1,0)</x:f>
        <x:v>0</x:v>
      </x:c>
      <x:c r="S295" t="n">
        <x:f>S294+IF(COUNTIFS(C295:F295,"Reviewed N/A")&gt;0,1,0)</x:f>
        <x:v>0</x:v>
      </x:c>
    </x:row>
    <x:row r="296" ht="48" customHeight="1">
      <x:c r="A296" s="52"/>
      <x:c r="B296" s="52"/>
      <x:c r="C296" s="53"/>
      <x:c r="D296" s="53"/>
      <x:c r="E296" s="53"/>
      <x:c r="F296" s="53"/>
      <x:c r="G296" s="52"/>
      <x:c r="H296" s="21" t="str">
        <x:f>IF(COUNTA(A296:G296,I296)=0,"",IF(A296="","Add registration",IF(OR(COUNTA(C296:F296)&gt;COUNT(C296:F296)+COUNTIFS(C296:F296,"Reviewed N/A"),AND(COUNT(C296:F296)&gt;0,OR(MIN(C296:F296)&lt;36526,MAX(C296:F296)&gt;109574))),"Check date format",IF(AND(COUNTIFS(C296:F296,"Reviewed N/A")&gt;0,I296=""),"Add N/A reason; ","")&amp;IF(COUNT(C296:F296)=0,IF(COUNTIFS(C296:F296,"Reviewed N/A")=4,"No applicable dates recorded","Add dates"),IF(COUNT(C296:F296)+COUNTIFS(C296:F296,"Reviewed N/A")&lt;4,"Missing dates; ","")&amp;IF(MIN(C296:F296)&lt;TODAY(),"Overdue: ",IF(MIN(C296:F296)=TODAY(),"Due today: ",IF(MIN(C296:F296)&lt;=TODAY()+30,"Due within 30 days: ","Next: ")))&amp;INDEX($C$8:$F$8,1,MATCH(MIN(C296:F296),C296:F296,0))&amp;" "&amp;TEXT(MIN(C296:F296),"dd mmm yyyy")))))</x:f>
      </x:c>
      <x:c r="I296" s="52"/>
      <x:c r="J296" t="str">
        <x:f>IF(AND(A296&lt;&gt;"",COUNTIFS(C296,"&gt;=36526",C296,"&lt;"&amp;TODAY())+COUNTIFS(D296,"&gt;=36526",D296,"&lt;"&amp;TODAY())+COUNTIFS(E296,"&gt;=36526",E296,"&lt;"&amp;TODAY())+COUNTIFS(F296,"&gt;=36526",F296,"&lt;"&amp;TODAY())&gt;0),O296,"")</x:f>
      </x:c>
      <x:c r="K296" t="str">
        <x:f>IF(AND(A296&lt;&gt;"",COUNTIFS(C296,"&gt;=36526",C296,TODAY())+COUNTIFS(D296,"&gt;=36526",D296,TODAY())+COUNTIFS(E296,"&gt;=36526",E296,TODAY())+COUNTIFS(F296,"&gt;=36526",F296,TODAY())&gt;0),P296,"")</x:f>
      </x:c>
      <x:c r="L296" t="str">
        <x:f>IF(AND(A296&lt;&gt;"",COUNTIFS(C296,"&gt;"&amp;TODAY(),C296,"&lt;="&amp;TODAY()+30)+COUNTIFS(D296,"&gt;"&amp;TODAY(),D296,"&lt;="&amp;TODAY()+30)+COUNTIFS(E296,"&gt;"&amp;TODAY(),E296,"&lt;="&amp;TODAY()+30)+COUNTIFS(F296,"&gt;"&amp;TODAY(),F296,"&lt;="&amp;TODAY()+30)&gt;0),Q296,"")</x:f>
      </x:c>
      <x:c r="M296" t="str">
        <x:f>IF(OR(LEFT(H296,15)="Missing dates; ",LEFT(H296,16)="Add N/A reason; ",H296="Add dates",H296="Add registration",H296="Check date format"),R296,"")</x:f>
      </x:c>
      <x:c r="N296" t="str">
        <x:f>IF(COUNTIFS(C296:F296,"Reviewed N/A")&gt;0,S296,"")</x:f>
      </x:c>
      <x:c r="O296" t="n">
        <x:f>O295+IF(AND(A296&lt;&gt;"",COUNTIFS(C296,"&gt;=36526",C296,"&lt;"&amp;TODAY())+COUNTIFS(D296,"&gt;=36526",D296,"&lt;"&amp;TODAY())+COUNTIFS(E296,"&gt;=36526",E296,"&lt;"&amp;TODAY())+COUNTIFS(F296,"&gt;=36526",F296,"&lt;"&amp;TODAY())&gt;0),1,0)</x:f>
        <x:v>0</x:v>
      </x:c>
      <x:c r="P296" t="n">
        <x:f>P295+IF(AND(A296&lt;&gt;"",COUNTIFS(C296,"&gt;=36526",C296,TODAY())+COUNTIFS(D296,"&gt;=36526",D296,TODAY())+COUNTIFS(E296,"&gt;=36526",E296,TODAY())+COUNTIFS(F296,"&gt;=36526",F296,TODAY())&gt;0),1,0)</x:f>
        <x:v>0</x:v>
      </x:c>
      <x:c r="Q296" t="n">
        <x:f>Q295+IF(AND(A296&lt;&gt;"",COUNTIFS(C296,"&gt;"&amp;TODAY(),C296,"&lt;="&amp;TODAY()+30)+COUNTIFS(D296,"&gt;"&amp;TODAY(),D296,"&lt;="&amp;TODAY()+30)+COUNTIFS(E296,"&gt;"&amp;TODAY(),E296,"&lt;="&amp;TODAY()+30)+COUNTIFS(F296,"&gt;"&amp;TODAY(),F296,"&lt;="&amp;TODAY()+30)&gt;0),1,0)</x:f>
        <x:v>0</x:v>
      </x:c>
      <x:c r="R296" t="n">
        <x:f>R295+IF(OR(LEFT(H296,15)="Missing dates; ",LEFT(H296,16)="Add N/A reason; ",H296="Add dates",H296="Add registration",H296="Check date format"),1,0)</x:f>
        <x:v>0</x:v>
      </x:c>
      <x:c r="S296" t="n">
        <x:f>S295+IF(COUNTIFS(C296:F296,"Reviewed N/A")&gt;0,1,0)</x:f>
        <x:v>0</x:v>
      </x:c>
    </x:row>
    <x:row r="297" ht="48" customHeight="1">
      <x:c r="A297" s="52"/>
      <x:c r="B297" s="52"/>
      <x:c r="C297" s="53"/>
      <x:c r="D297" s="53"/>
      <x:c r="E297" s="53"/>
      <x:c r="F297" s="53"/>
      <x:c r="G297" s="52"/>
      <x:c r="H297" s="21" t="str">
        <x:f>IF(COUNTA(A297:G297,I297)=0,"",IF(A297="","Add registration",IF(OR(COUNTA(C297:F297)&gt;COUNT(C297:F297)+COUNTIFS(C297:F297,"Reviewed N/A"),AND(COUNT(C297:F297)&gt;0,OR(MIN(C297:F297)&lt;36526,MAX(C297:F297)&gt;109574))),"Check date format",IF(AND(COUNTIFS(C297:F297,"Reviewed N/A")&gt;0,I297=""),"Add N/A reason; ","")&amp;IF(COUNT(C297:F297)=0,IF(COUNTIFS(C297:F297,"Reviewed N/A")=4,"No applicable dates recorded","Add dates"),IF(COUNT(C297:F297)+COUNTIFS(C297:F297,"Reviewed N/A")&lt;4,"Missing dates; ","")&amp;IF(MIN(C297:F297)&lt;TODAY(),"Overdue: ",IF(MIN(C297:F297)=TODAY(),"Due today: ",IF(MIN(C297:F297)&lt;=TODAY()+30,"Due within 30 days: ","Next: ")))&amp;INDEX($C$8:$F$8,1,MATCH(MIN(C297:F297),C297:F297,0))&amp;" "&amp;TEXT(MIN(C297:F297),"dd mmm yyyy")))))</x:f>
      </x:c>
      <x:c r="I297" s="52"/>
      <x:c r="J297" t="str">
        <x:f>IF(AND(A297&lt;&gt;"",COUNTIFS(C297,"&gt;=36526",C297,"&lt;"&amp;TODAY())+COUNTIFS(D297,"&gt;=36526",D297,"&lt;"&amp;TODAY())+COUNTIFS(E297,"&gt;=36526",E297,"&lt;"&amp;TODAY())+COUNTIFS(F297,"&gt;=36526",F297,"&lt;"&amp;TODAY())&gt;0),O297,"")</x:f>
      </x:c>
      <x:c r="K297" t="str">
        <x:f>IF(AND(A297&lt;&gt;"",COUNTIFS(C297,"&gt;=36526",C297,TODAY())+COUNTIFS(D297,"&gt;=36526",D297,TODAY())+COUNTIFS(E297,"&gt;=36526",E297,TODAY())+COUNTIFS(F297,"&gt;=36526",F297,TODAY())&gt;0),P297,"")</x:f>
      </x:c>
      <x:c r="L297" t="str">
        <x:f>IF(AND(A297&lt;&gt;"",COUNTIFS(C297,"&gt;"&amp;TODAY(),C297,"&lt;="&amp;TODAY()+30)+COUNTIFS(D297,"&gt;"&amp;TODAY(),D297,"&lt;="&amp;TODAY()+30)+COUNTIFS(E297,"&gt;"&amp;TODAY(),E297,"&lt;="&amp;TODAY()+30)+COUNTIFS(F297,"&gt;"&amp;TODAY(),F297,"&lt;="&amp;TODAY()+30)&gt;0),Q297,"")</x:f>
      </x:c>
      <x:c r="M297" t="str">
        <x:f>IF(OR(LEFT(H297,15)="Missing dates; ",LEFT(H297,16)="Add N/A reason; ",H297="Add dates",H297="Add registration",H297="Check date format"),R297,"")</x:f>
      </x:c>
      <x:c r="N297" t="str">
        <x:f>IF(COUNTIFS(C297:F297,"Reviewed N/A")&gt;0,S297,"")</x:f>
      </x:c>
      <x:c r="O297" t="n">
        <x:f>O296+IF(AND(A297&lt;&gt;"",COUNTIFS(C297,"&gt;=36526",C297,"&lt;"&amp;TODAY())+COUNTIFS(D297,"&gt;=36526",D297,"&lt;"&amp;TODAY())+COUNTIFS(E297,"&gt;=36526",E297,"&lt;"&amp;TODAY())+COUNTIFS(F297,"&gt;=36526",F297,"&lt;"&amp;TODAY())&gt;0),1,0)</x:f>
        <x:v>0</x:v>
      </x:c>
      <x:c r="P297" t="n">
        <x:f>P296+IF(AND(A297&lt;&gt;"",COUNTIFS(C297,"&gt;=36526",C297,TODAY())+COUNTIFS(D297,"&gt;=36526",D297,TODAY())+COUNTIFS(E297,"&gt;=36526",E297,TODAY())+COUNTIFS(F297,"&gt;=36526",F297,TODAY())&gt;0),1,0)</x:f>
        <x:v>0</x:v>
      </x:c>
      <x:c r="Q297" t="n">
        <x:f>Q296+IF(AND(A297&lt;&gt;"",COUNTIFS(C297,"&gt;"&amp;TODAY(),C297,"&lt;="&amp;TODAY()+30)+COUNTIFS(D297,"&gt;"&amp;TODAY(),D297,"&lt;="&amp;TODAY()+30)+COUNTIFS(E297,"&gt;"&amp;TODAY(),E297,"&lt;="&amp;TODAY()+30)+COUNTIFS(F297,"&gt;"&amp;TODAY(),F297,"&lt;="&amp;TODAY()+30)&gt;0),1,0)</x:f>
        <x:v>0</x:v>
      </x:c>
      <x:c r="R297" t="n">
        <x:f>R296+IF(OR(LEFT(H297,15)="Missing dates; ",LEFT(H297,16)="Add N/A reason; ",H297="Add dates",H297="Add registration",H297="Check date format"),1,0)</x:f>
        <x:v>0</x:v>
      </x:c>
      <x:c r="S297" t="n">
        <x:f>S296+IF(COUNTIFS(C297:F297,"Reviewed N/A")&gt;0,1,0)</x:f>
        <x:v>0</x:v>
      </x:c>
    </x:row>
    <x:row r="298" ht="48" customHeight="1">
      <x:c r="A298" s="52"/>
      <x:c r="B298" s="52"/>
      <x:c r="C298" s="53"/>
      <x:c r="D298" s="53"/>
      <x:c r="E298" s="53"/>
      <x:c r="F298" s="53"/>
      <x:c r="G298" s="52"/>
      <x:c r="H298" s="21" t="str">
        <x:f>IF(COUNTA(A298:G298,I298)=0,"",IF(A298="","Add registration",IF(OR(COUNTA(C298:F298)&gt;COUNT(C298:F298)+COUNTIFS(C298:F298,"Reviewed N/A"),AND(COUNT(C298:F298)&gt;0,OR(MIN(C298:F298)&lt;36526,MAX(C298:F298)&gt;109574))),"Check date format",IF(AND(COUNTIFS(C298:F298,"Reviewed N/A")&gt;0,I298=""),"Add N/A reason; ","")&amp;IF(COUNT(C298:F298)=0,IF(COUNTIFS(C298:F298,"Reviewed N/A")=4,"No applicable dates recorded","Add dates"),IF(COUNT(C298:F298)+COUNTIFS(C298:F298,"Reviewed N/A")&lt;4,"Missing dates; ","")&amp;IF(MIN(C298:F298)&lt;TODAY(),"Overdue: ",IF(MIN(C298:F298)=TODAY(),"Due today: ",IF(MIN(C298:F298)&lt;=TODAY()+30,"Due within 30 days: ","Next: ")))&amp;INDEX($C$8:$F$8,1,MATCH(MIN(C298:F298),C298:F298,0))&amp;" "&amp;TEXT(MIN(C298:F298),"dd mmm yyyy")))))</x:f>
      </x:c>
      <x:c r="I298" s="52"/>
      <x:c r="J298" t="str">
        <x:f>IF(AND(A298&lt;&gt;"",COUNTIFS(C298,"&gt;=36526",C298,"&lt;"&amp;TODAY())+COUNTIFS(D298,"&gt;=36526",D298,"&lt;"&amp;TODAY())+COUNTIFS(E298,"&gt;=36526",E298,"&lt;"&amp;TODAY())+COUNTIFS(F298,"&gt;=36526",F298,"&lt;"&amp;TODAY())&gt;0),O298,"")</x:f>
      </x:c>
      <x:c r="K298" t="str">
        <x:f>IF(AND(A298&lt;&gt;"",COUNTIFS(C298,"&gt;=36526",C298,TODAY())+COUNTIFS(D298,"&gt;=36526",D298,TODAY())+COUNTIFS(E298,"&gt;=36526",E298,TODAY())+COUNTIFS(F298,"&gt;=36526",F298,TODAY())&gt;0),P298,"")</x:f>
      </x:c>
      <x:c r="L298" t="str">
        <x:f>IF(AND(A298&lt;&gt;"",COUNTIFS(C298,"&gt;"&amp;TODAY(),C298,"&lt;="&amp;TODAY()+30)+COUNTIFS(D298,"&gt;"&amp;TODAY(),D298,"&lt;="&amp;TODAY()+30)+COUNTIFS(E298,"&gt;"&amp;TODAY(),E298,"&lt;="&amp;TODAY()+30)+COUNTIFS(F298,"&gt;"&amp;TODAY(),F298,"&lt;="&amp;TODAY()+30)&gt;0),Q298,"")</x:f>
      </x:c>
      <x:c r="M298" t="str">
        <x:f>IF(OR(LEFT(H298,15)="Missing dates; ",LEFT(H298,16)="Add N/A reason; ",H298="Add dates",H298="Add registration",H298="Check date format"),R298,"")</x:f>
      </x:c>
      <x:c r="N298" t="str">
        <x:f>IF(COUNTIFS(C298:F298,"Reviewed N/A")&gt;0,S298,"")</x:f>
      </x:c>
      <x:c r="O298" t="n">
        <x:f>O297+IF(AND(A298&lt;&gt;"",COUNTIFS(C298,"&gt;=36526",C298,"&lt;"&amp;TODAY())+COUNTIFS(D298,"&gt;=36526",D298,"&lt;"&amp;TODAY())+COUNTIFS(E298,"&gt;=36526",E298,"&lt;"&amp;TODAY())+COUNTIFS(F298,"&gt;=36526",F298,"&lt;"&amp;TODAY())&gt;0),1,0)</x:f>
        <x:v>0</x:v>
      </x:c>
      <x:c r="P298" t="n">
        <x:f>P297+IF(AND(A298&lt;&gt;"",COUNTIFS(C298,"&gt;=36526",C298,TODAY())+COUNTIFS(D298,"&gt;=36526",D298,TODAY())+COUNTIFS(E298,"&gt;=36526",E298,TODAY())+COUNTIFS(F298,"&gt;=36526",F298,TODAY())&gt;0),1,0)</x:f>
        <x:v>0</x:v>
      </x:c>
      <x:c r="Q298" t="n">
        <x:f>Q297+IF(AND(A298&lt;&gt;"",COUNTIFS(C298,"&gt;"&amp;TODAY(),C298,"&lt;="&amp;TODAY()+30)+COUNTIFS(D298,"&gt;"&amp;TODAY(),D298,"&lt;="&amp;TODAY()+30)+COUNTIFS(E298,"&gt;"&amp;TODAY(),E298,"&lt;="&amp;TODAY()+30)+COUNTIFS(F298,"&gt;"&amp;TODAY(),F298,"&lt;="&amp;TODAY()+30)&gt;0),1,0)</x:f>
        <x:v>0</x:v>
      </x:c>
      <x:c r="R298" t="n">
        <x:f>R297+IF(OR(LEFT(H298,15)="Missing dates; ",LEFT(H298,16)="Add N/A reason; ",H298="Add dates",H298="Add registration",H298="Check date format"),1,0)</x:f>
        <x:v>0</x:v>
      </x:c>
      <x:c r="S298" t="n">
        <x:f>S297+IF(COUNTIFS(C298:F298,"Reviewed N/A")&gt;0,1,0)</x:f>
        <x:v>0</x:v>
      </x:c>
    </x:row>
    <x:row r="299" ht="48" customHeight="1">
      <x:c r="A299" s="52"/>
      <x:c r="B299" s="52"/>
      <x:c r="C299" s="53"/>
      <x:c r="D299" s="53"/>
      <x:c r="E299" s="53"/>
      <x:c r="F299" s="53"/>
      <x:c r="G299" s="52"/>
      <x:c r="H299" s="21" t="str">
        <x:f>IF(COUNTA(A299:G299,I299)=0,"",IF(A299="","Add registration",IF(OR(COUNTA(C299:F299)&gt;COUNT(C299:F299)+COUNTIFS(C299:F299,"Reviewed N/A"),AND(COUNT(C299:F299)&gt;0,OR(MIN(C299:F299)&lt;36526,MAX(C299:F299)&gt;109574))),"Check date format",IF(AND(COUNTIFS(C299:F299,"Reviewed N/A")&gt;0,I299=""),"Add N/A reason; ","")&amp;IF(COUNT(C299:F299)=0,IF(COUNTIFS(C299:F299,"Reviewed N/A")=4,"No applicable dates recorded","Add dates"),IF(COUNT(C299:F299)+COUNTIFS(C299:F299,"Reviewed N/A")&lt;4,"Missing dates; ","")&amp;IF(MIN(C299:F299)&lt;TODAY(),"Overdue: ",IF(MIN(C299:F299)=TODAY(),"Due today: ",IF(MIN(C299:F299)&lt;=TODAY()+30,"Due within 30 days: ","Next: ")))&amp;INDEX($C$8:$F$8,1,MATCH(MIN(C299:F299),C299:F299,0))&amp;" "&amp;TEXT(MIN(C299:F299),"dd mmm yyyy")))))</x:f>
      </x:c>
      <x:c r="I299" s="52"/>
      <x:c r="J299" t="str">
        <x:f>IF(AND(A299&lt;&gt;"",COUNTIFS(C299,"&gt;=36526",C299,"&lt;"&amp;TODAY())+COUNTIFS(D299,"&gt;=36526",D299,"&lt;"&amp;TODAY())+COUNTIFS(E299,"&gt;=36526",E299,"&lt;"&amp;TODAY())+COUNTIFS(F299,"&gt;=36526",F299,"&lt;"&amp;TODAY())&gt;0),O299,"")</x:f>
      </x:c>
      <x:c r="K299" t="str">
        <x:f>IF(AND(A299&lt;&gt;"",COUNTIFS(C299,"&gt;=36526",C299,TODAY())+COUNTIFS(D299,"&gt;=36526",D299,TODAY())+COUNTIFS(E299,"&gt;=36526",E299,TODAY())+COUNTIFS(F299,"&gt;=36526",F299,TODAY())&gt;0),P299,"")</x:f>
      </x:c>
      <x:c r="L299" t="str">
        <x:f>IF(AND(A299&lt;&gt;"",COUNTIFS(C299,"&gt;"&amp;TODAY(),C299,"&lt;="&amp;TODAY()+30)+COUNTIFS(D299,"&gt;"&amp;TODAY(),D299,"&lt;="&amp;TODAY()+30)+COUNTIFS(E299,"&gt;"&amp;TODAY(),E299,"&lt;="&amp;TODAY()+30)+COUNTIFS(F299,"&gt;"&amp;TODAY(),F299,"&lt;="&amp;TODAY()+30)&gt;0),Q299,"")</x:f>
      </x:c>
      <x:c r="M299" t="str">
        <x:f>IF(OR(LEFT(H299,15)="Missing dates; ",LEFT(H299,16)="Add N/A reason; ",H299="Add dates",H299="Add registration",H299="Check date format"),R299,"")</x:f>
      </x:c>
      <x:c r="N299" t="str">
        <x:f>IF(COUNTIFS(C299:F299,"Reviewed N/A")&gt;0,S299,"")</x:f>
      </x:c>
      <x:c r="O299" t="n">
        <x:f>O298+IF(AND(A299&lt;&gt;"",COUNTIFS(C299,"&gt;=36526",C299,"&lt;"&amp;TODAY())+COUNTIFS(D299,"&gt;=36526",D299,"&lt;"&amp;TODAY())+COUNTIFS(E299,"&gt;=36526",E299,"&lt;"&amp;TODAY())+COUNTIFS(F299,"&gt;=36526",F299,"&lt;"&amp;TODAY())&gt;0),1,0)</x:f>
        <x:v>0</x:v>
      </x:c>
      <x:c r="P299" t="n">
        <x:f>P298+IF(AND(A299&lt;&gt;"",COUNTIFS(C299,"&gt;=36526",C299,TODAY())+COUNTIFS(D299,"&gt;=36526",D299,TODAY())+COUNTIFS(E299,"&gt;=36526",E299,TODAY())+COUNTIFS(F299,"&gt;=36526",F299,TODAY())&gt;0),1,0)</x:f>
        <x:v>0</x:v>
      </x:c>
      <x:c r="Q299" t="n">
        <x:f>Q298+IF(AND(A299&lt;&gt;"",COUNTIFS(C299,"&gt;"&amp;TODAY(),C299,"&lt;="&amp;TODAY()+30)+COUNTIFS(D299,"&gt;"&amp;TODAY(),D299,"&lt;="&amp;TODAY()+30)+COUNTIFS(E299,"&gt;"&amp;TODAY(),E299,"&lt;="&amp;TODAY()+30)+COUNTIFS(F299,"&gt;"&amp;TODAY(),F299,"&lt;="&amp;TODAY()+30)&gt;0),1,0)</x:f>
        <x:v>0</x:v>
      </x:c>
      <x:c r="R299" t="n">
        <x:f>R298+IF(OR(LEFT(H299,15)="Missing dates; ",LEFT(H299,16)="Add N/A reason; ",H299="Add dates",H299="Add registration",H299="Check date format"),1,0)</x:f>
        <x:v>0</x:v>
      </x:c>
      <x:c r="S299" t="n">
        <x:f>S298+IF(COUNTIFS(C299:F299,"Reviewed N/A")&gt;0,1,0)</x:f>
        <x:v>0</x:v>
      </x:c>
    </x:row>
    <x:row r="300" ht="48" customHeight="1">
      <x:c r="A300" s="52"/>
      <x:c r="B300" s="52"/>
      <x:c r="C300" s="53"/>
      <x:c r="D300" s="53"/>
      <x:c r="E300" s="53"/>
      <x:c r="F300" s="53"/>
      <x:c r="G300" s="52"/>
      <x:c r="H300" s="21" t="str">
        <x:f>IF(COUNTA(A300:G300,I300)=0,"",IF(A300="","Add registration",IF(OR(COUNTA(C300:F300)&gt;COUNT(C300:F300)+COUNTIFS(C300:F300,"Reviewed N/A"),AND(COUNT(C300:F300)&gt;0,OR(MIN(C300:F300)&lt;36526,MAX(C300:F300)&gt;109574))),"Check date format",IF(AND(COUNTIFS(C300:F300,"Reviewed N/A")&gt;0,I300=""),"Add N/A reason; ","")&amp;IF(COUNT(C300:F300)=0,IF(COUNTIFS(C300:F300,"Reviewed N/A")=4,"No applicable dates recorded","Add dates"),IF(COUNT(C300:F300)+COUNTIFS(C300:F300,"Reviewed N/A")&lt;4,"Missing dates; ","")&amp;IF(MIN(C300:F300)&lt;TODAY(),"Overdue: ",IF(MIN(C300:F300)=TODAY(),"Due today: ",IF(MIN(C300:F300)&lt;=TODAY()+30,"Due within 30 days: ","Next: ")))&amp;INDEX($C$8:$F$8,1,MATCH(MIN(C300:F300),C300:F300,0))&amp;" "&amp;TEXT(MIN(C300:F300),"dd mmm yyyy")))))</x:f>
      </x:c>
      <x:c r="I300" s="52"/>
      <x:c r="J300" t="str">
        <x:f>IF(AND(A300&lt;&gt;"",COUNTIFS(C300,"&gt;=36526",C300,"&lt;"&amp;TODAY())+COUNTIFS(D300,"&gt;=36526",D300,"&lt;"&amp;TODAY())+COUNTIFS(E300,"&gt;=36526",E300,"&lt;"&amp;TODAY())+COUNTIFS(F300,"&gt;=36526",F300,"&lt;"&amp;TODAY())&gt;0),O300,"")</x:f>
      </x:c>
      <x:c r="K300" t="str">
        <x:f>IF(AND(A300&lt;&gt;"",COUNTIFS(C300,"&gt;=36526",C300,TODAY())+COUNTIFS(D300,"&gt;=36526",D300,TODAY())+COUNTIFS(E300,"&gt;=36526",E300,TODAY())+COUNTIFS(F300,"&gt;=36526",F300,TODAY())&gt;0),P300,"")</x:f>
      </x:c>
      <x:c r="L300" t="str">
        <x:f>IF(AND(A300&lt;&gt;"",COUNTIFS(C300,"&gt;"&amp;TODAY(),C300,"&lt;="&amp;TODAY()+30)+COUNTIFS(D300,"&gt;"&amp;TODAY(),D300,"&lt;="&amp;TODAY()+30)+COUNTIFS(E300,"&gt;"&amp;TODAY(),E300,"&lt;="&amp;TODAY()+30)+COUNTIFS(F300,"&gt;"&amp;TODAY(),F300,"&lt;="&amp;TODAY()+30)&gt;0),Q300,"")</x:f>
      </x:c>
      <x:c r="M300" t="str">
        <x:f>IF(OR(LEFT(H300,15)="Missing dates; ",LEFT(H300,16)="Add N/A reason; ",H300="Add dates",H300="Add registration",H300="Check date format"),R300,"")</x:f>
      </x:c>
      <x:c r="N300" t="str">
        <x:f>IF(COUNTIFS(C300:F300,"Reviewed N/A")&gt;0,S300,"")</x:f>
      </x:c>
      <x:c r="O300" t="n">
        <x:f>O299+IF(AND(A300&lt;&gt;"",COUNTIFS(C300,"&gt;=36526",C300,"&lt;"&amp;TODAY())+COUNTIFS(D300,"&gt;=36526",D300,"&lt;"&amp;TODAY())+COUNTIFS(E300,"&gt;=36526",E300,"&lt;"&amp;TODAY())+COUNTIFS(F300,"&gt;=36526",F300,"&lt;"&amp;TODAY())&gt;0),1,0)</x:f>
        <x:v>0</x:v>
      </x:c>
      <x:c r="P300" t="n">
        <x:f>P299+IF(AND(A300&lt;&gt;"",COUNTIFS(C300,"&gt;=36526",C300,TODAY())+COUNTIFS(D300,"&gt;=36526",D300,TODAY())+COUNTIFS(E300,"&gt;=36526",E300,TODAY())+COUNTIFS(F300,"&gt;=36526",F300,TODAY())&gt;0),1,0)</x:f>
        <x:v>0</x:v>
      </x:c>
      <x:c r="Q300" t="n">
        <x:f>Q299+IF(AND(A300&lt;&gt;"",COUNTIFS(C300,"&gt;"&amp;TODAY(),C300,"&lt;="&amp;TODAY()+30)+COUNTIFS(D300,"&gt;"&amp;TODAY(),D300,"&lt;="&amp;TODAY()+30)+COUNTIFS(E300,"&gt;"&amp;TODAY(),E300,"&lt;="&amp;TODAY()+30)+COUNTIFS(F300,"&gt;"&amp;TODAY(),F300,"&lt;="&amp;TODAY()+30)&gt;0),1,0)</x:f>
        <x:v>0</x:v>
      </x:c>
      <x:c r="R300" t="n">
        <x:f>R299+IF(OR(LEFT(H300,15)="Missing dates; ",LEFT(H300,16)="Add N/A reason; ",H300="Add dates",H300="Add registration",H300="Check date format"),1,0)</x:f>
        <x:v>0</x:v>
      </x:c>
      <x:c r="S300" t="n">
        <x:f>S299+IF(COUNTIFS(C300:F300,"Reviewed N/A")&gt;0,1,0)</x:f>
        <x:v>0</x:v>
      </x:c>
    </x:row>
    <x:row r="301" ht="48" customHeight="1">
      <x:c r="A301" s="52"/>
      <x:c r="B301" s="52"/>
      <x:c r="C301" s="53"/>
      <x:c r="D301" s="53"/>
      <x:c r="E301" s="53"/>
      <x:c r="F301" s="53"/>
      <x:c r="G301" s="52"/>
      <x:c r="H301" s="21" t="str">
        <x:f>IF(COUNTA(A301:G301,I301)=0,"",IF(A301="","Add registration",IF(OR(COUNTA(C301:F301)&gt;COUNT(C301:F301)+COUNTIFS(C301:F301,"Reviewed N/A"),AND(COUNT(C301:F301)&gt;0,OR(MIN(C301:F301)&lt;36526,MAX(C301:F301)&gt;109574))),"Check date format",IF(AND(COUNTIFS(C301:F301,"Reviewed N/A")&gt;0,I301=""),"Add N/A reason; ","")&amp;IF(COUNT(C301:F301)=0,IF(COUNTIFS(C301:F301,"Reviewed N/A")=4,"No applicable dates recorded","Add dates"),IF(COUNT(C301:F301)+COUNTIFS(C301:F301,"Reviewed N/A")&lt;4,"Missing dates; ","")&amp;IF(MIN(C301:F301)&lt;TODAY(),"Overdue: ",IF(MIN(C301:F301)=TODAY(),"Due today: ",IF(MIN(C301:F301)&lt;=TODAY()+30,"Due within 30 days: ","Next: ")))&amp;INDEX($C$8:$F$8,1,MATCH(MIN(C301:F301),C301:F301,0))&amp;" "&amp;TEXT(MIN(C301:F301),"dd mmm yyyy")))))</x:f>
      </x:c>
      <x:c r="I301" s="52"/>
      <x:c r="J301" t="str">
        <x:f>IF(AND(A301&lt;&gt;"",COUNTIFS(C301,"&gt;=36526",C301,"&lt;"&amp;TODAY())+COUNTIFS(D301,"&gt;=36526",D301,"&lt;"&amp;TODAY())+COUNTIFS(E301,"&gt;=36526",E301,"&lt;"&amp;TODAY())+COUNTIFS(F301,"&gt;=36526",F301,"&lt;"&amp;TODAY())&gt;0),O301,"")</x:f>
      </x:c>
      <x:c r="K301" t="str">
        <x:f>IF(AND(A301&lt;&gt;"",COUNTIFS(C301,"&gt;=36526",C301,TODAY())+COUNTIFS(D301,"&gt;=36526",D301,TODAY())+COUNTIFS(E301,"&gt;=36526",E301,TODAY())+COUNTIFS(F301,"&gt;=36526",F301,TODAY())&gt;0),P301,"")</x:f>
      </x:c>
      <x:c r="L301" t="str">
        <x:f>IF(AND(A301&lt;&gt;"",COUNTIFS(C301,"&gt;"&amp;TODAY(),C301,"&lt;="&amp;TODAY()+30)+COUNTIFS(D301,"&gt;"&amp;TODAY(),D301,"&lt;="&amp;TODAY()+30)+COUNTIFS(E301,"&gt;"&amp;TODAY(),E301,"&lt;="&amp;TODAY()+30)+COUNTIFS(F301,"&gt;"&amp;TODAY(),F301,"&lt;="&amp;TODAY()+30)&gt;0),Q301,"")</x:f>
      </x:c>
      <x:c r="M301" t="str">
        <x:f>IF(OR(LEFT(H301,15)="Missing dates; ",LEFT(H301,16)="Add N/A reason; ",H301="Add dates",H301="Add registration",H301="Check date format"),R301,"")</x:f>
      </x:c>
      <x:c r="N301" t="str">
        <x:f>IF(COUNTIFS(C301:F301,"Reviewed N/A")&gt;0,S301,"")</x:f>
      </x:c>
      <x:c r="O301" t="n">
        <x:f>O300+IF(AND(A301&lt;&gt;"",COUNTIFS(C301,"&gt;=36526",C301,"&lt;"&amp;TODAY())+COUNTIFS(D301,"&gt;=36526",D301,"&lt;"&amp;TODAY())+COUNTIFS(E301,"&gt;=36526",E301,"&lt;"&amp;TODAY())+COUNTIFS(F301,"&gt;=36526",F301,"&lt;"&amp;TODAY())&gt;0),1,0)</x:f>
        <x:v>0</x:v>
      </x:c>
      <x:c r="P301" t="n">
        <x:f>P300+IF(AND(A301&lt;&gt;"",COUNTIFS(C301,"&gt;=36526",C301,TODAY())+COUNTIFS(D301,"&gt;=36526",D301,TODAY())+COUNTIFS(E301,"&gt;=36526",E301,TODAY())+COUNTIFS(F301,"&gt;=36526",F301,TODAY())&gt;0),1,0)</x:f>
        <x:v>0</x:v>
      </x:c>
      <x:c r="Q301" t="n">
        <x:f>Q300+IF(AND(A301&lt;&gt;"",COUNTIFS(C301,"&gt;"&amp;TODAY(),C301,"&lt;="&amp;TODAY()+30)+COUNTIFS(D301,"&gt;"&amp;TODAY(),D301,"&lt;="&amp;TODAY()+30)+COUNTIFS(E301,"&gt;"&amp;TODAY(),E301,"&lt;="&amp;TODAY()+30)+COUNTIFS(F301,"&gt;"&amp;TODAY(),F301,"&lt;="&amp;TODAY()+30)&gt;0),1,0)</x:f>
        <x:v>0</x:v>
      </x:c>
      <x:c r="R301" t="n">
        <x:f>R300+IF(OR(LEFT(H301,15)="Missing dates; ",LEFT(H301,16)="Add N/A reason; ",H301="Add dates",H301="Add registration",H301="Check date format"),1,0)</x:f>
        <x:v>0</x:v>
      </x:c>
      <x:c r="S301" t="n">
        <x:f>S300+IF(COUNTIFS(C301:F301,"Reviewed N/A")&gt;0,1,0)</x:f>
        <x:v>0</x:v>
      </x:c>
    </x:row>
    <x:row r="302" ht="48" customHeight="1">
      <x:c r="A302" s="52"/>
      <x:c r="B302" s="52"/>
      <x:c r="C302" s="53"/>
      <x:c r="D302" s="53"/>
      <x:c r="E302" s="53"/>
      <x:c r="F302" s="53"/>
      <x:c r="G302" s="52"/>
      <x:c r="H302" s="21" t="str">
        <x:f>IF(COUNTA(A302:G302,I302)=0,"",IF(A302="","Add registration",IF(OR(COUNTA(C302:F302)&gt;COUNT(C302:F302)+COUNTIFS(C302:F302,"Reviewed N/A"),AND(COUNT(C302:F302)&gt;0,OR(MIN(C302:F302)&lt;36526,MAX(C302:F302)&gt;109574))),"Check date format",IF(AND(COUNTIFS(C302:F302,"Reviewed N/A")&gt;0,I302=""),"Add N/A reason; ","")&amp;IF(COUNT(C302:F302)=0,IF(COUNTIFS(C302:F302,"Reviewed N/A")=4,"No applicable dates recorded","Add dates"),IF(COUNT(C302:F302)+COUNTIFS(C302:F302,"Reviewed N/A")&lt;4,"Missing dates; ","")&amp;IF(MIN(C302:F302)&lt;TODAY(),"Overdue: ",IF(MIN(C302:F302)=TODAY(),"Due today: ",IF(MIN(C302:F302)&lt;=TODAY()+30,"Due within 30 days: ","Next: ")))&amp;INDEX($C$8:$F$8,1,MATCH(MIN(C302:F302),C302:F302,0))&amp;" "&amp;TEXT(MIN(C302:F302),"dd mmm yyyy")))))</x:f>
      </x:c>
      <x:c r="I302" s="52"/>
      <x:c r="J302" t="str">
        <x:f>IF(AND(A302&lt;&gt;"",COUNTIFS(C302,"&gt;=36526",C302,"&lt;"&amp;TODAY())+COUNTIFS(D302,"&gt;=36526",D302,"&lt;"&amp;TODAY())+COUNTIFS(E302,"&gt;=36526",E302,"&lt;"&amp;TODAY())+COUNTIFS(F302,"&gt;=36526",F302,"&lt;"&amp;TODAY())&gt;0),O302,"")</x:f>
      </x:c>
      <x:c r="K302" t="str">
        <x:f>IF(AND(A302&lt;&gt;"",COUNTIFS(C302,"&gt;=36526",C302,TODAY())+COUNTIFS(D302,"&gt;=36526",D302,TODAY())+COUNTIFS(E302,"&gt;=36526",E302,TODAY())+COUNTIFS(F302,"&gt;=36526",F302,TODAY())&gt;0),P302,"")</x:f>
      </x:c>
      <x:c r="L302" t="str">
        <x:f>IF(AND(A302&lt;&gt;"",COUNTIFS(C302,"&gt;"&amp;TODAY(),C302,"&lt;="&amp;TODAY()+30)+COUNTIFS(D302,"&gt;"&amp;TODAY(),D302,"&lt;="&amp;TODAY()+30)+COUNTIFS(E302,"&gt;"&amp;TODAY(),E302,"&lt;="&amp;TODAY()+30)+COUNTIFS(F302,"&gt;"&amp;TODAY(),F302,"&lt;="&amp;TODAY()+30)&gt;0),Q302,"")</x:f>
      </x:c>
      <x:c r="M302" t="str">
        <x:f>IF(OR(LEFT(H302,15)="Missing dates; ",LEFT(H302,16)="Add N/A reason; ",H302="Add dates",H302="Add registration",H302="Check date format"),R302,"")</x:f>
      </x:c>
      <x:c r="N302" t="str">
        <x:f>IF(COUNTIFS(C302:F302,"Reviewed N/A")&gt;0,S302,"")</x:f>
      </x:c>
      <x:c r="O302" t="n">
        <x:f>O301+IF(AND(A302&lt;&gt;"",COUNTIFS(C302,"&gt;=36526",C302,"&lt;"&amp;TODAY())+COUNTIFS(D302,"&gt;=36526",D302,"&lt;"&amp;TODAY())+COUNTIFS(E302,"&gt;=36526",E302,"&lt;"&amp;TODAY())+COUNTIFS(F302,"&gt;=36526",F302,"&lt;"&amp;TODAY())&gt;0),1,0)</x:f>
        <x:v>0</x:v>
      </x:c>
      <x:c r="P302" t="n">
        <x:f>P301+IF(AND(A302&lt;&gt;"",COUNTIFS(C302,"&gt;=36526",C302,TODAY())+COUNTIFS(D302,"&gt;=36526",D302,TODAY())+COUNTIFS(E302,"&gt;=36526",E302,TODAY())+COUNTIFS(F302,"&gt;=36526",F302,TODAY())&gt;0),1,0)</x:f>
        <x:v>0</x:v>
      </x:c>
      <x:c r="Q302" t="n">
        <x:f>Q301+IF(AND(A302&lt;&gt;"",COUNTIFS(C302,"&gt;"&amp;TODAY(),C302,"&lt;="&amp;TODAY()+30)+COUNTIFS(D302,"&gt;"&amp;TODAY(),D302,"&lt;="&amp;TODAY()+30)+COUNTIFS(E302,"&gt;"&amp;TODAY(),E302,"&lt;="&amp;TODAY()+30)+COUNTIFS(F302,"&gt;"&amp;TODAY(),F302,"&lt;="&amp;TODAY()+30)&gt;0),1,0)</x:f>
        <x:v>0</x:v>
      </x:c>
      <x:c r="R302" t="n">
        <x:f>R301+IF(OR(LEFT(H302,15)="Missing dates; ",LEFT(H302,16)="Add N/A reason; ",H302="Add dates",H302="Add registration",H302="Check date format"),1,0)</x:f>
        <x:v>0</x:v>
      </x:c>
      <x:c r="S302" t="n">
        <x:f>S301+IF(COUNTIFS(C302:F302,"Reviewed N/A")&gt;0,1,0)</x:f>
        <x:v>0</x:v>
      </x:c>
    </x:row>
    <x:row r="303" ht="48" customHeight="1">
      <x:c r="A303" s="52"/>
      <x:c r="B303" s="52"/>
      <x:c r="C303" s="53"/>
      <x:c r="D303" s="53"/>
      <x:c r="E303" s="53"/>
      <x:c r="F303" s="53"/>
      <x:c r="G303" s="52"/>
      <x:c r="H303" s="21" t="str">
        <x:f>IF(COUNTA(A303:G303,I303)=0,"",IF(A303="","Add registration",IF(OR(COUNTA(C303:F303)&gt;COUNT(C303:F303)+COUNTIFS(C303:F303,"Reviewed N/A"),AND(COUNT(C303:F303)&gt;0,OR(MIN(C303:F303)&lt;36526,MAX(C303:F303)&gt;109574))),"Check date format",IF(AND(COUNTIFS(C303:F303,"Reviewed N/A")&gt;0,I303=""),"Add N/A reason; ","")&amp;IF(COUNT(C303:F303)=0,IF(COUNTIFS(C303:F303,"Reviewed N/A")=4,"No applicable dates recorded","Add dates"),IF(COUNT(C303:F303)+COUNTIFS(C303:F303,"Reviewed N/A")&lt;4,"Missing dates; ","")&amp;IF(MIN(C303:F303)&lt;TODAY(),"Overdue: ",IF(MIN(C303:F303)=TODAY(),"Due today: ",IF(MIN(C303:F303)&lt;=TODAY()+30,"Due within 30 days: ","Next: ")))&amp;INDEX($C$8:$F$8,1,MATCH(MIN(C303:F303),C303:F303,0))&amp;" "&amp;TEXT(MIN(C303:F303),"dd mmm yyyy")))))</x:f>
      </x:c>
      <x:c r="I303" s="52"/>
      <x:c r="J303" t="str">
        <x:f>IF(AND(A303&lt;&gt;"",COUNTIFS(C303,"&gt;=36526",C303,"&lt;"&amp;TODAY())+COUNTIFS(D303,"&gt;=36526",D303,"&lt;"&amp;TODAY())+COUNTIFS(E303,"&gt;=36526",E303,"&lt;"&amp;TODAY())+COUNTIFS(F303,"&gt;=36526",F303,"&lt;"&amp;TODAY())&gt;0),O303,"")</x:f>
      </x:c>
      <x:c r="K303" t="str">
        <x:f>IF(AND(A303&lt;&gt;"",COUNTIFS(C303,"&gt;=36526",C303,TODAY())+COUNTIFS(D303,"&gt;=36526",D303,TODAY())+COUNTIFS(E303,"&gt;=36526",E303,TODAY())+COUNTIFS(F303,"&gt;=36526",F303,TODAY())&gt;0),P303,"")</x:f>
      </x:c>
      <x:c r="L303" t="str">
        <x:f>IF(AND(A303&lt;&gt;"",COUNTIFS(C303,"&gt;"&amp;TODAY(),C303,"&lt;="&amp;TODAY()+30)+COUNTIFS(D303,"&gt;"&amp;TODAY(),D303,"&lt;="&amp;TODAY()+30)+COUNTIFS(E303,"&gt;"&amp;TODAY(),E303,"&lt;="&amp;TODAY()+30)+COUNTIFS(F303,"&gt;"&amp;TODAY(),F303,"&lt;="&amp;TODAY()+30)&gt;0),Q303,"")</x:f>
      </x:c>
      <x:c r="M303" t="str">
        <x:f>IF(OR(LEFT(H303,15)="Missing dates; ",LEFT(H303,16)="Add N/A reason; ",H303="Add dates",H303="Add registration",H303="Check date format"),R303,"")</x:f>
      </x:c>
      <x:c r="N303" t="str">
        <x:f>IF(COUNTIFS(C303:F303,"Reviewed N/A")&gt;0,S303,"")</x:f>
      </x:c>
      <x:c r="O303" t="n">
        <x:f>O302+IF(AND(A303&lt;&gt;"",COUNTIFS(C303,"&gt;=36526",C303,"&lt;"&amp;TODAY())+COUNTIFS(D303,"&gt;=36526",D303,"&lt;"&amp;TODAY())+COUNTIFS(E303,"&gt;=36526",E303,"&lt;"&amp;TODAY())+COUNTIFS(F303,"&gt;=36526",F303,"&lt;"&amp;TODAY())&gt;0),1,0)</x:f>
        <x:v>0</x:v>
      </x:c>
      <x:c r="P303" t="n">
        <x:f>P302+IF(AND(A303&lt;&gt;"",COUNTIFS(C303,"&gt;=36526",C303,TODAY())+COUNTIFS(D303,"&gt;=36526",D303,TODAY())+COUNTIFS(E303,"&gt;=36526",E303,TODAY())+COUNTIFS(F303,"&gt;=36526",F303,TODAY())&gt;0),1,0)</x:f>
        <x:v>0</x:v>
      </x:c>
      <x:c r="Q303" t="n">
        <x:f>Q302+IF(AND(A303&lt;&gt;"",COUNTIFS(C303,"&gt;"&amp;TODAY(),C303,"&lt;="&amp;TODAY()+30)+COUNTIFS(D303,"&gt;"&amp;TODAY(),D303,"&lt;="&amp;TODAY()+30)+COUNTIFS(E303,"&gt;"&amp;TODAY(),E303,"&lt;="&amp;TODAY()+30)+COUNTIFS(F303,"&gt;"&amp;TODAY(),F303,"&lt;="&amp;TODAY()+30)&gt;0),1,0)</x:f>
        <x:v>0</x:v>
      </x:c>
      <x:c r="R303" t="n">
        <x:f>R302+IF(OR(LEFT(H303,15)="Missing dates; ",LEFT(H303,16)="Add N/A reason; ",H303="Add dates",H303="Add registration",H303="Check date format"),1,0)</x:f>
        <x:v>0</x:v>
      </x:c>
      <x:c r="S303" t="n">
        <x:f>S302+IF(COUNTIFS(C303:F303,"Reviewed N/A")&gt;0,1,0)</x:f>
        <x:v>0</x:v>
      </x:c>
    </x:row>
    <x:row r="304" ht="48" customHeight="1">
      <x:c r="A304" s="52"/>
      <x:c r="B304" s="52"/>
      <x:c r="C304" s="53"/>
      <x:c r="D304" s="53"/>
      <x:c r="E304" s="53"/>
      <x:c r="F304" s="53"/>
      <x:c r="G304" s="52"/>
      <x:c r="H304" s="21" t="str">
        <x:f>IF(COUNTA(A304:G304,I304)=0,"",IF(A304="","Add registration",IF(OR(COUNTA(C304:F304)&gt;COUNT(C304:F304)+COUNTIFS(C304:F304,"Reviewed N/A"),AND(COUNT(C304:F304)&gt;0,OR(MIN(C304:F304)&lt;36526,MAX(C304:F304)&gt;109574))),"Check date format",IF(AND(COUNTIFS(C304:F304,"Reviewed N/A")&gt;0,I304=""),"Add N/A reason; ","")&amp;IF(COUNT(C304:F304)=0,IF(COUNTIFS(C304:F304,"Reviewed N/A")=4,"No applicable dates recorded","Add dates"),IF(COUNT(C304:F304)+COUNTIFS(C304:F304,"Reviewed N/A")&lt;4,"Missing dates; ","")&amp;IF(MIN(C304:F304)&lt;TODAY(),"Overdue: ",IF(MIN(C304:F304)=TODAY(),"Due today: ",IF(MIN(C304:F304)&lt;=TODAY()+30,"Due within 30 days: ","Next: ")))&amp;INDEX($C$8:$F$8,1,MATCH(MIN(C304:F304),C304:F304,0))&amp;" "&amp;TEXT(MIN(C304:F304),"dd mmm yyyy")))))</x:f>
      </x:c>
      <x:c r="I304" s="52"/>
      <x:c r="J304" t="str">
        <x:f>IF(AND(A304&lt;&gt;"",COUNTIFS(C304,"&gt;=36526",C304,"&lt;"&amp;TODAY())+COUNTIFS(D304,"&gt;=36526",D304,"&lt;"&amp;TODAY())+COUNTIFS(E304,"&gt;=36526",E304,"&lt;"&amp;TODAY())+COUNTIFS(F304,"&gt;=36526",F304,"&lt;"&amp;TODAY())&gt;0),O304,"")</x:f>
      </x:c>
      <x:c r="K304" t="str">
        <x:f>IF(AND(A304&lt;&gt;"",COUNTIFS(C304,"&gt;=36526",C304,TODAY())+COUNTIFS(D304,"&gt;=36526",D304,TODAY())+COUNTIFS(E304,"&gt;=36526",E304,TODAY())+COUNTIFS(F304,"&gt;=36526",F304,TODAY())&gt;0),P304,"")</x:f>
      </x:c>
      <x:c r="L304" t="str">
        <x:f>IF(AND(A304&lt;&gt;"",COUNTIFS(C304,"&gt;"&amp;TODAY(),C304,"&lt;="&amp;TODAY()+30)+COUNTIFS(D304,"&gt;"&amp;TODAY(),D304,"&lt;="&amp;TODAY()+30)+COUNTIFS(E304,"&gt;"&amp;TODAY(),E304,"&lt;="&amp;TODAY()+30)+COUNTIFS(F304,"&gt;"&amp;TODAY(),F304,"&lt;="&amp;TODAY()+30)&gt;0),Q304,"")</x:f>
      </x:c>
      <x:c r="M304" t="str">
        <x:f>IF(OR(LEFT(H304,15)="Missing dates; ",LEFT(H304,16)="Add N/A reason; ",H304="Add dates",H304="Add registration",H304="Check date format"),R304,"")</x:f>
      </x:c>
      <x:c r="N304" t="str">
        <x:f>IF(COUNTIFS(C304:F304,"Reviewed N/A")&gt;0,S304,"")</x:f>
      </x:c>
      <x:c r="O304" t="n">
        <x:f>O303+IF(AND(A304&lt;&gt;"",COUNTIFS(C304,"&gt;=36526",C304,"&lt;"&amp;TODAY())+COUNTIFS(D304,"&gt;=36526",D304,"&lt;"&amp;TODAY())+COUNTIFS(E304,"&gt;=36526",E304,"&lt;"&amp;TODAY())+COUNTIFS(F304,"&gt;=36526",F304,"&lt;"&amp;TODAY())&gt;0),1,0)</x:f>
        <x:v>0</x:v>
      </x:c>
      <x:c r="P304" t="n">
        <x:f>P303+IF(AND(A304&lt;&gt;"",COUNTIFS(C304,"&gt;=36526",C304,TODAY())+COUNTIFS(D304,"&gt;=36526",D304,TODAY())+COUNTIFS(E304,"&gt;=36526",E304,TODAY())+COUNTIFS(F304,"&gt;=36526",F304,TODAY())&gt;0),1,0)</x:f>
        <x:v>0</x:v>
      </x:c>
      <x:c r="Q304" t="n">
        <x:f>Q303+IF(AND(A304&lt;&gt;"",COUNTIFS(C304,"&gt;"&amp;TODAY(),C304,"&lt;="&amp;TODAY()+30)+COUNTIFS(D304,"&gt;"&amp;TODAY(),D304,"&lt;="&amp;TODAY()+30)+COUNTIFS(E304,"&gt;"&amp;TODAY(),E304,"&lt;="&amp;TODAY()+30)+COUNTIFS(F304,"&gt;"&amp;TODAY(),F304,"&lt;="&amp;TODAY()+30)&gt;0),1,0)</x:f>
        <x:v>0</x:v>
      </x:c>
      <x:c r="R304" t="n">
        <x:f>R303+IF(OR(LEFT(H304,15)="Missing dates; ",LEFT(H304,16)="Add N/A reason; ",H304="Add dates",H304="Add registration",H304="Check date format"),1,0)</x:f>
        <x:v>0</x:v>
      </x:c>
      <x:c r="S304" t="n">
        <x:f>S303+IF(COUNTIFS(C304:F304,"Reviewed N/A")&gt;0,1,0)</x:f>
        <x:v>0</x:v>
      </x:c>
    </x:row>
    <x:row r="305" ht="48" customHeight="1">
      <x:c r="A305" s="52"/>
      <x:c r="B305" s="52"/>
      <x:c r="C305" s="53"/>
      <x:c r="D305" s="53"/>
      <x:c r="E305" s="53"/>
      <x:c r="F305" s="53"/>
      <x:c r="G305" s="52"/>
      <x:c r="H305" s="21" t="str">
        <x:f>IF(COUNTA(A305:G305,I305)=0,"",IF(A305="","Add registration",IF(OR(COUNTA(C305:F305)&gt;COUNT(C305:F305)+COUNTIFS(C305:F305,"Reviewed N/A"),AND(COUNT(C305:F305)&gt;0,OR(MIN(C305:F305)&lt;36526,MAX(C305:F305)&gt;109574))),"Check date format",IF(AND(COUNTIFS(C305:F305,"Reviewed N/A")&gt;0,I305=""),"Add N/A reason; ","")&amp;IF(COUNT(C305:F305)=0,IF(COUNTIFS(C305:F305,"Reviewed N/A")=4,"No applicable dates recorded","Add dates"),IF(COUNT(C305:F305)+COUNTIFS(C305:F305,"Reviewed N/A")&lt;4,"Missing dates; ","")&amp;IF(MIN(C305:F305)&lt;TODAY(),"Overdue: ",IF(MIN(C305:F305)=TODAY(),"Due today: ",IF(MIN(C305:F305)&lt;=TODAY()+30,"Due within 30 days: ","Next: ")))&amp;INDEX($C$8:$F$8,1,MATCH(MIN(C305:F305),C305:F305,0))&amp;" "&amp;TEXT(MIN(C305:F305),"dd mmm yyyy")))))</x:f>
      </x:c>
      <x:c r="I305" s="52"/>
      <x:c r="J305" t="str">
        <x:f>IF(AND(A305&lt;&gt;"",COUNTIFS(C305,"&gt;=36526",C305,"&lt;"&amp;TODAY())+COUNTIFS(D305,"&gt;=36526",D305,"&lt;"&amp;TODAY())+COUNTIFS(E305,"&gt;=36526",E305,"&lt;"&amp;TODAY())+COUNTIFS(F305,"&gt;=36526",F305,"&lt;"&amp;TODAY())&gt;0),O305,"")</x:f>
      </x:c>
      <x:c r="K305" t="str">
        <x:f>IF(AND(A305&lt;&gt;"",COUNTIFS(C305,"&gt;=36526",C305,TODAY())+COUNTIFS(D305,"&gt;=36526",D305,TODAY())+COUNTIFS(E305,"&gt;=36526",E305,TODAY())+COUNTIFS(F305,"&gt;=36526",F305,TODAY())&gt;0),P305,"")</x:f>
      </x:c>
      <x:c r="L305" t="str">
        <x:f>IF(AND(A305&lt;&gt;"",COUNTIFS(C305,"&gt;"&amp;TODAY(),C305,"&lt;="&amp;TODAY()+30)+COUNTIFS(D305,"&gt;"&amp;TODAY(),D305,"&lt;="&amp;TODAY()+30)+COUNTIFS(E305,"&gt;"&amp;TODAY(),E305,"&lt;="&amp;TODAY()+30)+COUNTIFS(F305,"&gt;"&amp;TODAY(),F305,"&lt;="&amp;TODAY()+30)&gt;0),Q305,"")</x:f>
      </x:c>
      <x:c r="M305" t="str">
        <x:f>IF(OR(LEFT(H305,15)="Missing dates; ",LEFT(H305,16)="Add N/A reason; ",H305="Add dates",H305="Add registration",H305="Check date format"),R305,"")</x:f>
      </x:c>
      <x:c r="N305" t="str">
        <x:f>IF(COUNTIFS(C305:F305,"Reviewed N/A")&gt;0,S305,"")</x:f>
      </x:c>
      <x:c r="O305" t="n">
        <x:f>O304+IF(AND(A305&lt;&gt;"",COUNTIFS(C305,"&gt;=36526",C305,"&lt;"&amp;TODAY())+COUNTIFS(D305,"&gt;=36526",D305,"&lt;"&amp;TODAY())+COUNTIFS(E305,"&gt;=36526",E305,"&lt;"&amp;TODAY())+COUNTIFS(F305,"&gt;=36526",F305,"&lt;"&amp;TODAY())&gt;0),1,0)</x:f>
        <x:v>0</x:v>
      </x:c>
      <x:c r="P305" t="n">
        <x:f>P304+IF(AND(A305&lt;&gt;"",COUNTIFS(C305,"&gt;=36526",C305,TODAY())+COUNTIFS(D305,"&gt;=36526",D305,TODAY())+COUNTIFS(E305,"&gt;=36526",E305,TODAY())+COUNTIFS(F305,"&gt;=36526",F305,TODAY())&gt;0),1,0)</x:f>
        <x:v>0</x:v>
      </x:c>
      <x:c r="Q305" t="n">
        <x:f>Q304+IF(AND(A305&lt;&gt;"",COUNTIFS(C305,"&gt;"&amp;TODAY(),C305,"&lt;="&amp;TODAY()+30)+COUNTIFS(D305,"&gt;"&amp;TODAY(),D305,"&lt;="&amp;TODAY()+30)+COUNTIFS(E305,"&gt;"&amp;TODAY(),E305,"&lt;="&amp;TODAY()+30)+COUNTIFS(F305,"&gt;"&amp;TODAY(),F305,"&lt;="&amp;TODAY()+30)&gt;0),1,0)</x:f>
        <x:v>0</x:v>
      </x:c>
      <x:c r="R305" t="n">
        <x:f>R304+IF(OR(LEFT(H305,15)="Missing dates; ",LEFT(H305,16)="Add N/A reason; ",H305="Add dates",H305="Add registration",H305="Check date format"),1,0)</x:f>
        <x:v>0</x:v>
      </x:c>
      <x:c r="S305" t="n">
        <x:f>S304+IF(COUNTIFS(C305:F305,"Reviewed N/A")&gt;0,1,0)</x:f>
        <x:v>0</x:v>
      </x:c>
    </x:row>
    <x:row r="306" ht="48" customHeight="1">
      <x:c r="A306" s="52"/>
      <x:c r="B306" s="52"/>
      <x:c r="C306" s="53"/>
      <x:c r="D306" s="53"/>
      <x:c r="E306" s="53"/>
      <x:c r="F306" s="53"/>
      <x:c r="G306" s="52"/>
      <x:c r="H306" s="21" t="str">
        <x:f>IF(COUNTA(A306:G306,I306)=0,"",IF(A306="","Add registration",IF(OR(COUNTA(C306:F306)&gt;COUNT(C306:F306)+COUNTIFS(C306:F306,"Reviewed N/A"),AND(COUNT(C306:F306)&gt;0,OR(MIN(C306:F306)&lt;36526,MAX(C306:F306)&gt;109574))),"Check date format",IF(AND(COUNTIFS(C306:F306,"Reviewed N/A")&gt;0,I306=""),"Add N/A reason; ","")&amp;IF(COUNT(C306:F306)=0,IF(COUNTIFS(C306:F306,"Reviewed N/A")=4,"No applicable dates recorded","Add dates"),IF(COUNT(C306:F306)+COUNTIFS(C306:F306,"Reviewed N/A")&lt;4,"Missing dates; ","")&amp;IF(MIN(C306:F306)&lt;TODAY(),"Overdue: ",IF(MIN(C306:F306)=TODAY(),"Due today: ",IF(MIN(C306:F306)&lt;=TODAY()+30,"Due within 30 days: ","Next: ")))&amp;INDEX($C$8:$F$8,1,MATCH(MIN(C306:F306),C306:F306,0))&amp;" "&amp;TEXT(MIN(C306:F306),"dd mmm yyyy")))))</x:f>
      </x:c>
      <x:c r="I306" s="52"/>
      <x:c r="J306" t="str">
        <x:f>IF(AND(A306&lt;&gt;"",COUNTIFS(C306,"&gt;=36526",C306,"&lt;"&amp;TODAY())+COUNTIFS(D306,"&gt;=36526",D306,"&lt;"&amp;TODAY())+COUNTIFS(E306,"&gt;=36526",E306,"&lt;"&amp;TODAY())+COUNTIFS(F306,"&gt;=36526",F306,"&lt;"&amp;TODAY())&gt;0),O306,"")</x:f>
      </x:c>
      <x:c r="K306" t="str">
        <x:f>IF(AND(A306&lt;&gt;"",COUNTIFS(C306,"&gt;=36526",C306,TODAY())+COUNTIFS(D306,"&gt;=36526",D306,TODAY())+COUNTIFS(E306,"&gt;=36526",E306,TODAY())+COUNTIFS(F306,"&gt;=36526",F306,TODAY())&gt;0),P306,"")</x:f>
      </x:c>
      <x:c r="L306" t="str">
        <x:f>IF(AND(A306&lt;&gt;"",COUNTIFS(C306,"&gt;"&amp;TODAY(),C306,"&lt;="&amp;TODAY()+30)+COUNTIFS(D306,"&gt;"&amp;TODAY(),D306,"&lt;="&amp;TODAY()+30)+COUNTIFS(E306,"&gt;"&amp;TODAY(),E306,"&lt;="&amp;TODAY()+30)+COUNTIFS(F306,"&gt;"&amp;TODAY(),F306,"&lt;="&amp;TODAY()+30)&gt;0),Q306,"")</x:f>
      </x:c>
      <x:c r="M306" t="str">
        <x:f>IF(OR(LEFT(H306,15)="Missing dates; ",LEFT(H306,16)="Add N/A reason; ",H306="Add dates",H306="Add registration",H306="Check date format"),R306,"")</x:f>
      </x:c>
      <x:c r="N306" t="str">
        <x:f>IF(COUNTIFS(C306:F306,"Reviewed N/A")&gt;0,S306,"")</x:f>
      </x:c>
      <x:c r="O306" t="n">
        <x:f>O305+IF(AND(A306&lt;&gt;"",COUNTIFS(C306,"&gt;=36526",C306,"&lt;"&amp;TODAY())+COUNTIFS(D306,"&gt;=36526",D306,"&lt;"&amp;TODAY())+COUNTIFS(E306,"&gt;=36526",E306,"&lt;"&amp;TODAY())+COUNTIFS(F306,"&gt;=36526",F306,"&lt;"&amp;TODAY())&gt;0),1,0)</x:f>
        <x:v>0</x:v>
      </x:c>
      <x:c r="P306" t="n">
        <x:f>P305+IF(AND(A306&lt;&gt;"",COUNTIFS(C306,"&gt;=36526",C306,TODAY())+COUNTIFS(D306,"&gt;=36526",D306,TODAY())+COUNTIFS(E306,"&gt;=36526",E306,TODAY())+COUNTIFS(F306,"&gt;=36526",F306,TODAY())&gt;0),1,0)</x:f>
        <x:v>0</x:v>
      </x:c>
      <x:c r="Q306" t="n">
        <x:f>Q305+IF(AND(A306&lt;&gt;"",COUNTIFS(C306,"&gt;"&amp;TODAY(),C306,"&lt;="&amp;TODAY()+30)+COUNTIFS(D306,"&gt;"&amp;TODAY(),D306,"&lt;="&amp;TODAY()+30)+COUNTIFS(E306,"&gt;"&amp;TODAY(),E306,"&lt;="&amp;TODAY()+30)+COUNTIFS(F306,"&gt;"&amp;TODAY(),F306,"&lt;="&amp;TODAY()+30)&gt;0),1,0)</x:f>
        <x:v>0</x:v>
      </x:c>
      <x:c r="R306" t="n">
        <x:f>R305+IF(OR(LEFT(H306,15)="Missing dates; ",LEFT(H306,16)="Add N/A reason; ",H306="Add dates",H306="Add registration",H306="Check date format"),1,0)</x:f>
        <x:v>0</x:v>
      </x:c>
      <x:c r="S306" t="n">
        <x:f>S305+IF(COUNTIFS(C306:F306,"Reviewed N/A")&gt;0,1,0)</x:f>
        <x:v>0</x:v>
      </x:c>
    </x:row>
    <x:row r="307" ht="48" customHeight="1">
      <x:c r="A307" s="52"/>
      <x:c r="B307" s="52"/>
      <x:c r="C307" s="53"/>
      <x:c r="D307" s="53"/>
      <x:c r="E307" s="53"/>
      <x:c r="F307" s="53"/>
      <x:c r="G307" s="52"/>
      <x:c r="H307" s="21" t="str">
        <x:f>IF(COUNTA(A307:G307,I307)=0,"",IF(A307="","Add registration",IF(OR(COUNTA(C307:F307)&gt;COUNT(C307:F307)+COUNTIFS(C307:F307,"Reviewed N/A"),AND(COUNT(C307:F307)&gt;0,OR(MIN(C307:F307)&lt;36526,MAX(C307:F307)&gt;109574))),"Check date format",IF(AND(COUNTIFS(C307:F307,"Reviewed N/A")&gt;0,I307=""),"Add N/A reason; ","")&amp;IF(COUNT(C307:F307)=0,IF(COUNTIFS(C307:F307,"Reviewed N/A")=4,"No applicable dates recorded","Add dates"),IF(COUNT(C307:F307)+COUNTIFS(C307:F307,"Reviewed N/A")&lt;4,"Missing dates; ","")&amp;IF(MIN(C307:F307)&lt;TODAY(),"Overdue: ",IF(MIN(C307:F307)=TODAY(),"Due today: ",IF(MIN(C307:F307)&lt;=TODAY()+30,"Due within 30 days: ","Next: ")))&amp;INDEX($C$8:$F$8,1,MATCH(MIN(C307:F307),C307:F307,0))&amp;" "&amp;TEXT(MIN(C307:F307),"dd mmm yyyy")))))</x:f>
      </x:c>
      <x:c r="I307" s="52"/>
      <x:c r="J307" t="str">
        <x:f>IF(AND(A307&lt;&gt;"",COUNTIFS(C307,"&gt;=36526",C307,"&lt;"&amp;TODAY())+COUNTIFS(D307,"&gt;=36526",D307,"&lt;"&amp;TODAY())+COUNTIFS(E307,"&gt;=36526",E307,"&lt;"&amp;TODAY())+COUNTIFS(F307,"&gt;=36526",F307,"&lt;"&amp;TODAY())&gt;0),O307,"")</x:f>
      </x:c>
      <x:c r="K307" t="str">
        <x:f>IF(AND(A307&lt;&gt;"",COUNTIFS(C307,"&gt;=36526",C307,TODAY())+COUNTIFS(D307,"&gt;=36526",D307,TODAY())+COUNTIFS(E307,"&gt;=36526",E307,TODAY())+COUNTIFS(F307,"&gt;=36526",F307,TODAY())&gt;0),P307,"")</x:f>
      </x:c>
      <x:c r="L307" t="str">
        <x:f>IF(AND(A307&lt;&gt;"",COUNTIFS(C307,"&gt;"&amp;TODAY(),C307,"&lt;="&amp;TODAY()+30)+COUNTIFS(D307,"&gt;"&amp;TODAY(),D307,"&lt;="&amp;TODAY()+30)+COUNTIFS(E307,"&gt;"&amp;TODAY(),E307,"&lt;="&amp;TODAY()+30)+COUNTIFS(F307,"&gt;"&amp;TODAY(),F307,"&lt;="&amp;TODAY()+30)&gt;0),Q307,"")</x:f>
      </x:c>
      <x:c r="M307" t="str">
        <x:f>IF(OR(LEFT(H307,15)="Missing dates; ",LEFT(H307,16)="Add N/A reason; ",H307="Add dates",H307="Add registration",H307="Check date format"),R307,"")</x:f>
      </x:c>
      <x:c r="N307" t="str">
        <x:f>IF(COUNTIFS(C307:F307,"Reviewed N/A")&gt;0,S307,"")</x:f>
      </x:c>
      <x:c r="O307" t="n">
        <x:f>O306+IF(AND(A307&lt;&gt;"",COUNTIFS(C307,"&gt;=36526",C307,"&lt;"&amp;TODAY())+COUNTIFS(D307,"&gt;=36526",D307,"&lt;"&amp;TODAY())+COUNTIFS(E307,"&gt;=36526",E307,"&lt;"&amp;TODAY())+COUNTIFS(F307,"&gt;=36526",F307,"&lt;"&amp;TODAY())&gt;0),1,0)</x:f>
        <x:v>0</x:v>
      </x:c>
      <x:c r="P307" t="n">
        <x:f>P306+IF(AND(A307&lt;&gt;"",COUNTIFS(C307,"&gt;=36526",C307,TODAY())+COUNTIFS(D307,"&gt;=36526",D307,TODAY())+COUNTIFS(E307,"&gt;=36526",E307,TODAY())+COUNTIFS(F307,"&gt;=36526",F307,TODAY())&gt;0),1,0)</x:f>
        <x:v>0</x:v>
      </x:c>
      <x:c r="Q307" t="n">
        <x:f>Q306+IF(AND(A307&lt;&gt;"",COUNTIFS(C307,"&gt;"&amp;TODAY(),C307,"&lt;="&amp;TODAY()+30)+COUNTIFS(D307,"&gt;"&amp;TODAY(),D307,"&lt;="&amp;TODAY()+30)+COUNTIFS(E307,"&gt;"&amp;TODAY(),E307,"&lt;="&amp;TODAY()+30)+COUNTIFS(F307,"&gt;"&amp;TODAY(),F307,"&lt;="&amp;TODAY()+30)&gt;0),1,0)</x:f>
        <x:v>0</x:v>
      </x:c>
      <x:c r="R307" t="n">
        <x:f>R306+IF(OR(LEFT(H307,15)="Missing dates; ",LEFT(H307,16)="Add N/A reason; ",H307="Add dates",H307="Add registration",H307="Check date format"),1,0)</x:f>
        <x:v>0</x:v>
      </x:c>
      <x:c r="S307" t="n">
        <x:f>S306+IF(COUNTIFS(C307:F307,"Reviewed N/A")&gt;0,1,0)</x:f>
        <x:v>0</x:v>
      </x:c>
    </x:row>
    <x:row r="308" ht="48" customHeight="1">
      <x:c r="A308" s="52"/>
      <x:c r="B308" s="52"/>
      <x:c r="C308" s="53"/>
      <x:c r="D308" s="53"/>
      <x:c r="E308" s="53"/>
      <x:c r="F308" s="53"/>
      <x:c r="G308" s="52"/>
      <x:c r="H308" s="21" t="str">
        <x:f>IF(COUNTA(A308:G308,I308)=0,"",IF(A308="","Add registration",IF(OR(COUNTA(C308:F308)&gt;COUNT(C308:F308)+COUNTIFS(C308:F308,"Reviewed N/A"),AND(COUNT(C308:F308)&gt;0,OR(MIN(C308:F308)&lt;36526,MAX(C308:F308)&gt;109574))),"Check date format",IF(AND(COUNTIFS(C308:F308,"Reviewed N/A")&gt;0,I308=""),"Add N/A reason; ","")&amp;IF(COUNT(C308:F308)=0,IF(COUNTIFS(C308:F308,"Reviewed N/A")=4,"No applicable dates recorded","Add dates"),IF(COUNT(C308:F308)+COUNTIFS(C308:F308,"Reviewed N/A")&lt;4,"Missing dates; ","")&amp;IF(MIN(C308:F308)&lt;TODAY(),"Overdue: ",IF(MIN(C308:F308)=TODAY(),"Due today: ",IF(MIN(C308:F308)&lt;=TODAY()+30,"Due within 30 days: ","Next: ")))&amp;INDEX($C$8:$F$8,1,MATCH(MIN(C308:F308),C308:F308,0))&amp;" "&amp;TEXT(MIN(C308:F308),"dd mmm yyyy")))))</x:f>
      </x:c>
      <x:c r="I308" s="52"/>
      <x:c r="J308" t="str">
        <x:f>IF(AND(A308&lt;&gt;"",COUNTIFS(C308,"&gt;=36526",C308,"&lt;"&amp;TODAY())+COUNTIFS(D308,"&gt;=36526",D308,"&lt;"&amp;TODAY())+COUNTIFS(E308,"&gt;=36526",E308,"&lt;"&amp;TODAY())+COUNTIFS(F308,"&gt;=36526",F308,"&lt;"&amp;TODAY())&gt;0),O308,"")</x:f>
      </x:c>
      <x:c r="K308" t="str">
        <x:f>IF(AND(A308&lt;&gt;"",COUNTIFS(C308,"&gt;=36526",C308,TODAY())+COUNTIFS(D308,"&gt;=36526",D308,TODAY())+COUNTIFS(E308,"&gt;=36526",E308,TODAY())+COUNTIFS(F308,"&gt;=36526",F308,TODAY())&gt;0),P308,"")</x:f>
      </x:c>
      <x:c r="L308" t="str">
        <x:f>IF(AND(A308&lt;&gt;"",COUNTIFS(C308,"&gt;"&amp;TODAY(),C308,"&lt;="&amp;TODAY()+30)+COUNTIFS(D308,"&gt;"&amp;TODAY(),D308,"&lt;="&amp;TODAY()+30)+COUNTIFS(E308,"&gt;"&amp;TODAY(),E308,"&lt;="&amp;TODAY()+30)+COUNTIFS(F308,"&gt;"&amp;TODAY(),F308,"&lt;="&amp;TODAY()+30)&gt;0),Q308,"")</x:f>
      </x:c>
      <x:c r="M308" t="str">
        <x:f>IF(OR(LEFT(H308,15)="Missing dates; ",LEFT(H308,16)="Add N/A reason; ",H308="Add dates",H308="Add registration",H308="Check date format"),R308,"")</x:f>
      </x:c>
      <x:c r="N308" t="str">
        <x:f>IF(COUNTIFS(C308:F308,"Reviewed N/A")&gt;0,S308,"")</x:f>
      </x:c>
      <x:c r="O308" t="n">
        <x:f>O307+IF(AND(A308&lt;&gt;"",COUNTIFS(C308,"&gt;=36526",C308,"&lt;"&amp;TODAY())+COUNTIFS(D308,"&gt;=36526",D308,"&lt;"&amp;TODAY())+COUNTIFS(E308,"&gt;=36526",E308,"&lt;"&amp;TODAY())+COUNTIFS(F308,"&gt;=36526",F308,"&lt;"&amp;TODAY())&gt;0),1,0)</x:f>
        <x:v>0</x:v>
      </x:c>
      <x:c r="P308" t="n">
        <x:f>P307+IF(AND(A308&lt;&gt;"",COUNTIFS(C308,"&gt;=36526",C308,TODAY())+COUNTIFS(D308,"&gt;=36526",D308,TODAY())+COUNTIFS(E308,"&gt;=36526",E308,TODAY())+COUNTIFS(F308,"&gt;=36526",F308,TODAY())&gt;0),1,0)</x:f>
        <x:v>0</x:v>
      </x:c>
      <x:c r="Q308" t="n">
        <x:f>Q307+IF(AND(A308&lt;&gt;"",COUNTIFS(C308,"&gt;"&amp;TODAY(),C308,"&lt;="&amp;TODAY()+30)+COUNTIFS(D308,"&gt;"&amp;TODAY(),D308,"&lt;="&amp;TODAY()+30)+COUNTIFS(E308,"&gt;"&amp;TODAY(),E308,"&lt;="&amp;TODAY()+30)+COUNTIFS(F308,"&gt;"&amp;TODAY(),F308,"&lt;="&amp;TODAY()+30)&gt;0),1,0)</x:f>
        <x:v>0</x:v>
      </x:c>
      <x:c r="R308" t="n">
        <x:f>R307+IF(OR(LEFT(H308,15)="Missing dates; ",LEFT(H308,16)="Add N/A reason; ",H308="Add dates",H308="Add registration",H308="Check date format"),1,0)</x:f>
        <x:v>0</x:v>
      </x:c>
      <x:c r="S308" t="n">
        <x:f>S307+IF(COUNTIFS(C308:F308,"Reviewed N/A")&gt;0,1,0)</x:f>
        <x:v>0</x:v>
      </x:c>
    </x:row>
    <x:row r="309" ht="48" customHeight="1">
      <x:c r="A309" s="52"/>
      <x:c r="B309" s="52"/>
      <x:c r="C309" s="53"/>
      <x:c r="D309" s="53"/>
      <x:c r="E309" s="53"/>
      <x:c r="F309" s="53"/>
      <x:c r="G309" s="52"/>
      <x:c r="H309" s="21" t="str">
        <x:f>IF(COUNTA(A309:G309,I309)=0,"",IF(A309="","Add registration",IF(OR(COUNTA(C309:F309)&gt;COUNT(C309:F309)+COUNTIFS(C309:F309,"Reviewed N/A"),AND(COUNT(C309:F309)&gt;0,OR(MIN(C309:F309)&lt;36526,MAX(C309:F309)&gt;109574))),"Check date format",IF(AND(COUNTIFS(C309:F309,"Reviewed N/A")&gt;0,I309=""),"Add N/A reason; ","")&amp;IF(COUNT(C309:F309)=0,IF(COUNTIFS(C309:F309,"Reviewed N/A")=4,"No applicable dates recorded","Add dates"),IF(COUNT(C309:F309)+COUNTIFS(C309:F309,"Reviewed N/A")&lt;4,"Missing dates; ","")&amp;IF(MIN(C309:F309)&lt;TODAY(),"Overdue: ",IF(MIN(C309:F309)=TODAY(),"Due today: ",IF(MIN(C309:F309)&lt;=TODAY()+30,"Due within 30 days: ","Next: ")))&amp;INDEX($C$8:$F$8,1,MATCH(MIN(C309:F309),C309:F309,0))&amp;" "&amp;TEXT(MIN(C309:F309),"dd mmm yyyy")))))</x:f>
      </x:c>
      <x:c r="I309" s="52"/>
      <x:c r="J309" t="str">
        <x:f>IF(AND(A309&lt;&gt;"",COUNTIFS(C309,"&gt;=36526",C309,"&lt;"&amp;TODAY())+COUNTIFS(D309,"&gt;=36526",D309,"&lt;"&amp;TODAY())+COUNTIFS(E309,"&gt;=36526",E309,"&lt;"&amp;TODAY())+COUNTIFS(F309,"&gt;=36526",F309,"&lt;"&amp;TODAY())&gt;0),O309,"")</x:f>
      </x:c>
      <x:c r="K309" t="str">
        <x:f>IF(AND(A309&lt;&gt;"",COUNTIFS(C309,"&gt;=36526",C309,TODAY())+COUNTIFS(D309,"&gt;=36526",D309,TODAY())+COUNTIFS(E309,"&gt;=36526",E309,TODAY())+COUNTIFS(F309,"&gt;=36526",F309,TODAY())&gt;0),P309,"")</x:f>
      </x:c>
      <x:c r="L309" t="str">
        <x:f>IF(AND(A309&lt;&gt;"",COUNTIFS(C309,"&gt;"&amp;TODAY(),C309,"&lt;="&amp;TODAY()+30)+COUNTIFS(D309,"&gt;"&amp;TODAY(),D309,"&lt;="&amp;TODAY()+30)+COUNTIFS(E309,"&gt;"&amp;TODAY(),E309,"&lt;="&amp;TODAY()+30)+COUNTIFS(F309,"&gt;"&amp;TODAY(),F309,"&lt;="&amp;TODAY()+30)&gt;0),Q309,"")</x:f>
      </x:c>
      <x:c r="M309" t="str">
        <x:f>IF(OR(LEFT(H309,15)="Missing dates; ",LEFT(H309,16)="Add N/A reason; ",H309="Add dates",H309="Add registration",H309="Check date format"),R309,"")</x:f>
      </x:c>
      <x:c r="N309" t="str">
        <x:f>IF(COUNTIFS(C309:F309,"Reviewed N/A")&gt;0,S309,"")</x:f>
      </x:c>
      <x:c r="O309" t="n">
        <x:f>O308+IF(AND(A309&lt;&gt;"",COUNTIFS(C309,"&gt;=36526",C309,"&lt;"&amp;TODAY())+COUNTIFS(D309,"&gt;=36526",D309,"&lt;"&amp;TODAY())+COUNTIFS(E309,"&gt;=36526",E309,"&lt;"&amp;TODAY())+COUNTIFS(F309,"&gt;=36526",F309,"&lt;"&amp;TODAY())&gt;0),1,0)</x:f>
        <x:v>0</x:v>
      </x:c>
      <x:c r="P309" t="n">
        <x:f>P308+IF(AND(A309&lt;&gt;"",COUNTIFS(C309,"&gt;=36526",C309,TODAY())+COUNTIFS(D309,"&gt;=36526",D309,TODAY())+COUNTIFS(E309,"&gt;=36526",E309,TODAY())+COUNTIFS(F309,"&gt;=36526",F309,TODAY())&gt;0),1,0)</x:f>
        <x:v>0</x:v>
      </x:c>
      <x:c r="Q309" t="n">
        <x:f>Q308+IF(AND(A309&lt;&gt;"",COUNTIFS(C309,"&gt;"&amp;TODAY(),C309,"&lt;="&amp;TODAY()+30)+COUNTIFS(D309,"&gt;"&amp;TODAY(),D309,"&lt;="&amp;TODAY()+30)+COUNTIFS(E309,"&gt;"&amp;TODAY(),E309,"&lt;="&amp;TODAY()+30)+COUNTIFS(F309,"&gt;"&amp;TODAY(),F309,"&lt;="&amp;TODAY()+30)&gt;0),1,0)</x:f>
        <x:v>0</x:v>
      </x:c>
      <x:c r="R309" t="n">
        <x:f>R308+IF(OR(LEFT(H309,15)="Missing dates; ",LEFT(H309,16)="Add N/A reason; ",H309="Add dates",H309="Add registration",H309="Check date format"),1,0)</x:f>
        <x:v>0</x:v>
      </x:c>
      <x:c r="S309" t="n">
        <x:f>S308+IF(COUNTIFS(C309:F309,"Reviewed N/A")&gt;0,1,0)</x:f>
        <x:v>0</x:v>
      </x:c>
    </x:row>
    <x:row r="310" ht="48" customHeight="1">
      <x:c r="A310" s="52"/>
      <x:c r="B310" s="52"/>
      <x:c r="C310" s="53"/>
      <x:c r="D310" s="53"/>
      <x:c r="E310" s="53"/>
      <x:c r="F310" s="53"/>
      <x:c r="G310" s="52"/>
      <x:c r="H310" s="21" t="str">
        <x:f>IF(COUNTA(A310:G310,I310)=0,"",IF(A310="","Add registration",IF(OR(COUNTA(C310:F310)&gt;COUNT(C310:F310)+COUNTIFS(C310:F310,"Reviewed N/A"),AND(COUNT(C310:F310)&gt;0,OR(MIN(C310:F310)&lt;36526,MAX(C310:F310)&gt;109574))),"Check date format",IF(AND(COUNTIFS(C310:F310,"Reviewed N/A")&gt;0,I310=""),"Add N/A reason; ","")&amp;IF(COUNT(C310:F310)=0,IF(COUNTIFS(C310:F310,"Reviewed N/A")=4,"No applicable dates recorded","Add dates"),IF(COUNT(C310:F310)+COUNTIFS(C310:F310,"Reviewed N/A")&lt;4,"Missing dates; ","")&amp;IF(MIN(C310:F310)&lt;TODAY(),"Overdue: ",IF(MIN(C310:F310)=TODAY(),"Due today: ",IF(MIN(C310:F310)&lt;=TODAY()+30,"Due within 30 days: ","Next: ")))&amp;INDEX($C$8:$F$8,1,MATCH(MIN(C310:F310),C310:F310,0))&amp;" "&amp;TEXT(MIN(C310:F310),"dd mmm yyyy")))))</x:f>
      </x:c>
      <x:c r="I310" s="52"/>
      <x:c r="J310" t="str">
        <x:f>IF(AND(A310&lt;&gt;"",COUNTIFS(C310,"&gt;=36526",C310,"&lt;"&amp;TODAY())+COUNTIFS(D310,"&gt;=36526",D310,"&lt;"&amp;TODAY())+COUNTIFS(E310,"&gt;=36526",E310,"&lt;"&amp;TODAY())+COUNTIFS(F310,"&gt;=36526",F310,"&lt;"&amp;TODAY())&gt;0),O310,"")</x:f>
      </x:c>
      <x:c r="K310" t="str">
        <x:f>IF(AND(A310&lt;&gt;"",COUNTIFS(C310,"&gt;=36526",C310,TODAY())+COUNTIFS(D310,"&gt;=36526",D310,TODAY())+COUNTIFS(E310,"&gt;=36526",E310,TODAY())+COUNTIFS(F310,"&gt;=36526",F310,TODAY())&gt;0),P310,"")</x:f>
      </x:c>
      <x:c r="L310" t="str">
        <x:f>IF(AND(A310&lt;&gt;"",COUNTIFS(C310,"&gt;"&amp;TODAY(),C310,"&lt;="&amp;TODAY()+30)+COUNTIFS(D310,"&gt;"&amp;TODAY(),D310,"&lt;="&amp;TODAY()+30)+COUNTIFS(E310,"&gt;"&amp;TODAY(),E310,"&lt;="&amp;TODAY()+30)+COUNTIFS(F310,"&gt;"&amp;TODAY(),F310,"&lt;="&amp;TODAY()+30)&gt;0),Q310,"")</x:f>
      </x:c>
      <x:c r="M310" t="str">
        <x:f>IF(OR(LEFT(H310,15)="Missing dates; ",LEFT(H310,16)="Add N/A reason; ",H310="Add dates",H310="Add registration",H310="Check date format"),R310,"")</x:f>
      </x:c>
      <x:c r="N310" t="str">
        <x:f>IF(COUNTIFS(C310:F310,"Reviewed N/A")&gt;0,S310,"")</x:f>
      </x:c>
      <x:c r="O310" t="n">
        <x:f>O309+IF(AND(A310&lt;&gt;"",COUNTIFS(C310,"&gt;=36526",C310,"&lt;"&amp;TODAY())+COUNTIFS(D310,"&gt;=36526",D310,"&lt;"&amp;TODAY())+COUNTIFS(E310,"&gt;=36526",E310,"&lt;"&amp;TODAY())+COUNTIFS(F310,"&gt;=36526",F310,"&lt;"&amp;TODAY())&gt;0),1,0)</x:f>
        <x:v>0</x:v>
      </x:c>
      <x:c r="P310" t="n">
        <x:f>P309+IF(AND(A310&lt;&gt;"",COUNTIFS(C310,"&gt;=36526",C310,TODAY())+COUNTIFS(D310,"&gt;=36526",D310,TODAY())+COUNTIFS(E310,"&gt;=36526",E310,TODAY())+COUNTIFS(F310,"&gt;=36526",F310,TODAY())&gt;0),1,0)</x:f>
        <x:v>0</x:v>
      </x:c>
      <x:c r="Q310" t="n">
        <x:f>Q309+IF(AND(A310&lt;&gt;"",COUNTIFS(C310,"&gt;"&amp;TODAY(),C310,"&lt;="&amp;TODAY()+30)+COUNTIFS(D310,"&gt;"&amp;TODAY(),D310,"&lt;="&amp;TODAY()+30)+COUNTIFS(E310,"&gt;"&amp;TODAY(),E310,"&lt;="&amp;TODAY()+30)+COUNTIFS(F310,"&gt;"&amp;TODAY(),F310,"&lt;="&amp;TODAY()+30)&gt;0),1,0)</x:f>
        <x:v>0</x:v>
      </x:c>
      <x:c r="R310" t="n">
        <x:f>R309+IF(OR(LEFT(H310,15)="Missing dates; ",LEFT(H310,16)="Add N/A reason; ",H310="Add dates",H310="Add registration",H310="Check date format"),1,0)</x:f>
        <x:v>0</x:v>
      </x:c>
      <x:c r="S310" t="n">
        <x:f>S309+IF(COUNTIFS(C310:F310,"Reviewed N/A")&gt;0,1,0)</x:f>
        <x:v>0</x:v>
      </x:c>
    </x:row>
    <x:row r="311" ht="48" customHeight="1">
      <x:c r="A311" s="52"/>
      <x:c r="B311" s="52"/>
      <x:c r="C311" s="53"/>
      <x:c r="D311" s="53"/>
      <x:c r="E311" s="53"/>
      <x:c r="F311" s="53"/>
      <x:c r="G311" s="52"/>
      <x:c r="H311" s="21" t="str">
        <x:f>IF(COUNTA(A311:G311,I311)=0,"",IF(A311="","Add registration",IF(OR(COUNTA(C311:F311)&gt;COUNT(C311:F311)+COUNTIFS(C311:F311,"Reviewed N/A"),AND(COUNT(C311:F311)&gt;0,OR(MIN(C311:F311)&lt;36526,MAX(C311:F311)&gt;109574))),"Check date format",IF(AND(COUNTIFS(C311:F311,"Reviewed N/A")&gt;0,I311=""),"Add N/A reason; ","")&amp;IF(COUNT(C311:F311)=0,IF(COUNTIFS(C311:F311,"Reviewed N/A")=4,"No applicable dates recorded","Add dates"),IF(COUNT(C311:F311)+COUNTIFS(C311:F311,"Reviewed N/A")&lt;4,"Missing dates; ","")&amp;IF(MIN(C311:F311)&lt;TODAY(),"Overdue: ",IF(MIN(C311:F311)=TODAY(),"Due today: ",IF(MIN(C311:F311)&lt;=TODAY()+30,"Due within 30 days: ","Next: ")))&amp;INDEX($C$8:$F$8,1,MATCH(MIN(C311:F311),C311:F311,0))&amp;" "&amp;TEXT(MIN(C311:F311),"dd mmm yyyy")))))</x:f>
      </x:c>
      <x:c r="I311" s="52"/>
      <x:c r="J311" t="str">
        <x:f>IF(AND(A311&lt;&gt;"",COUNTIFS(C311,"&gt;=36526",C311,"&lt;"&amp;TODAY())+COUNTIFS(D311,"&gt;=36526",D311,"&lt;"&amp;TODAY())+COUNTIFS(E311,"&gt;=36526",E311,"&lt;"&amp;TODAY())+COUNTIFS(F311,"&gt;=36526",F311,"&lt;"&amp;TODAY())&gt;0),O311,"")</x:f>
      </x:c>
      <x:c r="K311" t="str">
        <x:f>IF(AND(A311&lt;&gt;"",COUNTIFS(C311,"&gt;=36526",C311,TODAY())+COUNTIFS(D311,"&gt;=36526",D311,TODAY())+COUNTIFS(E311,"&gt;=36526",E311,TODAY())+COUNTIFS(F311,"&gt;=36526",F311,TODAY())&gt;0),P311,"")</x:f>
      </x:c>
      <x:c r="L311" t="str">
        <x:f>IF(AND(A311&lt;&gt;"",COUNTIFS(C311,"&gt;"&amp;TODAY(),C311,"&lt;="&amp;TODAY()+30)+COUNTIFS(D311,"&gt;"&amp;TODAY(),D311,"&lt;="&amp;TODAY()+30)+COUNTIFS(E311,"&gt;"&amp;TODAY(),E311,"&lt;="&amp;TODAY()+30)+COUNTIFS(F311,"&gt;"&amp;TODAY(),F311,"&lt;="&amp;TODAY()+30)&gt;0),Q311,"")</x:f>
      </x:c>
      <x:c r="M311" t="str">
        <x:f>IF(OR(LEFT(H311,15)="Missing dates; ",LEFT(H311,16)="Add N/A reason; ",H311="Add dates",H311="Add registration",H311="Check date format"),R311,"")</x:f>
      </x:c>
      <x:c r="N311" t="str">
        <x:f>IF(COUNTIFS(C311:F311,"Reviewed N/A")&gt;0,S311,"")</x:f>
      </x:c>
      <x:c r="O311" t="n">
        <x:f>O310+IF(AND(A311&lt;&gt;"",COUNTIFS(C311,"&gt;=36526",C311,"&lt;"&amp;TODAY())+COUNTIFS(D311,"&gt;=36526",D311,"&lt;"&amp;TODAY())+COUNTIFS(E311,"&gt;=36526",E311,"&lt;"&amp;TODAY())+COUNTIFS(F311,"&gt;=36526",F311,"&lt;"&amp;TODAY())&gt;0),1,0)</x:f>
        <x:v>0</x:v>
      </x:c>
      <x:c r="P311" t="n">
        <x:f>P310+IF(AND(A311&lt;&gt;"",COUNTIFS(C311,"&gt;=36526",C311,TODAY())+COUNTIFS(D311,"&gt;=36526",D311,TODAY())+COUNTIFS(E311,"&gt;=36526",E311,TODAY())+COUNTIFS(F311,"&gt;=36526",F311,TODAY())&gt;0),1,0)</x:f>
        <x:v>0</x:v>
      </x:c>
      <x:c r="Q311" t="n">
        <x:f>Q310+IF(AND(A311&lt;&gt;"",COUNTIFS(C311,"&gt;"&amp;TODAY(),C311,"&lt;="&amp;TODAY()+30)+COUNTIFS(D311,"&gt;"&amp;TODAY(),D311,"&lt;="&amp;TODAY()+30)+COUNTIFS(E311,"&gt;"&amp;TODAY(),E311,"&lt;="&amp;TODAY()+30)+COUNTIFS(F311,"&gt;"&amp;TODAY(),F311,"&lt;="&amp;TODAY()+30)&gt;0),1,0)</x:f>
        <x:v>0</x:v>
      </x:c>
      <x:c r="R311" t="n">
        <x:f>R310+IF(OR(LEFT(H311,15)="Missing dates; ",LEFT(H311,16)="Add N/A reason; ",H311="Add dates",H311="Add registration",H311="Check date format"),1,0)</x:f>
        <x:v>0</x:v>
      </x:c>
      <x:c r="S311" t="n">
        <x:f>S310+IF(COUNTIFS(C311:F311,"Reviewed N/A")&gt;0,1,0)</x:f>
        <x:v>0</x:v>
      </x:c>
    </x:row>
    <x:row r="312" ht="48" customHeight="1">
      <x:c r="A312" s="52"/>
      <x:c r="B312" s="52"/>
      <x:c r="C312" s="53"/>
      <x:c r="D312" s="53"/>
      <x:c r="E312" s="53"/>
      <x:c r="F312" s="53"/>
      <x:c r="G312" s="52"/>
      <x:c r="H312" s="21" t="str">
        <x:f>IF(COUNTA(A312:G312,I312)=0,"",IF(A312="","Add registration",IF(OR(COUNTA(C312:F312)&gt;COUNT(C312:F312)+COUNTIFS(C312:F312,"Reviewed N/A"),AND(COUNT(C312:F312)&gt;0,OR(MIN(C312:F312)&lt;36526,MAX(C312:F312)&gt;109574))),"Check date format",IF(AND(COUNTIFS(C312:F312,"Reviewed N/A")&gt;0,I312=""),"Add N/A reason; ","")&amp;IF(COUNT(C312:F312)=0,IF(COUNTIFS(C312:F312,"Reviewed N/A")=4,"No applicable dates recorded","Add dates"),IF(COUNT(C312:F312)+COUNTIFS(C312:F312,"Reviewed N/A")&lt;4,"Missing dates; ","")&amp;IF(MIN(C312:F312)&lt;TODAY(),"Overdue: ",IF(MIN(C312:F312)=TODAY(),"Due today: ",IF(MIN(C312:F312)&lt;=TODAY()+30,"Due within 30 days: ","Next: ")))&amp;INDEX($C$8:$F$8,1,MATCH(MIN(C312:F312),C312:F312,0))&amp;" "&amp;TEXT(MIN(C312:F312),"dd mmm yyyy")))))</x:f>
      </x:c>
      <x:c r="I312" s="52"/>
      <x:c r="J312" t="str">
        <x:f>IF(AND(A312&lt;&gt;"",COUNTIFS(C312,"&gt;=36526",C312,"&lt;"&amp;TODAY())+COUNTIFS(D312,"&gt;=36526",D312,"&lt;"&amp;TODAY())+COUNTIFS(E312,"&gt;=36526",E312,"&lt;"&amp;TODAY())+COUNTIFS(F312,"&gt;=36526",F312,"&lt;"&amp;TODAY())&gt;0),O312,"")</x:f>
      </x:c>
      <x:c r="K312" t="str">
        <x:f>IF(AND(A312&lt;&gt;"",COUNTIFS(C312,"&gt;=36526",C312,TODAY())+COUNTIFS(D312,"&gt;=36526",D312,TODAY())+COUNTIFS(E312,"&gt;=36526",E312,TODAY())+COUNTIFS(F312,"&gt;=36526",F312,TODAY())&gt;0),P312,"")</x:f>
      </x:c>
      <x:c r="L312" t="str">
        <x:f>IF(AND(A312&lt;&gt;"",COUNTIFS(C312,"&gt;"&amp;TODAY(),C312,"&lt;="&amp;TODAY()+30)+COUNTIFS(D312,"&gt;"&amp;TODAY(),D312,"&lt;="&amp;TODAY()+30)+COUNTIFS(E312,"&gt;"&amp;TODAY(),E312,"&lt;="&amp;TODAY()+30)+COUNTIFS(F312,"&gt;"&amp;TODAY(),F312,"&lt;="&amp;TODAY()+30)&gt;0),Q312,"")</x:f>
      </x:c>
      <x:c r="M312" t="str">
        <x:f>IF(OR(LEFT(H312,15)="Missing dates; ",LEFT(H312,16)="Add N/A reason; ",H312="Add dates",H312="Add registration",H312="Check date format"),R312,"")</x:f>
      </x:c>
      <x:c r="N312" t="str">
        <x:f>IF(COUNTIFS(C312:F312,"Reviewed N/A")&gt;0,S312,"")</x:f>
      </x:c>
      <x:c r="O312" t="n">
        <x:f>O311+IF(AND(A312&lt;&gt;"",COUNTIFS(C312,"&gt;=36526",C312,"&lt;"&amp;TODAY())+COUNTIFS(D312,"&gt;=36526",D312,"&lt;"&amp;TODAY())+COUNTIFS(E312,"&gt;=36526",E312,"&lt;"&amp;TODAY())+COUNTIFS(F312,"&gt;=36526",F312,"&lt;"&amp;TODAY())&gt;0),1,0)</x:f>
        <x:v>0</x:v>
      </x:c>
      <x:c r="P312" t="n">
        <x:f>P311+IF(AND(A312&lt;&gt;"",COUNTIFS(C312,"&gt;=36526",C312,TODAY())+COUNTIFS(D312,"&gt;=36526",D312,TODAY())+COUNTIFS(E312,"&gt;=36526",E312,TODAY())+COUNTIFS(F312,"&gt;=36526",F312,TODAY())&gt;0),1,0)</x:f>
        <x:v>0</x:v>
      </x:c>
      <x:c r="Q312" t="n">
        <x:f>Q311+IF(AND(A312&lt;&gt;"",COUNTIFS(C312,"&gt;"&amp;TODAY(),C312,"&lt;="&amp;TODAY()+30)+COUNTIFS(D312,"&gt;"&amp;TODAY(),D312,"&lt;="&amp;TODAY()+30)+COUNTIFS(E312,"&gt;"&amp;TODAY(),E312,"&lt;="&amp;TODAY()+30)+COUNTIFS(F312,"&gt;"&amp;TODAY(),F312,"&lt;="&amp;TODAY()+30)&gt;0),1,0)</x:f>
        <x:v>0</x:v>
      </x:c>
      <x:c r="R312" t="n">
        <x:f>R311+IF(OR(LEFT(H312,15)="Missing dates; ",LEFT(H312,16)="Add N/A reason; ",H312="Add dates",H312="Add registration",H312="Check date format"),1,0)</x:f>
        <x:v>0</x:v>
      </x:c>
      <x:c r="S312" t="n">
        <x:f>S311+IF(COUNTIFS(C312:F312,"Reviewed N/A")&gt;0,1,0)</x:f>
        <x:v>0</x:v>
      </x:c>
    </x:row>
    <x:row r="313" ht="48" customHeight="1">
      <x:c r="A313" s="52"/>
      <x:c r="B313" s="52"/>
      <x:c r="C313" s="53"/>
      <x:c r="D313" s="53"/>
      <x:c r="E313" s="53"/>
      <x:c r="F313" s="53"/>
      <x:c r="G313" s="52"/>
      <x:c r="H313" s="21" t="str">
        <x:f>IF(COUNTA(A313:G313,I313)=0,"",IF(A313="","Add registration",IF(OR(COUNTA(C313:F313)&gt;COUNT(C313:F313)+COUNTIFS(C313:F313,"Reviewed N/A"),AND(COUNT(C313:F313)&gt;0,OR(MIN(C313:F313)&lt;36526,MAX(C313:F313)&gt;109574))),"Check date format",IF(AND(COUNTIFS(C313:F313,"Reviewed N/A")&gt;0,I313=""),"Add N/A reason; ","")&amp;IF(COUNT(C313:F313)=0,IF(COUNTIFS(C313:F313,"Reviewed N/A")=4,"No applicable dates recorded","Add dates"),IF(COUNT(C313:F313)+COUNTIFS(C313:F313,"Reviewed N/A")&lt;4,"Missing dates; ","")&amp;IF(MIN(C313:F313)&lt;TODAY(),"Overdue: ",IF(MIN(C313:F313)=TODAY(),"Due today: ",IF(MIN(C313:F313)&lt;=TODAY()+30,"Due within 30 days: ","Next: ")))&amp;INDEX($C$8:$F$8,1,MATCH(MIN(C313:F313),C313:F313,0))&amp;" "&amp;TEXT(MIN(C313:F313),"dd mmm yyyy")))))</x:f>
      </x:c>
      <x:c r="I313" s="52"/>
      <x:c r="J313" t="str">
        <x:f>IF(AND(A313&lt;&gt;"",COUNTIFS(C313,"&gt;=36526",C313,"&lt;"&amp;TODAY())+COUNTIFS(D313,"&gt;=36526",D313,"&lt;"&amp;TODAY())+COUNTIFS(E313,"&gt;=36526",E313,"&lt;"&amp;TODAY())+COUNTIFS(F313,"&gt;=36526",F313,"&lt;"&amp;TODAY())&gt;0),O313,"")</x:f>
      </x:c>
      <x:c r="K313" t="str">
        <x:f>IF(AND(A313&lt;&gt;"",COUNTIFS(C313,"&gt;=36526",C313,TODAY())+COUNTIFS(D313,"&gt;=36526",D313,TODAY())+COUNTIFS(E313,"&gt;=36526",E313,TODAY())+COUNTIFS(F313,"&gt;=36526",F313,TODAY())&gt;0),P313,"")</x:f>
      </x:c>
      <x:c r="L313" t="str">
        <x:f>IF(AND(A313&lt;&gt;"",COUNTIFS(C313,"&gt;"&amp;TODAY(),C313,"&lt;="&amp;TODAY()+30)+COUNTIFS(D313,"&gt;"&amp;TODAY(),D313,"&lt;="&amp;TODAY()+30)+COUNTIFS(E313,"&gt;"&amp;TODAY(),E313,"&lt;="&amp;TODAY()+30)+COUNTIFS(F313,"&gt;"&amp;TODAY(),F313,"&lt;="&amp;TODAY()+30)&gt;0),Q313,"")</x:f>
      </x:c>
      <x:c r="M313" t="str">
        <x:f>IF(OR(LEFT(H313,15)="Missing dates; ",LEFT(H313,16)="Add N/A reason; ",H313="Add dates",H313="Add registration",H313="Check date format"),R313,"")</x:f>
      </x:c>
      <x:c r="N313" t="str">
        <x:f>IF(COUNTIFS(C313:F313,"Reviewed N/A")&gt;0,S313,"")</x:f>
      </x:c>
      <x:c r="O313" t="n">
        <x:f>O312+IF(AND(A313&lt;&gt;"",COUNTIFS(C313,"&gt;=36526",C313,"&lt;"&amp;TODAY())+COUNTIFS(D313,"&gt;=36526",D313,"&lt;"&amp;TODAY())+COUNTIFS(E313,"&gt;=36526",E313,"&lt;"&amp;TODAY())+COUNTIFS(F313,"&gt;=36526",F313,"&lt;"&amp;TODAY())&gt;0),1,0)</x:f>
        <x:v>0</x:v>
      </x:c>
      <x:c r="P313" t="n">
        <x:f>P312+IF(AND(A313&lt;&gt;"",COUNTIFS(C313,"&gt;=36526",C313,TODAY())+COUNTIFS(D313,"&gt;=36526",D313,TODAY())+COUNTIFS(E313,"&gt;=36526",E313,TODAY())+COUNTIFS(F313,"&gt;=36526",F313,TODAY())&gt;0),1,0)</x:f>
        <x:v>0</x:v>
      </x:c>
      <x:c r="Q313" t="n">
        <x:f>Q312+IF(AND(A313&lt;&gt;"",COUNTIFS(C313,"&gt;"&amp;TODAY(),C313,"&lt;="&amp;TODAY()+30)+COUNTIFS(D313,"&gt;"&amp;TODAY(),D313,"&lt;="&amp;TODAY()+30)+COUNTIFS(E313,"&gt;"&amp;TODAY(),E313,"&lt;="&amp;TODAY()+30)+COUNTIFS(F313,"&gt;"&amp;TODAY(),F313,"&lt;="&amp;TODAY()+30)&gt;0),1,0)</x:f>
        <x:v>0</x:v>
      </x:c>
      <x:c r="R313" t="n">
        <x:f>R312+IF(OR(LEFT(H313,15)="Missing dates; ",LEFT(H313,16)="Add N/A reason; ",H313="Add dates",H313="Add registration",H313="Check date format"),1,0)</x:f>
        <x:v>0</x:v>
      </x:c>
      <x:c r="S313" t="n">
        <x:f>S312+IF(COUNTIFS(C313:F313,"Reviewed N/A")&gt;0,1,0)</x:f>
        <x:v>0</x:v>
      </x:c>
    </x:row>
    <x:row r="314" ht="48" customHeight="1">
      <x:c r="A314" s="52"/>
      <x:c r="B314" s="52"/>
      <x:c r="C314" s="53"/>
      <x:c r="D314" s="53"/>
      <x:c r="E314" s="53"/>
      <x:c r="F314" s="53"/>
      <x:c r="G314" s="52"/>
      <x:c r="H314" s="21" t="str">
        <x:f>IF(COUNTA(A314:G314,I314)=0,"",IF(A314="","Add registration",IF(OR(COUNTA(C314:F314)&gt;COUNT(C314:F314)+COUNTIFS(C314:F314,"Reviewed N/A"),AND(COUNT(C314:F314)&gt;0,OR(MIN(C314:F314)&lt;36526,MAX(C314:F314)&gt;109574))),"Check date format",IF(AND(COUNTIFS(C314:F314,"Reviewed N/A")&gt;0,I314=""),"Add N/A reason; ","")&amp;IF(COUNT(C314:F314)=0,IF(COUNTIFS(C314:F314,"Reviewed N/A")=4,"No applicable dates recorded","Add dates"),IF(COUNT(C314:F314)+COUNTIFS(C314:F314,"Reviewed N/A")&lt;4,"Missing dates; ","")&amp;IF(MIN(C314:F314)&lt;TODAY(),"Overdue: ",IF(MIN(C314:F314)=TODAY(),"Due today: ",IF(MIN(C314:F314)&lt;=TODAY()+30,"Due within 30 days: ","Next: ")))&amp;INDEX($C$8:$F$8,1,MATCH(MIN(C314:F314),C314:F314,0))&amp;" "&amp;TEXT(MIN(C314:F314),"dd mmm yyyy")))))</x:f>
      </x:c>
      <x:c r="I314" s="52"/>
      <x:c r="J314" t="str">
        <x:f>IF(AND(A314&lt;&gt;"",COUNTIFS(C314,"&gt;=36526",C314,"&lt;"&amp;TODAY())+COUNTIFS(D314,"&gt;=36526",D314,"&lt;"&amp;TODAY())+COUNTIFS(E314,"&gt;=36526",E314,"&lt;"&amp;TODAY())+COUNTIFS(F314,"&gt;=36526",F314,"&lt;"&amp;TODAY())&gt;0),O314,"")</x:f>
      </x:c>
      <x:c r="K314" t="str">
        <x:f>IF(AND(A314&lt;&gt;"",COUNTIFS(C314,"&gt;=36526",C314,TODAY())+COUNTIFS(D314,"&gt;=36526",D314,TODAY())+COUNTIFS(E314,"&gt;=36526",E314,TODAY())+COUNTIFS(F314,"&gt;=36526",F314,TODAY())&gt;0),P314,"")</x:f>
      </x:c>
      <x:c r="L314" t="str">
        <x:f>IF(AND(A314&lt;&gt;"",COUNTIFS(C314,"&gt;"&amp;TODAY(),C314,"&lt;="&amp;TODAY()+30)+COUNTIFS(D314,"&gt;"&amp;TODAY(),D314,"&lt;="&amp;TODAY()+30)+COUNTIFS(E314,"&gt;"&amp;TODAY(),E314,"&lt;="&amp;TODAY()+30)+COUNTIFS(F314,"&gt;"&amp;TODAY(),F314,"&lt;="&amp;TODAY()+30)&gt;0),Q314,"")</x:f>
      </x:c>
      <x:c r="M314" t="str">
        <x:f>IF(OR(LEFT(H314,15)="Missing dates; ",LEFT(H314,16)="Add N/A reason; ",H314="Add dates",H314="Add registration",H314="Check date format"),R314,"")</x:f>
      </x:c>
      <x:c r="N314" t="str">
        <x:f>IF(COUNTIFS(C314:F314,"Reviewed N/A")&gt;0,S314,"")</x:f>
      </x:c>
      <x:c r="O314" t="n">
        <x:f>O313+IF(AND(A314&lt;&gt;"",COUNTIFS(C314,"&gt;=36526",C314,"&lt;"&amp;TODAY())+COUNTIFS(D314,"&gt;=36526",D314,"&lt;"&amp;TODAY())+COUNTIFS(E314,"&gt;=36526",E314,"&lt;"&amp;TODAY())+COUNTIFS(F314,"&gt;=36526",F314,"&lt;"&amp;TODAY())&gt;0),1,0)</x:f>
        <x:v>0</x:v>
      </x:c>
      <x:c r="P314" t="n">
        <x:f>P313+IF(AND(A314&lt;&gt;"",COUNTIFS(C314,"&gt;=36526",C314,TODAY())+COUNTIFS(D314,"&gt;=36526",D314,TODAY())+COUNTIFS(E314,"&gt;=36526",E314,TODAY())+COUNTIFS(F314,"&gt;=36526",F314,TODAY())&gt;0),1,0)</x:f>
        <x:v>0</x:v>
      </x:c>
      <x:c r="Q314" t="n">
        <x:f>Q313+IF(AND(A314&lt;&gt;"",COUNTIFS(C314,"&gt;"&amp;TODAY(),C314,"&lt;="&amp;TODAY()+30)+COUNTIFS(D314,"&gt;"&amp;TODAY(),D314,"&lt;="&amp;TODAY()+30)+COUNTIFS(E314,"&gt;"&amp;TODAY(),E314,"&lt;="&amp;TODAY()+30)+COUNTIFS(F314,"&gt;"&amp;TODAY(),F314,"&lt;="&amp;TODAY()+30)&gt;0),1,0)</x:f>
        <x:v>0</x:v>
      </x:c>
      <x:c r="R314" t="n">
        <x:f>R313+IF(OR(LEFT(H314,15)="Missing dates; ",LEFT(H314,16)="Add N/A reason; ",H314="Add dates",H314="Add registration",H314="Check date format"),1,0)</x:f>
        <x:v>0</x:v>
      </x:c>
      <x:c r="S314" t="n">
        <x:f>S313+IF(COUNTIFS(C314:F314,"Reviewed N/A")&gt;0,1,0)</x:f>
        <x:v>0</x:v>
      </x:c>
    </x:row>
    <x:row r="315" ht="48" customHeight="1">
      <x:c r="A315" s="52"/>
      <x:c r="B315" s="52"/>
      <x:c r="C315" s="53"/>
      <x:c r="D315" s="53"/>
      <x:c r="E315" s="53"/>
      <x:c r="F315" s="53"/>
      <x:c r="G315" s="52"/>
      <x:c r="H315" s="21" t="str">
        <x:f>IF(COUNTA(A315:G315,I315)=0,"",IF(A315="","Add registration",IF(OR(COUNTA(C315:F315)&gt;COUNT(C315:F315)+COUNTIFS(C315:F315,"Reviewed N/A"),AND(COUNT(C315:F315)&gt;0,OR(MIN(C315:F315)&lt;36526,MAX(C315:F315)&gt;109574))),"Check date format",IF(AND(COUNTIFS(C315:F315,"Reviewed N/A")&gt;0,I315=""),"Add N/A reason; ","")&amp;IF(COUNT(C315:F315)=0,IF(COUNTIFS(C315:F315,"Reviewed N/A")=4,"No applicable dates recorded","Add dates"),IF(COUNT(C315:F315)+COUNTIFS(C315:F315,"Reviewed N/A")&lt;4,"Missing dates; ","")&amp;IF(MIN(C315:F315)&lt;TODAY(),"Overdue: ",IF(MIN(C315:F315)=TODAY(),"Due today: ",IF(MIN(C315:F315)&lt;=TODAY()+30,"Due within 30 days: ","Next: ")))&amp;INDEX($C$8:$F$8,1,MATCH(MIN(C315:F315),C315:F315,0))&amp;" "&amp;TEXT(MIN(C315:F315),"dd mmm yyyy")))))</x:f>
      </x:c>
      <x:c r="I315" s="52"/>
      <x:c r="J315" t="str">
        <x:f>IF(AND(A315&lt;&gt;"",COUNTIFS(C315,"&gt;=36526",C315,"&lt;"&amp;TODAY())+COUNTIFS(D315,"&gt;=36526",D315,"&lt;"&amp;TODAY())+COUNTIFS(E315,"&gt;=36526",E315,"&lt;"&amp;TODAY())+COUNTIFS(F315,"&gt;=36526",F315,"&lt;"&amp;TODAY())&gt;0),O315,"")</x:f>
      </x:c>
      <x:c r="K315" t="str">
        <x:f>IF(AND(A315&lt;&gt;"",COUNTIFS(C315,"&gt;=36526",C315,TODAY())+COUNTIFS(D315,"&gt;=36526",D315,TODAY())+COUNTIFS(E315,"&gt;=36526",E315,TODAY())+COUNTIFS(F315,"&gt;=36526",F315,TODAY())&gt;0),P315,"")</x:f>
      </x:c>
      <x:c r="L315" t="str">
        <x:f>IF(AND(A315&lt;&gt;"",COUNTIFS(C315,"&gt;"&amp;TODAY(),C315,"&lt;="&amp;TODAY()+30)+COUNTIFS(D315,"&gt;"&amp;TODAY(),D315,"&lt;="&amp;TODAY()+30)+COUNTIFS(E315,"&gt;"&amp;TODAY(),E315,"&lt;="&amp;TODAY()+30)+COUNTIFS(F315,"&gt;"&amp;TODAY(),F315,"&lt;="&amp;TODAY()+30)&gt;0),Q315,"")</x:f>
      </x:c>
      <x:c r="M315" t="str">
        <x:f>IF(OR(LEFT(H315,15)="Missing dates; ",LEFT(H315,16)="Add N/A reason; ",H315="Add dates",H315="Add registration",H315="Check date format"),R315,"")</x:f>
      </x:c>
      <x:c r="N315" t="str">
        <x:f>IF(COUNTIFS(C315:F315,"Reviewed N/A")&gt;0,S315,"")</x:f>
      </x:c>
      <x:c r="O315" t="n">
        <x:f>O314+IF(AND(A315&lt;&gt;"",COUNTIFS(C315,"&gt;=36526",C315,"&lt;"&amp;TODAY())+COUNTIFS(D315,"&gt;=36526",D315,"&lt;"&amp;TODAY())+COUNTIFS(E315,"&gt;=36526",E315,"&lt;"&amp;TODAY())+COUNTIFS(F315,"&gt;=36526",F315,"&lt;"&amp;TODAY())&gt;0),1,0)</x:f>
        <x:v>0</x:v>
      </x:c>
      <x:c r="P315" t="n">
        <x:f>P314+IF(AND(A315&lt;&gt;"",COUNTIFS(C315,"&gt;=36526",C315,TODAY())+COUNTIFS(D315,"&gt;=36526",D315,TODAY())+COUNTIFS(E315,"&gt;=36526",E315,TODAY())+COUNTIFS(F315,"&gt;=36526",F315,TODAY())&gt;0),1,0)</x:f>
        <x:v>0</x:v>
      </x:c>
      <x:c r="Q315" t="n">
        <x:f>Q314+IF(AND(A315&lt;&gt;"",COUNTIFS(C315,"&gt;"&amp;TODAY(),C315,"&lt;="&amp;TODAY()+30)+COUNTIFS(D315,"&gt;"&amp;TODAY(),D315,"&lt;="&amp;TODAY()+30)+COUNTIFS(E315,"&gt;"&amp;TODAY(),E315,"&lt;="&amp;TODAY()+30)+COUNTIFS(F315,"&gt;"&amp;TODAY(),F315,"&lt;="&amp;TODAY()+30)&gt;0),1,0)</x:f>
        <x:v>0</x:v>
      </x:c>
      <x:c r="R315" t="n">
        <x:f>R314+IF(OR(LEFT(H315,15)="Missing dates; ",LEFT(H315,16)="Add N/A reason; ",H315="Add dates",H315="Add registration",H315="Check date format"),1,0)</x:f>
        <x:v>0</x:v>
      </x:c>
      <x:c r="S315" t="n">
        <x:f>S314+IF(COUNTIFS(C315:F315,"Reviewed N/A")&gt;0,1,0)</x:f>
        <x:v>0</x:v>
      </x:c>
    </x:row>
    <x:row r="316" ht="48" customHeight="1">
      <x:c r="A316" s="52"/>
      <x:c r="B316" s="52"/>
      <x:c r="C316" s="53"/>
      <x:c r="D316" s="53"/>
      <x:c r="E316" s="53"/>
      <x:c r="F316" s="53"/>
      <x:c r="G316" s="52"/>
      <x:c r="H316" s="21" t="str">
        <x:f>IF(COUNTA(A316:G316,I316)=0,"",IF(A316="","Add registration",IF(OR(COUNTA(C316:F316)&gt;COUNT(C316:F316)+COUNTIFS(C316:F316,"Reviewed N/A"),AND(COUNT(C316:F316)&gt;0,OR(MIN(C316:F316)&lt;36526,MAX(C316:F316)&gt;109574))),"Check date format",IF(AND(COUNTIFS(C316:F316,"Reviewed N/A")&gt;0,I316=""),"Add N/A reason; ","")&amp;IF(COUNT(C316:F316)=0,IF(COUNTIFS(C316:F316,"Reviewed N/A")=4,"No applicable dates recorded","Add dates"),IF(COUNT(C316:F316)+COUNTIFS(C316:F316,"Reviewed N/A")&lt;4,"Missing dates; ","")&amp;IF(MIN(C316:F316)&lt;TODAY(),"Overdue: ",IF(MIN(C316:F316)=TODAY(),"Due today: ",IF(MIN(C316:F316)&lt;=TODAY()+30,"Due within 30 days: ","Next: ")))&amp;INDEX($C$8:$F$8,1,MATCH(MIN(C316:F316),C316:F316,0))&amp;" "&amp;TEXT(MIN(C316:F316),"dd mmm yyyy")))))</x:f>
      </x:c>
      <x:c r="I316" s="52"/>
      <x:c r="J316" t="str">
        <x:f>IF(AND(A316&lt;&gt;"",COUNTIFS(C316,"&gt;=36526",C316,"&lt;"&amp;TODAY())+COUNTIFS(D316,"&gt;=36526",D316,"&lt;"&amp;TODAY())+COUNTIFS(E316,"&gt;=36526",E316,"&lt;"&amp;TODAY())+COUNTIFS(F316,"&gt;=36526",F316,"&lt;"&amp;TODAY())&gt;0),O316,"")</x:f>
      </x:c>
      <x:c r="K316" t="str">
        <x:f>IF(AND(A316&lt;&gt;"",COUNTIFS(C316,"&gt;=36526",C316,TODAY())+COUNTIFS(D316,"&gt;=36526",D316,TODAY())+COUNTIFS(E316,"&gt;=36526",E316,TODAY())+COUNTIFS(F316,"&gt;=36526",F316,TODAY())&gt;0),P316,"")</x:f>
      </x:c>
      <x:c r="L316" t="str">
        <x:f>IF(AND(A316&lt;&gt;"",COUNTIFS(C316,"&gt;"&amp;TODAY(),C316,"&lt;="&amp;TODAY()+30)+COUNTIFS(D316,"&gt;"&amp;TODAY(),D316,"&lt;="&amp;TODAY()+30)+COUNTIFS(E316,"&gt;"&amp;TODAY(),E316,"&lt;="&amp;TODAY()+30)+COUNTIFS(F316,"&gt;"&amp;TODAY(),F316,"&lt;="&amp;TODAY()+30)&gt;0),Q316,"")</x:f>
      </x:c>
      <x:c r="M316" t="str">
        <x:f>IF(OR(LEFT(H316,15)="Missing dates; ",LEFT(H316,16)="Add N/A reason; ",H316="Add dates",H316="Add registration",H316="Check date format"),R316,"")</x:f>
      </x:c>
      <x:c r="N316" t="str">
        <x:f>IF(COUNTIFS(C316:F316,"Reviewed N/A")&gt;0,S316,"")</x:f>
      </x:c>
      <x:c r="O316" t="n">
        <x:f>O315+IF(AND(A316&lt;&gt;"",COUNTIFS(C316,"&gt;=36526",C316,"&lt;"&amp;TODAY())+COUNTIFS(D316,"&gt;=36526",D316,"&lt;"&amp;TODAY())+COUNTIFS(E316,"&gt;=36526",E316,"&lt;"&amp;TODAY())+COUNTIFS(F316,"&gt;=36526",F316,"&lt;"&amp;TODAY())&gt;0),1,0)</x:f>
        <x:v>0</x:v>
      </x:c>
      <x:c r="P316" t="n">
        <x:f>P315+IF(AND(A316&lt;&gt;"",COUNTIFS(C316,"&gt;=36526",C316,TODAY())+COUNTIFS(D316,"&gt;=36526",D316,TODAY())+COUNTIFS(E316,"&gt;=36526",E316,TODAY())+COUNTIFS(F316,"&gt;=36526",F316,TODAY())&gt;0),1,0)</x:f>
        <x:v>0</x:v>
      </x:c>
      <x:c r="Q316" t="n">
        <x:f>Q315+IF(AND(A316&lt;&gt;"",COUNTIFS(C316,"&gt;"&amp;TODAY(),C316,"&lt;="&amp;TODAY()+30)+COUNTIFS(D316,"&gt;"&amp;TODAY(),D316,"&lt;="&amp;TODAY()+30)+COUNTIFS(E316,"&gt;"&amp;TODAY(),E316,"&lt;="&amp;TODAY()+30)+COUNTIFS(F316,"&gt;"&amp;TODAY(),F316,"&lt;="&amp;TODAY()+30)&gt;0),1,0)</x:f>
        <x:v>0</x:v>
      </x:c>
      <x:c r="R316" t="n">
        <x:f>R315+IF(OR(LEFT(H316,15)="Missing dates; ",LEFT(H316,16)="Add N/A reason; ",H316="Add dates",H316="Add registration",H316="Check date format"),1,0)</x:f>
        <x:v>0</x:v>
      </x:c>
      <x:c r="S316" t="n">
        <x:f>S315+IF(COUNTIFS(C316:F316,"Reviewed N/A")&gt;0,1,0)</x:f>
        <x:v>0</x:v>
      </x:c>
    </x:row>
    <x:row r="317" ht="48" customHeight="1">
      <x:c r="A317" s="52"/>
      <x:c r="B317" s="52"/>
      <x:c r="C317" s="53"/>
      <x:c r="D317" s="53"/>
      <x:c r="E317" s="53"/>
      <x:c r="F317" s="53"/>
      <x:c r="G317" s="52"/>
      <x:c r="H317" s="21" t="str">
        <x:f>IF(COUNTA(A317:G317,I317)=0,"",IF(A317="","Add registration",IF(OR(COUNTA(C317:F317)&gt;COUNT(C317:F317)+COUNTIFS(C317:F317,"Reviewed N/A"),AND(COUNT(C317:F317)&gt;0,OR(MIN(C317:F317)&lt;36526,MAX(C317:F317)&gt;109574))),"Check date format",IF(AND(COUNTIFS(C317:F317,"Reviewed N/A")&gt;0,I317=""),"Add N/A reason; ","")&amp;IF(COUNT(C317:F317)=0,IF(COUNTIFS(C317:F317,"Reviewed N/A")=4,"No applicable dates recorded","Add dates"),IF(COUNT(C317:F317)+COUNTIFS(C317:F317,"Reviewed N/A")&lt;4,"Missing dates; ","")&amp;IF(MIN(C317:F317)&lt;TODAY(),"Overdue: ",IF(MIN(C317:F317)=TODAY(),"Due today: ",IF(MIN(C317:F317)&lt;=TODAY()+30,"Due within 30 days: ","Next: ")))&amp;INDEX($C$8:$F$8,1,MATCH(MIN(C317:F317),C317:F317,0))&amp;" "&amp;TEXT(MIN(C317:F317),"dd mmm yyyy")))))</x:f>
      </x:c>
      <x:c r="I317" s="52"/>
      <x:c r="J317" t="str">
        <x:f>IF(AND(A317&lt;&gt;"",COUNTIFS(C317,"&gt;=36526",C317,"&lt;"&amp;TODAY())+COUNTIFS(D317,"&gt;=36526",D317,"&lt;"&amp;TODAY())+COUNTIFS(E317,"&gt;=36526",E317,"&lt;"&amp;TODAY())+COUNTIFS(F317,"&gt;=36526",F317,"&lt;"&amp;TODAY())&gt;0),O317,"")</x:f>
      </x:c>
      <x:c r="K317" t="str">
        <x:f>IF(AND(A317&lt;&gt;"",COUNTIFS(C317,"&gt;=36526",C317,TODAY())+COUNTIFS(D317,"&gt;=36526",D317,TODAY())+COUNTIFS(E317,"&gt;=36526",E317,TODAY())+COUNTIFS(F317,"&gt;=36526",F317,TODAY())&gt;0),P317,"")</x:f>
      </x:c>
      <x:c r="L317" t="str">
        <x:f>IF(AND(A317&lt;&gt;"",COUNTIFS(C317,"&gt;"&amp;TODAY(),C317,"&lt;="&amp;TODAY()+30)+COUNTIFS(D317,"&gt;"&amp;TODAY(),D317,"&lt;="&amp;TODAY()+30)+COUNTIFS(E317,"&gt;"&amp;TODAY(),E317,"&lt;="&amp;TODAY()+30)+COUNTIFS(F317,"&gt;"&amp;TODAY(),F317,"&lt;="&amp;TODAY()+30)&gt;0),Q317,"")</x:f>
      </x:c>
      <x:c r="M317" t="str">
        <x:f>IF(OR(LEFT(H317,15)="Missing dates; ",LEFT(H317,16)="Add N/A reason; ",H317="Add dates",H317="Add registration",H317="Check date format"),R317,"")</x:f>
      </x:c>
      <x:c r="N317" t="str">
        <x:f>IF(COUNTIFS(C317:F317,"Reviewed N/A")&gt;0,S317,"")</x:f>
      </x:c>
      <x:c r="O317" t="n">
        <x:f>O316+IF(AND(A317&lt;&gt;"",COUNTIFS(C317,"&gt;=36526",C317,"&lt;"&amp;TODAY())+COUNTIFS(D317,"&gt;=36526",D317,"&lt;"&amp;TODAY())+COUNTIFS(E317,"&gt;=36526",E317,"&lt;"&amp;TODAY())+COUNTIFS(F317,"&gt;=36526",F317,"&lt;"&amp;TODAY())&gt;0),1,0)</x:f>
        <x:v>0</x:v>
      </x:c>
      <x:c r="P317" t="n">
        <x:f>P316+IF(AND(A317&lt;&gt;"",COUNTIFS(C317,"&gt;=36526",C317,TODAY())+COUNTIFS(D317,"&gt;=36526",D317,TODAY())+COUNTIFS(E317,"&gt;=36526",E317,TODAY())+COUNTIFS(F317,"&gt;=36526",F317,TODAY())&gt;0),1,0)</x:f>
        <x:v>0</x:v>
      </x:c>
      <x:c r="Q317" t="n">
        <x:f>Q316+IF(AND(A317&lt;&gt;"",COUNTIFS(C317,"&gt;"&amp;TODAY(),C317,"&lt;="&amp;TODAY()+30)+COUNTIFS(D317,"&gt;"&amp;TODAY(),D317,"&lt;="&amp;TODAY()+30)+COUNTIFS(E317,"&gt;"&amp;TODAY(),E317,"&lt;="&amp;TODAY()+30)+COUNTIFS(F317,"&gt;"&amp;TODAY(),F317,"&lt;="&amp;TODAY()+30)&gt;0),1,0)</x:f>
        <x:v>0</x:v>
      </x:c>
      <x:c r="R317" t="n">
        <x:f>R316+IF(OR(LEFT(H317,15)="Missing dates; ",LEFT(H317,16)="Add N/A reason; ",H317="Add dates",H317="Add registration",H317="Check date format"),1,0)</x:f>
        <x:v>0</x:v>
      </x:c>
      <x:c r="S317" t="n">
        <x:f>S316+IF(COUNTIFS(C317:F317,"Reviewed N/A")&gt;0,1,0)</x:f>
        <x:v>0</x:v>
      </x:c>
    </x:row>
    <x:row r="318" ht="48" customHeight="1">
      <x:c r="A318" s="52"/>
      <x:c r="B318" s="52"/>
      <x:c r="C318" s="53"/>
      <x:c r="D318" s="53"/>
      <x:c r="E318" s="53"/>
      <x:c r="F318" s="53"/>
      <x:c r="G318" s="52"/>
      <x:c r="H318" s="21" t="str">
        <x:f>IF(COUNTA(A318:G318,I318)=0,"",IF(A318="","Add registration",IF(OR(COUNTA(C318:F318)&gt;COUNT(C318:F318)+COUNTIFS(C318:F318,"Reviewed N/A"),AND(COUNT(C318:F318)&gt;0,OR(MIN(C318:F318)&lt;36526,MAX(C318:F318)&gt;109574))),"Check date format",IF(AND(COUNTIFS(C318:F318,"Reviewed N/A")&gt;0,I318=""),"Add N/A reason; ","")&amp;IF(COUNT(C318:F318)=0,IF(COUNTIFS(C318:F318,"Reviewed N/A")=4,"No applicable dates recorded","Add dates"),IF(COUNT(C318:F318)+COUNTIFS(C318:F318,"Reviewed N/A")&lt;4,"Missing dates; ","")&amp;IF(MIN(C318:F318)&lt;TODAY(),"Overdue: ",IF(MIN(C318:F318)=TODAY(),"Due today: ",IF(MIN(C318:F318)&lt;=TODAY()+30,"Due within 30 days: ","Next: ")))&amp;INDEX($C$8:$F$8,1,MATCH(MIN(C318:F318),C318:F318,0))&amp;" "&amp;TEXT(MIN(C318:F318),"dd mmm yyyy")))))</x:f>
      </x:c>
      <x:c r="I318" s="52"/>
      <x:c r="J318" t="str">
        <x:f>IF(AND(A318&lt;&gt;"",COUNTIFS(C318,"&gt;=36526",C318,"&lt;"&amp;TODAY())+COUNTIFS(D318,"&gt;=36526",D318,"&lt;"&amp;TODAY())+COUNTIFS(E318,"&gt;=36526",E318,"&lt;"&amp;TODAY())+COUNTIFS(F318,"&gt;=36526",F318,"&lt;"&amp;TODAY())&gt;0),O318,"")</x:f>
      </x:c>
      <x:c r="K318" t="str">
        <x:f>IF(AND(A318&lt;&gt;"",COUNTIFS(C318,"&gt;=36526",C318,TODAY())+COUNTIFS(D318,"&gt;=36526",D318,TODAY())+COUNTIFS(E318,"&gt;=36526",E318,TODAY())+COUNTIFS(F318,"&gt;=36526",F318,TODAY())&gt;0),P318,"")</x:f>
      </x:c>
      <x:c r="L318" t="str">
        <x:f>IF(AND(A318&lt;&gt;"",COUNTIFS(C318,"&gt;"&amp;TODAY(),C318,"&lt;="&amp;TODAY()+30)+COUNTIFS(D318,"&gt;"&amp;TODAY(),D318,"&lt;="&amp;TODAY()+30)+COUNTIFS(E318,"&gt;"&amp;TODAY(),E318,"&lt;="&amp;TODAY()+30)+COUNTIFS(F318,"&gt;"&amp;TODAY(),F318,"&lt;="&amp;TODAY()+30)&gt;0),Q318,"")</x:f>
      </x:c>
      <x:c r="M318" t="str">
        <x:f>IF(OR(LEFT(H318,15)="Missing dates; ",LEFT(H318,16)="Add N/A reason; ",H318="Add dates",H318="Add registration",H318="Check date format"),R318,"")</x:f>
      </x:c>
      <x:c r="N318" t="str">
        <x:f>IF(COUNTIFS(C318:F318,"Reviewed N/A")&gt;0,S318,"")</x:f>
      </x:c>
      <x:c r="O318" t="n">
        <x:f>O317+IF(AND(A318&lt;&gt;"",COUNTIFS(C318,"&gt;=36526",C318,"&lt;"&amp;TODAY())+COUNTIFS(D318,"&gt;=36526",D318,"&lt;"&amp;TODAY())+COUNTIFS(E318,"&gt;=36526",E318,"&lt;"&amp;TODAY())+COUNTIFS(F318,"&gt;=36526",F318,"&lt;"&amp;TODAY())&gt;0),1,0)</x:f>
        <x:v>0</x:v>
      </x:c>
      <x:c r="P318" t="n">
        <x:f>P317+IF(AND(A318&lt;&gt;"",COUNTIFS(C318,"&gt;=36526",C318,TODAY())+COUNTIFS(D318,"&gt;=36526",D318,TODAY())+COUNTIFS(E318,"&gt;=36526",E318,TODAY())+COUNTIFS(F318,"&gt;=36526",F318,TODAY())&gt;0),1,0)</x:f>
        <x:v>0</x:v>
      </x:c>
      <x:c r="Q318" t="n">
        <x:f>Q317+IF(AND(A318&lt;&gt;"",COUNTIFS(C318,"&gt;"&amp;TODAY(),C318,"&lt;="&amp;TODAY()+30)+COUNTIFS(D318,"&gt;"&amp;TODAY(),D318,"&lt;="&amp;TODAY()+30)+COUNTIFS(E318,"&gt;"&amp;TODAY(),E318,"&lt;="&amp;TODAY()+30)+COUNTIFS(F318,"&gt;"&amp;TODAY(),F318,"&lt;="&amp;TODAY()+30)&gt;0),1,0)</x:f>
        <x:v>0</x:v>
      </x:c>
      <x:c r="R318" t="n">
        <x:f>R317+IF(OR(LEFT(H318,15)="Missing dates; ",LEFT(H318,16)="Add N/A reason; ",H318="Add dates",H318="Add registration",H318="Check date format"),1,0)</x:f>
        <x:v>0</x:v>
      </x:c>
      <x:c r="S318" t="n">
        <x:f>S317+IF(COUNTIFS(C318:F318,"Reviewed N/A")&gt;0,1,0)</x:f>
        <x:v>0</x:v>
      </x:c>
    </x:row>
    <x:row r="319" ht="48" customHeight="1">
      <x:c r="A319" s="52"/>
      <x:c r="B319" s="52"/>
      <x:c r="C319" s="53"/>
      <x:c r="D319" s="53"/>
      <x:c r="E319" s="53"/>
      <x:c r="F319" s="53"/>
      <x:c r="G319" s="52"/>
      <x:c r="H319" s="21" t="str">
        <x:f>IF(COUNTA(A319:G319,I319)=0,"",IF(A319="","Add registration",IF(OR(COUNTA(C319:F319)&gt;COUNT(C319:F319)+COUNTIFS(C319:F319,"Reviewed N/A"),AND(COUNT(C319:F319)&gt;0,OR(MIN(C319:F319)&lt;36526,MAX(C319:F319)&gt;109574))),"Check date format",IF(AND(COUNTIFS(C319:F319,"Reviewed N/A")&gt;0,I319=""),"Add N/A reason; ","")&amp;IF(COUNT(C319:F319)=0,IF(COUNTIFS(C319:F319,"Reviewed N/A")=4,"No applicable dates recorded","Add dates"),IF(COUNT(C319:F319)+COUNTIFS(C319:F319,"Reviewed N/A")&lt;4,"Missing dates; ","")&amp;IF(MIN(C319:F319)&lt;TODAY(),"Overdue: ",IF(MIN(C319:F319)=TODAY(),"Due today: ",IF(MIN(C319:F319)&lt;=TODAY()+30,"Due within 30 days: ","Next: ")))&amp;INDEX($C$8:$F$8,1,MATCH(MIN(C319:F319),C319:F319,0))&amp;" "&amp;TEXT(MIN(C319:F319),"dd mmm yyyy")))))</x:f>
      </x:c>
      <x:c r="I319" s="52"/>
      <x:c r="J319" t="str">
        <x:f>IF(AND(A319&lt;&gt;"",COUNTIFS(C319,"&gt;=36526",C319,"&lt;"&amp;TODAY())+COUNTIFS(D319,"&gt;=36526",D319,"&lt;"&amp;TODAY())+COUNTIFS(E319,"&gt;=36526",E319,"&lt;"&amp;TODAY())+COUNTIFS(F319,"&gt;=36526",F319,"&lt;"&amp;TODAY())&gt;0),O319,"")</x:f>
      </x:c>
      <x:c r="K319" t="str">
        <x:f>IF(AND(A319&lt;&gt;"",COUNTIFS(C319,"&gt;=36526",C319,TODAY())+COUNTIFS(D319,"&gt;=36526",D319,TODAY())+COUNTIFS(E319,"&gt;=36526",E319,TODAY())+COUNTIFS(F319,"&gt;=36526",F319,TODAY())&gt;0),P319,"")</x:f>
      </x:c>
      <x:c r="L319" t="str">
        <x:f>IF(AND(A319&lt;&gt;"",COUNTIFS(C319,"&gt;"&amp;TODAY(),C319,"&lt;="&amp;TODAY()+30)+COUNTIFS(D319,"&gt;"&amp;TODAY(),D319,"&lt;="&amp;TODAY()+30)+COUNTIFS(E319,"&gt;"&amp;TODAY(),E319,"&lt;="&amp;TODAY()+30)+COUNTIFS(F319,"&gt;"&amp;TODAY(),F319,"&lt;="&amp;TODAY()+30)&gt;0),Q319,"")</x:f>
      </x:c>
      <x:c r="M319" t="str">
        <x:f>IF(OR(LEFT(H319,15)="Missing dates; ",LEFT(H319,16)="Add N/A reason; ",H319="Add dates",H319="Add registration",H319="Check date format"),R319,"")</x:f>
      </x:c>
      <x:c r="N319" t="str">
        <x:f>IF(COUNTIFS(C319:F319,"Reviewed N/A")&gt;0,S319,"")</x:f>
      </x:c>
      <x:c r="O319" t="n">
        <x:f>O318+IF(AND(A319&lt;&gt;"",COUNTIFS(C319,"&gt;=36526",C319,"&lt;"&amp;TODAY())+COUNTIFS(D319,"&gt;=36526",D319,"&lt;"&amp;TODAY())+COUNTIFS(E319,"&gt;=36526",E319,"&lt;"&amp;TODAY())+COUNTIFS(F319,"&gt;=36526",F319,"&lt;"&amp;TODAY())&gt;0),1,0)</x:f>
        <x:v>0</x:v>
      </x:c>
      <x:c r="P319" t="n">
        <x:f>P318+IF(AND(A319&lt;&gt;"",COUNTIFS(C319,"&gt;=36526",C319,TODAY())+COUNTIFS(D319,"&gt;=36526",D319,TODAY())+COUNTIFS(E319,"&gt;=36526",E319,TODAY())+COUNTIFS(F319,"&gt;=36526",F319,TODAY())&gt;0),1,0)</x:f>
        <x:v>0</x:v>
      </x:c>
      <x:c r="Q319" t="n">
        <x:f>Q318+IF(AND(A319&lt;&gt;"",COUNTIFS(C319,"&gt;"&amp;TODAY(),C319,"&lt;="&amp;TODAY()+30)+COUNTIFS(D319,"&gt;"&amp;TODAY(),D319,"&lt;="&amp;TODAY()+30)+COUNTIFS(E319,"&gt;"&amp;TODAY(),E319,"&lt;="&amp;TODAY()+30)+COUNTIFS(F319,"&gt;"&amp;TODAY(),F319,"&lt;="&amp;TODAY()+30)&gt;0),1,0)</x:f>
        <x:v>0</x:v>
      </x:c>
      <x:c r="R319" t="n">
        <x:f>R318+IF(OR(LEFT(H319,15)="Missing dates; ",LEFT(H319,16)="Add N/A reason; ",H319="Add dates",H319="Add registration",H319="Check date format"),1,0)</x:f>
        <x:v>0</x:v>
      </x:c>
      <x:c r="S319" t="n">
        <x:f>S318+IF(COUNTIFS(C319:F319,"Reviewed N/A")&gt;0,1,0)</x:f>
        <x:v>0</x:v>
      </x:c>
    </x:row>
    <x:row r="320" ht="48" customHeight="1">
      <x:c r="A320" s="52"/>
      <x:c r="B320" s="52"/>
      <x:c r="C320" s="53"/>
      <x:c r="D320" s="53"/>
      <x:c r="E320" s="53"/>
      <x:c r="F320" s="53"/>
      <x:c r="G320" s="52"/>
      <x:c r="H320" s="21" t="str">
        <x:f>IF(COUNTA(A320:G320,I320)=0,"",IF(A320="","Add registration",IF(OR(COUNTA(C320:F320)&gt;COUNT(C320:F320)+COUNTIFS(C320:F320,"Reviewed N/A"),AND(COUNT(C320:F320)&gt;0,OR(MIN(C320:F320)&lt;36526,MAX(C320:F320)&gt;109574))),"Check date format",IF(AND(COUNTIFS(C320:F320,"Reviewed N/A")&gt;0,I320=""),"Add N/A reason; ","")&amp;IF(COUNT(C320:F320)=0,IF(COUNTIFS(C320:F320,"Reviewed N/A")=4,"No applicable dates recorded","Add dates"),IF(COUNT(C320:F320)+COUNTIFS(C320:F320,"Reviewed N/A")&lt;4,"Missing dates; ","")&amp;IF(MIN(C320:F320)&lt;TODAY(),"Overdue: ",IF(MIN(C320:F320)=TODAY(),"Due today: ",IF(MIN(C320:F320)&lt;=TODAY()+30,"Due within 30 days: ","Next: ")))&amp;INDEX($C$8:$F$8,1,MATCH(MIN(C320:F320),C320:F320,0))&amp;" "&amp;TEXT(MIN(C320:F320),"dd mmm yyyy")))))</x:f>
      </x:c>
      <x:c r="I320" s="52"/>
      <x:c r="J320" t="str">
        <x:f>IF(AND(A320&lt;&gt;"",COUNTIFS(C320,"&gt;=36526",C320,"&lt;"&amp;TODAY())+COUNTIFS(D320,"&gt;=36526",D320,"&lt;"&amp;TODAY())+COUNTIFS(E320,"&gt;=36526",E320,"&lt;"&amp;TODAY())+COUNTIFS(F320,"&gt;=36526",F320,"&lt;"&amp;TODAY())&gt;0),O320,"")</x:f>
      </x:c>
      <x:c r="K320" t="str">
        <x:f>IF(AND(A320&lt;&gt;"",COUNTIFS(C320,"&gt;=36526",C320,TODAY())+COUNTIFS(D320,"&gt;=36526",D320,TODAY())+COUNTIFS(E320,"&gt;=36526",E320,TODAY())+COUNTIFS(F320,"&gt;=36526",F320,TODAY())&gt;0),P320,"")</x:f>
      </x:c>
      <x:c r="L320" t="str">
        <x:f>IF(AND(A320&lt;&gt;"",COUNTIFS(C320,"&gt;"&amp;TODAY(),C320,"&lt;="&amp;TODAY()+30)+COUNTIFS(D320,"&gt;"&amp;TODAY(),D320,"&lt;="&amp;TODAY()+30)+COUNTIFS(E320,"&gt;"&amp;TODAY(),E320,"&lt;="&amp;TODAY()+30)+COUNTIFS(F320,"&gt;"&amp;TODAY(),F320,"&lt;="&amp;TODAY()+30)&gt;0),Q320,"")</x:f>
      </x:c>
      <x:c r="M320" t="str">
        <x:f>IF(OR(LEFT(H320,15)="Missing dates; ",LEFT(H320,16)="Add N/A reason; ",H320="Add dates",H320="Add registration",H320="Check date format"),R320,"")</x:f>
      </x:c>
      <x:c r="N320" t="str">
        <x:f>IF(COUNTIFS(C320:F320,"Reviewed N/A")&gt;0,S320,"")</x:f>
      </x:c>
      <x:c r="O320" t="n">
        <x:f>O319+IF(AND(A320&lt;&gt;"",COUNTIFS(C320,"&gt;=36526",C320,"&lt;"&amp;TODAY())+COUNTIFS(D320,"&gt;=36526",D320,"&lt;"&amp;TODAY())+COUNTIFS(E320,"&gt;=36526",E320,"&lt;"&amp;TODAY())+COUNTIFS(F320,"&gt;=36526",F320,"&lt;"&amp;TODAY())&gt;0),1,0)</x:f>
        <x:v>0</x:v>
      </x:c>
      <x:c r="P320" t="n">
        <x:f>P319+IF(AND(A320&lt;&gt;"",COUNTIFS(C320,"&gt;=36526",C320,TODAY())+COUNTIFS(D320,"&gt;=36526",D320,TODAY())+COUNTIFS(E320,"&gt;=36526",E320,TODAY())+COUNTIFS(F320,"&gt;=36526",F320,TODAY())&gt;0),1,0)</x:f>
        <x:v>0</x:v>
      </x:c>
      <x:c r="Q320" t="n">
        <x:f>Q319+IF(AND(A320&lt;&gt;"",COUNTIFS(C320,"&gt;"&amp;TODAY(),C320,"&lt;="&amp;TODAY()+30)+COUNTIFS(D320,"&gt;"&amp;TODAY(),D320,"&lt;="&amp;TODAY()+30)+COUNTIFS(E320,"&gt;"&amp;TODAY(),E320,"&lt;="&amp;TODAY()+30)+COUNTIFS(F320,"&gt;"&amp;TODAY(),F320,"&lt;="&amp;TODAY()+30)&gt;0),1,0)</x:f>
        <x:v>0</x:v>
      </x:c>
      <x:c r="R320" t="n">
        <x:f>R319+IF(OR(LEFT(H320,15)="Missing dates; ",LEFT(H320,16)="Add N/A reason; ",H320="Add dates",H320="Add registration",H320="Check date format"),1,0)</x:f>
        <x:v>0</x:v>
      </x:c>
      <x:c r="S320" t="n">
        <x:f>S319+IF(COUNTIFS(C320:F320,"Reviewed N/A")&gt;0,1,0)</x:f>
        <x:v>0</x:v>
      </x:c>
    </x:row>
    <x:row r="321" ht="48" customHeight="1">
      <x:c r="A321" s="52"/>
      <x:c r="B321" s="52"/>
      <x:c r="C321" s="53"/>
      <x:c r="D321" s="53"/>
      <x:c r="E321" s="53"/>
      <x:c r="F321" s="53"/>
      <x:c r="G321" s="52"/>
      <x:c r="H321" s="21" t="str">
        <x:f>IF(COUNTA(A321:G321,I321)=0,"",IF(A321="","Add registration",IF(OR(COUNTA(C321:F321)&gt;COUNT(C321:F321)+COUNTIFS(C321:F321,"Reviewed N/A"),AND(COUNT(C321:F321)&gt;0,OR(MIN(C321:F321)&lt;36526,MAX(C321:F321)&gt;109574))),"Check date format",IF(AND(COUNTIFS(C321:F321,"Reviewed N/A")&gt;0,I321=""),"Add N/A reason; ","")&amp;IF(COUNT(C321:F321)=0,IF(COUNTIFS(C321:F321,"Reviewed N/A")=4,"No applicable dates recorded","Add dates"),IF(COUNT(C321:F321)+COUNTIFS(C321:F321,"Reviewed N/A")&lt;4,"Missing dates; ","")&amp;IF(MIN(C321:F321)&lt;TODAY(),"Overdue: ",IF(MIN(C321:F321)=TODAY(),"Due today: ",IF(MIN(C321:F321)&lt;=TODAY()+30,"Due within 30 days: ","Next: ")))&amp;INDEX($C$8:$F$8,1,MATCH(MIN(C321:F321),C321:F321,0))&amp;" "&amp;TEXT(MIN(C321:F321),"dd mmm yyyy")))))</x:f>
      </x:c>
      <x:c r="I321" s="52"/>
      <x:c r="J321" t="str">
        <x:f>IF(AND(A321&lt;&gt;"",COUNTIFS(C321,"&gt;=36526",C321,"&lt;"&amp;TODAY())+COUNTIFS(D321,"&gt;=36526",D321,"&lt;"&amp;TODAY())+COUNTIFS(E321,"&gt;=36526",E321,"&lt;"&amp;TODAY())+COUNTIFS(F321,"&gt;=36526",F321,"&lt;"&amp;TODAY())&gt;0),O321,"")</x:f>
      </x:c>
      <x:c r="K321" t="str">
        <x:f>IF(AND(A321&lt;&gt;"",COUNTIFS(C321,"&gt;=36526",C321,TODAY())+COUNTIFS(D321,"&gt;=36526",D321,TODAY())+COUNTIFS(E321,"&gt;=36526",E321,TODAY())+COUNTIFS(F321,"&gt;=36526",F321,TODAY())&gt;0),P321,"")</x:f>
      </x:c>
      <x:c r="L321" t="str">
        <x:f>IF(AND(A321&lt;&gt;"",COUNTIFS(C321,"&gt;"&amp;TODAY(),C321,"&lt;="&amp;TODAY()+30)+COUNTIFS(D321,"&gt;"&amp;TODAY(),D321,"&lt;="&amp;TODAY()+30)+COUNTIFS(E321,"&gt;"&amp;TODAY(),E321,"&lt;="&amp;TODAY()+30)+COUNTIFS(F321,"&gt;"&amp;TODAY(),F321,"&lt;="&amp;TODAY()+30)&gt;0),Q321,"")</x:f>
      </x:c>
      <x:c r="M321" t="str">
        <x:f>IF(OR(LEFT(H321,15)="Missing dates; ",LEFT(H321,16)="Add N/A reason; ",H321="Add dates",H321="Add registration",H321="Check date format"),R321,"")</x:f>
      </x:c>
      <x:c r="N321" t="str">
        <x:f>IF(COUNTIFS(C321:F321,"Reviewed N/A")&gt;0,S321,"")</x:f>
      </x:c>
      <x:c r="O321" t="n">
        <x:f>O320+IF(AND(A321&lt;&gt;"",COUNTIFS(C321,"&gt;=36526",C321,"&lt;"&amp;TODAY())+COUNTIFS(D321,"&gt;=36526",D321,"&lt;"&amp;TODAY())+COUNTIFS(E321,"&gt;=36526",E321,"&lt;"&amp;TODAY())+COUNTIFS(F321,"&gt;=36526",F321,"&lt;"&amp;TODAY())&gt;0),1,0)</x:f>
        <x:v>0</x:v>
      </x:c>
      <x:c r="P321" t="n">
        <x:f>P320+IF(AND(A321&lt;&gt;"",COUNTIFS(C321,"&gt;=36526",C321,TODAY())+COUNTIFS(D321,"&gt;=36526",D321,TODAY())+COUNTIFS(E321,"&gt;=36526",E321,TODAY())+COUNTIFS(F321,"&gt;=36526",F321,TODAY())&gt;0),1,0)</x:f>
        <x:v>0</x:v>
      </x:c>
      <x:c r="Q321" t="n">
        <x:f>Q320+IF(AND(A321&lt;&gt;"",COUNTIFS(C321,"&gt;"&amp;TODAY(),C321,"&lt;="&amp;TODAY()+30)+COUNTIFS(D321,"&gt;"&amp;TODAY(),D321,"&lt;="&amp;TODAY()+30)+COUNTIFS(E321,"&gt;"&amp;TODAY(),E321,"&lt;="&amp;TODAY()+30)+COUNTIFS(F321,"&gt;"&amp;TODAY(),F321,"&lt;="&amp;TODAY()+30)&gt;0),1,0)</x:f>
        <x:v>0</x:v>
      </x:c>
      <x:c r="R321" t="n">
        <x:f>R320+IF(OR(LEFT(H321,15)="Missing dates; ",LEFT(H321,16)="Add N/A reason; ",H321="Add dates",H321="Add registration",H321="Check date format"),1,0)</x:f>
        <x:v>0</x:v>
      </x:c>
      <x:c r="S321" t="n">
        <x:f>S320+IF(COUNTIFS(C321:F321,"Reviewed N/A")&gt;0,1,0)</x:f>
        <x:v>0</x:v>
      </x:c>
    </x:row>
    <x:row r="322" ht="48" customHeight="1">
      <x:c r="A322" s="52"/>
      <x:c r="B322" s="52"/>
      <x:c r="C322" s="53"/>
      <x:c r="D322" s="53"/>
      <x:c r="E322" s="53"/>
      <x:c r="F322" s="53"/>
      <x:c r="G322" s="52"/>
      <x:c r="H322" s="21" t="str">
        <x:f>IF(COUNTA(A322:G322,I322)=0,"",IF(A322="","Add registration",IF(OR(COUNTA(C322:F322)&gt;COUNT(C322:F322)+COUNTIFS(C322:F322,"Reviewed N/A"),AND(COUNT(C322:F322)&gt;0,OR(MIN(C322:F322)&lt;36526,MAX(C322:F322)&gt;109574))),"Check date format",IF(AND(COUNTIFS(C322:F322,"Reviewed N/A")&gt;0,I322=""),"Add N/A reason; ","")&amp;IF(COUNT(C322:F322)=0,IF(COUNTIFS(C322:F322,"Reviewed N/A")=4,"No applicable dates recorded","Add dates"),IF(COUNT(C322:F322)+COUNTIFS(C322:F322,"Reviewed N/A")&lt;4,"Missing dates; ","")&amp;IF(MIN(C322:F322)&lt;TODAY(),"Overdue: ",IF(MIN(C322:F322)=TODAY(),"Due today: ",IF(MIN(C322:F322)&lt;=TODAY()+30,"Due within 30 days: ","Next: ")))&amp;INDEX($C$8:$F$8,1,MATCH(MIN(C322:F322),C322:F322,0))&amp;" "&amp;TEXT(MIN(C322:F322),"dd mmm yyyy")))))</x:f>
      </x:c>
      <x:c r="I322" s="52"/>
      <x:c r="J322" t="str">
        <x:f>IF(AND(A322&lt;&gt;"",COUNTIFS(C322,"&gt;=36526",C322,"&lt;"&amp;TODAY())+COUNTIFS(D322,"&gt;=36526",D322,"&lt;"&amp;TODAY())+COUNTIFS(E322,"&gt;=36526",E322,"&lt;"&amp;TODAY())+COUNTIFS(F322,"&gt;=36526",F322,"&lt;"&amp;TODAY())&gt;0),O322,"")</x:f>
      </x:c>
      <x:c r="K322" t="str">
        <x:f>IF(AND(A322&lt;&gt;"",COUNTIFS(C322,"&gt;=36526",C322,TODAY())+COUNTIFS(D322,"&gt;=36526",D322,TODAY())+COUNTIFS(E322,"&gt;=36526",E322,TODAY())+COUNTIFS(F322,"&gt;=36526",F322,TODAY())&gt;0),P322,"")</x:f>
      </x:c>
      <x:c r="L322" t="str">
        <x:f>IF(AND(A322&lt;&gt;"",COUNTIFS(C322,"&gt;"&amp;TODAY(),C322,"&lt;="&amp;TODAY()+30)+COUNTIFS(D322,"&gt;"&amp;TODAY(),D322,"&lt;="&amp;TODAY()+30)+COUNTIFS(E322,"&gt;"&amp;TODAY(),E322,"&lt;="&amp;TODAY()+30)+COUNTIFS(F322,"&gt;"&amp;TODAY(),F322,"&lt;="&amp;TODAY()+30)&gt;0),Q322,"")</x:f>
      </x:c>
      <x:c r="M322" t="str">
        <x:f>IF(OR(LEFT(H322,15)="Missing dates; ",LEFT(H322,16)="Add N/A reason; ",H322="Add dates",H322="Add registration",H322="Check date format"),R322,"")</x:f>
      </x:c>
      <x:c r="N322" t="str">
        <x:f>IF(COUNTIFS(C322:F322,"Reviewed N/A")&gt;0,S322,"")</x:f>
      </x:c>
      <x:c r="O322" t="n">
        <x:f>O321+IF(AND(A322&lt;&gt;"",COUNTIFS(C322,"&gt;=36526",C322,"&lt;"&amp;TODAY())+COUNTIFS(D322,"&gt;=36526",D322,"&lt;"&amp;TODAY())+COUNTIFS(E322,"&gt;=36526",E322,"&lt;"&amp;TODAY())+COUNTIFS(F322,"&gt;=36526",F322,"&lt;"&amp;TODAY())&gt;0),1,0)</x:f>
        <x:v>0</x:v>
      </x:c>
      <x:c r="P322" t="n">
        <x:f>P321+IF(AND(A322&lt;&gt;"",COUNTIFS(C322,"&gt;=36526",C322,TODAY())+COUNTIFS(D322,"&gt;=36526",D322,TODAY())+COUNTIFS(E322,"&gt;=36526",E322,TODAY())+COUNTIFS(F322,"&gt;=36526",F322,TODAY())&gt;0),1,0)</x:f>
        <x:v>0</x:v>
      </x:c>
      <x:c r="Q322" t="n">
        <x:f>Q321+IF(AND(A322&lt;&gt;"",COUNTIFS(C322,"&gt;"&amp;TODAY(),C322,"&lt;="&amp;TODAY()+30)+COUNTIFS(D322,"&gt;"&amp;TODAY(),D322,"&lt;="&amp;TODAY()+30)+COUNTIFS(E322,"&gt;"&amp;TODAY(),E322,"&lt;="&amp;TODAY()+30)+COUNTIFS(F322,"&gt;"&amp;TODAY(),F322,"&lt;="&amp;TODAY()+30)&gt;0),1,0)</x:f>
        <x:v>0</x:v>
      </x:c>
      <x:c r="R322" t="n">
        <x:f>R321+IF(OR(LEFT(H322,15)="Missing dates; ",LEFT(H322,16)="Add N/A reason; ",H322="Add dates",H322="Add registration",H322="Check date format"),1,0)</x:f>
        <x:v>0</x:v>
      </x:c>
      <x:c r="S322" t="n">
        <x:f>S321+IF(COUNTIFS(C322:F322,"Reviewed N/A")&gt;0,1,0)</x:f>
        <x:v>0</x:v>
      </x:c>
    </x:row>
    <x:row r="323" ht="48" customHeight="1">
      <x:c r="A323" s="52"/>
      <x:c r="B323" s="52"/>
      <x:c r="C323" s="53"/>
      <x:c r="D323" s="53"/>
      <x:c r="E323" s="53"/>
      <x:c r="F323" s="53"/>
      <x:c r="G323" s="52"/>
      <x:c r="H323" s="21" t="str">
        <x:f>IF(COUNTA(A323:G323,I323)=0,"",IF(A323="","Add registration",IF(OR(COUNTA(C323:F323)&gt;COUNT(C323:F323)+COUNTIFS(C323:F323,"Reviewed N/A"),AND(COUNT(C323:F323)&gt;0,OR(MIN(C323:F323)&lt;36526,MAX(C323:F323)&gt;109574))),"Check date format",IF(AND(COUNTIFS(C323:F323,"Reviewed N/A")&gt;0,I323=""),"Add N/A reason; ","")&amp;IF(COUNT(C323:F323)=0,IF(COUNTIFS(C323:F323,"Reviewed N/A")=4,"No applicable dates recorded","Add dates"),IF(COUNT(C323:F323)+COUNTIFS(C323:F323,"Reviewed N/A")&lt;4,"Missing dates; ","")&amp;IF(MIN(C323:F323)&lt;TODAY(),"Overdue: ",IF(MIN(C323:F323)=TODAY(),"Due today: ",IF(MIN(C323:F323)&lt;=TODAY()+30,"Due within 30 days: ","Next: ")))&amp;INDEX($C$8:$F$8,1,MATCH(MIN(C323:F323),C323:F323,0))&amp;" "&amp;TEXT(MIN(C323:F323),"dd mmm yyyy")))))</x:f>
      </x:c>
      <x:c r="I323" s="52"/>
      <x:c r="J323" t="str">
        <x:f>IF(AND(A323&lt;&gt;"",COUNTIFS(C323,"&gt;=36526",C323,"&lt;"&amp;TODAY())+COUNTIFS(D323,"&gt;=36526",D323,"&lt;"&amp;TODAY())+COUNTIFS(E323,"&gt;=36526",E323,"&lt;"&amp;TODAY())+COUNTIFS(F323,"&gt;=36526",F323,"&lt;"&amp;TODAY())&gt;0),O323,"")</x:f>
      </x:c>
      <x:c r="K323" t="str">
        <x:f>IF(AND(A323&lt;&gt;"",COUNTIFS(C323,"&gt;=36526",C323,TODAY())+COUNTIFS(D323,"&gt;=36526",D323,TODAY())+COUNTIFS(E323,"&gt;=36526",E323,TODAY())+COUNTIFS(F323,"&gt;=36526",F323,TODAY())&gt;0),P323,"")</x:f>
      </x:c>
      <x:c r="L323" t="str">
        <x:f>IF(AND(A323&lt;&gt;"",COUNTIFS(C323,"&gt;"&amp;TODAY(),C323,"&lt;="&amp;TODAY()+30)+COUNTIFS(D323,"&gt;"&amp;TODAY(),D323,"&lt;="&amp;TODAY()+30)+COUNTIFS(E323,"&gt;"&amp;TODAY(),E323,"&lt;="&amp;TODAY()+30)+COUNTIFS(F323,"&gt;"&amp;TODAY(),F323,"&lt;="&amp;TODAY()+30)&gt;0),Q323,"")</x:f>
      </x:c>
      <x:c r="M323" t="str">
        <x:f>IF(OR(LEFT(H323,15)="Missing dates; ",LEFT(H323,16)="Add N/A reason; ",H323="Add dates",H323="Add registration",H323="Check date format"),R323,"")</x:f>
      </x:c>
      <x:c r="N323" t="str">
        <x:f>IF(COUNTIFS(C323:F323,"Reviewed N/A")&gt;0,S323,"")</x:f>
      </x:c>
      <x:c r="O323" t="n">
        <x:f>O322+IF(AND(A323&lt;&gt;"",COUNTIFS(C323,"&gt;=36526",C323,"&lt;"&amp;TODAY())+COUNTIFS(D323,"&gt;=36526",D323,"&lt;"&amp;TODAY())+COUNTIFS(E323,"&gt;=36526",E323,"&lt;"&amp;TODAY())+COUNTIFS(F323,"&gt;=36526",F323,"&lt;"&amp;TODAY())&gt;0),1,0)</x:f>
        <x:v>0</x:v>
      </x:c>
      <x:c r="P323" t="n">
        <x:f>P322+IF(AND(A323&lt;&gt;"",COUNTIFS(C323,"&gt;=36526",C323,TODAY())+COUNTIFS(D323,"&gt;=36526",D323,TODAY())+COUNTIFS(E323,"&gt;=36526",E323,TODAY())+COUNTIFS(F323,"&gt;=36526",F323,TODAY())&gt;0),1,0)</x:f>
        <x:v>0</x:v>
      </x:c>
      <x:c r="Q323" t="n">
        <x:f>Q322+IF(AND(A323&lt;&gt;"",COUNTIFS(C323,"&gt;"&amp;TODAY(),C323,"&lt;="&amp;TODAY()+30)+COUNTIFS(D323,"&gt;"&amp;TODAY(),D323,"&lt;="&amp;TODAY()+30)+COUNTIFS(E323,"&gt;"&amp;TODAY(),E323,"&lt;="&amp;TODAY()+30)+COUNTIFS(F323,"&gt;"&amp;TODAY(),F323,"&lt;="&amp;TODAY()+30)&gt;0),1,0)</x:f>
        <x:v>0</x:v>
      </x:c>
      <x:c r="R323" t="n">
        <x:f>R322+IF(OR(LEFT(H323,15)="Missing dates; ",LEFT(H323,16)="Add N/A reason; ",H323="Add dates",H323="Add registration",H323="Check date format"),1,0)</x:f>
        <x:v>0</x:v>
      </x:c>
      <x:c r="S323" t="n">
        <x:f>S322+IF(COUNTIFS(C323:F323,"Reviewed N/A")&gt;0,1,0)</x:f>
        <x:v>0</x:v>
      </x:c>
    </x:row>
    <x:row r="324" ht="48" customHeight="1">
      <x:c r="A324" s="52"/>
      <x:c r="B324" s="52"/>
      <x:c r="C324" s="53"/>
      <x:c r="D324" s="53"/>
      <x:c r="E324" s="53"/>
      <x:c r="F324" s="53"/>
      <x:c r="G324" s="52"/>
      <x:c r="H324" s="21" t="str">
        <x:f>IF(COUNTA(A324:G324,I324)=0,"",IF(A324="","Add registration",IF(OR(COUNTA(C324:F324)&gt;COUNT(C324:F324)+COUNTIFS(C324:F324,"Reviewed N/A"),AND(COUNT(C324:F324)&gt;0,OR(MIN(C324:F324)&lt;36526,MAX(C324:F324)&gt;109574))),"Check date format",IF(AND(COUNTIFS(C324:F324,"Reviewed N/A")&gt;0,I324=""),"Add N/A reason; ","")&amp;IF(COUNT(C324:F324)=0,IF(COUNTIFS(C324:F324,"Reviewed N/A")=4,"No applicable dates recorded","Add dates"),IF(COUNT(C324:F324)+COUNTIFS(C324:F324,"Reviewed N/A")&lt;4,"Missing dates; ","")&amp;IF(MIN(C324:F324)&lt;TODAY(),"Overdue: ",IF(MIN(C324:F324)=TODAY(),"Due today: ",IF(MIN(C324:F324)&lt;=TODAY()+30,"Due within 30 days: ","Next: ")))&amp;INDEX($C$8:$F$8,1,MATCH(MIN(C324:F324),C324:F324,0))&amp;" "&amp;TEXT(MIN(C324:F324),"dd mmm yyyy")))))</x:f>
      </x:c>
      <x:c r="I324" s="52"/>
      <x:c r="J324" t="str">
        <x:f>IF(AND(A324&lt;&gt;"",COUNTIFS(C324,"&gt;=36526",C324,"&lt;"&amp;TODAY())+COUNTIFS(D324,"&gt;=36526",D324,"&lt;"&amp;TODAY())+COUNTIFS(E324,"&gt;=36526",E324,"&lt;"&amp;TODAY())+COUNTIFS(F324,"&gt;=36526",F324,"&lt;"&amp;TODAY())&gt;0),O324,"")</x:f>
      </x:c>
      <x:c r="K324" t="str">
        <x:f>IF(AND(A324&lt;&gt;"",COUNTIFS(C324,"&gt;=36526",C324,TODAY())+COUNTIFS(D324,"&gt;=36526",D324,TODAY())+COUNTIFS(E324,"&gt;=36526",E324,TODAY())+COUNTIFS(F324,"&gt;=36526",F324,TODAY())&gt;0),P324,"")</x:f>
      </x:c>
      <x:c r="L324" t="str">
        <x:f>IF(AND(A324&lt;&gt;"",COUNTIFS(C324,"&gt;"&amp;TODAY(),C324,"&lt;="&amp;TODAY()+30)+COUNTIFS(D324,"&gt;"&amp;TODAY(),D324,"&lt;="&amp;TODAY()+30)+COUNTIFS(E324,"&gt;"&amp;TODAY(),E324,"&lt;="&amp;TODAY()+30)+COUNTIFS(F324,"&gt;"&amp;TODAY(),F324,"&lt;="&amp;TODAY()+30)&gt;0),Q324,"")</x:f>
      </x:c>
      <x:c r="M324" t="str">
        <x:f>IF(OR(LEFT(H324,15)="Missing dates; ",LEFT(H324,16)="Add N/A reason; ",H324="Add dates",H324="Add registration",H324="Check date format"),R324,"")</x:f>
      </x:c>
      <x:c r="N324" t="str">
        <x:f>IF(COUNTIFS(C324:F324,"Reviewed N/A")&gt;0,S324,"")</x:f>
      </x:c>
      <x:c r="O324" t="n">
        <x:f>O323+IF(AND(A324&lt;&gt;"",COUNTIFS(C324,"&gt;=36526",C324,"&lt;"&amp;TODAY())+COUNTIFS(D324,"&gt;=36526",D324,"&lt;"&amp;TODAY())+COUNTIFS(E324,"&gt;=36526",E324,"&lt;"&amp;TODAY())+COUNTIFS(F324,"&gt;=36526",F324,"&lt;"&amp;TODAY())&gt;0),1,0)</x:f>
        <x:v>0</x:v>
      </x:c>
      <x:c r="P324" t="n">
        <x:f>P323+IF(AND(A324&lt;&gt;"",COUNTIFS(C324,"&gt;=36526",C324,TODAY())+COUNTIFS(D324,"&gt;=36526",D324,TODAY())+COUNTIFS(E324,"&gt;=36526",E324,TODAY())+COUNTIFS(F324,"&gt;=36526",F324,TODAY())&gt;0),1,0)</x:f>
        <x:v>0</x:v>
      </x:c>
      <x:c r="Q324" t="n">
        <x:f>Q323+IF(AND(A324&lt;&gt;"",COUNTIFS(C324,"&gt;"&amp;TODAY(),C324,"&lt;="&amp;TODAY()+30)+COUNTIFS(D324,"&gt;"&amp;TODAY(),D324,"&lt;="&amp;TODAY()+30)+COUNTIFS(E324,"&gt;"&amp;TODAY(),E324,"&lt;="&amp;TODAY()+30)+COUNTIFS(F324,"&gt;"&amp;TODAY(),F324,"&lt;="&amp;TODAY()+30)&gt;0),1,0)</x:f>
        <x:v>0</x:v>
      </x:c>
      <x:c r="R324" t="n">
        <x:f>R323+IF(OR(LEFT(H324,15)="Missing dates; ",LEFT(H324,16)="Add N/A reason; ",H324="Add dates",H324="Add registration",H324="Check date format"),1,0)</x:f>
        <x:v>0</x:v>
      </x:c>
      <x:c r="S324" t="n">
        <x:f>S323+IF(COUNTIFS(C324:F324,"Reviewed N/A")&gt;0,1,0)</x:f>
        <x:v>0</x:v>
      </x:c>
    </x:row>
    <x:row r="325" ht="48" customHeight="1">
      <x:c r="A325" s="52"/>
      <x:c r="B325" s="52"/>
      <x:c r="C325" s="53"/>
      <x:c r="D325" s="53"/>
      <x:c r="E325" s="53"/>
      <x:c r="F325" s="53"/>
      <x:c r="G325" s="52"/>
      <x:c r="H325" s="21" t="str">
        <x:f>IF(COUNTA(A325:G325,I325)=0,"",IF(A325="","Add registration",IF(OR(COUNTA(C325:F325)&gt;COUNT(C325:F325)+COUNTIFS(C325:F325,"Reviewed N/A"),AND(COUNT(C325:F325)&gt;0,OR(MIN(C325:F325)&lt;36526,MAX(C325:F325)&gt;109574))),"Check date format",IF(AND(COUNTIFS(C325:F325,"Reviewed N/A")&gt;0,I325=""),"Add N/A reason; ","")&amp;IF(COUNT(C325:F325)=0,IF(COUNTIFS(C325:F325,"Reviewed N/A")=4,"No applicable dates recorded","Add dates"),IF(COUNT(C325:F325)+COUNTIFS(C325:F325,"Reviewed N/A")&lt;4,"Missing dates; ","")&amp;IF(MIN(C325:F325)&lt;TODAY(),"Overdue: ",IF(MIN(C325:F325)=TODAY(),"Due today: ",IF(MIN(C325:F325)&lt;=TODAY()+30,"Due within 30 days: ","Next: ")))&amp;INDEX($C$8:$F$8,1,MATCH(MIN(C325:F325),C325:F325,0))&amp;" "&amp;TEXT(MIN(C325:F325),"dd mmm yyyy")))))</x:f>
      </x:c>
      <x:c r="I325" s="52"/>
      <x:c r="J325" t="str">
        <x:f>IF(AND(A325&lt;&gt;"",COUNTIFS(C325,"&gt;=36526",C325,"&lt;"&amp;TODAY())+COUNTIFS(D325,"&gt;=36526",D325,"&lt;"&amp;TODAY())+COUNTIFS(E325,"&gt;=36526",E325,"&lt;"&amp;TODAY())+COUNTIFS(F325,"&gt;=36526",F325,"&lt;"&amp;TODAY())&gt;0),O325,"")</x:f>
      </x:c>
      <x:c r="K325" t="str">
        <x:f>IF(AND(A325&lt;&gt;"",COUNTIFS(C325,"&gt;=36526",C325,TODAY())+COUNTIFS(D325,"&gt;=36526",D325,TODAY())+COUNTIFS(E325,"&gt;=36526",E325,TODAY())+COUNTIFS(F325,"&gt;=36526",F325,TODAY())&gt;0),P325,"")</x:f>
      </x:c>
      <x:c r="L325" t="str">
        <x:f>IF(AND(A325&lt;&gt;"",COUNTIFS(C325,"&gt;"&amp;TODAY(),C325,"&lt;="&amp;TODAY()+30)+COUNTIFS(D325,"&gt;"&amp;TODAY(),D325,"&lt;="&amp;TODAY()+30)+COUNTIFS(E325,"&gt;"&amp;TODAY(),E325,"&lt;="&amp;TODAY()+30)+COUNTIFS(F325,"&gt;"&amp;TODAY(),F325,"&lt;="&amp;TODAY()+30)&gt;0),Q325,"")</x:f>
      </x:c>
      <x:c r="M325" t="str">
        <x:f>IF(OR(LEFT(H325,15)="Missing dates; ",LEFT(H325,16)="Add N/A reason; ",H325="Add dates",H325="Add registration",H325="Check date format"),R325,"")</x:f>
      </x:c>
      <x:c r="N325" t="str">
        <x:f>IF(COUNTIFS(C325:F325,"Reviewed N/A")&gt;0,S325,"")</x:f>
      </x:c>
      <x:c r="O325" t="n">
        <x:f>O324+IF(AND(A325&lt;&gt;"",COUNTIFS(C325,"&gt;=36526",C325,"&lt;"&amp;TODAY())+COUNTIFS(D325,"&gt;=36526",D325,"&lt;"&amp;TODAY())+COUNTIFS(E325,"&gt;=36526",E325,"&lt;"&amp;TODAY())+COUNTIFS(F325,"&gt;=36526",F325,"&lt;"&amp;TODAY())&gt;0),1,0)</x:f>
        <x:v>0</x:v>
      </x:c>
      <x:c r="P325" t="n">
        <x:f>P324+IF(AND(A325&lt;&gt;"",COUNTIFS(C325,"&gt;=36526",C325,TODAY())+COUNTIFS(D325,"&gt;=36526",D325,TODAY())+COUNTIFS(E325,"&gt;=36526",E325,TODAY())+COUNTIFS(F325,"&gt;=36526",F325,TODAY())&gt;0),1,0)</x:f>
        <x:v>0</x:v>
      </x:c>
      <x:c r="Q325" t="n">
        <x:f>Q324+IF(AND(A325&lt;&gt;"",COUNTIFS(C325,"&gt;"&amp;TODAY(),C325,"&lt;="&amp;TODAY()+30)+COUNTIFS(D325,"&gt;"&amp;TODAY(),D325,"&lt;="&amp;TODAY()+30)+COUNTIFS(E325,"&gt;"&amp;TODAY(),E325,"&lt;="&amp;TODAY()+30)+COUNTIFS(F325,"&gt;"&amp;TODAY(),F325,"&lt;="&amp;TODAY()+30)&gt;0),1,0)</x:f>
        <x:v>0</x:v>
      </x:c>
      <x:c r="R325" t="n">
        <x:f>R324+IF(OR(LEFT(H325,15)="Missing dates; ",LEFT(H325,16)="Add N/A reason; ",H325="Add dates",H325="Add registration",H325="Check date format"),1,0)</x:f>
        <x:v>0</x:v>
      </x:c>
      <x:c r="S325" t="n">
        <x:f>S324+IF(COUNTIFS(C325:F325,"Reviewed N/A")&gt;0,1,0)</x:f>
        <x:v>0</x:v>
      </x:c>
    </x:row>
    <x:row r="326" ht="48" customHeight="1">
      <x:c r="A326" s="52"/>
      <x:c r="B326" s="52"/>
      <x:c r="C326" s="53"/>
      <x:c r="D326" s="53"/>
      <x:c r="E326" s="53"/>
      <x:c r="F326" s="53"/>
      <x:c r="G326" s="52"/>
      <x:c r="H326" s="21" t="str">
        <x:f>IF(COUNTA(A326:G326,I326)=0,"",IF(A326="","Add registration",IF(OR(COUNTA(C326:F326)&gt;COUNT(C326:F326)+COUNTIFS(C326:F326,"Reviewed N/A"),AND(COUNT(C326:F326)&gt;0,OR(MIN(C326:F326)&lt;36526,MAX(C326:F326)&gt;109574))),"Check date format",IF(AND(COUNTIFS(C326:F326,"Reviewed N/A")&gt;0,I326=""),"Add N/A reason; ","")&amp;IF(COUNT(C326:F326)=0,IF(COUNTIFS(C326:F326,"Reviewed N/A")=4,"No applicable dates recorded","Add dates"),IF(COUNT(C326:F326)+COUNTIFS(C326:F326,"Reviewed N/A")&lt;4,"Missing dates; ","")&amp;IF(MIN(C326:F326)&lt;TODAY(),"Overdue: ",IF(MIN(C326:F326)=TODAY(),"Due today: ",IF(MIN(C326:F326)&lt;=TODAY()+30,"Due within 30 days: ","Next: ")))&amp;INDEX($C$8:$F$8,1,MATCH(MIN(C326:F326),C326:F326,0))&amp;" "&amp;TEXT(MIN(C326:F326),"dd mmm yyyy")))))</x:f>
      </x:c>
      <x:c r="I326" s="52"/>
      <x:c r="J326" t="str">
        <x:f>IF(AND(A326&lt;&gt;"",COUNTIFS(C326,"&gt;=36526",C326,"&lt;"&amp;TODAY())+COUNTIFS(D326,"&gt;=36526",D326,"&lt;"&amp;TODAY())+COUNTIFS(E326,"&gt;=36526",E326,"&lt;"&amp;TODAY())+COUNTIFS(F326,"&gt;=36526",F326,"&lt;"&amp;TODAY())&gt;0),O326,"")</x:f>
      </x:c>
      <x:c r="K326" t="str">
        <x:f>IF(AND(A326&lt;&gt;"",COUNTIFS(C326,"&gt;=36526",C326,TODAY())+COUNTIFS(D326,"&gt;=36526",D326,TODAY())+COUNTIFS(E326,"&gt;=36526",E326,TODAY())+COUNTIFS(F326,"&gt;=36526",F326,TODAY())&gt;0),P326,"")</x:f>
      </x:c>
      <x:c r="L326" t="str">
        <x:f>IF(AND(A326&lt;&gt;"",COUNTIFS(C326,"&gt;"&amp;TODAY(),C326,"&lt;="&amp;TODAY()+30)+COUNTIFS(D326,"&gt;"&amp;TODAY(),D326,"&lt;="&amp;TODAY()+30)+COUNTIFS(E326,"&gt;"&amp;TODAY(),E326,"&lt;="&amp;TODAY()+30)+COUNTIFS(F326,"&gt;"&amp;TODAY(),F326,"&lt;="&amp;TODAY()+30)&gt;0),Q326,"")</x:f>
      </x:c>
      <x:c r="M326" t="str">
        <x:f>IF(OR(LEFT(H326,15)="Missing dates; ",LEFT(H326,16)="Add N/A reason; ",H326="Add dates",H326="Add registration",H326="Check date format"),R326,"")</x:f>
      </x:c>
      <x:c r="N326" t="str">
        <x:f>IF(COUNTIFS(C326:F326,"Reviewed N/A")&gt;0,S326,"")</x:f>
      </x:c>
      <x:c r="O326" t="n">
        <x:f>O325+IF(AND(A326&lt;&gt;"",COUNTIFS(C326,"&gt;=36526",C326,"&lt;"&amp;TODAY())+COUNTIFS(D326,"&gt;=36526",D326,"&lt;"&amp;TODAY())+COUNTIFS(E326,"&gt;=36526",E326,"&lt;"&amp;TODAY())+COUNTIFS(F326,"&gt;=36526",F326,"&lt;"&amp;TODAY())&gt;0),1,0)</x:f>
        <x:v>0</x:v>
      </x:c>
      <x:c r="P326" t="n">
        <x:f>P325+IF(AND(A326&lt;&gt;"",COUNTIFS(C326,"&gt;=36526",C326,TODAY())+COUNTIFS(D326,"&gt;=36526",D326,TODAY())+COUNTIFS(E326,"&gt;=36526",E326,TODAY())+COUNTIFS(F326,"&gt;=36526",F326,TODAY())&gt;0),1,0)</x:f>
        <x:v>0</x:v>
      </x:c>
      <x:c r="Q326" t="n">
        <x:f>Q325+IF(AND(A326&lt;&gt;"",COUNTIFS(C326,"&gt;"&amp;TODAY(),C326,"&lt;="&amp;TODAY()+30)+COUNTIFS(D326,"&gt;"&amp;TODAY(),D326,"&lt;="&amp;TODAY()+30)+COUNTIFS(E326,"&gt;"&amp;TODAY(),E326,"&lt;="&amp;TODAY()+30)+COUNTIFS(F326,"&gt;"&amp;TODAY(),F326,"&lt;="&amp;TODAY()+30)&gt;0),1,0)</x:f>
        <x:v>0</x:v>
      </x:c>
      <x:c r="R326" t="n">
        <x:f>R325+IF(OR(LEFT(H326,15)="Missing dates; ",LEFT(H326,16)="Add N/A reason; ",H326="Add dates",H326="Add registration",H326="Check date format"),1,0)</x:f>
        <x:v>0</x:v>
      </x:c>
      <x:c r="S326" t="n">
        <x:f>S325+IF(COUNTIFS(C326:F326,"Reviewed N/A")&gt;0,1,0)</x:f>
        <x:v>0</x:v>
      </x:c>
    </x:row>
    <x:row r="327" ht="48" customHeight="1">
      <x:c r="A327" s="52"/>
      <x:c r="B327" s="52"/>
      <x:c r="C327" s="53"/>
      <x:c r="D327" s="53"/>
      <x:c r="E327" s="53"/>
      <x:c r="F327" s="53"/>
      <x:c r="G327" s="52"/>
      <x:c r="H327" s="21" t="str">
        <x:f>IF(COUNTA(A327:G327,I327)=0,"",IF(A327="","Add registration",IF(OR(COUNTA(C327:F327)&gt;COUNT(C327:F327)+COUNTIFS(C327:F327,"Reviewed N/A"),AND(COUNT(C327:F327)&gt;0,OR(MIN(C327:F327)&lt;36526,MAX(C327:F327)&gt;109574))),"Check date format",IF(AND(COUNTIFS(C327:F327,"Reviewed N/A")&gt;0,I327=""),"Add N/A reason; ","")&amp;IF(COUNT(C327:F327)=0,IF(COUNTIFS(C327:F327,"Reviewed N/A")=4,"No applicable dates recorded","Add dates"),IF(COUNT(C327:F327)+COUNTIFS(C327:F327,"Reviewed N/A")&lt;4,"Missing dates; ","")&amp;IF(MIN(C327:F327)&lt;TODAY(),"Overdue: ",IF(MIN(C327:F327)=TODAY(),"Due today: ",IF(MIN(C327:F327)&lt;=TODAY()+30,"Due within 30 days: ","Next: ")))&amp;INDEX($C$8:$F$8,1,MATCH(MIN(C327:F327),C327:F327,0))&amp;" "&amp;TEXT(MIN(C327:F327),"dd mmm yyyy")))))</x:f>
      </x:c>
      <x:c r="I327" s="52"/>
      <x:c r="J327" t="str">
        <x:f>IF(AND(A327&lt;&gt;"",COUNTIFS(C327,"&gt;=36526",C327,"&lt;"&amp;TODAY())+COUNTIFS(D327,"&gt;=36526",D327,"&lt;"&amp;TODAY())+COUNTIFS(E327,"&gt;=36526",E327,"&lt;"&amp;TODAY())+COUNTIFS(F327,"&gt;=36526",F327,"&lt;"&amp;TODAY())&gt;0),O327,"")</x:f>
      </x:c>
      <x:c r="K327" t="str">
        <x:f>IF(AND(A327&lt;&gt;"",COUNTIFS(C327,"&gt;=36526",C327,TODAY())+COUNTIFS(D327,"&gt;=36526",D327,TODAY())+COUNTIFS(E327,"&gt;=36526",E327,TODAY())+COUNTIFS(F327,"&gt;=36526",F327,TODAY())&gt;0),P327,"")</x:f>
      </x:c>
      <x:c r="L327" t="str">
        <x:f>IF(AND(A327&lt;&gt;"",COUNTIFS(C327,"&gt;"&amp;TODAY(),C327,"&lt;="&amp;TODAY()+30)+COUNTIFS(D327,"&gt;"&amp;TODAY(),D327,"&lt;="&amp;TODAY()+30)+COUNTIFS(E327,"&gt;"&amp;TODAY(),E327,"&lt;="&amp;TODAY()+30)+COUNTIFS(F327,"&gt;"&amp;TODAY(),F327,"&lt;="&amp;TODAY()+30)&gt;0),Q327,"")</x:f>
      </x:c>
      <x:c r="M327" t="str">
        <x:f>IF(OR(LEFT(H327,15)="Missing dates; ",LEFT(H327,16)="Add N/A reason; ",H327="Add dates",H327="Add registration",H327="Check date format"),R327,"")</x:f>
      </x:c>
      <x:c r="N327" t="str">
        <x:f>IF(COUNTIFS(C327:F327,"Reviewed N/A")&gt;0,S327,"")</x:f>
      </x:c>
      <x:c r="O327" t="n">
        <x:f>O326+IF(AND(A327&lt;&gt;"",COUNTIFS(C327,"&gt;=36526",C327,"&lt;"&amp;TODAY())+COUNTIFS(D327,"&gt;=36526",D327,"&lt;"&amp;TODAY())+COUNTIFS(E327,"&gt;=36526",E327,"&lt;"&amp;TODAY())+COUNTIFS(F327,"&gt;=36526",F327,"&lt;"&amp;TODAY())&gt;0),1,0)</x:f>
        <x:v>0</x:v>
      </x:c>
      <x:c r="P327" t="n">
        <x:f>P326+IF(AND(A327&lt;&gt;"",COUNTIFS(C327,"&gt;=36526",C327,TODAY())+COUNTIFS(D327,"&gt;=36526",D327,TODAY())+COUNTIFS(E327,"&gt;=36526",E327,TODAY())+COUNTIFS(F327,"&gt;=36526",F327,TODAY())&gt;0),1,0)</x:f>
        <x:v>0</x:v>
      </x:c>
      <x:c r="Q327" t="n">
        <x:f>Q326+IF(AND(A327&lt;&gt;"",COUNTIFS(C327,"&gt;"&amp;TODAY(),C327,"&lt;="&amp;TODAY()+30)+COUNTIFS(D327,"&gt;"&amp;TODAY(),D327,"&lt;="&amp;TODAY()+30)+COUNTIFS(E327,"&gt;"&amp;TODAY(),E327,"&lt;="&amp;TODAY()+30)+COUNTIFS(F327,"&gt;"&amp;TODAY(),F327,"&lt;="&amp;TODAY()+30)&gt;0),1,0)</x:f>
        <x:v>0</x:v>
      </x:c>
      <x:c r="R327" t="n">
        <x:f>R326+IF(OR(LEFT(H327,15)="Missing dates; ",LEFT(H327,16)="Add N/A reason; ",H327="Add dates",H327="Add registration",H327="Check date format"),1,0)</x:f>
        <x:v>0</x:v>
      </x:c>
      <x:c r="S327" t="n">
        <x:f>S326+IF(COUNTIFS(C327:F327,"Reviewed N/A")&gt;0,1,0)</x:f>
        <x:v>0</x:v>
      </x:c>
    </x:row>
    <x:row r="328" ht="48" customHeight="1">
      <x:c r="A328" s="52"/>
      <x:c r="B328" s="52"/>
      <x:c r="C328" s="53"/>
      <x:c r="D328" s="53"/>
      <x:c r="E328" s="53"/>
      <x:c r="F328" s="53"/>
      <x:c r="G328" s="52"/>
      <x:c r="H328" s="21" t="str">
        <x:f>IF(COUNTA(A328:G328,I328)=0,"",IF(A328="","Add registration",IF(OR(COUNTA(C328:F328)&gt;COUNT(C328:F328)+COUNTIFS(C328:F328,"Reviewed N/A"),AND(COUNT(C328:F328)&gt;0,OR(MIN(C328:F328)&lt;36526,MAX(C328:F328)&gt;109574))),"Check date format",IF(AND(COUNTIFS(C328:F328,"Reviewed N/A")&gt;0,I328=""),"Add N/A reason; ","")&amp;IF(COUNT(C328:F328)=0,IF(COUNTIFS(C328:F328,"Reviewed N/A")=4,"No applicable dates recorded","Add dates"),IF(COUNT(C328:F328)+COUNTIFS(C328:F328,"Reviewed N/A")&lt;4,"Missing dates; ","")&amp;IF(MIN(C328:F328)&lt;TODAY(),"Overdue: ",IF(MIN(C328:F328)=TODAY(),"Due today: ",IF(MIN(C328:F328)&lt;=TODAY()+30,"Due within 30 days: ","Next: ")))&amp;INDEX($C$8:$F$8,1,MATCH(MIN(C328:F328),C328:F328,0))&amp;" "&amp;TEXT(MIN(C328:F328),"dd mmm yyyy")))))</x:f>
      </x:c>
      <x:c r="I328" s="52"/>
      <x:c r="J328" t="str">
        <x:f>IF(AND(A328&lt;&gt;"",COUNTIFS(C328,"&gt;=36526",C328,"&lt;"&amp;TODAY())+COUNTIFS(D328,"&gt;=36526",D328,"&lt;"&amp;TODAY())+COUNTIFS(E328,"&gt;=36526",E328,"&lt;"&amp;TODAY())+COUNTIFS(F328,"&gt;=36526",F328,"&lt;"&amp;TODAY())&gt;0),O328,"")</x:f>
      </x:c>
      <x:c r="K328" t="str">
        <x:f>IF(AND(A328&lt;&gt;"",COUNTIFS(C328,"&gt;=36526",C328,TODAY())+COUNTIFS(D328,"&gt;=36526",D328,TODAY())+COUNTIFS(E328,"&gt;=36526",E328,TODAY())+COUNTIFS(F328,"&gt;=36526",F328,TODAY())&gt;0),P328,"")</x:f>
      </x:c>
      <x:c r="L328" t="str">
        <x:f>IF(AND(A328&lt;&gt;"",COUNTIFS(C328,"&gt;"&amp;TODAY(),C328,"&lt;="&amp;TODAY()+30)+COUNTIFS(D328,"&gt;"&amp;TODAY(),D328,"&lt;="&amp;TODAY()+30)+COUNTIFS(E328,"&gt;"&amp;TODAY(),E328,"&lt;="&amp;TODAY()+30)+COUNTIFS(F328,"&gt;"&amp;TODAY(),F328,"&lt;="&amp;TODAY()+30)&gt;0),Q328,"")</x:f>
      </x:c>
      <x:c r="M328" t="str">
        <x:f>IF(OR(LEFT(H328,15)="Missing dates; ",LEFT(H328,16)="Add N/A reason; ",H328="Add dates",H328="Add registration",H328="Check date format"),R328,"")</x:f>
      </x:c>
      <x:c r="N328" t="str">
        <x:f>IF(COUNTIFS(C328:F328,"Reviewed N/A")&gt;0,S328,"")</x:f>
      </x:c>
      <x:c r="O328" t="n">
        <x:f>O327+IF(AND(A328&lt;&gt;"",COUNTIFS(C328,"&gt;=36526",C328,"&lt;"&amp;TODAY())+COUNTIFS(D328,"&gt;=36526",D328,"&lt;"&amp;TODAY())+COUNTIFS(E328,"&gt;=36526",E328,"&lt;"&amp;TODAY())+COUNTIFS(F328,"&gt;=36526",F328,"&lt;"&amp;TODAY())&gt;0),1,0)</x:f>
        <x:v>0</x:v>
      </x:c>
      <x:c r="P328" t="n">
        <x:f>P327+IF(AND(A328&lt;&gt;"",COUNTIFS(C328,"&gt;=36526",C328,TODAY())+COUNTIFS(D328,"&gt;=36526",D328,TODAY())+COUNTIFS(E328,"&gt;=36526",E328,TODAY())+COUNTIFS(F328,"&gt;=36526",F328,TODAY())&gt;0),1,0)</x:f>
        <x:v>0</x:v>
      </x:c>
      <x:c r="Q328" t="n">
        <x:f>Q327+IF(AND(A328&lt;&gt;"",COUNTIFS(C328,"&gt;"&amp;TODAY(),C328,"&lt;="&amp;TODAY()+30)+COUNTIFS(D328,"&gt;"&amp;TODAY(),D328,"&lt;="&amp;TODAY()+30)+COUNTIFS(E328,"&gt;"&amp;TODAY(),E328,"&lt;="&amp;TODAY()+30)+COUNTIFS(F328,"&gt;"&amp;TODAY(),F328,"&lt;="&amp;TODAY()+30)&gt;0),1,0)</x:f>
        <x:v>0</x:v>
      </x:c>
      <x:c r="R328" t="n">
        <x:f>R327+IF(OR(LEFT(H328,15)="Missing dates; ",LEFT(H328,16)="Add N/A reason; ",H328="Add dates",H328="Add registration",H328="Check date format"),1,0)</x:f>
        <x:v>0</x:v>
      </x:c>
      <x:c r="S328" t="n">
        <x:f>S327+IF(COUNTIFS(C328:F328,"Reviewed N/A")&gt;0,1,0)</x:f>
        <x:v>0</x:v>
      </x:c>
    </x:row>
    <x:row r="329" ht="48" customHeight="1">
      <x:c r="A329" s="52"/>
      <x:c r="B329" s="52"/>
      <x:c r="C329" s="53"/>
      <x:c r="D329" s="53"/>
      <x:c r="E329" s="53"/>
      <x:c r="F329" s="53"/>
      <x:c r="G329" s="52"/>
      <x:c r="H329" s="21" t="str">
        <x:f>IF(COUNTA(A329:G329,I329)=0,"",IF(A329="","Add registration",IF(OR(COUNTA(C329:F329)&gt;COUNT(C329:F329)+COUNTIFS(C329:F329,"Reviewed N/A"),AND(COUNT(C329:F329)&gt;0,OR(MIN(C329:F329)&lt;36526,MAX(C329:F329)&gt;109574))),"Check date format",IF(AND(COUNTIFS(C329:F329,"Reviewed N/A")&gt;0,I329=""),"Add N/A reason; ","")&amp;IF(COUNT(C329:F329)=0,IF(COUNTIFS(C329:F329,"Reviewed N/A")=4,"No applicable dates recorded","Add dates"),IF(COUNT(C329:F329)+COUNTIFS(C329:F329,"Reviewed N/A")&lt;4,"Missing dates; ","")&amp;IF(MIN(C329:F329)&lt;TODAY(),"Overdue: ",IF(MIN(C329:F329)=TODAY(),"Due today: ",IF(MIN(C329:F329)&lt;=TODAY()+30,"Due within 30 days: ","Next: ")))&amp;INDEX($C$8:$F$8,1,MATCH(MIN(C329:F329),C329:F329,0))&amp;" "&amp;TEXT(MIN(C329:F329),"dd mmm yyyy")))))</x:f>
      </x:c>
      <x:c r="I329" s="52"/>
      <x:c r="J329" t="str">
        <x:f>IF(AND(A329&lt;&gt;"",COUNTIFS(C329,"&gt;=36526",C329,"&lt;"&amp;TODAY())+COUNTIFS(D329,"&gt;=36526",D329,"&lt;"&amp;TODAY())+COUNTIFS(E329,"&gt;=36526",E329,"&lt;"&amp;TODAY())+COUNTIFS(F329,"&gt;=36526",F329,"&lt;"&amp;TODAY())&gt;0),O329,"")</x:f>
      </x:c>
      <x:c r="K329" t="str">
        <x:f>IF(AND(A329&lt;&gt;"",COUNTIFS(C329,"&gt;=36526",C329,TODAY())+COUNTIFS(D329,"&gt;=36526",D329,TODAY())+COUNTIFS(E329,"&gt;=36526",E329,TODAY())+COUNTIFS(F329,"&gt;=36526",F329,TODAY())&gt;0),P329,"")</x:f>
      </x:c>
      <x:c r="L329" t="str">
        <x:f>IF(AND(A329&lt;&gt;"",COUNTIFS(C329,"&gt;"&amp;TODAY(),C329,"&lt;="&amp;TODAY()+30)+COUNTIFS(D329,"&gt;"&amp;TODAY(),D329,"&lt;="&amp;TODAY()+30)+COUNTIFS(E329,"&gt;"&amp;TODAY(),E329,"&lt;="&amp;TODAY()+30)+COUNTIFS(F329,"&gt;"&amp;TODAY(),F329,"&lt;="&amp;TODAY()+30)&gt;0),Q329,"")</x:f>
      </x:c>
      <x:c r="M329" t="str">
        <x:f>IF(OR(LEFT(H329,15)="Missing dates; ",LEFT(H329,16)="Add N/A reason; ",H329="Add dates",H329="Add registration",H329="Check date format"),R329,"")</x:f>
      </x:c>
      <x:c r="N329" t="str">
        <x:f>IF(COUNTIFS(C329:F329,"Reviewed N/A")&gt;0,S329,"")</x:f>
      </x:c>
      <x:c r="O329" t="n">
        <x:f>O328+IF(AND(A329&lt;&gt;"",COUNTIFS(C329,"&gt;=36526",C329,"&lt;"&amp;TODAY())+COUNTIFS(D329,"&gt;=36526",D329,"&lt;"&amp;TODAY())+COUNTIFS(E329,"&gt;=36526",E329,"&lt;"&amp;TODAY())+COUNTIFS(F329,"&gt;=36526",F329,"&lt;"&amp;TODAY())&gt;0),1,0)</x:f>
        <x:v>0</x:v>
      </x:c>
      <x:c r="P329" t="n">
        <x:f>P328+IF(AND(A329&lt;&gt;"",COUNTIFS(C329,"&gt;=36526",C329,TODAY())+COUNTIFS(D329,"&gt;=36526",D329,TODAY())+COUNTIFS(E329,"&gt;=36526",E329,TODAY())+COUNTIFS(F329,"&gt;=36526",F329,TODAY())&gt;0),1,0)</x:f>
        <x:v>0</x:v>
      </x:c>
      <x:c r="Q329" t="n">
        <x:f>Q328+IF(AND(A329&lt;&gt;"",COUNTIFS(C329,"&gt;"&amp;TODAY(),C329,"&lt;="&amp;TODAY()+30)+COUNTIFS(D329,"&gt;"&amp;TODAY(),D329,"&lt;="&amp;TODAY()+30)+COUNTIFS(E329,"&gt;"&amp;TODAY(),E329,"&lt;="&amp;TODAY()+30)+COUNTIFS(F329,"&gt;"&amp;TODAY(),F329,"&lt;="&amp;TODAY()+30)&gt;0),1,0)</x:f>
        <x:v>0</x:v>
      </x:c>
      <x:c r="R329" t="n">
        <x:f>R328+IF(OR(LEFT(H329,15)="Missing dates; ",LEFT(H329,16)="Add N/A reason; ",H329="Add dates",H329="Add registration",H329="Check date format"),1,0)</x:f>
        <x:v>0</x:v>
      </x:c>
      <x:c r="S329" t="n">
        <x:f>S328+IF(COUNTIFS(C329:F329,"Reviewed N/A")&gt;0,1,0)</x:f>
        <x:v>0</x:v>
      </x:c>
    </x:row>
    <x:row r="330" ht="48" customHeight="1">
      <x:c r="A330" s="52"/>
      <x:c r="B330" s="52"/>
      <x:c r="C330" s="53"/>
      <x:c r="D330" s="53"/>
      <x:c r="E330" s="53"/>
      <x:c r="F330" s="53"/>
      <x:c r="G330" s="52"/>
      <x:c r="H330" s="21" t="str">
        <x:f>IF(COUNTA(A330:G330,I330)=0,"",IF(A330="","Add registration",IF(OR(COUNTA(C330:F330)&gt;COUNT(C330:F330)+COUNTIFS(C330:F330,"Reviewed N/A"),AND(COUNT(C330:F330)&gt;0,OR(MIN(C330:F330)&lt;36526,MAX(C330:F330)&gt;109574))),"Check date format",IF(AND(COUNTIFS(C330:F330,"Reviewed N/A")&gt;0,I330=""),"Add N/A reason; ","")&amp;IF(COUNT(C330:F330)=0,IF(COUNTIFS(C330:F330,"Reviewed N/A")=4,"No applicable dates recorded","Add dates"),IF(COUNT(C330:F330)+COUNTIFS(C330:F330,"Reviewed N/A")&lt;4,"Missing dates; ","")&amp;IF(MIN(C330:F330)&lt;TODAY(),"Overdue: ",IF(MIN(C330:F330)=TODAY(),"Due today: ",IF(MIN(C330:F330)&lt;=TODAY()+30,"Due within 30 days: ","Next: ")))&amp;INDEX($C$8:$F$8,1,MATCH(MIN(C330:F330),C330:F330,0))&amp;" "&amp;TEXT(MIN(C330:F330),"dd mmm yyyy")))))</x:f>
      </x:c>
      <x:c r="I330" s="52"/>
      <x:c r="J330" t="str">
        <x:f>IF(AND(A330&lt;&gt;"",COUNTIFS(C330,"&gt;=36526",C330,"&lt;"&amp;TODAY())+COUNTIFS(D330,"&gt;=36526",D330,"&lt;"&amp;TODAY())+COUNTIFS(E330,"&gt;=36526",E330,"&lt;"&amp;TODAY())+COUNTIFS(F330,"&gt;=36526",F330,"&lt;"&amp;TODAY())&gt;0),O330,"")</x:f>
      </x:c>
      <x:c r="K330" t="str">
        <x:f>IF(AND(A330&lt;&gt;"",COUNTIFS(C330,"&gt;=36526",C330,TODAY())+COUNTIFS(D330,"&gt;=36526",D330,TODAY())+COUNTIFS(E330,"&gt;=36526",E330,TODAY())+COUNTIFS(F330,"&gt;=36526",F330,TODAY())&gt;0),P330,"")</x:f>
      </x:c>
      <x:c r="L330" t="str">
        <x:f>IF(AND(A330&lt;&gt;"",COUNTIFS(C330,"&gt;"&amp;TODAY(),C330,"&lt;="&amp;TODAY()+30)+COUNTIFS(D330,"&gt;"&amp;TODAY(),D330,"&lt;="&amp;TODAY()+30)+COUNTIFS(E330,"&gt;"&amp;TODAY(),E330,"&lt;="&amp;TODAY()+30)+COUNTIFS(F330,"&gt;"&amp;TODAY(),F330,"&lt;="&amp;TODAY()+30)&gt;0),Q330,"")</x:f>
      </x:c>
      <x:c r="M330" t="str">
        <x:f>IF(OR(LEFT(H330,15)="Missing dates; ",LEFT(H330,16)="Add N/A reason; ",H330="Add dates",H330="Add registration",H330="Check date format"),R330,"")</x:f>
      </x:c>
      <x:c r="N330" t="str">
        <x:f>IF(COUNTIFS(C330:F330,"Reviewed N/A")&gt;0,S330,"")</x:f>
      </x:c>
      <x:c r="O330" t="n">
        <x:f>O329+IF(AND(A330&lt;&gt;"",COUNTIFS(C330,"&gt;=36526",C330,"&lt;"&amp;TODAY())+COUNTIFS(D330,"&gt;=36526",D330,"&lt;"&amp;TODAY())+COUNTIFS(E330,"&gt;=36526",E330,"&lt;"&amp;TODAY())+COUNTIFS(F330,"&gt;=36526",F330,"&lt;"&amp;TODAY())&gt;0),1,0)</x:f>
        <x:v>0</x:v>
      </x:c>
      <x:c r="P330" t="n">
        <x:f>P329+IF(AND(A330&lt;&gt;"",COUNTIFS(C330,"&gt;=36526",C330,TODAY())+COUNTIFS(D330,"&gt;=36526",D330,TODAY())+COUNTIFS(E330,"&gt;=36526",E330,TODAY())+COUNTIFS(F330,"&gt;=36526",F330,TODAY())&gt;0),1,0)</x:f>
        <x:v>0</x:v>
      </x:c>
      <x:c r="Q330" t="n">
        <x:f>Q329+IF(AND(A330&lt;&gt;"",COUNTIFS(C330,"&gt;"&amp;TODAY(),C330,"&lt;="&amp;TODAY()+30)+COUNTIFS(D330,"&gt;"&amp;TODAY(),D330,"&lt;="&amp;TODAY()+30)+COUNTIFS(E330,"&gt;"&amp;TODAY(),E330,"&lt;="&amp;TODAY()+30)+COUNTIFS(F330,"&gt;"&amp;TODAY(),F330,"&lt;="&amp;TODAY()+30)&gt;0),1,0)</x:f>
        <x:v>0</x:v>
      </x:c>
      <x:c r="R330" t="n">
        <x:f>R329+IF(OR(LEFT(H330,15)="Missing dates; ",LEFT(H330,16)="Add N/A reason; ",H330="Add dates",H330="Add registration",H330="Check date format"),1,0)</x:f>
        <x:v>0</x:v>
      </x:c>
      <x:c r="S330" t="n">
        <x:f>S329+IF(COUNTIFS(C330:F330,"Reviewed N/A")&gt;0,1,0)</x:f>
        <x:v>0</x:v>
      </x:c>
    </x:row>
    <x:row r="331" ht="48" customHeight="1">
      <x:c r="A331" s="52"/>
      <x:c r="B331" s="52"/>
      <x:c r="C331" s="53"/>
      <x:c r="D331" s="53"/>
      <x:c r="E331" s="53"/>
      <x:c r="F331" s="53"/>
      <x:c r="G331" s="52"/>
      <x:c r="H331" s="21" t="str">
        <x:f>IF(COUNTA(A331:G331,I331)=0,"",IF(A331="","Add registration",IF(OR(COUNTA(C331:F331)&gt;COUNT(C331:F331)+COUNTIFS(C331:F331,"Reviewed N/A"),AND(COUNT(C331:F331)&gt;0,OR(MIN(C331:F331)&lt;36526,MAX(C331:F331)&gt;109574))),"Check date format",IF(AND(COUNTIFS(C331:F331,"Reviewed N/A")&gt;0,I331=""),"Add N/A reason; ","")&amp;IF(COUNT(C331:F331)=0,IF(COUNTIFS(C331:F331,"Reviewed N/A")=4,"No applicable dates recorded","Add dates"),IF(COUNT(C331:F331)+COUNTIFS(C331:F331,"Reviewed N/A")&lt;4,"Missing dates; ","")&amp;IF(MIN(C331:F331)&lt;TODAY(),"Overdue: ",IF(MIN(C331:F331)=TODAY(),"Due today: ",IF(MIN(C331:F331)&lt;=TODAY()+30,"Due within 30 days: ","Next: ")))&amp;INDEX($C$8:$F$8,1,MATCH(MIN(C331:F331),C331:F331,0))&amp;" "&amp;TEXT(MIN(C331:F331),"dd mmm yyyy")))))</x:f>
      </x:c>
      <x:c r="I331" s="52"/>
      <x:c r="J331" t="str">
        <x:f>IF(AND(A331&lt;&gt;"",COUNTIFS(C331,"&gt;=36526",C331,"&lt;"&amp;TODAY())+COUNTIFS(D331,"&gt;=36526",D331,"&lt;"&amp;TODAY())+COUNTIFS(E331,"&gt;=36526",E331,"&lt;"&amp;TODAY())+COUNTIFS(F331,"&gt;=36526",F331,"&lt;"&amp;TODAY())&gt;0),O331,"")</x:f>
      </x:c>
      <x:c r="K331" t="str">
        <x:f>IF(AND(A331&lt;&gt;"",COUNTIFS(C331,"&gt;=36526",C331,TODAY())+COUNTIFS(D331,"&gt;=36526",D331,TODAY())+COUNTIFS(E331,"&gt;=36526",E331,TODAY())+COUNTIFS(F331,"&gt;=36526",F331,TODAY())&gt;0),P331,"")</x:f>
      </x:c>
      <x:c r="L331" t="str">
        <x:f>IF(AND(A331&lt;&gt;"",COUNTIFS(C331,"&gt;"&amp;TODAY(),C331,"&lt;="&amp;TODAY()+30)+COUNTIFS(D331,"&gt;"&amp;TODAY(),D331,"&lt;="&amp;TODAY()+30)+COUNTIFS(E331,"&gt;"&amp;TODAY(),E331,"&lt;="&amp;TODAY()+30)+COUNTIFS(F331,"&gt;"&amp;TODAY(),F331,"&lt;="&amp;TODAY()+30)&gt;0),Q331,"")</x:f>
      </x:c>
      <x:c r="M331" t="str">
        <x:f>IF(OR(LEFT(H331,15)="Missing dates; ",LEFT(H331,16)="Add N/A reason; ",H331="Add dates",H331="Add registration",H331="Check date format"),R331,"")</x:f>
      </x:c>
      <x:c r="N331" t="str">
        <x:f>IF(COUNTIFS(C331:F331,"Reviewed N/A")&gt;0,S331,"")</x:f>
      </x:c>
      <x:c r="O331" t="n">
        <x:f>O330+IF(AND(A331&lt;&gt;"",COUNTIFS(C331,"&gt;=36526",C331,"&lt;"&amp;TODAY())+COUNTIFS(D331,"&gt;=36526",D331,"&lt;"&amp;TODAY())+COUNTIFS(E331,"&gt;=36526",E331,"&lt;"&amp;TODAY())+COUNTIFS(F331,"&gt;=36526",F331,"&lt;"&amp;TODAY())&gt;0),1,0)</x:f>
        <x:v>0</x:v>
      </x:c>
      <x:c r="P331" t="n">
        <x:f>P330+IF(AND(A331&lt;&gt;"",COUNTIFS(C331,"&gt;=36526",C331,TODAY())+COUNTIFS(D331,"&gt;=36526",D331,TODAY())+COUNTIFS(E331,"&gt;=36526",E331,TODAY())+COUNTIFS(F331,"&gt;=36526",F331,TODAY())&gt;0),1,0)</x:f>
        <x:v>0</x:v>
      </x:c>
      <x:c r="Q331" t="n">
        <x:f>Q330+IF(AND(A331&lt;&gt;"",COUNTIFS(C331,"&gt;"&amp;TODAY(),C331,"&lt;="&amp;TODAY()+30)+COUNTIFS(D331,"&gt;"&amp;TODAY(),D331,"&lt;="&amp;TODAY()+30)+COUNTIFS(E331,"&gt;"&amp;TODAY(),E331,"&lt;="&amp;TODAY()+30)+COUNTIFS(F331,"&gt;"&amp;TODAY(),F331,"&lt;="&amp;TODAY()+30)&gt;0),1,0)</x:f>
        <x:v>0</x:v>
      </x:c>
      <x:c r="R331" t="n">
        <x:f>R330+IF(OR(LEFT(H331,15)="Missing dates; ",LEFT(H331,16)="Add N/A reason; ",H331="Add dates",H331="Add registration",H331="Check date format"),1,0)</x:f>
        <x:v>0</x:v>
      </x:c>
      <x:c r="S331" t="n">
        <x:f>S330+IF(COUNTIFS(C331:F331,"Reviewed N/A")&gt;0,1,0)</x:f>
        <x:v>0</x:v>
      </x:c>
    </x:row>
    <x:row r="332" ht="48" customHeight="1">
      <x:c r="A332" s="52"/>
      <x:c r="B332" s="52"/>
      <x:c r="C332" s="53"/>
      <x:c r="D332" s="53"/>
      <x:c r="E332" s="53"/>
      <x:c r="F332" s="53"/>
      <x:c r="G332" s="52"/>
      <x:c r="H332" s="21" t="str">
        <x:f>IF(COUNTA(A332:G332,I332)=0,"",IF(A332="","Add registration",IF(OR(COUNTA(C332:F332)&gt;COUNT(C332:F332)+COUNTIFS(C332:F332,"Reviewed N/A"),AND(COUNT(C332:F332)&gt;0,OR(MIN(C332:F332)&lt;36526,MAX(C332:F332)&gt;109574))),"Check date format",IF(AND(COUNTIFS(C332:F332,"Reviewed N/A")&gt;0,I332=""),"Add N/A reason; ","")&amp;IF(COUNT(C332:F332)=0,IF(COUNTIFS(C332:F332,"Reviewed N/A")=4,"No applicable dates recorded","Add dates"),IF(COUNT(C332:F332)+COUNTIFS(C332:F332,"Reviewed N/A")&lt;4,"Missing dates; ","")&amp;IF(MIN(C332:F332)&lt;TODAY(),"Overdue: ",IF(MIN(C332:F332)=TODAY(),"Due today: ",IF(MIN(C332:F332)&lt;=TODAY()+30,"Due within 30 days: ","Next: ")))&amp;INDEX($C$8:$F$8,1,MATCH(MIN(C332:F332),C332:F332,0))&amp;" "&amp;TEXT(MIN(C332:F332),"dd mmm yyyy")))))</x:f>
      </x:c>
      <x:c r="I332" s="52"/>
      <x:c r="J332" t="str">
        <x:f>IF(AND(A332&lt;&gt;"",COUNTIFS(C332,"&gt;=36526",C332,"&lt;"&amp;TODAY())+COUNTIFS(D332,"&gt;=36526",D332,"&lt;"&amp;TODAY())+COUNTIFS(E332,"&gt;=36526",E332,"&lt;"&amp;TODAY())+COUNTIFS(F332,"&gt;=36526",F332,"&lt;"&amp;TODAY())&gt;0),O332,"")</x:f>
      </x:c>
      <x:c r="K332" t="str">
        <x:f>IF(AND(A332&lt;&gt;"",COUNTIFS(C332,"&gt;=36526",C332,TODAY())+COUNTIFS(D332,"&gt;=36526",D332,TODAY())+COUNTIFS(E332,"&gt;=36526",E332,TODAY())+COUNTIFS(F332,"&gt;=36526",F332,TODAY())&gt;0),P332,"")</x:f>
      </x:c>
      <x:c r="L332" t="str">
        <x:f>IF(AND(A332&lt;&gt;"",COUNTIFS(C332,"&gt;"&amp;TODAY(),C332,"&lt;="&amp;TODAY()+30)+COUNTIFS(D332,"&gt;"&amp;TODAY(),D332,"&lt;="&amp;TODAY()+30)+COUNTIFS(E332,"&gt;"&amp;TODAY(),E332,"&lt;="&amp;TODAY()+30)+COUNTIFS(F332,"&gt;"&amp;TODAY(),F332,"&lt;="&amp;TODAY()+30)&gt;0),Q332,"")</x:f>
      </x:c>
      <x:c r="M332" t="str">
        <x:f>IF(OR(LEFT(H332,15)="Missing dates; ",LEFT(H332,16)="Add N/A reason; ",H332="Add dates",H332="Add registration",H332="Check date format"),R332,"")</x:f>
      </x:c>
      <x:c r="N332" t="str">
        <x:f>IF(COUNTIFS(C332:F332,"Reviewed N/A")&gt;0,S332,"")</x:f>
      </x:c>
      <x:c r="O332" t="n">
        <x:f>O331+IF(AND(A332&lt;&gt;"",COUNTIFS(C332,"&gt;=36526",C332,"&lt;"&amp;TODAY())+COUNTIFS(D332,"&gt;=36526",D332,"&lt;"&amp;TODAY())+COUNTIFS(E332,"&gt;=36526",E332,"&lt;"&amp;TODAY())+COUNTIFS(F332,"&gt;=36526",F332,"&lt;"&amp;TODAY())&gt;0),1,0)</x:f>
        <x:v>0</x:v>
      </x:c>
      <x:c r="P332" t="n">
        <x:f>P331+IF(AND(A332&lt;&gt;"",COUNTIFS(C332,"&gt;=36526",C332,TODAY())+COUNTIFS(D332,"&gt;=36526",D332,TODAY())+COUNTIFS(E332,"&gt;=36526",E332,TODAY())+COUNTIFS(F332,"&gt;=36526",F332,TODAY())&gt;0),1,0)</x:f>
        <x:v>0</x:v>
      </x:c>
      <x:c r="Q332" t="n">
        <x:f>Q331+IF(AND(A332&lt;&gt;"",COUNTIFS(C332,"&gt;"&amp;TODAY(),C332,"&lt;="&amp;TODAY()+30)+COUNTIFS(D332,"&gt;"&amp;TODAY(),D332,"&lt;="&amp;TODAY()+30)+COUNTIFS(E332,"&gt;"&amp;TODAY(),E332,"&lt;="&amp;TODAY()+30)+COUNTIFS(F332,"&gt;"&amp;TODAY(),F332,"&lt;="&amp;TODAY()+30)&gt;0),1,0)</x:f>
        <x:v>0</x:v>
      </x:c>
      <x:c r="R332" t="n">
        <x:f>R331+IF(OR(LEFT(H332,15)="Missing dates; ",LEFT(H332,16)="Add N/A reason; ",H332="Add dates",H332="Add registration",H332="Check date format"),1,0)</x:f>
        <x:v>0</x:v>
      </x:c>
      <x:c r="S332" t="n">
        <x:f>S331+IF(COUNTIFS(C332:F332,"Reviewed N/A")&gt;0,1,0)</x:f>
        <x:v>0</x:v>
      </x:c>
    </x:row>
    <x:row r="333" ht="48" customHeight="1">
      <x:c r="A333" s="52"/>
      <x:c r="B333" s="52"/>
      <x:c r="C333" s="53"/>
      <x:c r="D333" s="53"/>
      <x:c r="E333" s="53"/>
      <x:c r="F333" s="53"/>
      <x:c r="G333" s="52"/>
      <x:c r="H333" s="21" t="str">
        <x:f>IF(COUNTA(A333:G333,I333)=0,"",IF(A333="","Add registration",IF(OR(COUNTA(C333:F333)&gt;COUNT(C333:F333)+COUNTIFS(C333:F333,"Reviewed N/A"),AND(COUNT(C333:F333)&gt;0,OR(MIN(C333:F333)&lt;36526,MAX(C333:F333)&gt;109574))),"Check date format",IF(AND(COUNTIFS(C333:F333,"Reviewed N/A")&gt;0,I333=""),"Add N/A reason; ","")&amp;IF(COUNT(C333:F333)=0,IF(COUNTIFS(C333:F333,"Reviewed N/A")=4,"No applicable dates recorded","Add dates"),IF(COUNT(C333:F333)+COUNTIFS(C333:F333,"Reviewed N/A")&lt;4,"Missing dates; ","")&amp;IF(MIN(C333:F333)&lt;TODAY(),"Overdue: ",IF(MIN(C333:F333)=TODAY(),"Due today: ",IF(MIN(C333:F333)&lt;=TODAY()+30,"Due within 30 days: ","Next: ")))&amp;INDEX($C$8:$F$8,1,MATCH(MIN(C333:F333),C333:F333,0))&amp;" "&amp;TEXT(MIN(C333:F333),"dd mmm yyyy")))))</x:f>
      </x:c>
      <x:c r="I333" s="52"/>
      <x:c r="J333" t="str">
        <x:f>IF(AND(A333&lt;&gt;"",COUNTIFS(C333,"&gt;=36526",C333,"&lt;"&amp;TODAY())+COUNTIFS(D333,"&gt;=36526",D333,"&lt;"&amp;TODAY())+COUNTIFS(E333,"&gt;=36526",E333,"&lt;"&amp;TODAY())+COUNTIFS(F333,"&gt;=36526",F333,"&lt;"&amp;TODAY())&gt;0),O333,"")</x:f>
      </x:c>
      <x:c r="K333" t="str">
        <x:f>IF(AND(A333&lt;&gt;"",COUNTIFS(C333,"&gt;=36526",C333,TODAY())+COUNTIFS(D333,"&gt;=36526",D333,TODAY())+COUNTIFS(E333,"&gt;=36526",E333,TODAY())+COUNTIFS(F333,"&gt;=36526",F333,TODAY())&gt;0),P333,"")</x:f>
      </x:c>
      <x:c r="L333" t="str">
        <x:f>IF(AND(A333&lt;&gt;"",COUNTIFS(C333,"&gt;"&amp;TODAY(),C333,"&lt;="&amp;TODAY()+30)+COUNTIFS(D333,"&gt;"&amp;TODAY(),D333,"&lt;="&amp;TODAY()+30)+COUNTIFS(E333,"&gt;"&amp;TODAY(),E333,"&lt;="&amp;TODAY()+30)+COUNTIFS(F333,"&gt;"&amp;TODAY(),F333,"&lt;="&amp;TODAY()+30)&gt;0),Q333,"")</x:f>
      </x:c>
      <x:c r="M333" t="str">
        <x:f>IF(OR(LEFT(H333,15)="Missing dates; ",LEFT(H333,16)="Add N/A reason; ",H333="Add dates",H333="Add registration",H333="Check date format"),R333,"")</x:f>
      </x:c>
      <x:c r="N333" t="str">
        <x:f>IF(COUNTIFS(C333:F333,"Reviewed N/A")&gt;0,S333,"")</x:f>
      </x:c>
      <x:c r="O333" t="n">
        <x:f>O332+IF(AND(A333&lt;&gt;"",COUNTIFS(C333,"&gt;=36526",C333,"&lt;"&amp;TODAY())+COUNTIFS(D333,"&gt;=36526",D333,"&lt;"&amp;TODAY())+COUNTIFS(E333,"&gt;=36526",E333,"&lt;"&amp;TODAY())+COUNTIFS(F333,"&gt;=36526",F333,"&lt;"&amp;TODAY())&gt;0),1,0)</x:f>
        <x:v>0</x:v>
      </x:c>
      <x:c r="P333" t="n">
        <x:f>P332+IF(AND(A333&lt;&gt;"",COUNTIFS(C333,"&gt;=36526",C333,TODAY())+COUNTIFS(D333,"&gt;=36526",D333,TODAY())+COUNTIFS(E333,"&gt;=36526",E333,TODAY())+COUNTIFS(F333,"&gt;=36526",F333,TODAY())&gt;0),1,0)</x:f>
        <x:v>0</x:v>
      </x:c>
      <x:c r="Q333" t="n">
        <x:f>Q332+IF(AND(A333&lt;&gt;"",COUNTIFS(C333,"&gt;"&amp;TODAY(),C333,"&lt;="&amp;TODAY()+30)+COUNTIFS(D333,"&gt;"&amp;TODAY(),D333,"&lt;="&amp;TODAY()+30)+COUNTIFS(E333,"&gt;"&amp;TODAY(),E333,"&lt;="&amp;TODAY()+30)+COUNTIFS(F333,"&gt;"&amp;TODAY(),F333,"&lt;="&amp;TODAY()+30)&gt;0),1,0)</x:f>
        <x:v>0</x:v>
      </x:c>
      <x:c r="R333" t="n">
        <x:f>R332+IF(OR(LEFT(H333,15)="Missing dates; ",LEFT(H333,16)="Add N/A reason; ",H333="Add dates",H333="Add registration",H333="Check date format"),1,0)</x:f>
        <x:v>0</x:v>
      </x:c>
      <x:c r="S333" t="n">
        <x:f>S332+IF(COUNTIFS(C333:F333,"Reviewed N/A")&gt;0,1,0)</x:f>
        <x:v>0</x:v>
      </x:c>
    </x:row>
    <x:row r="334" ht="48" customHeight="1">
      <x:c r="A334" s="52"/>
      <x:c r="B334" s="52"/>
      <x:c r="C334" s="53"/>
      <x:c r="D334" s="53"/>
      <x:c r="E334" s="53"/>
      <x:c r="F334" s="53"/>
      <x:c r="G334" s="52"/>
      <x:c r="H334" s="21" t="str">
        <x:f>IF(COUNTA(A334:G334,I334)=0,"",IF(A334="","Add registration",IF(OR(COUNTA(C334:F334)&gt;COUNT(C334:F334)+COUNTIFS(C334:F334,"Reviewed N/A"),AND(COUNT(C334:F334)&gt;0,OR(MIN(C334:F334)&lt;36526,MAX(C334:F334)&gt;109574))),"Check date format",IF(AND(COUNTIFS(C334:F334,"Reviewed N/A")&gt;0,I334=""),"Add N/A reason; ","")&amp;IF(COUNT(C334:F334)=0,IF(COUNTIFS(C334:F334,"Reviewed N/A")=4,"No applicable dates recorded","Add dates"),IF(COUNT(C334:F334)+COUNTIFS(C334:F334,"Reviewed N/A")&lt;4,"Missing dates; ","")&amp;IF(MIN(C334:F334)&lt;TODAY(),"Overdue: ",IF(MIN(C334:F334)=TODAY(),"Due today: ",IF(MIN(C334:F334)&lt;=TODAY()+30,"Due within 30 days: ","Next: ")))&amp;INDEX($C$8:$F$8,1,MATCH(MIN(C334:F334),C334:F334,0))&amp;" "&amp;TEXT(MIN(C334:F334),"dd mmm yyyy")))))</x:f>
      </x:c>
      <x:c r="I334" s="52"/>
      <x:c r="J334" t="str">
        <x:f>IF(AND(A334&lt;&gt;"",COUNTIFS(C334,"&gt;=36526",C334,"&lt;"&amp;TODAY())+COUNTIFS(D334,"&gt;=36526",D334,"&lt;"&amp;TODAY())+COUNTIFS(E334,"&gt;=36526",E334,"&lt;"&amp;TODAY())+COUNTIFS(F334,"&gt;=36526",F334,"&lt;"&amp;TODAY())&gt;0),O334,"")</x:f>
      </x:c>
      <x:c r="K334" t="str">
        <x:f>IF(AND(A334&lt;&gt;"",COUNTIFS(C334,"&gt;=36526",C334,TODAY())+COUNTIFS(D334,"&gt;=36526",D334,TODAY())+COUNTIFS(E334,"&gt;=36526",E334,TODAY())+COUNTIFS(F334,"&gt;=36526",F334,TODAY())&gt;0),P334,"")</x:f>
      </x:c>
      <x:c r="L334" t="str">
        <x:f>IF(AND(A334&lt;&gt;"",COUNTIFS(C334,"&gt;"&amp;TODAY(),C334,"&lt;="&amp;TODAY()+30)+COUNTIFS(D334,"&gt;"&amp;TODAY(),D334,"&lt;="&amp;TODAY()+30)+COUNTIFS(E334,"&gt;"&amp;TODAY(),E334,"&lt;="&amp;TODAY()+30)+COUNTIFS(F334,"&gt;"&amp;TODAY(),F334,"&lt;="&amp;TODAY()+30)&gt;0),Q334,"")</x:f>
      </x:c>
      <x:c r="M334" t="str">
        <x:f>IF(OR(LEFT(H334,15)="Missing dates; ",LEFT(H334,16)="Add N/A reason; ",H334="Add dates",H334="Add registration",H334="Check date format"),R334,"")</x:f>
      </x:c>
      <x:c r="N334" t="str">
        <x:f>IF(COUNTIFS(C334:F334,"Reviewed N/A")&gt;0,S334,"")</x:f>
      </x:c>
      <x:c r="O334" t="n">
        <x:f>O333+IF(AND(A334&lt;&gt;"",COUNTIFS(C334,"&gt;=36526",C334,"&lt;"&amp;TODAY())+COUNTIFS(D334,"&gt;=36526",D334,"&lt;"&amp;TODAY())+COUNTIFS(E334,"&gt;=36526",E334,"&lt;"&amp;TODAY())+COUNTIFS(F334,"&gt;=36526",F334,"&lt;"&amp;TODAY())&gt;0),1,0)</x:f>
        <x:v>0</x:v>
      </x:c>
      <x:c r="P334" t="n">
        <x:f>P333+IF(AND(A334&lt;&gt;"",COUNTIFS(C334,"&gt;=36526",C334,TODAY())+COUNTIFS(D334,"&gt;=36526",D334,TODAY())+COUNTIFS(E334,"&gt;=36526",E334,TODAY())+COUNTIFS(F334,"&gt;=36526",F334,TODAY())&gt;0),1,0)</x:f>
        <x:v>0</x:v>
      </x:c>
      <x:c r="Q334" t="n">
        <x:f>Q333+IF(AND(A334&lt;&gt;"",COUNTIFS(C334,"&gt;"&amp;TODAY(),C334,"&lt;="&amp;TODAY()+30)+COUNTIFS(D334,"&gt;"&amp;TODAY(),D334,"&lt;="&amp;TODAY()+30)+COUNTIFS(E334,"&gt;"&amp;TODAY(),E334,"&lt;="&amp;TODAY()+30)+COUNTIFS(F334,"&gt;"&amp;TODAY(),F334,"&lt;="&amp;TODAY()+30)&gt;0),1,0)</x:f>
        <x:v>0</x:v>
      </x:c>
      <x:c r="R334" t="n">
        <x:f>R333+IF(OR(LEFT(H334,15)="Missing dates; ",LEFT(H334,16)="Add N/A reason; ",H334="Add dates",H334="Add registration",H334="Check date format"),1,0)</x:f>
        <x:v>0</x:v>
      </x:c>
      <x:c r="S334" t="n">
        <x:f>S333+IF(COUNTIFS(C334:F334,"Reviewed N/A")&gt;0,1,0)</x:f>
        <x:v>0</x:v>
      </x:c>
    </x:row>
    <x:row r="335" ht="48" customHeight="1">
      <x:c r="A335" s="52"/>
      <x:c r="B335" s="52"/>
      <x:c r="C335" s="53"/>
      <x:c r="D335" s="53"/>
      <x:c r="E335" s="53"/>
      <x:c r="F335" s="53"/>
      <x:c r="G335" s="52"/>
      <x:c r="H335" s="21" t="str">
        <x:f>IF(COUNTA(A335:G335,I335)=0,"",IF(A335="","Add registration",IF(OR(COUNTA(C335:F335)&gt;COUNT(C335:F335)+COUNTIFS(C335:F335,"Reviewed N/A"),AND(COUNT(C335:F335)&gt;0,OR(MIN(C335:F335)&lt;36526,MAX(C335:F335)&gt;109574))),"Check date format",IF(AND(COUNTIFS(C335:F335,"Reviewed N/A")&gt;0,I335=""),"Add N/A reason; ","")&amp;IF(COUNT(C335:F335)=0,IF(COUNTIFS(C335:F335,"Reviewed N/A")=4,"No applicable dates recorded","Add dates"),IF(COUNT(C335:F335)+COUNTIFS(C335:F335,"Reviewed N/A")&lt;4,"Missing dates; ","")&amp;IF(MIN(C335:F335)&lt;TODAY(),"Overdue: ",IF(MIN(C335:F335)=TODAY(),"Due today: ",IF(MIN(C335:F335)&lt;=TODAY()+30,"Due within 30 days: ","Next: ")))&amp;INDEX($C$8:$F$8,1,MATCH(MIN(C335:F335),C335:F335,0))&amp;" "&amp;TEXT(MIN(C335:F335),"dd mmm yyyy")))))</x:f>
      </x:c>
      <x:c r="I335" s="52"/>
      <x:c r="J335" t="str">
        <x:f>IF(AND(A335&lt;&gt;"",COUNTIFS(C335,"&gt;=36526",C335,"&lt;"&amp;TODAY())+COUNTIFS(D335,"&gt;=36526",D335,"&lt;"&amp;TODAY())+COUNTIFS(E335,"&gt;=36526",E335,"&lt;"&amp;TODAY())+COUNTIFS(F335,"&gt;=36526",F335,"&lt;"&amp;TODAY())&gt;0),O335,"")</x:f>
      </x:c>
      <x:c r="K335" t="str">
        <x:f>IF(AND(A335&lt;&gt;"",COUNTIFS(C335,"&gt;=36526",C335,TODAY())+COUNTIFS(D335,"&gt;=36526",D335,TODAY())+COUNTIFS(E335,"&gt;=36526",E335,TODAY())+COUNTIFS(F335,"&gt;=36526",F335,TODAY())&gt;0),P335,"")</x:f>
      </x:c>
      <x:c r="L335" t="str">
        <x:f>IF(AND(A335&lt;&gt;"",COUNTIFS(C335,"&gt;"&amp;TODAY(),C335,"&lt;="&amp;TODAY()+30)+COUNTIFS(D335,"&gt;"&amp;TODAY(),D335,"&lt;="&amp;TODAY()+30)+COUNTIFS(E335,"&gt;"&amp;TODAY(),E335,"&lt;="&amp;TODAY()+30)+COUNTIFS(F335,"&gt;"&amp;TODAY(),F335,"&lt;="&amp;TODAY()+30)&gt;0),Q335,"")</x:f>
      </x:c>
      <x:c r="M335" t="str">
        <x:f>IF(OR(LEFT(H335,15)="Missing dates; ",LEFT(H335,16)="Add N/A reason; ",H335="Add dates",H335="Add registration",H335="Check date format"),R335,"")</x:f>
      </x:c>
      <x:c r="N335" t="str">
        <x:f>IF(COUNTIFS(C335:F335,"Reviewed N/A")&gt;0,S335,"")</x:f>
      </x:c>
      <x:c r="O335" t="n">
        <x:f>O334+IF(AND(A335&lt;&gt;"",COUNTIFS(C335,"&gt;=36526",C335,"&lt;"&amp;TODAY())+COUNTIFS(D335,"&gt;=36526",D335,"&lt;"&amp;TODAY())+COUNTIFS(E335,"&gt;=36526",E335,"&lt;"&amp;TODAY())+COUNTIFS(F335,"&gt;=36526",F335,"&lt;"&amp;TODAY())&gt;0),1,0)</x:f>
        <x:v>0</x:v>
      </x:c>
      <x:c r="P335" t="n">
        <x:f>P334+IF(AND(A335&lt;&gt;"",COUNTIFS(C335,"&gt;=36526",C335,TODAY())+COUNTIFS(D335,"&gt;=36526",D335,TODAY())+COUNTIFS(E335,"&gt;=36526",E335,TODAY())+COUNTIFS(F335,"&gt;=36526",F335,TODAY())&gt;0),1,0)</x:f>
        <x:v>0</x:v>
      </x:c>
      <x:c r="Q335" t="n">
        <x:f>Q334+IF(AND(A335&lt;&gt;"",COUNTIFS(C335,"&gt;"&amp;TODAY(),C335,"&lt;="&amp;TODAY()+30)+COUNTIFS(D335,"&gt;"&amp;TODAY(),D335,"&lt;="&amp;TODAY()+30)+COUNTIFS(E335,"&gt;"&amp;TODAY(),E335,"&lt;="&amp;TODAY()+30)+COUNTIFS(F335,"&gt;"&amp;TODAY(),F335,"&lt;="&amp;TODAY()+30)&gt;0),1,0)</x:f>
        <x:v>0</x:v>
      </x:c>
      <x:c r="R335" t="n">
        <x:f>R334+IF(OR(LEFT(H335,15)="Missing dates; ",LEFT(H335,16)="Add N/A reason; ",H335="Add dates",H335="Add registration",H335="Check date format"),1,0)</x:f>
        <x:v>0</x:v>
      </x:c>
      <x:c r="S335" t="n">
        <x:f>S334+IF(COUNTIFS(C335:F335,"Reviewed N/A")&gt;0,1,0)</x:f>
        <x:v>0</x:v>
      </x:c>
    </x:row>
    <x:row r="336" ht="48" customHeight="1">
      <x:c r="A336" s="52"/>
      <x:c r="B336" s="52"/>
      <x:c r="C336" s="53"/>
      <x:c r="D336" s="53"/>
      <x:c r="E336" s="53"/>
      <x:c r="F336" s="53"/>
      <x:c r="G336" s="52"/>
      <x:c r="H336" s="21" t="str">
        <x:f>IF(COUNTA(A336:G336,I336)=0,"",IF(A336="","Add registration",IF(OR(COUNTA(C336:F336)&gt;COUNT(C336:F336)+COUNTIFS(C336:F336,"Reviewed N/A"),AND(COUNT(C336:F336)&gt;0,OR(MIN(C336:F336)&lt;36526,MAX(C336:F336)&gt;109574))),"Check date format",IF(AND(COUNTIFS(C336:F336,"Reviewed N/A")&gt;0,I336=""),"Add N/A reason; ","")&amp;IF(COUNT(C336:F336)=0,IF(COUNTIFS(C336:F336,"Reviewed N/A")=4,"No applicable dates recorded","Add dates"),IF(COUNT(C336:F336)+COUNTIFS(C336:F336,"Reviewed N/A")&lt;4,"Missing dates; ","")&amp;IF(MIN(C336:F336)&lt;TODAY(),"Overdue: ",IF(MIN(C336:F336)=TODAY(),"Due today: ",IF(MIN(C336:F336)&lt;=TODAY()+30,"Due within 30 days: ","Next: ")))&amp;INDEX($C$8:$F$8,1,MATCH(MIN(C336:F336),C336:F336,0))&amp;" "&amp;TEXT(MIN(C336:F336),"dd mmm yyyy")))))</x:f>
      </x:c>
      <x:c r="I336" s="52"/>
      <x:c r="J336" t="str">
        <x:f>IF(AND(A336&lt;&gt;"",COUNTIFS(C336,"&gt;=36526",C336,"&lt;"&amp;TODAY())+COUNTIFS(D336,"&gt;=36526",D336,"&lt;"&amp;TODAY())+COUNTIFS(E336,"&gt;=36526",E336,"&lt;"&amp;TODAY())+COUNTIFS(F336,"&gt;=36526",F336,"&lt;"&amp;TODAY())&gt;0),O336,"")</x:f>
      </x:c>
      <x:c r="K336" t="str">
        <x:f>IF(AND(A336&lt;&gt;"",COUNTIFS(C336,"&gt;=36526",C336,TODAY())+COUNTIFS(D336,"&gt;=36526",D336,TODAY())+COUNTIFS(E336,"&gt;=36526",E336,TODAY())+COUNTIFS(F336,"&gt;=36526",F336,TODAY())&gt;0),P336,"")</x:f>
      </x:c>
      <x:c r="L336" t="str">
        <x:f>IF(AND(A336&lt;&gt;"",COUNTIFS(C336,"&gt;"&amp;TODAY(),C336,"&lt;="&amp;TODAY()+30)+COUNTIFS(D336,"&gt;"&amp;TODAY(),D336,"&lt;="&amp;TODAY()+30)+COUNTIFS(E336,"&gt;"&amp;TODAY(),E336,"&lt;="&amp;TODAY()+30)+COUNTIFS(F336,"&gt;"&amp;TODAY(),F336,"&lt;="&amp;TODAY()+30)&gt;0),Q336,"")</x:f>
      </x:c>
      <x:c r="M336" t="str">
        <x:f>IF(OR(LEFT(H336,15)="Missing dates; ",LEFT(H336,16)="Add N/A reason; ",H336="Add dates",H336="Add registration",H336="Check date format"),R336,"")</x:f>
      </x:c>
      <x:c r="N336" t="str">
        <x:f>IF(COUNTIFS(C336:F336,"Reviewed N/A")&gt;0,S336,"")</x:f>
      </x:c>
      <x:c r="O336" t="n">
        <x:f>O335+IF(AND(A336&lt;&gt;"",COUNTIFS(C336,"&gt;=36526",C336,"&lt;"&amp;TODAY())+COUNTIFS(D336,"&gt;=36526",D336,"&lt;"&amp;TODAY())+COUNTIFS(E336,"&gt;=36526",E336,"&lt;"&amp;TODAY())+COUNTIFS(F336,"&gt;=36526",F336,"&lt;"&amp;TODAY())&gt;0),1,0)</x:f>
        <x:v>0</x:v>
      </x:c>
      <x:c r="P336" t="n">
        <x:f>P335+IF(AND(A336&lt;&gt;"",COUNTIFS(C336,"&gt;=36526",C336,TODAY())+COUNTIFS(D336,"&gt;=36526",D336,TODAY())+COUNTIFS(E336,"&gt;=36526",E336,TODAY())+COUNTIFS(F336,"&gt;=36526",F336,TODAY())&gt;0),1,0)</x:f>
        <x:v>0</x:v>
      </x:c>
      <x:c r="Q336" t="n">
        <x:f>Q335+IF(AND(A336&lt;&gt;"",COUNTIFS(C336,"&gt;"&amp;TODAY(),C336,"&lt;="&amp;TODAY()+30)+COUNTIFS(D336,"&gt;"&amp;TODAY(),D336,"&lt;="&amp;TODAY()+30)+COUNTIFS(E336,"&gt;"&amp;TODAY(),E336,"&lt;="&amp;TODAY()+30)+COUNTIFS(F336,"&gt;"&amp;TODAY(),F336,"&lt;="&amp;TODAY()+30)&gt;0),1,0)</x:f>
        <x:v>0</x:v>
      </x:c>
      <x:c r="R336" t="n">
        <x:f>R335+IF(OR(LEFT(H336,15)="Missing dates; ",LEFT(H336,16)="Add N/A reason; ",H336="Add dates",H336="Add registration",H336="Check date format"),1,0)</x:f>
        <x:v>0</x:v>
      </x:c>
      <x:c r="S336" t="n">
        <x:f>S335+IF(COUNTIFS(C336:F336,"Reviewed N/A")&gt;0,1,0)</x:f>
        <x:v>0</x:v>
      </x:c>
    </x:row>
    <x:row r="337" ht="48" customHeight="1">
      <x:c r="A337" s="52"/>
      <x:c r="B337" s="52"/>
      <x:c r="C337" s="53"/>
      <x:c r="D337" s="53"/>
      <x:c r="E337" s="53"/>
      <x:c r="F337" s="53"/>
      <x:c r="G337" s="52"/>
      <x:c r="H337" s="21" t="str">
        <x:f>IF(COUNTA(A337:G337,I337)=0,"",IF(A337="","Add registration",IF(OR(COUNTA(C337:F337)&gt;COUNT(C337:F337)+COUNTIFS(C337:F337,"Reviewed N/A"),AND(COUNT(C337:F337)&gt;0,OR(MIN(C337:F337)&lt;36526,MAX(C337:F337)&gt;109574))),"Check date format",IF(AND(COUNTIFS(C337:F337,"Reviewed N/A")&gt;0,I337=""),"Add N/A reason; ","")&amp;IF(COUNT(C337:F337)=0,IF(COUNTIFS(C337:F337,"Reviewed N/A")=4,"No applicable dates recorded","Add dates"),IF(COUNT(C337:F337)+COUNTIFS(C337:F337,"Reviewed N/A")&lt;4,"Missing dates; ","")&amp;IF(MIN(C337:F337)&lt;TODAY(),"Overdue: ",IF(MIN(C337:F337)=TODAY(),"Due today: ",IF(MIN(C337:F337)&lt;=TODAY()+30,"Due within 30 days: ","Next: ")))&amp;INDEX($C$8:$F$8,1,MATCH(MIN(C337:F337),C337:F337,0))&amp;" "&amp;TEXT(MIN(C337:F337),"dd mmm yyyy")))))</x:f>
      </x:c>
      <x:c r="I337" s="52"/>
      <x:c r="J337" t="str">
        <x:f>IF(AND(A337&lt;&gt;"",COUNTIFS(C337,"&gt;=36526",C337,"&lt;"&amp;TODAY())+COUNTIFS(D337,"&gt;=36526",D337,"&lt;"&amp;TODAY())+COUNTIFS(E337,"&gt;=36526",E337,"&lt;"&amp;TODAY())+COUNTIFS(F337,"&gt;=36526",F337,"&lt;"&amp;TODAY())&gt;0),O337,"")</x:f>
      </x:c>
      <x:c r="K337" t="str">
        <x:f>IF(AND(A337&lt;&gt;"",COUNTIFS(C337,"&gt;=36526",C337,TODAY())+COUNTIFS(D337,"&gt;=36526",D337,TODAY())+COUNTIFS(E337,"&gt;=36526",E337,TODAY())+COUNTIFS(F337,"&gt;=36526",F337,TODAY())&gt;0),P337,"")</x:f>
      </x:c>
      <x:c r="L337" t="str">
        <x:f>IF(AND(A337&lt;&gt;"",COUNTIFS(C337,"&gt;"&amp;TODAY(),C337,"&lt;="&amp;TODAY()+30)+COUNTIFS(D337,"&gt;"&amp;TODAY(),D337,"&lt;="&amp;TODAY()+30)+COUNTIFS(E337,"&gt;"&amp;TODAY(),E337,"&lt;="&amp;TODAY()+30)+COUNTIFS(F337,"&gt;"&amp;TODAY(),F337,"&lt;="&amp;TODAY()+30)&gt;0),Q337,"")</x:f>
      </x:c>
      <x:c r="M337" t="str">
        <x:f>IF(OR(LEFT(H337,15)="Missing dates; ",LEFT(H337,16)="Add N/A reason; ",H337="Add dates",H337="Add registration",H337="Check date format"),R337,"")</x:f>
      </x:c>
      <x:c r="N337" t="str">
        <x:f>IF(COUNTIFS(C337:F337,"Reviewed N/A")&gt;0,S337,"")</x:f>
      </x:c>
      <x:c r="O337" t="n">
        <x:f>O336+IF(AND(A337&lt;&gt;"",COUNTIFS(C337,"&gt;=36526",C337,"&lt;"&amp;TODAY())+COUNTIFS(D337,"&gt;=36526",D337,"&lt;"&amp;TODAY())+COUNTIFS(E337,"&gt;=36526",E337,"&lt;"&amp;TODAY())+COUNTIFS(F337,"&gt;=36526",F337,"&lt;"&amp;TODAY())&gt;0),1,0)</x:f>
        <x:v>0</x:v>
      </x:c>
      <x:c r="P337" t="n">
        <x:f>P336+IF(AND(A337&lt;&gt;"",COUNTIFS(C337,"&gt;=36526",C337,TODAY())+COUNTIFS(D337,"&gt;=36526",D337,TODAY())+COUNTIFS(E337,"&gt;=36526",E337,TODAY())+COUNTIFS(F337,"&gt;=36526",F337,TODAY())&gt;0),1,0)</x:f>
        <x:v>0</x:v>
      </x:c>
      <x:c r="Q337" t="n">
        <x:f>Q336+IF(AND(A337&lt;&gt;"",COUNTIFS(C337,"&gt;"&amp;TODAY(),C337,"&lt;="&amp;TODAY()+30)+COUNTIFS(D337,"&gt;"&amp;TODAY(),D337,"&lt;="&amp;TODAY()+30)+COUNTIFS(E337,"&gt;"&amp;TODAY(),E337,"&lt;="&amp;TODAY()+30)+COUNTIFS(F337,"&gt;"&amp;TODAY(),F337,"&lt;="&amp;TODAY()+30)&gt;0),1,0)</x:f>
        <x:v>0</x:v>
      </x:c>
      <x:c r="R337" t="n">
        <x:f>R336+IF(OR(LEFT(H337,15)="Missing dates; ",LEFT(H337,16)="Add N/A reason; ",H337="Add dates",H337="Add registration",H337="Check date format"),1,0)</x:f>
        <x:v>0</x:v>
      </x:c>
      <x:c r="S337" t="n">
        <x:f>S336+IF(COUNTIFS(C337:F337,"Reviewed N/A")&gt;0,1,0)</x:f>
        <x:v>0</x:v>
      </x:c>
    </x:row>
    <x:row r="338" ht="48" customHeight="1">
      <x:c r="A338" s="52"/>
      <x:c r="B338" s="52"/>
      <x:c r="C338" s="53"/>
      <x:c r="D338" s="53"/>
      <x:c r="E338" s="53"/>
      <x:c r="F338" s="53"/>
      <x:c r="G338" s="52"/>
      <x:c r="H338" s="21" t="str">
        <x:f>IF(COUNTA(A338:G338,I338)=0,"",IF(A338="","Add registration",IF(OR(COUNTA(C338:F338)&gt;COUNT(C338:F338)+COUNTIFS(C338:F338,"Reviewed N/A"),AND(COUNT(C338:F338)&gt;0,OR(MIN(C338:F338)&lt;36526,MAX(C338:F338)&gt;109574))),"Check date format",IF(AND(COUNTIFS(C338:F338,"Reviewed N/A")&gt;0,I338=""),"Add N/A reason; ","")&amp;IF(COUNT(C338:F338)=0,IF(COUNTIFS(C338:F338,"Reviewed N/A")=4,"No applicable dates recorded","Add dates"),IF(COUNT(C338:F338)+COUNTIFS(C338:F338,"Reviewed N/A")&lt;4,"Missing dates; ","")&amp;IF(MIN(C338:F338)&lt;TODAY(),"Overdue: ",IF(MIN(C338:F338)=TODAY(),"Due today: ",IF(MIN(C338:F338)&lt;=TODAY()+30,"Due within 30 days: ","Next: ")))&amp;INDEX($C$8:$F$8,1,MATCH(MIN(C338:F338),C338:F338,0))&amp;" "&amp;TEXT(MIN(C338:F338),"dd mmm yyyy")))))</x:f>
      </x:c>
      <x:c r="I338" s="52"/>
      <x:c r="J338" t="str">
        <x:f>IF(AND(A338&lt;&gt;"",COUNTIFS(C338,"&gt;=36526",C338,"&lt;"&amp;TODAY())+COUNTIFS(D338,"&gt;=36526",D338,"&lt;"&amp;TODAY())+COUNTIFS(E338,"&gt;=36526",E338,"&lt;"&amp;TODAY())+COUNTIFS(F338,"&gt;=36526",F338,"&lt;"&amp;TODAY())&gt;0),O338,"")</x:f>
      </x:c>
      <x:c r="K338" t="str">
        <x:f>IF(AND(A338&lt;&gt;"",COUNTIFS(C338,"&gt;=36526",C338,TODAY())+COUNTIFS(D338,"&gt;=36526",D338,TODAY())+COUNTIFS(E338,"&gt;=36526",E338,TODAY())+COUNTIFS(F338,"&gt;=36526",F338,TODAY())&gt;0),P338,"")</x:f>
      </x:c>
      <x:c r="L338" t="str">
        <x:f>IF(AND(A338&lt;&gt;"",COUNTIFS(C338,"&gt;"&amp;TODAY(),C338,"&lt;="&amp;TODAY()+30)+COUNTIFS(D338,"&gt;"&amp;TODAY(),D338,"&lt;="&amp;TODAY()+30)+COUNTIFS(E338,"&gt;"&amp;TODAY(),E338,"&lt;="&amp;TODAY()+30)+COUNTIFS(F338,"&gt;"&amp;TODAY(),F338,"&lt;="&amp;TODAY()+30)&gt;0),Q338,"")</x:f>
      </x:c>
      <x:c r="M338" t="str">
        <x:f>IF(OR(LEFT(H338,15)="Missing dates; ",LEFT(H338,16)="Add N/A reason; ",H338="Add dates",H338="Add registration",H338="Check date format"),R338,"")</x:f>
      </x:c>
      <x:c r="N338" t="str">
        <x:f>IF(COUNTIFS(C338:F338,"Reviewed N/A")&gt;0,S338,"")</x:f>
      </x:c>
      <x:c r="O338" t="n">
        <x:f>O337+IF(AND(A338&lt;&gt;"",COUNTIFS(C338,"&gt;=36526",C338,"&lt;"&amp;TODAY())+COUNTIFS(D338,"&gt;=36526",D338,"&lt;"&amp;TODAY())+COUNTIFS(E338,"&gt;=36526",E338,"&lt;"&amp;TODAY())+COUNTIFS(F338,"&gt;=36526",F338,"&lt;"&amp;TODAY())&gt;0),1,0)</x:f>
        <x:v>0</x:v>
      </x:c>
      <x:c r="P338" t="n">
        <x:f>P337+IF(AND(A338&lt;&gt;"",COUNTIFS(C338,"&gt;=36526",C338,TODAY())+COUNTIFS(D338,"&gt;=36526",D338,TODAY())+COUNTIFS(E338,"&gt;=36526",E338,TODAY())+COUNTIFS(F338,"&gt;=36526",F338,TODAY())&gt;0),1,0)</x:f>
        <x:v>0</x:v>
      </x:c>
      <x:c r="Q338" t="n">
        <x:f>Q337+IF(AND(A338&lt;&gt;"",COUNTIFS(C338,"&gt;"&amp;TODAY(),C338,"&lt;="&amp;TODAY()+30)+COUNTIFS(D338,"&gt;"&amp;TODAY(),D338,"&lt;="&amp;TODAY()+30)+COUNTIFS(E338,"&gt;"&amp;TODAY(),E338,"&lt;="&amp;TODAY()+30)+COUNTIFS(F338,"&gt;"&amp;TODAY(),F338,"&lt;="&amp;TODAY()+30)&gt;0),1,0)</x:f>
        <x:v>0</x:v>
      </x:c>
      <x:c r="R338" t="n">
        <x:f>R337+IF(OR(LEFT(H338,15)="Missing dates; ",LEFT(H338,16)="Add N/A reason; ",H338="Add dates",H338="Add registration",H338="Check date format"),1,0)</x:f>
        <x:v>0</x:v>
      </x:c>
      <x:c r="S338" t="n">
        <x:f>S337+IF(COUNTIFS(C338:F338,"Reviewed N/A")&gt;0,1,0)</x:f>
        <x:v>0</x:v>
      </x:c>
    </x:row>
    <x:row r="339" ht="48" customHeight="1">
      <x:c r="A339" s="52"/>
      <x:c r="B339" s="52"/>
      <x:c r="C339" s="53"/>
      <x:c r="D339" s="53"/>
      <x:c r="E339" s="53"/>
      <x:c r="F339" s="53"/>
      <x:c r="G339" s="52"/>
      <x:c r="H339" s="21" t="str">
        <x:f>IF(COUNTA(A339:G339,I339)=0,"",IF(A339="","Add registration",IF(OR(COUNTA(C339:F339)&gt;COUNT(C339:F339)+COUNTIFS(C339:F339,"Reviewed N/A"),AND(COUNT(C339:F339)&gt;0,OR(MIN(C339:F339)&lt;36526,MAX(C339:F339)&gt;109574))),"Check date format",IF(AND(COUNTIFS(C339:F339,"Reviewed N/A")&gt;0,I339=""),"Add N/A reason; ","")&amp;IF(COUNT(C339:F339)=0,IF(COUNTIFS(C339:F339,"Reviewed N/A")=4,"No applicable dates recorded","Add dates"),IF(COUNT(C339:F339)+COUNTIFS(C339:F339,"Reviewed N/A")&lt;4,"Missing dates; ","")&amp;IF(MIN(C339:F339)&lt;TODAY(),"Overdue: ",IF(MIN(C339:F339)=TODAY(),"Due today: ",IF(MIN(C339:F339)&lt;=TODAY()+30,"Due within 30 days: ","Next: ")))&amp;INDEX($C$8:$F$8,1,MATCH(MIN(C339:F339),C339:F339,0))&amp;" "&amp;TEXT(MIN(C339:F339),"dd mmm yyyy")))))</x:f>
      </x:c>
      <x:c r="I339" s="52"/>
      <x:c r="J339" t="str">
        <x:f>IF(AND(A339&lt;&gt;"",COUNTIFS(C339,"&gt;=36526",C339,"&lt;"&amp;TODAY())+COUNTIFS(D339,"&gt;=36526",D339,"&lt;"&amp;TODAY())+COUNTIFS(E339,"&gt;=36526",E339,"&lt;"&amp;TODAY())+COUNTIFS(F339,"&gt;=36526",F339,"&lt;"&amp;TODAY())&gt;0),O339,"")</x:f>
      </x:c>
      <x:c r="K339" t="str">
        <x:f>IF(AND(A339&lt;&gt;"",COUNTIFS(C339,"&gt;=36526",C339,TODAY())+COUNTIFS(D339,"&gt;=36526",D339,TODAY())+COUNTIFS(E339,"&gt;=36526",E339,TODAY())+COUNTIFS(F339,"&gt;=36526",F339,TODAY())&gt;0),P339,"")</x:f>
      </x:c>
      <x:c r="L339" t="str">
        <x:f>IF(AND(A339&lt;&gt;"",COUNTIFS(C339,"&gt;"&amp;TODAY(),C339,"&lt;="&amp;TODAY()+30)+COUNTIFS(D339,"&gt;"&amp;TODAY(),D339,"&lt;="&amp;TODAY()+30)+COUNTIFS(E339,"&gt;"&amp;TODAY(),E339,"&lt;="&amp;TODAY()+30)+COUNTIFS(F339,"&gt;"&amp;TODAY(),F339,"&lt;="&amp;TODAY()+30)&gt;0),Q339,"")</x:f>
      </x:c>
      <x:c r="M339" t="str">
        <x:f>IF(OR(LEFT(H339,15)="Missing dates; ",LEFT(H339,16)="Add N/A reason; ",H339="Add dates",H339="Add registration",H339="Check date format"),R339,"")</x:f>
      </x:c>
      <x:c r="N339" t="str">
        <x:f>IF(COUNTIFS(C339:F339,"Reviewed N/A")&gt;0,S339,"")</x:f>
      </x:c>
      <x:c r="O339" t="n">
        <x:f>O338+IF(AND(A339&lt;&gt;"",COUNTIFS(C339,"&gt;=36526",C339,"&lt;"&amp;TODAY())+COUNTIFS(D339,"&gt;=36526",D339,"&lt;"&amp;TODAY())+COUNTIFS(E339,"&gt;=36526",E339,"&lt;"&amp;TODAY())+COUNTIFS(F339,"&gt;=36526",F339,"&lt;"&amp;TODAY())&gt;0),1,0)</x:f>
        <x:v>0</x:v>
      </x:c>
      <x:c r="P339" t="n">
        <x:f>P338+IF(AND(A339&lt;&gt;"",COUNTIFS(C339,"&gt;=36526",C339,TODAY())+COUNTIFS(D339,"&gt;=36526",D339,TODAY())+COUNTIFS(E339,"&gt;=36526",E339,TODAY())+COUNTIFS(F339,"&gt;=36526",F339,TODAY())&gt;0),1,0)</x:f>
        <x:v>0</x:v>
      </x:c>
      <x:c r="Q339" t="n">
        <x:f>Q338+IF(AND(A339&lt;&gt;"",COUNTIFS(C339,"&gt;"&amp;TODAY(),C339,"&lt;="&amp;TODAY()+30)+COUNTIFS(D339,"&gt;"&amp;TODAY(),D339,"&lt;="&amp;TODAY()+30)+COUNTIFS(E339,"&gt;"&amp;TODAY(),E339,"&lt;="&amp;TODAY()+30)+COUNTIFS(F339,"&gt;"&amp;TODAY(),F339,"&lt;="&amp;TODAY()+30)&gt;0),1,0)</x:f>
        <x:v>0</x:v>
      </x:c>
      <x:c r="R339" t="n">
        <x:f>R338+IF(OR(LEFT(H339,15)="Missing dates; ",LEFT(H339,16)="Add N/A reason; ",H339="Add dates",H339="Add registration",H339="Check date format"),1,0)</x:f>
        <x:v>0</x:v>
      </x:c>
      <x:c r="S339" t="n">
        <x:f>S338+IF(COUNTIFS(C339:F339,"Reviewed N/A")&gt;0,1,0)</x:f>
        <x:v>0</x:v>
      </x:c>
    </x:row>
    <x:row r="340" ht="48" customHeight="1">
      <x:c r="A340" s="52"/>
      <x:c r="B340" s="52"/>
      <x:c r="C340" s="53"/>
      <x:c r="D340" s="53"/>
      <x:c r="E340" s="53"/>
      <x:c r="F340" s="53"/>
      <x:c r="G340" s="52"/>
      <x:c r="H340" s="21" t="str">
        <x:f>IF(COUNTA(A340:G340,I340)=0,"",IF(A340="","Add registration",IF(OR(COUNTA(C340:F340)&gt;COUNT(C340:F340)+COUNTIFS(C340:F340,"Reviewed N/A"),AND(COUNT(C340:F340)&gt;0,OR(MIN(C340:F340)&lt;36526,MAX(C340:F340)&gt;109574))),"Check date format",IF(AND(COUNTIFS(C340:F340,"Reviewed N/A")&gt;0,I340=""),"Add N/A reason; ","")&amp;IF(COUNT(C340:F340)=0,IF(COUNTIFS(C340:F340,"Reviewed N/A")=4,"No applicable dates recorded","Add dates"),IF(COUNT(C340:F340)+COUNTIFS(C340:F340,"Reviewed N/A")&lt;4,"Missing dates; ","")&amp;IF(MIN(C340:F340)&lt;TODAY(),"Overdue: ",IF(MIN(C340:F340)=TODAY(),"Due today: ",IF(MIN(C340:F340)&lt;=TODAY()+30,"Due within 30 days: ","Next: ")))&amp;INDEX($C$8:$F$8,1,MATCH(MIN(C340:F340),C340:F340,0))&amp;" "&amp;TEXT(MIN(C340:F340),"dd mmm yyyy")))))</x:f>
      </x:c>
      <x:c r="I340" s="52"/>
      <x:c r="J340" t="str">
        <x:f>IF(AND(A340&lt;&gt;"",COUNTIFS(C340,"&gt;=36526",C340,"&lt;"&amp;TODAY())+COUNTIFS(D340,"&gt;=36526",D340,"&lt;"&amp;TODAY())+COUNTIFS(E340,"&gt;=36526",E340,"&lt;"&amp;TODAY())+COUNTIFS(F340,"&gt;=36526",F340,"&lt;"&amp;TODAY())&gt;0),O340,"")</x:f>
      </x:c>
      <x:c r="K340" t="str">
        <x:f>IF(AND(A340&lt;&gt;"",COUNTIFS(C340,"&gt;=36526",C340,TODAY())+COUNTIFS(D340,"&gt;=36526",D340,TODAY())+COUNTIFS(E340,"&gt;=36526",E340,TODAY())+COUNTIFS(F340,"&gt;=36526",F340,TODAY())&gt;0),P340,"")</x:f>
      </x:c>
      <x:c r="L340" t="str">
        <x:f>IF(AND(A340&lt;&gt;"",COUNTIFS(C340,"&gt;"&amp;TODAY(),C340,"&lt;="&amp;TODAY()+30)+COUNTIFS(D340,"&gt;"&amp;TODAY(),D340,"&lt;="&amp;TODAY()+30)+COUNTIFS(E340,"&gt;"&amp;TODAY(),E340,"&lt;="&amp;TODAY()+30)+COUNTIFS(F340,"&gt;"&amp;TODAY(),F340,"&lt;="&amp;TODAY()+30)&gt;0),Q340,"")</x:f>
      </x:c>
      <x:c r="M340" t="str">
        <x:f>IF(OR(LEFT(H340,15)="Missing dates; ",LEFT(H340,16)="Add N/A reason; ",H340="Add dates",H340="Add registration",H340="Check date format"),R340,"")</x:f>
      </x:c>
      <x:c r="N340" t="str">
        <x:f>IF(COUNTIFS(C340:F340,"Reviewed N/A")&gt;0,S340,"")</x:f>
      </x:c>
      <x:c r="O340" t="n">
        <x:f>O339+IF(AND(A340&lt;&gt;"",COUNTIFS(C340,"&gt;=36526",C340,"&lt;"&amp;TODAY())+COUNTIFS(D340,"&gt;=36526",D340,"&lt;"&amp;TODAY())+COUNTIFS(E340,"&gt;=36526",E340,"&lt;"&amp;TODAY())+COUNTIFS(F340,"&gt;=36526",F340,"&lt;"&amp;TODAY())&gt;0),1,0)</x:f>
        <x:v>0</x:v>
      </x:c>
      <x:c r="P340" t="n">
        <x:f>P339+IF(AND(A340&lt;&gt;"",COUNTIFS(C340,"&gt;=36526",C340,TODAY())+COUNTIFS(D340,"&gt;=36526",D340,TODAY())+COUNTIFS(E340,"&gt;=36526",E340,TODAY())+COUNTIFS(F340,"&gt;=36526",F340,TODAY())&gt;0),1,0)</x:f>
        <x:v>0</x:v>
      </x:c>
      <x:c r="Q340" t="n">
        <x:f>Q339+IF(AND(A340&lt;&gt;"",COUNTIFS(C340,"&gt;"&amp;TODAY(),C340,"&lt;="&amp;TODAY()+30)+COUNTIFS(D340,"&gt;"&amp;TODAY(),D340,"&lt;="&amp;TODAY()+30)+COUNTIFS(E340,"&gt;"&amp;TODAY(),E340,"&lt;="&amp;TODAY()+30)+COUNTIFS(F340,"&gt;"&amp;TODAY(),F340,"&lt;="&amp;TODAY()+30)&gt;0),1,0)</x:f>
        <x:v>0</x:v>
      </x:c>
      <x:c r="R340" t="n">
        <x:f>R339+IF(OR(LEFT(H340,15)="Missing dates; ",LEFT(H340,16)="Add N/A reason; ",H340="Add dates",H340="Add registration",H340="Check date format"),1,0)</x:f>
        <x:v>0</x:v>
      </x:c>
      <x:c r="S340" t="n">
        <x:f>S339+IF(COUNTIFS(C340:F340,"Reviewed N/A")&gt;0,1,0)</x:f>
        <x:v>0</x:v>
      </x:c>
    </x:row>
    <x:row r="341" ht="48" customHeight="1">
      <x:c r="A341" s="52"/>
      <x:c r="B341" s="52"/>
      <x:c r="C341" s="53"/>
      <x:c r="D341" s="53"/>
      <x:c r="E341" s="53"/>
      <x:c r="F341" s="53"/>
      <x:c r="G341" s="52"/>
      <x:c r="H341" s="21" t="str">
        <x:f>IF(COUNTA(A341:G341,I341)=0,"",IF(A341="","Add registration",IF(OR(COUNTA(C341:F341)&gt;COUNT(C341:F341)+COUNTIFS(C341:F341,"Reviewed N/A"),AND(COUNT(C341:F341)&gt;0,OR(MIN(C341:F341)&lt;36526,MAX(C341:F341)&gt;109574))),"Check date format",IF(AND(COUNTIFS(C341:F341,"Reviewed N/A")&gt;0,I341=""),"Add N/A reason; ","")&amp;IF(COUNT(C341:F341)=0,IF(COUNTIFS(C341:F341,"Reviewed N/A")=4,"No applicable dates recorded","Add dates"),IF(COUNT(C341:F341)+COUNTIFS(C341:F341,"Reviewed N/A")&lt;4,"Missing dates; ","")&amp;IF(MIN(C341:F341)&lt;TODAY(),"Overdue: ",IF(MIN(C341:F341)=TODAY(),"Due today: ",IF(MIN(C341:F341)&lt;=TODAY()+30,"Due within 30 days: ","Next: ")))&amp;INDEX($C$8:$F$8,1,MATCH(MIN(C341:F341),C341:F341,0))&amp;" "&amp;TEXT(MIN(C341:F341),"dd mmm yyyy")))))</x:f>
      </x:c>
      <x:c r="I341" s="52"/>
      <x:c r="J341" t="str">
        <x:f>IF(AND(A341&lt;&gt;"",COUNTIFS(C341,"&gt;=36526",C341,"&lt;"&amp;TODAY())+COUNTIFS(D341,"&gt;=36526",D341,"&lt;"&amp;TODAY())+COUNTIFS(E341,"&gt;=36526",E341,"&lt;"&amp;TODAY())+COUNTIFS(F341,"&gt;=36526",F341,"&lt;"&amp;TODAY())&gt;0),O341,"")</x:f>
      </x:c>
      <x:c r="K341" t="str">
        <x:f>IF(AND(A341&lt;&gt;"",COUNTIFS(C341,"&gt;=36526",C341,TODAY())+COUNTIFS(D341,"&gt;=36526",D341,TODAY())+COUNTIFS(E341,"&gt;=36526",E341,TODAY())+COUNTIFS(F341,"&gt;=36526",F341,TODAY())&gt;0),P341,"")</x:f>
      </x:c>
      <x:c r="L341" t="str">
        <x:f>IF(AND(A341&lt;&gt;"",COUNTIFS(C341,"&gt;"&amp;TODAY(),C341,"&lt;="&amp;TODAY()+30)+COUNTIFS(D341,"&gt;"&amp;TODAY(),D341,"&lt;="&amp;TODAY()+30)+COUNTIFS(E341,"&gt;"&amp;TODAY(),E341,"&lt;="&amp;TODAY()+30)+COUNTIFS(F341,"&gt;"&amp;TODAY(),F341,"&lt;="&amp;TODAY()+30)&gt;0),Q341,"")</x:f>
      </x:c>
      <x:c r="M341" t="str">
        <x:f>IF(OR(LEFT(H341,15)="Missing dates; ",LEFT(H341,16)="Add N/A reason; ",H341="Add dates",H341="Add registration",H341="Check date format"),R341,"")</x:f>
      </x:c>
      <x:c r="N341" t="str">
        <x:f>IF(COUNTIFS(C341:F341,"Reviewed N/A")&gt;0,S341,"")</x:f>
      </x:c>
      <x:c r="O341" t="n">
        <x:f>O340+IF(AND(A341&lt;&gt;"",COUNTIFS(C341,"&gt;=36526",C341,"&lt;"&amp;TODAY())+COUNTIFS(D341,"&gt;=36526",D341,"&lt;"&amp;TODAY())+COUNTIFS(E341,"&gt;=36526",E341,"&lt;"&amp;TODAY())+COUNTIFS(F341,"&gt;=36526",F341,"&lt;"&amp;TODAY())&gt;0),1,0)</x:f>
        <x:v>0</x:v>
      </x:c>
      <x:c r="P341" t="n">
        <x:f>P340+IF(AND(A341&lt;&gt;"",COUNTIFS(C341,"&gt;=36526",C341,TODAY())+COUNTIFS(D341,"&gt;=36526",D341,TODAY())+COUNTIFS(E341,"&gt;=36526",E341,TODAY())+COUNTIFS(F341,"&gt;=36526",F341,TODAY())&gt;0),1,0)</x:f>
        <x:v>0</x:v>
      </x:c>
      <x:c r="Q341" t="n">
        <x:f>Q340+IF(AND(A341&lt;&gt;"",COUNTIFS(C341,"&gt;"&amp;TODAY(),C341,"&lt;="&amp;TODAY()+30)+COUNTIFS(D341,"&gt;"&amp;TODAY(),D341,"&lt;="&amp;TODAY()+30)+COUNTIFS(E341,"&gt;"&amp;TODAY(),E341,"&lt;="&amp;TODAY()+30)+COUNTIFS(F341,"&gt;"&amp;TODAY(),F341,"&lt;="&amp;TODAY()+30)&gt;0),1,0)</x:f>
        <x:v>0</x:v>
      </x:c>
      <x:c r="R341" t="n">
        <x:f>R340+IF(OR(LEFT(H341,15)="Missing dates; ",LEFT(H341,16)="Add N/A reason; ",H341="Add dates",H341="Add registration",H341="Check date format"),1,0)</x:f>
        <x:v>0</x:v>
      </x:c>
      <x:c r="S341" t="n">
        <x:f>S340+IF(COUNTIFS(C341:F341,"Reviewed N/A")&gt;0,1,0)</x:f>
        <x:v>0</x:v>
      </x:c>
    </x:row>
    <x:row r="342" ht="48" customHeight="1">
      <x:c r="A342" s="52"/>
      <x:c r="B342" s="52"/>
      <x:c r="C342" s="53"/>
      <x:c r="D342" s="53"/>
      <x:c r="E342" s="53"/>
      <x:c r="F342" s="53"/>
      <x:c r="G342" s="52"/>
      <x:c r="H342" s="21" t="str">
        <x:f>IF(COUNTA(A342:G342,I342)=0,"",IF(A342="","Add registration",IF(OR(COUNTA(C342:F342)&gt;COUNT(C342:F342)+COUNTIFS(C342:F342,"Reviewed N/A"),AND(COUNT(C342:F342)&gt;0,OR(MIN(C342:F342)&lt;36526,MAX(C342:F342)&gt;109574))),"Check date format",IF(AND(COUNTIFS(C342:F342,"Reviewed N/A")&gt;0,I342=""),"Add N/A reason; ","")&amp;IF(COUNT(C342:F342)=0,IF(COUNTIFS(C342:F342,"Reviewed N/A")=4,"No applicable dates recorded","Add dates"),IF(COUNT(C342:F342)+COUNTIFS(C342:F342,"Reviewed N/A")&lt;4,"Missing dates; ","")&amp;IF(MIN(C342:F342)&lt;TODAY(),"Overdue: ",IF(MIN(C342:F342)=TODAY(),"Due today: ",IF(MIN(C342:F342)&lt;=TODAY()+30,"Due within 30 days: ","Next: ")))&amp;INDEX($C$8:$F$8,1,MATCH(MIN(C342:F342),C342:F342,0))&amp;" "&amp;TEXT(MIN(C342:F342),"dd mmm yyyy")))))</x:f>
      </x:c>
      <x:c r="I342" s="52"/>
      <x:c r="J342" t="str">
        <x:f>IF(AND(A342&lt;&gt;"",COUNTIFS(C342,"&gt;=36526",C342,"&lt;"&amp;TODAY())+COUNTIFS(D342,"&gt;=36526",D342,"&lt;"&amp;TODAY())+COUNTIFS(E342,"&gt;=36526",E342,"&lt;"&amp;TODAY())+COUNTIFS(F342,"&gt;=36526",F342,"&lt;"&amp;TODAY())&gt;0),O342,"")</x:f>
      </x:c>
      <x:c r="K342" t="str">
        <x:f>IF(AND(A342&lt;&gt;"",COUNTIFS(C342,"&gt;=36526",C342,TODAY())+COUNTIFS(D342,"&gt;=36526",D342,TODAY())+COUNTIFS(E342,"&gt;=36526",E342,TODAY())+COUNTIFS(F342,"&gt;=36526",F342,TODAY())&gt;0),P342,"")</x:f>
      </x:c>
      <x:c r="L342" t="str">
        <x:f>IF(AND(A342&lt;&gt;"",COUNTIFS(C342,"&gt;"&amp;TODAY(),C342,"&lt;="&amp;TODAY()+30)+COUNTIFS(D342,"&gt;"&amp;TODAY(),D342,"&lt;="&amp;TODAY()+30)+COUNTIFS(E342,"&gt;"&amp;TODAY(),E342,"&lt;="&amp;TODAY()+30)+COUNTIFS(F342,"&gt;"&amp;TODAY(),F342,"&lt;="&amp;TODAY()+30)&gt;0),Q342,"")</x:f>
      </x:c>
      <x:c r="M342" t="str">
        <x:f>IF(OR(LEFT(H342,15)="Missing dates; ",LEFT(H342,16)="Add N/A reason; ",H342="Add dates",H342="Add registration",H342="Check date format"),R342,"")</x:f>
      </x:c>
      <x:c r="N342" t="str">
        <x:f>IF(COUNTIFS(C342:F342,"Reviewed N/A")&gt;0,S342,"")</x:f>
      </x:c>
      <x:c r="O342" t="n">
        <x:f>O341+IF(AND(A342&lt;&gt;"",COUNTIFS(C342,"&gt;=36526",C342,"&lt;"&amp;TODAY())+COUNTIFS(D342,"&gt;=36526",D342,"&lt;"&amp;TODAY())+COUNTIFS(E342,"&gt;=36526",E342,"&lt;"&amp;TODAY())+COUNTIFS(F342,"&gt;=36526",F342,"&lt;"&amp;TODAY())&gt;0),1,0)</x:f>
        <x:v>0</x:v>
      </x:c>
      <x:c r="P342" t="n">
        <x:f>P341+IF(AND(A342&lt;&gt;"",COUNTIFS(C342,"&gt;=36526",C342,TODAY())+COUNTIFS(D342,"&gt;=36526",D342,TODAY())+COUNTIFS(E342,"&gt;=36526",E342,TODAY())+COUNTIFS(F342,"&gt;=36526",F342,TODAY())&gt;0),1,0)</x:f>
        <x:v>0</x:v>
      </x:c>
      <x:c r="Q342" t="n">
        <x:f>Q341+IF(AND(A342&lt;&gt;"",COUNTIFS(C342,"&gt;"&amp;TODAY(),C342,"&lt;="&amp;TODAY()+30)+COUNTIFS(D342,"&gt;"&amp;TODAY(),D342,"&lt;="&amp;TODAY()+30)+COUNTIFS(E342,"&gt;"&amp;TODAY(),E342,"&lt;="&amp;TODAY()+30)+COUNTIFS(F342,"&gt;"&amp;TODAY(),F342,"&lt;="&amp;TODAY()+30)&gt;0),1,0)</x:f>
        <x:v>0</x:v>
      </x:c>
      <x:c r="R342" t="n">
        <x:f>R341+IF(OR(LEFT(H342,15)="Missing dates; ",LEFT(H342,16)="Add N/A reason; ",H342="Add dates",H342="Add registration",H342="Check date format"),1,0)</x:f>
        <x:v>0</x:v>
      </x:c>
      <x:c r="S342" t="n">
        <x:f>S341+IF(COUNTIFS(C342:F342,"Reviewed N/A")&gt;0,1,0)</x:f>
        <x:v>0</x:v>
      </x:c>
    </x:row>
    <x:row r="343" ht="48" customHeight="1">
      <x:c r="A343" s="52"/>
      <x:c r="B343" s="52"/>
      <x:c r="C343" s="53"/>
      <x:c r="D343" s="53"/>
      <x:c r="E343" s="53"/>
      <x:c r="F343" s="53"/>
      <x:c r="G343" s="52"/>
      <x:c r="H343" s="21" t="str">
        <x:f>IF(COUNTA(A343:G343,I343)=0,"",IF(A343="","Add registration",IF(OR(COUNTA(C343:F343)&gt;COUNT(C343:F343)+COUNTIFS(C343:F343,"Reviewed N/A"),AND(COUNT(C343:F343)&gt;0,OR(MIN(C343:F343)&lt;36526,MAX(C343:F343)&gt;109574))),"Check date format",IF(AND(COUNTIFS(C343:F343,"Reviewed N/A")&gt;0,I343=""),"Add N/A reason; ","")&amp;IF(COUNT(C343:F343)=0,IF(COUNTIFS(C343:F343,"Reviewed N/A")=4,"No applicable dates recorded","Add dates"),IF(COUNT(C343:F343)+COUNTIFS(C343:F343,"Reviewed N/A")&lt;4,"Missing dates; ","")&amp;IF(MIN(C343:F343)&lt;TODAY(),"Overdue: ",IF(MIN(C343:F343)=TODAY(),"Due today: ",IF(MIN(C343:F343)&lt;=TODAY()+30,"Due within 30 days: ","Next: ")))&amp;INDEX($C$8:$F$8,1,MATCH(MIN(C343:F343),C343:F343,0))&amp;" "&amp;TEXT(MIN(C343:F343),"dd mmm yyyy")))))</x:f>
      </x:c>
      <x:c r="I343" s="52"/>
      <x:c r="J343" t="str">
        <x:f>IF(AND(A343&lt;&gt;"",COUNTIFS(C343,"&gt;=36526",C343,"&lt;"&amp;TODAY())+COUNTIFS(D343,"&gt;=36526",D343,"&lt;"&amp;TODAY())+COUNTIFS(E343,"&gt;=36526",E343,"&lt;"&amp;TODAY())+COUNTIFS(F343,"&gt;=36526",F343,"&lt;"&amp;TODAY())&gt;0),O343,"")</x:f>
      </x:c>
      <x:c r="K343" t="str">
        <x:f>IF(AND(A343&lt;&gt;"",COUNTIFS(C343,"&gt;=36526",C343,TODAY())+COUNTIFS(D343,"&gt;=36526",D343,TODAY())+COUNTIFS(E343,"&gt;=36526",E343,TODAY())+COUNTIFS(F343,"&gt;=36526",F343,TODAY())&gt;0),P343,"")</x:f>
      </x:c>
      <x:c r="L343" t="str">
        <x:f>IF(AND(A343&lt;&gt;"",COUNTIFS(C343,"&gt;"&amp;TODAY(),C343,"&lt;="&amp;TODAY()+30)+COUNTIFS(D343,"&gt;"&amp;TODAY(),D343,"&lt;="&amp;TODAY()+30)+COUNTIFS(E343,"&gt;"&amp;TODAY(),E343,"&lt;="&amp;TODAY()+30)+COUNTIFS(F343,"&gt;"&amp;TODAY(),F343,"&lt;="&amp;TODAY()+30)&gt;0),Q343,"")</x:f>
      </x:c>
      <x:c r="M343" t="str">
        <x:f>IF(OR(LEFT(H343,15)="Missing dates; ",LEFT(H343,16)="Add N/A reason; ",H343="Add dates",H343="Add registration",H343="Check date format"),R343,"")</x:f>
      </x:c>
      <x:c r="N343" t="str">
        <x:f>IF(COUNTIFS(C343:F343,"Reviewed N/A")&gt;0,S343,"")</x:f>
      </x:c>
      <x:c r="O343" t="n">
        <x:f>O342+IF(AND(A343&lt;&gt;"",COUNTIFS(C343,"&gt;=36526",C343,"&lt;"&amp;TODAY())+COUNTIFS(D343,"&gt;=36526",D343,"&lt;"&amp;TODAY())+COUNTIFS(E343,"&gt;=36526",E343,"&lt;"&amp;TODAY())+COUNTIFS(F343,"&gt;=36526",F343,"&lt;"&amp;TODAY())&gt;0),1,0)</x:f>
        <x:v>0</x:v>
      </x:c>
      <x:c r="P343" t="n">
        <x:f>P342+IF(AND(A343&lt;&gt;"",COUNTIFS(C343,"&gt;=36526",C343,TODAY())+COUNTIFS(D343,"&gt;=36526",D343,TODAY())+COUNTIFS(E343,"&gt;=36526",E343,TODAY())+COUNTIFS(F343,"&gt;=36526",F343,TODAY())&gt;0),1,0)</x:f>
        <x:v>0</x:v>
      </x:c>
      <x:c r="Q343" t="n">
        <x:f>Q342+IF(AND(A343&lt;&gt;"",COUNTIFS(C343,"&gt;"&amp;TODAY(),C343,"&lt;="&amp;TODAY()+30)+COUNTIFS(D343,"&gt;"&amp;TODAY(),D343,"&lt;="&amp;TODAY()+30)+COUNTIFS(E343,"&gt;"&amp;TODAY(),E343,"&lt;="&amp;TODAY()+30)+COUNTIFS(F343,"&gt;"&amp;TODAY(),F343,"&lt;="&amp;TODAY()+30)&gt;0),1,0)</x:f>
        <x:v>0</x:v>
      </x:c>
      <x:c r="R343" t="n">
        <x:f>R342+IF(OR(LEFT(H343,15)="Missing dates; ",LEFT(H343,16)="Add N/A reason; ",H343="Add dates",H343="Add registration",H343="Check date format"),1,0)</x:f>
        <x:v>0</x:v>
      </x:c>
      <x:c r="S343" t="n">
        <x:f>S342+IF(COUNTIFS(C343:F343,"Reviewed N/A")&gt;0,1,0)</x:f>
        <x:v>0</x:v>
      </x:c>
    </x:row>
    <x:row r="344" ht="48" customHeight="1">
      <x:c r="A344" s="52"/>
      <x:c r="B344" s="52"/>
      <x:c r="C344" s="53"/>
      <x:c r="D344" s="53"/>
      <x:c r="E344" s="53"/>
      <x:c r="F344" s="53"/>
      <x:c r="G344" s="52"/>
      <x:c r="H344" s="21" t="str">
        <x:f>IF(COUNTA(A344:G344,I344)=0,"",IF(A344="","Add registration",IF(OR(COUNTA(C344:F344)&gt;COUNT(C344:F344)+COUNTIFS(C344:F344,"Reviewed N/A"),AND(COUNT(C344:F344)&gt;0,OR(MIN(C344:F344)&lt;36526,MAX(C344:F344)&gt;109574))),"Check date format",IF(AND(COUNTIFS(C344:F344,"Reviewed N/A")&gt;0,I344=""),"Add N/A reason; ","")&amp;IF(COUNT(C344:F344)=0,IF(COUNTIFS(C344:F344,"Reviewed N/A")=4,"No applicable dates recorded","Add dates"),IF(COUNT(C344:F344)+COUNTIFS(C344:F344,"Reviewed N/A")&lt;4,"Missing dates; ","")&amp;IF(MIN(C344:F344)&lt;TODAY(),"Overdue: ",IF(MIN(C344:F344)=TODAY(),"Due today: ",IF(MIN(C344:F344)&lt;=TODAY()+30,"Due within 30 days: ","Next: ")))&amp;INDEX($C$8:$F$8,1,MATCH(MIN(C344:F344),C344:F344,0))&amp;" "&amp;TEXT(MIN(C344:F344),"dd mmm yyyy")))))</x:f>
      </x:c>
      <x:c r="I344" s="52"/>
      <x:c r="J344" t="str">
        <x:f>IF(AND(A344&lt;&gt;"",COUNTIFS(C344,"&gt;=36526",C344,"&lt;"&amp;TODAY())+COUNTIFS(D344,"&gt;=36526",D344,"&lt;"&amp;TODAY())+COUNTIFS(E344,"&gt;=36526",E344,"&lt;"&amp;TODAY())+COUNTIFS(F344,"&gt;=36526",F344,"&lt;"&amp;TODAY())&gt;0),O344,"")</x:f>
      </x:c>
      <x:c r="K344" t="str">
        <x:f>IF(AND(A344&lt;&gt;"",COUNTIFS(C344,"&gt;=36526",C344,TODAY())+COUNTIFS(D344,"&gt;=36526",D344,TODAY())+COUNTIFS(E344,"&gt;=36526",E344,TODAY())+COUNTIFS(F344,"&gt;=36526",F344,TODAY())&gt;0),P344,"")</x:f>
      </x:c>
      <x:c r="L344" t="str">
        <x:f>IF(AND(A344&lt;&gt;"",COUNTIFS(C344,"&gt;"&amp;TODAY(),C344,"&lt;="&amp;TODAY()+30)+COUNTIFS(D344,"&gt;"&amp;TODAY(),D344,"&lt;="&amp;TODAY()+30)+COUNTIFS(E344,"&gt;"&amp;TODAY(),E344,"&lt;="&amp;TODAY()+30)+COUNTIFS(F344,"&gt;"&amp;TODAY(),F344,"&lt;="&amp;TODAY()+30)&gt;0),Q344,"")</x:f>
      </x:c>
      <x:c r="M344" t="str">
        <x:f>IF(OR(LEFT(H344,15)="Missing dates; ",LEFT(H344,16)="Add N/A reason; ",H344="Add dates",H344="Add registration",H344="Check date format"),R344,"")</x:f>
      </x:c>
      <x:c r="N344" t="str">
        <x:f>IF(COUNTIFS(C344:F344,"Reviewed N/A")&gt;0,S344,"")</x:f>
      </x:c>
      <x:c r="O344" t="n">
        <x:f>O343+IF(AND(A344&lt;&gt;"",COUNTIFS(C344,"&gt;=36526",C344,"&lt;"&amp;TODAY())+COUNTIFS(D344,"&gt;=36526",D344,"&lt;"&amp;TODAY())+COUNTIFS(E344,"&gt;=36526",E344,"&lt;"&amp;TODAY())+COUNTIFS(F344,"&gt;=36526",F344,"&lt;"&amp;TODAY())&gt;0),1,0)</x:f>
        <x:v>0</x:v>
      </x:c>
      <x:c r="P344" t="n">
        <x:f>P343+IF(AND(A344&lt;&gt;"",COUNTIFS(C344,"&gt;=36526",C344,TODAY())+COUNTIFS(D344,"&gt;=36526",D344,TODAY())+COUNTIFS(E344,"&gt;=36526",E344,TODAY())+COUNTIFS(F344,"&gt;=36526",F344,TODAY())&gt;0),1,0)</x:f>
        <x:v>0</x:v>
      </x:c>
      <x:c r="Q344" t="n">
        <x:f>Q343+IF(AND(A344&lt;&gt;"",COUNTIFS(C344,"&gt;"&amp;TODAY(),C344,"&lt;="&amp;TODAY()+30)+COUNTIFS(D344,"&gt;"&amp;TODAY(),D344,"&lt;="&amp;TODAY()+30)+COUNTIFS(E344,"&gt;"&amp;TODAY(),E344,"&lt;="&amp;TODAY()+30)+COUNTIFS(F344,"&gt;"&amp;TODAY(),F344,"&lt;="&amp;TODAY()+30)&gt;0),1,0)</x:f>
        <x:v>0</x:v>
      </x:c>
      <x:c r="R344" t="n">
        <x:f>R343+IF(OR(LEFT(H344,15)="Missing dates; ",LEFT(H344,16)="Add N/A reason; ",H344="Add dates",H344="Add registration",H344="Check date format"),1,0)</x:f>
        <x:v>0</x:v>
      </x:c>
      <x:c r="S344" t="n">
        <x:f>S343+IF(COUNTIFS(C344:F344,"Reviewed N/A")&gt;0,1,0)</x:f>
        <x:v>0</x:v>
      </x:c>
    </x:row>
    <x:row r="345" ht="48" customHeight="1">
      <x:c r="A345" s="52"/>
      <x:c r="B345" s="52"/>
      <x:c r="C345" s="53"/>
      <x:c r="D345" s="53"/>
      <x:c r="E345" s="53"/>
      <x:c r="F345" s="53"/>
      <x:c r="G345" s="52"/>
      <x:c r="H345" s="21" t="str">
        <x:f>IF(COUNTA(A345:G345,I345)=0,"",IF(A345="","Add registration",IF(OR(COUNTA(C345:F345)&gt;COUNT(C345:F345)+COUNTIFS(C345:F345,"Reviewed N/A"),AND(COUNT(C345:F345)&gt;0,OR(MIN(C345:F345)&lt;36526,MAX(C345:F345)&gt;109574))),"Check date format",IF(AND(COUNTIFS(C345:F345,"Reviewed N/A")&gt;0,I345=""),"Add N/A reason; ","")&amp;IF(COUNT(C345:F345)=0,IF(COUNTIFS(C345:F345,"Reviewed N/A")=4,"No applicable dates recorded","Add dates"),IF(COUNT(C345:F345)+COUNTIFS(C345:F345,"Reviewed N/A")&lt;4,"Missing dates; ","")&amp;IF(MIN(C345:F345)&lt;TODAY(),"Overdue: ",IF(MIN(C345:F345)=TODAY(),"Due today: ",IF(MIN(C345:F345)&lt;=TODAY()+30,"Due within 30 days: ","Next: ")))&amp;INDEX($C$8:$F$8,1,MATCH(MIN(C345:F345),C345:F345,0))&amp;" "&amp;TEXT(MIN(C345:F345),"dd mmm yyyy")))))</x:f>
      </x:c>
      <x:c r="I345" s="52"/>
      <x:c r="J345" t="str">
        <x:f>IF(AND(A345&lt;&gt;"",COUNTIFS(C345,"&gt;=36526",C345,"&lt;"&amp;TODAY())+COUNTIFS(D345,"&gt;=36526",D345,"&lt;"&amp;TODAY())+COUNTIFS(E345,"&gt;=36526",E345,"&lt;"&amp;TODAY())+COUNTIFS(F345,"&gt;=36526",F345,"&lt;"&amp;TODAY())&gt;0),O345,"")</x:f>
      </x:c>
      <x:c r="K345" t="str">
        <x:f>IF(AND(A345&lt;&gt;"",COUNTIFS(C345,"&gt;=36526",C345,TODAY())+COUNTIFS(D345,"&gt;=36526",D345,TODAY())+COUNTIFS(E345,"&gt;=36526",E345,TODAY())+COUNTIFS(F345,"&gt;=36526",F345,TODAY())&gt;0),P345,"")</x:f>
      </x:c>
      <x:c r="L345" t="str">
        <x:f>IF(AND(A345&lt;&gt;"",COUNTIFS(C345,"&gt;"&amp;TODAY(),C345,"&lt;="&amp;TODAY()+30)+COUNTIFS(D345,"&gt;"&amp;TODAY(),D345,"&lt;="&amp;TODAY()+30)+COUNTIFS(E345,"&gt;"&amp;TODAY(),E345,"&lt;="&amp;TODAY()+30)+COUNTIFS(F345,"&gt;"&amp;TODAY(),F345,"&lt;="&amp;TODAY()+30)&gt;0),Q345,"")</x:f>
      </x:c>
      <x:c r="M345" t="str">
        <x:f>IF(OR(LEFT(H345,15)="Missing dates; ",LEFT(H345,16)="Add N/A reason; ",H345="Add dates",H345="Add registration",H345="Check date format"),R345,"")</x:f>
      </x:c>
      <x:c r="N345" t="str">
        <x:f>IF(COUNTIFS(C345:F345,"Reviewed N/A")&gt;0,S345,"")</x:f>
      </x:c>
      <x:c r="O345" t="n">
        <x:f>O344+IF(AND(A345&lt;&gt;"",COUNTIFS(C345,"&gt;=36526",C345,"&lt;"&amp;TODAY())+COUNTIFS(D345,"&gt;=36526",D345,"&lt;"&amp;TODAY())+COUNTIFS(E345,"&gt;=36526",E345,"&lt;"&amp;TODAY())+COUNTIFS(F345,"&gt;=36526",F345,"&lt;"&amp;TODAY())&gt;0),1,0)</x:f>
        <x:v>0</x:v>
      </x:c>
      <x:c r="P345" t="n">
        <x:f>P344+IF(AND(A345&lt;&gt;"",COUNTIFS(C345,"&gt;=36526",C345,TODAY())+COUNTIFS(D345,"&gt;=36526",D345,TODAY())+COUNTIFS(E345,"&gt;=36526",E345,TODAY())+COUNTIFS(F345,"&gt;=36526",F345,TODAY())&gt;0),1,0)</x:f>
        <x:v>0</x:v>
      </x:c>
      <x:c r="Q345" t="n">
        <x:f>Q344+IF(AND(A345&lt;&gt;"",COUNTIFS(C345,"&gt;"&amp;TODAY(),C345,"&lt;="&amp;TODAY()+30)+COUNTIFS(D345,"&gt;"&amp;TODAY(),D345,"&lt;="&amp;TODAY()+30)+COUNTIFS(E345,"&gt;"&amp;TODAY(),E345,"&lt;="&amp;TODAY()+30)+COUNTIFS(F345,"&gt;"&amp;TODAY(),F345,"&lt;="&amp;TODAY()+30)&gt;0),1,0)</x:f>
        <x:v>0</x:v>
      </x:c>
      <x:c r="R345" t="n">
        <x:f>R344+IF(OR(LEFT(H345,15)="Missing dates; ",LEFT(H345,16)="Add N/A reason; ",H345="Add dates",H345="Add registration",H345="Check date format"),1,0)</x:f>
        <x:v>0</x:v>
      </x:c>
      <x:c r="S345" t="n">
        <x:f>S344+IF(COUNTIFS(C345:F345,"Reviewed N/A")&gt;0,1,0)</x:f>
        <x:v>0</x:v>
      </x:c>
    </x:row>
    <x:row r="346" ht="48" customHeight="1">
      <x:c r="A346" s="52"/>
      <x:c r="B346" s="52"/>
      <x:c r="C346" s="53"/>
      <x:c r="D346" s="53"/>
      <x:c r="E346" s="53"/>
      <x:c r="F346" s="53"/>
      <x:c r="G346" s="52"/>
      <x:c r="H346" s="21" t="str">
        <x:f>IF(COUNTA(A346:G346,I346)=0,"",IF(A346="","Add registration",IF(OR(COUNTA(C346:F346)&gt;COUNT(C346:F346)+COUNTIFS(C346:F346,"Reviewed N/A"),AND(COUNT(C346:F346)&gt;0,OR(MIN(C346:F346)&lt;36526,MAX(C346:F346)&gt;109574))),"Check date format",IF(AND(COUNTIFS(C346:F346,"Reviewed N/A")&gt;0,I346=""),"Add N/A reason; ","")&amp;IF(COUNT(C346:F346)=0,IF(COUNTIFS(C346:F346,"Reviewed N/A")=4,"No applicable dates recorded","Add dates"),IF(COUNT(C346:F346)+COUNTIFS(C346:F346,"Reviewed N/A")&lt;4,"Missing dates; ","")&amp;IF(MIN(C346:F346)&lt;TODAY(),"Overdue: ",IF(MIN(C346:F346)=TODAY(),"Due today: ",IF(MIN(C346:F346)&lt;=TODAY()+30,"Due within 30 days: ","Next: ")))&amp;INDEX($C$8:$F$8,1,MATCH(MIN(C346:F346),C346:F346,0))&amp;" "&amp;TEXT(MIN(C346:F346),"dd mmm yyyy")))))</x:f>
      </x:c>
      <x:c r="I346" s="52"/>
      <x:c r="J346" t="str">
        <x:f>IF(AND(A346&lt;&gt;"",COUNTIFS(C346,"&gt;=36526",C346,"&lt;"&amp;TODAY())+COUNTIFS(D346,"&gt;=36526",D346,"&lt;"&amp;TODAY())+COUNTIFS(E346,"&gt;=36526",E346,"&lt;"&amp;TODAY())+COUNTIFS(F346,"&gt;=36526",F346,"&lt;"&amp;TODAY())&gt;0),O346,"")</x:f>
      </x:c>
      <x:c r="K346" t="str">
        <x:f>IF(AND(A346&lt;&gt;"",COUNTIFS(C346,"&gt;=36526",C346,TODAY())+COUNTIFS(D346,"&gt;=36526",D346,TODAY())+COUNTIFS(E346,"&gt;=36526",E346,TODAY())+COUNTIFS(F346,"&gt;=36526",F346,TODAY())&gt;0),P346,"")</x:f>
      </x:c>
      <x:c r="L346" t="str">
        <x:f>IF(AND(A346&lt;&gt;"",COUNTIFS(C346,"&gt;"&amp;TODAY(),C346,"&lt;="&amp;TODAY()+30)+COUNTIFS(D346,"&gt;"&amp;TODAY(),D346,"&lt;="&amp;TODAY()+30)+COUNTIFS(E346,"&gt;"&amp;TODAY(),E346,"&lt;="&amp;TODAY()+30)+COUNTIFS(F346,"&gt;"&amp;TODAY(),F346,"&lt;="&amp;TODAY()+30)&gt;0),Q346,"")</x:f>
      </x:c>
      <x:c r="M346" t="str">
        <x:f>IF(OR(LEFT(H346,15)="Missing dates; ",LEFT(H346,16)="Add N/A reason; ",H346="Add dates",H346="Add registration",H346="Check date format"),R346,"")</x:f>
      </x:c>
      <x:c r="N346" t="str">
        <x:f>IF(COUNTIFS(C346:F346,"Reviewed N/A")&gt;0,S346,"")</x:f>
      </x:c>
      <x:c r="O346" t="n">
        <x:f>O345+IF(AND(A346&lt;&gt;"",COUNTIFS(C346,"&gt;=36526",C346,"&lt;"&amp;TODAY())+COUNTIFS(D346,"&gt;=36526",D346,"&lt;"&amp;TODAY())+COUNTIFS(E346,"&gt;=36526",E346,"&lt;"&amp;TODAY())+COUNTIFS(F346,"&gt;=36526",F346,"&lt;"&amp;TODAY())&gt;0),1,0)</x:f>
        <x:v>0</x:v>
      </x:c>
      <x:c r="P346" t="n">
        <x:f>P345+IF(AND(A346&lt;&gt;"",COUNTIFS(C346,"&gt;=36526",C346,TODAY())+COUNTIFS(D346,"&gt;=36526",D346,TODAY())+COUNTIFS(E346,"&gt;=36526",E346,TODAY())+COUNTIFS(F346,"&gt;=36526",F346,TODAY())&gt;0),1,0)</x:f>
        <x:v>0</x:v>
      </x:c>
      <x:c r="Q346" t="n">
        <x:f>Q345+IF(AND(A346&lt;&gt;"",COUNTIFS(C346,"&gt;"&amp;TODAY(),C346,"&lt;="&amp;TODAY()+30)+COUNTIFS(D346,"&gt;"&amp;TODAY(),D346,"&lt;="&amp;TODAY()+30)+COUNTIFS(E346,"&gt;"&amp;TODAY(),E346,"&lt;="&amp;TODAY()+30)+COUNTIFS(F346,"&gt;"&amp;TODAY(),F346,"&lt;="&amp;TODAY()+30)&gt;0),1,0)</x:f>
        <x:v>0</x:v>
      </x:c>
      <x:c r="R346" t="n">
        <x:f>R345+IF(OR(LEFT(H346,15)="Missing dates; ",LEFT(H346,16)="Add N/A reason; ",H346="Add dates",H346="Add registration",H346="Check date format"),1,0)</x:f>
        <x:v>0</x:v>
      </x:c>
      <x:c r="S346" t="n">
        <x:f>S345+IF(COUNTIFS(C346:F346,"Reviewed N/A")&gt;0,1,0)</x:f>
        <x:v>0</x:v>
      </x:c>
    </x:row>
    <x:row r="347" ht="48" customHeight="1">
      <x:c r="A347" s="52"/>
      <x:c r="B347" s="52"/>
      <x:c r="C347" s="53"/>
      <x:c r="D347" s="53"/>
      <x:c r="E347" s="53"/>
      <x:c r="F347" s="53"/>
      <x:c r="G347" s="52"/>
      <x:c r="H347" s="21" t="str">
        <x:f>IF(COUNTA(A347:G347,I347)=0,"",IF(A347="","Add registration",IF(OR(COUNTA(C347:F347)&gt;COUNT(C347:F347)+COUNTIFS(C347:F347,"Reviewed N/A"),AND(COUNT(C347:F347)&gt;0,OR(MIN(C347:F347)&lt;36526,MAX(C347:F347)&gt;109574))),"Check date format",IF(AND(COUNTIFS(C347:F347,"Reviewed N/A")&gt;0,I347=""),"Add N/A reason; ","")&amp;IF(COUNT(C347:F347)=0,IF(COUNTIFS(C347:F347,"Reviewed N/A")=4,"No applicable dates recorded","Add dates"),IF(COUNT(C347:F347)+COUNTIFS(C347:F347,"Reviewed N/A")&lt;4,"Missing dates; ","")&amp;IF(MIN(C347:F347)&lt;TODAY(),"Overdue: ",IF(MIN(C347:F347)=TODAY(),"Due today: ",IF(MIN(C347:F347)&lt;=TODAY()+30,"Due within 30 days: ","Next: ")))&amp;INDEX($C$8:$F$8,1,MATCH(MIN(C347:F347),C347:F347,0))&amp;" "&amp;TEXT(MIN(C347:F347),"dd mmm yyyy")))))</x:f>
      </x:c>
      <x:c r="I347" s="52"/>
      <x:c r="J347" t="str">
        <x:f>IF(AND(A347&lt;&gt;"",COUNTIFS(C347,"&gt;=36526",C347,"&lt;"&amp;TODAY())+COUNTIFS(D347,"&gt;=36526",D347,"&lt;"&amp;TODAY())+COUNTIFS(E347,"&gt;=36526",E347,"&lt;"&amp;TODAY())+COUNTIFS(F347,"&gt;=36526",F347,"&lt;"&amp;TODAY())&gt;0),O347,"")</x:f>
      </x:c>
      <x:c r="K347" t="str">
        <x:f>IF(AND(A347&lt;&gt;"",COUNTIFS(C347,"&gt;=36526",C347,TODAY())+COUNTIFS(D347,"&gt;=36526",D347,TODAY())+COUNTIFS(E347,"&gt;=36526",E347,TODAY())+COUNTIFS(F347,"&gt;=36526",F347,TODAY())&gt;0),P347,"")</x:f>
      </x:c>
      <x:c r="L347" t="str">
        <x:f>IF(AND(A347&lt;&gt;"",COUNTIFS(C347,"&gt;"&amp;TODAY(),C347,"&lt;="&amp;TODAY()+30)+COUNTIFS(D347,"&gt;"&amp;TODAY(),D347,"&lt;="&amp;TODAY()+30)+COUNTIFS(E347,"&gt;"&amp;TODAY(),E347,"&lt;="&amp;TODAY()+30)+COUNTIFS(F347,"&gt;"&amp;TODAY(),F347,"&lt;="&amp;TODAY()+30)&gt;0),Q347,"")</x:f>
      </x:c>
      <x:c r="M347" t="str">
        <x:f>IF(OR(LEFT(H347,15)="Missing dates; ",LEFT(H347,16)="Add N/A reason; ",H347="Add dates",H347="Add registration",H347="Check date format"),R347,"")</x:f>
      </x:c>
      <x:c r="N347" t="str">
        <x:f>IF(COUNTIFS(C347:F347,"Reviewed N/A")&gt;0,S347,"")</x:f>
      </x:c>
      <x:c r="O347" t="n">
        <x:f>O346+IF(AND(A347&lt;&gt;"",COUNTIFS(C347,"&gt;=36526",C347,"&lt;"&amp;TODAY())+COUNTIFS(D347,"&gt;=36526",D347,"&lt;"&amp;TODAY())+COUNTIFS(E347,"&gt;=36526",E347,"&lt;"&amp;TODAY())+COUNTIFS(F347,"&gt;=36526",F347,"&lt;"&amp;TODAY())&gt;0),1,0)</x:f>
        <x:v>0</x:v>
      </x:c>
      <x:c r="P347" t="n">
        <x:f>P346+IF(AND(A347&lt;&gt;"",COUNTIFS(C347,"&gt;=36526",C347,TODAY())+COUNTIFS(D347,"&gt;=36526",D347,TODAY())+COUNTIFS(E347,"&gt;=36526",E347,TODAY())+COUNTIFS(F347,"&gt;=36526",F347,TODAY())&gt;0),1,0)</x:f>
        <x:v>0</x:v>
      </x:c>
      <x:c r="Q347" t="n">
        <x:f>Q346+IF(AND(A347&lt;&gt;"",COUNTIFS(C347,"&gt;"&amp;TODAY(),C347,"&lt;="&amp;TODAY()+30)+COUNTIFS(D347,"&gt;"&amp;TODAY(),D347,"&lt;="&amp;TODAY()+30)+COUNTIFS(E347,"&gt;"&amp;TODAY(),E347,"&lt;="&amp;TODAY()+30)+COUNTIFS(F347,"&gt;"&amp;TODAY(),F347,"&lt;="&amp;TODAY()+30)&gt;0),1,0)</x:f>
        <x:v>0</x:v>
      </x:c>
      <x:c r="R347" t="n">
        <x:f>R346+IF(OR(LEFT(H347,15)="Missing dates; ",LEFT(H347,16)="Add N/A reason; ",H347="Add dates",H347="Add registration",H347="Check date format"),1,0)</x:f>
        <x:v>0</x:v>
      </x:c>
      <x:c r="S347" t="n">
        <x:f>S346+IF(COUNTIFS(C347:F347,"Reviewed N/A")&gt;0,1,0)</x:f>
        <x:v>0</x:v>
      </x:c>
    </x:row>
    <x:row r="348" ht="48" customHeight="1">
      <x:c r="A348" s="52"/>
      <x:c r="B348" s="52"/>
      <x:c r="C348" s="53"/>
      <x:c r="D348" s="53"/>
      <x:c r="E348" s="53"/>
      <x:c r="F348" s="53"/>
      <x:c r="G348" s="52"/>
      <x:c r="H348" s="21" t="str">
        <x:f>IF(COUNTA(A348:G348,I348)=0,"",IF(A348="","Add registration",IF(OR(COUNTA(C348:F348)&gt;COUNT(C348:F348)+COUNTIFS(C348:F348,"Reviewed N/A"),AND(COUNT(C348:F348)&gt;0,OR(MIN(C348:F348)&lt;36526,MAX(C348:F348)&gt;109574))),"Check date format",IF(AND(COUNTIFS(C348:F348,"Reviewed N/A")&gt;0,I348=""),"Add N/A reason; ","")&amp;IF(COUNT(C348:F348)=0,IF(COUNTIFS(C348:F348,"Reviewed N/A")=4,"No applicable dates recorded","Add dates"),IF(COUNT(C348:F348)+COUNTIFS(C348:F348,"Reviewed N/A")&lt;4,"Missing dates; ","")&amp;IF(MIN(C348:F348)&lt;TODAY(),"Overdue: ",IF(MIN(C348:F348)=TODAY(),"Due today: ",IF(MIN(C348:F348)&lt;=TODAY()+30,"Due within 30 days: ","Next: ")))&amp;INDEX($C$8:$F$8,1,MATCH(MIN(C348:F348),C348:F348,0))&amp;" "&amp;TEXT(MIN(C348:F348),"dd mmm yyyy")))))</x:f>
      </x:c>
      <x:c r="I348" s="52"/>
      <x:c r="J348" t="str">
        <x:f>IF(AND(A348&lt;&gt;"",COUNTIFS(C348,"&gt;=36526",C348,"&lt;"&amp;TODAY())+COUNTIFS(D348,"&gt;=36526",D348,"&lt;"&amp;TODAY())+COUNTIFS(E348,"&gt;=36526",E348,"&lt;"&amp;TODAY())+COUNTIFS(F348,"&gt;=36526",F348,"&lt;"&amp;TODAY())&gt;0),O348,"")</x:f>
      </x:c>
      <x:c r="K348" t="str">
        <x:f>IF(AND(A348&lt;&gt;"",COUNTIFS(C348,"&gt;=36526",C348,TODAY())+COUNTIFS(D348,"&gt;=36526",D348,TODAY())+COUNTIFS(E348,"&gt;=36526",E348,TODAY())+COUNTIFS(F348,"&gt;=36526",F348,TODAY())&gt;0),P348,"")</x:f>
      </x:c>
      <x:c r="L348" t="str">
        <x:f>IF(AND(A348&lt;&gt;"",COUNTIFS(C348,"&gt;"&amp;TODAY(),C348,"&lt;="&amp;TODAY()+30)+COUNTIFS(D348,"&gt;"&amp;TODAY(),D348,"&lt;="&amp;TODAY()+30)+COUNTIFS(E348,"&gt;"&amp;TODAY(),E348,"&lt;="&amp;TODAY()+30)+COUNTIFS(F348,"&gt;"&amp;TODAY(),F348,"&lt;="&amp;TODAY()+30)&gt;0),Q348,"")</x:f>
      </x:c>
      <x:c r="M348" t="str">
        <x:f>IF(OR(LEFT(H348,15)="Missing dates; ",LEFT(H348,16)="Add N/A reason; ",H348="Add dates",H348="Add registration",H348="Check date format"),R348,"")</x:f>
      </x:c>
      <x:c r="N348" t="str">
        <x:f>IF(COUNTIFS(C348:F348,"Reviewed N/A")&gt;0,S348,"")</x:f>
      </x:c>
      <x:c r="O348" t="n">
        <x:f>O347+IF(AND(A348&lt;&gt;"",COUNTIFS(C348,"&gt;=36526",C348,"&lt;"&amp;TODAY())+COUNTIFS(D348,"&gt;=36526",D348,"&lt;"&amp;TODAY())+COUNTIFS(E348,"&gt;=36526",E348,"&lt;"&amp;TODAY())+COUNTIFS(F348,"&gt;=36526",F348,"&lt;"&amp;TODAY())&gt;0),1,0)</x:f>
        <x:v>0</x:v>
      </x:c>
      <x:c r="P348" t="n">
        <x:f>P347+IF(AND(A348&lt;&gt;"",COUNTIFS(C348,"&gt;=36526",C348,TODAY())+COUNTIFS(D348,"&gt;=36526",D348,TODAY())+COUNTIFS(E348,"&gt;=36526",E348,TODAY())+COUNTIFS(F348,"&gt;=36526",F348,TODAY())&gt;0),1,0)</x:f>
        <x:v>0</x:v>
      </x:c>
      <x:c r="Q348" t="n">
        <x:f>Q347+IF(AND(A348&lt;&gt;"",COUNTIFS(C348,"&gt;"&amp;TODAY(),C348,"&lt;="&amp;TODAY()+30)+COUNTIFS(D348,"&gt;"&amp;TODAY(),D348,"&lt;="&amp;TODAY()+30)+COUNTIFS(E348,"&gt;"&amp;TODAY(),E348,"&lt;="&amp;TODAY()+30)+COUNTIFS(F348,"&gt;"&amp;TODAY(),F348,"&lt;="&amp;TODAY()+30)&gt;0),1,0)</x:f>
        <x:v>0</x:v>
      </x:c>
      <x:c r="R348" t="n">
        <x:f>R347+IF(OR(LEFT(H348,15)="Missing dates; ",LEFT(H348,16)="Add N/A reason; ",H348="Add dates",H348="Add registration",H348="Check date format"),1,0)</x:f>
        <x:v>0</x:v>
      </x:c>
      <x:c r="S348" t="n">
        <x:f>S347+IF(COUNTIFS(C348:F348,"Reviewed N/A")&gt;0,1,0)</x:f>
        <x:v>0</x:v>
      </x:c>
    </x:row>
    <x:row r="349" ht="48" customHeight="1">
      <x:c r="A349" s="52"/>
      <x:c r="B349" s="52"/>
      <x:c r="C349" s="53"/>
      <x:c r="D349" s="53"/>
      <x:c r="E349" s="53"/>
      <x:c r="F349" s="53"/>
      <x:c r="G349" s="52"/>
      <x:c r="H349" s="21" t="str">
        <x:f>IF(COUNTA(A349:G349,I349)=0,"",IF(A349="","Add registration",IF(OR(COUNTA(C349:F349)&gt;COUNT(C349:F349)+COUNTIFS(C349:F349,"Reviewed N/A"),AND(COUNT(C349:F349)&gt;0,OR(MIN(C349:F349)&lt;36526,MAX(C349:F349)&gt;109574))),"Check date format",IF(AND(COUNTIFS(C349:F349,"Reviewed N/A")&gt;0,I349=""),"Add N/A reason; ","")&amp;IF(COUNT(C349:F349)=0,IF(COUNTIFS(C349:F349,"Reviewed N/A")=4,"No applicable dates recorded","Add dates"),IF(COUNT(C349:F349)+COUNTIFS(C349:F349,"Reviewed N/A")&lt;4,"Missing dates; ","")&amp;IF(MIN(C349:F349)&lt;TODAY(),"Overdue: ",IF(MIN(C349:F349)=TODAY(),"Due today: ",IF(MIN(C349:F349)&lt;=TODAY()+30,"Due within 30 days: ","Next: ")))&amp;INDEX($C$8:$F$8,1,MATCH(MIN(C349:F349),C349:F349,0))&amp;" "&amp;TEXT(MIN(C349:F349),"dd mmm yyyy")))))</x:f>
      </x:c>
      <x:c r="I349" s="52"/>
      <x:c r="J349" t="str">
        <x:f>IF(AND(A349&lt;&gt;"",COUNTIFS(C349,"&gt;=36526",C349,"&lt;"&amp;TODAY())+COUNTIFS(D349,"&gt;=36526",D349,"&lt;"&amp;TODAY())+COUNTIFS(E349,"&gt;=36526",E349,"&lt;"&amp;TODAY())+COUNTIFS(F349,"&gt;=36526",F349,"&lt;"&amp;TODAY())&gt;0),O349,"")</x:f>
      </x:c>
      <x:c r="K349" t="str">
        <x:f>IF(AND(A349&lt;&gt;"",COUNTIFS(C349,"&gt;=36526",C349,TODAY())+COUNTIFS(D349,"&gt;=36526",D349,TODAY())+COUNTIFS(E349,"&gt;=36526",E349,TODAY())+COUNTIFS(F349,"&gt;=36526",F349,TODAY())&gt;0),P349,"")</x:f>
      </x:c>
      <x:c r="L349" t="str">
        <x:f>IF(AND(A349&lt;&gt;"",COUNTIFS(C349,"&gt;"&amp;TODAY(),C349,"&lt;="&amp;TODAY()+30)+COUNTIFS(D349,"&gt;"&amp;TODAY(),D349,"&lt;="&amp;TODAY()+30)+COUNTIFS(E349,"&gt;"&amp;TODAY(),E349,"&lt;="&amp;TODAY()+30)+COUNTIFS(F349,"&gt;"&amp;TODAY(),F349,"&lt;="&amp;TODAY()+30)&gt;0),Q349,"")</x:f>
      </x:c>
      <x:c r="M349" t="str">
        <x:f>IF(OR(LEFT(H349,15)="Missing dates; ",LEFT(H349,16)="Add N/A reason; ",H349="Add dates",H349="Add registration",H349="Check date format"),R349,"")</x:f>
      </x:c>
      <x:c r="N349" t="str">
        <x:f>IF(COUNTIFS(C349:F349,"Reviewed N/A")&gt;0,S349,"")</x:f>
      </x:c>
      <x:c r="O349" t="n">
        <x:f>O348+IF(AND(A349&lt;&gt;"",COUNTIFS(C349,"&gt;=36526",C349,"&lt;"&amp;TODAY())+COUNTIFS(D349,"&gt;=36526",D349,"&lt;"&amp;TODAY())+COUNTIFS(E349,"&gt;=36526",E349,"&lt;"&amp;TODAY())+COUNTIFS(F349,"&gt;=36526",F349,"&lt;"&amp;TODAY())&gt;0),1,0)</x:f>
        <x:v>0</x:v>
      </x:c>
      <x:c r="P349" t="n">
        <x:f>P348+IF(AND(A349&lt;&gt;"",COUNTIFS(C349,"&gt;=36526",C349,TODAY())+COUNTIFS(D349,"&gt;=36526",D349,TODAY())+COUNTIFS(E349,"&gt;=36526",E349,TODAY())+COUNTIFS(F349,"&gt;=36526",F349,TODAY())&gt;0),1,0)</x:f>
        <x:v>0</x:v>
      </x:c>
      <x:c r="Q349" t="n">
        <x:f>Q348+IF(AND(A349&lt;&gt;"",COUNTIFS(C349,"&gt;"&amp;TODAY(),C349,"&lt;="&amp;TODAY()+30)+COUNTIFS(D349,"&gt;"&amp;TODAY(),D349,"&lt;="&amp;TODAY()+30)+COUNTIFS(E349,"&gt;"&amp;TODAY(),E349,"&lt;="&amp;TODAY()+30)+COUNTIFS(F349,"&gt;"&amp;TODAY(),F349,"&lt;="&amp;TODAY()+30)&gt;0),1,0)</x:f>
        <x:v>0</x:v>
      </x:c>
      <x:c r="R349" t="n">
        <x:f>R348+IF(OR(LEFT(H349,15)="Missing dates; ",LEFT(H349,16)="Add N/A reason; ",H349="Add dates",H349="Add registration",H349="Check date format"),1,0)</x:f>
        <x:v>0</x:v>
      </x:c>
      <x:c r="S349" t="n">
        <x:f>S348+IF(COUNTIFS(C349:F349,"Reviewed N/A")&gt;0,1,0)</x:f>
        <x:v>0</x:v>
      </x:c>
    </x:row>
    <x:row r="350" ht="48" customHeight="1">
      <x:c r="A350" s="52"/>
      <x:c r="B350" s="52"/>
      <x:c r="C350" s="53"/>
      <x:c r="D350" s="53"/>
      <x:c r="E350" s="53"/>
      <x:c r="F350" s="53"/>
      <x:c r="G350" s="52"/>
      <x:c r="H350" s="21" t="str">
        <x:f>IF(COUNTA(A350:G350,I350)=0,"",IF(A350="","Add registration",IF(OR(COUNTA(C350:F350)&gt;COUNT(C350:F350)+COUNTIFS(C350:F350,"Reviewed N/A"),AND(COUNT(C350:F350)&gt;0,OR(MIN(C350:F350)&lt;36526,MAX(C350:F350)&gt;109574))),"Check date format",IF(AND(COUNTIFS(C350:F350,"Reviewed N/A")&gt;0,I350=""),"Add N/A reason; ","")&amp;IF(COUNT(C350:F350)=0,IF(COUNTIFS(C350:F350,"Reviewed N/A")=4,"No applicable dates recorded","Add dates"),IF(COUNT(C350:F350)+COUNTIFS(C350:F350,"Reviewed N/A")&lt;4,"Missing dates; ","")&amp;IF(MIN(C350:F350)&lt;TODAY(),"Overdue: ",IF(MIN(C350:F350)=TODAY(),"Due today: ",IF(MIN(C350:F350)&lt;=TODAY()+30,"Due within 30 days: ","Next: ")))&amp;INDEX($C$8:$F$8,1,MATCH(MIN(C350:F350),C350:F350,0))&amp;" "&amp;TEXT(MIN(C350:F350),"dd mmm yyyy")))))</x:f>
      </x:c>
      <x:c r="I350" s="52"/>
      <x:c r="J350" t="str">
        <x:f>IF(AND(A350&lt;&gt;"",COUNTIFS(C350,"&gt;=36526",C350,"&lt;"&amp;TODAY())+COUNTIFS(D350,"&gt;=36526",D350,"&lt;"&amp;TODAY())+COUNTIFS(E350,"&gt;=36526",E350,"&lt;"&amp;TODAY())+COUNTIFS(F350,"&gt;=36526",F350,"&lt;"&amp;TODAY())&gt;0),O350,"")</x:f>
      </x:c>
      <x:c r="K350" t="str">
        <x:f>IF(AND(A350&lt;&gt;"",COUNTIFS(C350,"&gt;=36526",C350,TODAY())+COUNTIFS(D350,"&gt;=36526",D350,TODAY())+COUNTIFS(E350,"&gt;=36526",E350,TODAY())+COUNTIFS(F350,"&gt;=36526",F350,TODAY())&gt;0),P350,"")</x:f>
      </x:c>
      <x:c r="L350" t="str">
        <x:f>IF(AND(A350&lt;&gt;"",COUNTIFS(C350,"&gt;"&amp;TODAY(),C350,"&lt;="&amp;TODAY()+30)+COUNTIFS(D350,"&gt;"&amp;TODAY(),D350,"&lt;="&amp;TODAY()+30)+COUNTIFS(E350,"&gt;"&amp;TODAY(),E350,"&lt;="&amp;TODAY()+30)+COUNTIFS(F350,"&gt;"&amp;TODAY(),F350,"&lt;="&amp;TODAY()+30)&gt;0),Q350,"")</x:f>
      </x:c>
      <x:c r="M350" t="str">
        <x:f>IF(OR(LEFT(H350,15)="Missing dates; ",LEFT(H350,16)="Add N/A reason; ",H350="Add dates",H350="Add registration",H350="Check date format"),R350,"")</x:f>
      </x:c>
      <x:c r="N350" t="str">
        <x:f>IF(COUNTIFS(C350:F350,"Reviewed N/A")&gt;0,S350,"")</x:f>
      </x:c>
      <x:c r="O350" t="n">
        <x:f>O349+IF(AND(A350&lt;&gt;"",COUNTIFS(C350,"&gt;=36526",C350,"&lt;"&amp;TODAY())+COUNTIFS(D350,"&gt;=36526",D350,"&lt;"&amp;TODAY())+COUNTIFS(E350,"&gt;=36526",E350,"&lt;"&amp;TODAY())+COUNTIFS(F350,"&gt;=36526",F350,"&lt;"&amp;TODAY())&gt;0),1,0)</x:f>
        <x:v>0</x:v>
      </x:c>
      <x:c r="P350" t="n">
        <x:f>P349+IF(AND(A350&lt;&gt;"",COUNTIFS(C350,"&gt;=36526",C350,TODAY())+COUNTIFS(D350,"&gt;=36526",D350,TODAY())+COUNTIFS(E350,"&gt;=36526",E350,TODAY())+COUNTIFS(F350,"&gt;=36526",F350,TODAY())&gt;0),1,0)</x:f>
        <x:v>0</x:v>
      </x:c>
      <x:c r="Q350" t="n">
        <x:f>Q349+IF(AND(A350&lt;&gt;"",COUNTIFS(C350,"&gt;"&amp;TODAY(),C350,"&lt;="&amp;TODAY()+30)+COUNTIFS(D350,"&gt;"&amp;TODAY(),D350,"&lt;="&amp;TODAY()+30)+COUNTIFS(E350,"&gt;"&amp;TODAY(),E350,"&lt;="&amp;TODAY()+30)+COUNTIFS(F350,"&gt;"&amp;TODAY(),F350,"&lt;="&amp;TODAY()+30)&gt;0),1,0)</x:f>
        <x:v>0</x:v>
      </x:c>
      <x:c r="R350" t="n">
        <x:f>R349+IF(OR(LEFT(H350,15)="Missing dates; ",LEFT(H350,16)="Add N/A reason; ",H350="Add dates",H350="Add registration",H350="Check date format"),1,0)</x:f>
        <x:v>0</x:v>
      </x:c>
      <x:c r="S350" t="n">
        <x:f>S349+IF(COUNTIFS(C350:F350,"Reviewed N/A")&gt;0,1,0)</x:f>
        <x:v>0</x:v>
      </x:c>
    </x:row>
    <x:row r="351" ht="48" customHeight="1">
      <x:c r="A351" s="52"/>
      <x:c r="B351" s="52"/>
      <x:c r="C351" s="53"/>
      <x:c r="D351" s="53"/>
      <x:c r="E351" s="53"/>
      <x:c r="F351" s="53"/>
      <x:c r="G351" s="52"/>
      <x:c r="H351" s="21" t="str">
        <x:f>IF(COUNTA(A351:G351,I351)=0,"",IF(A351="","Add registration",IF(OR(COUNTA(C351:F351)&gt;COUNT(C351:F351)+COUNTIFS(C351:F351,"Reviewed N/A"),AND(COUNT(C351:F351)&gt;0,OR(MIN(C351:F351)&lt;36526,MAX(C351:F351)&gt;109574))),"Check date format",IF(AND(COUNTIFS(C351:F351,"Reviewed N/A")&gt;0,I351=""),"Add N/A reason; ","")&amp;IF(COUNT(C351:F351)=0,IF(COUNTIFS(C351:F351,"Reviewed N/A")=4,"No applicable dates recorded","Add dates"),IF(COUNT(C351:F351)+COUNTIFS(C351:F351,"Reviewed N/A")&lt;4,"Missing dates; ","")&amp;IF(MIN(C351:F351)&lt;TODAY(),"Overdue: ",IF(MIN(C351:F351)=TODAY(),"Due today: ",IF(MIN(C351:F351)&lt;=TODAY()+30,"Due within 30 days: ","Next: ")))&amp;INDEX($C$8:$F$8,1,MATCH(MIN(C351:F351),C351:F351,0))&amp;" "&amp;TEXT(MIN(C351:F351),"dd mmm yyyy")))))</x:f>
      </x:c>
      <x:c r="I351" s="52"/>
      <x:c r="J351" t="str">
        <x:f>IF(AND(A351&lt;&gt;"",COUNTIFS(C351,"&gt;=36526",C351,"&lt;"&amp;TODAY())+COUNTIFS(D351,"&gt;=36526",D351,"&lt;"&amp;TODAY())+COUNTIFS(E351,"&gt;=36526",E351,"&lt;"&amp;TODAY())+COUNTIFS(F351,"&gt;=36526",F351,"&lt;"&amp;TODAY())&gt;0),O351,"")</x:f>
      </x:c>
      <x:c r="K351" t="str">
        <x:f>IF(AND(A351&lt;&gt;"",COUNTIFS(C351,"&gt;=36526",C351,TODAY())+COUNTIFS(D351,"&gt;=36526",D351,TODAY())+COUNTIFS(E351,"&gt;=36526",E351,TODAY())+COUNTIFS(F351,"&gt;=36526",F351,TODAY())&gt;0),P351,"")</x:f>
      </x:c>
      <x:c r="L351" t="str">
        <x:f>IF(AND(A351&lt;&gt;"",COUNTIFS(C351,"&gt;"&amp;TODAY(),C351,"&lt;="&amp;TODAY()+30)+COUNTIFS(D351,"&gt;"&amp;TODAY(),D351,"&lt;="&amp;TODAY()+30)+COUNTIFS(E351,"&gt;"&amp;TODAY(),E351,"&lt;="&amp;TODAY()+30)+COUNTIFS(F351,"&gt;"&amp;TODAY(),F351,"&lt;="&amp;TODAY()+30)&gt;0),Q351,"")</x:f>
      </x:c>
      <x:c r="M351" t="str">
        <x:f>IF(OR(LEFT(H351,15)="Missing dates; ",LEFT(H351,16)="Add N/A reason; ",H351="Add dates",H351="Add registration",H351="Check date format"),R351,"")</x:f>
      </x:c>
      <x:c r="N351" t="str">
        <x:f>IF(COUNTIFS(C351:F351,"Reviewed N/A")&gt;0,S351,"")</x:f>
      </x:c>
      <x:c r="O351" t="n">
        <x:f>O350+IF(AND(A351&lt;&gt;"",COUNTIFS(C351,"&gt;=36526",C351,"&lt;"&amp;TODAY())+COUNTIFS(D351,"&gt;=36526",D351,"&lt;"&amp;TODAY())+COUNTIFS(E351,"&gt;=36526",E351,"&lt;"&amp;TODAY())+COUNTIFS(F351,"&gt;=36526",F351,"&lt;"&amp;TODAY())&gt;0),1,0)</x:f>
        <x:v>0</x:v>
      </x:c>
      <x:c r="P351" t="n">
        <x:f>P350+IF(AND(A351&lt;&gt;"",COUNTIFS(C351,"&gt;=36526",C351,TODAY())+COUNTIFS(D351,"&gt;=36526",D351,TODAY())+COUNTIFS(E351,"&gt;=36526",E351,TODAY())+COUNTIFS(F351,"&gt;=36526",F351,TODAY())&gt;0),1,0)</x:f>
        <x:v>0</x:v>
      </x:c>
      <x:c r="Q351" t="n">
        <x:f>Q350+IF(AND(A351&lt;&gt;"",COUNTIFS(C351,"&gt;"&amp;TODAY(),C351,"&lt;="&amp;TODAY()+30)+COUNTIFS(D351,"&gt;"&amp;TODAY(),D351,"&lt;="&amp;TODAY()+30)+COUNTIFS(E351,"&gt;"&amp;TODAY(),E351,"&lt;="&amp;TODAY()+30)+COUNTIFS(F351,"&gt;"&amp;TODAY(),F351,"&lt;="&amp;TODAY()+30)&gt;0),1,0)</x:f>
        <x:v>0</x:v>
      </x:c>
      <x:c r="R351" t="n">
        <x:f>R350+IF(OR(LEFT(H351,15)="Missing dates; ",LEFT(H351,16)="Add N/A reason; ",H351="Add dates",H351="Add registration",H351="Check date format"),1,0)</x:f>
        <x:v>0</x:v>
      </x:c>
      <x:c r="S351" t="n">
        <x:f>S350+IF(COUNTIFS(C351:F351,"Reviewed N/A")&gt;0,1,0)</x:f>
        <x:v>0</x:v>
      </x:c>
    </x:row>
    <x:row r="352" ht="48" customHeight="1">
      <x:c r="A352" s="52"/>
      <x:c r="B352" s="52"/>
      <x:c r="C352" s="53"/>
      <x:c r="D352" s="53"/>
      <x:c r="E352" s="53"/>
      <x:c r="F352" s="53"/>
      <x:c r="G352" s="52"/>
      <x:c r="H352" s="21" t="str">
        <x:f>IF(COUNTA(A352:G352,I352)=0,"",IF(A352="","Add registration",IF(OR(COUNTA(C352:F352)&gt;COUNT(C352:F352)+COUNTIFS(C352:F352,"Reviewed N/A"),AND(COUNT(C352:F352)&gt;0,OR(MIN(C352:F352)&lt;36526,MAX(C352:F352)&gt;109574))),"Check date format",IF(AND(COUNTIFS(C352:F352,"Reviewed N/A")&gt;0,I352=""),"Add N/A reason; ","")&amp;IF(COUNT(C352:F352)=0,IF(COUNTIFS(C352:F352,"Reviewed N/A")=4,"No applicable dates recorded","Add dates"),IF(COUNT(C352:F352)+COUNTIFS(C352:F352,"Reviewed N/A")&lt;4,"Missing dates; ","")&amp;IF(MIN(C352:F352)&lt;TODAY(),"Overdue: ",IF(MIN(C352:F352)=TODAY(),"Due today: ",IF(MIN(C352:F352)&lt;=TODAY()+30,"Due within 30 days: ","Next: ")))&amp;INDEX($C$8:$F$8,1,MATCH(MIN(C352:F352),C352:F352,0))&amp;" "&amp;TEXT(MIN(C352:F352),"dd mmm yyyy")))))</x:f>
      </x:c>
      <x:c r="I352" s="52"/>
      <x:c r="J352" t="str">
        <x:f>IF(AND(A352&lt;&gt;"",COUNTIFS(C352,"&gt;=36526",C352,"&lt;"&amp;TODAY())+COUNTIFS(D352,"&gt;=36526",D352,"&lt;"&amp;TODAY())+COUNTIFS(E352,"&gt;=36526",E352,"&lt;"&amp;TODAY())+COUNTIFS(F352,"&gt;=36526",F352,"&lt;"&amp;TODAY())&gt;0),O352,"")</x:f>
      </x:c>
      <x:c r="K352" t="str">
        <x:f>IF(AND(A352&lt;&gt;"",COUNTIFS(C352,"&gt;=36526",C352,TODAY())+COUNTIFS(D352,"&gt;=36526",D352,TODAY())+COUNTIFS(E352,"&gt;=36526",E352,TODAY())+COUNTIFS(F352,"&gt;=36526",F352,TODAY())&gt;0),P352,"")</x:f>
      </x:c>
      <x:c r="L352" t="str">
        <x:f>IF(AND(A352&lt;&gt;"",COUNTIFS(C352,"&gt;"&amp;TODAY(),C352,"&lt;="&amp;TODAY()+30)+COUNTIFS(D352,"&gt;"&amp;TODAY(),D352,"&lt;="&amp;TODAY()+30)+COUNTIFS(E352,"&gt;"&amp;TODAY(),E352,"&lt;="&amp;TODAY()+30)+COUNTIFS(F352,"&gt;"&amp;TODAY(),F352,"&lt;="&amp;TODAY()+30)&gt;0),Q352,"")</x:f>
      </x:c>
      <x:c r="M352" t="str">
        <x:f>IF(OR(LEFT(H352,15)="Missing dates; ",LEFT(H352,16)="Add N/A reason; ",H352="Add dates",H352="Add registration",H352="Check date format"),R352,"")</x:f>
      </x:c>
      <x:c r="N352" t="str">
        <x:f>IF(COUNTIFS(C352:F352,"Reviewed N/A")&gt;0,S352,"")</x:f>
      </x:c>
      <x:c r="O352" t="n">
        <x:f>O351+IF(AND(A352&lt;&gt;"",COUNTIFS(C352,"&gt;=36526",C352,"&lt;"&amp;TODAY())+COUNTIFS(D352,"&gt;=36526",D352,"&lt;"&amp;TODAY())+COUNTIFS(E352,"&gt;=36526",E352,"&lt;"&amp;TODAY())+COUNTIFS(F352,"&gt;=36526",F352,"&lt;"&amp;TODAY())&gt;0),1,0)</x:f>
        <x:v>0</x:v>
      </x:c>
      <x:c r="P352" t="n">
        <x:f>P351+IF(AND(A352&lt;&gt;"",COUNTIFS(C352,"&gt;=36526",C352,TODAY())+COUNTIFS(D352,"&gt;=36526",D352,TODAY())+COUNTIFS(E352,"&gt;=36526",E352,TODAY())+COUNTIFS(F352,"&gt;=36526",F352,TODAY())&gt;0),1,0)</x:f>
        <x:v>0</x:v>
      </x:c>
      <x:c r="Q352" t="n">
        <x:f>Q351+IF(AND(A352&lt;&gt;"",COUNTIFS(C352,"&gt;"&amp;TODAY(),C352,"&lt;="&amp;TODAY()+30)+COUNTIFS(D352,"&gt;"&amp;TODAY(),D352,"&lt;="&amp;TODAY()+30)+COUNTIFS(E352,"&gt;"&amp;TODAY(),E352,"&lt;="&amp;TODAY()+30)+COUNTIFS(F352,"&gt;"&amp;TODAY(),F352,"&lt;="&amp;TODAY()+30)&gt;0),1,0)</x:f>
        <x:v>0</x:v>
      </x:c>
      <x:c r="R352" t="n">
        <x:f>R351+IF(OR(LEFT(H352,15)="Missing dates; ",LEFT(H352,16)="Add N/A reason; ",H352="Add dates",H352="Add registration",H352="Check date format"),1,0)</x:f>
        <x:v>0</x:v>
      </x:c>
      <x:c r="S352" t="n">
        <x:f>S351+IF(COUNTIFS(C352:F352,"Reviewed N/A")&gt;0,1,0)</x:f>
        <x:v>0</x:v>
      </x:c>
    </x:row>
    <x:row r="353" ht="48" customHeight="1">
      <x:c r="A353" s="52"/>
      <x:c r="B353" s="52"/>
      <x:c r="C353" s="53"/>
      <x:c r="D353" s="53"/>
      <x:c r="E353" s="53"/>
      <x:c r="F353" s="53"/>
      <x:c r="G353" s="52"/>
      <x:c r="H353" s="21" t="str">
        <x:f>IF(COUNTA(A353:G353,I353)=0,"",IF(A353="","Add registration",IF(OR(COUNTA(C353:F353)&gt;COUNT(C353:F353)+COUNTIFS(C353:F353,"Reviewed N/A"),AND(COUNT(C353:F353)&gt;0,OR(MIN(C353:F353)&lt;36526,MAX(C353:F353)&gt;109574))),"Check date format",IF(AND(COUNTIFS(C353:F353,"Reviewed N/A")&gt;0,I353=""),"Add N/A reason; ","")&amp;IF(COUNT(C353:F353)=0,IF(COUNTIFS(C353:F353,"Reviewed N/A")=4,"No applicable dates recorded","Add dates"),IF(COUNT(C353:F353)+COUNTIFS(C353:F353,"Reviewed N/A")&lt;4,"Missing dates; ","")&amp;IF(MIN(C353:F353)&lt;TODAY(),"Overdue: ",IF(MIN(C353:F353)=TODAY(),"Due today: ",IF(MIN(C353:F353)&lt;=TODAY()+30,"Due within 30 days: ","Next: ")))&amp;INDEX($C$8:$F$8,1,MATCH(MIN(C353:F353),C353:F353,0))&amp;" "&amp;TEXT(MIN(C353:F353),"dd mmm yyyy")))))</x:f>
      </x:c>
      <x:c r="I353" s="52"/>
      <x:c r="J353" t="str">
        <x:f>IF(AND(A353&lt;&gt;"",COUNTIFS(C353,"&gt;=36526",C353,"&lt;"&amp;TODAY())+COUNTIFS(D353,"&gt;=36526",D353,"&lt;"&amp;TODAY())+COUNTIFS(E353,"&gt;=36526",E353,"&lt;"&amp;TODAY())+COUNTIFS(F353,"&gt;=36526",F353,"&lt;"&amp;TODAY())&gt;0),O353,"")</x:f>
      </x:c>
      <x:c r="K353" t="str">
        <x:f>IF(AND(A353&lt;&gt;"",COUNTIFS(C353,"&gt;=36526",C353,TODAY())+COUNTIFS(D353,"&gt;=36526",D353,TODAY())+COUNTIFS(E353,"&gt;=36526",E353,TODAY())+COUNTIFS(F353,"&gt;=36526",F353,TODAY())&gt;0),P353,"")</x:f>
      </x:c>
      <x:c r="L353" t="str">
        <x:f>IF(AND(A353&lt;&gt;"",COUNTIFS(C353,"&gt;"&amp;TODAY(),C353,"&lt;="&amp;TODAY()+30)+COUNTIFS(D353,"&gt;"&amp;TODAY(),D353,"&lt;="&amp;TODAY()+30)+COUNTIFS(E353,"&gt;"&amp;TODAY(),E353,"&lt;="&amp;TODAY()+30)+COUNTIFS(F353,"&gt;"&amp;TODAY(),F353,"&lt;="&amp;TODAY()+30)&gt;0),Q353,"")</x:f>
      </x:c>
      <x:c r="M353" t="str">
        <x:f>IF(OR(LEFT(H353,15)="Missing dates; ",LEFT(H353,16)="Add N/A reason; ",H353="Add dates",H353="Add registration",H353="Check date format"),R353,"")</x:f>
      </x:c>
      <x:c r="N353" t="str">
        <x:f>IF(COUNTIFS(C353:F353,"Reviewed N/A")&gt;0,S353,"")</x:f>
      </x:c>
      <x:c r="O353" t="n">
        <x:f>O352+IF(AND(A353&lt;&gt;"",COUNTIFS(C353,"&gt;=36526",C353,"&lt;"&amp;TODAY())+COUNTIFS(D353,"&gt;=36526",D353,"&lt;"&amp;TODAY())+COUNTIFS(E353,"&gt;=36526",E353,"&lt;"&amp;TODAY())+COUNTIFS(F353,"&gt;=36526",F353,"&lt;"&amp;TODAY())&gt;0),1,0)</x:f>
        <x:v>0</x:v>
      </x:c>
      <x:c r="P353" t="n">
        <x:f>P352+IF(AND(A353&lt;&gt;"",COUNTIFS(C353,"&gt;=36526",C353,TODAY())+COUNTIFS(D353,"&gt;=36526",D353,TODAY())+COUNTIFS(E353,"&gt;=36526",E353,TODAY())+COUNTIFS(F353,"&gt;=36526",F353,TODAY())&gt;0),1,0)</x:f>
        <x:v>0</x:v>
      </x:c>
      <x:c r="Q353" t="n">
        <x:f>Q352+IF(AND(A353&lt;&gt;"",COUNTIFS(C353,"&gt;"&amp;TODAY(),C353,"&lt;="&amp;TODAY()+30)+COUNTIFS(D353,"&gt;"&amp;TODAY(),D353,"&lt;="&amp;TODAY()+30)+COUNTIFS(E353,"&gt;"&amp;TODAY(),E353,"&lt;="&amp;TODAY()+30)+COUNTIFS(F353,"&gt;"&amp;TODAY(),F353,"&lt;="&amp;TODAY()+30)&gt;0),1,0)</x:f>
        <x:v>0</x:v>
      </x:c>
      <x:c r="R353" t="n">
        <x:f>R352+IF(OR(LEFT(H353,15)="Missing dates; ",LEFT(H353,16)="Add N/A reason; ",H353="Add dates",H353="Add registration",H353="Check date format"),1,0)</x:f>
        <x:v>0</x:v>
      </x:c>
      <x:c r="S353" t="n">
        <x:f>S352+IF(COUNTIFS(C353:F353,"Reviewed N/A")&gt;0,1,0)</x:f>
        <x:v>0</x:v>
      </x:c>
    </x:row>
    <x:row r="354" ht="48" customHeight="1">
      <x:c r="A354" s="52"/>
      <x:c r="B354" s="52"/>
      <x:c r="C354" s="53"/>
      <x:c r="D354" s="53"/>
      <x:c r="E354" s="53"/>
      <x:c r="F354" s="53"/>
      <x:c r="G354" s="52"/>
      <x:c r="H354" s="21" t="str">
        <x:f>IF(COUNTA(A354:G354,I354)=0,"",IF(A354="","Add registration",IF(OR(COUNTA(C354:F354)&gt;COUNT(C354:F354)+COUNTIFS(C354:F354,"Reviewed N/A"),AND(COUNT(C354:F354)&gt;0,OR(MIN(C354:F354)&lt;36526,MAX(C354:F354)&gt;109574))),"Check date format",IF(AND(COUNTIFS(C354:F354,"Reviewed N/A")&gt;0,I354=""),"Add N/A reason; ","")&amp;IF(COUNT(C354:F354)=0,IF(COUNTIFS(C354:F354,"Reviewed N/A")=4,"No applicable dates recorded","Add dates"),IF(COUNT(C354:F354)+COUNTIFS(C354:F354,"Reviewed N/A")&lt;4,"Missing dates; ","")&amp;IF(MIN(C354:F354)&lt;TODAY(),"Overdue: ",IF(MIN(C354:F354)=TODAY(),"Due today: ",IF(MIN(C354:F354)&lt;=TODAY()+30,"Due within 30 days: ","Next: ")))&amp;INDEX($C$8:$F$8,1,MATCH(MIN(C354:F354),C354:F354,0))&amp;" "&amp;TEXT(MIN(C354:F354),"dd mmm yyyy")))))</x:f>
      </x:c>
      <x:c r="I354" s="52"/>
      <x:c r="J354" t="str">
        <x:f>IF(AND(A354&lt;&gt;"",COUNTIFS(C354,"&gt;=36526",C354,"&lt;"&amp;TODAY())+COUNTIFS(D354,"&gt;=36526",D354,"&lt;"&amp;TODAY())+COUNTIFS(E354,"&gt;=36526",E354,"&lt;"&amp;TODAY())+COUNTIFS(F354,"&gt;=36526",F354,"&lt;"&amp;TODAY())&gt;0),O354,"")</x:f>
      </x:c>
      <x:c r="K354" t="str">
        <x:f>IF(AND(A354&lt;&gt;"",COUNTIFS(C354,"&gt;=36526",C354,TODAY())+COUNTIFS(D354,"&gt;=36526",D354,TODAY())+COUNTIFS(E354,"&gt;=36526",E354,TODAY())+COUNTIFS(F354,"&gt;=36526",F354,TODAY())&gt;0),P354,"")</x:f>
      </x:c>
      <x:c r="L354" t="str">
        <x:f>IF(AND(A354&lt;&gt;"",COUNTIFS(C354,"&gt;"&amp;TODAY(),C354,"&lt;="&amp;TODAY()+30)+COUNTIFS(D354,"&gt;"&amp;TODAY(),D354,"&lt;="&amp;TODAY()+30)+COUNTIFS(E354,"&gt;"&amp;TODAY(),E354,"&lt;="&amp;TODAY()+30)+COUNTIFS(F354,"&gt;"&amp;TODAY(),F354,"&lt;="&amp;TODAY()+30)&gt;0),Q354,"")</x:f>
      </x:c>
      <x:c r="M354" t="str">
        <x:f>IF(OR(LEFT(H354,15)="Missing dates; ",LEFT(H354,16)="Add N/A reason; ",H354="Add dates",H354="Add registration",H354="Check date format"),R354,"")</x:f>
      </x:c>
      <x:c r="N354" t="str">
        <x:f>IF(COUNTIFS(C354:F354,"Reviewed N/A")&gt;0,S354,"")</x:f>
      </x:c>
      <x:c r="O354" t="n">
        <x:f>O353+IF(AND(A354&lt;&gt;"",COUNTIFS(C354,"&gt;=36526",C354,"&lt;"&amp;TODAY())+COUNTIFS(D354,"&gt;=36526",D354,"&lt;"&amp;TODAY())+COUNTIFS(E354,"&gt;=36526",E354,"&lt;"&amp;TODAY())+COUNTIFS(F354,"&gt;=36526",F354,"&lt;"&amp;TODAY())&gt;0),1,0)</x:f>
        <x:v>0</x:v>
      </x:c>
      <x:c r="P354" t="n">
        <x:f>P353+IF(AND(A354&lt;&gt;"",COUNTIFS(C354,"&gt;=36526",C354,TODAY())+COUNTIFS(D354,"&gt;=36526",D354,TODAY())+COUNTIFS(E354,"&gt;=36526",E354,TODAY())+COUNTIFS(F354,"&gt;=36526",F354,TODAY())&gt;0),1,0)</x:f>
        <x:v>0</x:v>
      </x:c>
      <x:c r="Q354" t="n">
        <x:f>Q353+IF(AND(A354&lt;&gt;"",COUNTIFS(C354,"&gt;"&amp;TODAY(),C354,"&lt;="&amp;TODAY()+30)+COUNTIFS(D354,"&gt;"&amp;TODAY(),D354,"&lt;="&amp;TODAY()+30)+COUNTIFS(E354,"&gt;"&amp;TODAY(),E354,"&lt;="&amp;TODAY()+30)+COUNTIFS(F354,"&gt;"&amp;TODAY(),F354,"&lt;="&amp;TODAY()+30)&gt;0),1,0)</x:f>
        <x:v>0</x:v>
      </x:c>
      <x:c r="R354" t="n">
        <x:f>R353+IF(OR(LEFT(H354,15)="Missing dates; ",LEFT(H354,16)="Add N/A reason; ",H354="Add dates",H354="Add registration",H354="Check date format"),1,0)</x:f>
        <x:v>0</x:v>
      </x:c>
      <x:c r="S354" t="n">
        <x:f>S353+IF(COUNTIFS(C354:F354,"Reviewed N/A")&gt;0,1,0)</x:f>
        <x:v>0</x:v>
      </x:c>
    </x:row>
    <x:row r="355" ht="48" customHeight="1">
      <x:c r="A355" s="52"/>
      <x:c r="B355" s="52"/>
      <x:c r="C355" s="53"/>
      <x:c r="D355" s="53"/>
      <x:c r="E355" s="53"/>
      <x:c r="F355" s="53"/>
      <x:c r="G355" s="52"/>
      <x:c r="H355" s="21" t="str">
        <x:f>IF(COUNTA(A355:G355,I355)=0,"",IF(A355="","Add registration",IF(OR(COUNTA(C355:F355)&gt;COUNT(C355:F355)+COUNTIFS(C355:F355,"Reviewed N/A"),AND(COUNT(C355:F355)&gt;0,OR(MIN(C355:F355)&lt;36526,MAX(C355:F355)&gt;109574))),"Check date format",IF(AND(COUNTIFS(C355:F355,"Reviewed N/A")&gt;0,I355=""),"Add N/A reason; ","")&amp;IF(COUNT(C355:F355)=0,IF(COUNTIFS(C355:F355,"Reviewed N/A")=4,"No applicable dates recorded","Add dates"),IF(COUNT(C355:F355)+COUNTIFS(C355:F355,"Reviewed N/A")&lt;4,"Missing dates; ","")&amp;IF(MIN(C355:F355)&lt;TODAY(),"Overdue: ",IF(MIN(C355:F355)=TODAY(),"Due today: ",IF(MIN(C355:F355)&lt;=TODAY()+30,"Due within 30 days: ","Next: ")))&amp;INDEX($C$8:$F$8,1,MATCH(MIN(C355:F355),C355:F355,0))&amp;" "&amp;TEXT(MIN(C355:F355),"dd mmm yyyy")))))</x:f>
      </x:c>
      <x:c r="I355" s="52"/>
      <x:c r="J355" t="str">
        <x:f>IF(AND(A355&lt;&gt;"",COUNTIFS(C355,"&gt;=36526",C355,"&lt;"&amp;TODAY())+COUNTIFS(D355,"&gt;=36526",D355,"&lt;"&amp;TODAY())+COUNTIFS(E355,"&gt;=36526",E355,"&lt;"&amp;TODAY())+COUNTIFS(F355,"&gt;=36526",F355,"&lt;"&amp;TODAY())&gt;0),O355,"")</x:f>
      </x:c>
      <x:c r="K355" t="str">
        <x:f>IF(AND(A355&lt;&gt;"",COUNTIFS(C355,"&gt;=36526",C355,TODAY())+COUNTIFS(D355,"&gt;=36526",D355,TODAY())+COUNTIFS(E355,"&gt;=36526",E355,TODAY())+COUNTIFS(F355,"&gt;=36526",F355,TODAY())&gt;0),P355,"")</x:f>
      </x:c>
      <x:c r="L355" t="str">
        <x:f>IF(AND(A355&lt;&gt;"",COUNTIFS(C355,"&gt;"&amp;TODAY(),C355,"&lt;="&amp;TODAY()+30)+COUNTIFS(D355,"&gt;"&amp;TODAY(),D355,"&lt;="&amp;TODAY()+30)+COUNTIFS(E355,"&gt;"&amp;TODAY(),E355,"&lt;="&amp;TODAY()+30)+COUNTIFS(F355,"&gt;"&amp;TODAY(),F355,"&lt;="&amp;TODAY()+30)&gt;0),Q355,"")</x:f>
      </x:c>
      <x:c r="M355" t="str">
        <x:f>IF(OR(LEFT(H355,15)="Missing dates; ",LEFT(H355,16)="Add N/A reason; ",H355="Add dates",H355="Add registration",H355="Check date format"),R355,"")</x:f>
      </x:c>
      <x:c r="N355" t="str">
        <x:f>IF(COUNTIFS(C355:F355,"Reviewed N/A")&gt;0,S355,"")</x:f>
      </x:c>
      <x:c r="O355" t="n">
        <x:f>O354+IF(AND(A355&lt;&gt;"",COUNTIFS(C355,"&gt;=36526",C355,"&lt;"&amp;TODAY())+COUNTIFS(D355,"&gt;=36526",D355,"&lt;"&amp;TODAY())+COUNTIFS(E355,"&gt;=36526",E355,"&lt;"&amp;TODAY())+COUNTIFS(F355,"&gt;=36526",F355,"&lt;"&amp;TODAY())&gt;0),1,0)</x:f>
        <x:v>0</x:v>
      </x:c>
      <x:c r="P355" t="n">
        <x:f>P354+IF(AND(A355&lt;&gt;"",COUNTIFS(C355,"&gt;=36526",C355,TODAY())+COUNTIFS(D355,"&gt;=36526",D355,TODAY())+COUNTIFS(E355,"&gt;=36526",E355,TODAY())+COUNTIFS(F355,"&gt;=36526",F355,TODAY())&gt;0),1,0)</x:f>
        <x:v>0</x:v>
      </x:c>
      <x:c r="Q355" t="n">
        <x:f>Q354+IF(AND(A355&lt;&gt;"",COUNTIFS(C355,"&gt;"&amp;TODAY(),C355,"&lt;="&amp;TODAY()+30)+COUNTIFS(D355,"&gt;"&amp;TODAY(),D355,"&lt;="&amp;TODAY()+30)+COUNTIFS(E355,"&gt;"&amp;TODAY(),E355,"&lt;="&amp;TODAY()+30)+COUNTIFS(F355,"&gt;"&amp;TODAY(),F355,"&lt;="&amp;TODAY()+30)&gt;0),1,0)</x:f>
        <x:v>0</x:v>
      </x:c>
      <x:c r="R355" t="n">
        <x:f>R354+IF(OR(LEFT(H355,15)="Missing dates; ",LEFT(H355,16)="Add N/A reason; ",H355="Add dates",H355="Add registration",H355="Check date format"),1,0)</x:f>
        <x:v>0</x:v>
      </x:c>
      <x:c r="S355" t="n">
        <x:f>S354+IF(COUNTIFS(C355:F355,"Reviewed N/A")&gt;0,1,0)</x:f>
        <x:v>0</x:v>
      </x:c>
    </x:row>
    <x:row r="356" ht="48" customHeight="1">
      <x:c r="A356" s="52"/>
      <x:c r="B356" s="52"/>
      <x:c r="C356" s="53"/>
      <x:c r="D356" s="53"/>
      <x:c r="E356" s="53"/>
      <x:c r="F356" s="53"/>
      <x:c r="G356" s="52"/>
      <x:c r="H356" s="21" t="str">
        <x:f>IF(COUNTA(A356:G356,I356)=0,"",IF(A356="","Add registration",IF(OR(COUNTA(C356:F356)&gt;COUNT(C356:F356)+COUNTIFS(C356:F356,"Reviewed N/A"),AND(COUNT(C356:F356)&gt;0,OR(MIN(C356:F356)&lt;36526,MAX(C356:F356)&gt;109574))),"Check date format",IF(AND(COUNTIFS(C356:F356,"Reviewed N/A")&gt;0,I356=""),"Add N/A reason; ","")&amp;IF(COUNT(C356:F356)=0,IF(COUNTIFS(C356:F356,"Reviewed N/A")=4,"No applicable dates recorded","Add dates"),IF(COUNT(C356:F356)+COUNTIFS(C356:F356,"Reviewed N/A")&lt;4,"Missing dates; ","")&amp;IF(MIN(C356:F356)&lt;TODAY(),"Overdue: ",IF(MIN(C356:F356)=TODAY(),"Due today: ",IF(MIN(C356:F356)&lt;=TODAY()+30,"Due within 30 days: ","Next: ")))&amp;INDEX($C$8:$F$8,1,MATCH(MIN(C356:F356),C356:F356,0))&amp;" "&amp;TEXT(MIN(C356:F356),"dd mmm yyyy")))))</x:f>
      </x:c>
      <x:c r="I356" s="52"/>
      <x:c r="J356" t="str">
        <x:f>IF(AND(A356&lt;&gt;"",COUNTIFS(C356,"&gt;=36526",C356,"&lt;"&amp;TODAY())+COUNTIFS(D356,"&gt;=36526",D356,"&lt;"&amp;TODAY())+COUNTIFS(E356,"&gt;=36526",E356,"&lt;"&amp;TODAY())+COUNTIFS(F356,"&gt;=36526",F356,"&lt;"&amp;TODAY())&gt;0),O356,"")</x:f>
      </x:c>
      <x:c r="K356" t="str">
        <x:f>IF(AND(A356&lt;&gt;"",COUNTIFS(C356,"&gt;=36526",C356,TODAY())+COUNTIFS(D356,"&gt;=36526",D356,TODAY())+COUNTIFS(E356,"&gt;=36526",E356,TODAY())+COUNTIFS(F356,"&gt;=36526",F356,TODAY())&gt;0),P356,"")</x:f>
      </x:c>
      <x:c r="L356" t="str">
        <x:f>IF(AND(A356&lt;&gt;"",COUNTIFS(C356,"&gt;"&amp;TODAY(),C356,"&lt;="&amp;TODAY()+30)+COUNTIFS(D356,"&gt;"&amp;TODAY(),D356,"&lt;="&amp;TODAY()+30)+COUNTIFS(E356,"&gt;"&amp;TODAY(),E356,"&lt;="&amp;TODAY()+30)+COUNTIFS(F356,"&gt;"&amp;TODAY(),F356,"&lt;="&amp;TODAY()+30)&gt;0),Q356,"")</x:f>
      </x:c>
      <x:c r="M356" t="str">
        <x:f>IF(OR(LEFT(H356,15)="Missing dates; ",LEFT(H356,16)="Add N/A reason; ",H356="Add dates",H356="Add registration",H356="Check date format"),R356,"")</x:f>
      </x:c>
      <x:c r="N356" t="str">
        <x:f>IF(COUNTIFS(C356:F356,"Reviewed N/A")&gt;0,S356,"")</x:f>
      </x:c>
      <x:c r="O356" t="n">
        <x:f>O355+IF(AND(A356&lt;&gt;"",COUNTIFS(C356,"&gt;=36526",C356,"&lt;"&amp;TODAY())+COUNTIFS(D356,"&gt;=36526",D356,"&lt;"&amp;TODAY())+COUNTIFS(E356,"&gt;=36526",E356,"&lt;"&amp;TODAY())+COUNTIFS(F356,"&gt;=36526",F356,"&lt;"&amp;TODAY())&gt;0),1,0)</x:f>
        <x:v>0</x:v>
      </x:c>
      <x:c r="P356" t="n">
        <x:f>P355+IF(AND(A356&lt;&gt;"",COUNTIFS(C356,"&gt;=36526",C356,TODAY())+COUNTIFS(D356,"&gt;=36526",D356,TODAY())+COUNTIFS(E356,"&gt;=36526",E356,TODAY())+COUNTIFS(F356,"&gt;=36526",F356,TODAY())&gt;0),1,0)</x:f>
        <x:v>0</x:v>
      </x:c>
      <x:c r="Q356" t="n">
        <x:f>Q355+IF(AND(A356&lt;&gt;"",COUNTIFS(C356,"&gt;"&amp;TODAY(),C356,"&lt;="&amp;TODAY()+30)+COUNTIFS(D356,"&gt;"&amp;TODAY(),D356,"&lt;="&amp;TODAY()+30)+COUNTIFS(E356,"&gt;"&amp;TODAY(),E356,"&lt;="&amp;TODAY()+30)+COUNTIFS(F356,"&gt;"&amp;TODAY(),F356,"&lt;="&amp;TODAY()+30)&gt;0),1,0)</x:f>
        <x:v>0</x:v>
      </x:c>
      <x:c r="R356" t="n">
        <x:f>R355+IF(OR(LEFT(H356,15)="Missing dates; ",LEFT(H356,16)="Add N/A reason; ",H356="Add dates",H356="Add registration",H356="Check date format"),1,0)</x:f>
        <x:v>0</x:v>
      </x:c>
      <x:c r="S356" t="n">
        <x:f>S355+IF(COUNTIFS(C356:F356,"Reviewed N/A")&gt;0,1,0)</x:f>
        <x:v>0</x:v>
      </x:c>
    </x:row>
    <x:row r="357" ht="48" customHeight="1">
      <x:c r="A357" s="52"/>
      <x:c r="B357" s="52"/>
      <x:c r="C357" s="53"/>
      <x:c r="D357" s="53"/>
      <x:c r="E357" s="53"/>
      <x:c r="F357" s="53"/>
      <x:c r="G357" s="52"/>
      <x:c r="H357" s="21" t="str">
        <x:f>IF(COUNTA(A357:G357,I357)=0,"",IF(A357="","Add registration",IF(OR(COUNTA(C357:F357)&gt;COUNT(C357:F357)+COUNTIFS(C357:F357,"Reviewed N/A"),AND(COUNT(C357:F357)&gt;0,OR(MIN(C357:F357)&lt;36526,MAX(C357:F357)&gt;109574))),"Check date format",IF(AND(COUNTIFS(C357:F357,"Reviewed N/A")&gt;0,I357=""),"Add N/A reason; ","")&amp;IF(COUNT(C357:F357)=0,IF(COUNTIFS(C357:F357,"Reviewed N/A")=4,"No applicable dates recorded","Add dates"),IF(COUNT(C357:F357)+COUNTIFS(C357:F357,"Reviewed N/A")&lt;4,"Missing dates; ","")&amp;IF(MIN(C357:F357)&lt;TODAY(),"Overdue: ",IF(MIN(C357:F357)=TODAY(),"Due today: ",IF(MIN(C357:F357)&lt;=TODAY()+30,"Due within 30 days: ","Next: ")))&amp;INDEX($C$8:$F$8,1,MATCH(MIN(C357:F357),C357:F357,0))&amp;" "&amp;TEXT(MIN(C357:F357),"dd mmm yyyy")))))</x:f>
      </x:c>
      <x:c r="I357" s="52"/>
      <x:c r="J357" t="str">
        <x:f>IF(AND(A357&lt;&gt;"",COUNTIFS(C357,"&gt;=36526",C357,"&lt;"&amp;TODAY())+COUNTIFS(D357,"&gt;=36526",D357,"&lt;"&amp;TODAY())+COUNTIFS(E357,"&gt;=36526",E357,"&lt;"&amp;TODAY())+COUNTIFS(F357,"&gt;=36526",F357,"&lt;"&amp;TODAY())&gt;0),O357,"")</x:f>
      </x:c>
      <x:c r="K357" t="str">
        <x:f>IF(AND(A357&lt;&gt;"",COUNTIFS(C357,"&gt;=36526",C357,TODAY())+COUNTIFS(D357,"&gt;=36526",D357,TODAY())+COUNTIFS(E357,"&gt;=36526",E357,TODAY())+COUNTIFS(F357,"&gt;=36526",F357,TODAY())&gt;0),P357,"")</x:f>
      </x:c>
      <x:c r="L357" t="str">
        <x:f>IF(AND(A357&lt;&gt;"",COUNTIFS(C357,"&gt;"&amp;TODAY(),C357,"&lt;="&amp;TODAY()+30)+COUNTIFS(D357,"&gt;"&amp;TODAY(),D357,"&lt;="&amp;TODAY()+30)+COUNTIFS(E357,"&gt;"&amp;TODAY(),E357,"&lt;="&amp;TODAY()+30)+COUNTIFS(F357,"&gt;"&amp;TODAY(),F357,"&lt;="&amp;TODAY()+30)&gt;0),Q357,"")</x:f>
      </x:c>
      <x:c r="M357" t="str">
        <x:f>IF(OR(LEFT(H357,15)="Missing dates; ",LEFT(H357,16)="Add N/A reason; ",H357="Add dates",H357="Add registration",H357="Check date format"),R357,"")</x:f>
      </x:c>
      <x:c r="N357" t="str">
        <x:f>IF(COUNTIFS(C357:F357,"Reviewed N/A")&gt;0,S357,"")</x:f>
      </x:c>
      <x:c r="O357" t="n">
        <x:f>O356+IF(AND(A357&lt;&gt;"",COUNTIFS(C357,"&gt;=36526",C357,"&lt;"&amp;TODAY())+COUNTIFS(D357,"&gt;=36526",D357,"&lt;"&amp;TODAY())+COUNTIFS(E357,"&gt;=36526",E357,"&lt;"&amp;TODAY())+COUNTIFS(F357,"&gt;=36526",F357,"&lt;"&amp;TODAY())&gt;0),1,0)</x:f>
        <x:v>0</x:v>
      </x:c>
      <x:c r="P357" t="n">
        <x:f>P356+IF(AND(A357&lt;&gt;"",COUNTIFS(C357,"&gt;=36526",C357,TODAY())+COUNTIFS(D357,"&gt;=36526",D357,TODAY())+COUNTIFS(E357,"&gt;=36526",E357,TODAY())+COUNTIFS(F357,"&gt;=36526",F357,TODAY())&gt;0),1,0)</x:f>
        <x:v>0</x:v>
      </x:c>
      <x:c r="Q357" t="n">
        <x:f>Q356+IF(AND(A357&lt;&gt;"",COUNTIFS(C357,"&gt;"&amp;TODAY(),C357,"&lt;="&amp;TODAY()+30)+COUNTIFS(D357,"&gt;"&amp;TODAY(),D357,"&lt;="&amp;TODAY()+30)+COUNTIFS(E357,"&gt;"&amp;TODAY(),E357,"&lt;="&amp;TODAY()+30)+COUNTIFS(F357,"&gt;"&amp;TODAY(),F357,"&lt;="&amp;TODAY()+30)&gt;0),1,0)</x:f>
        <x:v>0</x:v>
      </x:c>
      <x:c r="R357" t="n">
        <x:f>R356+IF(OR(LEFT(H357,15)="Missing dates; ",LEFT(H357,16)="Add N/A reason; ",H357="Add dates",H357="Add registration",H357="Check date format"),1,0)</x:f>
        <x:v>0</x:v>
      </x:c>
      <x:c r="S357" t="n">
        <x:f>S356+IF(COUNTIFS(C357:F357,"Reviewed N/A")&gt;0,1,0)</x:f>
        <x:v>0</x:v>
      </x:c>
    </x:row>
    <x:row r="358" ht="48" customHeight="1">
      <x:c r="A358" s="52"/>
      <x:c r="B358" s="52"/>
      <x:c r="C358" s="53"/>
      <x:c r="D358" s="53"/>
      <x:c r="E358" s="53"/>
      <x:c r="F358" s="53"/>
      <x:c r="G358" s="52"/>
      <x:c r="H358" s="21" t="str">
        <x:f>IF(COUNTA(A358:G358,I358)=0,"",IF(A358="","Add registration",IF(OR(COUNTA(C358:F358)&gt;COUNT(C358:F358)+COUNTIFS(C358:F358,"Reviewed N/A"),AND(COUNT(C358:F358)&gt;0,OR(MIN(C358:F358)&lt;36526,MAX(C358:F358)&gt;109574))),"Check date format",IF(AND(COUNTIFS(C358:F358,"Reviewed N/A")&gt;0,I358=""),"Add N/A reason; ","")&amp;IF(COUNT(C358:F358)=0,IF(COUNTIFS(C358:F358,"Reviewed N/A")=4,"No applicable dates recorded","Add dates"),IF(COUNT(C358:F358)+COUNTIFS(C358:F358,"Reviewed N/A")&lt;4,"Missing dates; ","")&amp;IF(MIN(C358:F358)&lt;TODAY(),"Overdue: ",IF(MIN(C358:F358)=TODAY(),"Due today: ",IF(MIN(C358:F358)&lt;=TODAY()+30,"Due within 30 days: ","Next: ")))&amp;INDEX($C$8:$F$8,1,MATCH(MIN(C358:F358),C358:F358,0))&amp;" "&amp;TEXT(MIN(C358:F358),"dd mmm yyyy")))))</x:f>
      </x:c>
      <x:c r="I358" s="52"/>
      <x:c r="J358" t="str">
        <x:f>IF(AND(A358&lt;&gt;"",COUNTIFS(C358,"&gt;=36526",C358,"&lt;"&amp;TODAY())+COUNTIFS(D358,"&gt;=36526",D358,"&lt;"&amp;TODAY())+COUNTIFS(E358,"&gt;=36526",E358,"&lt;"&amp;TODAY())+COUNTIFS(F358,"&gt;=36526",F358,"&lt;"&amp;TODAY())&gt;0),O358,"")</x:f>
      </x:c>
      <x:c r="K358" t="str">
        <x:f>IF(AND(A358&lt;&gt;"",COUNTIFS(C358,"&gt;=36526",C358,TODAY())+COUNTIFS(D358,"&gt;=36526",D358,TODAY())+COUNTIFS(E358,"&gt;=36526",E358,TODAY())+COUNTIFS(F358,"&gt;=36526",F358,TODAY())&gt;0),P358,"")</x:f>
      </x:c>
      <x:c r="L358" t="str">
        <x:f>IF(AND(A358&lt;&gt;"",COUNTIFS(C358,"&gt;"&amp;TODAY(),C358,"&lt;="&amp;TODAY()+30)+COUNTIFS(D358,"&gt;"&amp;TODAY(),D358,"&lt;="&amp;TODAY()+30)+COUNTIFS(E358,"&gt;"&amp;TODAY(),E358,"&lt;="&amp;TODAY()+30)+COUNTIFS(F358,"&gt;"&amp;TODAY(),F358,"&lt;="&amp;TODAY()+30)&gt;0),Q358,"")</x:f>
      </x:c>
      <x:c r="M358" t="str">
        <x:f>IF(OR(LEFT(H358,15)="Missing dates; ",LEFT(H358,16)="Add N/A reason; ",H358="Add dates",H358="Add registration",H358="Check date format"),R358,"")</x:f>
      </x:c>
      <x:c r="N358" t="str">
        <x:f>IF(COUNTIFS(C358:F358,"Reviewed N/A")&gt;0,S358,"")</x:f>
      </x:c>
      <x:c r="O358" t="n">
        <x:f>O357+IF(AND(A358&lt;&gt;"",COUNTIFS(C358,"&gt;=36526",C358,"&lt;"&amp;TODAY())+COUNTIFS(D358,"&gt;=36526",D358,"&lt;"&amp;TODAY())+COUNTIFS(E358,"&gt;=36526",E358,"&lt;"&amp;TODAY())+COUNTIFS(F358,"&gt;=36526",F358,"&lt;"&amp;TODAY())&gt;0),1,0)</x:f>
        <x:v>0</x:v>
      </x:c>
      <x:c r="P358" t="n">
        <x:f>P357+IF(AND(A358&lt;&gt;"",COUNTIFS(C358,"&gt;=36526",C358,TODAY())+COUNTIFS(D358,"&gt;=36526",D358,TODAY())+COUNTIFS(E358,"&gt;=36526",E358,TODAY())+COUNTIFS(F358,"&gt;=36526",F358,TODAY())&gt;0),1,0)</x:f>
        <x:v>0</x:v>
      </x:c>
      <x:c r="Q358" t="n">
        <x:f>Q357+IF(AND(A358&lt;&gt;"",COUNTIFS(C358,"&gt;"&amp;TODAY(),C358,"&lt;="&amp;TODAY()+30)+COUNTIFS(D358,"&gt;"&amp;TODAY(),D358,"&lt;="&amp;TODAY()+30)+COUNTIFS(E358,"&gt;"&amp;TODAY(),E358,"&lt;="&amp;TODAY()+30)+COUNTIFS(F358,"&gt;"&amp;TODAY(),F358,"&lt;="&amp;TODAY()+30)&gt;0),1,0)</x:f>
        <x:v>0</x:v>
      </x:c>
      <x:c r="R358" t="n">
        <x:f>R357+IF(OR(LEFT(H358,15)="Missing dates; ",LEFT(H358,16)="Add N/A reason; ",H358="Add dates",H358="Add registration",H358="Check date format"),1,0)</x:f>
        <x:v>0</x:v>
      </x:c>
      <x:c r="S358" t="n">
        <x:f>S357+IF(COUNTIFS(C358:F358,"Reviewed N/A")&gt;0,1,0)</x:f>
        <x:v>0</x:v>
      </x:c>
    </x:row>
    <x:row r="359" ht="48" customHeight="1">
      <x:c r="A359" s="52"/>
      <x:c r="B359" s="52"/>
      <x:c r="C359" s="53"/>
      <x:c r="D359" s="53"/>
      <x:c r="E359" s="53"/>
      <x:c r="F359" s="53"/>
      <x:c r="G359" s="52"/>
      <x:c r="H359" s="21" t="str">
        <x:f>IF(COUNTA(A359:G359,I359)=0,"",IF(A359="","Add registration",IF(OR(COUNTA(C359:F359)&gt;COUNT(C359:F359)+COUNTIFS(C359:F359,"Reviewed N/A"),AND(COUNT(C359:F359)&gt;0,OR(MIN(C359:F359)&lt;36526,MAX(C359:F359)&gt;109574))),"Check date format",IF(AND(COUNTIFS(C359:F359,"Reviewed N/A")&gt;0,I359=""),"Add N/A reason; ","")&amp;IF(COUNT(C359:F359)=0,IF(COUNTIFS(C359:F359,"Reviewed N/A")=4,"No applicable dates recorded","Add dates"),IF(COUNT(C359:F359)+COUNTIFS(C359:F359,"Reviewed N/A")&lt;4,"Missing dates; ","")&amp;IF(MIN(C359:F359)&lt;TODAY(),"Overdue: ",IF(MIN(C359:F359)=TODAY(),"Due today: ",IF(MIN(C359:F359)&lt;=TODAY()+30,"Due within 30 days: ","Next: ")))&amp;INDEX($C$8:$F$8,1,MATCH(MIN(C359:F359),C359:F359,0))&amp;" "&amp;TEXT(MIN(C359:F359),"dd mmm yyyy")))))</x:f>
      </x:c>
      <x:c r="I359" s="52"/>
      <x:c r="J359" t="str">
        <x:f>IF(AND(A359&lt;&gt;"",COUNTIFS(C359,"&gt;=36526",C359,"&lt;"&amp;TODAY())+COUNTIFS(D359,"&gt;=36526",D359,"&lt;"&amp;TODAY())+COUNTIFS(E359,"&gt;=36526",E359,"&lt;"&amp;TODAY())+COUNTIFS(F359,"&gt;=36526",F359,"&lt;"&amp;TODAY())&gt;0),O359,"")</x:f>
      </x:c>
      <x:c r="K359" t="str">
        <x:f>IF(AND(A359&lt;&gt;"",COUNTIFS(C359,"&gt;=36526",C359,TODAY())+COUNTIFS(D359,"&gt;=36526",D359,TODAY())+COUNTIFS(E359,"&gt;=36526",E359,TODAY())+COUNTIFS(F359,"&gt;=36526",F359,TODAY())&gt;0),P359,"")</x:f>
      </x:c>
      <x:c r="L359" t="str">
        <x:f>IF(AND(A359&lt;&gt;"",COUNTIFS(C359,"&gt;"&amp;TODAY(),C359,"&lt;="&amp;TODAY()+30)+COUNTIFS(D359,"&gt;"&amp;TODAY(),D359,"&lt;="&amp;TODAY()+30)+COUNTIFS(E359,"&gt;"&amp;TODAY(),E359,"&lt;="&amp;TODAY()+30)+COUNTIFS(F359,"&gt;"&amp;TODAY(),F359,"&lt;="&amp;TODAY()+30)&gt;0),Q359,"")</x:f>
      </x:c>
      <x:c r="M359" t="str">
        <x:f>IF(OR(LEFT(H359,15)="Missing dates; ",LEFT(H359,16)="Add N/A reason; ",H359="Add dates",H359="Add registration",H359="Check date format"),R359,"")</x:f>
      </x:c>
      <x:c r="N359" t="str">
        <x:f>IF(COUNTIFS(C359:F359,"Reviewed N/A")&gt;0,S359,"")</x:f>
      </x:c>
      <x:c r="O359" t="n">
        <x:f>O358+IF(AND(A359&lt;&gt;"",COUNTIFS(C359,"&gt;=36526",C359,"&lt;"&amp;TODAY())+COUNTIFS(D359,"&gt;=36526",D359,"&lt;"&amp;TODAY())+COUNTIFS(E359,"&gt;=36526",E359,"&lt;"&amp;TODAY())+COUNTIFS(F359,"&gt;=36526",F359,"&lt;"&amp;TODAY())&gt;0),1,0)</x:f>
        <x:v>0</x:v>
      </x:c>
      <x:c r="P359" t="n">
        <x:f>P358+IF(AND(A359&lt;&gt;"",COUNTIFS(C359,"&gt;=36526",C359,TODAY())+COUNTIFS(D359,"&gt;=36526",D359,TODAY())+COUNTIFS(E359,"&gt;=36526",E359,TODAY())+COUNTIFS(F359,"&gt;=36526",F359,TODAY())&gt;0),1,0)</x:f>
        <x:v>0</x:v>
      </x:c>
      <x:c r="Q359" t="n">
        <x:f>Q358+IF(AND(A359&lt;&gt;"",COUNTIFS(C359,"&gt;"&amp;TODAY(),C359,"&lt;="&amp;TODAY()+30)+COUNTIFS(D359,"&gt;"&amp;TODAY(),D359,"&lt;="&amp;TODAY()+30)+COUNTIFS(E359,"&gt;"&amp;TODAY(),E359,"&lt;="&amp;TODAY()+30)+COUNTIFS(F359,"&gt;"&amp;TODAY(),F359,"&lt;="&amp;TODAY()+30)&gt;0),1,0)</x:f>
        <x:v>0</x:v>
      </x:c>
      <x:c r="R359" t="n">
        <x:f>R358+IF(OR(LEFT(H359,15)="Missing dates; ",LEFT(H359,16)="Add N/A reason; ",H359="Add dates",H359="Add registration",H359="Check date format"),1,0)</x:f>
        <x:v>0</x:v>
      </x:c>
      <x:c r="S359" t="n">
        <x:f>S358+IF(COUNTIFS(C359:F359,"Reviewed N/A")&gt;0,1,0)</x:f>
        <x:v>0</x:v>
      </x:c>
    </x:row>
    <x:row r="360" ht="48" customHeight="1">
      <x:c r="A360" s="52"/>
      <x:c r="B360" s="52"/>
      <x:c r="C360" s="53"/>
      <x:c r="D360" s="53"/>
      <x:c r="E360" s="53"/>
      <x:c r="F360" s="53"/>
      <x:c r="G360" s="52"/>
      <x:c r="H360" s="21" t="str">
        <x:f>IF(COUNTA(A360:G360,I360)=0,"",IF(A360="","Add registration",IF(OR(COUNTA(C360:F360)&gt;COUNT(C360:F360)+COUNTIFS(C360:F360,"Reviewed N/A"),AND(COUNT(C360:F360)&gt;0,OR(MIN(C360:F360)&lt;36526,MAX(C360:F360)&gt;109574))),"Check date format",IF(AND(COUNTIFS(C360:F360,"Reviewed N/A")&gt;0,I360=""),"Add N/A reason; ","")&amp;IF(COUNT(C360:F360)=0,IF(COUNTIFS(C360:F360,"Reviewed N/A")=4,"No applicable dates recorded","Add dates"),IF(COUNT(C360:F360)+COUNTIFS(C360:F360,"Reviewed N/A")&lt;4,"Missing dates; ","")&amp;IF(MIN(C360:F360)&lt;TODAY(),"Overdue: ",IF(MIN(C360:F360)=TODAY(),"Due today: ",IF(MIN(C360:F360)&lt;=TODAY()+30,"Due within 30 days: ","Next: ")))&amp;INDEX($C$8:$F$8,1,MATCH(MIN(C360:F360),C360:F360,0))&amp;" "&amp;TEXT(MIN(C360:F360),"dd mmm yyyy")))))</x:f>
      </x:c>
      <x:c r="I360" s="52"/>
      <x:c r="J360" t="str">
        <x:f>IF(AND(A360&lt;&gt;"",COUNTIFS(C360,"&gt;=36526",C360,"&lt;"&amp;TODAY())+COUNTIFS(D360,"&gt;=36526",D360,"&lt;"&amp;TODAY())+COUNTIFS(E360,"&gt;=36526",E360,"&lt;"&amp;TODAY())+COUNTIFS(F360,"&gt;=36526",F360,"&lt;"&amp;TODAY())&gt;0),O360,"")</x:f>
      </x:c>
      <x:c r="K360" t="str">
        <x:f>IF(AND(A360&lt;&gt;"",COUNTIFS(C360,"&gt;=36526",C360,TODAY())+COUNTIFS(D360,"&gt;=36526",D360,TODAY())+COUNTIFS(E360,"&gt;=36526",E360,TODAY())+COUNTIFS(F360,"&gt;=36526",F360,TODAY())&gt;0),P360,"")</x:f>
      </x:c>
      <x:c r="L360" t="str">
        <x:f>IF(AND(A360&lt;&gt;"",COUNTIFS(C360,"&gt;"&amp;TODAY(),C360,"&lt;="&amp;TODAY()+30)+COUNTIFS(D360,"&gt;"&amp;TODAY(),D360,"&lt;="&amp;TODAY()+30)+COUNTIFS(E360,"&gt;"&amp;TODAY(),E360,"&lt;="&amp;TODAY()+30)+COUNTIFS(F360,"&gt;"&amp;TODAY(),F360,"&lt;="&amp;TODAY()+30)&gt;0),Q360,"")</x:f>
      </x:c>
      <x:c r="M360" t="str">
        <x:f>IF(OR(LEFT(H360,15)="Missing dates; ",LEFT(H360,16)="Add N/A reason; ",H360="Add dates",H360="Add registration",H360="Check date format"),R360,"")</x:f>
      </x:c>
      <x:c r="N360" t="str">
        <x:f>IF(COUNTIFS(C360:F360,"Reviewed N/A")&gt;0,S360,"")</x:f>
      </x:c>
      <x:c r="O360" t="n">
        <x:f>O359+IF(AND(A360&lt;&gt;"",COUNTIFS(C360,"&gt;=36526",C360,"&lt;"&amp;TODAY())+COUNTIFS(D360,"&gt;=36526",D360,"&lt;"&amp;TODAY())+COUNTIFS(E360,"&gt;=36526",E360,"&lt;"&amp;TODAY())+COUNTIFS(F360,"&gt;=36526",F360,"&lt;"&amp;TODAY())&gt;0),1,0)</x:f>
        <x:v>0</x:v>
      </x:c>
      <x:c r="P360" t="n">
        <x:f>P359+IF(AND(A360&lt;&gt;"",COUNTIFS(C360,"&gt;=36526",C360,TODAY())+COUNTIFS(D360,"&gt;=36526",D360,TODAY())+COUNTIFS(E360,"&gt;=36526",E360,TODAY())+COUNTIFS(F360,"&gt;=36526",F360,TODAY())&gt;0),1,0)</x:f>
        <x:v>0</x:v>
      </x:c>
      <x:c r="Q360" t="n">
        <x:f>Q359+IF(AND(A360&lt;&gt;"",COUNTIFS(C360,"&gt;"&amp;TODAY(),C360,"&lt;="&amp;TODAY()+30)+COUNTIFS(D360,"&gt;"&amp;TODAY(),D360,"&lt;="&amp;TODAY()+30)+COUNTIFS(E360,"&gt;"&amp;TODAY(),E360,"&lt;="&amp;TODAY()+30)+COUNTIFS(F360,"&gt;"&amp;TODAY(),F360,"&lt;="&amp;TODAY()+30)&gt;0),1,0)</x:f>
        <x:v>0</x:v>
      </x:c>
      <x:c r="R360" t="n">
        <x:f>R359+IF(OR(LEFT(H360,15)="Missing dates; ",LEFT(H360,16)="Add N/A reason; ",H360="Add dates",H360="Add registration",H360="Check date format"),1,0)</x:f>
        <x:v>0</x:v>
      </x:c>
      <x:c r="S360" t="n">
        <x:f>S359+IF(COUNTIFS(C360:F360,"Reviewed N/A")&gt;0,1,0)</x:f>
        <x:v>0</x:v>
      </x:c>
    </x:row>
    <x:row r="361" ht="48" customHeight="1">
      <x:c r="A361" s="52"/>
      <x:c r="B361" s="52"/>
      <x:c r="C361" s="53"/>
      <x:c r="D361" s="53"/>
      <x:c r="E361" s="53"/>
      <x:c r="F361" s="53"/>
      <x:c r="G361" s="52"/>
      <x:c r="H361" s="21" t="str">
        <x:f>IF(COUNTA(A361:G361,I361)=0,"",IF(A361="","Add registration",IF(OR(COUNTA(C361:F361)&gt;COUNT(C361:F361)+COUNTIFS(C361:F361,"Reviewed N/A"),AND(COUNT(C361:F361)&gt;0,OR(MIN(C361:F361)&lt;36526,MAX(C361:F361)&gt;109574))),"Check date format",IF(AND(COUNTIFS(C361:F361,"Reviewed N/A")&gt;0,I361=""),"Add N/A reason; ","")&amp;IF(COUNT(C361:F361)=0,IF(COUNTIFS(C361:F361,"Reviewed N/A")=4,"No applicable dates recorded","Add dates"),IF(COUNT(C361:F361)+COUNTIFS(C361:F361,"Reviewed N/A")&lt;4,"Missing dates; ","")&amp;IF(MIN(C361:F361)&lt;TODAY(),"Overdue: ",IF(MIN(C361:F361)=TODAY(),"Due today: ",IF(MIN(C361:F361)&lt;=TODAY()+30,"Due within 30 days: ","Next: ")))&amp;INDEX($C$8:$F$8,1,MATCH(MIN(C361:F361),C361:F361,0))&amp;" "&amp;TEXT(MIN(C361:F361),"dd mmm yyyy")))))</x:f>
      </x:c>
      <x:c r="I361" s="52"/>
      <x:c r="J361" t="str">
        <x:f>IF(AND(A361&lt;&gt;"",COUNTIFS(C361,"&gt;=36526",C361,"&lt;"&amp;TODAY())+COUNTIFS(D361,"&gt;=36526",D361,"&lt;"&amp;TODAY())+COUNTIFS(E361,"&gt;=36526",E361,"&lt;"&amp;TODAY())+COUNTIFS(F361,"&gt;=36526",F361,"&lt;"&amp;TODAY())&gt;0),O361,"")</x:f>
      </x:c>
      <x:c r="K361" t="str">
        <x:f>IF(AND(A361&lt;&gt;"",COUNTIFS(C361,"&gt;=36526",C361,TODAY())+COUNTIFS(D361,"&gt;=36526",D361,TODAY())+COUNTIFS(E361,"&gt;=36526",E361,TODAY())+COUNTIFS(F361,"&gt;=36526",F361,TODAY())&gt;0),P361,"")</x:f>
      </x:c>
      <x:c r="L361" t="str">
        <x:f>IF(AND(A361&lt;&gt;"",COUNTIFS(C361,"&gt;"&amp;TODAY(),C361,"&lt;="&amp;TODAY()+30)+COUNTIFS(D361,"&gt;"&amp;TODAY(),D361,"&lt;="&amp;TODAY()+30)+COUNTIFS(E361,"&gt;"&amp;TODAY(),E361,"&lt;="&amp;TODAY()+30)+COUNTIFS(F361,"&gt;"&amp;TODAY(),F361,"&lt;="&amp;TODAY()+30)&gt;0),Q361,"")</x:f>
      </x:c>
      <x:c r="M361" t="str">
        <x:f>IF(OR(LEFT(H361,15)="Missing dates; ",LEFT(H361,16)="Add N/A reason; ",H361="Add dates",H361="Add registration",H361="Check date format"),R361,"")</x:f>
      </x:c>
      <x:c r="N361" t="str">
        <x:f>IF(COUNTIFS(C361:F361,"Reviewed N/A")&gt;0,S361,"")</x:f>
      </x:c>
      <x:c r="O361" t="n">
        <x:f>O360+IF(AND(A361&lt;&gt;"",COUNTIFS(C361,"&gt;=36526",C361,"&lt;"&amp;TODAY())+COUNTIFS(D361,"&gt;=36526",D361,"&lt;"&amp;TODAY())+COUNTIFS(E361,"&gt;=36526",E361,"&lt;"&amp;TODAY())+COUNTIFS(F361,"&gt;=36526",F361,"&lt;"&amp;TODAY())&gt;0),1,0)</x:f>
        <x:v>0</x:v>
      </x:c>
      <x:c r="P361" t="n">
        <x:f>P360+IF(AND(A361&lt;&gt;"",COUNTIFS(C361,"&gt;=36526",C361,TODAY())+COUNTIFS(D361,"&gt;=36526",D361,TODAY())+COUNTIFS(E361,"&gt;=36526",E361,TODAY())+COUNTIFS(F361,"&gt;=36526",F361,TODAY())&gt;0),1,0)</x:f>
        <x:v>0</x:v>
      </x:c>
      <x:c r="Q361" t="n">
        <x:f>Q360+IF(AND(A361&lt;&gt;"",COUNTIFS(C361,"&gt;"&amp;TODAY(),C361,"&lt;="&amp;TODAY()+30)+COUNTIFS(D361,"&gt;"&amp;TODAY(),D361,"&lt;="&amp;TODAY()+30)+COUNTIFS(E361,"&gt;"&amp;TODAY(),E361,"&lt;="&amp;TODAY()+30)+COUNTIFS(F361,"&gt;"&amp;TODAY(),F361,"&lt;="&amp;TODAY()+30)&gt;0),1,0)</x:f>
        <x:v>0</x:v>
      </x:c>
      <x:c r="R361" t="n">
        <x:f>R360+IF(OR(LEFT(H361,15)="Missing dates; ",LEFT(H361,16)="Add N/A reason; ",H361="Add dates",H361="Add registration",H361="Check date format"),1,0)</x:f>
        <x:v>0</x:v>
      </x:c>
      <x:c r="S361" t="n">
        <x:f>S360+IF(COUNTIFS(C361:F361,"Reviewed N/A")&gt;0,1,0)</x:f>
        <x:v>0</x:v>
      </x:c>
    </x:row>
    <x:row r="362" ht="48" customHeight="1">
      <x:c r="A362" s="52"/>
      <x:c r="B362" s="52"/>
      <x:c r="C362" s="53"/>
      <x:c r="D362" s="53"/>
      <x:c r="E362" s="53"/>
      <x:c r="F362" s="53"/>
      <x:c r="G362" s="52"/>
      <x:c r="H362" s="21" t="str">
        <x:f>IF(COUNTA(A362:G362,I362)=0,"",IF(A362="","Add registration",IF(OR(COUNTA(C362:F362)&gt;COUNT(C362:F362)+COUNTIFS(C362:F362,"Reviewed N/A"),AND(COUNT(C362:F362)&gt;0,OR(MIN(C362:F362)&lt;36526,MAX(C362:F362)&gt;109574))),"Check date format",IF(AND(COUNTIFS(C362:F362,"Reviewed N/A")&gt;0,I362=""),"Add N/A reason; ","")&amp;IF(COUNT(C362:F362)=0,IF(COUNTIFS(C362:F362,"Reviewed N/A")=4,"No applicable dates recorded","Add dates"),IF(COUNT(C362:F362)+COUNTIFS(C362:F362,"Reviewed N/A")&lt;4,"Missing dates; ","")&amp;IF(MIN(C362:F362)&lt;TODAY(),"Overdue: ",IF(MIN(C362:F362)=TODAY(),"Due today: ",IF(MIN(C362:F362)&lt;=TODAY()+30,"Due within 30 days: ","Next: ")))&amp;INDEX($C$8:$F$8,1,MATCH(MIN(C362:F362),C362:F362,0))&amp;" "&amp;TEXT(MIN(C362:F362),"dd mmm yyyy")))))</x:f>
      </x:c>
      <x:c r="I362" s="52"/>
      <x:c r="J362" t="str">
        <x:f>IF(AND(A362&lt;&gt;"",COUNTIFS(C362,"&gt;=36526",C362,"&lt;"&amp;TODAY())+COUNTIFS(D362,"&gt;=36526",D362,"&lt;"&amp;TODAY())+COUNTIFS(E362,"&gt;=36526",E362,"&lt;"&amp;TODAY())+COUNTIFS(F362,"&gt;=36526",F362,"&lt;"&amp;TODAY())&gt;0),O362,"")</x:f>
      </x:c>
      <x:c r="K362" t="str">
        <x:f>IF(AND(A362&lt;&gt;"",COUNTIFS(C362,"&gt;=36526",C362,TODAY())+COUNTIFS(D362,"&gt;=36526",D362,TODAY())+COUNTIFS(E362,"&gt;=36526",E362,TODAY())+COUNTIFS(F362,"&gt;=36526",F362,TODAY())&gt;0),P362,"")</x:f>
      </x:c>
      <x:c r="L362" t="str">
        <x:f>IF(AND(A362&lt;&gt;"",COUNTIFS(C362,"&gt;"&amp;TODAY(),C362,"&lt;="&amp;TODAY()+30)+COUNTIFS(D362,"&gt;"&amp;TODAY(),D362,"&lt;="&amp;TODAY()+30)+COUNTIFS(E362,"&gt;"&amp;TODAY(),E362,"&lt;="&amp;TODAY()+30)+COUNTIFS(F362,"&gt;"&amp;TODAY(),F362,"&lt;="&amp;TODAY()+30)&gt;0),Q362,"")</x:f>
      </x:c>
      <x:c r="M362" t="str">
        <x:f>IF(OR(LEFT(H362,15)="Missing dates; ",LEFT(H362,16)="Add N/A reason; ",H362="Add dates",H362="Add registration",H362="Check date format"),R362,"")</x:f>
      </x:c>
      <x:c r="N362" t="str">
        <x:f>IF(COUNTIFS(C362:F362,"Reviewed N/A")&gt;0,S362,"")</x:f>
      </x:c>
      <x:c r="O362" t="n">
        <x:f>O361+IF(AND(A362&lt;&gt;"",COUNTIFS(C362,"&gt;=36526",C362,"&lt;"&amp;TODAY())+COUNTIFS(D362,"&gt;=36526",D362,"&lt;"&amp;TODAY())+COUNTIFS(E362,"&gt;=36526",E362,"&lt;"&amp;TODAY())+COUNTIFS(F362,"&gt;=36526",F362,"&lt;"&amp;TODAY())&gt;0),1,0)</x:f>
        <x:v>0</x:v>
      </x:c>
      <x:c r="P362" t="n">
        <x:f>P361+IF(AND(A362&lt;&gt;"",COUNTIFS(C362,"&gt;=36526",C362,TODAY())+COUNTIFS(D362,"&gt;=36526",D362,TODAY())+COUNTIFS(E362,"&gt;=36526",E362,TODAY())+COUNTIFS(F362,"&gt;=36526",F362,TODAY())&gt;0),1,0)</x:f>
        <x:v>0</x:v>
      </x:c>
      <x:c r="Q362" t="n">
        <x:f>Q361+IF(AND(A362&lt;&gt;"",COUNTIFS(C362,"&gt;"&amp;TODAY(),C362,"&lt;="&amp;TODAY()+30)+COUNTIFS(D362,"&gt;"&amp;TODAY(),D362,"&lt;="&amp;TODAY()+30)+COUNTIFS(E362,"&gt;"&amp;TODAY(),E362,"&lt;="&amp;TODAY()+30)+COUNTIFS(F362,"&gt;"&amp;TODAY(),F362,"&lt;="&amp;TODAY()+30)&gt;0),1,0)</x:f>
        <x:v>0</x:v>
      </x:c>
      <x:c r="R362" t="n">
        <x:f>R361+IF(OR(LEFT(H362,15)="Missing dates; ",LEFT(H362,16)="Add N/A reason; ",H362="Add dates",H362="Add registration",H362="Check date format"),1,0)</x:f>
        <x:v>0</x:v>
      </x:c>
      <x:c r="S362" t="n">
        <x:f>S361+IF(COUNTIFS(C362:F362,"Reviewed N/A")&gt;0,1,0)</x:f>
        <x:v>0</x:v>
      </x:c>
    </x:row>
    <x:row r="363" ht="48" customHeight="1">
      <x:c r="A363" s="52"/>
      <x:c r="B363" s="52"/>
      <x:c r="C363" s="53"/>
      <x:c r="D363" s="53"/>
      <x:c r="E363" s="53"/>
      <x:c r="F363" s="53"/>
      <x:c r="G363" s="52"/>
      <x:c r="H363" s="21" t="str">
        <x:f>IF(COUNTA(A363:G363,I363)=0,"",IF(A363="","Add registration",IF(OR(COUNTA(C363:F363)&gt;COUNT(C363:F363)+COUNTIFS(C363:F363,"Reviewed N/A"),AND(COUNT(C363:F363)&gt;0,OR(MIN(C363:F363)&lt;36526,MAX(C363:F363)&gt;109574))),"Check date format",IF(AND(COUNTIFS(C363:F363,"Reviewed N/A")&gt;0,I363=""),"Add N/A reason; ","")&amp;IF(COUNT(C363:F363)=0,IF(COUNTIFS(C363:F363,"Reviewed N/A")=4,"No applicable dates recorded","Add dates"),IF(COUNT(C363:F363)+COUNTIFS(C363:F363,"Reviewed N/A")&lt;4,"Missing dates; ","")&amp;IF(MIN(C363:F363)&lt;TODAY(),"Overdue: ",IF(MIN(C363:F363)=TODAY(),"Due today: ",IF(MIN(C363:F363)&lt;=TODAY()+30,"Due within 30 days: ","Next: ")))&amp;INDEX($C$8:$F$8,1,MATCH(MIN(C363:F363),C363:F363,0))&amp;" "&amp;TEXT(MIN(C363:F363),"dd mmm yyyy")))))</x:f>
      </x:c>
      <x:c r="I363" s="52"/>
      <x:c r="J363" t="str">
        <x:f>IF(AND(A363&lt;&gt;"",COUNTIFS(C363,"&gt;=36526",C363,"&lt;"&amp;TODAY())+COUNTIFS(D363,"&gt;=36526",D363,"&lt;"&amp;TODAY())+COUNTIFS(E363,"&gt;=36526",E363,"&lt;"&amp;TODAY())+COUNTIFS(F363,"&gt;=36526",F363,"&lt;"&amp;TODAY())&gt;0),O363,"")</x:f>
      </x:c>
      <x:c r="K363" t="str">
        <x:f>IF(AND(A363&lt;&gt;"",COUNTIFS(C363,"&gt;=36526",C363,TODAY())+COUNTIFS(D363,"&gt;=36526",D363,TODAY())+COUNTIFS(E363,"&gt;=36526",E363,TODAY())+COUNTIFS(F363,"&gt;=36526",F363,TODAY())&gt;0),P363,"")</x:f>
      </x:c>
      <x:c r="L363" t="str">
        <x:f>IF(AND(A363&lt;&gt;"",COUNTIFS(C363,"&gt;"&amp;TODAY(),C363,"&lt;="&amp;TODAY()+30)+COUNTIFS(D363,"&gt;"&amp;TODAY(),D363,"&lt;="&amp;TODAY()+30)+COUNTIFS(E363,"&gt;"&amp;TODAY(),E363,"&lt;="&amp;TODAY()+30)+COUNTIFS(F363,"&gt;"&amp;TODAY(),F363,"&lt;="&amp;TODAY()+30)&gt;0),Q363,"")</x:f>
      </x:c>
      <x:c r="M363" t="str">
        <x:f>IF(OR(LEFT(H363,15)="Missing dates; ",LEFT(H363,16)="Add N/A reason; ",H363="Add dates",H363="Add registration",H363="Check date format"),R363,"")</x:f>
      </x:c>
      <x:c r="N363" t="str">
        <x:f>IF(COUNTIFS(C363:F363,"Reviewed N/A")&gt;0,S363,"")</x:f>
      </x:c>
      <x:c r="O363" t="n">
        <x:f>O362+IF(AND(A363&lt;&gt;"",COUNTIFS(C363,"&gt;=36526",C363,"&lt;"&amp;TODAY())+COUNTIFS(D363,"&gt;=36526",D363,"&lt;"&amp;TODAY())+COUNTIFS(E363,"&gt;=36526",E363,"&lt;"&amp;TODAY())+COUNTIFS(F363,"&gt;=36526",F363,"&lt;"&amp;TODAY())&gt;0),1,0)</x:f>
        <x:v>0</x:v>
      </x:c>
      <x:c r="P363" t="n">
        <x:f>P362+IF(AND(A363&lt;&gt;"",COUNTIFS(C363,"&gt;=36526",C363,TODAY())+COUNTIFS(D363,"&gt;=36526",D363,TODAY())+COUNTIFS(E363,"&gt;=36526",E363,TODAY())+COUNTIFS(F363,"&gt;=36526",F363,TODAY())&gt;0),1,0)</x:f>
        <x:v>0</x:v>
      </x:c>
      <x:c r="Q363" t="n">
        <x:f>Q362+IF(AND(A363&lt;&gt;"",COUNTIFS(C363,"&gt;"&amp;TODAY(),C363,"&lt;="&amp;TODAY()+30)+COUNTIFS(D363,"&gt;"&amp;TODAY(),D363,"&lt;="&amp;TODAY()+30)+COUNTIFS(E363,"&gt;"&amp;TODAY(),E363,"&lt;="&amp;TODAY()+30)+COUNTIFS(F363,"&gt;"&amp;TODAY(),F363,"&lt;="&amp;TODAY()+30)&gt;0),1,0)</x:f>
        <x:v>0</x:v>
      </x:c>
      <x:c r="R363" t="n">
        <x:f>R362+IF(OR(LEFT(H363,15)="Missing dates; ",LEFT(H363,16)="Add N/A reason; ",H363="Add dates",H363="Add registration",H363="Check date format"),1,0)</x:f>
        <x:v>0</x:v>
      </x:c>
      <x:c r="S363" t="n">
        <x:f>S362+IF(COUNTIFS(C363:F363,"Reviewed N/A")&gt;0,1,0)</x:f>
        <x:v>0</x:v>
      </x:c>
    </x:row>
    <x:row r="364" ht="48" customHeight="1">
      <x:c r="A364" s="52"/>
      <x:c r="B364" s="52"/>
      <x:c r="C364" s="53"/>
      <x:c r="D364" s="53"/>
      <x:c r="E364" s="53"/>
      <x:c r="F364" s="53"/>
      <x:c r="G364" s="52"/>
      <x:c r="H364" s="21" t="str">
        <x:f>IF(COUNTA(A364:G364,I364)=0,"",IF(A364="","Add registration",IF(OR(COUNTA(C364:F364)&gt;COUNT(C364:F364)+COUNTIFS(C364:F364,"Reviewed N/A"),AND(COUNT(C364:F364)&gt;0,OR(MIN(C364:F364)&lt;36526,MAX(C364:F364)&gt;109574))),"Check date format",IF(AND(COUNTIFS(C364:F364,"Reviewed N/A")&gt;0,I364=""),"Add N/A reason; ","")&amp;IF(COUNT(C364:F364)=0,IF(COUNTIFS(C364:F364,"Reviewed N/A")=4,"No applicable dates recorded","Add dates"),IF(COUNT(C364:F364)+COUNTIFS(C364:F364,"Reviewed N/A")&lt;4,"Missing dates; ","")&amp;IF(MIN(C364:F364)&lt;TODAY(),"Overdue: ",IF(MIN(C364:F364)=TODAY(),"Due today: ",IF(MIN(C364:F364)&lt;=TODAY()+30,"Due within 30 days: ","Next: ")))&amp;INDEX($C$8:$F$8,1,MATCH(MIN(C364:F364),C364:F364,0))&amp;" "&amp;TEXT(MIN(C364:F364),"dd mmm yyyy")))))</x:f>
      </x:c>
      <x:c r="I364" s="52"/>
      <x:c r="J364" t="str">
        <x:f>IF(AND(A364&lt;&gt;"",COUNTIFS(C364,"&gt;=36526",C364,"&lt;"&amp;TODAY())+COUNTIFS(D364,"&gt;=36526",D364,"&lt;"&amp;TODAY())+COUNTIFS(E364,"&gt;=36526",E364,"&lt;"&amp;TODAY())+COUNTIFS(F364,"&gt;=36526",F364,"&lt;"&amp;TODAY())&gt;0),O364,"")</x:f>
      </x:c>
      <x:c r="K364" t="str">
        <x:f>IF(AND(A364&lt;&gt;"",COUNTIFS(C364,"&gt;=36526",C364,TODAY())+COUNTIFS(D364,"&gt;=36526",D364,TODAY())+COUNTIFS(E364,"&gt;=36526",E364,TODAY())+COUNTIFS(F364,"&gt;=36526",F364,TODAY())&gt;0),P364,"")</x:f>
      </x:c>
      <x:c r="L364" t="str">
        <x:f>IF(AND(A364&lt;&gt;"",COUNTIFS(C364,"&gt;"&amp;TODAY(),C364,"&lt;="&amp;TODAY()+30)+COUNTIFS(D364,"&gt;"&amp;TODAY(),D364,"&lt;="&amp;TODAY()+30)+COUNTIFS(E364,"&gt;"&amp;TODAY(),E364,"&lt;="&amp;TODAY()+30)+COUNTIFS(F364,"&gt;"&amp;TODAY(),F364,"&lt;="&amp;TODAY()+30)&gt;0),Q364,"")</x:f>
      </x:c>
      <x:c r="M364" t="str">
        <x:f>IF(OR(LEFT(H364,15)="Missing dates; ",LEFT(H364,16)="Add N/A reason; ",H364="Add dates",H364="Add registration",H364="Check date format"),R364,"")</x:f>
      </x:c>
      <x:c r="N364" t="str">
        <x:f>IF(COUNTIFS(C364:F364,"Reviewed N/A")&gt;0,S364,"")</x:f>
      </x:c>
      <x:c r="O364" t="n">
        <x:f>O363+IF(AND(A364&lt;&gt;"",COUNTIFS(C364,"&gt;=36526",C364,"&lt;"&amp;TODAY())+COUNTIFS(D364,"&gt;=36526",D364,"&lt;"&amp;TODAY())+COUNTIFS(E364,"&gt;=36526",E364,"&lt;"&amp;TODAY())+COUNTIFS(F364,"&gt;=36526",F364,"&lt;"&amp;TODAY())&gt;0),1,0)</x:f>
        <x:v>0</x:v>
      </x:c>
      <x:c r="P364" t="n">
        <x:f>P363+IF(AND(A364&lt;&gt;"",COUNTIFS(C364,"&gt;=36526",C364,TODAY())+COUNTIFS(D364,"&gt;=36526",D364,TODAY())+COUNTIFS(E364,"&gt;=36526",E364,TODAY())+COUNTIFS(F364,"&gt;=36526",F364,TODAY())&gt;0),1,0)</x:f>
        <x:v>0</x:v>
      </x:c>
      <x:c r="Q364" t="n">
        <x:f>Q363+IF(AND(A364&lt;&gt;"",COUNTIFS(C364,"&gt;"&amp;TODAY(),C364,"&lt;="&amp;TODAY()+30)+COUNTIFS(D364,"&gt;"&amp;TODAY(),D364,"&lt;="&amp;TODAY()+30)+COUNTIFS(E364,"&gt;"&amp;TODAY(),E364,"&lt;="&amp;TODAY()+30)+COUNTIFS(F364,"&gt;"&amp;TODAY(),F364,"&lt;="&amp;TODAY()+30)&gt;0),1,0)</x:f>
        <x:v>0</x:v>
      </x:c>
      <x:c r="R364" t="n">
        <x:f>R363+IF(OR(LEFT(H364,15)="Missing dates; ",LEFT(H364,16)="Add N/A reason; ",H364="Add dates",H364="Add registration",H364="Check date format"),1,0)</x:f>
        <x:v>0</x:v>
      </x:c>
      <x:c r="S364" t="n">
        <x:f>S363+IF(COUNTIFS(C364:F364,"Reviewed N/A")&gt;0,1,0)</x:f>
        <x:v>0</x:v>
      </x:c>
    </x:row>
    <x:row r="365" ht="48" customHeight="1">
      <x:c r="A365" s="52"/>
      <x:c r="B365" s="52"/>
      <x:c r="C365" s="53"/>
      <x:c r="D365" s="53"/>
      <x:c r="E365" s="53"/>
      <x:c r="F365" s="53"/>
      <x:c r="G365" s="52"/>
      <x:c r="H365" s="21" t="str">
        <x:f>IF(COUNTA(A365:G365,I365)=0,"",IF(A365="","Add registration",IF(OR(COUNTA(C365:F365)&gt;COUNT(C365:F365)+COUNTIFS(C365:F365,"Reviewed N/A"),AND(COUNT(C365:F365)&gt;0,OR(MIN(C365:F365)&lt;36526,MAX(C365:F365)&gt;109574))),"Check date format",IF(AND(COUNTIFS(C365:F365,"Reviewed N/A")&gt;0,I365=""),"Add N/A reason; ","")&amp;IF(COUNT(C365:F365)=0,IF(COUNTIFS(C365:F365,"Reviewed N/A")=4,"No applicable dates recorded","Add dates"),IF(COUNT(C365:F365)+COUNTIFS(C365:F365,"Reviewed N/A")&lt;4,"Missing dates; ","")&amp;IF(MIN(C365:F365)&lt;TODAY(),"Overdue: ",IF(MIN(C365:F365)=TODAY(),"Due today: ",IF(MIN(C365:F365)&lt;=TODAY()+30,"Due within 30 days: ","Next: ")))&amp;INDEX($C$8:$F$8,1,MATCH(MIN(C365:F365),C365:F365,0))&amp;" "&amp;TEXT(MIN(C365:F365),"dd mmm yyyy")))))</x:f>
      </x:c>
      <x:c r="I365" s="52"/>
      <x:c r="J365" t="str">
        <x:f>IF(AND(A365&lt;&gt;"",COUNTIFS(C365,"&gt;=36526",C365,"&lt;"&amp;TODAY())+COUNTIFS(D365,"&gt;=36526",D365,"&lt;"&amp;TODAY())+COUNTIFS(E365,"&gt;=36526",E365,"&lt;"&amp;TODAY())+COUNTIFS(F365,"&gt;=36526",F365,"&lt;"&amp;TODAY())&gt;0),O365,"")</x:f>
      </x:c>
      <x:c r="K365" t="str">
        <x:f>IF(AND(A365&lt;&gt;"",COUNTIFS(C365,"&gt;=36526",C365,TODAY())+COUNTIFS(D365,"&gt;=36526",D365,TODAY())+COUNTIFS(E365,"&gt;=36526",E365,TODAY())+COUNTIFS(F365,"&gt;=36526",F365,TODAY())&gt;0),P365,"")</x:f>
      </x:c>
      <x:c r="L365" t="str">
        <x:f>IF(AND(A365&lt;&gt;"",COUNTIFS(C365,"&gt;"&amp;TODAY(),C365,"&lt;="&amp;TODAY()+30)+COUNTIFS(D365,"&gt;"&amp;TODAY(),D365,"&lt;="&amp;TODAY()+30)+COUNTIFS(E365,"&gt;"&amp;TODAY(),E365,"&lt;="&amp;TODAY()+30)+COUNTIFS(F365,"&gt;"&amp;TODAY(),F365,"&lt;="&amp;TODAY()+30)&gt;0),Q365,"")</x:f>
      </x:c>
      <x:c r="M365" t="str">
        <x:f>IF(OR(LEFT(H365,15)="Missing dates; ",LEFT(H365,16)="Add N/A reason; ",H365="Add dates",H365="Add registration",H365="Check date format"),R365,"")</x:f>
      </x:c>
      <x:c r="N365" t="str">
        <x:f>IF(COUNTIFS(C365:F365,"Reviewed N/A")&gt;0,S365,"")</x:f>
      </x:c>
      <x:c r="O365" t="n">
        <x:f>O364+IF(AND(A365&lt;&gt;"",COUNTIFS(C365,"&gt;=36526",C365,"&lt;"&amp;TODAY())+COUNTIFS(D365,"&gt;=36526",D365,"&lt;"&amp;TODAY())+COUNTIFS(E365,"&gt;=36526",E365,"&lt;"&amp;TODAY())+COUNTIFS(F365,"&gt;=36526",F365,"&lt;"&amp;TODAY())&gt;0),1,0)</x:f>
        <x:v>0</x:v>
      </x:c>
      <x:c r="P365" t="n">
        <x:f>P364+IF(AND(A365&lt;&gt;"",COUNTIFS(C365,"&gt;=36526",C365,TODAY())+COUNTIFS(D365,"&gt;=36526",D365,TODAY())+COUNTIFS(E365,"&gt;=36526",E365,TODAY())+COUNTIFS(F365,"&gt;=36526",F365,TODAY())&gt;0),1,0)</x:f>
        <x:v>0</x:v>
      </x:c>
      <x:c r="Q365" t="n">
        <x:f>Q364+IF(AND(A365&lt;&gt;"",COUNTIFS(C365,"&gt;"&amp;TODAY(),C365,"&lt;="&amp;TODAY()+30)+COUNTIFS(D365,"&gt;"&amp;TODAY(),D365,"&lt;="&amp;TODAY()+30)+COUNTIFS(E365,"&gt;"&amp;TODAY(),E365,"&lt;="&amp;TODAY()+30)+COUNTIFS(F365,"&gt;"&amp;TODAY(),F365,"&lt;="&amp;TODAY()+30)&gt;0),1,0)</x:f>
        <x:v>0</x:v>
      </x:c>
      <x:c r="R365" t="n">
        <x:f>R364+IF(OR(LEFT(H365,15)="Missing dates; ",LEFT(H365,16)="Add N/A reason; ",H365="Add dates",H365="Add registration",H365="Check date format"),1,0)</x:f>
        <x:v>0</x:v>
      </x:c>
      <x:c r="S365" t="n">
        <x:f>S364+IF(COUNTIFS(C365:F365,"Reviewed N/A")&gt;0,1,0)</x:f>
        <x:v>0</x:v>
      </x:c>
    </x:row>
    <x:row r="366" ht="48" customHeight="1">
      <x:c r="A366" s="52"/>
      <x:c r="B366" s="52"/>
      <x:c r="C366" s="53"/>
      <x:c r="D366" s="53"/>
      <x:c r="E366" s="53"/>
      <x:c r="F366" s="53"/>
      <x:c r="G366" s="52"/>
      <x:c r="H366" s="21" t="str">
        <x:f>IF(COUNTA(A366:G366,I366)=0,"",IF(A366="","Add registration",IF(OR(COUNTA(C366:F366)&gt;COUNT(C366:F366)+COUNTIFS(C366:F366,"Reviewed N/A"),AND(COUNT(C366:F366)&gt;0,OR(MIN(C366:F366)&lt;36526,MAX(C366:F366)&gt;109574))),"Check date format",IF(AND(COUNTIFS(C366:F366,"Reviewed N/A")&gt;0,I366=""),"Add N/A reason; ","")&amp;IF(COUNT(C366:F366)=0,IF(COUNTIFS(C366:F366,"Reviewed N/A")=4,"No applicable dates recorded","Add dates"),IF(COUNT(C366:F366)+COUNTIFS(C366:F366,"Reviewed N/A")&lt;4,"Missing dates; ","")&amp;IF(MIN(C366:F366)&lt;TODAY(),"Overdue: ",IF(MIN(C366:F366)=TODAY(),"Due today: ",IF(MIN(C366:F366)&lt;=TODAY()+30,"Due within 30 days: ","Next: ")))&amp;INDEX($C$8:$F$8,1,MATCH(MIN(C366:F366),C366:F366,0))&amp;" "&amp;TEXT(MIN(C366:F366),"dd mmm yyyy")))))</x:f>
      </x:c>
      <x:c r="I366" s="52"/>
      <x:c r="J366" t="str">
        <x:f>IF(AND(A366&lt;&gt;"",COUNTIFS(C366,"&gt;=36526",C366,"&lt;"&amp;TODAY())+COUNTIFS(D366,"&gt;=36526",D366,"&lt;"&amp;TODAY())+COUNTIFS(E366,"&gt;=36526",E366,"&lt;"&amp;TODAY())+COUNTIFS(F366,"&gt;=36526",F366,"&lt;"&amp;TODAY())&gt;0),O366,"")</x:f>
      </x:c>
      <x:c r="K366" t="str">
        <x:f>IF(AND(A366&lt;&gt;"",COUNTIFS(C366,"&gt;=36526",C366,TODAY())+COUNTIFS(D366,"&gt;=36526",D366,TODAY())+COUNTIFS(E366,"&gt;=36526",E366,TODAY())+COUNTIFS(F366,"&gt;=36526",F366,TODAY())&gt;0),P366,"")</x:f>
      </x:c>
      <x:c r="L366" t="str">
        <x:f>IF(AND(A366&lt;&gt;"",COUNTIFS(C366,"&gt;"&amp;TODAY(),C366,"&lt;="&amp;TODAY()+30)+COUNTIFS(D366,"&gt;"&amp;TODAY(),D366,"&lt;="&amp;TODAY()+30)+COUNTIFS(E366,"&gt;"&amp;TODAY(),E366,"&lt;="&amp;TODAY()+30)+COUNTIFS(F366,"&gt;"&amp;TODAY(),F366,"&lt;="&amp;TODAY()+30)&gt;0),Q366,"")</x:f>
      </x:c>
      <x:c r="M366" t="str">
        <x:f>IF(OR(LEFT(H366,15)="Missing dates; ",LEFT(H366,16)="Add N/A reason; ",H366="Add dates",H366="Add registration",H366="Check date format"),R366,"")</x:f>
      </x:c>
      <x:c r="N366" t="str">
        <x:f>IF(COUNTIFS(C366:F366,"Reviewed N/A")&gt;0,S366,"")</x:f>
      </x:c>
      <x:c r="O366" t="n">
        <x:f>O365+IF(AND(A366&lt;&gt;"",COUNTIFS(C366,"&gt;=36526",C366,"&lt;"&amp;TODAY())+COUNTIFS(D366,"&gt;=36526",D366,"&lt;"&amp;TODAY())+COUNTIFS(E366,"&gt;=36526",E366,"&lt;"&amp;TODAY())+COUNTIFS(F366,"&gt;=36526",F366,"&lt;"&amp;TODAY())&gt;0),1,0)</x:f>
        <x:v>0</x:v>
      </x:c>
      <x:c r="P366" t="n">
        <x:f>P365+IF(AND(A366&lt;&gt;"",COUNTIFS(C366,"&gt;=36526",C366,TODAY())+COUNTIFS(D366,"&gt;=36526",D366,TODAY())+COUNTIFS(E366,"&gt;=36526",E366,TODAY())+COUNTIFS(F366,"&gt;=36526",F366,TODAY())&gt;0),1,0)</x:f>
        <x:v>0</x:v>
      </x:c>
      <x:c r="Q366" t="n">
        <x:f>Q365+IF(AND(A366&lt;&gt;"",COUNTIFS(C366,"&gt;"&amp;TODAY(),C366,"&lt;="&amp;TODAY()+30)+COUNTIFS(D366,"&gt;"&amp;TODAY(),D366,"&lt;="&amp;TODAY()+30)+COUNTIFS(E366,"&gt;"&amp;TODAY(),E366,"&lt;="&amp;TODAY()+30)+COUNTIFS(F366,"&gt;"&amp;TODAY(),F366,"&lt;="&amp;TODAY()+30)&gt;0),1,0)</x:f>
        <x:v>0</x:v>
      </x:c>
      <x:c r="R366" t="n">
        <x:f>R365+IF(OR(LEFT(H366,15)="Missing dates; ",LEFT(H366,16)="Add N/A reason; ",H366="Add dates",H366="Add registration",H366="Check date format"),1,0)</x:f>
        <x:v>0</x:v>
      </x:c>
      <x:c r="S366" t="n">
        <x:f>S365+IF(COUNTIFS(C366:F366,"Reviewed N/A")&gt;0,1,0)</x:f>
        <x:v>0</x:v>
      </x:c>
    </x:row>
    <x:row r="367" ht="48" customHeight="1">
      <x:c r="A367" s="52"/>
      <x:c r="B367" s="52"/>
      <x:c r="C367" s="53"/>
      <x:c r="D367" s="53"/>
      <x:c r="E367" s="53"/>
      <x:c r="F367" s="53"/>
      <x:c r="G367" s="52"/>
      <x:c r="H367" s="21" t="str">
        <x:f>IF(COUNTA(A367:G367,I367)=0,"",IF(A367="","Add registration",IF(OR(COUNTA(C367:F367)&gt;COUNT(C367:F367)+COUNTIFS(C367:F367,"Reviewed N/A"),AND(COUNT(C367:F367)&gt;0,OR(MIN(C367:F367)&lt;36526,MAX(C367:F367)&gt;109574))),"Check date format",IF(AND(COUNTIFS(C367:F367,"Reviewed N/A")&gt;0,I367=""),"Add N/A reason; ","")&amp;IF(COUNT(C367:F367)=0,IF(COUNTIFS(C367:F367,"Reviewed N/A")=4,"No applicable dates recorded","Add dates"),IF(COUNT(C367:F367)+COUNTIFS(C367:F367,"Reviewed N/A")&lt;4,"Missing dates; ","")&amp;IF(MIN(C367:F367)&lt;TODAY(),"Overdue: ",IF(MIN(C367:F367)=TODAY(),"Due today: ",IF(MIN(C367:F367)&lt;=TODAY()+30,"Due within 30 days: ","Next: ")))&amp;INDEX($C$8:$F$8,1,MATCH(MIN(C367:F367),C367:F367,0))&amp;" "&amp;TEXT(MIN(C367:F367),"dd mmm yyyy")))))</x:f>
      </x:c>
      <x:c r="I367" s="52"/>
      <x:c r="J367" t="str">
        <x:f>IF(AND(A367&lt;&gt;"",COUNTIFS(C367,"&gt;=36526",C367,"&lt;"&amp;TODAY())+COUNTIFS(D367,"&gt;=36526",D367,"&lt;"&amp;TODAY())+COUNTIFS(E367,"&gt;=36526",E367,"&lt;"&amp;TODAY())+COUNTIFS(F367,"&gt;=36526",F367,"&lt;"&amp;TODAY())&gt;0),O367,"")</x:f>
      </x:c>
      <x:c r="K367" t="str">
        <x:f>IF(AND(A367&lt;&gt;"",COUNTIFS(C367,"&gt;=36526",C367,TODAY())+COUNTIFS(D367,"&gt;=36526",D367,TODAY())+COUNTIFS(E367,"&gt;=36526",E367,TODAY())+COUNTIFS(F367,"&gt;=36526",F367,TODAY())&gt;0),P367,"")</x:f>
      </x:c>
      <x:c r="L367" t="str">
        <x:f>IF(AND(A367&lt;&gt;"",COUNTIFS(C367,"&gt;"&amp;TODAY(),C367,"&lt;="&amp;TODAY()+30)+COUNTIFS(D367,"&gt;"&amp;TODAY(),D367,"&lt;="&amp;TODAY()+30)+COUNTIFS(E367,"&gt;"&amp;TODAY(),E367,"&lt;="&amp;TODAY()+30)+COUNTIFS(F367,"&gt;"&amp;TODAY(),F367,"&lt;="&amp;TODAY()+30)&gt;0),Q367,"")</x:f>
      </x:c>
      <x:c r="M367" t="str">
        <x:f>IF(OR(LEFT(H367,15)="Missing dates; ",LEFT(H367,16)="Add N/A reason; ",H367="Add dates",H367="Add registration",H367="Check date format"),R367,"")</x:f>
      </x:c>
      <x:c r="N367" t="str">
        <x:f>IF(COUNTIFS(C367:F367,"Reviewed N/A")&gt;0,S367,"")</x:f>
      </x:c>
      <x:c r="O367" t="n">
        <x:f>O366+IF(AND(A367&lt;&gt;"",COUNTIFS(C367,"&gt;=36526",C367,"&lt;"&amp;TODAY())+COUNTIFS(D367,"&gt;=36526",D367,"&lt;"&amp;TODAY())+COUNTIFS(E367,"&gt;=36526",E367,"&lt;"&amp;TODAY())+COUNTIFS(F367,"&gt;=36526",F367,"&lt;"&amp;TODAY())&gt;0),1,0)</x:f>
        <x:v>0</x:v>
      </x:c>
      <x:c r="P367" t="n">
        <x:f>P366+IF(AND(A367&lt;&gt;"",COUNTIFS(C367,"&gt;=36526",C367,TODAY())+COUNTIFS(D367,"&gt;=36526",D367,TODAY())+COUNTIFS(E367,"&gt;=36526",E367,TODAY())+COUNTIFS(F367,"&gt;=36526",F367,TODAY())&gt;0),1,0)</x:f>
        <x:v>0</x:v>
      </x:c>
      <x:c r="Q367" t="n">
        <x:f>Q366+IF(AND(A367&lt;&gt;"",COUNTIFS(C367,"&gt;"&amp;TODAY(),C367,"&lt;="&amp;TODAY()+30)+COUNTIFS(D367,"&gt;"&amp;TODAY(),D367,"&lt;="&amp;TODAY()+30)+COUNTIFS(E367,"&gt;"&amp;TODAY(),E367,"&lt;="&amp;TODAY()+30)+COUNTIFS(F367,"&gt;"&amp;TODAY(),F367,"&lt;="&amp;TODAY()+30)&gt;0),1,0)</x:f>
        <x:v>0</x:v>
      </x:c>
      <x:c r="R367" t="n">
        <x:f>R366+IF(OR(LEFT(H367,15)="Missing dates; ",LEFT(H367,16)="Add N/A reason; ",H367="Add dates",H367="Add registration",H367="Check date format"),1,0)</x:f>
        <x:v>0</x:v>
      </x:c>
      <x:c r="S367" t="n">
        <x:f>S366+IF(COUNTIFS(C367:F367,"Reviewed N/A")&gt;0,1,0)</x:f>
        <x:v>0</x:v>
      </x:c>
    </x:row>
    <x:row r="368" ht="48" customHeight="1">
      <x:c r="A368" s="52"/>
      <x:c r="B368" s="52"/>
      <x:c r="C368" s="53"/>
      <x:c r="D368" s="53"/>
      <x:c r="E368" s="53"/>
      <x:c r="F368" s="53"/>
      <x:c r="G368" s="52"/>
      <x:c r="H368" s="21" t="str">
        <x:f>IF(COUNTA(A368:G368,I368)=0,"",IF(A368="","Add registration",IF(OR(COUNTA(C368:F368)&gt;COUNT(C368:F368)+COUNTIFS(C368:F368,"Reviewed N/A"),AND(COUNT(C368:F368)&gt;0,OR(MIN(C368:F368)&lt;36526,MAX(C368:F368)&gt;109574))),"Check date format",IF(AND(COUNTIFS(C368:F368,"Reviewed N/A")&gt;0,I368=""),"Add N/A reason; ","")&amp;IF(COUNT(C368:F368)=0,IF(COUNTIFS(C368:F368,"Reviewed N/A")=4,"No applicable dates recorded","Add dates"),IF(COUNT(C368:F368)+COUNTIFS(C368:F368,"Reviewed N/A")&lt;4,"Missing dates; ","")&amp;IF(MIN(C368:F368)&lt;TODAY(),"Overdue: ",IF(MIN(C368:F368)=TODAY(),"Due today: ",IF(MIN(C368:F368)&lt;=TODAY()+30,"Due within 30 days: ","Next: ")))&amp;INDEX($C$8:$F$8,1,MATCH(MIN(C368:F368),C368:F368,0))&amp;" "&amp;TEXT(MIN(C368:F368),"dd mmm yyyy")))))</x:f>
      </x:c>
      <x:c r="I368" s="52"/>
      <x:c r="J368" t="str">
        <x:f>IF(AND(A368&lt;&gt;"",COUNTIFS(C368,"&gt;=36526",C368,"&lt;"&amp;TODAY())+COUNTIFS(D368,"&gt;=36526",D368,"&lt;"&amp;TODAY())+COUNTIFS(E368,"&gt;=36526",E368,"&lt;"&amp;TODAY())+COUNTIFS(F368,"&gt;=36526",F368,"&lt;"&amp;TODAY())&gt;0),O368,"")</x:f>
      </x:c>
      <x:c r="K368" t="str">
        <x:f>IF(AND(A368&lt;&gt;"",COUNTIFS(C368,"&gt;=36526",C368,TODAY())+COUNTIFS(D368,"&gt;=36526",D368,TODAY())+COUNTIFS(E368,"&gt;=36526",E368,TODAY())+COUNTIFS(F368,"&gt;=36526",F368,TODAY())&gt;0),P368,"")</x:f>
      </x:c>
      <x:c r="L368" t="str">
        <x:f>IF(AND(A368&lt;&gt;"",COUNTIFS(C368,"&gt;"&amp;TODAY(),C368,"&lt;="&amp;TODAY()+30)+COUNTIFS(D368,"&gt;"&amp;TODAY(),D368,"&lt;="&amp;TODAY()+30)+COUNTIFS(E368,"&gt;"&amp;TODAY(),E368,"&lt;="&amp;TODAY()+30)+COUNTIFS(F368,"&gt;"&amp;TODAY(),F368,"&lt;="&amp;TODAY()+30)&gt;0),Q368,"")</x:f>
      </x:c>
      <x:c r="M368" t="str">
        <x:f>IF(OR(LEFT(H368,15)="Missing dates; ",LEFT(H368,16)="Add N/A reason; ",H368="Add dates",H368="Add registration",H368="Check date format"),R368,"")</x:f>
      </x:c>
      <x:c r="N368" t="str">
        <x:f>IF(COUNTIFS(C368:F368,"Reviewed N/A")&gt;0,S368,"")</x:f>
      </x:c>
      <x:c r="O368" t="n">
        <x:f>O367+IF(AND(A368&lt;&gt;"",COUNTIFS(C368,"&gt;=36526",C368,"&lt;"&amp;TODAY())+COUNTIFS(D368,"&gt;=36526",D368,"&lt;"&amp;TODAY())+COUNTIFS(E368,"&gt;=36526",E368,"&lt;"&amp;TODAY())+COUNTIFS(F368,"&gt;=36526",F368,"&lt;"&amp;TODAY())&gt;0),1,0)</x:f>
        <x:v>0</x:v>
      </x:c>
      <x:c r="P368" t="n">
        <x:f>P367+IF(AND(A368&lt;&gt;"",COUNTIFS(C368,"&gt;=36526",C368,TODAY())+COUNTIFS(D368,"&gt;=36526",D368,TODAY())+COUNTIFS(E368,"&gt;=36526",E368,TODAY())+COUNTIFS(F368,"&gt;=36526",F368,TODAY())&gt;0),1,0)</x:f>
        <x:v>0</x:v>
      </x:c>
      <x:c r="Q368" t="n">
        <x:f>Q367+IF(AND(A368&lt;&gt;"",COUNTIFS(C368,"&gt;"&amp;TODAY(),C368,"&lt;="&amp;TODAY()+30)+COUNTIFS(D368,"&gt;"&amp;TODAY(),D368,"&lt;="&amp;TODAY()+30)+COUNTIFS(E368,"&gt;"&amp;TODAY(),E368,"&lt;="&amp;TODAY()+30)+COUNTIFS(F368,"&gt;"&amp;TODAY(),F368,"&lt;="&amp;TODAY()+30)&gt;0),1,0)</x:f>
        <x:v>0</x:v>
      </x:c>
      <x:c r="R368" t="n">
        <x:f>R367+IF(OR(LEFT(H368,15)="Missing dates; ",LEFT(H368,16)="Add N/A reason; ",H368="Add dates",H368="Add registration",H368="Check date format"),1,0)</x:f>
        <x:v>0</x:v>
      </x:c>
      <x:c r="S368" t="n">
        <x:f>S367+IF(COUNTIFS(C368:F368,"Reviewed N/A")&gt;0,1,0)</x:f>
        <x:v>0</x:v>
      </x:c>
    </x:row>
    <x:row r="369" ht="48" customHeight="1">
      <x:c r="A369" s="52"/>
      <x:c r="B369" s="52"/>
      <x:c r="C369" s="53"/>
      <x:c r="D369" s="53"/>
      <x:c r="E369" s="53"/>
      <x:c r="F369" s="53"/>
      <x:c r="G369" s="52"/>
      <x:c r="H369" s="21" t="str">
        <x:f>IF(COUNTA(A369:G369,I369)=0,"",IF(A369="","Add registration",IF(OR(COUNTA(C369:F369)&gt;COUNT(C369:F369)+COUNTIFS(C369:F369,"Reviewed N/A"),AND(COUNT(C369:F369)&gt;0,OR(MIN(C369:F369)&lt;36526,MAX(C369:F369)&gt;109574))),"Check date format",IF(AND(COUNTIFS(C369:F369,"Reviewed N/A")&gt;0,I369=""),"Add N/A reason; ","")&amp;IF(COUNT(C369:F369)=0,IF(COUNTIFS(C369:F369,"Reviewed N/A")=4,"No applicable dates recorded","Add dates"),IF(COUNT(C369:F369)+COUNTIFS(C369:F369,"Reviewed N/A")&lt;4,"Missing dates; ","")&amp;IF(MIN(C369:F369)&lt;TODAY(),"Overdue: ",IF(MIN(C369:F369)=TODAY(),"Due today: ",IF(MIN(C369:F369)&lt;=TODAY()+30,"Due within 30 days: ","Next: ")))&amp;INDEX($C$8:$F$8,1,MATCH(MIN(C369:F369),C369:F369,0))&amp;" "&amp;TEXT(MIN(C369:F369),"dd mmm yyyy")))))</x:f>
      </x:c>
      <x:c r="I369" s="52"/>
      <x:c r="J369" t="str">
        <x:f>IF(AND(A369&lt;&gt;"",COUNTIFS(C369,"&gt;=36526",C369,"&lt;"&amp;TODAY())+COUNTIFS(D369,"&gt;=36526",D369,"&lt;"&amp;TODAY())+COUNTIFS(E369,"&gt;=36526",E369,"&lt;"&amp;TODAY())+COUNTIFS(F369,"&gt;=36526",F369,"&lt;"&amp;TODAY())&gt;0),O369,"")</x:f>
      </x:c>
      <x:c r="K369" t="str">
        <x:f>IF(AND(A369&lt;&gt;"",COUNTIFS(C369,"&gt;=36526",C369,TODAY())+COUNTIFS(D369,"&gt;=36526",D369,TODAY())+COUNTIFS(E369,"&gt;=36526",E369,TODAY())+COUNTIFS(F369,"&gt;=36526",F369,TODAY())&gt;0),P369,"")</x:f>
      </x:c>
      <x:c r="L369" t="str">
        <x:f>IF(AND(A369&lt;&gt;"",COUNTIFS(C369,"&gt;"&amp;TODAY(),C369,"&lt;="&amp;TODAY()+30)+COUNTIFS(D369,"&gt;"&amp;TODAY(),D369,"&lt;="&amp;TODAY()+30)+COUNTIFS(E369,"&gt;"&amp;TODAY(),E369,"&lt;="&amp;TODAY()+30)+COUNTIFS(F369,"&gt;"&amp;TODAY(),F369,"&lt;="&amp;TODAY()+30)&gt;0),Q369,"")</x:f>
      </x:c>
      <x:c r="M369" t="str">
        <x:f>IF(OR(LEFT(H369,15)="Missing dates; ",LEFT(H369,16)="Add N/A reason; ",H369="Add dates",H369="Add registration",H369="Check date format"),R369,"")</x:f>
      </x:c>
      <x:c r="N369" t="str">
        <x:f>IF(COUNTIFS(C369:F369,"Reviewed N/A")&gt;0,S369,"")</x:f>
      </x:c>
      <x:c r="O369" t="n">
        <x:f>O368+IF(AND(A369&lt;&gt;"",COUNTIFS(C369,"&gt;=36526",C369,"&lt;"&amp;TODAY())+COUNTIFS(D369,"&gt;=36526",D369,"&lt;"&amp;TODAY())+COUNTIFS(E369,"&gt;=36526",E369,"&lt;"&amp;TODAY())+COUNTIFS(F369,"&gt;=36526",F369,"&lt;"&amp;TODAY())&gt;0),1,0)</x:f>
        <x:v>0</x:v>
      </x:c>
      <x:c r="P369" t="n">
        <x:f>P368+IF(AND(A369&lt;&gt;"",COUNTIFS(C369,"&gt;=36526",C369,TODAY())+COUNTIFS(D369,"&gt;=36526",D369,TODAY())+COUNTIFS(E369,"&gt;=36526",E369,TODAY())+COUNTIFS(F369,"&gt;=36526",F369,TODAY())&gt;0),1,0)</x:f>
        <x:v>0</x:v>
      </x:c>
      <x:c r="Q369" t="n">
        <x:f>Q368+IF(AND(A369&lt;&gt;"",COUNTIFS(C369,"&gt;"&amp;TODAY(),C369,"&lt;="&amp;TODAY()+30)+COUNTIFS(D369,"&gt;"&amp;TODAY(),D369,"&lt;="&amp;TODAY()+30)+COUNTIFS(E369,"&gt;"&amp;TODAY(),E369,"&lt;="&amp;TODAY()+30)+COUNTIFS(F369,"&gt;"&amp;TODAY(),F369,"&lt;="&amp;TODAY()+30)&gt;0),1,0)</x:f>
        <x:v>0</x:v>
      </x:c>
      <x:c r="R369" t="n">
        <x:f>R368+IF(OR(LEFT(H369,15)="Missing dates; ",LEFT(H369,16)="Add N/A reason; ",H369="Add dates",H369="Add registration",H369="Check date format"),1,0)</x:f>
        <x:v>0</x:v>
      </x:c>
      <x:c r="S369" t="n">
        <x:f>S368+IF(COUNTIFS(C369:F369,"Reviewed N/A")&gt;0,1,0)</x:f>
        <x:v>0</x:v>
      </x:c>
    </x:row>
    <x:row r="370" ht="48" customHeight="1">
      <x:c r="A370" s="52"/>
      <x:c r="B370" s="52"/>
      <x:c r="C370" s="53"/>
      <x:c r="D370" s="53"/>
      <x:c r="E370" s="53"/>
      <x:c r="F370" s="53"/>
      <x:c r="G370" s="52"/>
      <x:c r="H370" s="21" t="str">
        <x:f>IF(COUNTA(A370:G370,I370)=0,"",IF(A370="","Add registration",IF(OR(COUNTA(C370:F370)&gt;COUNT(C370:F370)+COUNTIFS(C370:F370,"Reviewed N/A"),AND(COUNT(C370:F370)&gt;0,OR(MIN(C370:F370)&lt;36526,MAX(C370:F370)&gt;109574))),"Check date format",IF(AND(COUNTIFS(C370:F370,"Reviewed N/A")&gt;0,I370=""),"Add N/A reason; ","")&amp;IF(COUNT(C370:F370)=0,IF(COUNTIFS(C370:F370,"Reviewed N/A")=4,"No applicable dates recorded","Add dates"),IF(COUNT(C370:F370)+COUNTIFS(C370:F370,"Reviewed N/A")&lt;4,"Missing dates; ","")&amp;IF(MIN(C370:F370)&lt;TODAY(),"Overdue: ",IF(MIN(C370:F370)=TODAY(),"Due today: ",IF(MIN(C370:F370)&lt;=TODAY()+30,"Due within 30 days: ","Next: ")))&amp;INDEX($C$8:$F$8,1,MATCH(MIN(C370:F370),C370:F370,0))&amp;" "&amp;TEXT(MIN(C370:F370),"dd mmm yyyy")))))</x:f>
      </x:c>
      <x:c r="I370" s="52"/>
      <x:c r="J370" t="str">
        <x:f>IF(AND(A370&lt;&gt;"",COUNTIFS(C370,"&gt;=36526",C370,"&lt;"&amp;TODAY())+COUNTIFS(D370,"&gt;=36526",D370,"&lt;"&amp;TODAY())+COUNTIFS(E370,"&gt;=36526",E370,"&lt;"&amp;TODAY())+COUNTIFS(F370,"&gt;=36526",F370,"&lt;"&amp;TODAY())&gt;0),O370,"")</x:f>
      </x:c>
      <x:c r="K370" t="str">
        <x:f>IF(AND(A370&lt;&gt;"",COUNTIFS(C370,"&gt;=36526",C370,TODAY())+COUNTIFS(D370,"&gt;=36526",D370,TODAY())+COUNTIFS(E370,"&gt;=36526",E370,TODAY())+COUNTIFS(F370,"&gt;=36526",F370,TODAY())&gt;0),P370,"")</x:f>
      </x:c>
      <x:c r="L370" t="str">
        <x:f>IF(AND(A370&lt;&gt;"",COUNTIFS(C370,"&gt;"&amp;TODAY(),C370,"&lt;="&amp;TODAY()+30)+COUNTIFS(D370,"&gt;"&amp;TODAY(),D370,"&lt;="&amp;TODAY()+30)+COUNTIFS(E370,"&gt;"&amp;TODAY(),E370,"&lt;="&amp;TODAY()+30)+COUNTIFS(F370,"&gt;"&amp;TODAY(),F370,"&lt;="&amp;TODAY()+30)&gt;0),Q370,"")</x:f>
      </x:c>
      <x:c r="M370" t="str">
        <x:f>IF(OR(LEFT(H370,15)="Missing dates; ",LEFT(H370,16)="Add N/A reason; ",H370="Add dates",H370="Add registration",H370="Check date format"),R370,"")</x:f>
      </x:c>
      <x:c r="N370" t="str">
        <x:f>IF(COUNTIFS(C370:F370,"Reviewed N/A")&gt;0,S370,"")</x:f>
      </x:c>
      <x:c r="O370" t="n">
        <x:f>O369+IF(AND(A370&lt;&gt;"",COUNTIFS(C370,"&gt;=36526",C370,"&lt;"&amp;TODAY())+COUNTIFS(D370,"&gt;=36526",D370,"&lt;"&amp;TODAY())+COUNTIFS(E370,"&gt;=36526",E370,"&lt;"&amp;TODAY())+COUNTIFS(F370,"&gt;=36526",F370,"&lt;"&amp;TODAY())&gt;0),1,0)</x:f>
        <x:v>0</x:v>
      </x:c>
      <x:c r="P370" t="n">
        <x:f>P369+IF(AND(A370&lt;&gt;"",COUNTIFS(C370,"&gt;=36526",C370,TODAY())+COUNTIFS(D370,"&gt;=36526",D370,TODAY())+COUNTIFS(E370,"&gt;=36526",E370,TODAY())+COUNTIFS(F370,"&gt;=36526",F370,TODAY())&gt;0),1,0)</x:f>
        <x:v>0</x:v>
      </x:c>
      <x:c r="Q370" t="n">
        <x:f>Q369+IF(AND(A370&lt;&gt;"",COUNTIFS(C370,"&gt;"&amp;TODAY(),C370,"&lt;="&amp;TODAY()+30)+COUNTIFS(D370,"&gt;"&amp;TODAY(),D370,"&lt;="&amp;TODAY()+30)+COUNTIFS(E370,"&gt;"&amp;TODAY(),E370,"&lt;="&amp;TODAY()+30)+COUNTIFS(F370,"&gt;"&amp;TODAY(),F370,"&lt;="&amp;TODAY()+30)&gt;0),1,0)</x:f>
        <x:v>0</x:v>
      </x:c>
      <x:c r="R370" t="n">
        <x:f>R369+IF(OR(LEFT(H370,15)="Missing dates; ",LEFT(H370,16)="Add N/A reason; ",H370="Add dates",H370="Add registration",H370="Check date format"),1,0)</x:f>
        <x:v>0</x:v>
      </x:c>
      <x:c r="S370" t="n">
        <x:f>S369+IF(COUNTIFS(C370:F370,"Reviewed N/A")&gt;0,1,0)</x:f>
        <x:v>0</x:v>
      </x:c>
    </x:row>
    <x:row r="371" ht="48" customHeight="1">
      <x:c r="A371" s="52"/>
      <x:c r="B371" s="52"/>
      <x:c r="C371" s="53"/>
      <x:c r="D371" s="53"/>
      <x:c r="E371" s="53"/>
      <x:c r="F371" s="53"/>
      <x:c r="G371" s="52"/>
      <x:c r="H371" s="21" t="str">
        <x:f>IF(COUNTA(A371:G371,I371)=0,"",IF(A371="","Add registration",IF(OR(COUNTA(C371:F371)&gt;COUNT(C371:F371)+COUNTIFS(C371:F371,"Reviewed N/A"),AND(COUNT(C371:F371)&gt;0,OR(MIN(C371:F371)&lt;36526,MAX(C371:F371)&gt;109574))),"Check date format",IF(AND(COUNTIFS(C371:F371,"Reviewed N/A")&gt;0,I371=""),"Add N/A reason; ","")&amp;IF(COUNT(C371:F371)=0,IF(COUNTIFS(C371:F371,"Reviewed N/A")=4,"No applicable dates recorded","Add dates"),IF(COUNT(C371:F371)+COUNTIFS(C371:F371,"Reviewed N/A")&lt;4,"Missing dates; ","")&amp;IF(MIN(C371:F371)&lt;TODAY(),"Overdue: ",IF(MIN(C371:F371)=TODAY(),"Due today: ",IF(MIN(C371:F371)&lt;=TODAY()+30,"Due within 30 days: ","Next: ")))&amp;INDEX($C$8:$F$8,1,MATCH(MIN(C371:F371),C371:F371,0))&amp;" "&amp;TEXT(MIN(C371:F371),"dd mmm yyyy")))))</x:f>
      </x:c>
      <x:c r="I371" s="52"/>
      <x:c r="J371" t="str">
        <x:f>IF(AND(A371&lt;&gt;"",COUNTIFS(C371,"&gt;=36526",C371,"&lt;"&amp;TODAY())+COUNTIFS(D371,"&gt;=36526",D371,"&lt;"&amp;TODAY())+COUNTIFS(E371,"&gt;=36526",E371,"&lt;"&amp;TODAY())+COUNTIFS(F371,"&gt;=36526",F371,"&lt;"&amp;TODAY())&gt;0),O371,"")</x:f>
      </x:c>
      <x:c r="K371" t="str">
        <x:f>IF(AND(A371&lt;&gt;"",COUNTIFS(C371,"&gt;=36526",C371,TODAY())+COUNTIFS(D371,"&gt;=36526",D371,TODAY())+COUNTIFS(E371,"&gt;=36526",E371,TODAY())+COUNTIFS(F371,"&gt;=36526",F371,TODAY())&gt;0),P371,"")</x:f>
      </x:c>
      <x:c r="L371" t="str">
        <x:f>IF(AND(A371&lt;&gt;"",COUNTIFS(C371,"&gt;"&amp;TODAY(),C371,"&lt;="&amp;TODAY()+30)+COUNTIFS(D371,"&gt;"&amp;TODAY(),D371,"&lt;="&amp;TODAY()+30)+COUNTIFS(E371,"&gt;"&amp;TODAY(),E371,"&lt;="&amp;TODAY()+30)+COUNTIFS(F371,"&gt;"&amp;TODAY(),F371,"&lt;="&amp;TODAY()+30)&gt;0),Q371,"")</x:f>
      </x:c>
      <x:c r="M371" t="str">
        <x:f>IF(OR(LEFT(H371,15)="Missing dates; ",LEFT(H371,16)="Add N/A reason; ",H371="Add dates",H371="Add registration",H371="Check date format"),R371,"")</x:f>
      </x:c>
      <x:c r="N371" t="str">
        <x:f>IF(COUNTIFS(C371:F371,"Reviewed N/A")&gt;0,S371,"")</x:f>
      </x:c>
      <x:c r="O371" t="n">
        <x:f>O370+IF(AND(A371&lt;&gt;"",COUNTIFS(C371,"&gt;=36526",C371,"&lt;"&amp;TODAY())+COUNTIFS(D371,"&gt;=36526",D371,"&lt;"&amp;TODAY())+COUNTIFS(E371,"&gt;=36526",E371,"&lt;"&amp;TODAY())+COUNTIFS(F371,"&gt;=36526",F371,"&lt;"&amp;TODAY())&gt;0),1,0)</x:f>
        <x:v>0</x:v>
      </x:c>
      <x:c r="P371" t="n">
        <x:f>P370+IF(AND(A371&lt;&gt;"",COUNTIFS(C371,"&gt;=36526",C371,TODAY())+COUNTIFS(D371,"&gt;=36526",D371,TODAY())+COUNTIFS(E371,"&gt;=36526",E371,TODAY())+COUNTIFS(F371,"&gt;=36526",F371,TODAY())&gt;0),1,0)</x:f>
        <x:v>0</x:v>
      </x:c>
      <x:c r="Q371" t="n">
        <x:f>Q370+IF(AND(A371&lt;&gt;"",COUNTIFS(C371,"&gt;"&amp;TODAY(),C371,"&lt;="&amp;TODAY()+30)+COUNTIFS(D371,"&gt;"&amp;TODAY(),D371,"&lt;="&amp;TODAY()+30)+COUNTIFS(E371,"&gt;"&amp;TODAY(),E371,"&lt;="&amp;TODAY()+30)+COUNTIFS(F371,"&gt;"&amp;TODAY(),F371,"&lt;="&amp;TODAY()+30)&gt;0),1,0)</x:f>
        <x:v>0</x:v>
      </x:c>
      <x:c r="R371" t="n">
        <x:f>R370+IF(OR(LEFT(H371,15)="Missing dates; ",LEFT(H371,16)="Add N/A reason; ",H371="Add dates",H371="Add registration",H371="Check date format"),1,0)</x:f>
        <x:v>0</x:v>
      </x:c>
      <x:c r="S371" t="n">
        <x:f>S370+IF(COUNTIFS(C371:F371,"Reviewed N/A")&gt;0,1,0)</x:f>
        <x:v>0</x:v>
      </x:c>
    </x:row>
    <x:row r="372" ht="48" customHeight="1">
      <x:c r="A372" s="52"/>
      <x:c r="B372" s="52"/>
      <x:c r="C372" s="53"/>
      <x:c r="D372" s="53"/>
      <x:c r="E372" s="53"/>
      <x:c r="F372" s="53"/>
      <x:c r="G372" s="52"/>
      <x:c r="H372" s="21" t="str">
        <x:f>IF(COUNTA(A372:G372,I372)=0,"",IF(A372="","Add registration",IF(OR(COUNTA(C372:F372)&gt;COUNT(C372:F372)+COUNTIFS(C372:F372,"Reviewed N/A"),AND(COUNT(C372:F372)&gt;0,OR(MIN(C372:F372)&lt;36526,MAX(C372:F372)&gt;109574))),"Check date format",IF(AND(COUNTIFS(C372:F372,"Reviewed N/A")&gt;0,I372=""),"Add N/A reason; ","")&amp;IF(COUNT(C372:F372)=0,IF(COUNTIFS(C372:F372,"Reviewed N/A")=4,"No applicable dates recorded","Add dates"),IF(COUNT(C372:F372)+COUNTIFS(C372:F372,"Reviewed N/A")&lt;4,"Missing dates; ","")&amp;IF(MIN(C372:F372)&lt;TODAY(),"Overdue: ",IF(MIN(C372:F372)=TODAY(),"Due today: ",IF(MIN(C372:F372)&lt;=TODAY()+30,"Due within 30 days: ","Next: ")))&amp;INDEX($C$8:$F$8,1,MATCH(MIN(C372:F372),C372:F372,0))&amp;" "&amp;TEXT(MIN(C372:F372),"dd mmm yyyy")))))</x:f>
      </x:c>
      <x:c r="I372" s="52"/>
      <x:c r="J372" t="str">
        <x:f>IF(AND(A372&lt;&gt;"",COUNTIFS(C372,"&gt;=36526",C372,"&lt;"&amp;TODAY())+COUNTIFS(D372,"&gt;=36526",D372,"&lt;"&amp;TODAY())+COUNTIFS(E372,"&gt;=36526",E372,"&lt;"&amp;TODAY())+COUNTIFS(F372,"&gt;=36526",F372,"&lt;"&amp;TODAY())&gt;0),O372,"")</x:f>
      </x:c>
      <x:c r="K372" t="str">
        <x:f>IF(AND(A372&lt;&gt;"",COUNTIFS(C372,"&gt;=36526",C372,TODAY())+COUNTIFS(D372,"&gt;=36526",D372,TODAY())+COUNTIFS(E372,"&gt;=36526",E372,TODAY())+COUNTIFS(F372,"&gt;=36526",F372,TODAY())&gt;0),P372,"")</x:f>
      </x:c>
      <x:c r="L372" t="str">
        <x:f>IF(AND(A372&lt;&gt;"",COUNTIFS(C372,"&gt;"&amp;TODAY(),C372,"&lt;="&amp;TODAY()+30)+COUNTIFS(D372,"&gt;"&amp;TODAY(),D372,"&lt;="&amp;TODAY()+30)+COUNTIFS(E372,"&gt;"&amp;TODAY(),E372,"&lt;="&amp;TODAY()+30)+COUNTIFS(F372,"&gt;"&amp;TODAY(),F372,"&lt;="&amp;TODAY()+30)&gt;0),Q372,"")</x:f>
      </x:c>
      <x:c r="M372" t="str">
        <x:f>IF(OR(LEFT(H372,15)="Missing dates; ",LEFT(H372,16)="Add N/A reason; ",H372="Add dates",H372="Add registration",H372="Check date format"),R372,"")</x:f>
      </x:c>
      <x:c r="N372" t="str">
        <x:f>IF(COUNTIFS(C372:F372,"Reviewed N/A")&gt;0,S372,"")</x:f>
      </x:c>
      <x:c r="O372" t="n">
        <x:f>O371+IF(AND(A372&lt;&gt;"",COUNTIFS(C372,"&gt;=36526",C372,"&lt;"&amp;TODAY())+COUNTIFS(D372,"&gt;=36526",D372,"&lt;"&amp;TODAY())+COUNTIFS(E372,"&gt;=36526",E372,"&lt;"&amp;TODAY())+COUNTIFS(F372,"&gt;=36526",F372,"&lt;"&amp;TODAY())&gt;0),1,0)</x:f>
        <x:v>0</x:v>
      </x:c>
      <x:c r="P372" t="n">
        <x:f>P371+IF(AND(A372&lt;&gt;"",COUNTIFS(C372,"&gt;=36526",C372,TODAY())+COUNTIFS(D372,"&gt;=36526",D372,TODAY())+COUNTIFS(E372,"&gt;=36526",E372,TODAY())+COUNTIFS(F372,"&gt;=36526",F372,TODAY())&gt;0),1,0)</x:f>
        <x:v>0</x:v>
      </x:c>
      <x:c r="Q372" t="n">
        <x:f>Q371+IF(AND(A372&lt;&gt;"",COUNTIFS(C372,"&gt;"&amp;TODAY(),C372,"&lt;="&amp;TODAY()+30)+COUNTIFS(D372,"&gt;"&amp;TODAY(),D372,"&lt;="&amp;TODAY()+30)+COUNTIFS(E372,"&gt;"&amp;TODAY(),E372,"&lt;="&amp;TODAY()+30)+COUNTIFS(F372,"&gt;"&amp;TODAY(),F372,"&lt;="&amp;TODAY()+30)&gt;0),1,0)</x:f>
        <x:v>0</x:v>
      </x:c>
      <x:c r="R372" t="n">
        <x:f>R371+IF(OR(LEFT(H372,15)="Missing dates; ",LEFT(H372,16)="Add N/A reason; ",H372="Add dates",H372="Add registration",H372="Check date format"),1,0)</x:f>
        <x:v>0</x:v>
      </x:c>
      <x:c r="S372" t="n">
        <x:f>S371+IF(COUNTIFS(C372:F372,"Reviewed N/A")&gt;0,1,0)</x:f>
        <x:v>0</x:v>
      </x:c>
    </x:row>
    <x:row r="373" ht="48" customHeight="1">
      <x:c r="A373" s="52"/>
      <x:c r="B373" s="52"/>
      <x:c r="C373" s="53"/>
      <x:c r="D373" s="53"/>
      <x:c r="E373" s="53"/>
      <x:c r="F373" s="53"/>
      <x:c r="G373" s="52"/>
      <x:c r="H373" s="21" t="str">
        <x:f>IF(COUNTA(A373:G373,I373)=0,"",IF(A373="","Add registration",IF(OR(COUNTA(C373:F373)&gt;COUNT(C373:F373)+COUNTIFS(C373:F373,"Reviewed N/A"),AND(COUNT(C373:F373)&gt;0,OR(MIN(C373:F373)&lt;36526,MAX(C373:F373)&gt;109574))),"Check date format",IF(AND(COUNTIFS(C373:F373,"Reviewed N/A")&gt;0,I373=""),"Add N/A reason; ","")&amp;IF(COUNT(C373:F373)=0,IF(COUNTIFS(C373:F373,"Reviewed N/A")=4,"No applicable dates recorded","Add dates"),IF(COUNT(C373:F373)+COUNTIFS(C373:F373,"Reviewed N/A")&lt;4,"Missing dates; ","")&amp;IF(MIN(C373:F373)&lt;TODAY(),"Overdue: ",IF(MIN(C373:F373)=TODAY(),"Due today: ",IF(MIN(C373:F373)&lt;=TODAY()+30,"Due within 30 days: ","Next: ")))&amp;INDEX($C$8:$F$8,1,MATCH(MIN(C373:F373),C373:F373,0))&amp;" "&amp;TEXT(MIN(C373:F373),"dd mmm yyyy")))))</x:f>
      </x:c>
      <x:c r="I373" s="52"/>
      <x:c r="J373" t="str">
        <x:f>IF(AND(A373&lt;&gt;"",COUNTIFS(C373,"&gt;=36526",C373,"&lt;"&amp;TODAY())+COUNTIFS(D373,"&gt;=36526",D373,"&lt;"&amp;TODAY())+COUNTIFS(E373,"&gt;=36526",E373,"&lt;"&amp;TODAY())+COUNTIFS(F373,"&gt;=36526",F373,"&lt;"&amp;TODAY())&gt;0),O373,"")</x:f>
      </x:c>
      <x:c r="K373" t="str">
        <x:f>IF(AND(A373&lt;&gt;"",COUNTIFS(C373,"&gt;=36526",C373,TODAY())+COUNTIFS(D373,"&gt;=36526",D373,TODAY())+COUNTIFS(E373,"&gt;=36526",E373,TODAY())+COUNTIFS(F373,"&gt;=36526",F373,TODAY())&gt;0),P373,"")</x:f>
      </x:c>
      <x:c r="L373" t="str">
        <x:f>IF(AND(A373&lt;&gt;"",COUNTIFS(C373,"&gt;"&amp;TODAY(),C373,"&lt;="&amp;TODAY()+30)+COUNTIFS(D373,"&gt;"&amp;TODAY(),D373,"&lt;="&amp;TODAY()+30)+COUNTIFS(E373,"&gt;"&amp;TODAY(),E373,"&lt;="&amp;TODAY()+30)+COUNTIFS(F373,"&gt;"&amp;TODAY(),F373,"&lt;="&amp;TODAY()+30)&gt;0),Q373,"")</x:f>
      </x:c>
      <x:c r="M373" t="str">
        <x:f>IF(OR(LEFT(H373,15)="Missing dates; ",LEFT(H373,16)="Add N/A reason; ",H373="Add dates",H373="Add registration",H373="Check date format"),R373,"")</x:f>
      </x:c>
      <x:c r="N373" t="str">
        <x:f>IF(COUNTIFS(C373:F373,"Reviewed N/A")&gt;0,S373,"")</x:f>
      </x:c>
      <x:c r="O373" t="n">
        <x:f>O372+IF(AND(A373&lt;&gt;"",COUNTIFS(C373,"&gt;=36526",C373,"&lt;"&amp;TODAY())+COUNTIFS(D373,"&gt;=36526",D373,"&lt;"&amp;TODAY())+COUNTIFS(E373,"&gt;=36526",E373,"&lt;"&amp;TODAY())+COUNTIFS(F373,"&gt;=36526",F373,"&lt;"&amp;TODAY())&gt;0),1,0)</x:f>
        <x:v>0</x:v>
      </x:c>
      <x:c r="P373" t="n">
        <x:f>P372+IF(AND(A373&lt;&gt;"",COUNTIFS(C373,"&gt;=36526",C373,TODAY())+COUNTIFS(D373,"&gt;=36526",D373,TODAY())+COUNTIFS(E373,"&gt;=36526",E373,TODAY())+COUNTIFS(F373,"&gt;=36526",F373,TODAY())&gt;0),1,0)</x:f>
        <x:v>0</x:v>
      </x:c>
      <x:c r="Q373" t="n">
        <x:f>Q372+IF(AND(A373&lt;&gt;"",COUNTIFS(C373,"&gt;"&amp;TODAY(),C373,"&lt;="&amp;TODAY()+30)+COUNTIFS(D373,"&gt;"&amp;TODAY(),D373,"&lt;="&amp;TODAY()+30)+COUNTIFS(E373,"&gt;"&amp;TODAY(),E373,"&lt;="&amp;TODAY()+30)+COUNTIFS(F373,"&gt;"&amp;TODAY(),F373,"&lt;="&amp;TODAY()+30)&gt;0),1,0)</x:f>
        <x:v>0</x:v>
      </x:c>
      <x:c r="R373" t="n">
        <x:f>R372+IF(OR(LEFT(H373,15)="Missing dates; ",LEFT(H373,16)="Add N/A reason; ",H373="Add dates",H373="Add registration",H373="Check date format"),1,0)</x:f>
        <x:v>0</x:v>
      </x:c>
      <x:c r="S373" t="n">
        <x:f>S372+IF(COUNTIFS(C373:F373,"Reviewed N/A")&gt;0,1,0)</x:f>
        <x:v>0</x:v>
      </x:c>
    </x:row>
    <x:row r="374" ht="48" customHeight="1">
      <x:c r="A374" s="52"/>
      <x:c r="B374" s="52"/>
      <x:c r="C374" s="53"/>
      <x:c r="D374" s="53"/>
      <x:c r="E374" s="53"/>
      <x:c r="F374" s="53"/>
      <x:c r="G374" s="52"/>
      <x:c r="H374" s="21" t="str">
        <x:f>IF(COUNTA(A374:G374,I374)=0,"",IF(A374="","Add registration",IF(OR(COUNTA(C374:F374)&gt;COUNT(C374:F374)+COUNTIFS(C374:F374,"Reviewed N/A"),AND(COUNT(C374:F374)&gt;0,OR(MIN(C374:F374)&lt;36526,MAX(C374:F374)&gt;109574))),"Check date format",IF(AND(COUNTIFS(C374:F374,"Reviewed N/A")&gt;0,I374=""),"Add N/A reason; ","")&amp;IF(COUNT(C374:F374)=0,IF(COUNTIFS(C374:F374,"Reviewed N/A")=4,"No applicable dates recorded","Add dates"),IF(COUNT(C374:F374)+COUNTIFS(C374:F374,"Reviewed N/A")&lt;4,"Missing dates; ","")&amp;IF(MIN(C374:F374)&lt;TODAY(),"Overdue: ",IF(MIN(C374:F374)=TODAY(),"Due today: ",IF(MIN(C374:F374)&lt;=TODAY()+30,"Due within 30 days: ","Next: ")))&amp;INDEX($C$8:$F$8,1,MATCH(MIN(C374:F374),C374:F374,0))&amp;" "&amp;TEXT(MIN(C374:F374),"dd mmm yyyy")))))</x:f>
      </x:c>
      <x:c r="I374" s="52"/>
      <x:c r="J374" t="str">
        <x:f>IF(AND(A374&lt;&gt;"",COUNTIFS(C374,"&gt;=36526",C374,"&lt;"&amp;TODAY())+COUNTIFS(D374,"&gt;=36526",D374,"&lt;"&amp;TODAY())+COUNTIFS(E374,"&gt;=36526",E374,"&lt;"&amp;TODAY())+COUNTIFS(F374,"&gt;=36526",F374,"&lt;"&amp;TODAY())&gt;0),O374,"")</x:f>
      </x:c>
      <x:c r="K374" t="str">
        <x:f>IF(AND(A374&lt;&gt;"",COUNTIFS(C374,"&gt;=36526",C374,TODAY())+COUNTIFS(D374,"&gt;=36526",D374,TODAY())+COUNTIFS(E374,"&gt;=36526",E374,TODAY())+COUNTIFS(F374,"&gt;=36526",F374,TODAY())&gt;0),P374,"")</x:f>
      </x:c>
      <x:c r="L374" t="str">
        <x:f>IF(AND(A374&lt;&gt;"",COUNTIFS(C374,"&gt;"&amp;TODAY(),C374,"&lt;="&amp;TODAY()+30)+COUNTIFS(D374,"&gt;"&amp;TODAY(),D374,"&lt;="&amp;TODAY()+30)+COUNTIFS(E374,"&gt;"&amp;TODAY(),E374,"&lt;="&amp;TODAY()+30)+COUNTIFS(F374,"&gt;"&amp;TODAY(),F374,"&lt;="&amp;TODAY()+30)&gt;0),Q374,"")</x:f>
      </x:c>
      <x:c r="M374" t="str">
        <x:f>IF(OR(LEFT(H374,15)="Missing dates; ",LEFT(H374,16)="Add N/A reason; ",H374="Add dates",H374="Add registration",H374="Check date format"),R374,"")</x:f>
      </x:c>
      <x:c r="N374" t="str">
        <x:f>IF(COUNTIFS(C374:F374,"Reviewed N/A")&gt;0,S374,"")</x:f>
      </x:c>
      <x:c r="O374" t="n">
        <x:f>O373+IF(AND(A374&lt;&gt;"",COUNTIFS(C374,"&gt;=36526",C374,"&lt;"&amp;TODAY())+COUNTIFS(D374,"&gt;=36526",D374,"&lt;"&amp;TODAY())+COUNTIFS(E374,"&gt;=36526",E374,"&lt;"&amp;TODAY())+COUNTIFS(F374,"&gt;=36526",F374,"&lt;"&amp;TODAY())&gt;0),1,0)</x:f>
        <x:v>0</x:v>
      </x:c>
      <x:c r="P374" t="n">
        <x:f>P373+IF(AND(A374&lt;&gt;"",COUNTIFS(C374,"&gt;=36526",C374,TODAY())+COUNTIFS(D374,"&gt;=36526",D374,TODAY())+COUNTIFS(E374,"&gt;=36526",E374,TODAY())+COUNTIFS(F374,"&gt;=36526",F374,TODAY())&gt;0),1,0)</x:f>
        <x:v>0</x:v>
      </x:c>
      <x:c r="Q374" t="n">
        <x:f>Q373+IF(AND(A374&lt;&gt;"",COUNTIFS(C374,"&gt;"&amp;TODAY(),C374,"&lt;="&amp;TODAY()+30)+COUNTIFS(D374,"&gt;"&amp;TODAY(),D374,"&lt;="&amp;TODAY()+30)+COUNTIFS(E374,"&gt;"&amp;TODAY(),E374,"&lt;="&amp;TODAY()+30)+COUNTIFS(F374,"&gt;"&amp;TODAY(),F374,"&lt;="&amp;TODAY()+30)&gt;0),1,0)</x:f>
        <x:v>0</x:v>
      </x:c>
      <x:c r="R374" t="n">
        <x:f>R373+IF(OR(LEFT(H374,15)="Missing dates; ",LEFT(H374,16)="Add N/A reason; ",H374="Add dates",H374="Add registration",H374="Check date format"),1,0)</x:f>
        <x:v>0</x:v>
      </x:c>
      <x:c r="S374" t="n">
        <x:f>S373+IF(COUNTIFS(C374:F374,"Reviewed N/A")&gt;0,1,0)</x:f>
        <x:v>0</x:v>
      </x:c>
    </x:row>
    <x:row r="375" ht="48" customHeight="1">
      <x:c r="A375" s="52"/>
      <x:c r="B375" s="52"/>
      <x:c r="C375" s="53"/>
      <x:c r="D375" s="53"/>
      <x:c r="E375" s="53"/>
      <x:c r="F375" s="53"/>
      <x:c r="G375" s="52"/>
      <x:c r="H375" s="21" t="str">
        <x:f>IF(COUNTA(A375:G375,I375)=0,"",IF(A375="","Add registration",IF(OR(COUNTA(C375:F375)&gt;COUNT(C375:F375)+COUNTIFS(C375:F375,"Reviewed N/A"),AND(COUNT(C375:F375)&gt;0,OR(MIN(C375:F375)&lt;36526,MAX(C375:F375)&gt;109574))),"Check date format",IF(AND(COUNTIFS(C375:F375,"Reviewed N/A")&gt;0,I375=""),"Add N/A reason; ","")&amp;IF(COUNT(C375:F375)=0,IF(COUNTIFS(C375:F375,"Reviewed N/A")=4,"No applicable dates recorded","Add dates"),IF(COUNT(C375:F375)+COUNTIFS(C375:F375,"Reviewed N/A")&lt;4,"Missing dates; ","")&amp;IF(MIN(C375:F375)&lt;TODAY(),"Overdue: ",IF(MIN(C375:F375)=TODAY(),"Due today: ",IF(MIN(C375:F375)&lt;=TODAY()+30,"Due within 30 days: ","Next: ")))&amp;INDEX($C$8:$F$8,1,MATCH(MIN(C375:F375),C375:F375,0))&amp;" "&amp;TEXT(MIN(C375:F375),"dd mmm yyyy")))))</x:f>
      </x:c>
      <x:c r="I375" s="52"/>
      <x:c r="J375" t="str">
        <x:f>IF(AND(A375&lt;&gt;"",COUNTIFS(C375,"&gt;=36526",C375,"&lt;"&amp;TODAY())+COUNTIFS(D375,"&gt;=36526",D375,"&lt;"&amp;TODAY())+COUNTIFS(E375,"&gt;=36526",E375,"&lt;"&amp;TODAY())+COUNTIFS(F375,"&gt;=36526",F375,"&lt;"&amp;TODAY())&gt;0),O375,"")</x:f>
      </x:c>
      <x:c r="K375" t="str">
        <x:f>IF(AND(A375&lt;&gt;"",COUNTIFS(C375,"&gt;=36526",C375,TODAY())+COUNTIFS(D375,"&gt;=36526",D375,TODAY())+COUNTIFS(E375,"&gt;=36526",E375,TODAY())+COUNTIFS(F375,"&gt;=36526",F375,TODAY())&gt;0),P375,"")</x:f>
      </x:c>
      <x:c r="L375" t="str">
        <x:f>IF(AND(A375&lt;&gt;"",COUNTIFS(C375,"&gt;"&amp;TODAY(),C375,"&lt;="&amp;TODAY()+30)+COUNTIFS(D375,"&gt;"&amp;TODAY(),D375,"&lt;="&amp;TODAY()+30)+COUNTIFS(E375,"&gt;"&amp;TODAY(),E375,"&lt;="&amp;TODAY()+30)+COUNTIFS(F375,"&gt;"&amp;TODAY(),F375,"&lt;="&amp;TODAY()+30)&gt;0),Q375,"")</x:f>
      </x:c>
      <x:c r="M375" t="str">
        <x:f>IF(OR(LEFT(H375,15)="Missing dates; ",LEFT(H375,16)="Add N/A reason; ",H375="Add dates",H375="Add registration",H375="Check date format"),R375,"")</x:f>
      </x:c>
      <x:c r="N375" t="str">
        <x:f>IF(COUNTIFS(C375:F375,"Reviewed N/A")&gt;0,S375,"")</x:f>
      </x:c>
      <x:c r="O375" t="n">
        <x:f>O374+IF(AND(A375&lt;&gt;"",COUNTIFS(C375,"&gt;=36526",C375,"&lt;"&amp;TODAY())+COUNTIFS(D375,"&gt;=36526",D375,"&lt;"&amp;TODAY())+COUNTIFS(E375,"&gt;=36526",E375,"&lt;"&amp;TODAY())+COUNTIFS(F375,"&gt;=36526",F375,"&lt;"&amp;TODAY())&gt;0),1,0)</x:f>
        <x:v>0</x:v>
      </x:c>
      <x:c r="P375" t="n">
        <x:f>P374+IF(AND(A375&lt;&gt;"",COUNTIFS(C375,"&gt;=36526",C375,TODAY())+COUNTIFS(D375,"&gt;=36526",D375,TODAY())+COUNTIFS(E375,"&gt;=36526",E375,TODAY())+COUNTIFS(F375,"&gt;=36526",F375,TODAY())&gt;0),1,0)</x:f>
        <x:v>0</x:v>
      </x:c>
      <x:c r="Q375" t="n">
        <x:f>Q374+IF(AND(A375&lt;&gt;"",COUNTIFS(C375,"&gt;"&amp;TODAY(),C375,"&lt;="&amp;TODAY()+30)+COUNTIFS(D375,"&gt;"&amp;TODAY(),D375,"&lt;="&amp;TODAY()+30)+COUNTIFS(E375,"&gt;"&amp;TODAY(),E375,"&lt;="&amp;TODAY()+30)+COUNTIFS(F375,"&gt;"&amp;TODAY(),F375,"&lt;="&amp;TODAY()+30)&gt;0),1,0)</x:f>
        <x:v>0</x:v>
      </x:c>
      <x:c r="R375" t="n">
        <x:f>R374+IF(OR(LEFT(H375,15)="Missing dates; ",LEFT(H375,16)="Add N/A reason; ",H375="Add dates",H375="Add registration",H375="Check date format"),1,0)</x:f>
        <x:v>0</x:v>
      </x:c>
      <x:c r="S375" t="n">
        <x:f>S374+IF(COUNTIFS(C375:F375,"Reviewed N/A")&gt;0,1,0)</x:f>
        <x:v>0</x:v>
      </x:c>
    </x:row>
    <x:row r="376" ht="48" customHeight="1">
      <x:c r="A376" s="52"/>
      <x:c r="B376" s="52"/>
      <x:c r="C376" s="53"/>
      <x:c r="D376" s="53"/>
      <x:c r="E376" s="53"/>
      <x:c r="F376" s="53"/>
      <x:c r="G376" s="52"/>
      <x:c r="H376" s="21" t="str">
        <x:f>IF(COUNTA(A376:G376,I376)=0,"",IF(A376="","Add registration",IF(OR(COUNTA(C376:F376)&gt;COUNT(C376:F376)+COUNTIFS(C376:F376,"Reviewed N/A"),AND(COUNT(C376:F376)&gt;0,OR(MIN(C376:F376)&lt;36526,MAX(C376:F376)&gt;109574))),"Check date format",IF(AND(COUNTIFS(C376:F376,"Reviewed N/A")&gt;0,I376=""),"Add N/A reason; ","")&amp;IF(COUNT(C376:F376)=0,IF(COUNTIFS(C376:F376,"Reviewed N/A")=4,"No applicable dates recorded","Add dates"),IF(COUNT(C376:F376)+COUNTIFS(C376:F376,"Reviewed N/A")&lt;4,"Missing dates; ","")&amp;IF(MIN(C376:F376)&lt;TODAY(),"Overdue: ",IF(MIN(C376:F376)=TODAY(),"Due today: ",IF(MIN(C376:F376)&lt;=TODAY()+30,"Due within 30 days: ","Next: ")))&amp;INDEX($C$8:$F$8,1,MATCH(MIN(C376:F376),C376:F376,0))&amp;" "&amp;TEXT(MIN(C376:F376),"dd mmm yyyy")))))</x:f>
      </x:c>
      <x:c r="I376" s="52"/>
      <x:c r="J376" t="str">
        <x:f>IF(AND(A376&lt;&gt;"",COUNTIFS(C376,"&gt;=36526",C376,"&lt;"&amp;TODAY())+COUNTIFS(D376,"&gt;=36526",D376,"&lt;"&amp;TODAY())+COUNTIFS(E376,"&gt;=36526",E376,"&lt;"&amp;TODAY())+COUNTIFS(F376,"&gt;=36526",F376,"&lt;"&amp;TODAY())&gt;0),O376,"")</x:f>
      </x:c>
      <x:c r="K376" t="str">
        <x:f>IF(AND(A376&lt;&gt;"",COUNTIFS(C376,"&gt;=36526",C376,TODAY())+COUNTIFS(D376,"&gt;=36526",D376,TODAY())+COUNTIFS(E376,"&gt;=36526",E376,TODAY())+COUNTIFS(F376,"&gt;=36526",F376,TODAY())&gt;0),P376,"")</x:f>
      </x:c>
      <x:c r="L376" t="str">
        <x:f>IF(AND(A376&lt;&gt;"",COUNTIFS(C376,"&gt;"&amp;TODAY(),C376,"&lt;="&amp;TODAY()+30)+COUNTIFS(D376,"&gt;"&amp;TODAY(),D376,"&lt;="&amp;TODAY()+30)+COUNTIFS(E376,"&gt;"&amp;TODAY(),E376,"&lt;="&amp;TODAY()+30)+COUNTIFS(F376,"&gt;"&amp;TODAY(),F376,"&lt;="&amp;TODAY()+30)&gt;0),Q376,"")</x:f>
      </x:c>
      <x:c r="M376" t="str">
        <x:f>IF(OR(LEFT(H376,15)="Missing dates; ",LEFT(H376,16)="Add N/A reason; ",H376="Add dates",H376="Add registration",H376="Check date format"),R376,"")</x:f>
      </x:c>
      <x:c r="N376" t="str">
        <x:f>IF(COUNTIFS(C376:F376,"Reviewed N/A")&gt;0,S376,"")</x:f>
      </x:c>
      <x:c r="O376" t="n">
        <x:f>O375+IF(AND(A376&lt;&gt;"",COUNTIFS(C376,"&gt;=36526",C376,"&lt;"&amp;TODAY())+COUNTIFS(D376,"&gt;=36526",D376,"&lt;"&amp;TODAY())+COUNTIFS(E376,"&gt;=36526",E376,"&lt;"&amp;TODAY())+COUNTIFS(F376,"&gt;=36526",F376,"&lt;"&amp;TODAY())&gt;0),1,0)</x:f>
        <x:v>0</x:v>
      </x:c>
      <x:c r="P376" t="n">
        <x:f>P375+IF(AND(A376&lt;&gt;"",COUNTIFS(C376,"&gt;=36526",C376,TODAY())+COUNTIFS(D376,"&gt;=36526",D376,TODAY())+COUNTIFS(E376,"&gt;=36526",E376,TODAY())+COUNTIFS(F376,"&gt;=36526",F376,TODAY())&gt;0),1,0)</x:f>
        <x:v>0</x:v>
      </x:c>
      <x:c r="Q376" t="n">
        <x:f>Q375+IF(AND(A376&lt;&gt;"",COUNTIFS(C376,"&gt;"&amp;TODAY(),C376,"&lt;="&amp;TODAY()+30)+COUNTIFS(D376,"&gt;"&amp;TODAY(),D376,"&lt;="&amp;TODAY()+30)+COUNTIFS(E376,"&gt;"&amp;TODAY(),E376,"&lt;="&amp;TODAY()+30)+COUNTIFS(F376,"&gt;"&amp;TODAY(),F376,"&lt;="&amp;TODAY()+30)&gt;0),1,0)</x:f>
        <x:v>0</x:v>
      </x:c>
      <x:c r="R376" t="n">
        <x:f>R375+IF(OR(LEFT(H376,15)="Missing dates; ",LEFT(H376,16)="Add N/A reason; ",H376="Add dates",H376="Add registration",H376="Check date format"),1,0)</x:f>
        <x:v>0</x:v>
      </x:c>
      <x:c r="S376" t="n">
        <x:f>S375+IF(COUNTIFS(C376:F376,"Reviewed N/A")&gt;0,1,0)</x:f>
        <x:v>0</x:v>
      </x:c>
    </x:row>
    <x:row r="377" ht="48" customHeight="1">
      <x:c r="A377" s="52"/>
      <x:c r="B377" s="52"/>
      <x:c r="C377" s="53"/>
      <x:c r="D377" s="53"/>
      <x:c r="E377" s="53"/>
      <x:c r="F377" s="53"/>
      <x:c r="G377" s="52"/>
      <x:c r="H377" s="21" t="str">
        <x:f>IF(COUNTA(A377:G377,I377)=0,"",IF(A377="","Add registration",IF(OR(COUNTA(C377:F377)&gt;COUNT(C377:F377)+COUNTIFS(C377:F377,"Reviewed N/A"),AND(COUNT(C377:F377)&gt;0,OR(MIN(C377:F377)&lt;36526,MAX(C377:F377)&gt;109574))),"Check date format",IF(AND(COUNTIFS(C377:F377,"Reviewed N/A")&gt;0,I377=""),"Add N/A reason; ","")&amp;IF(COUNT(C377:F377)=0,IF(COUNTIFS(C377:F377,"Reviewed N/A")=4,"No applicable dates recorded","Add dates"),IF(COUNT(C377:F377)+COUNTIFS(C377:F377,"Reviewed N/A")&lt;4,"Missing dates; ","")&amp;IF(MIN(C377:F377)&lt;TODAY(),"Overdue: ",IF(MIN(C377:F377)=TODAY(),"Due today: ",IF(MIN(C377:F377)&lt;=TODAY()+30,"Due within 30 days: ","Next: ")))&amp;INDEX($C$8:$F$8,1,MATCH(MIN(C377:F377),C377:F377,0))&amp;" "&amp;TEXT(MIN(C377:F377),"dd mmm yyyy")))))</x:f>
      </x:c>
      <x:c r="I377" s="52"/>
      <x:c r="J377" t="str">
        <x:f>IF(AND(A377&lt;&gt;"",COUNTIFS(C377,"&gt;=36526",C377,"&lt;"&amp;TODAY())+COUNTIFS(D377,"&gt;=36526",D377,"&lt;"&amp;TODAY())+COUNTIFS(E377,"&gt;=36526",E377,"&lt;"&amp;TODAY())+COUNTIFS(F377,"&gt;=36526",F377,"&lt;"&amp;TODAY())&gt;0),O377,"")</x:f>
      </x:c>
      <x:c r="K377" t="str">
        <x:f>IF(AND(A377&lt;&gt;"",COUNTIFS(C377,"&gt;=36526",C377,TODAY())+COUNTIFS(D377,"&gt;=36526",D377,TODAY())+COUNTIFS(E377,"&gt;=36526",E377,TODAY())+COUNTIFS(F377,"&gt;=36526",F377,TODAY())&gt;0),P377,"")</x:f>
      </x:c>
      <x:c r="L377" t="str">
        <x:f>IF(AND(A377&lt;&gt;"",COUNTIFS(C377,"&gt;"&amp;TODAY(),C377,"&lt;="&amp;TODAY()+30)+COUNTIFS(D377,"&gt;"&amp;TODAY(),D377,"&lt;="&amp;TODAY()+30)+COUNTIFS(E377,"&gt;"&amp;TODAY(),E377,"&lt;="&amp;TODAY()+30)+COUNTIFS(F377,"&gt;"&amp;TODAY(),F377,"&lt;="&amp;TODAY()+30)&gt;0),Q377,"")</x:f>
      </x:c>
      <x:c r="M377" t="str">
        <x:f>IF(OR(LEFT(H377,15)="Missing dates; ",LEFT(H377,16)="Add N/A reason; ",H377="Add dates",H377="Add registration",H377="Check date format"),R377,"")</x:f>
      </x:c>
      <x:c r="N377" t="str">
        <x:f>IF(COUNTIFS(C377:F377,"Reviewed N/A")&gt;0,S377,"")</x:f>
      </x:c>
      <x:c r="O377" t="n">
        <x:f>O376+IF(AND(A377&lt;&gt;"",COUNTIFS(C377,"&gt;=36526",C377,"&lt;"&amp;TODAY())+COUNTIFS(D377,"&gt;=36526",D377,"&lt;"&amp;TODAY())+COUNTIFS(E377,"&gt;=36526",E377,"&lt;"&amp;TODAY())+COUNTIFS(F377,"&gt;=36526",F377,"&lt;"&amp;TODAY())&gt;0),1,0)</x:f>
        <x:v>0</x:v>
      </x:c>
      <x:c r="P377" t="n">
        <x:f>P376+IF(AND(A377&lt;&gt;"",COUNTIFS(C377,"&gt;=36526",C377,TODAY())+COUNTIFS(D377,"&gt;=36526",D377,TODAY())+COUNTIFS(E377,"&gt;=36526",E377,TODAY())+COUNTIFS(F377,"&gt;=36526",F377,TODAY())&gt;0),1,0)</x:f>
        <x:v>0</x:v>
      </x:c>
      <x:c r="Q377" t="n">
        <x:f>Q376+IF(AND(A377&lt;&gt;"",COUNTIFS(C377,"&gt;"&amp;TODAY(),C377,"&lt;="&amp;TODAY()+30)+COUNTIFS(D377,"&gt;"&amp;TODAY(),D377,"&lt;="&amp;TODAY()+30)+COUNTIFS(E377,"&gt;"&amp;TODAY(),E377,"&lt;="&amp;TODAY()+30)+COUNTIFS(F377,"&gt;"&amp;TODAY(),F377,"&lt;="&amp;TODAY()+30)&gt;0),1,0)</x:f>
        <x:v>0</x:v>
      </x:c>
      <x:c r="R377" t="n">
        <x:f>R376+IF(OR(LEFT(H377,15)="Missing dates; ",LEFT(H377,16)="Add N/A reason; ",H377="Add dates",H377="Add registration",H377="Check date format"),1,0)</x:f>
        <x:v>0</x:v>
      </x:c>
      <x:c r="S377" t="n">
        <x:f>S376+IF(COUNTIFS(C377:F377,"Reviewed N/A")&gt;0,1,0)</x:f>
        <x:v>0</x:v>
      </x:c>
    </x:row>
    <x:row r="378" ht="48" customHeight="1">
      <x:c r="A378" s="52"/>
      <x:c r="B378" s="52"/>
      <x:c r="C378" s="53"/>
      <x:c r="D378" s="53"/>
      <x:c r="E378" s="53"/>
      <x:c r="F378" s="53"/>
      <x:c r="G378" s="52"/>
      <x:c r="H378" s="21" t="str">
        <x:f>IF(COUNTA(A378:G378,I378)=0,"",IF(A378="","Add registration",IF(OR(COUNTA(C378:F378)&gt;COUNT(C378:F378)+COUNTIFS(C378:F378,"Reviewed N/A"),AND(COUNT(C378:F378)&gt;0,OR(MIN(C378:F378)&lt;36526,MAX(C378:F378)&gt;109574))),"Check date format",IF(AND(COUNTIFS(C378:F378,"Reviewed N/A")&gt;0,I378=""),"Add N/A reason; ","")&amp;IF(COUNT(C378:F378)=0,IF(COUNTIFS(C378:F378,"Reviewed N/A")=4,"No applicable dates recorded","Add dates"),IF(COUNT(C378:F378)+COUNTIFS(C378:F378,"Reviewed N/A")&lt;4,"Missing dates; ","")&amp;IF(MIN(C378:F378)&lt;TODAY(),"Overdue: ",IF(MIN(C378:F378)=TODAY(),"Due today: ",IF(MIN(C378:F378)&lt;=TODAY()+30,"Due within 30 days: ","Next: ")))&amp;INDEX($C$8:$F$8,1,MATCH(MIN(C378:F378),C378:F378,0))&amp;" "&amp;TEXT(MIN(C378:F378),"dd mmm yyyy")))))</x:f>
      </x:c>
      <x:c r="I378" s="52"/>
      <x:c r="J378" t="str">
        <x:f>IF(AND(A378&lt;&gt;"",COUNTIFS(C378,"&gt;=36526",C378,"&lt;"&amp;TODAY())+COUNTIFS(D378,"&gt;=36526",D378,"&lt;"&amp;TODAY())+COUNTIFS(E378,"&gt;=36526",E378,"&lt;"&amp;TODAY())+COUNTIFS(F378,"&gt;=36526",F378,"&lt;"&amp;TODAY())&gt;0),O378,"")</x:f>
      </x:c>
      <x:c r="K378" t="str">
        <x:f>IF(AND(A378&lt;&gt;"",COUNTIFS(C378,"&gt;=36526",C378,TODAY())+COUNTIFS(D378,"&gt;=36526",D378,TODAY())+COUNTIFS(E378,"&gt;=36526",E378,TODAY())+COUNTIFS(F378,"&gt;=36526",F378,TODAY())&gt;0),P378,"")</x:f>
      </x:c>
      <x:c r="L378" t="str">
        <x:f>IF(AND(A378&lt;&gt;"",COUNTIFS(C378,"&gt;"&amp;TODAY(),C378,"&lt;="&amp;TODAY()+30)+COUNTIFS(D378,"&gt;"&amp;TODAY(),D378,"&lt;="&amp;TODAY()+30)+COUNTIFS(E378,"&gt;"&amp;TODAY(),E378,"&lt;="&amp;TODAY()+30)+COUNTIFS(F378,"&gt;"&amp;TODAY(),F378,"&lt;="&amp;TODAY()+30)&gt;0),Q378,"")</x:f>
      </x:c>
      <x:c r="M378" t="str">
        <x:f>IF(OR(LEFT(H378,15)="Missing dates; ",LEFT(H378,16)="Add N/A reason; ",H378="Add dates",H378="Add registration",H378="Check date format"),R378,"")</x:f>
      </x:c>
      <x:c r="N378" t="str">
        <x:f>IF(COUNTIFS(C378:F378,"Reviewed N/A")&gt;0,S378,"")</x:f>
      </x:c>
      <x:c r="O378" t="n">
        <x:f>O377+IF(AND(A378&lt;&gt;"",COUNTIFS(C378,"&gt;=36526",C378,"&lt;"&amp;TODAY())+COUNTIFS(D378,"&gt;=36526",D378,"&lt;"&amp;TODAY())+COUNTIFS(E378,"&gt;=36526",E378,"&lt;"&amp;TODAY())+COUNTIFS(F378,"&gt;=36526",F378,"&lt;"&amp;TODAY())&gt;0),1,0)</x:f>
        <x:v>0</x:v>
      </x:c>
      <x:c r="P378" t="n">
        <x:f>P377+IF(AND(A378&lt;&gt;"",COUNTIFS(C378,"&gt;=36526",C378,TODAY())+COUNTIFS(D378,"&gt;=36526",D378,TODAY())+COUNTIFS(E378,"&gt;=36526",E378,TODAY())+COUNTIFS(F378,"&gt;=36526",F378,TODAY())&gt;0),1,0)</x:f>
        <x:v>0</x:v>
      </x:c>
      <x:c r="Q378" t="n">
        <x:f>Q377+IF(AND(A378&lt;&gt;"",COUNTIFS(C378,"&gt;"&amp;TODAY(),C378,"&lt;="&amp;TODAY()+30)+COUNTIFS(D378,"&gt;"&amp;TODAY(),D378,"&lt;="&amp;TODAY()+30)+COUNTIFS(E378,"&gt;"&amp;TODAY(),E378,"&lt;="&amp;TODAY()+30)+COUNTIFS(F378,"&gt;"&amp;TODAY(),F378,"&lt;="&amp;TODAY()+30)&gt;0),1,0)</x:f>
        <x:v>0</x:v>
      </x:c>
      <x:c r="R378" t="n">
        <x:f>R377+IF(OR(LEFT(H378,15)="Missing dates; ",LEFT(H378,16)="Add N/A reason; ",H378="Add dates",H378="Add registration",H378="Check date format"),1,0)</x:f>
        <x:v>0</x:v>
      </x:c>
      <x:c r="S378" t="n">
        <x:f>S377+IF(COUNTIFS(C378:F378,"Reviewed N/A")&gt;0,1,0)</x:f>
        <x:v>0</x:v>
      </x:c>
    </x:row>
    <x:row r="379" ht="48" customHeight="1">
      <x:c r="A379" s="52"/>
      <x:c r="B379" s="52"/>
      <x:c r="C379" s="53"/>
      <x:c r="D379" s="53"/>
      <x:c r="E379" s="53"/>
      <x:c r="F379" s="53"/>
      <x:c r="G379" s="52"/>
      <x:c r="H379" s="21" t="str">
        <x:f>IF(COUNTA(A379:G379,I379)=0,"",IF(A379="","Add registration",IF(OR(COUNTA(C379:F379)&gt;COUNT(C379:F379)+COUNTIFS(C379:F379,"Reviewed N/A"),AND(COUNT(C379:F379)&gt;0,OR(MIN(C379:F379)&lt;36526,MAX(C379:F379)&gt;109574))),"Check date format",IF(AND(COUNTIFS(C379:F379,"Reviewed N/A")&gt;0,I379=""),"Add N/A reason; ","")&amp;IF(COUNT(C379:F379)=0,IF(COUNTIFS(C379:F379,"Reviewed N/A")=4,"No applicable dates recorded","Add dates"),IF(COUNT(C379:F379)+COUNTIFS(C379:F379,"Reviewed N/A")&lt;4,"Missing dates; ","")&amp;IF(MIN(C379:F379)&lt;TODAY(),"Overdue: ",IF(MIN(C379:F379)=TODAY(),"Due today: ",IF(MIN(C379:F379)&lt;=TODAY()+30,"Due within 30 days: ","Next: ")))&amp;INDEX($C$8:$F$8,1,MATCH(MIN(C379:F379),C379:F379,0))&amp;" "&amp;TEXT(MIN(C379:F379),"dd mmm yyyy")))))</x:f>
      </x:c>
      <x:c r="I379" s="52"/>
      <x:c r="J379" t="str">
        <x:f>IF(AND(A379&lt;&gt;"",COUNTIFS(C379,"&gt;=36526",C379,"&lt;"&amp;TODAY())+COUNTIFS(D379,"&gt;=36526",D379,"&lt;"&amp;TODAY())+COUNTIFS(E379,"&gt;=36526",E379,"&lt;"&amp;TODAY())+COUNTIFS(F379,"&gt;=36526",F379,"&lt;"&amp;TODAY())&gt;0),O379,"")</x:f>
      </x:c>
      <x:c r="K379" t="str">
        <x:f>IF(AND(A379&lt;&gt;"",COUNTIFS(C379,"&gt;=36526",C379,TODAY())+COUNTIFS(D379,"&gt;=36526",D379,TODAY())+COUNTIFS(E379,"&gt;=36526",E379,TODAY())+COUNTIFS(F379,"&gt;=36526",F379,TODAY())&gt;0),P379,"")</x:f>
      </x:c>
      <x:c r="L379" t="str">
        <x:f>IF(AND(A379&lt;&gt;"",COUNTIFS(C379,"&gt;"&amp;TODAY(),C379,"&lt;="&amp;TODAY()+30)+COUNTIFS(D379,"&gt;"&amp;TODAY(),D379,"&lt;="&amp;TODAY()+30)+COUNTIFS(E379,"&gt;"&amp;TODAY(),E379,"&lt;="&amp;TODAY()+30)+COUNTIFS(F379,"&gt;"&amp;TODAY(),F379,"&lt;="&amp;TODAY()+30)&gt;0),Q379,"")</x:f>
      </x:c>
      <x:c r="M379" t="str">
        <x:f>IF(OR(LEFT(H379,15)="Missing dates; ",LEFT(H379,16)="Add N/A reason; ",H379="Add dates",H379="Add registration",H379="Check date format"),R379,"")</x:f>
      </x:c>
      <x:c r="N379" t="str">
        <x:f>IF(COUNTIFS(C379:F379,"Reviewed N/A")&gt;0,S379,"")</x:f>
      </x:c>
      <x:c r="O379" t="n">
        <x:f>O378+IF(AND(A379&lt;&gt;"",COUNTIFS(C379,"&gt;=36526",C379,"&lt;"&amp;TODAY())+COUNTIFS(D379,"&gt;=36526",D379,"&lt;"&amp;TODAY())+COUNTIFS(E379,"&gt;=36526",E379,"&lt;"&amp;TODAY())+COUNTIFS(F379,"&gt;=36526",F379,"&lt;"&amp;TODAY())&gt;0),1,0)</x:f>
        <x:v>0</x:v>
      </x:c>
      <x:c r="P379" t="n">
        <x:f>P378+IF(AND(A379&lt;&gt;"",COUNTIFS(C379,"&gt;=36526",C379,TODAY())+COUNTIFS(D379,"&gt;=36526",D379,TODAY())+COUNTIFS(E379,"&gt;=36526",E379,TODAY())+COUNTIFS(F379,"&gt;=36526",F379,TODAY())&gt;0),1,0)</x:f>
        <x:v>0</x:v>
      </x:c>
      <x:c r="Q379" t="n">
        <x:f>Q378+IF(AND(A379&lt;&gt;"",COUNTIFS(C379,"&gt;"&amp;TODAY(),C379,"&lt;="&amp;TODAY()+30)+COUNTIFS(D379,"&gt;"&amp;TODAY(),D379,"&lt;="&amp;TODAY()+30)+COUNTIFS(E379,"&gt;"&amp;TODAY(),E379,"&lt;="&amp;TODAY()+30)+COUNTIFS(F379,"&gt;"&amp;TODAY(),F379,"&lt;="&amp;TODAY()+30)&gt;0),1,0)</x:f>
        <x:v>0</x:v>
      </x:c>
      <x:c r="R379" t="n">
        <x:f>R378+IF(OR(LEFT(H379,15)="Missing dates; ",LEFT(H379,16)="Add N/A reason; ",H379="Add dates",H379="Add registration",H379="Check date format"),1,0)</x:f>
        <x:v>0</x:v>
      </x:c>
      <x:c r="S379" t="n">
        <x:f>S378+IF(COUNTIFS(C379:F379,"Reviewed N/A")&gt;0,1,0)</x:f>
        <x:v>0</x:v>
      </x:c>
    </x:row>
    <x:row r="380" ht="48" customHeight="1">
      <x:c r="A380" s="52"/>
      <x:c r="B380" s="52"/>
      <x:c r="C380" s="53"/>
      <x:c r="D380" s="53"/>
      <x:c r="E380" s="53"/>
      <x:c r="F380" s="53"/>
      <x:c r="G380" s="52"/>
      <x:c r="H380" s="21" t="str">
        <x:f>IF(COUNTA(A380:G380,I380)=0,"",IF(A380="","Add registration",IF(OR(COUNTA(C380:F380)&gt;COUNT(C380:F380)+COUNTIFS(C380:F380,"Reviewed N/A"),AND(COUNT(C380:F380)&gt;0,OR(MIN(C380:F380)&lt;36526,MAX(C380:F380)&gt;109574))),"Check date format",IF(AND(COUNTIFS(C380:F380,"Reviewed N/A")&gt;0,I380=""),"Add N/A reason; ","")&amp;IF(COUNT(C380:F380)=0,IF(COUNTIFS(C380:F380,"Reviewed N/A")=4,"No applicable dates recorded","Add dates"),IF(COUNT(C380:F380)+COUNTIFS(C380:F380,"Reviewed N/A")&lt;4,"Missing dates; ","")&amp;IF(MIN(C380:F380)&lt;TODAY(),"Overdue: ",IF(MIN(C380:F380)=TODAY(),"Due today: ",IF(MIN(C380:F380)&lt;=TODAY()+30,"Due within 30 days: ","Next: ")))&amp;INDEX($C$8:$F$8,1,MATCH(MIN(C380:F380),C380:F380,0))&amp;" "&amp;TEXT(MIN(C380:F380),"dd mmm yyyy")))))</x:f>
      </x:c>
      <x:c r="I380" s="52"/>
      <x:c r="J380" t="str">
        <x:f>IF(AND(A380&lt;&gt;"",COUNTIFS(C380,"&gt;=36526",C380,"&lt;"&amp;TODAY())+COUNTIFS(D380,"&gt;=36526",D380,"&lt;"&amp;TODAY())+COUNTIFS(E380,"&gt;=36526",E380,"&lt;"&amp;TODAY())+COUNTIFS(F380,"&gt;=36526",F380,"&lt;"&amp;TODAY())&gt;0),O380,"")</x:f>
      </x:c>
      <x:c r="K380" t="str">
        <x:f>IF(AND(A380&lt;&gt;"",COUNTIFS(C380,"&gt;=36526",C380,TODAY())+COUNTIFS(D380,"&gt;=36526",D380,TODAY())+COUNTIFS(E380,"&gt;=36526",E380,TODAY())+COUNTIFS(F380,"&gt;=36526",F380,TODAY())&gt;0),P380,"")</x:f>
      </x:c>
      <x:c r="L380" t="str">
        <x:f>IF(AND(A380&lt;&gt;"",COUNTIFS(C380,"&gt;"&amp;TODAY(),C380,"&lt;="&amp;TODAY()+30)+COUNTIFS(D380,"&gt;"&amp;TODAY(),D380,"&lt;="&amp;TODAY()+30)+COUNTIFS(E380,"&gt;"&amp;TODAY(),E380,"&lt;="&amp;TODAY()+30)+COUNTIFS(F380,"&gt;"&amp;TODAY(),F380,"&lt;="&amp;TODAY()+30)&gt;0),Q380,"")</x:f>
      </x:c>
      <x:c r="M380" t="str">
        <x:f>IF(OR(LEFT(H380,15)="Missing dates; ",LEFT(H380,16)="Add N/A reason; ",H380="Add dates",H380="Add registration",H380="Check date format"),R380,"")</x:f>
      </x:c>
      <x:c r="N380" t="str">
        <x:f>IF(COUNTIFS(C380:F380,"Reviewed N/A")&gt;0,S380,"")</x:f>
      </x:c>
      <x:c r="O380" t="n">
        <x:f>O379+IF(AND(A380&lt;&gt;"",COUNTIFS(C380,"&gt;=36526",C380,"&lt;"&amp;TODAY())+COUNTIFS(D380,"&gt;=36526",D380,"&lt;"&amp;TODAY())+COUNTIFS(E380,"&gt;=36526",E380,"&lt;"&amp;TODAY())+COUNTIFS(F380,"&gt;=36526",F380,"&lt;"&amp;TODAY())&gt;0),1,0)</x:f>
        <x:v>0</x:v>
      </x:c>
      <x:c r="P380" t="n">
        <x:f>P379+IF(AND(A380&lt;&gt;"",COUNTIFS(C380,"&gt;=36526",C380,TODAY())+COUNTIFS(D380,"&gt;=36526",D380,TODAY())+COUNTIFS(E380,"&gt;=36526",E380,TODAY())+COUNTIFS(F380,"&gt;=36526",F380,TODAY())&gt;0),1,0)</x:f>
        <x:v>0</x:v>
      </x:c>
      <x:c r="Q380" t="n">
        <x:f>Q379+IF(AND(A380&lt;&gt;"",COUNTIFS(C380,"&gt;"&amp;TODAY(),C380,"&lt;="&amp;TODAY()+30)+COUNTIFS(D380,"&gt;"&amp;TODAY(),D380,"&lt;="&amp;TODAY()+30)+COUNTIFS(E380,"&gt;"&amp;TODAY(),E380,"&lt;="&amp;TODAY()+30)+COUNTIFS(F380,"&gt;"&amp;TODAY(),F380,"&lt;="&amp;TODAY()+30)&gt;0),1,0)</x:f>
        <x:v>0</x:v>
      </x:c>
      <x:c r="R380" t="n">
        <x:f>R379+IF(OR(LEFT(H380,15)="Missing dates; ",LEFT(H380,16)="Add N/A reason; ",H380="Add dates",H380="Add registration",H380="Check date format"),1,0)</x:f>
        <x:v>0</x:v>
      </x:c>
      <x:c r="S380" t="n">
        <x:f>S379+IF(COUNTIFS(C380:F380,"Reviewed N/A")&gt;0,1,0)</x:f>
        <x:v>0</x:v>
      </x:c>
    </x:row>
    <x:row r="381" ht="48" customHeight="1">
      <x:c r="A381" s="52"/>
      <x:c r="B381" s="52"/>
      <x:c r="C381" s="53"/>
      <x:c r="D381" s="53"/>
      <x:c r="E381" s="53"/>
      <x:c r="F381" s="53"/>
      <x:c r="G381" s="52"/>
      <x:c r="H381" s="21" t="str">
        <x:f>IF(COUNTA(A381:G381,I381)=0,"",IF(A381="","Add registration",IF(OR(COUNTA(C381:F381)&gt;COUNT(C381:F381)+COUNTIFS(C381:F381,"Reviewed N/A"),AND(COUNT(C381:F381)&gt;0,OR(MIN(C381:F381)&lt;36526,MAX(C381:F381)&gt;109574))),"Check date format",IF(AND(COUNTIFS(C381:F381,"Reviewed N/A")&gt;0,I381=""),"Add N/A reason; ","")&amp;IF(COUNT(C381:F381)=0,IF(COUNTIFS(C381:F381,"Reviewed N/A")=4,"No applicable dates recorded","Add dates"),IF(COUNT(C381:F381)+COUNTIFS(C381:F381,"Reviewed N/A")&lt;4,"Missing dates; ","")&amp;IF(MIN(C381:F381)&lt;TODAY(),"Overdue: ",IF(MIN(C381:F381)=TODAY(),"Due today: ",IF(MIN(C381:F381)&lt;=TODAY()+30,"Due within 30 days: ","Next: ")))&amp;INDEX($C$8:$F$8,1,MATCH(MIN(C381:F381),C381:F381,0))&amp;" "&amp;TEXT(MIN(C381:F381),"dd mmm yyyy")))))</x:f>
      </x:c>
      <x:c r="I381" s="52"/>
      <x:c r="J381" t="str">
        <x:f>IF(AND(A381&lt;&gt;"",COUNTIFS(C381,"&gt;=36526",C381,"&lt;"&amp;TODAY())+COUNTIFS(D381,"&gt;=36526",D381,"&lt;"&amp;TODAY())+COUNTIFS(E381,"&gt;=36526",E381,"&lt;"&amp;TODAY())+COUNTIFS(F381,"&gt;=36526",F381,"&lt;"&amp;TODAY())&gt;0),O381,"")</x:f>
      </x:c>
      <x:c r="K381" t="str">
        <x:f>IF(AND(A381&lt;&gt;"",COUNTIFS(C381,"&gt;=36526",C381,TODAY())+COUNTIFS(D381,"&gt;=36526",D381,TODAY())+COUNTIFS(E381,"&gt;=36526",E381,TODAY())+COUNTIFS(F381,"&gt;=36526",F381,TODAY())&gt;0),P381,"")</x:f>
      </x:c>
      <x:c r="L381" t="str">
        <x:f>IF(AND(A381&lt;&gt;"",COUNTIFS(C381,"&gt;"&amp;TODAY(),C381,"&lt;="&amp;TODAY()+30)+COUNTIFS(D381,"&gt;"&amp;TODAY(),D381,"&lt;="&amp;TODAY()+30)+COUNTIFS(E381,"&gt;"&amp;TODAY(),E381,"&lt;="&amp;TODAY()+30)+COUNTIFS(F381,"&gt;"&amp;TODAY(),F381,"&lt;="&amp;TODAY()+30)&gt;0),Q381,"")</x:f>
      </x:c>
      <x:c r="M381" t="str">
        <x:f>IF(OR(LEFT(H381,15)="Missing dates; ",LEFT(H381,16)="Add N/A reason; ",H381="Add dates",H381="Add registration",H381="Check date format"),R381,"")</x:f>
      </x:c>
      <x:c r="N381" t="str">
        <x:f>IF(COUNTIFS(C381:F381,"Reviewed N/A")&gt;0,S381,"")</x:f>
      </x:c>
      <x:c r="O381" t="n">
        <x:f>O380+IF(AND(A381&lt;&gt;"",COUNTIFS(C381,"&gt;=36526",C381,"&lt;"&amp;TODAY())+COUNTIFS(D381,"&gt;=36526",D381,"&lt;"&amp;TODAY())+COUNTIFS(E381,"&gt;=36526",E381,"&lt;"&amp;TODAY())+COUNTIFS(F381,"&gt;=36526",F381,"&lt;"&amp;TODAY())&gt;0),1,0)</x:f>
        <x:v>0</x:v>
      </x:c>
      <x:c r="P381" t="n">
        <x:f>P380+IF(AND(A381&lt;&gt;"",COUNTIFS(C381,"&gt;=36526",C381,TODAY())+COUNTIFS(D381,"&gt;=36526",D381,TODAY())+COUNTIFS(E381,"&gt;=36526",E381,TODAY())+COUNTIFS(F381,"&gt;=36526",F381,TODAY())&gt;0),1,0)</x:f>
        <x:v>0</x:v>
      </x:c>
      <x:c r="Q381" t="n">
        <x:f>Q380+IF(AND(A381&lt;&gt;"",COUNTIFS(C381,"&gt;"&amp;TODAY(),C381,"&lt;="&amp;TODAY()+30)+COUNTIFS(D381,"&gt;"&amp;TODAY(),D381,"&lt;="&amp;TODAY()+30)+COUNTIFS(E381,"&gt;"&amp;TODAY(),E381,"&lt;="&amp;TODAY()+30)+COUNTIFS(F381,"&gt;"&amp;TODAY(),F381,"&lt;="&amp;TODAY()+30)&gt;0),1,0)</x:f>
        <x:v>0</x:v>
      </x:c>
      <x:c r="R381" t="n">
        <x:f>R380+IF(OR(LEFT(H381,15)="Missing dates; ",LEFT(H381,16)="Add N/A reason; ",H381="Add dates",H381="Add registration",H381="Check date format"),1,0)</x:f>
        <x:v>0</x:v>
      </x:c>
      <x:c r="S381" t="n">
        <x:f>S380+IF(COUNTIFS(C381:F381,"Reviewed N/A")&gt;0,1,0)</x:f>
        <x:v>0</x:v>
      </x:c>
    </x:row>
    <x:row r="382" ht="48" customHeight="1">
      <x:c r="A382" s="52"/>
      <x:c r="B382" s="52"/>
      <x:c r="C382" s="53"/>
      <x:c r="D382" s="53"/>
      <x:c r="E382" s="53"/>
      <x:c r="F382" s="53"/>
      <x:c r="G382" s="52"/>
      <x:c r="H382" s="21" t="str">
        <x:f>IF(COUNTA(A382:G382,I382)=0,"",IF(A382="","Add registration",IF(OR(COUNTA(C382:F382)&gt;COUNT(C382:F382)+COUNTIFS(C382:F382,"Reviewed N/A"),AND(COUNT(C382:F382)&gt;0,OR(MIN(C382:F382)&lt;36526,MAX(C382:F382)&gt;109574))),"Check date format",IF(AND(COUNTIFS(C382:F382,"Reviewed N/A")&gt;0,I382=""),"Add N/A reason; ","")&amp;IF(COUNT(C382:F382)=0,IF(COUNTIFS(C382:F382,"Reviewed N/A")=4,"No applicable dates recorded","Add dates"),IF(COUNT(C382:F382)+COUNTIFS(C382:F382,"Reviewed N/A")&lt;4,"Missing dates; ","")&amp;IF(MIN(C382:F382)&lt;TODAY(),"Overdue: ",IF(MIN(C382:F382)=TODAY(),"Due today: ",IF(MIN(C382:F382)&lt;=TODAY()+30,"Due within 30 days: ","Next: ")))&amp;INDEX($C$8:$F$8,1,MATCH(MIN(C382:F382),C382:F382,0))&amp;" "&amp;TEXT(MIN(C382:F382),"dd mmm yyyy")))))</x:f>
      </x:c>
      <x:c r="I382" s="52"/>
      <x:c r="J382" t="str">
        <x:f>IF(AND(A382&lt;&gt;"",COUNTIFS(C382,"&gt;=36526",C382,"&lt;"&amp;TODAY())+COUNTIFS(D382,"&gt;=36526",D382,"&lt;"&amp;TODAY())+COUNTIFS(E382,"&gt;=36526",E382,"&lt;"&amp;TODAY())+COUNTIFS(F382,"&gt;=36526",F382,"&lt;"&amp;TODAY())&gt;0),O382,"")</x:f>
      </x:c>
      <x:c r="K382" t="str">
        <x:f>IF(AND(A382&lt;&gt;"",COUNTIFS(C382,"&gt;=36526",C382,TODAY())+COUNTIFS(D382,"&gt;=36526",D382,TODAY())+COUNTIFS(E382,"&gt;=36526",E382,TODAY())+COUNTIFS(F382,"&gt;=36526",F382,TODAY())&gt;0),P382,"")</x:f>
      </x:c>
      <x:c r="L382" t="str">
        <x:f>IF(AND(A382&lt;&gt;"",COUNTIFS(C382,"&gt;"&amp;TODAY(),C382,"&lt;="&amp;TODAY()+30)+COUNTIFS(D382,"&gt;"&amp;TODAY(),D382,"&lt;="&amp;TODAY()+30)+COUNTIFS(E382,"&gt;"&amp;TODAY(),E382,"&lt;="&amp;TODAY()+30)+COUNTIFS(F382,"&gt;"&amp;TODAY(),F382,"&lt;="&amp;TODAY()+30)&gt;0),Q382,"")</x:f>
      </x:c>
      <x:c r="M382" t="str">
        <x:f>IF(OR(LEFT(H382,15)="Missing dates; ",LEFT(H382,16)="Add N/A reason; ",H382="Add dates",H382="Add registration",H382="Check date format"),R382,"")</x:f>
      </x:c>
      <x:c r="N382" t="str">
        <x:f>IF(COUNTIFS(C382:F382,"Reviewed N/A")&gt;0,S382,"")</x:f>
      </x:c>
      <x:c r="O382" t="n">
        <x:f>O381+IF(AND(A382&lt;&gt;"",COUNTIFS(C382,"&gt;=36526",C382,"&lt;"&amp;TODAY())+COUNTIFS(D382,"&gt;=36526",D382,"&lt;"&amp;TODAY())+COUNTIFS(E382,"&gt;=36526",E382,"&lt;"&amp;TODAY())+COUNTIFS(F382,"&gt;=36526",F382,"&lt;"&amp;TODAY())&gt;0),1,0)</x:f>
        <x:v>0</x:v>
      </x:c>
      <x:c r="P382" t="n">
        <x:f>P381+IF(AND(A382&lt;&gt;"",COUNTIFS(C382,"&gt;=36526",C382,TODAY())+COUNTIFS(D382,"&gt;=36526",D382,TODAY())+COUNTIFS(E382,"&gt;=36526",E382,TODAY())+COUNTIFS(F382,"&gt;=36526",F382,TODAY())&gt;0),1,0)</x:f>
        <x:v>0</x:v>
      </x:c>
      <x:c r="Q382" t="n">
        <x:f>Q381+IF(AND(A382&lt;&gt;"",COUNTIFS(C382,"&gt;"&amp;TODAY(),C382,"&lt;="&amp;TODAY()+30)+COUNTIFS(D382,"&gt;"&amp;TODAY(),D382,"&lt;="&amp;TODAY()+30)+COUNTIFS(E382,"&gt;"&amp;TODAY(),E382,"&lt;="&amp;TODAY()+30)+COUNTIFS(F382,"&gt;"&amp;TODAY(),F382,"&lt;="&amp;TODAY()+30)&gt;0),1,0)</x:f>
        <x:v>0</x:v>
      </x:c>
      <x:c r="R382" t="n">
        <x:f>R381+IF(OR(LEFT(H382,15)="Missing dates; ",LEFT(H382,16)="Add N/A reason; ",H382="Add dates",H382="Add registration",H382="Check date format"),1,0)</x:f>
        <x:v>0</x:v>
      </x:c>
      <x:c r="S382" t="n">
        <x:f>S381+IF(COUNTIFS(C382:F382,"Reviewed N/A")&gt;0,1,0)</x:f>
        <x:v>0</x:v>
      </x:c>
    </x:row>
    <x:row r="383" ht="48" customHeight="1">
      <x:c r="A383" s="52"/>
      <x:c r="B383" s="52"/>
      <x:c r="C383" s="53"/>
      <x:c r="D383" s="53"/>
      <x:c r="E383" s="53"/>
      <x:c r="F383" s="53"/>
      <x:c r="G383" s="52"/>
      <x:c r="H383" s="21" t="str">
        <x:f>IF(COUNTA(A383:G383,I383)=0,"",IF(A383="","Add registration",IF(OR(COUNTA(C383:F383)&gt;COUNT(C383:F383)+COUNTIFS(C383:F383,"Reviewed N/A"),AND(COUNT(C383:F383)&gt;0,OR(MIN(C383:F383)&lt;36526,MAX(C383:F383)&gt;109574))),"Check date format",IF(AND(COUNTIFS(C383:F383,"Reviewed N/A")&gt;0,I383=""),"Add N/A reason; ","")&amp;IF(COUNT(C383:F383)=0,IF(COUNTIFS(C383:F383,"Reviewed N/A")=4,"No applicable dates recorded","Add dates"),IF(COUNT(C383:F383)+COUNTIFS(C383:F383,"Reviewed N/A")&lt;4,"Missing dates; ","")&amp;IF(MIN(C383:F383)&lt;TODAY(),"Overdue: ",IF(MIN(C383:F383)=TODAY(),"Due today: ",IF(MIN(C383:F383)&lt;=TODAY()+30,"Due within 30 days: ","Next: ")))&amp;INDEX($C$8:$F$8,1,MATCH(MIN(C383:F383),C383:F383,0))&amp;" "&amp;TEXT(MIN(C383:F383),"dd mmm yyyy")))))</x:f>
      </x:c>
      <x:c r="I383" s="52"/>
      <x:c r="J383" t="str">
        <x:f>IF(AND(A383&lt;&gt;"",COUNTIFS(C383,"&gt;=36526",C383,"&lt;"&amp;TODAY())+COUNTIFS(D383,"&gt;=36526",D383,"&lt;"&amp;TODAY())+COUNTIFS(E383,"&gt;=36526",E383,"&lt;"&amp;TODAY())+COUNTIFS(F383,"&gt;=36526",F383,"&lt;"&amp;TODAY())&gt;0),O383,"")</x:f>
      </x:c>
      <x:c r="K383" t="str">
        <x:f>IF(AND(A383&lt;&gt;"",COUNTIFS(C383,"&gt;=36526",C383,TODAY())+COUNTIFS(D383,"&gt;=36526",D383,TODAY())+COUNTIFS(E383,"&gt;=36526",E383,TODAY())+COUNTIFS(F383,"&gt;=36526",F383,TODAY())&gt;0),P383,"")</x:f>
      </x:c>
      <x:c r="L383" t="str">
        <x:f>IF(AND(A383&lt;&gt;"",COUNTIFS(C383,"&gt;"&amp;TODAY(),C383,"&lt;="&amp;TODAY()+30)+COUNTIFS(D383,"&gt;"&amp;TODAY(),D383,"&lt;="&amp;TODAY()+30)+COUNTIFS(E383,"&gt;"&amp;TODAY(),E383,"&lt;="&amp;TODAY()+30)+COUNTIFS(F383,"&gt;"&amp;TODAY(),F383,"&lt;="&amp;TODAY()+30)&gt;0),Q383,"")</x:f>
      </x:c>
      <x:c r="M383" t="str">
        <x:f>IF(OR(LEFT(H383,15)="Missing dates; ",LEFT(H383,16)="Add N/A reason; ",H383="Add dates",H383="Add registration",H383="Check date format"),R383,"")</x:f>
      </x:c>
      <x:c r="N383" t="str">
        <x:f>IF(COUNTIFS(C383:F383,"Reviewed N/A")&gt;0,S383,"")</x:f>
      </x:c>
      <x:c r="O383" t="n">
        <x:f>O382+IF(AND(A383&lt;&gt;"",COUNTIFS(C383,"&gt;=36526",C383,"&lt;"&amp;TODAY())+COUNTIFS(D383,"&gt;=36526",D383,"&lt;"&amp;TODAY())+COUNTIFS(E383,"&gt;=36526",E383,"&lt;"&amp;TODAY())+COUNTIFS(F383,"&gt;=36526",F383,"&lt;"&amp;TODAY())&gt;0),1,0)</x:f>
        <x:v>0</x:v>
      </x:c>
      <x:c r="P383" t="n">
        <x:f>P382+IF(AND(A383&lt;&gt;"",COUNTIFS(C383,"&gt;=36526",C383,TODAY())+COUNTIFS(D383,"&gt;=36526",D383,TODAY())+COUNTIFS(E383,"&gt;=36526",E383,TODAY())+COUNTIFS(F383,"&gt;=36526",F383,TODAY())&gt;0),1,0)</x:f>
        <x:v>0</x:v>
      </x:c>
      <x:c r="Q383" t="n">
        <x:f>Q382+IF(AND(A383&lt;&gt;"",COUNTIFS(C383,"&gt;"&amp;TODAY(),C383,"&lt;="&amp;TODAY()+30)+COUNTIFS(D383,"&gt;"&amp;TODAY(),D383,"&lt;="&amp;TODAY()+30)+COUNTIFS(E383,"&gt;"&amp;TODAY(),E383,"&lt;="&amp;TODAY()+30)+COUNTIFS(F383,"&gt;"&amp;TODAY(),F383,"&lt;="&amp;TODAY()+30)&gt;0),1,0)</x:f>
        <x:v>0</x:v>
      </x:c>
      <x:c r="R383" t="n">
        <x:f>R382+IF(OR(LEFT(H383,15)="Missing dates; ",LEFT(H383,16)="Add N/A reason; ",H383="Add dates",H383="Add registration",H383="Check date format"),1,0)</x:f>
        <x:v>0</x:v>
      </x:c>
      <x:c r="S383" t="n">
        <x:f>S382+IF(COUNTIFS(C383:F383,"Reviewed N/A")&gt;0,1,0)</x:f>
        <x:v>0</x:v>
      </x:c>
    </x:row>
    <x:row r="384" ht="48" customHeight="1">
      <x:c r="A384" s="52"/>
      <x:c r="B384" s="52"/>
      <x:c r="C384" s="53"/>
      <x:c r="D384" s="53"/>
      <x:c r="E384" s="53"/>
      <x:c r="F384" s="53"/>
      <x:c r="G384" s="52"/>
      <x:c r="H384" s="21" t="str">
        <x:f>IF(COUNTA(A384:G384,I384)=0,"",IF(A384="","Add registration",IF(OR(COUNTA(C384:F384)&gt;COUNT(C384:F384)+COUNTIFS(C384:F384,"Reviewed N/A"),AND(COUNT(C384:F384)&gt;0,OR(MIN(C384:F384)&lt;36526,MAX(C384:F384)&gt;109574))),"Check date format",IF(AND(COUNTIFS(C384:F384,"Reviewed N/A")&gt;0,I384=""),"Add N/A reason; ","")&amp;IF(COUNT(C384:F384)=0,IF(COUNTIFS(C384:F384,"Reviewed N/A")=4,"No applicable dates recorded","Add dates"),IF(COUNT(C384:F384)+COUNTIFS(C384:F384,"Reviewed N/A")&lt;4,"Missing dates; ","")&amp;IF(MIN(C384:F384)&lt;TODAY(),"Overdue: ",IF(MIN(C384:F384)=TODAY(),"Due today: ",IF(MIN(C384:F384)&lt;=TODAY()+30,"Due within 30 days: ","Next: ")))&amp;INDEX($C$8:$F$8,1,MATCH(MIN(C384:F384),C384:F384,0))&amp;" "&amp;TEXT(MIN(C384:F384),"dd mmm yyyy")))))</x:f>
      </x:c>
      <x:c r="I384" s="52"/>
      <x:c r="J384" t="str">
        <x:f>IF(AND(A384&lt;&gt;"",COUNTIFS(C384,"&gt;=36526",C384,"&lt;"&amp;TODAY())+COUNTIFS(D384,"&gt;=36526",D384,"&lt;"&amp;TODAY())+COUNTIFS(E384,"&gt;=36526",E384,"&lt;"&amp;TODAY())+COUNTIFS(F384,"&gt;=36526",F384,"&lt;"&amp;TODAY())&gt;0),O384,"")</x:f>
      </x:c>
      <x:c r="K384" t="str">
        <x:f>IF(AND(A384&lt;&gt;"",COUNTIFS(C384,"&gt;=36526",C384,TODAY())+COUNTIFS(D384,"&gt;=36526",D384,TODAY())+COUNTIFS(E384,"&gt;=36526",E384,TODAY())+COUNTIFS(F384,"&gt;=36526",F384,TODAY())&gt;0),P384,"")</x:f>
      </x:c>
      <x:c r="L384" t="str">
        <x:f>IF(AND(A384&lt;&gt;"",COUNTIFS(C384,"&gt;"&amp;TODAY(),C384,"&lt;="&amp;TODAY()+30)+COUNTIFS(D384,"&gt;"&amp;TODAY(),D384,"&lt;="&amp;TODAY()+30)+COUNTIFS(E384,"&gt;"&amp;TODAY(),E384,"&lt;="&amp;TODAY()+30)+COUNTIFS(F384,"&gt;"&amp;TODAY(),F384,"&lt;="&amp;TODAY()+30)&gt;0),Q384,"")</x:f>
      </x:c>
      <x:c r="M384" t="str">
        <x:f>IF(OR(LEFT(H384,15)="Missing dates; ",LEFT(H384,16)="Add N/A reason; ",H384="Add dates",H384="Add registration",H384="Check date format"),R384,"")</x:f>
      </x:c>
      <x:c r="N384" t="str">
        <x:f>IF(COUNTIFS(C384:F384,"Reviewed N/A")&gt;0,S384,"")</x:f>
      </x:c>
      <x:c r="O384" t="n">
        <x:f>O383+IF(AND(A384&lt;&gt;"",COUNTIFS(C384,"&gt;=36526",C384,"&lt;"&amp;TODAY())+COUNTIFS(D384,"&gt;=36526",D384,"&lt;"&amp;TODAY())+COUNTIFS(E384,"&gt;=36526",E384,"&lt;"&amp;TODAY())+COUNTIFS(F384,"&gt;=36526",F384,"&lt;"&amp;TODAY())&gt;0),1,0)</x:f>
        <x:v>0</x:v>
      </x:c>
      <x:c r="P384" t="n">
        <x:f>P383+IF(AND(A384&lt;&gt;"",COUNTIFS(C384,"&gt;=36526",C384,TODAY())+COUNTIFS(D384,"&gt;=36526",D384,TODAY())+COUNTIFS(E384,"&gt;=36526",E384,TODAY())+COUNTIFS(F384,"&gt;=36526",F384,TODAY())&gt;0),1,0)</x:f>
        <x:v>0</x:v>
      </x:c>
      <x:c r="Q384" t="n">
        <x:f>Q383+IF(AND(A384&lt;&gt;"",COUNTIFS(C384,"&gt;"&amp;TODAY(),C384,"&lt;="&amp;TODAY()+30)+COUNTIFS(D384,"&gt;"&amp;TODAY(),D384,"&lt;="&amp;TODAY()+30)+COUNTIFS(E384,"&gt;"&amp;TODAY(),E384,"&lt;="&amp;TODAY()+30)+COUNTIFS(F384,"&gt;"&amp;TODAY(),F384,"&lt;="&amp;TODAY()+30)&gt;0),1,0)</x:f>
        <x:v>0</x:v>
      </x:c>
      <x:c r="R384" t="n">
        <x:f>R383+IF(OR(LEFT(H384,15)="Missing dates; ",LEFT(H384,16)="Add N/A reason; ",H384="Add dates",H384="Add registration",H384="Check date format"),1,0)</x:f>
        <x:v>0</x:v>
      </x:c>
      <x:c r="S384" t="n">
        <x:f>S383+IF(COUNTIFS(C384:F384,"Reviewed N/A")&gt;0,1,0)</x:f>
        <x:v>0</x:v>
      </x:c>
    </x:row>
    <x:row r="385" ht="48" customHeight="1">
      <x:c r="A385" s="52"/>
      <x:c r="B385" s="52"/>
      <x:c r="C385" s="53"/>
      <x:c r="D385" s="53"/>
      <x:c r="E385" s="53"/>
      <x:c r="F385" s="53"/>
      <x:c r="G385" s="52"/>
      <x:c r="H385" s="21" t="str">
        <x:f>IF(COUNTA(A385:G385,I385)=0,"",IF(A385="","Add registration",IF(OR(COUNTA(C385:F385)&gt;COUNT(C385:F385)+COUNTIFS(C385:F385,"Reviewed N/A"),AND(COUNT(C385:F385)&gt;0,OR(MIN(C385:F385)&lt;36526,MAX(C385:F385)&gt;109574))),"Check date format",IF(AND(COUNTIFS(C385:F385,"Reviewed N/A")&gt;0,I385=""),"Add N/A reason; ","")&amp;IF(COUNT(C385:F385)=0,IF(COUNTIFS(C385:F385,"Reviewed N/A")=4,"No applicable dates recorded","Add dates"),IF(COUNT(C385:F385)+COUNTIFS(C385:F385,"Reviewed N/A")&lt;4,"Missing dates; ","")&amp;IF(MIN(C385:F385)&lt;TODAY(),"Overdue: ",IF(MIN(C385:F385)=TODAY(),"Due today: ",IF(MIN(C385:F385)&lt;=TODAY()+30,"Due within 30 days: ","Next: ")))&amp;INDEX($C$8:$F$8,1,MATCH(MIN(C385:F385),C385:F385,0))&amp;" "&amp;TEXT(MIN(C385:F385),"dd mmm yyyy")))))</x:f>
      </x:c>
      <x:c r="I385" s="52"/>
      <x:c r="J385" t="str">
        <x:f>IF(AND(A385&lt;&gt;"",COUNTIFS(C385,"&gt;=36526",C385,"&lt;"&amp;TODAY())+COUNTIFS(D385,"&gt;=36526",D385,"&lt;"&amp;TODAY())+COUNTIFS(E385,"&gt;=36526",E385,"&lt;"&amp;TODAY())+COUNTIFS(F385,"&gt;=36526",F385,"&lt;"&amp;TODAY())&gt;0),O385,"")</x:f>
      </x:c>
      <x:c r="K385" t="str">
        <x:f>IF(AND(A385&lt;&gt;"",COUNTIFS(C385,"&gt;=36526",C385,TODAY())+COUNTIFS(D385,"&gt;=36526",D385,TODAY())+COUNTIFS(E385,"&gt;=36526",E385,TODAY())+COUNTIFS(F385,"&gt;=36526",F385,TODAY())&gt;0),P385,"")</x:f>
      </x:c>
      <x:c r="L385" t="str">
        <x:f>IF(AND(A385&lt;&gt;"",COUNTIFS(C385,"&gt;"&amp;TODAY(),C385,"&lt;="&amp;TODAY()+30)+COUNTIFS(D385,"&gt;"&amp;TODAY(),D385,"&lt;="&amp;TODAY()+30)+COUNTIFS(E385,"&gt;"&amp;TODAY(),E385,"&lt;="&amp;TODAY()+30)+COUNTIFS(F385,"&gt;"&amp;TODAY(),F385,"&lt;="&amp;TODAY()+30)&gt;0),Q385,"")</x:f>
      </x:c>
      <x:c r="M385" t="str">
        <x:f>IF(OR(LEFT(H385,15)="Missing dates; ",LEFT(H385,16)="Add N/A reason; ",H385="Add dates",H385="Add registration",H385="Check date format"),R385,"")</x:f>
      </x:c>
      <x:c r="N385" t="str">
        <x:f>IF(COUNTIFS(C385:F385,"Reviewed N/A")&gt;0,S385,"")</x:f>
      </x:c>
      <x:c r="O385" t="n">
        <x:f>O384+IF(AND(A385&lt;&gt;"",COUNTIFS(C385,"&gt;=36526",C385,"&lt;"&amp;TODAY())+COUNTIFS(D385,"&gt;=36526",D385,"&lt;"&amp;TODAY())+COUNTIFS(E385,"&gt;=36526",E385,"&lt;"&amp;TODAY())+COUNTIFS(F385,"&gt;=36526",F385,"&lt;"&amp;TODAY())&gt;0),1,0)</x:f>
        <x:v>0</x:v>
      </x:c>
      <x:c r="P385" t="n">
        <x:f>P384+IF(AND(A385&lt;&gt;"",COUNTIFS(C385,"&gt;=36526",C385,TODAY())+COUNTIFS(D385,"&gt;=36526",D385,TODAY())+COUNTIFS(E385,"&gt;=36526",E385,TODAY())+COUNTIFS(F385,"&gt;=36526",F385,TODAY())&gt;0),1,0)</x:f>
        <x:v>0</x:v>
      </x:c>
      <x:c r="Q385" t="n">
        <x:f>Q384+IF(AND(A385&lt;&gt;"",COUNTIFS(C385,"&gt;"&amp;TODAY(),C385,"&lt;="&amp;TODAY()+30)+COUNTIFS(D385,"&gt;"&amp;TODAY(),D385,"&lt;="&amp;TODAY()+30)+COUNTIFS(E385,"&gt;"&amp;TODAY(),E385,"&lt;="&amp;TODAY()+30)+COUNTIFS(F385,"&gt;"&amp;TODAY(),F385,"&lt;="&amp;TODAY()+30)&gt;0),1,0)</x:f>
        <x:v>0</x:v>
      </x:c>
      <x:c r="R385" t="n">
        <x:f>R384+IF(OR(LEFT(H385,15)="Missing dates; ",LEFT(H385,16)="Add N/A reason; ",H385="Add dates",H385="Add registration",H385="Check date format"),1,0)</x:f>
        <x:v>0</x:v>
      </x:c>
      <x:c r="S385" t="n">
        <x:f>S384+IF(COUNTIFS(C385:F385,"Reviewed N/A")&gt;0,1,0)</x:f>
        <x:v>0</x:v>
      </x:c>
    </x:row>
    <x:row r="386" ht="48" customHeight="1">
      <x:c r="A386" s="52"/>
      <x:c r="B386" s="52"/>
      <x:c r="C386" s="53"/>
      <x:c r="D386" s="53"/>
      <x:c r="E386" s="53"/>
      <x:c r="F386" s="53"/>
      <x:c r="G386" s="52"/>
      <x:c r="H386" s="21" t="str">
        <x:f>IF(COUNTA(A386:G386,I386)=0,"",IF(A386="","Add registration",IF(OR(COUNTA(C386:F386)&gt;COUNT(C386:F386)+COUNTIFS(C386:F386,"Reviewed N/A"),AND(COUNT(C386:F386)&gt;0,OR(MIN(C386:F386)&lt;36526,MAX(C386:F386)&gt;109574))),"Check date format",IF(AND(COUNTIFS(C386:F386,"Reviewed N/A")&gt;0,I386=""),"Add N/A reason; ","")&amp;IF(COUNT(C386:F386)=0,IF(COUNTIFS(C386:F386,"Reviewed N/A")=4,"No applicable dates recorded","Add dates"),IF(COUNT(C386:F386)+COUNTIFS(C386:F386,"Reviewed N/A")&lt;4,"Missing dates; ","")&amp;IF(MIN(C386:F386)&lt;TODAY(),"Overdue: ",IF(MIN(C386:F386)=TODAY(),"Due today: ",IF(MIN(C386:F386)&lt;=TODAY()+30,"Due within 30 days: ","Next: ")))&amp;INDEX($C$8:$F$8,1,MATCH(MIN(C386:F386),C386:F386,0))&amp;" "&amp;TEXT(MIN(C386:F386),"dd mmm yyyy")))))</x:f>
      </x:c>
      <x:c r="I386" s="52"/>
      <x:c r="J386" t="str">
        <x:f>IF(AND(A386&lt;&gt;"",COUNTIFS(C386,"&gt;=36526",C386,"&lt;"&amp;TODAY())+COUNTIFS(D386,"&gt;=36526",D386,"&lt;"&amp;TODAY())+COUNTIFS(E386,"&gt;=36526",E386,"&lt;"&amp;TODAY())+COUNTIFS(F386,"&gt;=36526",F386,"&lt;"&amp;TODAY())&gt;0),O386,"")</x:f>
      </x:c>
      <x:c r="K386" t="str">
        <x:f>IF(AND(A386&lt;&gt;"",COUNTIFS(C386,"&gt;=36526",C386,TODAY())+COUNTIFS(D386,"&gt;=36526",D386,TODAY())+COUNTIFS(E386,"&gt;=36526",E386,TODAY())+COUNTIFS(F386,"&gt;=36526",F386,TODAY())&gt;0),P386,"")</x:f>
      </x:c>
      <x:c r="L386" t="str">
        <x:f>IF(AND(A386&lt;&gt;"",COUNTIFS(C386,"&gt;"&amp;TODAY(),C386,"&lt;="&amp;TODAY()+30)+COUNTIFS(D386,"&gt;"&amp;TODAY(),D386,"&lt;="&amp;TODAY()+30)+COUNTIFS(E386,"&gt;"&amp;TODAY(),E386,"&lt;="&amp;TODAY()+30)+COUNTIFS(F386,"&gt;"&amp;TODAY(),F386,"&lt;="&amp;TODAY()+30)&gt;0),Q386,"")</x:f>
      </x:c>
      <x:c r="M386" t="str">
        <x:f>IF(OR(LEFT(H386,15)="Missing dates; ",LEFT(H386,16)="Add N/A reason; ",H386="Add dates",H386="Add registration",H386="Check date format"),R386,"")</x:f>
      </x:c>
      <x:c r="N386" t="str">
        <x:f>IF(COUNTIFS(C386:F386,"Reviewed N/A")&gt;0,S386,"")</x:f>
      </x:c>
      <x:c r="O386" t="n">
        <x:f>O385+IF(AND(A386&lt;&gt;"",COUNTIFS(C386,"&gt;=36526",C386,"&lt;"&amp;TODAY())+COUNTIFS(D386,"&gt;=36526",D386,"&lt;"&amp;TODAY())+COUNTIFS(E386,"&gt;=36526",E386,"&lt;"&amp;TODAY())+COUNTIFS(F386,"&gt;=36526",F386,"&lt;"&amp;TODAY())&gt;0),1,0)</x:f>
        <x:v>0</x:v>
      </x:c>
      <x:c r="P386" t="n">
        <x:f>P385+IF(AND(A386&lt;&gt;"",COUNTIFS(C386,"&gt;=36526",C386,TODAY())+COUNTIFS(D386,"&gt;=36526",D386,TODAY())+COUNTIFS(E386,"&gt;=36526",E386,TODAY())+COUNTIFS(F386,"&gt;=36526",F386,TODAY())&gt;0),1,0)</x:f>
        <x:v>0</x:v>
      </x:c>
      <x:c r="Q386" t="n">
        <x:f>Q385+IF(AND(A386&lt;&gt;"",COUNTIFS(C386,"&gt;"&amp;TODAY(),C386,"&lt;="&amp;TODAY()+30)+COUNTIFS(D386,"&gt;"&amp;TODAY(),D386,"&lt;="&amp;TODAY()+30)+COUNTIFS(E386,"&gt;"&amp;TODAY(),E386,"&lt;="&amp;TODAY()+30)+COUNTIFS(F386,"&gt;"&amp;TODAY(),F386,"&lt;="&amp;TODAY()+30)&gt;0),1,0)</x:f>
        <x:v>0</x:v>
      </x:c>
      <x:c r="R386" t="n">
        <x:f>R385+IF(OR(LEFT(H386,15)="Missing dates; ",LEFT(H386,16)="Add N/A reason; ",H386="Add dates",H386="Add registration",H386="Check date format"),1,0)</x:f>
        <x:v>0</x:v>
      </x:c>
      <x:c r="S386" t="n">
        <x:f>S385+IF(COUNTIFS(C386:F386,"Reviewed N/A")&gt;0,1,0)</x:f>
        <x:v>0</x:v>
      </x:c>
    </x:row>
    <x:row r="387" ht="48" customHeight="1">
      <x:c r="A387" s="52"/>
      <x:c r="B387" s="52"/>
      <x:c r="C387" s="53"/>
      <x:c r="D387" s="53"/>
      <x:c r="E387" s="53"/>
      <x:c r="F387" s="53"/>
      <x:c r="G387" s="52"/>
      <x:c r="H387" s="21" t="str">
        <x:f>IF(COUNTA(A387:G387,I387)=0,"",IF(A387="","Add registration",IF(OR(COUNTA(C387:F387)&gt;COUNT(C387:F387)+COUNTIFS(C387:F387,"Reviewed N/A"),AND(COUNT(C387:F387)&gt;0,OR(MIN(C387:F387)&lt;36526,MAX(C387:F387)&gt;109574))),"Check date format",IF(AND(COUNTIFS(C387:F387,"Reviewed N/A")&gt;0,I387=""),"Add N/A reason; ","")&amp;IF(COUNT(C387:F387)=0,IF(COUNTIFS(C387:F387,"Reviewed N/A")=4,"No applicable dates recorded","Add dates"),IF(COUNT(C387:F387)+COUNTIFS(C387:F387,"Reviewed N/A")&lt;4,"Missing dates; ","")&amp;IF(MIN(C387:F387)&lt;TODAY(),"Overdue: ",IF(MIN(C387:F387)=TODAY(),"Due today: ",IF(MIN(C387:F387)&lt;=TODAY()+30,"Due within 30 days: ","Next: ")))&amp;INDEX($C$8:$F$8,1,MATCH(MIN(C387:F387),C387:F387,0))&amp;" "&amp;TEXT(MIN(C387:F387),"dd mmm yyyy")))))</x:f>
      </x:c>
      <x:c r="I387" s="52"/>
      <x:c r="J387" t="str">
        <x:f>IF(AND(A387&lt;&gt;"",COUNTIFS(C387,"&gt;=36526",C387,"&lt;"&amp;TODAY())+COUNTIFS(D387,"&gt;=36526",D387,"&lt;"&amp;TODAY())+COUNTIFS(E387,"&gt;=36526",E387,"&lt;"&amp;TODAY())+COUNTIFS(F387,"&gt;=36526",F387,"&lt;"&amp;TODAY())&gt;0),O387,"")</x:f>
      </x:c>
      <x:c r="K387" t="str">
        <x:f>IF(AND(A387&lt;&gt;"",COUNTIFS(C387,"&gt;=36526",C387,TODAY())+COUNTIFS(D387,"&gt;=36526",D387,TODAY())+COUNTIFS(E387,"&gt;=36526",E387,TODAY())+COUNTIFS(F387,"&gt;=36526",F387,TODAY())&gt;0),P387,"")</x:f>
      </x:c>
      <x:c r="L387" t="str">
        <x:f>IF(AND(A387&lt;&gt;"",COUNTIFS(C387,"&gt;"&amp;TODAY(),C387,"&lt;="&amp;TODAY()+30)+COUNTIFS(D387,"&gt;"&amp;TODAY(),D387,"&lt;="&amp;TODAY()+30)+COUNTIFS(E387,"&gt;"&amp;TODAY(),E387,"&lt;="&amp;TODAY()+30)+COUNTIFS(F387,"&gt;"&amp;TODAY(),F387,"&lt;="&amp;TODAY()+30)&gt;0),Q387,"")</x:f>
      </x:c>
      <x:c r="M387" t="str">
        <x:f>IF(OR(LEFT(H387,15)="Missing dates; ",LEFT(H387,16)="Add N/A reason; ",H387="Add dates",H387="Add registration",H387="Check date format"),R387,"")</x:f>
      </x:c>
      <x:c r="N387" t="str">
        <x:f>IF(COUNTIFS(C387:F387,"Reviewed N/A")&gt;0,S387,"")</x:f>
      </x:c>
      <x:c r="O387" t="n">
        <x:f>O386+IF(AND(A387&lt;&gt;"",COUNTIFS(C387,"&gt;=36526",C387,"&lt;"&amp;TODAY())+COUNTIFS(D387,"&gt;=36526",D387,"&lt;"&amp;TODAY())+COUNTIFS(E387,"&gt;=36526",E387,"&lt;"&amp;TODAY())+COUNTIFS(F387,"&gt;=36526",F387,"&lt;"&amp;TODAY())&gt;0),1,0)</x:f>
        <x:v>0</x:v>
      </x:c>
      <x:c r="P387" t="n">
        <x:f>P386+IF(AND(A387&lt;&gt;"",COUNTIFS(C387,"&gt;=36526",C387,TODAY())+COUNTIFS(D387,"&gt;=36526",D387,TODAY())+COUNTIFS(E387,"&gt;=36526",E387,TODAY())+COUNTIFS(F387,"&gt;=36526",F387,TODAY())&gt;0),1,0)</x:f>
        <x:v>0</x:v>
      </x:c>
      <x:c r="Q387" t="n">
        <x:f>Q386+IF(AND(A387&lt;&gt;"",COUNTIFS(C387,"&gt;"&amp;TODAY(),C387,"&lt;="&amp;TODAY()+30)+COUNTIFS(D387,"&gt;"&amp;TODAY(),D387,"&lt;="&amp;TODAY()+30)+COUNTIFS(E387,"&gt;"&amp;TODAY(),E387,"&lt;="&amp;TODAY()+30)+COUNTIFS(F387,"&gt;"&amp;TODAY(),F387,"&lt;="&amp;TODAY()+30)&gt;0),1,0)</x:f>
        <x:v>0</x:v>
      </x:c>
      <x:c r="R387" t="n">
        <x:f>R386+IF(OR(LEFT(H387,15)="Missing dates; ",LEFT(H387,16)="Add N/A reason; ",H387="Add dates",H387="Add registration",H387="Check date format"),1,0)</x:f>
        <x:v>0</x:v>
      </x:c>
      <x:c r="S387" t="n">
        <x:f>S386+IF(COUNTIFS(C387:F387,"Reviewed N/A")&gt;0,1,0)</x:f>
        <x:v>0</x:v>
      </x:c>
    </x:row>
    <x:row r="388" ht="48" customHeight="1">
      <x:c r="A388" s="52"/>
      <x:c r="B388" s="52"/>
      <x:c r="C388" s="53"/>
      <x:c r="D388" s="53"/>
      <x:c r="E388" s="53"/>
      <x:c r="F388" s="53"/>
      <x:c r="G388" s="52"/>
      <x:c r="H388" s="21" t="str">
        <x:f>IF(COUNTA(A388:G388,I388)=0,"",IF(A388="","Add registration",IF(OR(COUNTA(C388:F388)&gt;COUNT(C388:F388)+COUNTIFS(C388:F388,"Reviewed N/A"),AND(COUNT(C388:F388)&gt;0,OR(MIN(C388:F388)&lt;36526,MAX(C388:F388)&gt;109574))),"Check date format",IF(AND(COUNTIFS(C388:F388,"Reviewed N/A")&gt;0,I388=""),"Add N/A reason; ","")&amp;IF(COUNT(C388:F388)=0,IF(COUNTIFS(C388:F388,"Reviewed N/A")=4,"No applicable dates recorded","Add dates"),IF(COUNT(C388:F388)+COUNTIFS(C388:F388,"Reviewed N/A")&lt;4,"Missing dates; ","")&amp;IF(MIN(C388:F388)&lt;TODAY(),"Overdue: ",IF(MIN(C388:F388)=TODAY(),"Due today: ",IF(MIN(C388:F388)&lt;=TODAY()+30,"Due within 30 days: ","Next: ")))&amp;INDEX($C$8:$F$8,1,MATCH(MIN(C388:F388),C388:F388,0))&amp;" "&amp;TEXT(MIN(C388:F388),"dd mmm yyyy")))))</x:f>
      </x:c>
      <x:c r="I388" s="52"/>
      <x:c r="J388" t="str">
        <x:f>IF(AND(A388&lt;&gt;"",COUNTIFS(C388,"&gt;=36526",C388,"&lt;"&amp;TODAY())+COUNTIFS(D388,"&gt;=36526",D388,"&lt;"&amp;TODAY())+COUNTIFS(E388,"&gt;=36526",E388,"&lt;"&amp;TODAY())+COUNTIFS(F388,"&gt;=36526",F388,"&lt;"&amp;TODAY())&gt;0),O388,"")</x:f>
      </x:c>
      <x:c r="K388" t="str">
        <x:f>IF(AND(A388&lt;&gt;"",COUNTIFS(C388,"&gt;=36526",C388,TODAY())+COUNTIFS(D388,"&gt;=36526",D388,TODAY())+COUNTIFS(E388,"&gt;=36526",E388,TODAY())+COUNTIFS(F388,"&gt;=36526",F388,TODAY())&gt;0),P388,"")</x:f>
      </x:c>
      <x:c r="L388" t="str">
        <x:f>IF(AND(A388&lt;&gt;"",COUNTIFS(C388,"&gt;"&amp;TODAY(),C388,"&lt;="&amp;TODAY()+30)+COUNTIFS(D388,"&gt;"&amp;TODAY(),D388,"&lt;="&amp;TODAY()+30)+COUNTIFS(E388,"&gt;"&amp;TODAY(),E388,"&lt;="&amp;TODAY()+30)+COUNTIFS(F388,"&gt;"&amp;TODAY(),F388,"&lt;="&amp;TODAY()+30)&gt;0),Q388,"")</x:f>
      </x:c>
      <x:c r="M388" t="str">
        <x:f>IF(OR(LEFT(H388,15)="Missing dates; ",LEFT(H388,16)="Add N/A reason; ",H388="Add dates",H388="Add registration",H388="Check date format"),R388,"")</x:f>
      </x:c>
      <x:c r="N388" t="str">
        <x:f>IF(COUNTIFS(C388:F388,"Reviewed N/A")&gt;0,S388,"")</x:f>
      </x:c>
      <x:c r="O388" t="n">
        <x:f>O387+IF(AND(A388&lt;&gt;"",COUNTIFS(C388,"&gt;=36526",C388,"&lt;"&amp;TODAY())+COUNTIFS(D388,"&gt;=36526",D388,"&lt;"&amp;TODAY())+COUNTIFS(E388,"&gt;=36526",E388,"&lt;"&amp;TODAY())+COUNTIFS(F388,"&gt;=36526",F388,"&lt;"&amp;TODAY())&gt;0),1,0)</x:f>
        <x:v>0</x:v>
      </x:c>
      <x:c r="P388" t="n">
        <x:f>P387+IF(AND(A388&lt;&gt;"",COUNTIFS(C388,"&gt;=36526",C388,TODAY())+COUNTIFS(D388,"&gt;=36526",D388,TODAY())+COUNTIFS(E388,"&gt;=36526",E388,TODAY())+COUNTIFS(F388,"&gt;=36526",F388,TODAY())&gt;0),1,0)</x:f>
        <x:v>0</x:v>
      </x:c>
      <x:c r="Q388" t="n">
        <x:f>Q387+IF(AND(A388&lt;&gt;"",COUNTIFS(C388,"&gt;"&amp;TODAY(),C388,"&lt;="&amp;TODAY()+30)+COUNTIFS(D388,"&gt;"&amp;TODAY(),D388,"&lt;="&amp;TODAY()+30)+COUNTIFS(E388,"&gt;"&amp;TODAY(),E388,"&lt;="&amp;TODAY()+30)+COUNTIFS(F388,"&gt;"&amp;TODAY(),F388,"&lt;="&amp;TODAY()+30)&gt;0),1,0)</x:f>
        <x:v>0</x:v>
      </x:c>
      <x:c r="R388" t="n">
        <x:f>R387+IF(OR(LEFT(H388,15)="Missing dates; ",LEFT(H388,16)="Add N/A reason; ",H388="Add dates",H388="Add registration",H388="Check date format"),1,0)</x:f>
        <x:v>0</x:v>
      </x:c>
      <x:c r="S388" t="n">
        <x:f>S387+IF(COUNTIFS(C388:F388,"Reviewed N/A")&gt;0,1,0)</x:f>
        <x:v>0</x:v>
      </x:c>
    </x:row>
    <x:row r="389" ht="48" customHeight="1">
      <x:c r="A389" s="52"/>
      <x:c r="B389" s="52"/>
      <x:c r="C389" s="53"/>
      <x:c r="D389" s="53"/>
      <x:c r="E389" s="53"/>
      <x:c r="F389" s="53"/>
      <x:c r="G389" s="52"/>
      <x:c r="H389" s="21" t="str">
        <x:f>IF(COUNTA(A389:G389,I389)=0,"",IF(A389="","Add registration",IF(OR(COUNTA(C389:F389)&gt;COUNT(C389:F389)+COUNTIFS(C389:F389,"Reviewed N/A"),AND(COUNT(C389:F389)&gt;0,OR(MIN(C389:F389)&lt;36526,MAX(C389:F389)&gt;109574))),"Check date format",IF(AND(COUNTIFS(C389:F389,"Reviewed N/A")&gt;0,I389=""),"Add N/A reason; ","")&amp;IF(COUNT(C389:F389)=0,IF(COUNTIFS(C389:F389,"Reviewed N/A")=4,"No applicable dates recorded","Add dates"),IF(COUNT(C389:F389)+COUNTIFS(C389:F389,"Reviewed N/A")&lt;4,"Missing dates; ","")&amp;IF(MIN(C389:F389)&lt;TODAY(),"Overdue: ",IF(MIN(C389:F389)=TODAY(),"Due today: ",IF(MIN(C389:F389)&lt;=TODAY()+30,"Due within 30 days: ","Next: ")))&amp;INDEX($C$8:$F$8,1,MATCH(MIN(C389:F389),C389:F389,0))&amp;" "&amp;TEXT(MIN(C389:F389),"dd mmm yyyy")))))</x:f>
      </x:c>
      <x:c r="I389" s="52"/>
      <x:c r="J389" t="str">
        <x:f>IF(AND(A389&lt;&gt;"",COUNTIFS(C389,"&gt;=36526",C389,"&lt;"&amp;TODAY())+COUNTIFS(D389,"&gt;=36526",D389,"&lt;"&amp;TODAY())+COUNTIFS(E389,"&gt;=36526",E389,"&lt;"&amp;TODAY())+COUNTIFS(F389,"&gt;=36526",F389,"&lt;"&amp;TODAY())&gt;0),O389,"")</x:f>
      </x:c>
      <x:c r="K389" t="str">
        <x:f>IF(AND(A389&lt;&gt;"",COUNTIFS(C389,"&gt;=36526",C389,TODAY())+COUNTIFS(D389,"&gt;=36526",D389,TODAY())+COUNTIFS(E389,"&gt;=36526",E389,TODAY())+COUNTIFS(F389,"&gt;=36526",F389,TODAY())&gt;0),P389,"")</x:f>
      </x:c>
      <x:c r="L389" t="str">
        <x:f>IF(AND(A389&lt;&gt;"",COUNTIFS(C389,"&gt;"&amp;TODAY(),C389,"&lt;="&amp;TODAY()+30)+COUNTIFS(D389,"&gt;"&amp;TODAY(),D389,"&lt;="&amp;TODAY()+30)+COUNTIFS(E389,"&gt;"&amp;TODAY(),E389,"&lt;="&amp;TODAY()+30)+COUNTIFS(F389,"&gt;"&amp;TODAY(),F389,"&lt;="&amp;TODAY()+30)&gt;0),Q389,"")</x:f>
      </x:c>
      <x:c r="M389" t="str">
        <x:f>IF(OR(LEFT(H389,15)="Missing dates; ",LEFT(H389,16)="Add N/A reason; ",H389="Add dates",H389="Add registration",H389="Check date format"),R389,"")</x:f>
      </x:c>
      <x:c r="N389" t="str">
        <x:f>IF(COUNTIFS(C389:F389,"Reviewed N/A")&gt;0,S389,"")</x:f>
      </x:c>
      <x:c r="O389" t="n">
        <x:f>O388+IF(AND(A389&lt;&gt;"",COUNTIFS(C389,"&gt;=36526",C389,"&lt;"&amp;TODAY())+COUNTIFS(D389,"&gt;=36526",D389,"&lt;"&amp;TODAY())+COUNTIFS(E389,"&gt;=36526",E389,"&lt;"&amp;TODAY())+COUNTIFS(F389,"&gt;=36526",F389,"&lt;"&amp;TODAY())&gt;0),1,0)</x:f>
        <x:v>0</x:v>
      </x:c>
      <x:c r="P389" t="n">
        <x:f>P388+IF(AND(A389&lt;&gt;"",COUNTIFS(C389,"&gt;=36526",C389,TODAY())+COUNTIFS(D389,"&gt;=36526",D389,TODAY())+COUNTIFS(E389,"&gt;=36526",E389,TODAY())+COUNTIFS(F389,"&gt;=36526",F389,TODAY())&gt;0),1,0)</x:f>
        <x:v>0</x:v>
      </x:c>
      <x:c r="Q389" t="n">
        <x:f>Q388+IF(AND(A389&lt;&gt;"",COUNTIFS(C389,"&gt;"&amp;TODAY(),C389,"&lt;="&amp;TODAY()+30)+COUNTIFS(D389,"&gt;"&amp;TODAY(),D389,"&lt;="&amp;TODAY()+30)+COUNTIFS(E389,"&gt;"&amp;TODAY(),E389,"&lt;="&amp;TODAY()+30)+COUNTIFS(F389,"&gt;"&amp;TODAY(),F389,"&lt;="&amp;TODAY()+30)&gt;0),1,0)</x:f>
        <x:v>0</x:v>
      </x:c>
      <x:c r="R389" t="n">
        <x:f>R388+IF(OR(LEFT(H389,15)="Missing dates; ",LEFT(H389,16)="Add N/A reason; ",H389="Add dates",H389="Add registration",H389="Check date format"),1,0)</x:f>
        <x:v>0</x:v>
      </x:c>
      <x:c r="S389" t="n">
        <x:f>S388+IF(COUNTIFS(C389:F389,"Reviewed N/A")&gt;0,1,0)</x:f>
        <x:v>0</x:v>
      </x:c>
    </x:row>
    <x:row r="390" ht="48" customHeight="1">
      <x:c r="A390" s="52"/>
      <x:c r="B390" s="52"/>
      <x:c r="C390" s="53"/>
      <x:c r="D390" s="53"/>
      <x:c r="E390" s="53"/>
      <x:c r="F390" s="53"/>
      <x:c r="G390" s="52"/>
      <x:c r="H390" s="21" t="str">
        <x:f>IF(COUNTA(A390:G390,I390)=0,"",IF(A390="","Add registration",IF(OR(COUNTA(C390:F390)&gt;COUNT(C390:F390)+COUNTIFS(C390:F390,"Reviewed N/A"),AND(COUNT(C390:F390)&gt;0,OR(MIN(C390:F390)&lt;36526,MAX(C390:F390)&gt;109574))),"Check date format",IF(AND(COUNTIFS(C390:F390,"Reviewed N/A")&gt;0,I390=""),"Add N/A reason; ","")&amp;IF(COUNT(C390:F390)=0,IF(COUNTIFS(C390:F390,"Reviewed N/A")=4,"No applicable dates recorded","Add dates"),IF(COUNT(C390:F390)+COUNTIFS(C390:F390,"Reviewed N/A")&lt;4,"Missing dates; ","")&amp;IF(MIN(C390:F390)&lt;TODAY(),"Overdue: ",IF(MIN(C390:F390)=TODAY(),"Due today: ",IF(MIN(C390:F390)&lt;=TODAY()+30,"Due within 30 days: ","Next: ")))&amp;INDEX($C$8:$F$8,1,MATCH(MIN(C390:F390),C390:F390,0))&amp;" "&amp;TEXT(MIN(C390:F390),"dd mmm yyyy")))))</x:f>
      </x:c>
      <x:c r="I390" s="52"/>
      <x:c r="J390" t="str">
        <x:f>IF(AND(A390&lt;&gt;"",COUNTIFS(C390,"&gt;=36526",C390,"&lt;"&amp;TODAY())+COUNTIFS(D390,"&gt;=36526",D390,"&lt;"&amp;TODAY())+COUNTIFS(E390,"&gt;=36526",E390,"&lt;"&amp;TODAY())+COUNTIFS(F390,"&gt;=36526",F390,"&lt;"&amp;TODAY())&gt;0),O390,"")</x:f>
      </x:c>
      <x:c r="K390" t="str">
        <x:f>IF(AND(A390&lt;&gt;"",COUNTIFS(C390,"&gt;=36526",C390,TODAY())+COUNTIFS(D390,"&gt;=36526",D390,TODAY())+COUNTIFS(E390,"&gt;=36526",E390,TODAY())+COUNTIFS(F390,"&gt;=36526",F390,TODAY())&gt;0),P390,"")</x:f>
      </x:c>
      <x:c r="L390" t="str">
        <x:f>IF(AND(A390&lt;&gt;"",COUNTIFS(C390,"&gt;"&amp;TODAY(),C390,"&lt;="&amp;TODAY()+30)+COUNTIFS(D390,"&gt;"&amp;TODAY(),D390,"&lt;="&amp;TODAY()+30)+COUNTIFS(E390,"&gt;"&amp;TODAY(),E390,"&lt;="&amp;TODAY()+30)+COUNTIFS(F390,"&gt;"&amp;TODAY(),F390,"&lt;="&amp;TODAY()+30)&gt;0),Q390,"")</x:f>
      </x:c>
      <x:c r="M390" t="str">
        <x:f>IF(OR(LEFT(H390,15)="Missing dates; ",LEFT(H390,16)="Add N/A reason; ",H390="Add dates",H390="Add registration",H390="Check date format"),R390,"")</x:f>
      </x:c>
      <x:c r="N390" t="str">
        <x:f>IF(COUNTIFS(C390:F390,"Reviewed N/A")&gt;0,S390,"")</x:f>
      </x:c>
      <x:c r="O390" t="n">
        <x:f>O389+IF(AND(A390&lt;&gt;"",COUNTIFS(C390,"&gt;=36526",C390,"&lt;"&amp;TODAY())+COUNTIFS(D390,"&gt;=36526",D390,"&lt;"&amp;TODAY())+COUNTIFS(E390,"&gt;=36526",E390,"&lt;"&amp;TODAY())+COUNTIFS(F390,"&gt;=36526",F390,"&lt;"&amp;TODAY())&gt;0),1,0)</x:f>
        <x:v>0</x:v>
      </x:c>
      <x:c r="P390" t="n">
        <x:f>P389+IF(AND(A390&lt;&gt;"",COUNTIFS(C390,"&gt;=36526",C390,TODAY())+COUNTIFS(D390,"&gt;=36526",D390,TODAY())+COUNTIFS(E390,"&gt;=36526",E390,TODAY())+COUNTIFS(F390,"&gt;=36526",F390,TODAY())&gt;0),1,0)</x:f>
        <x:v>0</x:v>
      </x:c>
      <x:c r="Q390" t="n">
        <x:f>Q389+IF(AND(A390&lt;&gt;"",COUNTIFS(C390,"&gt;"&amp;TODAY(),C390,"&lt;="&amp;TODAY()+30)+COUNTIFS(D390,"&gt;"&amp;TODAY(),D390,"&lt;="&amp;TODAY()+30)+COUNTIFS(E390,"&gt;"&amp;TODAY(),E390,"&lt;="&amp;TODAY()+30)+COUNTIFS(F390,"&gt;"&amp;TODAY(),F390,"&lt;="&amp;TODAY()+30)&gt;0),1,0)</x:f>
        <x:v>0</x:v>
      </x:c>
      <x:c r="R390" t="n">
        <x:f>R389+IF(OR(LEFT(H390,15)="Missing dates; ",LEFT(H390,16)="Add N/A reason; ",H390="Add dates",H390="Add registration",H390="Check date format"),1,0)</x:f>
        <x:v>0</x:v>
      </x:c>
      <x:c r="S390" t="n">
        <x:f>S389+IF(COUNTIFS(C390:F390,"Reviewed N/A")&gt;0,1,0)</x:f>
        <x:v>0</x:v>
      </x:c>
    </x:row>
    <x:row r="391" ht="48" customHeight="1">
      <x:c r="A391" s="52"/>
      <x:c r="B391" s="52"/>
      <x:c r="C391" s="53"/>
      <x:c r="D391" s="53"/>
      <x:c r="E391" s="53"/>
      <x:c r="F391" s="53"/>
      <x:c r="G391" s="52"/>
      <x:c r="H391" s="21" t="str">
        <x:f>IF(COUNTA(A391:G391,I391)=0,"",IF(A391="","Add registration",IF(OR(COUNTA(C391:F391)&gt;COUNT(C391:F391)+COUNTIFS(C391:F391,"Reviewed N/A"),AND(COUNT(C391:F391)&gt;0,OR(MIN(C391:F391)&lt;36526,MAX(C391:F391)&gt;109574))),"Check date format",IF(AND(COUNTIFS(C391:F391,"Reviewed N/A")&gt;0,I391=""),"Add N/A reason; ","")&amp;IF(COUNT(C391:F391)=0,IF(COUNTIFS(C391:F391,"Reviewed N/A")=4,"No applicable dates recorded","Add dates"),IF(COUNT(C391:F391)+COUNTIFS(C391:F391,"Reviewed N/A")&lt;4,"Missing dates; ","")&amp;IF(MIN(C391:F391)&lt;TODAY(),"Overdue: ",IF(MIN(C391:F391)=TODAY(),"Due today: ",IF(MIN(C391:F391)&lt;=TODAY()+30,"Due within 30 days: ","Next: ")))&amp;INDEX($C$8:$F$8,1,MATCH(MIN(C391:F391),C391:F391,0))&amp;" "&amp;TEXT(MIN(C391:F391),"dd mmm yyyy")))))</x:f>
      </x:c>
      <x:c r="I391" s="52"/>
      <x:c r="J391" t="str">
        <x:f>IF(AND(A391&lt;&gt;"",COUNTIFS(C391,"&gt;=36526",C391,"&lt;"&amp;TODAY())+COUNTIFS(D391,"&gt;=36526",D391,"&lt;"&amp;TODAY())+COUNTIFS(E391,"&gt;=36526",E391,"&lt;"&amp;TODAY())+COUNTIFS(F391,"&gt;=36526",F391,"&lt;"&amp;TODAY())&gt;0),O391,"")</x:f>
      </x:c>
      <x:c r="K391" t="str">
        <x:f>IF(AND(A391&lt;&gt;"",COUNTIFS(C391,"&gt;=36526",C391,TODAY())+COUNTIFS(D391,"&gt;=36526",D391,TODAY())+COUNTIFS(E391,"&gt;=36526",E391,TODAY())+COUNTIFS(F391,"&gt;=36526",F391,TODAY())&gt;0),P391,"")</x:f>
      </x:c>
      <x:c r="L391" t="str">
        <x:f>IF(AND(A391&lt;&gt;"",COUNTIFS(C391,"&gt;"&amp;TODAY(),C391,"&lt;="&amp;TODAY()+30)+COUNTIFS(D391,"&gt;"&amp;TODAY(),D391,"&lt;="&amp;TODAY()+30)+COUNTIFS(E391,"&gt;"&amp;TODAY(),E391,"&lt;="&amp;TODAY()+30)+COUNTIFS(F391,"&gt;"&amp;TODAY(),F391,"&lt;="&amp;TODAY()+30)&gt;0),Q391,"")</x:f>
      </x:c>
      <x:c r="M391" t="str">
        <x:f>IF(OR(LEFT(H391,15)="Missing dates; ",LEFT(H391,16)="Add N/A reason; ",H391="Add dates",H391="Add registration",H391="Check date format"),R391,"")</x:f>
      </x:c>
      <x:c r="N391" t="str">
        <x:f>IF(COUNTIFS(C391:F391,"Reviewed N/A")&gt;0,S391,"")</x:f>
      </x:c>
      <x:c r="O391" t="n">
        <x:f>O390+IF(AND(A391&lt;&gt;"",COUNTIFS(C391,"&gt;=36526",C391,"&lt;"&amp;TODAY())+COUNTIFS(D391,"&gt;=36526",D391,"&lt;"&amp;TODAY())+COUNTIFS(E391,"&gt;=36526",E391,"&lt;"&amp;TODAY())+COUNTIFS(F391,"&gt;=36526",F391,"&lt;"&amp;TODAY())&gt;0),1,0)</x:f>
        <x:v>0</x:v>
      </x:c>
      <x:c r="P391" t="n">
        <x:f>P390+IF(AND(A391&lt;&gt;"",COUNTIFS(C391,"&gt;=36526",C391,TODAY())+COUNTIFS(D391,"&gt;=36526",D391,TODAY())+COUNTIFS(E391,"&gt;=36526",E391,TODAY())+COUNTIFS(F391,"&gt;=36526",F391,TODAY())&gt;0),1,0)</x:f>
        <x:v>0</x:v>
      </x:c>
      <x:c r="Q391" t="n">
        <x:f>Q390+IF(AND(A391&lt;&gt;"",COUNTIFS(C391,"&gt;"&amp;TODAY(),C391,"&lt;="&amp;TODAY()+30)+COUNTIFS(D391,"&gt;"&amp;TODAY(),D391,"&lt;="&amp;TODAY()+30)+COUNTIFS(E391,"&gt;"&amp;TODAY(),E391,"&lt;="&amp;TODAY()+30)+COUNTIFS(F391,"&gt;"&amp;TODAY(),F391,"&lt;="&amp;TODAY()+30)&gt;0),1,0)</x:f>
        <x:v>0</x:v>
      </x:c>
      <x:c r="R391" t="n">
        <x:f>R390+IF(OR(LEFT(H391,15)="Missing dates; ",LEFT(H391,16)="Add N/A reason; ",H391="Add dates",H391="Add registration",H391="Check date format"),1,0)</x:f>
        <x:v>0</x:v>
      </x:c>
      <x:c r="S391" t="n">
        <x:f>S390+IF(COUNTIFS(C391:F391,"Reviewed N/A")&gt;0,1,0)</x:f>
        <x:v>0</x:v>
      </x:c>
    </x:row>
    <x:row r="392" ht="48" customHeight="1">
      <x:c r="A392" s="52"/>
      <x:c r="B392" s="52"/>
      <x:c r="C392" s="53"/>
      <x:c r="D392" s="53"/>
      <x:c r="E392" s="53"/>
      <x:c r="F392" s="53"/>
      <x:c r="G392" s="52"/>
      <x:c r="H392" s="21" t="str">
        <x:f>IF(COUNTA(A392:G392,I392)=0,"",IF(A392="","Add registration",IF(OR(COUNTA(C392:F392)&gt;COUNT(C392:F392)+COUNTIFS(C392:F392,"Reviewed N/A"),AND(COUNT(C392:F392)&gt;0,OR(MIN(C392:F392)&lt;36526,MAX(C392:F392)&gt;109574))),"Check date format",IF(AND(COUNTIFS(C392:F392,"Reviewed N/A")&gt;0,I392=""),"Add N/A reason; ","")&amp;IF(COUNT(C392:F392)=0,IF(COUNTIFS(C392:F392,"Reviewed N/A")=4,"No applicable dates recorded","Add dates"),IF(COUNT(C392:F392)+COUNTIFS(C392:F392,"Reviewed N/A")&lt;4,"Missing dates; ","")&amp;IF(MIN(C392:F392)&lt;TODAY(),"Overdue: ",IF(MIN(C392:F392)=TODAY(),"Due today: ",IF(MIN(C392:F392)&lt;=TODAY()+30,"Due within 30 days: ","Next: ")))&amp;INDEX($C$8:$F$8,1,MATCH(MIN(C392:F392),C392:F392,0))&amp;" "&amp;TEXT(MIN(C392:F392),"dd mmm yyyy")))))</x:f>
      </x:c>
      <x:c r="I392" s="52"/>
      <x:c r="J392" t="str">
        <x:f>IF(AND(A392&lt;&gt;"",COUNTIFS(C392,"&gt;=36526",C392,"&lt;"&amp;TODAY())+COUNTIFS(D392,"&gt;=36526",D392,"&lt;"&amp;TODAY())+COUNTIFS(E392,"&gt;=36526",E392,"&lt;"&amp;TODAY())+COUNTIFS(F392,"&gt;=36526",F392,"&lt;"&amp;TODAY())&gt;0),O392,"")</x:f>
      </x:c>
      <x:c r="K392" t="str">
        <x:f>IF(AND(A392&lt;&gt;"",COUNTIFS(C392,"&gt;=36526",C392,TODAY())+COUNTIFS(D392,"&gt;=36526",D392,TODAY())+COUNTIFS(E392,"&gt;=36526",E392,TODAY())+COUNTIFS(F392,"&gt;=36526",F392,TODAY())&gt;0),P392,"")</x:f>
      </x:c>
      <x:c r="L392" t="str">
        <x:f>IF(AND(A392&lt;&gt;"",COUNTIFS(C392,"&gt;"&amp;TODAY(),C392,"&lt;="&amp;TODAY()+30)+COUNTIFS(D392,"&gt;"&amp;TODAY(),D392,"&lt;="&amp;TODAY()+30)+COUNTIFS(E392,"&gt;"&amp;TODAY(),E392,"&lt;="&amp;TODAY()+30)+COUNTIFS(F392,"&gt;"&amp;TODAY(),F392,"&lt;="&amp;TODAY()+30)&gt;0),Q392,"")</x:f>
      </x:c>
      <x:c r="M392" t="str">
        <x:f>IF(OR(LEFT(H392,15)="Missing dates; ",LEFT(H392,16)="Add N/A reason; ",H392="Add dates",H392="Add registration",H392="Check date format"),R392,"")</x:f>
      </x:c>
      <x:c r="N392" t="str">
        <x:f>IF(COUNTIFS(C392:F392,"Reviewed N/A")&gt;0,S392,"")</x:f>
      </x:c>
      <x:c r="O392" t="n">
        <x:f>O391+IF(AND(A392&lt;&gt;"",COUNTIFS(C392,"&gt;=36526",C392,"&lt;"&amp;TODAY())+COUNTIFS(D392,"&gt;=36526",D392,"&lt;"&amp;TODAY())+COUNTIFS(E392,"&gt;=36526",E392,"&lt;"&amp;TODAY())+COUNTIFS(F392,"&gt;=36526",F392,"&lt;"&amp;TODAY())&gt;0),1,0)</x:f>
        <x:v>0</x:v>
      </x:c>
      <x:c r="P392" t="n">
        <x:f>P391+IF(AND(A392&lt;&gt;"",COUNTIFS(C392,"&gt;=36526",C392,TODAY())+COUNTIFS(D392,"&gt;=36526",D392,TODAY())+COUNTIFS(E392,"&gt;=36526",E392,TODAY())+COUNTIFS(F392,"&gt;=36526",F392,TODAY())&gt;0),1,0)</x:f>
        <x:v>0</x:v>
      </x:c>
      <x:c r="Q392" t="n">
        <x:f>Q391+IF(AND(A392&lt;&gt;"",COUNTIFS(C392,"&gt;"&amp;TODAY(),C392,"&lt;="&amp;TODAY()+30)+COUNTIFS(D392,"&gt;"&amp;TODAY(),D392,"&lt;="&amp;TODAY()+30)+COUNTIFS(E392,"&gt;"&amp;TODAY(),E392,"&lt;="&amp;TODAY()+30)+COUNTIFS(F392,"&gt;"&amp;TODAY(),F392,"&lt;="&amp;TODAY()+30)&gt;0),1,0)</x:f>
        <x:v>0</x:v>
      </x:c>
      <x:c r="R392" t="n">
        <x:f>R391+IF(OR(LEFT(H392,15)="Missing dates; ",LEFT(H392,16)="Add N/A reason; ",H392="Add dates",H392="Add registration",H392="Check date format"),1,0)</x:f>
        <x:v>0</x:v>
      </x:c>
      <x:c r="S392" t="n">
        <x:f>S391+IF(COUNTIFS(C392:F392,"Reviewed N/A")&gt;0,1,0)</x:f>
        <x:v>0</x:v>
      </x:c>
    </x:row>
    <x:row r="393" ht="48" customHeight="1">
      <x:c r="A393" s="52"/>
      <x:c r="B393" s="52"/>
      <x:c r="C393" s="53"/>
      <x:c r="D393" s="53"/>
      <x:c r="E393" s="53"/>
      <x:c r="F393" s="53"/>
      <x:c r="G393" s="52"/>
      <x:c r="H393" s="21" t="str">
        <x:f>IF(COUNTA(A393:G393,I393)=0,"",IF(A393="","Add registration",IF(OR(COUNTA(C393:F393)&gt;COUNT(C393:F393)+COUNTIFS(C393:F393,"Reviewed N/A"),AND(COUNT(C393:F393)&gt;0,OR(MIN(C393:F393)&lt;36526,MAX(C393:F393)&gt;109574))),"Check date format",IF(AND(COUNTIFS(C393:F393,"Reviewed N/A")&gt;0,I393=""),"Add N/A reason; ","")&amp;IF(COUNT(C393:F393)=0,IF(COUNTIFS(C393:F393,"Reviewed N/A")=4,"No applicable dates recorded","Add dates"),IF(COUNT(C393:F393)+COUNTIFS(C393:F393,"Reviewed N/A")&lt;4,"Missing dates; ","")&amp;IF(MIN(C393:F393)&lt;TODAY(),"Overdue: ",IF(MIN(C393:F393)=TODAY(),"Due today: ",IF(MIN(C393:F393)&lt;=TODAY()+30,"Due within 30 days: ","Next: ")))&amp;INDEX($C$8:$F$8,1,MATCH(MIN(C393:F393),C393:F393,0))&amp;" "&amp;TEXT(MIN(C393:F393),"dd mmm yyyy")))))</x:f>
      </x:c>
      <x:c r="I393" s="52"/>
      <x:c r="J393" t="str">
        <x:f>IF(AND(A393&lt;&gt;"",COUNTIFS(C393,"&gt;=36526",C393,"&lt;"&amp;TODAY())+COUNTIFS(D393,"&gt;=36526",D393,"&lt;"&amp;TODAY())+COUNTIFS(E393,"&gt;=36526",E393,"&lt;"&amp;TODAY())+COUNTIFS(F393,"&gt;=36526",F393,"&lt;"&amp;TODAY())&gt;0),O393,"")</x:f>
      </x:c>
      <x:c r="K393" t="str">
        <x:f>IF(AND(A393&lt;&gt;"",COUNTIFS(C393,"&gt;=36526",C393,TODAY())+COUNTIFS(D393,"&gt;=36526",D393,TODAY())+COUNTIFS(E393,"&gt;=36526",E393,TODAY())+COUNTIFS(F393,"&gt;=36526",F393,TODAY())&gt;0),P393,"")</x:f>
      </x:c>
      <x:c r="L393" t="str">
        <x:f>IF(AND(A393&lt;&gt;"",COUNTIFS(C393,"&gt;"&amp;TODAY(),C393,"&lt;="&amp;TODAY()+30)+COUNTIFS(D393,"&gt;"&amp;TODAY(),D393,"&lt;="&amp;TODAY()+30)+COUNTIFS(E393,"&gt;"&amp;TODAY(),E393,"&lt;="&amp;TODAY()+30)+COUNTIFS(F393,"&gt;"&amp;TODAY(),F393,"&lt;="&amp;TODAY()+30)&gt;0),Q393,"")</x:f>
      </x:c>
      <x:c r="M393" t="str">
        <x:f>IF(OR(LEFT(H393,15)="Missing dates; ",LEFT(H393,16)="Add N/A reason; ",H393="Add dates",H393="Add registration",H393="Check date format"),R393,"")</x:f>
      </x:c>
      <x:c r="N393" t="str">
        <x:f>IF(COUNTIFS(C393:F393,"Reviewed N/A")&gt;0,S393,"")</x:f>
      </x:c>
      <x:c r="O393" t="n">
        <x:f>O392+IF(AND(A393&lt;&gt;"",COUNTIFS(C393,"&gt;=36526",C393,"&lt;"&amp;TODAY())+COUNTIFS(D393,"&gt;=36526",D393,"&lt;"&amp;TODAY())+COUNTIFS(E393,"&gt;=36526",E393,"&lt;"&amp;TODAY())+COUNTIFS(F393,"&gt;=36526",F393,"&lt;"&amp;TODAY())&gt;0),1,0)</x:f>
        <x:v>0</x:v>
      </x:c>
      <x:c r="P393" t="n">
        <x:f>P392+IF(AND(A393&lt;&gt;"",COUNTIFS(C393,"&gt;=36526",C393,TODAY())+COUNTIFS(D393,"&gt;=36526",D393,TODAY())+COUNTIFS(E393,"&gt;=36526",E393,TODAY())+COUNTIFS(F393,"&gt;=36526",F393,TODAY())&gt;0),1,0)</x:f>
        <x:v>0</x:v>
      </x:c>
      <x:c r="Q393" t="n">
        <x:f>Q392+IF(AND(A393&lt;&gt;"",COUNTIFS(C393,"&gt;"&amp;TODAY(),C393,"&lt;="&amp;TODAY()+30)+COUNTIFS(D393,"&gt;"&amp;TODAY(),D393,"&lt;="&amp;TODAY()+30)+COUNTIFS(E393,"&gt;"&amp;TODAY(),E393,"&lt;="&amp;TODAY()+30)+COUNTIFS(F393,"&gt;"&amp;TODAY(),F393,"&lt;="&amp;TODAY()+30)&gt;0),1,0)</x:f>
        <x:v>0</x:v>
      </x:c>
      <x:c r="R393" t="n">
        <x:f>R392+IF(OR(LEFT(H393,15)="Missing dates; ",LEFT(H393,16)="Add N/A reason; ",H393="Add dates",H393="Add registration",H393="Check date format"),1,0)</x:f>
        <x:v>0</x:v>
      </x:c>
      <x:c r="S393" t="n">
        <x:f>S392+IF(COUNTIFS(C393:F393,"Reviewed N/A")&gt;0,1,0)</x:f>
        <x:v>0</x:v>
      </x:c>
    </x:row>
    <x:row r="394" ht="48" customHeight="1">
      <x:c r="A394" s="52"/>
      <x:c r="B394" s="52"/>
      <x:c r="C394" s="53"/>
      <x:c r="D394" s="53"/>
      <x:c r="E394" s="53"/>
      <x:c r="F394" s="53"/>
      <x:c r="G394" s="52"/>
      <x:c r="H394" s="21" t="str">
        <x:f>IF(COUNTA(A394:G394,I394)=0,"",IF(A394="","Add registration",IF(OR(COUNTA(C394:F394)&gt;COUNT(C394:F394)+COUNTIFS(C394:F394,"Reviewed N/A"),AND(COUNT(C394:F394)&gt;0,OR(MIN(C394:F394)&lt;36526,MAX(C394:F394)&gt;109574))),"Check date format",IF(AND(COUNTIFS(C394:F394,"Reviewed N/A")&gt;0,I394=""),"Add N/A reason; ","")&amp;IF(COUNT(C394:F394)=0,IF(COUNTIFS(C394:F394,"Reviewed N/A")=4,"No applicable dates recorded","Add dates"),IF(COUNT(C394:F394)+COUNTIFS(C394:F394,"Reviewed N/A")&lt;4,"Missing dates; ","")&amp;IF(MIN(C394:F394)&lt;TODAY(),"Overdue: ",IF(MIN(C394:F394)=TODAY(),"Due today: ",IF(MIN(C394:F394)&lt;=TODAY()+30,"Due within 30 days: ","Next: ")))&amp;INDEX($C$8:$F$8,1,MATCH(MIN(C394:F394),C394:F394,0))&amp;" "&amp;TEXT(MIN(C394:F394),"dd mmm yyyy")))))</x:f>
      </x:c>
      <x:c r="I394" s="52"/>
      <x:c r="J394" t="str">
        <x:f>IF(AND(A394&lt;&gt;"",COUNTIFS(C394,"&gt;=36526",C394,"&lt;"&amp;TODAY())+COUNTIFS(D394,"&gt;=36526",D394,"&lt;"&amp;TODAY())+COUNTIFS(E394,"&gt;=36526",E394,"&lt;"&amp;TODAY())+COUNTIFS(F394,"&gt;=36526",F394,"&lt;"&amp;TODAY())&gt;0),O394,"")</x:f>
      </x:c>
      <x:c r="K394" t="str">
        <x:f>IF(AND(A394&lt;&gt;"",COUNTIFS(C394,"&gt;=36526",C394,TODAY())+COUNTIFS(D394,"&gt;=36526",D394,TODAY())+COUNTIFS(E394,"&gt;=36526",E394,TODAY())+COUNTIFS(F394,"&gt;=36526",F394,TODAY())&gt;0),P394,"")</x:f>
      </x:c>
      <x:c r="L394" t="str">
        <x:f>IF(AND(A394&lt;&gt;"",COUNTIFS(C394,"&gt;"&amp;TODAY(),C394,"&lt;="&amp;TODAY()+30)+COUNTIFS(D394,"&gt;"&amp;TODAY(),D394,"&lt;="&amp;TODAY()+30)+COUNTIFS(E394,"&gt;"&amp;TODAY(),E394,"&lt;="&amp;TODAY()+30)+COUNTIFS(F394,"&gt;"&amp;TODAY(),F394,"&lt;="&amp;TODAY()+30)&gt;0),Q394,"")</x:f>
      </x:c>
      <x:c r="M394" t="str">
        <x:f>IF(OR(LEFT(H394,15)="Missing dates; ",LEFT(H394,16)="Add N/A reason; ",H394="Add dates",H394="Add registration",H394="Check date format"),R394,"")</x:f>
      </x:c>
      <x:c r="N394" t="str">
        <x:f>IF(COUNTIFS(C394:F394,"Reviewed N/A")&gt;0,S394,"")</x:f>
      </x:c>
      <x:c r="O394" t="n">
        <x:f>O393+IF(AND(A394&lt;&gt;"",COUNTIFS(C394,"&gt;=36526",C394,"&lt;"&amp;TODAY())+COUNTIFS(D394,"&gt;=36526",D394,"&lt;"&amp;TODAY())+COUNTIFS(E394,"&gt;=36526",E394,"&lt;"&amp;TODAY())+COUNTIFS(F394,"&gt;=36526",F394,"&lt;"&amp;TODAY())&gt;0),1,0)</x:f>
        <x:v>0</x:v>
      </x:c>
      <x:c r="P394" t="n">
        <x:f>P393+IF(AND(A394&lt;&gt;"",COUNTIFS(C394,"&gt;=36526",C394,TODAY())+COUNTIFS(D394,"&gt;=36526",D394,TODAY())+COUNTIFS(E394,"&gt;=36526",E394,TODAY())+COUNTIFS(F394,"&gt;=36526",F394,TODAY())&gt;0),1,0)</x:f>
        <x:v>0</x:v>
      </x:c>
      <x:c r="Q394" t="n">
        <x:f>Q393+IF(AND(A394&lt;&gt;"",COUNTIFS(C394,"&gt;"&amp;TODAY(),C394,"&lt;="&amp;TODAY()+30)+COUNTIFS(D394,"&gt;"&amp;TODAY(),D394,"&lt;="&amp;TODAY()+30)+COUNTIFS(E394,"&gt;"&amp;TODAY(),E394,"&lt;="&amp;TODAY()+30)+COUNTIFS(F394,"&gt;"&amp;TODAY(),F394,"&lt;="&amp;TODAY()+30)&gt;0),1,0)</x:f>
        <x:v>0</x:v>
      </x:c>
      <x:c r="R394" t="n">
        <x:f>R393+IF(OR(LEFT(H394,15)="Missing dates; ",LEFT(H394,16)="Add N/A reason; ",H394="Add dates",H394="Add registration",H394="Check date format"),1,0)</x:f>
        <x:v>0</x:v>
      </x:c>
      <x:c r="S394" t="n">
        <x:f>S393+IF(COUNTIFS(C394:F394,"Reviewed N/A")&gt;0,1,0)</x:f>
        <x:v>0</x:v>
      </x:c>
    </x:row>
    <x:row r="395" ht="48" customHeight="1">
      <x:c r="A395" s="52"/>
      <x:c r="B395" s="52"/>
      <x:c r="C395" s="53"/>
      <x:c r="D395" s="53"/>
      <x:c r="E395" s="53"/>
      <x:c r="F395" s="53"/>
      <x:c r="G395" s="52"/>
      <x:c r="H395" s="21" t="str">
        <x:f>IF(COUNTA(A395:G395,I395)=0,"",IF(A395="","Add registration",IF(OR(COUNTA(C395:F395)&gt;COUNT(C395:F395)+COUNTIFS(C395:F395,"Reviewed N/A"),AND(COUNT(C395:F395)&gt;0,OR(MIN(C395:F395)&lt;36526,MAX(C395:F395)&gt;109574))),"Check date format",IF(AND(COUNTIFS(C395:F395,"Reviewed N/A")&gt;0,I395=""),"Add N/A reason; ","")&amp;IF(COUNT(C395:F395)=0,IF(COUNTIFS(C395:F395,"Reviewed N/A")=4,"No applicable dates recorded","Add dates"),IF(COUNT(C395:F395)+COUNTIFS(C395:F395,"Reviewed N/A")&lt;4,"Missing dates; ","")&amp;IF(MIN(C395:F395)&lt;TODAY(),"Overdue: ",IF(MIN(C395:F395)=TODAY(),"Due today: ",IF(MIN(C395:F395)&lt;=TODAY()+30,"Due within 30 days: ","Next: ")))&amp;INDEX($C$8:$F$8,1,MATCH(MIN(C395:F395),C395:F395,0))&amp;" "&amp;TEXT(MIN(C395:F395),"dd mmm yyyy")))))</x:f>
      </x:c>
      <x:c r="I395" s="52"/>
      <x:c r="J395" t="str">
        <x:f>IF(AND(A395&lt;&gt;"",COUNTIFS(C395,"&gt;=36526",C395,"&lt;"&amp;TODAY())+COUNTIFS(D395,"&gt;=36526",D395,"&lt;"&amp;TODAY())+COUNTIFS(E395,"&gt;=36526",E395,"&lt;"&amp;TODAY())+COUNTIFS(F395,"&gt;=36526",F395,"&lt;"&amp;TODAY())&gt;0),O395,"")</x:f>
      </x:c>
      <x:c r="K395" t="str">
        <x:f>IF(AND(A395&lt;&gt;"",COUNTIFS(C395,"&gt;=36526",C395,TODAY())+COUNTIFS(D395,"&gt;=36526",D395,TODAY())+COUNTIFS(E395,"&gt;=36526",E395,TODAY())+COUNTIFS(F395,"&gt;=36526",F395,TODAY())&gt;0),P395,"")</x:f>
      </x:c>
      <x:c r="L395" t="str">
        <x:f>IF(AND(A395&lt;&gt;"",COUNTIFS(C395,"&gt;"&amp;TODAY(),C395,"&lt;="&amp;TODAY()+30)+COUNTIFS(D395,"&gt;"&amp;TODAY(),D395,"&lt;="&amp;TODAY()+30)+COUNTIFS(E395,"&gt;"&amp;TODAY(),E395,"&lt;="&amp;TODAY()+30)+COUNTIFS(F395,"&gt;"&amp;TODAY(),F395,"&lt;="&amp;TODAY()+30)&gt;0),Q395,"")</x:f>
      </x:c>
      <x:c r="M395" t="str">
        <x:f>IF(OR(LEFT(H395,15)="Missing dates; ",LEFT(H395,16)="Add N/A reason; ",H395="Add dates",H395="Add registration",H395="Check date format"),R395,"")</x:f>
      </x:c>
      <x:c r="N395" t="str">
        <x:f>IF(COUNTIFS(C395:F395,"Reviewed N/A")&gt;0,S395,"")</x:f>
      </x:c>
      <x:c r="O395" t="n">
        <x:f>O394+IF(AND(A395&lt;&gt;"",COUNTIFS(C395,"&gt;=36526",C395,"&lt;"&amp;TODAY())+COUNTIFS(D395,"&gt;=36526",D395,"&lt;"&amp;TODAY())+COUNTIFS(E395,"&gt;=36526",E395,"&lt;"&amp;TODAY())+COUNTIFS(F395,"&gt;=36526",F395,"&lt;"&amp;TODAY())&gt;0),1,0)</x:f>
        <x:v>0</x:v>
      </x:c>
      <x:c r="P395" t="n">
        <x:f>P394+IF(AND(A395&lt;&gt;"",COUNTIFS(C395,"&gt;=36526",C395,TODAY())+COUNTIFS(D395,"&gt;=36526",D395,TODAY())+COUNTIFS(E395,"&gt;=36526",E395,TODAY())+COUNTIFS(F395,"&gt;=36526",F395,TODAY())&gt;0),1,0)</x:f>
        <x:v>0</x:v>
      </x:c>
      <x:c r="Q395" t="n">
        <x:f>Q394+IF(AND(A395&lt;&gt;"",COUNTIFS(C395,"&gt;"&amp;TODAY(),C395,"&lt;="&amp;TODAY()+30)+COUNTIFS(D395,"&gt;"&amp;TODAY(),D395,"&lt;="&amp;TODAY()+30)+COUNTIFS(E395,"&gt;"&amp;TODAY(),E395,"&lt;="&amp;TODAY()+30)+COUNTIFS(F395,"&gt;"&amp;TODAY(),F395,"&lt;="&amp;TODAY()+30)&gt;0),1,0)</x:f>
        <x:v>0</x:v>
      </x:c>
      <x:c r="R395" t="n">
        <x:f>R394+IF(OR(LEFT(H395,15)="Missing dates; ",LEFT(H395,16)="Add N/A reason; ",H395="Add dates",H395="Add registration",H395="Check date format"),1,0)</x:f>
        <x:v>0</x:v>
      </x:c>
      <x:c r="S395" t="n">
        <x:f>S394+IF(COUNTIFS(C395:F395,"Reviewed N/A")&gt;0,1,0)</x:f>
        <x:v>0</x:v>
      </x:c>
    </x:row>
    <x:row r="396" ht="48" customHeight="1">
      <x:c r="A396" s="52"/>
      <x:c r="B396" s="52"/>
      <x:c r="C396" s="53"/>
      <x:c r="D396" s="53"/>
      <x:c r="E396" s="53"/>
      <x:c r="F396" s="53"/>
      <x:c r="G396" s="52"/>
      <x:c r="H396" s="21" t="str">
        <x:f>IF(COUNTA(A396:G396,I396)=0,"",IF(A396="","Add registration",IF(OR(COUNTA(C396:F396)&gt;COUNT(C396:F396)+COUNTIFS(C396:F396,"Reviewed N/A"),AND(COUNT(C396:F396)&gt;0,OR(MIN(C396:F396)&lt;36526,MAX(C396:F396)&gt;109574))),"Check date format",IF(AND(COUNTIFS(C396:F396,"Reviewed N/A")&gt;0,I396=""),"Add N/A reason; ","")&amp;IF(COUNT(C396:F396)=0,IF(COUNTIFS(C396:F396,"Reviewed N/A")=4,"No applicable dates recorded","Add dates"),IF(COUNT(C396:F396)+COUNTIFS(C396:F396,"Reviewed N/A")&lt;4,"Missing dates; ","")&amp;IF(MIN(C396:F396)&lt;TODAY(),"Overdue: ",IF(MIN(C396:F396)=TODAY(),"Due today: ",IF(MIN(C396:F396)&lt;=TODAY()+30,"Due within 30 days: ","Next: ")))&amp;INDEX($C$8:$F$8,1,MATCH(MIN(C396:F396),C396:F396,0))&amp;" "&amp;TEXT(MIN(C396:F396),"dd mmm yyyy")))))</x:f>
      </x:c>
      <x:c r="I396" s="52"/>
      <x:c r="J396" t="str">
        <x:f>IF(AND(A396&lt;&gt;"",COUNTIFS(C396,"&gt;=36526",C396,"&lt;"&amp;TODAY())+COUNTIFS(D396,"&gt;=36526",D396,"&lt;"&amp;TODAY())+COUNTIFS(E396,"&gt;=36526",E396,"&lt;"&amp;TODAY())+COUNTIFS(F396,"&gt;=36526",F396,"&lt;"&amp;TODAY())&gt;0),O396,"")</x:f>
      </x:c>
      <x:c r="K396" t="str">
        <x:f>IF(AND(A396&lt;&gt;"",COUNTIFS(C396,"&gt;=36526",C396,TODAY())+COUNTIFS(D396,"&gt;=36526",D396,TODAY())+COUNTIFS(E396,"&gt;=36526",E396,TODAY())+COUNTIFS(F396,"&gt;=36526",F396,TODAY())&gt;0),P396,"")</x:f>
      </x:c>
      <x:c r="L396" t="str">
        <x:f>IF(AND(A396&lt;&gt;"",COUNTIFS(C396,"&gt;"&amp;TODAY(),C396,"&lt;="&amp;TODAY()+30)+COUNTIFS(D396,"&gt;"&amp;TODAY(),D396,"&lt;="&amp;TODAY()+30)+COUNTIFS(E396,"&gt;"&amp;TODAY(),E396,"&lt;="&amp;TODAY()+30)+COUNTIFS(F396,"&gt;"&amp;TODAY(),F396,"&lt;="&amp;TODAY()+30)&gt;0),Q396,"")</x:f>
      </x:c>
      <x:c r="M396" t="str">
        <x:f>IF(OR(LEFT(H396,15)="Missing dates; ",LEFT(H396,16)="Add N/A reason; ",H396="Add dates",H396="Add registration",H396="Check date format"),R396,"")</x:f>
      </x:c>
      <x:c r="N396" t="str">
        <x:f>IF(COUNTIFS(C396:F396,"Reviewed N/A")&gt;0,S396,"")</x:f>
      </x:c>
      <x:c r="O396" t="n">
        <x:f>O395+IF(AND(A396&lt;&gt;"",COUNTIFS(C396,"&gt;=36526",C396,"&lt;"&amp;TODAY())+COUNTIFS(D396,"&gt;=36526",D396,"&lt;"&amp;TODAY())+COUNTIFS(E396,"&gt;=36526",E396,"&lt;"&amp;TODAY())+COUNTIFS(F396,"&gt;=36526",F396,"&lt;"&amp;TODAY())&gt;0),1,0)</x:f>
        <x:v>0</x:v>
      </x:c>
      <x:c r="P396" t="n">
        <x:f>P395+IF(AND(A396&lt;&gt;"",COUNTIFS(C396,"&gt;=36526",C396,TODAY())+COUNTIFS(D396,"&gt;=36526",D396,TODAY())+COUNTIFS(E396,"&gt;=36526",E396,TODAY())+COUNTIFS(F396,"&gt;=36526",F396,TODAY())&gt;0),1,0)</x:f>
        <x:v>0</x:v>
      </x:c>
      <x:c r="Q396" t="n">
        <x:f>Q395+IF(AND(A396&lt;&gt;"",COUNTIFS(C396,"&gt;"&amp;TODAY(),C396,"&lt;="&amp;TODAY()+30)+COUNTIFS(D396,"&gt;"&amp;TODAY(),D396,"&lt;="&amp;TODAY()+30)+COUNTIFS(E396,"&gt;"&amp;TODAY(),E396,"&lt;="&amp;TODAY()+30)+COUNTIFS(F396,"&gt;"&amp;TODAY(),F396,"&lt;="&amp;TODAY()+30)&gt;0),1,0)</x:f>
        <x:v>0</x:v>
      </x:c>
      <x:c r="R396" t="n">
        <x:f>R395+IF(OR(LEFT(H396,15)="Missing dates; ",LEFT(H396,16)="Add N/A reason; ",H396="Add dates",H396="Add registration",H396="Check date format"),1,0)</x:f>
        <x:v>0</x:v>
      </x:c>
      <x:c r="S396" t="n">
        <x:f>S395+IF(COUNTIFS(C396:F396,"Reviewed N/A")&gt;0,1,0)</x:f>
        <x:v>0</x:v>
      </x:c>
    </x:row>
    <x:row r="397" ht="48" customHeight="1">
      <x:c r="A397" s="52"/>
      <x:c r="B397" s="52"/>
      <x:c r="C397" s="53"/>
      <x:c r="D397" s="53"/>
      <x:c r="E397" s="53"/>
      <x:c r="F397" s="53"/>
      <x:c r="G397" s="52"/>
      <x:c r="H397" s="21" t="str">
        <x:f>IF(COUNTA(A397:G397,I397)=0,"",IF(A397="","Add registration",IF(OR(COUNTA(C397:F397)&gt;COUNT(C397:F397)+COUNTIFS(C397:F397,"Reviewed N/A"),AND(COUNT(C397:F397)&gt;0,OR(MIN(C397:F397)&lt;36526,MAX(C397:F397)&gt;109574))),"Check date format",IF(AND(COUNTIFS(C397:F397,"Reviewed N/A")&gt;0,I397=""),"Add N/A reason; ","")&amp;IF(COUNT(C397:F397)=0,IF(COUNTIFS(C397:F397,"Reviewed N/A")=4,"No applicable dates recorded","Add dates"),IF(COUNT(C397:F397)+COUNTIFS(C397:F397,"Reviewed N/A")&lt;4,"Missing dates; ","")&amp;IF(MIN(C397:F397)&lt;TODAY(),"Overdue: ",IF(MIN(C397:F397)=TODAY(),"Due today: ",IF(MIN(C397:F397)&lt;=TODAY()+30,"Due within 30 days: ","Next: ")))&amp;INDEX($C$8:$F$8,1,MATCH(MIN(C397:F397),C397:F397,0))&amp;" "&amp;TEXT(MIN(C397:F397),"dd mmm yyyy")))))</x:f>
      </x:c>
      <x:c r="I397" s="52"/>
      <x:c r="J397" t="str">
        <x:f>IF(AND(A397&lt;&gt;"",COUNTIFS(C397,"&gt;=36526",C397,"&lt;"&amp;TODAY())+COUNTIFS(D397,"&gt;=36526",D397,"&lt;"&amp;TODAY())+COUNTIFS(E397,"&gt;=36526",E397,"&lt;"&amp;TODAY())+COUNTIFS(F397,"&gt;=36526",F397,"&lt;"&amp;TODAY())&gt;0),O397,"")</x:f>
      </x:c>
      <x:c r="K397" t="str">
        <x:f>IF(AND(A397&lt;&gt;"",COUNTIFS(C397,"&gt;=36526",C397,TODAY())+COUNTIFS(D397,"&gt;=36526",D397,TODAY())+COUNTIFS(E397,"&gt;=36526",E397,TODAY())+COUNTIFS(F397,"&gt;=36526",F397,TODAY())&gt;0),P397,"")</x:f>
      </x:c>
      <x:c r="L397" t="str">
        <x:f>IF(AND(A397&lt;&gt;"",COUNTIFS(C397,"&gt;"&amp;TODAY(),C397,"&lt;="&amp;TODAY()+30)+COUNTIFS(D397,"&gt;"&amp;TODAY(),D397,"&lt;="&amp;TODAY()+30)+COUNTIFS(E397,"&gt;"&amp;TODAY(),E397,"&lt;="&amp;TODAY()+30)+COUNTIFS(F397,"&gt;"&amp;TODAY(),F397,"&lt;="&amp;TODAY()+30)&gt;0),Q397,"")</x:f>
      </x:c>
      <x:c r="M397" t="str">
        <x:f>IF(OR(LEFT(H397,15)="Missing dates; ",LEFT(H397,16)="Add N/A reason; ",H397="Add dates",H397="Add registration",H397="Check date format"),R397,"")</x:f>
      </x:c>
      <x:c r="N397" t="str">
        <x:f>IF(COUNTIFS(C397:F397,"Reviewed N/A")&gt;0,S397,"")</x:f>
      </x:c>
      <x:c r="O397" t="n">
        <x:f>O396+IF(AND(A397&lt;&gt;"",COUNTIFS(C397,"&gt;=36526",C397,"&lt;"&amp;TODAY())+COUNTIFS(D397,"&gt;=36526",D397,"&lt;"&amp;TODAY())+COUNTIFS(E397,"&gt;=36526",E397,"&lt;"&amp;TODAY())+COUNTIFS(F397,"&gt;=36526",F397,"&lt;"&amp;TODAY())&gt;0),1,0)</x:f>
        <x:v>0</x:v>
      </x:c>
      <x:c r="P397" t="n">
        <x:f>P396+IF(AND(A397&lt;&gt;"",COUNTIFS(C397,"&gt;=36526",C397,TODAY())+COUNTIFS(D397,"&gt;=36526",D397,TODAY())+COUNTIFS(E397,"&gt;=36526",E397,TODAY())+COUNTIFS(F397,"&gt;=36526",F397,TODAY())&gt;0),1,0)</x:f>
        <x:v>0</x:v>
      </x:c>
      <x:c r="Q397" t="n">
        <x:f>Q396+IF(AND(A397&lt;&gt;"",COUNTIFS(C397,"&gt;"&amp;TODAY(),C397,"&lt;="&amp;TODAY()+30)+COUNTIFS(D397,"&gt;"&amp;TODAY(),D397,"&lt;="&amp;TODAY()+30)+COUNTIFS(E397,"&gt;"&amp;TODAY(),E397,"&lt;="&amp;TODAY()+30)+COUNTIFS(F397,"&gt;"&amp;TODAY(),F397,"&lt;="&amp;TODAY()+30)&gt;0),1,0)</x:f>
        <x:v>0</x:v>
      </x:c>
      <x:c r="R397" t="n">
        <x:f>R396+IF(OR(LEFT(H397,15)="Missing dates; ",LEFT(H397,16)="Add N/A reason; ",H397="Add dates",H397="Add registration",H397="Check date format"),1,0)</x:f>
        <x:v>0</x:v>
      </x:c>
      <x:c r="S397" t="n">
        <x:f>S396+IF(COUNTIFS(C397:F397,"Reviewed N/A")&gt;0,1,0)</x:f>
        <x:v>0</x:v>
      </x:c>
    </x:row>
    <x:row r="398" ht="48" customHeight="1">
      <x:c r="A398" s="52"/>
      <x:c r="B398" s="52"/>
      <x:c r="C398" s="53"/>
      <x:c r="D398" s="53"/>
      <x:c r="E398" s="53"/>
      <x:c r="F398" s="53"/>
      <x:c r="G398" s="52"/>
      <x:c r="H398" s="21" t="str">
        <x:f>IF(COUNTA(A398:G398,I398)=0,"",IF(A398="","Add registration",IF(OR(COUNTA(C398:F398)&gt;COUNT(C398:F398)+COUNTIFS(C398:F398,"Reviewed N/A"),AND(COUNT(C398:F398)&gt;0,OR(MIN(C398:F398)&lt;36526,MAX(C398:F398)&gt;109574))),"Check date format",IF(AND(COUNTIFS(C398:F398,"Reviewed N/A")&gt;0,I398=""),"Add N/A reason; ","")&amp;IF(COUNT(C398:F398)=0,IF(COUNTIFS(C398:F398,"Reviewed N/A")=4,"No applicable dates recorded","Add dates"),IF(COUNT(C398:F398)+COUNTIFS(C398:F398,"Reviewed N/A")&lt;4,"Missing dates; ","")&amp;IF(MIN(C398:F398)&lt;TODAY(),"Overdue: ",IF(MIN(C398:F398)=TODAY(),"Due today: ",IF(MIN(C398:F398)&lt;=TODAY()+30,"Due within 30 days: ","Next: ")))&amp;INDEX($C$8:$F$8,1,MATCH(MIN(C398:F398),C398:F398,0))&amp;" "&amp;TEXT(MIN(C398:F398),"dd mmm yyyy")))))</x:f>
      </x:c>
      <x:c r="I398" s="52"/>
      <x:c r="J398" t="str">
        <x:f>IF(AND(A398&lt;&gt;"",COUNTIFS(C398,"&gt;=36526",C398,"&lt;"&amp;TODAY())+COUNTIFS(D398,"&gt;=36526",D398,"&lt;"&amp;TODAY())+COUNTIFS(E398,"&gt;=36526",E398,"&lt;"&amp;TODAY())+COUNTIFS(F398,"&gt;=36526",F398,"&lt;"&amp;TODAY())&gt;0),O398,"")</x:f>
      </x:c>
      <x:c r="K398" t="str">
        <x:f>IF(AND(A398&lt;&gt;"",COUNTIFS(C398,"&gt;=36526",C398,TODAY())+COUNTIFS(D398,"&gt;=36526",D398,TODAY())+COUNTIFS(E398,"&gt;=36526",E398,TODAY())+COUNTIFS(F398,"&gt;=36526",F398,TODAY())&gt;0),P398,"")</x:f>
      </x:c>
      <x:c r="L398" t="str">
        <x:f>IF(AND(A398&lt;&gt;"",COUNTIFS(C398,"&gt;"&amp;TODAY(),C398,"&lt;="&amp;TODAY()+30)+COUNTIFS(D398,"&gt;"&amp;TODAY(),D398,"&lt;="&amp;TODAY()+30)+COUNTIFS(E398,"&gt;"&amp;TODAY(),E398,"&lt;="&amp;TODAY()+30)+COUNTIFS(F398,"&gt;"&amp;TODAY(),F398,"&lt;="&amp;TODAY()+30)&gt;0),Q398,"")</x:f>
      </x:c>
      <x:c r="M398" t="str">
        <x:f>IF(OR(LEFT(H398,15)="Missing dates; ",LEFT(H398,16)="Add N/A reason; ",H398="Add dates",H398="Add registration",H398="Check date format"),R398,"")</x:f>
      </x:c>
      <x:c r="N398" t="str">
        <x:f>IF(COUNTIFS(C398:F398,"Reviewed N/A")&gt;0,S398,"")</x:f>
      </x:c>
      <x:c r="O398" t="n">
        <x:f>O397+IF(AND(A398&lt;&gt;"",COUNTIFS(C398,"&gt;=36526",C398,"&lt;"&amp;TODAY())+COUNTIFS(D398,"&gt;=36526",D398,"&lt;"&amp;TODAY())+COUNTIFS(E398,"&gt;=36526",E398,"&lt;"&amp;TODAY())+COUNTIFS(F398,"&gt;=36526",F398,"&lt;"&amp;TODAY())&gt;0),1,0)</x:f>
        <x:v>0</x:v>
      </x:c>
      <x:c r="P398" t="n">
        <x:f>P397+IF(AND(A398&lt;&gt;"",COUNTIFS(C398,"&gt;=36526",C398,TODAY())+COUNTIFS(D398,"&gt;=36526",D398,TODAY())+COUNTIFS(E398,"&gt;=36526",E398,TODAY())+COUNTIFS(F398,"&gt;=36526",F398,TODAY())&gt;0),1,0)</x:f>
        <x:v>0</x:v>
      </x:c>
      <x:c r="Q398" t="n">
        <x:f>Q397+IF(AND(A398&lt;&gt;"",COUNTIFS(C398,"&gt;"&amp;TODAY(),C398,"&lt;="&amp;TODAY()+30)+COUNTIFS(D398,"&gt;"&amp;TODAY(),D398,"&lt;="&amp;TODAY()+30)+COUNTIFS(E398,"&gt;"&amp;TODAY(),E398,"&lt;="&amp;TODAY()+30)+COUNTIFS(F398,"&gt;"&amp;TODAY(),F398,"&lt;="&amp;TODAY()+30)&gt;0),1,0)</x:f>
        <x:v>0</x:v>
      </x:c>
      <x:c r="R398" t="n">
        <x:f>R397+IF(OR(LEFT(H398,15)="Missing dates; ",LEFT(H398,16)="Add N/A reason; ",H398="Add dates",H398="Add registration",H398="Check date format"),1,0)</x:f>
        <x:v>0</x:v>
      </x:c>
      <x:c r="S398" t="n">
        <x:f>S397+IF(COUNTIFS(C398:F398,"Reviewed N/A")&gt;0,1,0)</x:f>
        <x:v>0</x:v>
      </x:c>
    </x:row>
    <x:row r="399" ht="48" customHeight="1">
      <x:c r="A399" s="52"/>
      <x:c r="B399" s="52"/>
      <x:c r="C399" s="53"/>
      <x:c r="D399" s="53"/>
      <x:c r="E399" s="53"/>
      <x:c r="F399" s="53"/>
      <x:c r="G399" s="52"/>
      <x:c r="H399" s="21" t="str">
        <x:f>IF(COUNTA(A399:G399,I399)=0,"",IF(A399="","Add registration",IF(OR(COUNTA(C399:F399)&gt;COUNT(C399:F399)+COUNTIFS(C399:F399,"Reviewed N/A"),AND(COUNT(C399:F399)&gt;0,OR(MIN(C399:F399)&lt;36526,MAX(C399:F399)&gt;109574))),"Check date format",IF(AND(COUNTIFS(C399:F399,"Reviewed N/A")&gt;0,I399=""),"Add N/A reason; ","")&amp;IF(COUNT(C399:F399)=0,IF(COUNTIFS(C399:F399,"Reviewed N/A")=4,"No applicable dates recorded","Add dates"),IF(COUNT(C399:F399)+COUNTIFS(C399:F399,"Reviewed N/A")&lt;4,"Missing dates; ","")&amp;IF(MIN(C399:F399)&lt;TODAY(),"Overdue: ",IF(MIN(C399:F399)=TODAY(),"Due today: ",IF(MIN(C399:F399)&lt;=TODAY()+30,"Due within 30 days: ","Next: ")))&amp;INDEX($C$8:$F$8,1,MATCH(MIN(C399:F399),C399:F399,0))&amp;" "&amp;TEXT(MIN(C399:F399),"dd mmm yyyy")))))</x:f>
      </x:c>
      <x:c r="I399" s="52"/>
      <x:c r="J399" t="str">
        <x:f>IF(AND(A399&lt;&gt;"",COUNTIFS(C399,"&gt;=36526",C399,"&lt;"&amp;TODAY())+COUNTIFS(D399,"&gt;=36526",D399,"&lt;"&amp;TODAY())+COUNTIFS(E399,"&gt;=36526",E399,"&lt;"&amp;TODAY())+COUNTIFS(F399,"&gt;=36526",F399,"&lt;"&amp;TODAY())&gt;0),O399,"")</x:f>
      </x:c>
      <x:c r="K399" t="str">
        <x:f>IF(AND(A399&lt;&gt;"",COUNTIFS(C399,"&gt;=36526",C399,TODAY())+COUNTIFS(D399,"&gt;=36526",D399,TODAY())+COUNTIFS(E399,"&gt;=36526",E399,TODAY())+COUNTIFS(F399,"&gt;=36526",F399,TODAY())&gt;0),P399,"")</x:f>
      </x:c>
      <x:c r="L399" t="str">
        <x:f>IF(AND(A399&lt;&gt;"",COUNTIFS(C399,"&gt;"&amp;TODAY(),C399,"&lt;="&amp;TODAY()+30)+COUNTIFS(D399,"&gt;"&amp;TODAY(),D399,"&lt;="&amp;TODAY()+30)+COUNTIFS(E399,"&gt;"&amp;TODAY(),E399,"&lt;="&amp;TODAY()+30)+COUNTIFS(F399,"&gt;"&amp;TODAY(),F399,"&lt;="&amp;TODAY()+30)&gt;0),Q399,"")</x:f>
      </x:c>
      <x:c r="M399" t="str">
        <x:f>IF(OR(LEFT(H399,15)="Missing dates; ",LEFT(H399,16)="Add N/A reason; ",H399="Add dates",H399="Add registration",H399="Check date format"),R399,"")</x:f>
      </x:c>
      <x:c r="N399" t="str">
        <x:f>IF(COUNTIFS(C399:F399,"Reviewed N/A")&gt;0,S399,"")</x:f>
      </x:c>
      <x:c r="O399" t="n">
        <x:f>O398+IF(AND(A399&lt;&gt;"",COUNTIFS(C399,"&gt;=36526",C399,"&lt;"&amp;TODAY())+COUNTIFS(D399,"&gt;=36526",D399,"&lt;"&amp;TODAY())+COUNTIFS(E399,"&gt;=36526",E399,"&lt;"&amp;TODAY())+COUNTIFS(F399,"&gt;=36526",F399,"&lt;"&amp;TODAY())&gt;0),1,0)</x:f>
        <x:v>0</x:v>
      </x:c>
      <x:c r="P399" t="n">
        <x:f>P398+IF(AND(A399&lt;&gt;"",COUNTIFS(C399,"&gt;=36526",C399,TODAY())+COUNTIFS(D399,"&gt;=36526",D399,TODAY())+COUNTIFS(E399,"&gt;=36526",E399,TODAY())+COUNTIFS(F399,"&gt;=36526",F399,TODAY())&gt;0),1,0)</x:f>
        <x:v>0</x:v>
      </x:c>
      <x:c r="Q399" t="n">
        <x:f>Q398+IF(AND(A399&lt;&gt;"",COUNTIFS(C399,"&gt;"&amp;TODAY(),C399,"&lt;="&amp;TODAY()+30)+COUNTIFS(D399,"&gt;"&amp;TODAY(),D399,"&lt;="&amp;TODAY()+30)+COUNTIFS(E399,"&gt;"&amp;TODAY(),E399,"&lt;="&amp;TODAY()+30)+COUNTIFS(F399,"&gt;"&amp;TODAY(),F399,"&lt;="&amp;TODAY()+30)&gt;0),1,0)</x:f>
        <x:v>0</x:v>
      </x:c>
      <x:c r="R399" t="n">
        <x:f>R398+IF(OR(LEFT(H399,15)="Missing dates; ",LEFT(H399,16)="Add N/A reason; ",H399="Add dates",H399="Add registration",H399="Check date format"),1,0)</x:f>
        <x:v>0</x:v>
      </x:c>
      <x:c r="S399" t="n">
        <x:f>S398+IF(COUNTIFS(C399:F399,"Reviewed N/A")&gt;0,1,0)</x:f>
        <x:v>0</x:v>
      </x:c>
    </x:row>
    <x:row r="400" ht="48" customHeight="1">
      <x:c r="A400" s="52"/>
      <x:c r="B400" s="52"/>
      <x:c r="C400" s="53"/>
      <x:c r="D400" s="53"/>
      <x:c r="E400" s="53"/>
      <x:c r="F400" s="53"/>
      <x:c r="G400" s="52"/>
      <x:c r="H400" s="21" t="str">
        <x:f>IF(COUNTA(A400:G400,I400)=0,"",IF(A400="","Add registration",IF(OR(COUNTA(C400:F400)&gt;COUNT(C400:F400)+COUNTIFS(C400:F400,"Reviewed N/A"),AND(COUNT(C400:F400)&gt;0,OR(MIN(C400:F400)&lt;36526,MAX(C400:F400)&gt;109574))),"Check date format",IF(AND(COUNTIFS(C400:F400,"Reviewed N/A")&gt;0,I400=""),"Add N/A reason; ","")&amp;IF(COUNT(C400:F400)=0,IF(COUNTIFS(C400:F400,"Reviewed N/A")=4,"No applicable dates recorded","Add dates"),IF(COUNT(C400:F400)+COUNTIFS(C400:F400,"Reviewed N/A")&lt;4,"Missing dates; ","")&amp;IF(MIN(C400:F400)&lt;TODAY(),"Overdue: ",IF(MIN(C400:F400)=TODAY(),"Due today: ",IF(MIN(C400:F400)&lt;=TODAY()+30,"Due within 30 days: ","Next: ")))&amp;INDEX($C$8:$F$8,1,MATCH(MIN(C400:F400),C400:F400,0))&amp;" "&amp;TEXT(MIN(C400:F400),"dd mmm yyyy")))))</x:f>
      </x:c>
      <x:c r="I400" s="52"/>
      <x:c r="J400" t="str">
        <x:f>IF(AND(A400&lt;&gt;"",COUNTIFS(C400,"&gt;=36526",C400,"&lt;"&amp;TODAY())+COUNTIFS(D400,"&gt;=36526",D400,"&lt;"&amp;TODAY())+COUNTIFS(E400,"&gt;=36526",E400,"&lt;"&amp;TODAY())+COUNTIFS(F400,"&gt;=36526",F400,"&lt;"&amp;TODAY())&gt;0),O400,"")</x:f>
      </x:c>
      <x:c r="K400" t="str">
        <x:f>IF(AND(A400&lt;&gt;"",COUNTIFS(C400,"&gt;=36526",C400,TODAY())+COUNTIFS(D400,"&gt;=36526",D400,TODAY())+COUNTIFS(E400,"&gt;=36526",E400,TODAY())+COUNTIFS(F400,"&gt;=36526",F400,TODAY())&gt;0),P400,"")</x:f>
      </x:c>
      <x:c r="L400" t="str">
        <x:f>IF(AND(A400&lt;&gt;"",COUNTIFS(C400,"&gt;"&amp;TODAY(),C400,"&lt;="&amp;TODAY()+30)+COUNTIFS(D400,"&gt;"&amp;TODAY(),D400,"&lt;="&amp;TODAY()+30)+COUNTIFS(E400,"&gt;"&amp;TODAY(),E400,"&lt;="&amp;TODAY()+30)+COUNTIFS(F400,"&gt;"&amp;TODAY(),F400,"&lt;="&amp;TODAY()+30)&gt;0),Q400,"")</x:f>
      </x:c>
      <x:c r="M400" t="str">
        <x:f>IF(OR(LEFT(H400,15)="Missing dates; ",LEFT(H400,16)="Add N/A reason; ",H400="Add dates",H400="Add registration",H400="Check date format"),R400,"")</x:f>
      </x:c>
      <x:c r="N400" t="str">
        <x:f>IF(COUNTIFS(C400:F400,"Reviewed N/A")&gt;0,S400,"")</x:f>
      </x:c>
      <x:c r="O400" t="n">
        <x:f>O399+IF(AND(A400&lt;&gt;"",COUNTIFS(C400,"&gt;=36526",C400,"&lt;"&amp;TODAY())+COUNTIFS(D400,"&gt;=36526",D400,"&lt;"&amp;TODAY())+COUNTIFS(E400,"&gt;=36526",E400,"&lt;"&amp;TODAY())+COUNTIFS(F400,"&gt;=36526",F400,"&lt;"&amp;TODAY())&gt;0),1,0)</x:f>
        <x:v>0</x:v>
      </x:c>
      <x:c r="P400" t="n">
        <x:f>P399+IF(AND(A400&lt;&gt;"",COUNTIFS(C400,"&gt;=36526",C400,TODAY())+COUNTIFS(D400,"&gt;=36526",D400,TODAY())+COUNTIFS(E400,"&gt;=36526",E400,TODAY())+COUNTIFS(F400,"&gt;=36526",F400,TODAY())&gt;0),1,0)</x:f>
        <x:v>0</x:v>
      </x:c>
      <x:c r="Q400" t="n">
        <x:f>Q399+IF(AND(A400&lt;&gt;"",COUNTIFS(C400,"&gt;"&amp;TODAY(),C400,"&lt;="&amp;TODAY()+30)+COUNTIFS(D400,"&gt;"&amp;TODAY(),D400,"&lt;="&amp;TODAY()+30)+COUNTIFS(E400,"&gt;"&amp;TODAY(),E400,"&lt;="&amp;TODAY()+30)+COUNTIFS(F400,"&gt;"&amp;TODAY(),F400,"&lt;="&amp;TODAY()+30)&gt;0),1,0)</x:f>
        <x:v>0</x:v>
      </x:c>
      <x:c r="R400" t="n">
        <x:f>R399+IF(OR(LEFT(H400,15)="Missing dates; ",LEFT(H400,16)="Add N/A reason; ",H400="Add dates",H400="Add registration",H400="Check date format"),1,0)</x:f>
        <x:v>0</x:v>
      </x:c>
      <x:c r="S400" t="n">
        <x:f>S399+IF(COUNTIFS(C400:F400,"Reviewed N/A")&gt;0,1,0)</x:f>
        <x:v>0</x:v>
      </x:c>
    </x:row>
    <x:row r="401" ht="48" customHeight="1">
      <x:c r="A401" s="52"/>
      <x:c r="B401" s="52"/>
      <x:c r="C401" s="53"/>
      <x:c r="D401" s="53"/>
      <x:c r="E401" s="53"/>
      <x:c r="F401" s="53"/>
      <x:c r="G401" s="52"/>
      <x:c r="H401" s="21" t="str">
        <x:f>IF(COUNTA(A401:G401,I401)=0,"",IF(A401="","Add registration",IF(OR(COUNTA(C401:F401)&gt;COUNT(C401:F401)+COUNTIFS(C401:F401,"Reviewed N/A"),AND(COUNT(C401:F401)&gt;0,OR(MIN(C401:F401)&lt;36526,MAX(C401:F401)&gt;109574))),"Check date format",IF(AND(COUNTIFS(C401:F401,"Reviewed N/A")&gt;0,I401=""),"Add N/A reason; ","")&amp;IF(COUNT(C401:F401)=0,IF(COUNTIFS(C401:F401,"Reviewed N/A")=4,"No applicable dates recorded","Add dates"),IF(COUNT(C401:F401)+COUNTIFS(C401:F401,"Reviewed N/A")&lt;4,"Missing dates; ","")&amp;IF(MIN(C401:F401)&lt;TODAY(),"Overdue: ",IF(MIN(C401:F401)=TODAY(),"Due today: ",IF(MIN(C401:F401)&lt;=TODAY()+30,"Due within 30 days: ","Next: ")))&amp;INDEX($C$8:$F$8,1,MATCH(MIN(C401:F401),C401:F401,0))&amp;" "&amp;TEXT(MIN(C401:F401),"dd mmm yyyy")))))</x:f>
      </x:c>
      <x:c r="I401" s="52"/>
      <x:c r="J401" t="str">
        <x:f>IF(AND(A401&lt;&gt;"",COUNTIFS(C401,"&gt;=36526",C401,"&lt;"&amp;TODAY())+COUNTIFS(D401,"&gt;=36526",D401,"&lt;"&amp;TODAY())+COUNTIFS(E401,"&gt;=36526",E401,"&lt;"&amp;TODAY())+COUNTIFS(F401,"&gt;=36526",F401,"&lt;"&amp;TODAY())&gt;0),O401,"")</x:f>
      </x:c>
      <x:c r="K401" t="str">
        <x:f>IF(AND(A401&lt;&gt;"",COUNTIFS(C401,"&gt;=36526",C401,TODAY())+COUNTIFS(D401,"&gt;=36526",D401,TODAY())+COUNTIFS(E401,"&gt;=36526",E401,TODAY())+COUNTIFS(F401,"&gt;=36526",F401,TODAY())&gt;0),P401,"")</x:f>
      </x:c>
      <x:c r="L401" t="str">
        <x:f>IF(AND(A401&lt;&gt;"",COUNTIFS(C401,"&gt;"&amp;TODAY(),C401,"&lt;="&amp;TODAY()+30)+COUNTIFS(D401,"&gt;"&amp;TODAY(),D401,"&lt;="&amp;TODAY()+30)+COUNTIFS(E401,"&gt;"&amp;TODAY(),E401,"&lt;="&amp;TODAY()+30)+COUNTIFS(F401,"&gt;"&amp;TODAY(),F401,"&lt;="&amp;TODAY()+30)&gt;0),Q401,"")</x:f>
      </x:c>
      <x:c r="M401" t="str">
        <x:f>IF(OR(LEFT(H401,15)="Missing dates; ",LEFT(H401,16)="Add N/A reason; ",H401="Add dates",H401="Add registration",H401="Check date format"),R401,"")</x:f>
      </x:c>
      <x:c r="N401" t="str">
        <x:f>IF(COUNTIFS(C401:F401,"Reviewed N/A")&gt;0,S401,"")</x:f>
      </x:c>
      <x:c r="O401" t="n">
        <x:f>O400+IF(AND(A401&lt;&gt;"",COUNTIFS(C401,"&gt;=36526",C401,"&lt;"&amp;TODAY())+COUNTIFS(D401,"&gt;=36526",D401,"&lt;"&amp;TODAY())+COUNTIFS(E401,"&gt;=36526",E401,"&lt;"&amp;TODAY())+COUNTIFS(F401,"&gt;=36526",F401,"&lt;"&amp;TODAY())&gt;0),1,0)</x:f>
        <x:v>0</x:v>
      </x:c>
      <x:c r="P401" t="n">
        <x:f>P400+IF(AND(A401&lt;&gt;"",COUNTIFS(C401,"&gt;=36526",C401,TODAY())+COUNTIFS(D401,"&gt;=36526",D401,TODAY())+COUNTIFS(E401,"&gt;=36526",E401,TODAY())+COUNTIFS(F401,"&gt;=36526",F401,TODAY())&gt;0),1,0)</x:f>
        <x:v>0</x:v>
      </x:c>
      <x:c r="Q401" t="n">
        <x:f>Q400+IF(AND(A401&lt;&gt;"",COUNTIFS(C401,"&gt;"&amp;TODAY(),C401,"&lt;="&amp;TODAY()+30)+COUNTIFS(D401,"&gt;"&amp;TODAY(),D401,"&lt;="&amp;TODAY()+30)+COUNTIFS(E401,"&gt;"&amp;TODAY(),E401,"&lt;="&amp;TODAY()+30)+COUNTIFS(F401,"&gt;"&amp;TODAY(),F401,"&lt;="&amp;TODAY()+30)&gt;0),1,0)</x:f>
        <x:v>0</x:v>
      </x:c>
      <x:c r="R401" t="n">
        <x:f>R400+IF(OR(LEFT(H401,15)="Missing dates; ",LEFT(H401,16)="Add N/A reason; ",H401="Add dates",H401="Add registration",H401="Check date format"),1,0)</x:f>
        <x:v>0</x:v>
      </x:c>
      <x:c r="S401" t="n">
        <x:f>S400+IF(COUNTIFS(C401:F401,"Reviewed N/A")&gt;0,1,0)</x:f>
        <x:v>0</x:v>
      </x:c>
    </x:row>
    <x:row r="402" ht="48" customHeight="1">
      <x:c r="A402" s="52"/>
      <x:c r="B402" s="52"/>
      <x:c r="C402" s="53"/>
      <x:c r="D402" s="53"/>
      <x:c r="E402" s="53"/>
      <x:c r="F402" s="53"/>
      <x:c r="G402" s="52"/>
      <x:c r="H402" s="21" t="str">
        <x:f>IF(COUNTA(A402:G402,I402)=0,"",IF(A402="","Add registration",IF(OR(COUNTA(C402:F402)&gt;COUNT(C402:F402)+COUNTIFS(C402:F402,"Reviewed N/A"),AND(COUNT(C402:F402)&gt;0,OR(MIN(C402:F402)&lt;36526,MAX(C402:F402)&gt;109574))),"Check date format",IF(AND(COUNTIFS(C402:F402,"Reviewed N/A")&gt;0,I402=""),"Add N/A reason; ","")&amp;IF(COUNT(C402:F402)=0,IF(COUNTIFS(C402:F402,"Reviewed N/A")=4,"No applicable dates recorded","Add dates"),IF(COUNT(C402:F402)+COUNTIFS(C402:F402,"Reviewed N/A")&lt;4,"Missing dates; ","")&amp;IF(MIN(C402:F402)&lt;TODAY(),"Overdue: ",IF(MIN(C402:F402)=TODAY(),"Due today: ",IF(MIN(C402:F402)&lt;=TODAY()+30,"Due within 30 days: ","Next: ")))&amp;INDEX($C$8:$F$8,1,MATCH(MIN(C402:F402),C402:F402,0))&amp;" "&amp;TEXT(MIN(C402:F402),"dd mmm yyyy")))))</x:f>
      </x:c>
      <x:c r="I402" s="52"/>
      <x:c r="J402" t="str">
        <x:f>IF(AND(A402&lt;&gt;"",COUNTIFS(C402,"&gt;=36526",C402,"&lt;"&amp;TODAY())+COUNTIFS(D402,"&gt;=36526",D402,"&lt;"&amp;TODAY())+COUNTIFS(E402,"&gt;=36526",E402,"&lt;"&amp;TODAY())+COUNTIFS(F402,"&gt;=36526",F402,"&lt;"&amp;TODAY())&gt;0),O402,"")</x:f>
      </x:c>
      <x:c r="K402" t="str">
        <x:f>IF(AND(A402&lt;&gt;"",COUNTIFS(C402,"&gt;=36526",C402,TODAY())+COUNTIFS(D402,"&gt;=36526",D402,TODAY())+COUNTIFS(E402,"&gt;=36526",E402,TODAY())+COUNTIFS(F402,"&gt;=36526",F402,TODAY())&gt;0),P402,"")</x:f>
      </x:c>
      <x:c r="L402" t="str">
        <x:f>IF(AND(A402&lt;&gt;"",COUNTIFS(C402,"&gt;"&amp;TODAY(),C402,"&lt;="&amp;TODAY()+30)+COUNTIFS(D402,"&gt;"&amp;TODAY(),D402,"&lt;="&amp;TODAY()+30)+COUNTIFS(E402,"&gt;"&amp;TODAY(),E402,"&lt;="&amp;TODAY()+30)+COUNTIFS(F402,"&gt;"&amp;TODAY(),F402,"&lt;="&amp;TODAY()+30)&gt;0),Q402,"")</x:f>
      </x:c>
      <x:c r="M402" t="str">
        <x:f>IF(OR(LEFT(H402,15)="Missing dates; ",LEFT(H402,16)="Add N/A reason; ",H402="Add dates",H402="Add registration",H402="Check date format"),R402,"")</x:f>
      </x:c>
      <x:c r="N402" t="str">
        <x:f>IF(COUNTIFS(C402:F402,"Reviewed N/A")&gt;0,S402,"")</x:f>
      </x:c>
      <x:c r="O402" t="n">
        <x:f>O401+IF(AND(A402&lt;&gt;"",COUNTIFS(C402,"&gt;=36526",C402,"&lt;"&amp;TODAY())+COUNTIFS(D402,"&gt;=36526",D402,"&lt;"&amp;TODAY())+COUNTIFS(E402,"&gt;=36526",E402,"&lt;"&amp;TODAY())+COUNTIFS(F402,"&gt;=36526",F402,"&lt;"&amp;TODAY())&gt;0),1,0)</x:f>
        <x:v>0</x:v>
      </x:c>
      <x:c r="P402" t="n">
        <x:f>P401+IF(AND(A402&lt;&gt;"",COUNTIFS(C402,"&gt;=36526",C402,TODAY())+COUNTIFS(D402,"&gt;=36526",D402,TODAY())+COUNTIFS(E402,"&gt;=36526",E402,TODAY())+COUNTIFS(F402,"&gt;=36526",F402,TODAY())&gt;0),1,0)</x:f>
        <x:v>0</x:v>
      </x:c>
      <x:c r="Q402" t="n">
        <x:f>Q401+IF(AND(A402&lt;&gt;"",COUNTIFS(C402,"&gt;"&amp;TODAY(),C402,"&lt;="&amp;TODAY()+30)+COUNTIFS(D402,"&gt;"&amp;TODAY(),D402,"&lt;="&amp;TODAY()+30)+COUNTIFS(E402,"&gt;"&amp;TODAY(),E402,"&lt;="&amp;TODAY()+30)+COUNTIFS(F402,"&gt;"&amp;TODAY(),F402,"&lt;="&amp;TODAY()+30)&gt;0),1,0)</x:f>
        <x:v>0</x:v>
      </x:c>
      <x:c r="R402" t="n">
        <x:f>R401+IF(OR(LEFT(H402,15)="Missing dates; ",LEFT(H402,16)="Add N/A reason; ",H402="Add dates",H402="Add registration",H402="Check date format"),1,0)</x:f>
        <x:v>0</x:v>
      </x:c>
      <x:c r="S402" t="n">
        <x:f>S401+IF(COUNTIFS(C402:F402,"Reviewed N/A")&gt;0,1,0)</x:f>
        <x:v>0</x:v>
      </x:c>
    </x:row>
    <x:row r="403" ht="48" customHeight="1">
      <x:c r="A403" s="52"/>
      <x:c r="B403" s="52"/>
      <x:c r="C403" s="53"/>
      <x:c r="D403" s="53"/>
      <x:c r="E403" s="53"/>
      <x:c r="F403" s="53"/>
      <x:c r="G403" s="52"/>
      <x:c r="H403" s="21" t="str">
        <x:f>IF(COUNTA(A403:G403,I403)=0,"",IF(A403="","Add registration",IF(OR(COUNTA(C403:F403)&gt;COUNT(C403:F403)+COUNTIFS(C403:F403,"Reviewed N/A"),AND(COUNT(C403:F403)&gt;0,OR(MIN(C403:F403)&lt;36526,MAX(C403:F403)&gt;109574))),"Check date format",IF(AND(COUNTIFS(C403:F403,"Reviewed N/A")&gt;0,I403=""),"Add N/A reason; ","")&amp;IF(COUNT(C403:F403)=0,IF(COUNTIFS(C403:F403,"Reviewed N/A")=4,"No applicable dates recorded","Add dates"),IF(COUNT(C403:F403)+COUNTIFS(C403:F403,"Reviewed N/A")&lt;4,"Missing dates; ","")&amp;IF(MIN(C403:F403)&lt;TODAY(),"Overdue: ",IF(MIN(C403:F403)=TODAY(),"Due today: ",IF(MIN(C403:F403)&lt;=TODAY()+30,"Due within 30 days: ","Next: ")))&amp;INDEX($C$8:$F$8,1,MATCH(MIN(C403:F403),C403:F403,0))&amp;" "&amp;TEXT(MIN(C403:F403),"dd mmm yyyy")))))</x:f>
      </x:c>
      <x:c r="I403" s="52"/>
      <x:c r="J403" t="str">
        <x:f>IF(AND(A403&lt;&gt;"",COUNTIFS(C403,"&gt;=36526",C403,"&lt;"&amp;TODAY())+COUNTIFS(D403,"&gt;=36526",D403,"&lt;"&amp;TODAY())+COUNTIFS(E403,"&gt;=36526",E403,"&lt;"&amp;TODAY())+COUNTIFS(F403,"&gt;=36526",F403,"&lt;"&amp;TODAY())&gt;0),O403,"")</x:f>
      </x:c>
      <x:c r="K403" t="str">
        <x:f>IF(AND(A403&lt;&gt;"",COUNTIFS(C403,"&gt;=36526",C403,TODAY())+COUNTIFS(D403,"&gt;=36526",D403,TODAY())+COUNTIFS(E403,"&gt;=36526",E403,TODAY())+COUNTIFS(F403,"&gt;=36526",F403,TODAY())&gt;0),P403,"")</x:f>
      </x:c>
      <x:c r="L403" t="str">
        <x:f>IF(AND(A403&lt;&gt;"",COUNTIFS(C403,"&gt;"&amp;TODAY(),C403,"&lt;="&amp;TODAY()+30)+COUNTIFS(D403,"&gt;"&amp;TODAY(),D403,"&lt;="&amp;TODAY()+30)+COUNTIFS(E403,"&gt;"&amp;TODAY(),E403,"&lt;="&amp;TODAY()+30)+COUNTIFS(F403,"&gt;"&amp;TODAY(),F403,"&lt;="&amp;TODAY()+30)&gt;0),Q403,"")</x:f>
      </x:c>
      <x:c r="M403" t="str">
        <x:f>IF(OR(LEFT(H403,15)="Missing dates; ",LEFT(H403,16)="Add N/A reason; ",H403="Add dates",H403="Add registration",H403="Check date format"),R403,"")</x:f>
      </x:c>
      <x:c r="N403" t="str">
        <x:f>IF(COUNTIFS(C403:F403,"Reviewed N/A")&gt;0,S403,"")</x:f>
      </x:c>
      <x:c r="O403" t="n">
        <x:f>O402+IF(AND(A403&lt;&gt;"",COUNTIFS(C403,"&gt;=36526",C403,"&lt;"&amp;TODAY())+COUNTIFS(D403,"&gt;=36526",D403,"&lt;"&amp;TODAY())+COUNTIFS(E403,"&gt;=36526",E403,"&lt;"&amp;TODAY())+COUNTIFS(F403,"&gt;=36526",F403,"&lt;"&amp;TODAY())&gt;0),1,0)</x:f>
        <x:v>0</x:v>
      </x:c>
      <x:c r="P403" t="n">
        <x:f>P402+IF(AND(A403&lt;&gt;"",COUNTIFS(C403,"&gt;=36526",C403,TODAY())+COUNTIFS(D403,"&gt;=36526",D403,TODAY())+COUNTIFS(E403,"&gt;=36526",E403,TODAY())+COUNTIFS(F403,"&gt;=36526",F403,TODAY())&gt;0),1,0)</x:f>
        <x:v>0</x:v>
      </x:c>
      <x:c r="Q403" t="n">
        <x:f>Q402+IF(AND(A403&lt;&gt;"",COUNTIFS(C403,"&gt;"&amp;TODAY(),C403,"&lt;="&amp;TODAY()+30)+COUNTIFS(D403,"&gt;"&amp;TODAY(),D403,"&lt;="&amp;TODAY()+30)+COUNTIFS(E403,"&gt;"&amp;TODAY(),E403,"&lt;="&amp;TODAY()+30)+COUNTIFS(F403,"&gt;"&amp;TODAY(),F403,"&lt;="&amp;TODAY()+30)&gt;0),1,0)</x:f>
        <x:v>0</x:v>
      </x:c>
      <x:c r="R403" t="n">
        <x:f>R402+IF(OR(LEFT(H403,15)="Missing dates; ",LEFT(H403,16)="Add N/A reason; ",H403="Add dates",H403="Add registration",H403="Check date format"),1,0)</x:f>
        <x:v>0</x:v>
      </x:c>
      <x:c r="S403" t="n">
        <x:f>S402+IF(COUNTIFS(C403:F403,"Reviewed N/A")&gt;0,1,0)</x:f>
        <x:v>0</x:v>
      </x:c>
    </x:row>
    <x:row r="404" ht="48" customHeight="1">
      <x:c r="A404" s="52"/>
      <x:c r="B404" s="52"/>
      <x:c r="C404" s="53"/>
      <x:c r="D404" s="53"/>
      <x:c r="E404" s="53"/>
      <x:c r="F404" s="53"/>
      <x:c r="G404" s="52"/>
      <x:c r="H404" s="21" t="str">
        <x:f>IF(COUNTA(A404:G404,I404)=0,"",IF(A404="","Add registration",IF(OR(COUNTA(C404:F404)&gt;COUNT(C404:F404)+COUNTIFS(C404:F404,"Reviewed N/A"),AND(COUNT(C404:F404)&gt;0,OR(MIN(C404:F404)&lt;36526,MAX(C404:F404)&gt;109574))),"Check date format",IF(AND(COUNTIFS(C404:F404,"Reviewed N/A")&gt;0,I404=""),"Add N/A reason; ","")&amp;IF(COUNT(C404:F404)=0,IF(COUNTIFS(C404:F404,"Reviewed N/A")=4,"No applicable dates recorded","Add dates"),IF(COUNT(C404:F404)+COUNTIFS(C404:F404,"Reviewed N/A")&lt;4,"Missing dates; ","")&amp;IF(MIN(C404:F404)&lt;TODAY(),"Overdue: ",IF(MIN(C404:F404)=TODAY(),"Due today: ",IF(MIN(C404:F404)&lt;=TODAY()+30,"Due within 30 days: ","Next: ")))&amp;INDEX($C$8:$F$8,1,MATCH(MIN(C404:F404),C404:F404,0))&amp;" "&amp;TEXT(MIN(C404:F404),"dd mmm yyyy")))))</x:f>
      </x:c>
      <x:c r="I404" s="52"/>
      <x:c r="J404" t="str">
        <x:f>IF(AND(A404&lt;&gt;"",COUNTIFS(C404,"&gt;=36526",C404,"&lt;"&amp;TODAY())+COUNTIFS(D404,"&gt;=36526",D404,"&lt;"&amp;TODAY())+COUNTIFS(E404,"&gt;=36526",E404,"&lt;"&amp;TODAY())+COUNTIFS(F404,"&gt;=36526",F404,"&lt;"&amp;TODAY())&gt;0),O404,"")</x:f>
      </x:c>
      <x:c r="K404" t="str">
        <x:f>IF(AND(A404&lt;&gt;"",COUNTIFS(C404,"&gt;=36526",C404,TODAY())+COUNTIFS(D404,"&gt;=36526",D404,TODAY())+COUNTIFS(E404,"&gt;=36526",E404,TODAY())+COUNTIFS(F404,"&gt;=36526",F404,TODAY())&gt;0),P404,"")</x:f>
      </x:c>
      <x:c r="L404" t="str">
        <x:f>IF(AND(A404&lt;&gt;"",COUNTIFS(C404,"&gt;"&amp;TODAY(),C404,"&lt;="&amp;TODAY()+30)+COUNTIFS(D404,"&gt;"&amp;TODAY(),D404,"&lt;="&amp;TODAY()+30)+COUNTIFS(E404,"&gt;"&amp;TODAY(),E404,"&lt;="&amp;TODAY()+30)+COUNTIFS(F404,"&gt;"&amp;TODAY(),F404,"&lt;="&amp;TODAY()+30)&gt;0),Q404,"")</x:f>
      </x:c>
      <x:c r="M404" t="str">
        <x:f>IF(OR(LEFT(H404,15)="Missing dates; ",LEFT(H404,16)="Add N/A reason; ",H404="Add dates",H404="Add registration",H404="Check date format"),R404,"")</x:f>
      </x:c>
      <x:c r="N404" t="str">
        <x:f>IF(COUNTIFS(C404:F404,"Reviewed N/A")&gt;0,S404,"")</x:f>
      </x:c>
      <x:c r="O404" t="n">
        <x:f>O403+IF(AND(A404&lt;&gt;"",COUNTIFS(C404,"&gt;=36526",C404,"&lt;"&amp;TODAY())+COUNTIFS(D404,"&gt;=36526",D404,"&lt;"&amp;TODAY())+COUNTIFS(E404,"&gt;=36526",E404,"&lt;"&amp;TODAY())+COUNTIFS(F404,"&gt;=36526",F404,"&lt;"&amp;TODAY())&gt;0),1,0)</x:f>
        <x:v>0</x:v>
      </x:c>
      <x:c r="P404" t="n">
        <x:f>P403+IF(AND(A404&lt;&gt;"",COUNTIFS(C404,"&gt;=36526",C404,TODAY())+COUNTIFS(D404,"&gt;=36526",D404,TODAY())+COUNTIFS(E404,"&gt;=36526",E404,TODAY())+COUNTIFS(F404,"&gt;=36526",F404,TODAY())&gt;0),1,0)</x:f>
        <x:v>0</x:v>
      </x:c>
      <x:c r="Q404" t="n">
        <x:f>Q403+IF(AND(A404&lt;&gt;"",COUNTIFS(C404,"&gt;"&amp;TODAY(),C404,"&lt;="&amp;TODAY()+30)+COUNTIFS(D404,"&gt;"&amp;TODAY(),D404,"&lt;="&amp;TODAY()+30)+COUNTIFS(E404,"&gt;"&amp;TODAY(),E404,"&lt;="&amp;TODAY()+30)+COUNTIFS(F404,"&gt;"&amp;TODAY(),F404,"&lt;="&amp;TODAY()+30)&gt;0),1,0)</x:f>
        <x:v>0</x:v>
      </x:c>
      <x:c r="R404" t="n">
        <x:f>R403+IF(OR(LEFT(H404,15)="Missing dates; ",LEFT(H404,16)="Add N/A reason; ",H404="Add dates",H404="Add registration",H404="Check date format"),1,0)</x:f>
        <x:v>0</x:v>
      </x:c>
      <x:c r="S404" t="n">
        <x:f>S403+IF(COUNTIFS(C404:F404,"Reviewed N/A")&gt;0,1,0)</x:f>
        <x:v>0</x:v>
      </x:c>
    </x:row>
    <x:row r="405" ht="48" customHeight="1">
      <x:c r="A405" s="52"/>
      <x:c r="B405" s="52"/>
      <x:c r="C405" s="53"/>
      <x:c r="D405" s="53"/>
      <x:c r="E405" s="53"/>
      <x:c r="F405" s="53"/>
      <x:c r="G405" s="52"/>
      <x:c r="H405" s="21" t="str">
        <x:f>IF(COUNTA(A405:G405,I405)=0,"",IF(A405="","Add registration",IF(OR(COUNTA(C405:F405)&gt;COUNT(C405:F405)+COUNTIFS(C405:F405,"Reviewed N/A"),AND(COUNT(C405:F405)&gt;0,OR(MIN(C405:F405)&lt;36526,MAX(C405:F405)&gt;109574))),"Check date format",IF(AND(COUNTIFS(C405:F405,"Reviewed N/A")&gt;0,I405=""),"Add N/A reason; ","")&amp;IF(COUNT(C405:F405)=0,IF(COUNTIFS(C405:F405,"Reviewed N/A")=4,"No applicable dates recorded","Add dates"),IF(COUNT(C405:F405)+COUNTIFS(C405:F405,"Reviewed N/A")&lt;4,"Missing dates; ","")&amp;IF(MIN(C405:F405)&lt;TODAY(),"Overdue: ",IF(MIN(C405:F405)=TODAY(),"Due today: ",IF(MIN(C405:F405)&lt;=TODAY()+30,"Due within 30 days: ","Next: ")))&amp;INDEX($C$8:$F$8,1,MATCH(MIN(C405:F405),C405:F405,0))&amp;" "&amp;TEXT(MIN(C405:F405),"dd mmm yyyy")))))</x:f>
      </x:c>
      <x:c r="I405" s="52"/>
      <x:c r="J405" t="str">
        <x:f>IF(AND(A405&lt;&gt;"",COUNTIFS(C405,"&gt;=36526",C405,"&lt;"&amp;TODAY())+COUNTIFS(D405,"&gt;=36526",D405,"&lt;"&amp;TODAY())+COUNTIFS(E405,"&gt;=36526",E405,"&lt;"&amp;TODAY())+COUNTIFS(F405,"&gt;=36526",F405,"&lt;"&amp;TODAY())&gt;0),O405,"")</x:f>
      </x:c>
      <x:c r="K405" t="str">
        <x:f>IF(AND(A405&lt;&gt;"",COUNTIFS(C405,"&gt;=36526",C405,TODAY())+COUNTIFS(D405,"&gt;=36526",D405,TODAY())+COUNTIFS(E405,"&gt;=36526",E405,TODAY())+COUNTIFS(F405,"&gt;=36526",F405,TODAY())&gt;0),P405,"")</x:f>
      </x:c>
      <x:c r="L405" t="str">
        <x:f>IF(AND(A405&lt;&gt;"",COUNTIFS(C405,"&gt;"&amp;TODAY(),C405,"&lt;="&amp;TODAY()+30)+COUNTIFS(D405,"&gt;"&amp;TODAY(),D405,"&lt;="&amp;TODAY()+30)+COUNTIFS(E405,"&gt;"&amp;TODAY(),E405,"&lt;="&amp;TODAY()+30)+COUNTIFS(F405,"&gt;"&amp;TODAY(),F405,"&lt;="&amp;TODAY()+30)&gt;0),Q405,"")</x:f>
      </x:c>
      <x:c r="M405" t="str">
        <x:f>IF(OR(LEFT(H405,15)="Missing dates; ",LEFT(H405,16)="Add N/A reason; ",H405="Add dates",H405="Add registration",H405="Check date format"),R405,"")</x:f>
      </x:c>
      <x:c r="N405" t="str">
        <x:f>IF(COUNTIFS(C405:F405,"Reviewed N/A")&gt;0,S405,"")</x:f>
      </x:c>
      <x:c r="O405" t="n">
        <x:f>O404+IF(AND(A405&lt;&gt;"",COUNTIFS(C405,"&gt;=36526",C405,"&lt;"&amp;TODAY())+COUNTIFS(D405,"&gt;=36526",D405,"&lt;"&amp;TODAY())+COUNTIFS(E405,"&gt;=36526",E405,"&lt;"&amp;TODAY())+COUNTIFS(F405,"&gt;=36526",F405,"&lt;"&amp;TODAY())&gt;0),1,0)</x:f>
        <x:v>0</x:v>
      </x:c>
      <x:c r="P405" t="n">
        <x:f>P404+IF(AND(A405&lt;&gt;"",COUNTIFS(C405,"&gt;=36526",C405,TODAY())+COUNTIFS(D405,"&gt;=36526",D405,TODAY())+COUNTIFS(E405,"&gt;=36526",E405,TODAY())+COUNTIFS(F405,"&gt;=36526",F405,TODAY())&gt;0),1,0)</x:f>
        <x:v>0</x:v>
      </x:c>
      <x:c r="Q405" t="n">
        <x:f>Q404+IF(AND(A405&lt;&gt;"",COUNTIFS(C405,"&gt;"&amp;TODAY(),C405,"&lt;="&amp;TODAY()+30)+COUNTIFS(D405,"&gt;"&amp;TODAY(),D405,"&lt;="&amp;TODAY()+30)+COUNTIFS(E405,"&gt;"&amp;TODAY(),E405,"&lt;="&amp;TODAY()+30)+COUNTIFS(F405,"&gt;"&amp;TODAY(),F405,"&lt;="&amp;TODAY()+30)&gt;0),1,0)</x:f>
        <x:v>0</x:v>
      </x:c>
      <x:c r="R405" t="n">
        <x:f>R404+IF(OR(LEFT(H405,15)="Missing dates; ",LEFT(H405,16)="Add N/A reason; ",H405="Add dates",H405="Add registration",H405="Check date format"),1,0)</x:f>
        <x:v>0</x:v>
      </x:c>
      <x:c r="S405" t="n">
        <x:f>S404+IF(COUNTIFS(C405:F405,"Reviewed N/A")&gt;0,1,0)</x:f>
        <x:v>0</x:v>
      </x:c>
    </x:row>
    <x:row r="406" ht="48" customHeight="1">
      <x:c r="A406" s="52"/>
      <x:c r="B406" s="52"/>
      <x:c r="C406" s="53"/>
      <x:c r="D406" s="53"/>
      <x:c r="E406" s="53"/>
      <x:c r="F406" s="53"/>
      <x:c r="G406" s="52"/>
      <x:c r="H406" s="21" t="str">
        <x:f>IF(COUNTA(A406:G406,I406)=0,"",IF(A406="","Add registration",IF(OR(COUNTA(C406:F406)&gt;COUNT(C406:F406)+COUNTIFS(C406:F406,"Reviewed N/A"),AND(COUNT(C406:F406)&gt;0,OR(MIN(C406:F406)&lt;36526,MAX(C406:F406)&gt;109574))),"Check date format",IF(AND(COUNTIFS(C406:F406,"Reviewed N/A")&gt;0,I406=""),"Add N/A reason; ","")&amp;IF(COUNT(C406:F406)=0,IF(COUNTIFS(C406:F406,"Reviewed N/A")=4,"No applicable dates recorded","Add dates"),IF(COUNT(C406:F406)+COUNTIFS(C406:F406,"Reviewed N/A")&lt;4,"Missing dates; ","")&amp;IF(MIN(C406:F406)&lt;TODAY(),"Overdue: ",IF(MIN(C406:F406)=TODAY(),"Due today: ",IF(MIN(C406:F406)&lt;=TODAY()+30,"Due within 30 days: ","Next: ")))&amp;INDEX($C$8:$F$8,1,MATCH(MIN(C406:F406),C406:F406,0))&amp;" "&amp;TEXT(MIN(C406:F406),"dd mmm yyyy")))))</x:f>
      </x:c>
      <x:c r="I406" s="52"/>
      <x:c r="J406" t="str">
        <x:f>IF(AND(A406&lt;&gt;"",COUNTIFS(C406,"&gt;=36526",C406,"&lt;"&amp;TODAY())+COUNTIFS(D406,"&gt;=36526",D406,"&lt;"&amp;TODAY())+COUNTIFS(E406,"&gt;=36526",E406,"&lt;"&amp;TODAY())+COUNTIFS(F406,"&gt;=36526",F406,"&lt;"&amp;TODAY())&gt;0),O406,"")</x:f>
      </x:c>
      <x:c r="K406" t="str">
        <x:f>IF(AND(A406&lt;&gt;"",COUNTIFS(C406,"&gt;=36526",C406,TODAY())+COUNTIFS(D406,"&gt;=36526",D406,TODAY())+COUNTIFS(E406,"&gt;=36526",E406,TODAY())+COUNTIFS(F406,"&gt;=36526",F406,TODAY())&gt;0),P406,"")</x:f>
      </x:c>
      <x:c r="L406" t="str">
        <x:f>IF(AND(A406&lt;&gt;"",COUNTIFS(C406,"&gt;"&amp;TODAY(),C406,"&lt;="&amp;TODAY()+30)+COUNTIFS(D406,"&gt;"&amp;TODAY(),D406,"&lt;="&amp;TODAY()+30)+COUNTIFS(E406,"&gt;"&amp;TODAY(),E406,"&lt;="&amp;TODAY()+30)+COUNTIFS(F406,"&gt;"&amp;TODAY(),F406,"&lt;="&amp;TODAY()+30)&gt;0),Q406,"")</x:f>
      </x:c>
      <x:c r="M406" t="str">
        <x:f>IF(OR(LEFT(H406,15)="Missing dates; ",LEFT(H406,16)="Add N/A reason; ",H406="Add dates",H406="Add registration",H406="Check date format"),R406,"")</x:f>
      </x:c>
      <x:c r="N406" t="str">
        <x:f>IF(COUNTIFS(C406:F406,"Reviewed N/A")&gt;0,S406,"")</x:f>
      </x:c>
      <x:c r="O406" t="n">
        <x:f>O405+IF(AND(A406&lt;&gt;"",COUNTIFS(C406,"&gt;=36526",C406,"&lt;"&amp;TODAY())+COUNTIFS(D406,"&gt;=36526",D406,"&lt;"&amp;TODAY())+COUNTIFS(E406,"&gt;=36526",E406,"&lt;"&amp;TODAY())+COUNTIFS(F406,"&gt;=36526",F406,"&lt;"&amp;TODAY())&gt;0),1,0)</x:f>
        <x:v>0</x:v>
      </x:c>
      <x:c r="P406" t="n">
        <x:f>P405+IF(AND(A406&lt;&gt;"",COUNTIFS(C406,"&gt;=36526",C406,TODAY())+COUNTIFS(D406,"&gt;=36526",D406,TODAY())+COUNTIFS(E406,"&gt;=36526",E406,TODAY())+COUNTIFS(F406,"&gt;=36526",F406,TODAY())&gt;0),1,0)</x:f>
        <x:v>0</x:v>
      </x:c>
      <x:c r="Q406" t="n">
        <x:f>Q405+IF(AND(A406&lt;&gt;"",COUNTIFS(C406,"&gt;"&amp;TODAY(),C406,"&lt;="&amp;TODAY()+30)+COUNTIFS(D406,"&gt;"&amp;TODAY(),D406,"&lt;="&amp;TODAY()+30)+COUNTIFS(E406,"&gt;"&amp;TODAY(),E406,"&lt;="&amp;TODAY()+30)+COUNTIFS(F406,"&gt;"&amp;TODAY(),F406,"&lt;="&amp;TODAY()+30)&gt;0),1,0)</x:f>
        <x:v>0</x:v>
      </x:c>
      <x:c r="R406" t="n">
        <x:f>R405+IF(OR(LEFT(H406,15)="Missing dates; ",LEFT(H406,16)="Add N/A reason; ",H406="Add dates",H406="Add registration",H406="Check date format"),1,0)</x:f>
        <x:v>0</x:v>
      </x:c>
      <x:c r="S406" t="n">
        <x:f>S405+IF(COUNTIFS(C406:F406,"Reviewed N/A")&gt;0,1,0)</x:f>
        <x:v>0</x:v>
      </x:c>
    </x:row>
    <x:row r="407" ht="48" customHeight="1">
      <x:c r="A407" s="52"/>
      <x:c r="B407" s="52"/>
      <x:c r="C407" s="53"/>
      <x:c r="D407" s="53"/>
      <x:c r="E407" s="53"/>
      <x:c r="F407" s="53"/>
      <x:c r="G407" s="52"/>
      <x:c r="H407" s="21" t="str">
        <x:f>IF(COUNTA(A407:G407,I407)=0,"",IF(A407="","Add registration",IF(OR(COUNTA(C407:F407)&gt;COUNT(C407:F407)+COUNTIFS(C407:F407,"Reviewed N/A"),AND(COUNT(C407:F407)&gt;0,OR(MIN(C407:F407)&lt;36526,MAX(C407:F407)&gt;109574))),"Check date format",IF(AND(COUNTIFS(C407:F407,"Reviewed N/A")&gt;0,I407=""),"Add N/A reason; ","")&amp;IF(COUNT(C407:F407)=0,IF(COUNTIFS(C407:F407,"Reviewed N/A")=4,"No applicable dates recorded","Add dates"),IF(COUNT(C407:F407)+COUNTIFS(C407:F407,"Reviewed N/A")&lt;4,"Missing dates; ","")&amp;IF(MIN(C407:F407)&lt;TODAY(),"Overdue: ",IF(MIN(C407:F407)=TODAY(),"Due today: ",IF(MIN(C407:F407)&lt;=TODAY()+30,"Due within 30 days: ","Next: ")))&amp;INDEX($C$8:$F$8,1,MATCH(MIN(C407:F407),C407:F407,0))&amp;" "&amp;TEXT(MIN(C407:F407),"dd mmm yyyy")))))</x:f>
      </x:c>
      <x:c r="I407" s="52"/>
      <x:c r="J407" t="str">
        <x:f>IF(AND(A407&lt;&gt;"",COUNTIFS(C407,"&gt;=36526",C407,"&lt;"&amp;TODAY())+COUNTIFS(D407,"&gt;=36526",D407,"&lt;"&amp;TODAY())+COUNTIFS(E407,"&gt;=36526",E407,"&lt;"&amp;TODAY())+COUNTIFS(F407,"&gt;=36526",F407,"&lt;"&amp;TODAY())&gt;0),O407,"")</x:f>
      </x:c>
      <x:c r="K407" t="str">
        <x:f>IF(AND(A407&lt;&gt;"",COUNTIFS(C407,"&gt;=36526",C407,TODAY())+COUNTIFS(D407,"&gt;=36526",D407,TODAY())+COUNTIFS(E407,"&gt;=36526",E407,TODAY())+COUNTIFS(F407,"&gt;=36526",F407,TODAY())&gt;0),P407,"")</x:f>
      </x:c>
      <x:c r="L407" t="str">
        <x:f>IF(AND(A407&lt;&gt;"",COUNTIFS(C407,"&gt;"&amp;TODAY(),C407,"&lt;="&amp;TODAY()+30)+COUNTIFS(D407,"&gt;"&amp;TODAY(),D407,"&lt;="&amp;TODAY()+30)+COUNTIFS(E407,"&gt;"&amp;TODAY(),E407,"&lt;="&amp;TODAY()+30)+COUNTIFS(F407,"&gt;"&amp;TODAY(),F407,"&lt;="&amp;TODAY()+30)&gt;0),Q407,"")</x:f>
      </x:c>
      <x:c r="M407" t="str">
        <x:f>IF(OR(LEFT(H407,15)="Missing dates; ",LEFT(H407,16)="Add N/A reason; ",H407="Add dates",H407="Add registration",H407="Check date format"),R407,"")</x:f>
      </x:c>
      <x:c r="N407" t="str">
        <x:f>IF(COUNTIFS(C407:F407,"Reviewed N/A")&gt;0,S407,"")</x:f>
      </x:c>
      <x:c r="O407" t="n">
        <x:f>O406+IF(AND(A407&lt;&gt;"",COUNTIFS(C407,"&gt;=36526",C407,"&lt;"&amp;TODAY())+COUNTIFS(D407,"&gt;=36526",D407,"&lt;"&amp;TODAY())+COUNTIFS(E407,"&gt;=36526",E407,"&lt;"&amp;TODAY())+COUNTIFS(F407,"&gt;=36526",F407,"&lt;"&amp;TODAY())&gt;0),1,0)</x:f>
        <x:v>0</x:v>
      </x:c>
      <x:c r="P407" t="n">
        <x:f>P406+IF(AND(A407&lt;&gt;"",COUNTIFS(C407,"&gt;=36526",C407,TODAY())+COUNTIFS(D407,"&gt;=36526",D407,TODAY())+COUNTIFS(E407,"&gt;=36526",E407,TODAY())+COUNTIFS(F407,"&gt;=36526",F407,TODAY())&gt;0),1,0)</x:f>
        <x:v>0</x:v>
      </x:c>
      <x:c r="Q407" t="n">
        <x:f>Q406+IF(AND(A407&lt;&gt;"",COUNTIFS(C407,"&gt;"&amp;TODAY(),C407,"&lt;="&amp;TODAY()+30)+COUNTIFS(D407,"&gt;"&amp;TODAY(),D407,"&lt;="&amp;TODAY()+30)+COUNTIFS(E407,"&gt;"&amp;TODAY(),E407,"&lt;="&amp;TODAY()+30)+COUNTIFS(F407,"&gt;"&amp;TODAY(),F407,"&lt;="&amp;TODAY()+30)&gt;0),1,0)</x:f>
        <x:v>0</x:v>
      </x:c>
      <x:c r="R407" t="n">
        <x:f>R406+IF(OR(LEFT(H407,15)="Missing dates; ",LEFT(H407,16)="Add N/A reason; ",H407="Add dates",H407="Add registration",H407="Check date format"),1,0)</x:f>
        <x:v>0</x:v>
      </x:c>
      <x:c r="S407" t="n">
        <x:f>S406+IF(COUNTIFS(C407:F407,"Reviewed N/A")&gt;0,1,0)</x:f>
        <x:v>0</x:v>
      </x:c>
    </x:row>
    <x:row r="408" ht="48" customHeight="1">
      <x:c r="A408" s="52"/>
      <x:c r="B408" s="52"/>
      <x:c r="C408" s="53"/>
      <x:c r="D408" s="53"/>
      <x:c r="E408" s="53"/>
      <x:c r="F408" s="53"/>
      <x:c r="G408" s="52"/>
      <x:c r="H408" s="21" t="str">
        <x:f>IF(COUNTA(A408:G408,I408)=0,"",IF(A408="","Add registration",IF(OR(COUNTA(C408:F408)&gt;COUNT(C408:F408)+COUNTIFS(C408:F408,"Reviewed N/A"),AND(COUNT(C408:F408)&gt;0,OR(MIN(C408:F408)&lt;36526,MAX(C408:F408)&gt;109574))),"Check date format",IF(AND(COUNTIFS(C408:F408,"Reviewed N/A")&gt;0,I408=""),"Add N/A reason; ","")&amp;IF(COUNT(C408:F408)=0,IF(COUNTIFS(C408:F408,"Reviewed N/A")=4,"No applicable dates recorded","Add dates"),IF(COUNT(C408:F408)+COUNTIFS(C408:F408,"Reviewed N/A")&lt;4,"Missing dates; ","")&amp;IF(MIN(C408:F408)&lt;TODAY(),"Overdue: ",IF(MIN(C408:F408)=TODAY(),"Due today: ",IF(MIN(C408:F408)&lt;=TODAY()+30,"Due within 30 days: ","Next: ")))&amp;INDEX($C$8:$F$8,1,MATCH(MIN(C408:F408),C408:F408,0))&amp;" "&amp;TEXT(MIN(C408:F408),"dd mmm yyyy")))))</x:f>
      </x:c>
      <x:c r="I408" s="52"/>
      <x:c r="J408" t="str">
        <x:f>IF(AND(A408&lt;&gt;"",COUNTIFS(C408,"&gt;=36526",C408,"&lt;"&amp;TODAY())+COUNTIFS(D408,"&gt;=36526",D408,"&lt;"&amp;TODAY())+COUNTIFS(E408,"&gt;=36526",E408,"&lt;"&amp;TODAY())+COUNTIFS(F408,"&gt;=36526",F408,"&lt;"&amp;TODAY())&gt;0),O408,"")</x:f>
      </x:c>
      <x:c r="K408" t="str">
        <x:f>IF(AND(A408&lt;&gt;"",COUNTIFS(C408,"&gt;=36526",C408,TODAY())+COUNTIFS(D408,"&gt;=36526",D408,TODAY())+COUNTIFS(E408,"&gt;=36526",E408,TODAY())+COUNTIFS(F408,"&gt;=36526",F408,TODAY())&gt;0),P408,"")</x:f>
      </x:c>
      <x:c r="L408" t="str">
        <x:f>IF(AND(A408&lt;&gt;"",COUNTIFS(C408,"&gt;"&amp;TODAY(),C408,"&lt;="&amp;TODAY()+30)+COUNTIFS(D408,"&gt;"&amp;TODAY(),D408,"&lt;="&amp;TODAY()+30)+COUNTIFS(E408,"&gt;"&amp;TODAY(),E408,"&lt;="&amp;TODAY()+30)+COUNTIFS(F408,"&gt;"&amp;TODAY(),F408,"&lt;="&amp;TODAY()+30)&gt;0),Q408,"")</x:f>
      </x:c>
      <x:c r="M408" t="str">
        <x:f>IF(OR(LEFT(H408,15)="Missing dates; ",LEFT(H408,16)="Add N/A reason; ",H408="Add dates",H408="Add registration",H408="Check date format"),R408,"")</x:f>
      </x:c>
      <x:c r="N408" t="str">
        <x:f>IF(COUNTIFS(C408:F408,"Reviewed N/A")&gt;0,S408,"")</x:f>
      </x:c>
      <x:c r="O408" t="n">
        <x:f>O407+IF(AND(A408&lt;&gt;"",COUNTIFS(C408,"&gt;=36526",C408,"&lt;"&amp;TODAY())+COUNTIFS(D408,"&gt;=36526",D408,"&lt;"&amp;TODAY())+COUNTIFS(E408,"&gt;=36526",E408,"&lt;"&amp;TODAY())+COUNTIFS(F408,"&gt;=36526",F408,"&lt;"&amp;TODAY())&gt;0),1,0)</x:f>
        <x:v>0</x:v>
      </x:c>
      <x:c r="P408" t="n">
        <x:f>P407+IF(AND(A408&lt;&gt;"",COUNTIFS(C408,"&gt;=36526",C408,TODAY())+COUNTIFS(D408,"&gt;=36526",D408,TODAY())+COUNTIFS(E408,"&gt;=36526",E408,TODAY())+COUNTIFS(F408,"&gt;=36526",F408,TODAY())&gt;0),1,0)</x:f>
        <x:v>0</x:v>
      </x:c>
      <x:c r="Q408" t="n">
        <x:f>Q407+IF(AND(A408&lt;&gt;"",COUNTIFS(C408,"&gt;"&amp;TODAY(),C408,"&lt;="&amp;TODAY()+30)+COUNTIFS(D408,"&gt;"&amp;TODAY(),D408,"&lt;="&amp;TODAY()+30)+COUNTIFS(E408,"&gt;"&amp;TODAY(),E408,"&lt;="&amp;TODAY()+30)+COUNTIFS(F408,"&gt;"&amp;TODAY(),F408,"&lt;="&amp;TODAY()+30)&gt;0),1,0)</x:f>
        <x:v>0</x:v>
      </x:c>
      <x:c r="R408" t="n">
        <x:f>R407+IF(OR(LEFT(H408,15)="Missing dates; ",LEFT(H408,16)="Add N/A reason; ",H408="Add dates",H408="Add registration",H408="Check date format"),1,0)</x:f>
        <x:v>0</x:v>
      </x:c>
      <x:c r="S408" t="n">
        <x:f>S407+IF(COUNTIFS(C408:F408,"Reviewed N/A")&gt;0,1,0)</x:f>
        <x:v>0</x:v>
      </x:c>
    </x:row>
    <x:row r="409" ht="48" customHeight="1">
      <x:c r="A409" s="52"/>
      <x:c r="B409" s="52"/>
      <x:c r="C409" s="53"/>
      <x:c r="D409" s="53"/>
      <x:c r="E409" s="53"/>
      <x:c r="F409" s="53"/>
      <x:c r="G409" s="52"/>
      <x:c r="H409" s="21" t="str">
        <x:f>IF(COUNTA(A409:G409,I409)=0,"",IF(A409="","Add registration",IF(OR(COUNTA(C409:F409)&gt;COUNT(C409:F409)+COUNTIFS(C409:F409,"Reviewed N/A"),AND(COUNT(C409:F409)&gt;0,OR(MIN(C409:F409)&lt;36526,MAX(C409:F409)&gt;109574))),"Check date format",IF(AND(COUNTIFS(C409:F409,"Reviewed N/A")&gt;0,I409=""),"Add N/A reason; ","")&amp;IF(COUNT(C409:F409)=0,IF(COUNTIFS(C409:F409,"Reviewed N/A")=4,"No applicable dates recorded","Add dates"),IF(COUNT(C409:F409)+COUNTIFS(C409:F409,"Reviewed N/A")&lt;4,"Missing dates; ","")&amp;IF(MIN(C409:F409)&lt;TODAY(),"Overdue: ",IF(MIN(C409:F409)=TODAY(),"Due today: ",IF(MIN(C409:F409)&lt;=TODAY()+30,"Due within 30 days: ","Next: ")))&amp;INDEX($C$8:$F$8,1,MATCH(MIN(C409:F409),C409:F409,0))&amp;" "&amp;TEXT(MIN(C409:F409),"dd mmm yyyy")))))</x:f>
      </x:c>
      <x:c r="I409" s="52"/>
      <x:c r="J409" t="str">
        <x:f>IF(AND(A409&lt;&gt;"",COUNTIFS(C409,"&gt;=36526",C409,"&lt;"&amp;TODAY())+COUNTIFS(D409,"&gt;=36526",D409,"&lt;"&amp;TODAY())+COUNTIFS(E409,"&gt;=36526",E409,"&lt;"&amp;TODAY())+COUNTIFS(F409,"&gt;=36526",F409,"&lt;"&amp;TODAY())&gt;0),O409,"")</x:f>
      </x:c>
      <x:c r="K409" t="str">
        <x:f>IF(AND(A409&lt;&gt;"",COUNTIFS(C409,"&gt;=36526",C409,TODAY())+COUNTIFS(D409,"&gt;=36526",D409,TODAY())+COUNTIFS(E409,"&gt;=36526",E409,TODAY())+COUNTIFS(F409,"&gt;=36526",F409,TODAY())&gt;0),P409,"")</x:f>
      </x:c>
      <x:c r="L409" t="str">
        <x:f>IF(AND(A409&lt;&gt;"",COUNTIFS(C409,"&gt;"&amp;TODAY(),C409,"&lt;="&amp;TODAY()+30)+COUNTIFS(D409,"&gt;"&amp;TODAY(),D409,"&lt;="&amp;TODAY()+30)+COUNTIFS(E409,"&gt;"&amp;TODAY(),E409,"&lt;="&amp;TODAY()+30)+COUNTIFS(F409,"&gt;"&amp;TODAY(),F409,"&lt;="&amp;TODAY()+30)&gt;0),Q409,"")</x:f>
      </x:c>
      <x:c r="M409" t="str">
        <x:f>IF(OR(LEFT(H409,15)="Missing dates; ",LEFT(H409,16)="Add N/A reason; ",H409="Add dates",H409="Add registration",H409="Check date format"),R409,"")</x:f>
      </x:c>
      <x:c r="N409" t="str">
        <x:f>IF(COUNTIFS(C409:F409,"Reviewed N/A")&gt;0,S409,"")</x:f>
      </x:c>
      <x:c r="O409" t="n">
        <x:f>O408+IF(AND(A409&lt;&gt;"",COUNTIFS(C409,"&gt;=36526",C409,"&lt;"&amp;TODAY())+COUNTIFS(D409,"&gt;=36526",D409,"&lt;"&amp;TODAY())+COUNTIFS(E409,"&gt;=36526",E409,"&lt;"&amp;TODAY())+COUNTIFS(F409,"&gt;=36526",F409,"&lt;"&amp;TODAY())&gt;0),1,0)</x:f>
        <x:v>0</x:v>
      </x:c>
      <x:c r="P409" t="n">
        <x:f>P408+IF(AND(A409&lt;&gt;"",COUNTIFS(C409,"&gt;=36526",C409,TODAY())+COUNTIFS(D409,"&gt;=36526",D409,TODAY())+COUNTIFS(E409,"&gt;=36526",E409,TODAY())+COUNTIFS(F409,"&gt;=36526",F409,TODAY())&gt;0),1,0)</x:f>
        <x:v>0</x:v>
      </x:c>
      <x:c r="Q409" t="n">
        <x:f>Q408+IF(AND(A409&lt;&gt;"",COUNTIFS(C409,"&gt;"&amp;TODAY(),C409,"&lt;="&amp;TODAY()+30)+COUNTIFS(D409,"&gt;"&amp;TODAY(),D409,"&lt;="&amp;TODAY()+30)+COUNTIFS(E409,"&gt;"&amp;TODAY(),E409,"&lt;="&amp;TODAY()+30)+COUNTIFS(F409,"&gt;"&amp;TODAY(),F409,"&lt;="&amp;TODAY()+30)&gt;0),1,0)</x:f>
        <x:v>0</x:v>
      </x:c>
      <x:c r="R409" t="n">
        <x:f>R408+IF(OR(LEFT(H409,15)="Missing dates; ",LEFT(H409,16)="Add N/A reason; ",H409="Add dates",H409="Add registration",H409="Check date format"),1,0)</x:f>
        <x:v>0</x:v>
      </x:c>
      <x:c r="S409" t="n">
        <x:f>S408+IF(COUNTIFS(C409:F409,"Reviewed N/A")&gt;0,1,0)</x:f>
        <x:v>0</x:v>
      </x:c>
    </x:row>
    <x:row r="410" ht="48" customHeight="1">
      <x:c r="A410" s="52"/>
      <x:c r="B410" s="52"/>
      <x:c r="C410" s="53"/>
      <x:c r="D410" s="53"/>
      <x:c r="E410" s="53"/>
      <x:c r="F410" s="53"/>
      <x:c r="G410" s="52"/>
      <x:c r="H410" s="21" t="str">
        <x:f>IF(COUNTA(A410:G410,I410)=0,"",IF(A410="","Add registration",IF(OR(COUNTA(C410:F410)&gt;COUNT(C410:F410)+COUNTIFS(C410:F410,"Reviewed N/A"),AND(COUNT(C410:F410)&gt;0,OR(MIN(C410:F410)&lt;36526,MAX(C410:F410)&gt;109574))),"Check date format",IF(AND(COUNTIFS(C410:F410,"Reviewed N/A")&gt;0,I410=""),"Add N/A reason; ","")&amp;IF(COUNT(C410:F410)=0,IF(COUNTIFS(C410:F410,"Reviewed N/A")=4,"No applicable dates recorded","Add dates"),IF(COUNT(C410:F410)+COUNTIFS(C410:F410,"Reviewed N/A")&lt;4,"Missing dates; ","")&amp;IF(MIN(C410:F410)&lt;TODAY(),"Overdue: ",IF(MIN(C410:F410)=TODAY(),"Due today: ",IF(MIN(C410:F410)&lt;=TODAY()+30,"Due within 30 days: ","Next: ")))&amp;INDEX($C$8:$F$8,1,MATCH(MIN(C410:F410),C410:F410,0))&amp;" "&amp;TEXT(MIN(C410:F410),"dd mmm yyyy")))))</x:f>
      </x:c>
      <x:c r="I410" s="52"/>
      <x:c r="J410" t="str">
        <x:f>IF(AND(A410&lt;&gt;"",COUNTIFS(C410,"&gt;=36526",C410,"&lt;"&amp;TODAY())+COUNTIFS(D410,"&gt;=36526",D410,"&lt;"&amp;TODAY())+COUNTIFS(E410,"&gt;=36526",E410,"&lt;"&amp;TODAY())+COUNTIFS(F410,"&gt;=36526",F410,"&lt;"&amp;TODAY())&gt;0),O410,"")</x:f>
      </x:c>
      <x:c r="K410" t="str">
        <x:f>IF(AND(A410&lt;&gt;"",COUNTIFS(C410,"&gt;=36526",C410,TODAY())+COUNTIFS(D410,"&gt;=36526",D410,TODAY())+COUNTIFS(E410,"&gt;=36526",E410,TODAY())+COUNTIFS(F410,"&gt;=36526",F410,TODAY())&gt;0),P410,"")</x:f>
      </x:c>
      <x:c r="L410" t="str">
        <x:f>IF(AND(A410&lt;&gt;"",COUNTIFS(C410,"&gt;"&amp;TODAY(),C410,"&lt;="&amp;TODAY()+30)+COUNTIFS(D410,"&gt;"&amp;TODAY(),D410,"&lt;="&amp;TODAY()+30)+COUNTIFS(E410,"&gt;"&amp;TODAY(),E410,"&lt;="&amp;TODAY()+30)+COUNTIFS(F410,"&gt;"&amp;TODAY(),F410,"&lt;="&amp;TODAY()+30)&gt;0),Q410,"")</x:f>
      </x:c>
      <x:c r="M410" t="str">
        <x:f>IF(OR(LEFT(H410,15)="Missing dates; ",LEFT(H410,16)="Add N/A reason; ",H410="Add dates",H410="Add registration",H410="Check date format"),R410,"")</x:f>
      </x:c>
      <x:c r="N410" t="str">
        <x:f>IF(COUNTIFS(C410:F410,"Reviewed N/A")&gt;0,S410,"")</x:f>
      </x:c>
      <x:c r="O410" t="n">
        <x:f>O409+IF(AND(A410&lt;&gt;"",COUNTIFS(C410,"&gt;=36526",C410,"&lt;"&amp;TODAY())+COUNTIFS(D410,"&gt;=36526",D410,"&lt;"&amp;TODAY())+COUNTIFS(E410,"&gt;=36526",E410,"&lt;"&amp;TODAY())+COUNTIFS(F410,"&gt;=36526",F410,"&lt;"&amp;TODAY())&gt;0),1,0)</x:f>
        <x:v>0</x:v>
      </x:c>
      <x:c r="P410" t="n">
        <x:f>P409+IF(AND(A410&lt;&gt;"",COUNTIFS(C410,"&gt;=36526",C410,TODAY())+COUNTIFS(D410,"&gt;=36526",D410,TODAY())+COUNTIFS(E410,"&gt;=36526",E410,TODAY())+COUNTIFS(F410,"&gt;=36526",F410,TODAY())&gt;0),1,0)</x:f>
        <x:v>0</x:v>
      </x:c>
      <x:c r="Q410" t="n">
        <x:f>Q409+IF(AND(A410&lt;&gt;"",COUNTIFS(C410,"&gt;"&amp;TODAY(),C410,"&lt;="&amp;TODAY()+30)+COUNTIFS(D410,"&gt;"&amp;TODAY(),D410,"&lt;="&amp;TODAY()+30)+COUNTIFS(E410,"&gt;"&amp;TODAY(),E410,"&lt;="&amp;TODAY()+30)+COUNTIFS(F410,"&gt;"&amp;TODAY(),F410,"&lt;="&amp;TODAY()+30)&gt;0),1,0)</x:f>
        <x:v>0</x:v>
      </x:c>
      <x:c r="R410" t="n">
        <x:f>R409+IF(OR(LEFT(H410,15)="Missing dates; ",LEFT(H410,16)="Add N/A reason; ",H410="Add dates",H410="Add registration",H410="Check date format"),1,0)</x:f>
        <x:v>0</x:v>
      </x:c>
      <x:c r="S410" t="n">
        <x:f>S409+IF(COUNTIFS(C410:F410,"Reviewed N/A")&gt;0,1,0)</x:f>
        <x:v>0</x:v>
      </x:c>
    </x:row>
    <x:row r="411" ht="48" customHeight="1">
      <x:c r="A411" s="52"/>
      <x:c r="B411" s="52"/>
      <x:c r="C411" s="53"/>
      <x:c r="D411" s="53"/>
      <x:c r="E411" s="53"/>
      <x:c r="F411" s="53"/>
      <x:c r="G411" s="52"/>
      <x:c r="H411" s="21" t="str">
        <x:f>IF(COUNTA(A411:G411,I411)=0,"",IF(A411="","Add registration",IF(OR(COUNTA(C411:F411)&gt;COUNT(C411:F411)+COUNTIFS(C411:F411,"Reviewed N/A"),AND(COUNT(C411:F411)&gt;0,OR(MIN(C411:F411)&lt;36526,MAX(C411:F411)&gt;109574))),"Check date format",IF(AND(COUNTIFS(C411:F411,"Reviewed N/A")&gt;0,I411=""),"Add N/A reason; ","")&amp;IF(COUNT(C411:F411)=0,IF(COUNTIFS(C411:F411,"Reviewed N/A")=4,"No applicable dates recorded","Add dates"),IF(COUNT(C411:F411)+COUNTIFS(C411:F411,"Reviewed N/A")&lt;4,"Missing dates; ","")&amp;IF(MIN(C411:F411)&lt;TODAY(),"Overdue: ",IF(MIN(C411:F411)=TODAY(),"Due today: ",IF(MIN(C411:F411)&lt;=TODAY()+30,"Due within 30 days: ","Next: ")))&amp;INDEX($C$8:$F$8,1,MATCH(MIN(C411:F411),C411:F411,0))&amp;" "&amp;TEXT(MIN(C411:F411),"dd mmm yyyy")))))</x:f>
      </x:c>
      <x:c r="I411" s="52"/>
      <x:c r="J411" t="str">
        <x:f>IF(AND(A411&lt;&gt;"",COUNTIFS(C411,"&gt;=36526",C411,"&lt;"&amp;TODAY())+COUNTIFS(D411,"&gt;=36526",D411,"&lt;"&amp;TODAY())+COUNTIFS(E411,"&gt;=36526",E411,"&lt;"&amp;TODAY())+COUNTIFS(F411,"&gt;=36526",F411,"&lt;"&amp;TODAY())&gt;0),O411,"")</x:f>
      </x:c>
      <x:c r="K411" t="str">
        <x:f>IF(AND(A411&lt;&gt;"",COUNTIFS(C411,"&gt;=36526",C411,TODAY())+COUNTIFS(D411,"&gt;=36526",D411,TODAY())+COUNTIFS(E411,"&gt;=36526",E411,TODAY())+COUNTIFS(F411,"&gt;=36526",F411,TODAY())&gt;0),P411,"")</x:f>
      </x:c>
      <x:c r="L411" t="str">
        <x:f>IF(AND(A411&lt;&gt;"",COUNTIFS(C411,"&gt;"&amp;TODAY(),C411,"&lt;="&amp;TODAY()+30)+COUNTIFS(D411,"&gt;"&amp;TODAY(),D411,"&lt;="&amp;TODAY()+30)+COUNTIFS(E411,"&gt;"&amp;TODAY(),E411,"&lt;="&amp;TODAY()+30)+COUNTIFS(F411,"&gt;"&amp;TODAY(),F411,"&lt;="&amp;TODAY()+30)&gt;0),Q411,"")</x:f>
      </x:c>
      <x:c r="M411" t="str">
        <x:f>IF(OR(LEFT(H411,15)="Missing dates; ",LEFT(H411,16)="Add N/A reason; ",H411="Add dates",H411="Add registration",H411="Check date format"),R411,"")</x:f>
      </x:c>
      <x:c r="N411" t="str">
        <x:f>IF(COUNTIFS(C411:F411,"Reviewed N/A")&gt;0,S411,"")</x:f>
      </x:c>
      <x:c r="O411" t="n">
        <x:f>O410+IF(AND(A411&lt;&gt;"",COUNTIFS(C411,"&gt;=36526",C411,"&lt;"&amp;TODAY())+COUNTIFS(D411,"&gt;=36526",D411,"&lt;"&amp;TODAY())+COUNTIFS(E411,"&gt;=36526",E411,"&lt;"&amp;TODAY())+COUNTIFS(F411,"&gt;=36526",F411,"&lt;"&amp;TODAY())&gt;0),1,0)</x:f>
        <x:v>0</x:v>
      </x:c>
      <x:c r="P411" t="n">
        <x:f>P410+IF(AND(A411&lt;&gt;"",COUNTIFS(C411,"&gt;=36526",C411,TODAY())+COUNTIFS(D411,"&gt;=36526",D411,TODAY())+COUNTIFS(E411,"&gt;=36526",E411,TODAY())+COUNTIFS(F411,"&gt;=36526",F411,TODAY())&gt;0),1,0)</x:f>
        <x:v>0</x:v>
      </x:c>
      <x:c r="Q411" t="n">
        <x:f>Q410+IF(AND(A411&lt;&gt;"",COUNTIFS(C411,"&gt;"&amp;TODAY(),C411,"&lt;="&amp;TODAY()+30)+COUNTIFS(D411,"&gt;"&amp;TODAY(),D411,"&lt;="&amp;TODAY()+30)+COUNTIFS(E411,"&gt;"&amp;TODAY(),E411,"&lt;="&amp;TODAY()+30)+COUNTIFS(F411,"&gt;"&amp;TODAY(),F411,"&lt;="&amp;TODAY()+30)&gt;0),1,0)</x:f>
        <x:v>0</x:v>
      </x:c>
      <x:c r="R411" t="n">
        <x:f>R410+IF(OR(LEFT(H411,15)="Missing dates; ",LEFT(H411,16)="Add N/A reason; ",H411="Add dates",H411="Add registration",H411="Check date format"),1,0)</x:f>
        <x:v>0</x:v>
      </x:c>
      <x:c r="S411" t="n">
        <x:f>S410+IF(COUNTIFS(C411:F411,"Reviewed N/A")&gt;0,1,0)</x:f>
        <x:v>0</x:v>
      </x:c>
    </x:row>
    <x:row r="412" ht="48" customHeight="1">
      <x:c r="A412" s="52"/>
      <x:c r="B412" s="52"/>
      <x:c r="C412" s="53"/>
      <x:c r="D412" s="53"/>
      <x:c r="E412" s="53"/>
      <x:c r="F412" s="53"/>
      <x:c r="G412" s="52"/>
      <x:c r="H412" s="21" t="str">
        <x:f>IF(COUNTA(A412:G412,I412)=0,"",IF(A412="","Add registration",IF(OR(COUNTA(C412:F412)&gt;COUNT(C412:F412)+COUNTIFS(C412:F412,"Reviewed N/A"),AND(COUNT(C412:F412)&gt;0,OR(MIN(C412:F412)&lt;36526,MAX(C412:F412)&gt;109574))),"Check date format",IF(AND(COUNTIFS(C412:F412,"Reviewed N/A")&gt;0,I412=""),"Add N/A reason; ","")&amp;IF(COUNT(C412:F412)=0,IF(COUNTIFS(C412:F412,"Reviewed N/A")=4,"No applicable dates recorded","Add dates"),IF(COUNT(C412:F412)+COUNTIFS(C412:F412,"Reviewed N/A")&lt;4,"Missing dates; ","")&amp;IF(MIN(C412:F412)&lt;TODAY(),"Overdue: ",IF(MIN(C412:F412)=TODAY(),"Due today: ",IF(MIN(C412:F412)&lt;=TODAY()+30,"Due within 30 days: ","Next: ")))&amp;INDEX($C$8:$F$8,1,MATCH(MIN(C412:F412),C412:F412,0))&amp;" "&amp;TEXT(MIN(C412:F412),"dd mmm yyyy")))))</x:f>
      </x:c>
      <x:c r="I412" s="52"/>
      <x:c r="J412" t="str">
        <x:f>IF(AND(A412&lt;&gt;"",COUNTIFS(C412,"&gt;=36526",C412,"&lt;"&amp;TODAY())+COUNTIFS(D412,"&gt;=36526",D412,"&lt;"&amp;TODAY())+COUNTIFS(E412,"&gt;=36526",E412,"&lt;"&amp;TODAY())+COUNTIFS(F412,"&gt;=36526",F412,"&lt;"&amp;TODAY())&gt;0),O412,"")</x:f>
      </x:c>
      <x:c r="K412" t="str">
        <x:f>IF(AND(A412&lt;&gt;"",COUNTIFS(C412,"&gt;=36526",C412,TODAY())+COUNTIFS(D412,"&gt;=36526",D412,TODAY())+COUNTIFS(E412,"&gt;=36526",E412,TODAY())+COUNTIFS(F412,"&gt;=36526",F412,TODAY())&gt;0),P412,"")</x:f>
      </x:c>
      <x:c r="L412" t="str">
        <x:f>IF(AND(A412&lt;&gt;"",COUNTIFS(C412,"&gt;"&amp;TODAY(),C412,"&lt;="&amp;TODAY()+30)+COUNTIFS(D412,"&gt;"&amp;TODAY(),D412,"&lt;="&amp;TODAY()+30)+COUNTIFS(E412,"&gt;"&amp;TODAY(),E412,"&lt;="&amp;TODAY()+30)+COUNTIFS(F412,"&gt;"&amp;TODAY(),F412,"&lt;="&amp;TODAY()+30)&gt;0),Q412,"")</x:f>
      </x:c>
      <x:c r="M412" t="str">
        <x:f>IF(OR(LEFT(H412,15)="Missing dates; ",LEFT(H412,16)="Add N/A reason; ",H412="Add dates",H412="Add registration",H412="Check date format"),R412,"")</x:f>
      </x:c>
      <x:c r="N412" t="str">
        <x:f>IF(COUNTIFS(C412:F412,"Reviewed N/A")&gt;0,S412,"")</x:f>
      </x:c>
      <x:c r="O412" t="n">
        <x:f>O411+IF(AND(A412&lt;&gt;"",COUNTIFS(C412,"&gt;=36526",C412,"&lt;"&amp;TODAY())+COUNTIFS(D412,"&gt;=36526",D412,"&lt;"&amp;TODAY())+COUNTIFS(E412,"&gt;=36526",E412,"&lt;"&amp;TODAY())+COUNTIFS(F412,"&gt;=36526",F412,"&lt;"&amp;TODAY())&gt;0),1,0)</x:f>
        <x:v>0</x:v>
      </x:c>
      <x:c r="P412" t="n">
        <x:f>P411+IF(AND(A412&lt;&gt;"",COUNTIFS(C412,"&gt;=36526",C412,TODAY())+COUNTIFS(D412,"&gt;=36526",D412,TODAY())+COUNTIFS(E412,"&gt;=36526",E412,TODAY())+COUNTIFS(F412,"&gt;=36526",F412,TODAY())&gt;0),1,0)</x:f>
        <x:v>0</x:v>
      </x:c>
      <x:c r="Q412" t="n">
        <x:f>Q411+IF(AND(A412&lt;&gt;"",COUNTIFS(C412,"&gt;"&amp;TODAY(),C412,"&lt;="&amp;TODAY()+30)+COUNTIFS(D412,"&gt;"&amp;TODAY(),D412,"&lt;="&amp;TODAY()+30)+COUNTIFS(E412,"&gt;"&amp;TODAY(),E412,"&lt;="&amp;TODAY()+30)+COUNTIFS(F412,"&gt;"&amp;TODAY(),F412,"&lt;="&amp;TODAY()+30)&gt;0),1,0)</x:f>
        <x:v>0</x:v>
      </x:c>
      <x:c r="R412" t="n">
        <x:f>R411+IF(OR(LEFT(H412,15)="Missing dates; ",LEFT(H412,16)="Add N/A reason; ",H412="Add dates",H412="Add registration",H412="Check date format"),1,0)</x:f>
        <x:v>0</x:v>
      </x:c>
      <x:c r="S412" t="n">
        <x:f>S411+IF(COUNTIFS(C412:F412,"Reviewed N/A")&gt;0,1,0)</x:f>
        <x:v>0</x:v>
      </x:c>
    </x:row>
    <x:row r="413" ht="48" customHeight="1">
      <x:c r="A413" s="52"/>
      <x:c r="B413" s="52"/>
      <x:c r="C413" s="53"/>
      <x:c r="D413" s="53"/>
      <x:c r="E413" s="53"/>
      <x:c r="F413" s="53"/>
      <x:c r="G413" s="52"/>
      <x:c r="H413" s="21" t="str">
        <x:f>IF(COUNTA(A413:G413,I413)=0,"",IF(A413="","Add registration",IF(OR(COUNTA(C413:F413)&gt;COUNT(C413:F413)+COUNTIFS(C413:F413,"Reviewed N/A"),AND(COUNT(C413:F413)&gt;0,OR(MIN(C413:F413)&lt;36526,MAX(C413:F413)&gt;109574))),"Check date format",IF(AND(COUNTIFS(C413:F413,"Reviewed N/A")&gt;0,I413=""),"Add N/A reason; ","")&amp;IF(COUNT(C413:F413)=0,IF(COUNTIFS(C413:F413,"Reviewed N/A")=4,"No applicable dates recorded","Add dates"),IF(COUNT(C413:F413)+COUNTIFS(C413:F413,"Reviewed N/A")&lt;4,"Missing dates; ","")&amp;IF(MIN(C413:F413)&lt;TODAY(),"Overdue: ",IF(MIN(C413:F413)=TODAY(),"Due today: ",IF(MIN(C413:F413)&lt;=TODAY()+30,"Due within 30 days: ","Next: ")))&amp;INDEX($C$8:$F$8,1,MATCH(MIN(C413:F413),C413:F413,0))&amp;" "&amp;TEXT(MIN(C413:F413),"dd mmm yyyy")))))</x:f>
      </x:c>
      <x:c r="I413" s="52"/>
      <x:c r="J413" t="str">
        <x:f>IF(AND(A413&lt;&gt;"",COUNTIFS(C413,"&gt;=36526",C413,"&lt;"&amp;TODAY())+COUNTIFS(D413,"&gt;=36526",D413,"&lt;"&amp;TODAY())+COUNTIFS(E413,"&gt;=36526",E413,"&lt;"&amp;TODAY())+COUNTIFS(F413,"&gt;=36526",F413,"&lt;"&amp;TODAY())&gt;0),O413,"")</x:f>
      </x:c>
      <x:c r="K413" t="str">
        <x:f>IF(AND(A413&lt;&gt;"",COUNTIFS(C413,"&gt;=36526",C413,TODAY())+COUNTIFS(D413,"&gt;=36526",D413,TODAY())+COUNTIFS(E413,"&gt;=36526",E413,TODAY())+COUNTIFS(F413,"&gt;=36526",F413,TODAY())&gt;0),P413,"")</x:f>
      </x:c>
      <x:c r="L413" t="str">
        <x:f>IF(AND(A413&lt;&gt;"",COUNTIFS(C413,"&gt;"&amp;TODAY(),C413,"&lt;="&amp;TODAY()+30)+COUNTIFS(D413,"&gt;"&amp;TODAY(),D413,"&lt;="&amp;TODAY()+30)+COUNTIFS(E413,"&gt;"&amp;TODAY(),E413,"&lt;="&amp;TODAY()+30)+COUNTIFS(F413,"&gt;"&amp;TODAY(),F413,"&lt;="&amp;TODAY()+30)&gt;0),Q413,"")</x:f>
      </x:c>
      <x:c r="M413" t="str">
        <x:f>IF(OR(LEFT(H413,15)="Missing dates; ",LEFT(H413,16)="Add N/A reason; ",H413="Add dates",H413="Add registration",H413="Check date format"),R413,"")</x:f>
      </x:c>
      <x:c r="N413" t="str">
        <x:f>IF(COUNTIFS(C413:F413,"Reviewed N/A")&gt;0,S413,"")</x:f>
      </x:c>
      <x:c r="O413" t="n">
        <x:f>O412+IF(AND(A413&lt;&gt;"",COUNTIFS(C413,"&gt;=36526",C413,"&lt;"&amp;TODAY())+COUNTIFS(D413,"&gt;=36526",D413,"&lt;"&amp;TODAY())+COUNTIFS(E413,"&gt;=36526",E413,"&lt;"&amp;TODAY())+COUNTIFS(F413,"&gt;=36526",F413,"&lt;"&amp;TODAY())&gt;0),1,0)</x:f>
        <x:v>0</x:v>
      </x:c>
      <x:c r="P413" t="n">
        <x:f>P412+IF(AND(A413&lt;&gt;"",COUNTIFS(C413,"&gt;=36526",C413,TODAY())+COUNTIFS(D413,"&gt;=36526",D413,TODAY())+COUNTIFS(E413,"&gt;=36526",E413,TODAY())+COUNTIFS(F413,"&gt;=36526",F413,TODAY())&gt;0),1,0)</x:f>
        <x:v>0</x:v>
      </x:c>
      <x:c r="Q413" t="n">
        <x:f>Q412+IF(AND(A413&lt;&gt;"",COUNTIFS(C413,"&gt;"&amp;TODAY(),C413,"&lt;="&amp;TODAY()+30)+COUNTIFS(D413,"&gt;"&amp;TODAY(),D413,"&lt;="&amp;TODAY()+30)+COUNTIFS(E413,"&gt;"&amp;TODAY(),E413,"&lt;="&amp;TODAY()+30)+COUNTIFS(F413,"&gt;"&amp;TODAY(),F413,"&lt;="&amp;TODAY()+30)&gt;0),1,0)</x:f>
        <x:v>0</x:v>
      </x:c>
      <x:c r="R413" t="n">
        <x:f>R412+IF(OR(LEFT(H413,15)="Missing dates; ",LEFT(H413,16)="Add N/A reason; ",H413="Add dates",H413="Add registration",H413="Check date format"),1,0)</x:f>
        <x:v>0</x:v>
      </x:c>
      <x:c r="S413" t="n">
        <x:f>S412+IF(COUNTIFS(C413:F413,"Reviewed N/A")&gt;0,1,0)</x:f>
        <x:v>0</x:v>
      </x:c>
    </x:row>
    <x:row r="414" ht="48" customHeight="1">
      <x:c r="A414" s="52"/>
      <x:c r="B414" s="52"/>
      <x:c r="C414" s="53"/>
      <x:c r="D414" s="53"/>
      <x:c r="E414" s="53"/>
      <x:c r="F414" s="53"/>
      <x:c r="G414" s="52"/>
      <x:c r="H414" s="21" t="str">
        <x:f>IF(COUNTA(A414:G414,I414)=0,"",IF(A414="","Add registration",IF(OR(COUNTA(C414:F414)&gt;COUNT(C414:F414)+COUNTIFS(C414:F414,"Reviewed N/A"),AND(COUNT(C414:F414)&gt;0,OR(MIN(C414:F414)&lt;36526,MAX(C414:F414)&gt;109574))),"Check date format",IF(AND(COUNTIFS(C414:F414,"Reviewed N/A")&gt;0,I414=""),"Add N/A reason; ","")&amp;IF(COUNT(C414:F414)=0,IF(COUNTIFS(C414:F414,"Reviewed N/A")=4,"No applicable dates recorded","Add dates"),IF(COUNT(C414:F414)+COUNTIFS(C414:F414,"Reviewed N/A")&lt;4,"Missing dates; ","")&amp;IF(MIN(C414:F414)&lt;TODAY(),"Overdue: ",IF(MIN(C414:F414)=TODAY(),"Due today: ",IF(MIN(C414:F414)&lt;=TODAY()+30,"Due within 30 days: ","Next: ")))&amp;INDEX($C$8:$F$8,1,MATCH(MIN(C414:F414),C414:F414,0))&amp;" "&amp;TEXT(MIN(C414:F414),"dd mmm yyyy")))))</x:f>
      </x:c>
      <x:c r="I414" s="52"/>
      <x:c r="J414" t="str">
        <x:f>IF(AND(A414&lt;&gt;"",COUNTIFS(C414,"&gt;=36526",C414,"&lt;"&amp;TODAY())+COUNTIFS(D414,"&gt;=36526",D414,"&lt;"&amp;TODAY())+COUNTIFS(E414,"&gt;=36526",E414,"&lt;"&amp;TODAY())+COUNTIFS(F414,"&gt;=36526",F414,"&lt;"&amp;TODAY())&gt;0),O414,"")</x:f>
      </x:c>
      <x:c r="K414" t="str">
        <x:f>IF(AND(A414&lt;&gt;"",COUNTIFS(C414,"&gt;=36526",C414,TODAY())+COUNTIFS(D414,"&gt;=36526",D414,TODAY())+COUNTIFS(E414,"&gt;=36526",E414,TODAY())+COUNTIFS(F414,"&gt;=36526",F414,TODAY())&gt;0),P414,"")</x:f>
      </x:c>
      <x:c r="L414" t="str">
        <x:f>IF(AND(A414&lt;&gt;"",COUNTIFS(C414,"&gt;"&amp;TODAY(),C414,"&lt;="&amp;TODAY()+30)+COUNTIFS(D414,"&gt;"&amp;TODAY(),D414,"&lt;="&amp;TODAY()+30)+COUNTIFS(E414,"&gt;"&amp;TODAY(),E414,"&lt;="&amp;TODAY()+30)+COUNTIFS(F414,"&gt;"&amp;TODAY(),F414,"&lt;="&amp;TODAY()+30)&gt;0),Q414,"")</x:f>
      </x:c>
      <x:c r="M414" t="str">
        <x:f>IF(OR(LEFT(H414,15)="Missing dates; ",LEFT(H414,16)="Add N/A reason; ",H414="Add dates",H414="Add registration",H414="Check date format"),R414,"")</x:f>
      </x:c>
      <x:c r="N414" t="str">
        <x:f>IF(COUNTIFS(C414:F414,"Reviewed N/A")&gt;0,S414,"")</x:f>
      </x:c>
      <x:c r="O414" t="n">
        <x:f>O413+IF(AND(A414&lt;&gt;"",COUNTIFS(C414,"&gt;=36526",C414,"&lt;"&amp;TODAY())+COUNTIFS(D414,"&gt;=36526",D414,"&lt;"&amp;TODAY())+COUNTIFS(E414,"&gt;=36526",E414,"&lt;"&amp;TODAY())+COUNTIFS(F414,"&gt;=36526",F414,"&lt;"&amp;TODAY())&gt;0),1,0)</x:f>
        <x:v>0</x:v>
      </x:c>
      <x:c r="P414" t="n">
        <x:f>P413+IF(AND(A414&lt;&gt;"",COUNTIFS(C414,"&gt;=36526",C414,TODAY())+COUNTIFS(D414,"&gt;=36526",D414,TODAY())+COUNTIFS(E414,"&gt;=36526",E414,TODAY())+COUNTIFS(F414,"&gt;=36526",F414,TODAY())&gt;0),1,0)</x:f>
        <x:v>0</x:v>
      </x:c>
      <x:c r="Q414" t="n">
        <x:f>Q413+IF(AND(A414&lt;&gt;"",COUNTIFS(C414,"&gt;"&amp;TODAY(),C414,"&lt;="&amp;TODAY()+30)+COUNTIFS(D414,"&gt;"&amp;TODAY(),D414,"&lt;="&amp;TODAY()+30)+COUNTIFS(E414,"&gt;"&amp;TODAY(),E414,"&lt;="&amp;TODAY()+30)+COUNTIFS(F414,"&gt;"&amp;TODAY(),F414,"&lt;="&amp;TODAY()+30)&gt;0),1,0)</x:f>
        <x:v>0</x:v>
      </x:c>
      <x:c r="R414" t="n">
        <x:f>R413+IF(OR(LEFT(H414,15)="Missing dates; ",LEFT(H414,16)="Add N/A reason; ",H414="Add dates",H414="Add registration",H414="Check date format"),1,0)</x:f>
        <x:v>0</x:v>
      </x:c>
      <x:c r="S414" t="n">
        <x:f>S413+IF(COUNTIFS(C414:F414,"Reviewed N/A")&gt;0,1,0)</x:f>
        <x:v>0</x:v>
      </x:c>
    </x:row>
    <x:row r="415" ht="48" customHeight="1">
      <x:c r="A415" s="52"/>
      <x:c r="B415" s="52"/>
      <x:c r="C415" s="53"/>
      <x:c r="D415" s="53"/>
      <x:c r="E415" s="53"/>
      <x:c r="F415" s="53"/>
      <x:c r="G415" s="52"/>
      <x:c r="H415" s="21" t="str">
        <x:f>IF(COUNTA(A415:G415,I415)=0,"",IF(A415="","Add registration",IF(OR(COUNTA(C415:F415)&gt;COUNT(C415:F415)+COUNTIFS(C415:F415,"Reviewed N/A"),AND(COUNT(C415:F415)&gt;0,OR(MIN(C415:F415)&lt;36526,MAX(C415:F415)&gt;109574))),"Check date format",IF(AND(COUNTIFS(C415:F415,"Reviewed N/A")&gt;0,I415=""),"Add N/A reason; ","")&amp;IF(COUNT(C415:F415)=0,IF(COUNTIFS(C415:F415,"Reviewed N/A")=4,"No applicable dates recorded","Add dates"),IF(COUNT(C415:F415)+COUNTIFS(C415:F415,"Reviewed N/A")&lt;4,"Missing dates; ","")&amp;IF(MIN(C415:F415)&lt;TODAY(),"Overdue: ",IF(MIN(C415:F415)=TODAY(),"Due today: ",IF(MIN(C415:F415)&lt;=TODAY()+30,"Due within 30 days: ","Next: ")))&amp;INDEX($C$8:$F$8,1,MATCH(MIN(C415:F415),C415:F415,0))&amp;" "&amp;TEXT(MIN(C415:F415),"dd mmm yyyy")))))</x:f>
      </x:c>
      <x:c r="I415" s="52"/>
      <x:c r="J415" t="str">
        <x:f>IF(AND(A415&lt;&gt;"",COUNTIFS(C415,"&gt;=36526",C415,"&lt;"&amp;TODAY())+COUNTIFS(D415,"&gt;=36526",D415,"&lt;"&amp;TODAY())+COUNTIFS(E415,"&gt;=36526",E415,"&lt;"&amp;TODAY())+COUNTIFS(F415,"&gt;=36526",F415,"&lt;"&amp;TODAY())&gt;0),O415,"")</x:f>
      </x:c>
      <x:c r="K415" t="str">
        <x:f>IF(AND(A415&lt;&gt;"",COUNTIFS(C415,"&gt;=36526",C415,TODAY())+COUNTIFS(D415,"&gt;=36526",D415,TODAY())+COUNTIFS(E415,"&gt;=36526",E415,TODAY())+COUNTIFS(F415,"&gt;=36526",F415,TODAY())&gt;0),P415,"")</x:f>
      </x:c>
      <x:c r="L415" t="str">
        <x:f>IF(AND(A415&lt;&gt;"",COUNTIFS(C415,"&gt;"&amp;TODAY(),C415,"&lt;="&amp;TODAY()+30)+COUNTIFS(D415,"&gt;"&amp;TODAY(),D415,"&lt;="&amp;TODAY()+30)+COUNTIFS(E415,"&gt;"&amp;TODAY(),E415,"&lt;="&amp;TODAY()+30)+COUNTIFS(F415,"&gt;"&amp;TODAY(),F415,"&lt;="&amp;TODAY()+30)&gt;0),Q415,"")</x:f>
      </x:c>
      <x:c r="M415" t="str">
        <x:f>IF(OR(LEFT(H415,15)="Missing dates; ",LEFT(H415,16)="Add N/A reason; ",H415="Add dates",H415="Add registration",H415="Check date format"),R415,"")</x:f>
      </x:c>
      <x:c r="N415" t="str">
        <x:f>IF(COUNTIFS(C415:F415,"Reviewed N/A")&gt;0,S415,"")</x:f>
      </x:c>
      <x:c r="O415" t="n">
        <x:f>O414+IF(AND(A415&lt;&gt;"",COUNTIFS(C415,"&gt;=36526",C415,"&lt;"&amp;TODAY())+COUNTIFS(D415,"&gt;=36526",D415,"&lt;"&amp;TODAY())+COUNTIFS(E415,"&gt;=36526",E415,"&lt;"&amp;TODAY())+COUNTIFS(F415,"&gt;=36526",F415,"&lt;"&amp;TODAY())&gt;0),1,0)</x:f>
        <x:v>0</x:v>
      </x:c>
      <x:c r="P415" t="n">
        <x:f>P414+IF(AND(A415&lt;&gt;"",COUNTIFS(C415,"&gt;=36526",C415,TODAY())+COUNTIFS(D415,"&gt;=36526",D415,TODAY())+COUNTIFS(E415,"&gt;=36526",E415,TODAY())+COUNTIFS(F415,"&gt;=36526",F415,TODAY())&gt;0),1,0)</x:f>
        <x:v>0</x:v>
      </x:c>
      <x:c r="Q415" t="n">
        <x:f>Q414+IF(AND(A415&lt;&gt;"",COUNTIFS(C415,"&gt;"&amp;TODAY(),C415,"&lt;="&amp;TODAY()+30)+COUNTIFS(D415,"&gt;"&amp;TODAY(),D415,"&lt;="&amp;TODAY()+30)+COUNTIFS(E415,"&gt;"&amp;TODAY(),E415,"&lt;="&amp;TODAY()+30)+COUNTIFS(F415,"&gt;"&amp;TODAY(),F415,"&lt;="&amp;TODAY()+30)&gt;0),1,0)</x:f>
        <x:v>0</x:v>
      </x:c>
      <x:c r="R415" t="n">
        <x:f>R414+IF(OR(LEFT(H415,15)="Missing dates; ",LEFT(H415,16)="Add N/A reason; ",H415="Add dates",H415="Add registration",H415="Check date format"),1,0)</x:f>
        <x:v>0</x:v>
      </x:c>
      <x:c r="S415" t="n">
        <x:f>S414+IF(COUNTIFS(C415:F415,"Reviewed N/A")&gt;0,1,0)</x:f>
        <x:v>0</x:v>
      </x:c>
    </x:row>
    <x:row r="416" ht="48" customHeight="1">
      <x:c r="A416" s="52"/>
      <x:c r="B416" s="52"/>
      <x:c r="C416" s="53"/>
      <x:c r="D416" s="53"/>
      <x:c r="E416" s="53"/>
      <x:c r="F416" s="53"/>
      <x:c r="G416" s="52"/>
      <x:c r="H416" s="21" t="str">
        <x:f>IF(COUNTA(A416:G416,I416)=0,"",IF(A416="","Add registration",IF(OR(COUNTA(C416:F416)&gt;COUNT(C416:F416)+COUNTIFS(C416:F416,"Reviewed N/A"),AND(COUNT(C416:F416)&gt;0,OR(MIN(C416:F416)&lt;36526,MAX(C416:F416)&gt;109574))),"Check date format",IF(AND(COUNTIFS(C416:F416,"Reviewed N/A")&gt;0,I416=""),"Add N/A reason; ","")&amp;IF(COUNT(C416:F416)=0,IF(COUNTIFS(C416:F416,"Reviewed N/A")=4,"No applicable dates recorded","Add dates"),IF(COUNT(C416:F416)+COUNTIFS(C416:F416,"Reviewed N/A")&lt;4,"Missing dates; ","")&amp;IF(MIN(C416:F416)&lt;TODAY(),"Overdue: ",IF(MIN(C416:F416)=TODAY(),"Due today: ",IF(MIN(C416:F416)&lt;=TODAY()+30,"Due within 30 days: ","Next: ")))&amp;INDEX($C$8:$F$8,1,MATCH(MIN(C416:F416),C416:F416,0))&amp;" "&amp;TEXT(MIN(C416:F416),"dd mmm yyyy")))))</x:f>
      </x:c>
      <x:c r="I416" s="52"/>
      <x:c r="J416" t="str">
        <x:f>IF(AND(A416&lt;&gt;"",COUNTIFS(C416,"&gt;=36526",C416,"&lt;"&amp;TODAY())+COUNTIFS(D416,"&gt;=36526",D416,"&lt;"&amp;TODAY())+COUNTIFS(E416,"&gt;=36526",E416,"&lt;"&amp;TODAY())+COUNTIFS(F416,"&gt;=36526",F416,"&lt;"&amp;TODAY())&gt;0),O416,"")</x:f>
      </x:c>
      <x:c r="K416" t="str">
        <x:f>IF(AND(A416&lt;&gt;"",COUNTIFS(C416,"&gt;=36526",C416,TODAY())+COUNTIFS(D416,"&gt;=36526",D416,TODAY())+COUNTIFS(E416,"&gt;=36526",E416,TODAY())+COUNTIFS(F416,"&gt;=36526",F416,TODAY())&gt;0),P416,"")</x:f>
      </x:c>
      <x:c r="L416" t="str">
        <x:f>IF(AND(A416&lt;&gt;"",COUNTIFS(C416,"&gt;"&amp;TODAY(),C416,"&lt;="&amp;TODAY()+30)+COUNTIFS(D416,"&gt;"&amp;TODAY(),D416,"&lt;="&amp;TODAY()+30)+COUNTIFS(E416,"&gt;"&amp;TODAY(),E416,"&lt;="&amp;TODAY()+30)+COUNTIFS(F416,"&gt;"&amp;TODAY(),F416,"&lt;="&amp;TODAY()+30)&gt;0),Q416,"")</x:f>
      </x:c>
      <x:c r="M416" t="str">
        <x:f>IF(OR(LEFT(H416,15)="Missing dates; ",LEFT(H416,16)="Add N/A reason; ",H416="Add dates",H416="Add registration",H416="Check date format"),R416,"")</x:f>
      </x:c>
      <x:c r="N416" t="str">
        <x:f>IF(COUNTIFS(C416:F416,"Reviewed N/A")&gt;0,S416,"")</x:f>
      </x:c>
      <x:c r="O416" t="n">
        <x:f>O415+IF(AND(A416&lt;&gt;"",COUNTIFS(C416,"&gt;=36526",C416,"&lt;"&amp;TODAY())+COUNTIFS(D416,"&gt;=36526",D416,"&lt;"&amp;TODAY())+COUNTIFS(E416,"&gt;=36526",E416,"&lt;"&amp;TODAY())+COUNTIFS(F416,"&gt;=36526",F416,"&lt;"&amp;TODAY())&gt;0),1,0)</x:f>
        <x:v>0</x:v>
      </x:c>
      <x:c r="P416" t="n">
        <x:f>P415+IF(AND(A416&lt;&gt;"",COUNTIFS(C416,"&gt;=36526",C416,TODAY())+COUNTIFS(D416,"&gt;=36526",D416,TODAY())+COUNTIFS(E416,"&gt;=36526",E416,TODAY())+COUNTIFS(F416,"&gt;=36526",F416,TODAY())&gt;0),1,0)</x:f>
        <x:v>0</x:v>
      </x:c>
      <x:c r="Q416" t="n">
        <x:f>Q415+IF(AND(A416&lt;&gt;"",COUNTIFS(C416,"&gt;"&amp;TODAY(),C416,"&lt;="&amp;TODAY()+30)+COUNTIFS(D416,"&gt;"&amp;TODAY(),D416,"&lt;="&amp;TODAY()+30)+COUNTIFS(E416,"&gt;"&amp;TODAY(),E416,"&lt;="&amp;TODAY()+30)+COUNTIFS(F416,"&gt;"&amp;TODAY(),F416,"&lt;="&amp;TODAY()+30)&gt;0),1,0)</x:f>
        <x:v>0</x:v>
      </x:c>
      <x:c r="R416" t="n">
        <x:f>R415+IF(OR(LEFT(H416,15)="Missing dates; ",LEFT(H416,16)="Add N/A reason; ",H416="Add dates",H416="Add registration",H416="Check date format"),1,0)</x:f>
        <x:v>0</x:v>
      </x:c>
      <x:c r="S416" t="n">
        <x:f>S415+IF(COUNTIFS(C416:F416,"Reviewed N/A")&gt;0,1,0)</x:f>
        <x:v>0</x:v>
      </x:c>
    </x:row>
    <x:row r="417" ht="48" customHeight="1">
      <x:c r="A417" s="52"/>
      <x:c r="B417" s="52"/>
      <x:c r="C417" s="53"/>
      <x:c r="D417" s="53"/>
      <x:c r="E417" s="53"/>
      <x:c r="F417" s="53"/>
      <x:c r="G417" s="52"/>
      <x:c r="H417" s="21" t="str">
        <x:f>IF(COUNTA(A417:G417,I417)=0,"",IF(A417="","Add registration",IF(OR(COUNTA(C417:F417)&gt;COUNT(C417:F417)+COUNTIFS(C417:F417,"Reviewed N/A"),AND(COUNT(C417:F417)&gt;0,OR(MIN(C417:F417)&lt;36526,MAX(C417:F417)&gt;109574))),"Check date format",IF(AND(COUNTIFS(C417:F417,"Reviewed N/A")&gt;0,I417=""),"Add N/A reason; ","")&amp;IF(COUNT(C417:F417)=0,IF(COUNTIFS(C417:F417,"Reviewed N/A")=4,"No applicable dates recorded","Add dates"),IF(COUNT(C417:F417)+COUNTIFS(C417:F417,"Reviewed N/A")&lt;4,"Missing dates; ","")&amp;IF(MIN(C417:F417)&lt;TODAY(),"Overdue: ",IF(MIN(C417:F417)=TODAY(),"Due today: ",IF(MIN(C417:F417)&lt;=TODAY()+30,"Due within 30 days: ","Next: ")))&amp;INDEX($C$8:$F$8,1,MATCH(MIN(C417:F417),C417:F417,0))&amp;" "&amp;TEXT(MIN(C417:F417),"dd mmm yyyy")))))</x:f>
      </x:c>
      <x:c r="I417" s="52"/>
      <x:c r="J417" t="str">
        <x:f>IF(AND(A417&lt;&gt;"",COUNTIFS(C417,"&gt;=36526",C417,"&lt;"&amp;TODAY())+COUNTIFS(D417,"&gt;=36526",D417,"&lt;"&amp;TODAY())+COUNTIFS(E417,"&gt;=36526",E417,"&lt;"&amp;TODAY())+COUNTIFS(F417,"&gt;=36526",F417,"&lt;"&amp;TODAY())&gt;0),O417,"")</x:f>
      </x:c>
      <x:c r="K417" t="str">
        <x:f>IF(AND(A417&lt;&gt;"",COUNTIFS(C417,"&gt;=36526",C417,TODAY())+COUNTIFS(D417,"&gt;=36526",D417,TODAY())+COUNTIFS(E417,"&gt;=36526",E417,TODAY())+COUNTIFS(F417,"&gt;=36526",F417,TODAY())&gt;0),P417,"")</x:f>
      </x:c>
      <x:c r="L417" t="str">
        <x:f>IF(AND(A417&lt;&gt;"",COUNTIFS(C417,"&gt;"&amp;TODAY(),C417,"&lt;="&amp;TODAY()+30)+COUNTIFS(D417,"&gt;"&amp;TODAY(),D417,"&lt;="&amp;TODAY()+30)+COUNTIFS(E417,"&gt;"&amp;TODAY(),E417,"&lt;="&amp;TODAY()+30)+COUNTIFS(F417,"&gt;"&amp;TODAY(),F417,"&lt;="&amp;TODAY()+30)&gt;0),Q417,"")</x:f>
      </x:c>
      <x:c r="M417" t="str">
        <x:f>IF(OR(LEFT(H417,15)="Missing dates; ",LEFT(H417,16)="Add N/A reason; ",H417="Add dates",H417="Add registration",H417="Check date format"),R417,"")</x:f>
      </x:c>
      <x:c r="N417" t="str">
        <x:f>IF(COUNTIFS(C417:F417,"Reviewed N/A")&gt;0,S417,"")</x:f>
      </x:c>
      <x:c r="O417" t="n">
        <x:f>O416+IF(AND(A417&lt;&gt;"",COUNTIFS(C417,"&gt;=36526",C417,"&lt;"&amp;TODAY())+COUNTIFS(D417,"&gt;=36526",D417,"&lt;"&amp;TODAY())+COUNTIFS(E417,"&gt;=36526",E417,"&lt;"&amp;TODAY())+COUNTIFS(F417,"&gt;=36526",F417,"&lt;"&amp;TODAY())&gt;0),1,0)</x:f>
        <x:v>0</x:v>
      </x:c>
      <x:c r="P417" t="n">
        <x:f>P416+IF(AND(A417&lt;&gt;"",COUNTIFS(C417,"&gt;=36526",C417,TODAY())+COUNTIFS(D417,"&gt;=36526",D417,TODAY())+COUNTIFS(E417,"&gt;=36526",E417,TODAY())+COUNTIFS(F417,"&gt;=36526",F417,TODAY())&gt;0),1,0)</x:f>
        <x:v>0</x:v>
      </x:c>
      <x:c r="Q417" t="n">
        <x:f>Q416+IF(AND(A417&lt;&gt;"",COUNTIFS(C417,"&gt;"&amp;TODAY(),C417,"&lt;="&amp;TODAY()+30)+COUNTIFS(D417,"&gt;"&amp;TODAY(),D417,"&lt;="&amp;TODAY()+30)+COUNTIFS(E417,"&gt;"&amp;TODAY(),E417,"&lt;="&amp;TODAY()+30)+COUNTIFS(F417,"&gt;"&amp;TODAY(),F417,"&lt;="&amp;TODAY()+30)&gt;0),1,0)</x:f>
        <x:v>0</x:v>
      </x:c>
      <x:c r="R417" t="n">
        <x:f>R416+IF(OR(LEFT(H417,15)="Missing dates; ",LEFT(H417,16)="Add N/A reason; ",H417="Add dates",H417="Add registration",H417="Check date format"),1,0)</x:f>
        <x:v>0</x:v>
      </x:c>
      <x:c r="S417" t="n">
        <x:f>S416+IF(COUNTIFS(C417:F417,"Reviewed N/A")&gt;0,1,0)</x:f>
        <x:v>0</x:v>
      </x:c>
    </x:row>
    <x:row r="418" ht="48" customHeight="1">
      <x:c r="A418" s="52"/>
      <x:c r="B418" s="52"/>
      <x:c r="C418" s="53"/>
      <x:c r="D418" s="53"/>
      <x:c r="E418" s="53"/>
      <x:c r="F418" s="53"/>
      <x:c r="G418" s="52"/>
      <x:c r="H418" s="21" t="str">
        <x:f>IF(COUNTA(A418:G418,I418)=0,"",IF(A418="","Add registration",IF(OR(COUNTA(C418:F418)&gt;COUNT(C418:F418)+COUNTIFS(C418:F418,"Reviewed N/A"),AND(COUNT(C418:F418)&gt;0,OR(MIN(C418:F418)&lt;36526,MAX(C418:F418)&gt;109574))),"Check date format",IF(AND(COUNTIFS(C418:F418,"Reviewed N/A")&gt;0,I418=""),"Add N/A reason; ","")&amp;IF(COUNT(C418:F418)=0,IF(COUNTIFS(C418:F418,"Reviewed N/A")=4,"No applicable dates recorded","Add dates"),IF(COUNT(C418:F418)+COUNTIFS(C418:F418,"Reviewed N/A")&lt;4,"Missing dates; ","")&amp;IF(MIN(C418:F418)&lt;TODAY(),"Overdue: ",IF(MIN(C418:F418)=TODAY(),"Due today: ",IF(MIN(C418:F418)&lt;=TODAY()+30,"Due within 30 days: ","Next: ")))&amp;INDEX($C$8:$F$8,1,MATCH(MIN(C418:F418),C418:F418,0))&amp;" "&amp;TEXT(MIN(C418:F418),"dd mmm yyyy")))))</x:f>
      </x:c>
      <x:c r="I418" s="52"/>
      <x:c r="J418" t="str">
        <x:f>IF(AND(A418&lt;&gt;"",COUNTIFS(C418,"&gt;=36526",C418,"&lt;"&amp;TODAY())+COUNTIFS(D418,"&gt;=36526",D418,"&lt;"&amp;TODAY())+COUNTIFS(E418,"&gt;=36526",E418,"&lt;"&amp;TODAY())+COUNTIFS(F418,"&gt;=36526",F418,"&lt;"&amp;TODAY())&gt;0),O418,"")</x:f>
      </x:c>
      <x:c r="K418" t="str">
        <x:f>IF(AND(A418&lt;&gt;"",COUNTIFS(C418,"&gt;=36526",C418,TODAY())+COUNTIFS(D418,"&gt;=36526",D418,TODAY())+COUNTIFS(E418,"&gt;=36526",E418,TODAY())+COUNTIFS(F418,"&gt;=36526",F418,TODAY())&gt;0),P418,"")</x:f>
      </x:c>
      <x:c r="L418" t="str">
        <x:f>IF(AND(A418&lt;&gt;"",COUNTIFS(C418,"&gt;"&amp;TODAY(),C418,"&lt;="&amp;TODAY()+30)+COUNTIFS(D418,"&gt;"&amp;TODAY(),D418,"&lt;="&amp;TODAY()+30)+COUNTIFS(E418,"&gt;"&amp;TODAY(),E418,"&lt;="&amp;TODAY()+30)+COUNTIFS(F418,"&gt;"&amp;TODAY(),F418,"&lt;="&amp;TODAY()+30)&gt;0),Q418,"")</x:f>
      </x:c>
      <x:c r="M418" t="str">
        <x:f>IF(OR(LEFT(H418,15)="Missing dates; ",LEFT(H418,16)="Add N/A reason; ",H418="Add dates",H418="Add registration",H418="Check date format"),R418,"")</x:f>
      </x:c>
      <x:c r="N418" t="str">
        <x:f>IF(COUNTIFS(C418:F418,"Reviewed N/A")&gt;0,S418,"")</x:f>
      </x:c>
      <x:c r="O418" t="n">
        <x:f>O417+IF(AND(A418&lt;&gt;"",COUNTIFS(C418,"&gt;=36526",C418,"&lt;"&amp;TODAY())+COUNTIFS(D418,"&gt;=36526",D418,"&lt;"&amp;TODAY())+COUNTIFS(E418,"&gt;=36526",E418,"&lt;"&amp;TODAY())+COUNTIFS(F418,"&gt;=36526",F418,"&lt;"&amp;TODAY())&gt;0),1,0)</x:f>
        <x:v>0</x:v>
      </x:c>
      <x:c r="P418" t="n">
        <x:f>P417+IF(AND(A418&lt;&gt;"",COUNTIFS(C418,"&gt;=36526",C418,TODAY())+COUNTIFS(D418,"&gt;=36526",D418,TODAY())+COUNTIFS(E418,"&gt;=36526",E418,TODAY())+COUNTIFS(F418,"&gt;=36526",F418,TODAY())&gt;0),1,0)</x:f>
        <x:v>0</x:v>
      </x:c>
      <x:c r="Q418" t="n">
        <x:f>Q417+IF(AND(A418&lt;&gt;"",COUNTIFS(C418,"&gt;"&amp;TODAY(),C418,"&lt;="&amp;TODAY()+30)+COUNTIFS(D418,"&gt;"&amp;TODAY(),D418,"&lt;="&amp;TODAY()+30)+COUNTIFS(E418,"&gt;"&amp;TODAY(),E418,"&lt;="&amp;TODAY()+30)+COUNTIFS(F418,"&gt;"&amp;TODAY(),F418,"&lt;="&amp;TODAY()+30)&gt;0),1,0)</x:f>
        <x:v>0</x:v>
      </x:c>
      <x:c r="R418" t="n">
        <x:f>R417+IF(OR(LEFT(H418,15)="Missing dates; ",LEFT(H418,16)="Add N/A reason; ",H418="Add dates",H418="Add registration",H418="Check date format"),1,0)</x:f>
        <x:v>0</x:v>
      </x:c>
      <x:c r="S418" t="n">
        <x:f>S417+IF(COUNTIFS(C418:F418,"Reviewed N/A")&gt;0,1,0)</x:f>
        <x:v>0</x:v>
      </x:c>
    </x:row>
    <x:row r="419" ht="48" customHeight="1">
      <x:c r="A419" s="52"/>
      <x:c r="B419" s="52"/>
      <x:c r="C419" s="53"/>
      <x:c r="D419" s="53"/>
      <x:c r="E419" s="53"/>
      <x:c r="F419" s="53"/>
      <x:c r="G419" s="52"/>
      <x:c r="H419" s="21" t="str">
        <x:f>IF(COUNTA(A419:G419,I419)=0,"",IF(A419="","Add registration",IF(OR(COUNTA(C419:F419)&gt;COUNT(C419:F419)+COUNTIFS(C419:F419,"Reviewed N/A"),AND(COUNT(C419:F419)&gt;0,OR(MIN(C419:F419)&lt;36526,MAX(C419:F419)&gt;109574))),"Check date format",IF(AND(COUNTIFS(C419:F419,"Reviewed N/A")&gt;0,I419=""),"Add N/A reason; ","")&amp;IF(COUNT(C419:F419)=0,IF(COUNTIFS(C419:F419,"Reviewed N/A")=4,"No applicable dates recorded","Add dates"),IF(COUNT(C419:F419)+COUNTIFS(C419:F419,"Reviewed N/A")&lt;4,"Missing dates; ","")&amp;IF(MIN(C419:F419)&lt;TODAY(),"Overdue: ",IF(MIN(C419:F419)=TODAY(),"Due today: ",IF(MIN(C419:F419)&lt;=TODAY()+30,"Due within 30 days: ","Next: ")))&amp;INDEX($C$8:$F$8,1,MATCH(MIN(C419:F419),C419:F419,0))&amp;" "&amp;TEXT(MIN(C419:F419),"dd mmm yyyy")))))</x:f>
      </x:c>
      <x:c r="I419" s="52"/>
      <x:c r="J419" t="str">
        <x:f>IF(AND(A419&lt;&gt;"",COUNTIFS(C419,"&gt;=36526",C419,"&lt;"&amp;TODAY())+COUNTIFS(D419,"&gt;=36526",D419,"&lt;"&amp;TODAY())+COUNTIFS(E419,"&gt;=36526",E419,"&lt;"&amp;TODAY())+COUNTIFS(F419,"&gt;=36526",F419,"&lt;"&amp;TODAY())&gt;0),O419,"")</x:f>
      </x:c>
      <x:c r="K419" t="str">
        <x:f>IF(AND(A419&lt;&gt;"",COUNTIFS(C419,"&gt;=36526",C419,TODAY())+COUNTIFS(D419,"&gt;=36526",D419,TODAY())+COUNTIFS(E419,"&gt;=36526",E419,TODAY())+COUNTIFS(F419,"&gt;=36526",F419,TODAY())&gt;0),P419,"")</x:f>
      </x:c>
      <x:c r="L419" t="str">
        <x:f>IF(AND(A419&lt;&gt;"",COUNTIFS(C419,"&gt;"&amp;TODAY(),C419,"&lt;="&amp;TODAY()+30)+COUNTIFS(D419,"&gt;"&amp;TODAY(),D419,"&lt;="&amp;TODAY()+30)+COUNTIFS(E419,"&gt;"&amp;TODAY(),E419,"&lt;="&amp;TODAY()+30)+COUNTIFS(F419,"&gt;"&amp;TODAY(),F419,"&lt;="&amp;TODAY()+30)&gt;0),Q419,"")</x:f>
      </x:c>
      <x:c r="M419" t="str">
        <x:f>IF(OR(LEFT(H419,15)="Missing dates; ",LEFT(H419,16)="Add N/A reason; ",H419="Add dates",H419="Add registration",H419="Check date format"),R419,"")</x:f>
      </x:c>
      <x:c r="N419" t="str">
        <x:f>IF(COUNTIFS(C419:F419,"Reviewed N/A")&gt;0,S419,"")</x:f>
      </x:c>
      <x:c r="O419" t="n">
        <x:f>O418+IF(AND(A419&lt;&gt;"",COUNTIFS(C419,"&gt;=36526",C419,"&lt;"&amp;TODAY())+COUNTIFS(D419,"&gt;=36526",D419,"&lt;"&amp;TODAY())+COUNTIFS(E419,"&gt;=36526",E419,"&lt;"&amp;TODAY())+COUNTIFS(F419,"&gt;=36526",F419,"&lt;"&amp;TODAY())&gt;0),1,0)</x:f>
        <x:v>0</x:v>
      </x:c>
      <x:c r="P419" t="n">
        <x:f>P418+IF(AND(A419&lt;&gt;"",COUNTIFS(C419,"&gt;=36526",C419,TODAY())+COUNTIFS(D419,"&gt;=36526",D419,TODAY())+COUNTIFS(E419,"&gt;=36526",E419,TODAY())+COUNTIFS(F419,"&gt;=36526",F419,TODAY())&gt;0),1,0)</x:f>
        <x:v>0</x:v>
      </x:c>
      <x:c r="Q419" t="n">
        <x:f>Q418+IF(AND(A419&lt;&gt;"",COUNTIFS(C419,"&gt;"&amp;TODAY(),C419,"&lt;="&amp;TODAY()+30)+COUNTIFS(D419,"&gt;"&amp;TODAY(),D419,"&lt;="&amp;TODAY()+30)+COUNTIFS(E419,"&gt;"&amp;TODAY(),E419,"&lt;="&amp;TODAY()+30)+COUNTIFS(F419,"&gt;"&amp;TODAY(),F419,"&lt;="&amp;TODAY()+30)&gt;0),1,0)</x:f>
        <x:v>0</x:v>
      </x:c>
      <x:c r="R419" t="n">
        <x:f>R418+IF(OR(LEFT(H419,15)="Missing dates; ",LEFT(H419,16)="Add N/A reason; ",H419="Add dates",H419="Add registration",H419="Check date format"),1,0)</x:f>
        <x:v>0</x:v>
      </x:c>
      <x:c r="S419" t="n">
        <x:f>S418+IF(COUNTIFS(C419:F419,"Reviewed N/A")&gt;0,1,0)</x:f>
        <x:v>0</x:v>
      </x:c>
    </x:row>
    <x:row r="420" ht="48" customHeight="1">
      <x:c r="A420" s="52"/>
      <x:c r="B420" s="52"/>
      <x:c r="C420" s="53"/>
      <x:c r="D420" s="53"/>
      <x:c r="E420" s="53"/>
      <x:c r="F420" s="53"/>
      <x:c r="G420" s="52"/>
      <x:c r="H420" s="21" t="str">
        <x:f>IF(COUNTA(A420:G420,I420)=0,"",IF(A420="","Add registration",IF(OR(COUNTA(C420:F420)&gt;COUNT(C420:F420)+COUNTIFS(C420:F420,"Reviewed N/A"),AND(COUNT(C420:F420)&gt;0,OR(MIN(C420:F420)&lt;36526,MAX(C420:F420)&gt;109574))),"Check date format",IF(AND(COUNTIFS(C420:F420,"Reviewed N/A")&gt;0,I420=""),"Add N/A reason; ","")&amp;IF(COUNT(C420:F420)=0,IF(COUNTIFS(C420:F420,"Reviewed N/A")=4,"No applicable dates recorded","Add dates"),IF(COUNT(C420:F420)+COUNTIFS(C420:F420,"Reviewed N/A")&lt;4,"Missing dates; ","")&amp;IF(MIN(C420:F420)&lt;TODAY(),"Overdue: ",IF(MIN(C420:F420)=TODAY(),"Due today: ",IF(MIN(C420:F420)&lt;=TODAY()+30,"Due within 30 days: ","Next: ")))&amp;INDEX($C$8:$F$8,1,MATCH(MIN(C420:F420),C420:F420,0))&amp;" "&amp;TEXT(MIN(C420:F420),"dd mmm yyyy")))))</x:f>
      </x:c>
      <x:c r="I420" s="52"/>
      <x:c r="J420" t="str">
        <x:f>IF(AND(A420&lt;&gt;"",COUNTIFS(C420,"&gt;=36526",C420,"&lt;"&amp;TODAY())+COUNTIFS(D420,"&gt;=36526",D420,"&lt;"&amp;TODAY())+COUNTIFS(E420,"&gt;=36526",E420,"&lt;"&amp;TODAY())+COUNTIFS(F420,"&gt;=36526",F420,"&lt;"&amp;TODAY())&gt;0),O420,"")</x:f>
      </x:c>
      <x:c r="K420" t="str">
        <x:f>IF(AND(A420&lt;&gt;"",COUNTIFS(C420,"&gt;=36526",C420,TODAY())+COUNTIFS(D420,"&gt;=36526",D420,TODAY())+COUNTIFS(E420,"&gt;=36526",E420,TODAY())+COUNTIFS(F420,"&gt;=36526",F420,TODAY())&gt;0),P420,"")</x:f>
      </x:c>
      <x:c r="L420" t="str">
        <x:f>IF(AND(A420&lt;&gt;"",COUNTIFS(C420,"&gt;"&amp;TODAY(),C420,"&lt;="&amp;TODAY()+30)+COUNTIFS(D420,"&gt;"&amp;TODAY(),D420,"&lt;="&amp;TODAY()+30)+COUNTIFS(E420,"&gt;"&amp;TODAY(),E420,"&lt;="&amp;TODAY()+30)+COUNTIFS(F420,"&gt;"&amp;TODAY(),F420,"&lt;="&amp;TODAY()+30)&gt;0),Q420,"")</x:f>
      </x:c>
      <x:c r="M420" t="str">
        <x:f>IF(OR(LEFT(H420,15)="Missing dates; ",LEFT(H420,16)="Add N/A reason; ",H420="Add dates",H420="Add registration",H420="Check date format"),R420,"")</x:f>
      </x:c>
      <x:c r="N420" t="str">
        <x:f>IF(COUNTIFS(C420:F420,"Reviewed N/A")&gt;0,S420,"")</x:f>
      </x:c>
      <x:c r="O420" t="n">
        <x:f>O419+IF(AND(A420&lt;&gt;"",COUNTIFS(C420,"&gt;=36526",C420,"&lt;"&amp;TODAY())+COUNTIFS(D420,"&gt;=36526",D420,"&lt;"&amp;TODAY())+COUNTIFS(E420,"&gt;=36526",E420,"&lt;"&amp;TODAY())+COUNTIFS(F420,"&gt;=36526",F420,"&lt;"&amp;TODAY())&gt;0),1,0)</x:f>
        <x:v>0</x:v>
      </x:c>
      <x:c r="P420" t="n">
        <x:f>P419+IF(AND(A420&lt;&gt;"",COUNTIFS(C420,"&gt;=36526",C420,TODAY())+COUNTIFS(D420,"&gt;=36526",D420,TODAY())+COUNTIFS(E420,"&gt;=36526",E420,TODAY())+COUNTIFS(F420,"&gt;=36526",F420,TODAY())&gt;0),1,0)</x:f>
        <x:v>0</x:v>
      </x:c>
      <x:c r="Q420" t="n">
        <x:f>Q419+IF(AND(A420&lt;&gt;"",COUNTIFS(C420,"&gt;"&amp;TODAY(),C420,"&lt;="&amp;TODAY()+30)+COUNTIFS(D420,"&gt;"&amp;TODAY(),D420,"&lt;="&amp;TODAY()+30)+COUNTIFS(E420,"&gt;"&amp;TODAY(),E420,"&lt;="&amp;TODAY()+30)+COUNTIFS(F420,"&gt;"&amp;TODAY(),F420,"&lt;="&amp;TODAY()+30)&gt;0),1,0)</x:f>
        <x:v>0</x:v>
      </x:c>
      <x:c r="R420" t="n">
        <x:f>R419+IF(OR(LEFT(H420,15)="Missing dates; ",LEFT(H420,16)="Add N/A reason; ",H420="Add dates",H420="Add registration",H420="Check date format"),1,0)</x:f>
        <x:v>0</x:v>
      </x:c>
      <x:c r="S420" t="n">
        <x:f>S419+IF(COUNTIFS(C420:F420,"Reviewed N/A")&gt;0,1,0)</x:f>
        <x:v>0</x:v>
      </x:c>
    </x:row>
    <x:row r="421" ht="48" customHeight="1">
      <x:c r="A421" s="52"/>
      <x:c r="B421" s="52"/>
      <x:c r="C421" s="53"/>
      <x:c r="D421" s="53"/>
      <x:c r="E421" s="53"/>
      <x:c r="F421" s="53"/>
      <x:c r="G421" s="52"/>
      <x:c r="H421" s="21" t="str">
        <x:f>IF(COUNTA(A421:G421,I421)=0,"",IF(A421="","Add registration",IF(OR(COUNTA(C421:F421)&gt;COUNT(C421:F421)+COUNTIFS(C421:F421,"Reviewed N/A"),AND(COUNT(C421:F421)&gt;0,OR(MIN(C421:F421)&lt;36526,MAX(C421:F421)&gt;109574))),"Check date format",IF(AND(COUNTIFS(C421:F421,"Reviewed N/A")&gt;0,I421=""),"Add N/A reason; ","")&amp;IF(COUNT(C421:F421)=0,IF(COUNTIFS(C421:F421,"Reviewed N/A")=4,"No applicable dates recorded","Add dates"),IF(COUNT(C421:F421)+COUNTIFS(C421:F421,"Reviewed N/A")&lt;4,"Missing dates; ","")&amp;IF(MIN(C421:F421)&lt;TODAY(),"Overdue: ",IF(MIN(C421:F421)=TODAY(),"Due today: ",IF(MIN(C421:F421)&lt;=TODAY()+30,"Due within 30 days: ","Next: ")))&amp;INDEX($C$8:$F$8,1,MATCH(MIN(C421:F421),C421:F421,0))&amp;" "&amp;TEXT(MIN(C421:F421),"dd mmm yyyy")))))</x:f>
      </x:c>
      <x:c r="I421" s="52"/>
      <x:c r="J421" t="str">
        <x:f>IF(AND(A421&lt;&gt;"",COUNTIFS(C421,"&gt;=36526",C421,"&lt;"&amp;TODAY())+COUNTIFS(D421,"&gt;=36526",D421,"&lt;"&amp;TODAY())+COUNTIFS(E421,"&gt;=36526",E421,"&lt;"&amp;TODAY())+COUNTIFS(F421,"&gt;=36526",F421,"&lt;"&amp;TODAY())&gt;0),O421,"")</x:f>
      </x:c>
      <x:c r="K421" t="str">
        <x:f>IF(AND(A421&lt;&gt;"",COUNTIFS(C421,"&gt;=36526",C421,TODAY())+COUNTIFS(D421,"&gt;=36526",D421,TODAY())+COUNTIFS(E421,"&gt;=36526",E421,TODAY())+COUNTIFS(F421,"&gt;=36526",F421,TODAY())&gt;0),P421,"")</x:f>
      </x:c>
      <x:c r="L421" t="str">
        <x:f>IF(AND(A421&lt;&gt;"",COUNTIFS(C421,"&gt;"&amp;TODAY(),C421,"&lt;="&amp;TODAY()+30)+COUNTIFS(D421,"&gt;"&amp;TODAY(),D421,"&lt;="&amp;TODAY()+30)+COUNTIFS(E421,"&gt;"&amp;TODAY(),E421,"&lt;="&amp;TODAY()+30)+COUNTIFS(F421,"&gt;"&amp;TODAY(),F421,"&lt;="&amp;TODAY()+30)&gt;0),Q421,"")</x:f>
      </x:c>
      <x:c r="M421" t="str">
        <x:f>IF(OR(LEFT(H421,15)="Missing dates; ",LEFT(H421,16)="Add N/A reason; ",H421="Add dates",H421="Add registration",H421="Check date format"),R421,"")</x:f>
      </x:c>
      <x:c r="N421" t="str">
        <x:f>IF(COUNTIFS(C421:F421,"Reviewed N/A")&gt;0,S421,"")</x:f>
      </x:c>
      <x:c r="O421" t="n">
        <x:f>O420+IF(AND(A421&lt;&gt;"",COUNTIFS(C421,"&gt;=36526",C421,"&lt;"&amp;TODAY())+COUNTIFS(D421,"&gt;=36526",D421,"&lt;"&amp;TODAY())+COUNTIFS(E421,"&gt;=36526",E421,"&lt;"&amp;TODAY())+COUNTIFS(F421,"&gt;=36526",F421,"&lt;"&amp;TODAY())&gt;0),1,0)</x:f>
        <x:v>0</x:v>
      </x:c>
      <x:c r="P421" t="n">
        <x:f>P420+IF(AND(A421&lt;&gt;"",COUNTIFS(C421,"&gt;=36526",C421,TODAY())+COUNTIFS(D421,"&gt;=36526",D421,TODAY())+COUNTIFS(E421,"&gt;=36526",E421,TODAY())+COUNTIFS(F421,"&gt;=36526",F421,TODAY())&gt;0),1,0)</x:f>
        <x:v>0</x:v>
      </x:c>
      <x:c r="Q421" t="n">
        <x:f>Q420+IF(AND(A421&lt;&gt;"",COUNTIFS(C421,"&gt;"&amp;TODAY(),C421,"&lt;="&amp;TODAY()+30)+COUNTIFS(D421,"&gt;"&amp;TODAY(),D421,"&lt;="&amp;TODAY()+30)+COUNTIFS(E421,"&gt;"&amp;TODAY(),E421,"&lt;="&amp;TODAY()+30)+COUNTIFS(F421,"&gt;"&amp;TODAY(),F421,"&lt;="&amp;TODAY()+30)&gt;0),1,0)</x:f>
        <x:v>0</x:v>
      </x:c>
      <x:c r="R421" t="n">
        <x:f>R420+IF(OR(LEFT(H421,15)="Missing dates; ",LEFT(H421,16)="Add N/A reason; ",H421="Add dates",H421="Add registration",H421="Check date format"),1,0)</x:f>
        <x:v>0</x:v>
      </x:c>
      <x:c r="S421" t="n">
        <x:f>S420+IF(COUNTIFS(C421:F421,"Reviewed N/A")&gt;0,1,0)</x:f>
        <x:v>0</x:v>
      </x:c>
    </x:row>
    <x:row r="422" ht="48" customHeight="1">
      <x:c r="A422" s="52"/>
      <x:c r="B422" s="52"/>
      <x:c r="C422" s="53"/>
      <x:c r="D422" s="53"/>
      <x:c r="E422" s="53"/>
      <x:c r="F422" s="53"/>
      <x:c r="G422" s="52"/>
      <x:c r="H422" s="21" t="str">
        <x:f>IF(COUNTA(A422:G422,I422)=0,"",IF(A422="","Add registration",IF(OR(COUNTA(C422:F422)&gt;COUNT(C422:F422)+COUNTIFS(C422:F422,"Reviewed N/A"),AND(COUNT(C422:F422)&gt;0,OR(MIN(C422:F422)&lt;36526,MAX(C422:F422)&gt;109574))),"Check date format",IF(AND(COUNTIFS(C422:F422,"Reviewed N/A")&gt;0,I422=""),"Add N/A reason; ","")&amp;IF(COUNT(C422:F422)=0,IF(COUNTIFS(C422:F422,"Reviewed N/A")=4,"No applicable dates recorded","Add dates"),IF(COUNT(C422:F422)+COUNTIFS(C422:F422,"Reviewed N/A")&lt;4,"Missing dates; ","")&amp;IF(MIN(C422:F422)&lt;TODAY(),"Overdue: ",IF(MIN(C422:F422)=TODAY(),"Due today: ",IF(MIN(C422:F422)&lt;=TODAY()+30,"Due within 30 days: ","Next: ")))&amp;INDEX($C$8:$F$8,1,MATCH(MIN(C422:F422),C422:F422,0))&amp;" "&amp;TEXT(MIN(C422:F422),"dd mmm yyyy")))))</x:f>
      </x:c>
      <x:c r="I422" s="52"/>
      <x:c r="J422" t="str">
        <x:f>IF(AND(A422&lt;&gt;"",COUNTIFS(C422,"&gt;=36526",C422,"&lt;"&amp;TODAY())+COUNTIFS(D422,"&gt;=36526",D422,"&lt;"&amp;TODAY())+COUNTIFS(E422,"&gt;=36526",E422,"&lt;"&amp;TODAY())+COUNTIFS(F422,"&gt;=36526",F422,"&lt;"&amp;TODAY())&gt;0),O422,"")</x:f>
      </x:c>
      <x:c r="K422" t="str">
        <x:f>IF(AND(A422&lt;&gt;"",COUNTIFS(C422,"&gt;=36526",C422,TODAY())+COUNTIFS(D422,"&gt;=36526",D422,TODAY())+COUNTIFS(E422,"&gt;=36526",E422,TODAY())+COUNTIFS(F422,"&gt;=36526",F422,TODAY())&gt;0),P422,"")</x:f>
      </x:c>
      <x:c r="L422" t="str">
        <x:f>IF(AND(A422&lt;&gt;"",COUNTIFS(C422,"&gt;"&amp;TODAY(),C422,"&lt;="&amp;TODAY()+30)+COUNTIFS(D422,"&gt;"&amp;TODAY(),D422,"&lt;="&amp;TODAY()+30)+COUNTIFS(E422,"&gt;"&amp;TODAY(),E422,"&lt;="&amp;TODAY()+30)+COUNTIFS(F422,"&gt;"&amp;TODAY(),F422,"&lt;="&amp;TODAY()+30)&gt;0),Q422,"")</x:f>
      </x:c>
      <x:c r="M422" t="str">
        <x:f>IF(OR(LEFT(H422,15)="Missing dates; ",LEFT(H422,16)="Add N/A reason; ",H422="Add dates",H422="Add registration",H422="Check date format"),R422,"")</x:f>
      </x:c>
      <x:c r="N422" t="str">
        <x:f>IF(COUNTIFS(C422:F422,"Reviewed N/A")&gt;0,S422,"")</x:f>
      </x:c>
      <x:c r="O422" t="n">
        <x:f>O421+IF(AND(A422&lt;&gt;"",COUNTIFS(C422,"&gt;=36526",C422,"&lt;"&amp;TODAY())+COUNTIFS(D422,"&gt;=36526",D422,"&lt;"&amp;TODAY())+COUNTIFS(E422,"&gt;=36526",E422,"&lt;"&amp;TODAY())+COUNTIFS(F422,"&gt;=36526",F422,"&lt;"&amp;TODAY())&gt;0),1,0)</x:f>
        <x:v>0</x:v>
      </x:c>
      <x:c r="P422" t="n">
        <x:f>P421+IF(AND(A422&lt;&gt;"",COUNTIFS(C422,"&gt;=36526",C422,TODAY())+COUNTIFS(D422,"&gt;=36526",D422,TODAY())+COUNTIFS(E422,"&gt;=36526",E422,TODAY())+COUNTIFS(F422,"&gt;=36526",F422,TODAY())&gt;0),1,0)</x:f>
        <x:v>0</x:v>
      </x:c>
      <x:c r="Q422" t="n">
        <x:f>Q421+IF(AND(A422&lt;&gt;"",COUNTIFS(C422,"&gt;"&amp;TODAY(),C422,"&lt;="&amp;TODAY()+30)+COUNTIFS(D422,"&gt;"&amp;TODAY(),D422,"&lt;="&amp;TODAY()+30)+COUNTIFS(E422,"&gt;"&amp;TODAY(),E422,"&lt;="&amp;TODAY()+30)+COUNTIFS(F422,"&gt;"&amp;TODAY(),F422,"&lt;="&amp;TODAY()+30)&gt;0),1,0)</x:f>
        <x:v>0</x:v>
      </x:c>
      <x:c r="R422" t="n">
        <x:f>R421+IF(OR(LEFT(H422,15)="Missing dates; ",LEFT(H422,16)="Add N/A reason; ",H422="Add dates",H422="Add registration",H422="Check date format"),1,0)</x:f>
        <x:v>0</x:v>
      </x:c>
      <x:c r="S422" t="n">
        <x:f>S421+IF(COUNTIFS(C422:F422,"Reviewed N/A")&gt;0,1,0)</x:f>
        <x:v>0</x:v>
      </x:c>
    </x:row>
    <x:row r="423" ht="48" customHeight="1">
      <x:c r="A423" s="52"/>
      <x:c r="B423" s="52"/>
      <x:c r="C423" s="53"/>
      <x:c r="D423" s="53"/>
      <x:c r="E423" s="53"/>
      <x:c r="F423" s="53"/>
      <x:c r="G423" s="52"/>
      <x:c r="H423" s="21" t="str">
        <x:f>IF(COUNTA(A423:G423,I423)=0,"",IF(A423="","Add registration",IF(OR(COUNTA(C423:F423)&gt;COUNT(C423:F423)+COUNTIFS(C423:F423,"Reviewed N/A"),AND(COUNT(C423:F423)&gt;0,OR(MIN(C423:F423)&lt;36526,MAX(C423:F423)&gt;109574))),"Check date format",IF(AND(COUNTIFS(C423:F423,"Reviewed N/A")&gt;0,I423=""),"Add N/A reason; ","")&amp;IF(COUNT(C423:F423)=0,IF(COUNTIFS(C423:F423,"Reviewed N/A")=4,"No applicable dates recorded","Add dates"),IF(COUNT(C423:F423)+COUNTIFS(C423:F423,"Reviewed N/A")&lt;4,"Missing dates; ","")&amp;IF(MIN(C423:F423)&lt;TODAY(),"Overdue: ",IF(MIN(C423:F423)=TODAY(),"Due today: ",IF(MIN(C423:F423)&lt;=TODAY()+30,"Due within 30 days: ","Next: ")))&amp;INDEX($C$8:$F$8,1,MATCH(MIN(C423:F423),C423:F423,0))&amp;" "&amp;TEXT(MIN(C423:F423),"dd mmm yyyy")))))</x:f>
      </x:c>
      <x:c r="I423" s="52"/>
      <x:c r="J423" t="str">
        <x:f>IF(AND(A423&lt;&gt;"",COUNTIFS(C423,"&gt;=36526",C423,"&lt;"&amp;TODAY())+COUNTIFS(D423,"&gt;=36526",D423,"&lt;"&amp;TODAY())+COUNTIFS(E423,"&gt;=36526",E423,"&lt;"&amp;TODAY())+COUNTIFS(F423,"&gt;=36526",F423,"&lt;"&amp;TODAY())&gt;0),O423,"")</x:f>
      </x:c>
      <x:c r="K423" t="str">
        <x:f>IF(AND(A423&lt;&gt;"",COUNTIFS(C423,"&gt;=36526",C423,TODAY())+COUNTIFS(D423,"&gt;=36526",D423,TODAY())+COUNTIFS(E423,"&gt;=36526",E423,TODAY())+COUNTIFS(F423,"&gt;=36526",F423,TODAY())&gt;0),P423,"")</x:f>
      </x:c>
      <x:c r="L423" t="str">
        <x:f>IF(AND(A423&lt;&gt;"",COUNTIFS(C423,"&gt;"&amp;TODAY(),C423,"&lt;="&amp;TODAY()+30)+COUNTIFS(D423,"&gt;"&amp;TODAY(),D423,"&lt;="&amp;TODAY()+30)+COUNTIFS(E423,"&gt;"&amp;TODAY(),E423,"&lt;="&amp;TODAY()+30)+COUNTIFS(F423,"&gt;"&amp;TODAY(),F423,"&lt;="&amp;TODAY()+30)&gt;0),Q423,"")</x:f>
      </x:c>
      <x:c r="M423" t="str">
        <x:f>IF(OR(LEFT(H423,15)="Missing dates; ",LEFT(H423,16)="Add N/A reason; ",H423="Add dates",H423="Add registration",H423="Check date format"),R423,"")</x:f>
      </x:c>
      <x:c r="N423" t="str">
        <x:f>IF(COUNTIFS(C423:F423,"Reviewed N/A")&gt;0,S423,"")</x:f>
      </x:c>
      <x:c r="O423" t="n">
        <x:f>O422+IF(AND(A423&lt;&gt;"",COUNTIFS(C423,"&gt;=36526",C423,"&lt;"&amp;TODAY())+COUNTIFS(D423,"&gt;=36526",D423,"&lt;"&amp;TODAY())+COUNTIFS(E423,"&gt;=36526",E423,"&lt;"&amp;TODAY())+COUNTIFS(F423,"&gt;=36526",F423,"&lt;"&amp;TODAY())&gt;0),1,0)</x:f>
        <x:v>0</x:v>
      </x:c>
      <x:c r="P423" t="n">
        <x:f>P422+IF(AND(A423&lt;&gt;"",COUNTIFS(C423,"&gt;=36526",C423,TODAY())+COUNTIFS(D423,"&gt;=36526",D423,TODAY())+COUNTIFS(E423,"&gt;=36526",E423,TODAY())+COUNTIFS(F423,"&gt;=36526",F423,TODAY())&gt;0),1,0)</x:f>
        <x:v>0</x:v>
      </x:c>
      <x:c r="Q423" t="n">
        <x:f>Q422+IF(AND(A423&lt;&gt;"",COUNTIFS(C423,"&gt;"&amp;TODAY(),C423,"&lt;="&amp;TODAY()+30)+COUNTIFS(D423,"&gt;"&amp;TODAY(),D423,"&lt;="&amp;TODAY()+30)+COUNTIFS(E423,"&gt;"&amp;TODAY(),E423,"&lt;="&amp;TODAY()+30)+COUNTIFS(F423,"&gt;"&amp;TODAY(),F423,"&lt;="&amp;TODAY()+30)&gt;0),1,0)</x:f>
        <x:v>0</x:v>
      </x:c>
      <x:c r="R423" t="n">
        <x:f>R422+IF(OR(LEFT(H423,15)="Missing dates; ",LEFT(H423,16)="Add N/A reason; ",H423="Add dates",H423="Add registration",H423="Check date format"),1,0)</x:f>
        <x:v>0</x:v>
      </x:c>
      <x:c r="S423" t="n">
        <x:f>S422+IF(COUNTIFS(C423:F423,"Reviewed N/A")&gt;0,1,0)</x:f>
        <x:v>0</x:v>
      </x:c>
    </x:row>
    <x:row r="424" ht="48" customHeight="1">
      <x:c r="A424" s="52"/>
      <x:c r="B424" s="52"/>
      <x:c r="C424" s="53"/>
      <x:c r="D424" s="53"/>
      <x:c r="E424" s="53"/>
      <x:c r="F424" s="53"/>
      <x:c r="G424" s="52"/>
      <x:c r="H424" s="21" t="str">
        <x:f>IF(COUNTA(A424:G424,I424)=0,"",IF(A424="","Add registration",IF(OR(COUNTA(C424:F424)&gt;COUNT(C424:F424)+COUNTIFS(C424:F424,"Reviewed N/A"),AND(COUNT(C424:F424)&gt;0,OR(MIN(C424:F424)&lt;36526,MAX(C424:F424)&gt;109574))),"Check date format",IF(AND(COUNTIFS(C424:F424,"Reviewed N/A")&gt;0,I424=""),"Add N/A reason; ","")&amp;IF(COUNT(C424:F424)=0,IF(COUNTIFS(C424:F424,"Reviewed N/A")=4,"No applicable dates recorded","Add dates"),IF(COUNT(C424:F424)+COUNTIFS(C424:F424,"Reviewed N/A")&lt;4,"Missing dates; ","")&amp;IF(MIN(C424:F424)&lt;TODAY(),"Overdue: ",IF(MIN(C424:F424)=TODAY(),"Due today: ",IF(MIN(C424:F424)&lt;=TODAY()+30,"Due within 30 days: ","Next: ")))&amp;INDEX($C$8:$F$8,1,MATCH(MIN(C424:F424),C424:F424,0))&amp;" "&amp;TEXT(MIN(C424:F424),"dd mmm yyyy")))))</x:f>
      </x:c>
      <x:c r="I424" s="52"/>
      <x:c r="J424" t="str">
        <x:f>IF(AND(A424&lt;&gt;"",COUNTIFS(C424,"&gt;=36526",C424,"&lt;"&amp;TODAY())+COUNTIFS(D424,"&gt;=36526",D424,"&lt;"&amp;TODAY())+COUNTIFS(E424,"&gt;=36526",E424,"&lt;"&amp;TODAY())+COUNTIFS(F424,"&gt;=36526",F424,"&lt;"&amp;TODAY())&gt;0),O424,"")</x:f>
      </x:c>
      <x:c r="K424" t="str">
        <x:f>IF(AND(A424&lt;&gt;"",COUNTIFS(C424,"&gt;=36526",C424,TODAY())+COUNTIFS(D424,"&gt;=36526",D424,TODAY())+COUNTIFS(E424,"&gt;=36526",E424,TODAY())+COUNTIFS(F424,"&gt;=36526",F424,TODAY())&gt;0),P424,"")</x:f>
      </x:c>
      <x:c r="L424" t="str">
        <x:f>IF(AND(A424&lt;&gt;"",COUNTIFS(C424,"&gt;"&amp;TODAY(),C424,"&lt;="&amp;TODAY()+30)+COUNTIFS(D424,"&gt;"&amp;TODAY(),D424,"&lt;="&amp;TODAY()+30)+COUNTIFS(E424,"&gt;"&amp;TODAY(),E424,"&lt;="&amp;TODAY()+30)+COUNTIFS(F424,"&gt;"&amp;TODAY(),F424,"&lt;="&amp;TODAY()+30)&gt;0),Q424,"")</x:f>
      </x:c>
      <x:c r="M424" t="str">
        <x:f>IF(OR(LEFT(H424,15)="Missing dates; ",LEFT(H424,16)="Add N/A reason; ",H424="Add dates",H424="Add registration",H424="Check date format"),R424,"")</x:f>
      </x:c>
      <x:c r="N424" t="str">
        <x:f>IF(COUNTIFS(C424:F424,"Reviewed N/A")&gt;0,S424,"")</x:f>
      </x:c>
      <x:c r="O424" t="n">
        <x:f>O423+IF(AND(A424&lt;&gt;"",COUNTIFS(C424,"&gt;=36526",C424,"&lt;"&amp;TODAY())+COUNTIFS(D424,"&gt;=36526",D424,"&lt;"&amp;TODAY())+COUNTIFS(E424,"&gt;=36526",E424,"&lt;"&amp;TODAY())+COUNTIFS(F424,"&gt;=36526",F424,"&lt;"&amp;TODAY())&gt;0),1,0)</x:f>
        <x:v>0</x:v>
      </x:c>
      <x:c r="P424" t="n">
        <x:f>P423+IF(AND(A424&lt;&gt;"",COUNTIFS(C424,"&gt;=36526",C424,TODAY())+COUNTIFS(D424,"&gt;=36526",D424,TODAY())+COUNTIFS(E424,"&gt;=36526",E424,TODAY())+COUNTIFS(F424,"&gt;=36526",F424,TODAY())&gt;0),1,0)</x:f>
        <x:v>0</x:v>
      </x:c>
      <x:c r="Q424" t="n">
        <x:f>Q423+IF(AND(A424&lt;&gt;"",COUNTIFS(C424,"&gt;"&amp;TODAY(),C424,"&lt;="&amp;TODAY()+30)+COUNTIFS(D424,"&gt;"&amp;TODAY(),D424,"&lt;="&amp;TODAY()+30)+COUNTIFS(E424,"&gt;"&amp;TODAY(),E424,"&lt;="&amp;TODAY()+30)+COUNTIFS(F424,"&gt;"&amp;TODAY(),F424,"&lt;="&amp;TODAY()+30)&gt;0),1,0)</x:f>
        <x:v>0</x:v>
      </x:c>
      <x:c r="R424" t="n">
        <x:f>R423+IF(OR(LEFT(H424,15)="Missing dates; ",LEFT(H424,16)="Add N/A reason; ",H424="Add dates",H424="Add registration",H424="Check date format"),1,0)</x:f>
        <x:v>0</x:v>
      </x:c>
      <x:c r="S424" t="n">
        <x:f>S423+IF(COUNTIFS(C424:F424,"Reviewed N/A")&gt;0,1,0)</x:f>
        <x:v>0</x:v>
      </x:c>
    </x:row>
    <x:row r="425" ht="48" customHeight="1">
      <x:c r="A425" s="52"/>
      <x:c r="B425" s="52"/>
      <x:c r="C425" s="53"/>
      <x:c r="D425" s="53"/>
      <x:c r="E425" s="53"/>
      <x:c r="F425" s="53"/>
      <x:c r="G425" s="52"/>
      <x:c r="H425" s="21" t="str">
        <x:f>IF(COUNTA(A425:G425,I425)=0,"",IF(A425="","Add registration",IF(OR(COUNTA(C425:F425)&gt;COUNT(C425:F425)+COUNTIFS(C425:F425,"Reviewed N/A"),AND(COUNT(C425:F425)&gt;0,OR(MIN(C425:F425)&lt;36526,MAX(C425:F425)&gt;109574))),"Check date format",IF(AND(COUNTIFS(C425:F425,"Reviewed N/A")&gt;0,I425=""),"Add N/A reason; ","")&amp;IF(COUNT(C425:F425)=0,IF(COUNTIFS(C425:F425,"Reviewed N/A")=4,"No applicable dates recorded","Add dates"),IF(COUNT(C425:F425)+COUNTIFS(C425:F425,"Reviewed N/A")&lt;4,"Missing dates; ","")&amp;IF(MIN(C425:F425)&lt;TODAY(),"Overdue: ",IF(MIN(C425:F425)=TODAY(),"Due today: ",IF(MIN(C425:F425)&lt;=TODAY()+30,"Due within 30 days: ","Next: ")))&amp;INDEX($C$8:$F$8,1,MATCH(MIN(C425:F425),C425:F425,0))&amp;" "&amp;TEXT(MIN(C425:F425),"dd mmm yyyy")))))</x:f>
      </x:c>
      <x:c r="I425" s="52"/>
      <x:c r="J425" t="str">
        <x:f>IF(AND(A425&lt;&gt;"",COUNTIFS(C425,"&gt;=36526",C425,"&lt;"&amp;TODAY())+COUNTIFS(D425,"&gt;=36526",D425,"&lt;"&amp;TODAY())+COUNTIFS(E425,"&gt;=36526",E425,"&lt;"&amp;TODAY())+COUNTIFS(F425,"&gt;=36526",F425,"&lt;"&amp;TODAY())&gt;0),O425,"")</x:f>
      </x:c>
      <x:c r="K425" t="str">
        <x:f>IF(AND(A425&lt;&gt;"",COUNTIFS(C425,"&gt;=36526",C425,TODAY())+COUNTIFS(D425,"&gt;=36526",D425,TODAY())+COUNTIFS(E425,"&gt;=36526",E425,TODAY())+COUNTIFS(F425,"&gt;=36526",F425,TODAY())&gt;0),P425,"")</x:f>
      </x:c>
      <x:c r="L425" t="str">
        <x:f>IF(AND(A425&lt;&gt;"",COUNTIFS(C425,"&gt;"&amp;TODAY(),C425,"&lt;="&amp;TODAY()+30)+COUNTIFS(D425,"&gt;"&amp;TODAY(),D425,"&lt;="&amp;TODAY()+30)+COUNTIFS(E425,"&gt;"&amp;TODAY(),E425,"&lt;="&amp;TODAY()+30)+COUNTIFS(F425,"&gt;"&amp;TODAY(),F425,"&lt;="&amp;TODAY()+30)&gt;0),Q425,"")</x:f>
      </x:c>
      <x:c r="M425" t="str">
        <x:f>IF(OR(LEFT(H425,15)="Missing dates; ",LEFT(H425,16)="Add N/A reason; ",H425="Add dates",H425="Add registration",H425="Check date format"),R425,"")</x:f>
      </x:c>
      <x:c r="N425" t="str">
        <x:f>IF(COUNTIFS(C425:F425,"Reviewed N/A")&gt;0,S425,"")</x:f>
      </x:c>
      <x:c r="O425" t="n">
        <x:f>O424+IF(AND(A425&lt;&gt;"",COUNTIFS(C425,"&gt;=36526",C425,"&lt;"&amp;TODAY())+COUNTIFS(D425,"&gt;=36526",D425,"&lt;"&amp;TODAY())+COUNTIFS(E425,"&gt;=36526",E425,"&lt;"&amp;TODAY())+COUNTIFS(F425,"&gt;=36526",F425,"&lt;"&amp;TODAY())&gt;0),1,0)</x:f>
        <x:v>0</x:v>
      </x:c>
      <x:c r="P425" t="n">
        <x:f>P424+IF(AND(A425&lt;&gt;"",COUNTIFS(C425,"&gt;=36526",C425,TODAY())+COUNTIFS(D425,"&gt;=36526",D425,TODAY())+COUNTIFS(E425,"&gt;=36526",E425,TODAY())+COUNTIFS(F425,"&gt;=36526",F425,TODAY())&gt;0),1,0)</x:f>
        <x:v>0</x:v>
      </x:c>
      <x:c r="Q425" t="n">
        <x:f>Q424+IF(AND(A425&lt;&gt;"",COUNTIFS(C425,"&gt;"&amp;TODAY(),C425,"&lt;="&amp;TODAY()+30)+COUNTIFS(D425,"&gt;"&amp;TODAY(),D425,"&lt;="&amp;TODAY()+30)+COUNTIFS(E425,"&gt;"&amp;TODAY(),E425,"&lt;="&amp;TODAY()+30)+COUNTIFS(F425,"&gt;"&amp;TODAY(),F425,"&lt;="&amp;TODAY()+30)&gt;0),1,0)</x:f>
        <x:v>0</x:v>
      </x:c>
      <x:c r="R425" t="n">
        <x:f>R424+IF(OR(LEFT(H425,15)="Missing dates; ",LEFT(H425,16)="Add N/A reason; ",H425="Add dates",H425="Add registration",H425="Check date format"),1,0)</x:f>
        <x:v>0</x:v>
      </x:c>
      <x:c r="S425" t="n">
        <x:f>S424+IF(COUNTIFS(C425:F425,"Reviewed N/A")&gt;0,1,0)</x:f>
        <x:v>0</x:v>
      </x:c>
    </x:row>
    <x:row r="426" ht="48" customHeight="1">
      <x:c r="A426" s="52"/>
      <x:c r="B426" s="52"/>
      <x:c r="C426" s="53"/>
      <x:c r="D426" s="53"/>
      <x:c r="E426" s="53"/>
      <x:c r="F426" s="53"/>
      <x:c r="G426" s="52"/>
      <x:c r="H426" s="21" t="str">
        <x:f>IF(COUNTA(A426:G426,I426)=0,"",IF(A426="","Add registration",IF(OR(COUNTA(C426:F426)&gt;COUNT(C426:F426)+COUNTIFS(C426:F426,"Reviewed N/A"),AND(COUNT(C426:F426)&gt;0,OR(MIN(C426:F426)&lt;36526,MAX(C426:F426)&gt;109574))),"Check date format",IF(AND(COUNTIFS(C426:F426,"Reviewed N/A")&gt;0,I426=""),"Add N/A reason; ","")&amp;IF(COUNT(C426:F426)=0,IF(COUNTIFS(C426:F426,"Reviewed N/A")=4,"No applicable dates recorded","Add dates"),IF(COUNT(C426:F426)+COUNTIFS(C426:F426,"Reviewed N/A")&lt;4,"Missing dates; ","")&amp;IF(MIN(C426:F426)&lt;TODAY(),"Overdue: ",IF(MIN(C426:F426)=TODAY(),"Due today: ",IF(MIN(C426:F426)&lt;=TODAY()+30,"Due within 30 days: ","Next: ")))&amp;INDEX($C$8:$F$8,1,MATCH(MIN(C426:F426),C426:F426,0))&amp;" "&amp;TEXT(MIN(C426:F426),"dd mmm yyyy")))))</x:f>
      </x:c>
      <x:c r="I426" s="52"/>
      <x:c r="J426" t="str">
        <x:f>IF(AND(A426&lt;&gt;"",COUNTIFS(C426,"&gt;=36526",C426,"&lt;"&amp;TODAY())+COUNTIFS(D426,"&gt;=36526",D426,"&lt;"&amp;TODAY())+COUNTIFS(E426,"&gt;=36526",E426,"&lt;"&amp;TODAY())+COUNTIFS(F426,"&gt;=36526",F426,"&lt;"&amp;TODAY())&gt;0),O426,"")</x:f>
      </x:c>
      <x:c r="K426" t="str">
        <x:f>IF(AND(A426&lt;&gt;"",COUNTIFS(C426,"&gt;=36526",C426,TODAY())+COUNTIFS(D426,"&gt;=36526",D426,TODAY())+COUNTIFS(E426,"&gt;=36526",E426,TODAY())+COUNTIFS(F426,"&gt;=36526",F426,TODAY())&gt;0),P426,"")</x:f>
      </x:c>
      <x:c r="L426" t="str">
        <x:f>IF(AND(A426&lt;&gt;"",COUNTIFS(C426,"&gt;"&amp;TODAY(),C426,"&lt;="&amp;TODAY()+30)+COUNTIFS(D426,"&gt;"&amp;TODAY(),D426,"&lt;="&amp;TODAY()+30)+COUNTIFS(E426,"&gt;"&amp;TODAY(),E426,"&lt;="&amp;TODAY()+30)+COUNTIFS(F426,"&gt;"&amp;TODAY(),F426,"&lt;="&amp;TODAY()+30)&gt;0),Q426,"")</x:f>
      </x:c>
      <x:c r="M426" t="str">
        <x:f>IF(OR(LEFT(H426,15)="Missing dates; ",LEFT(H426,16)="Add N/A reason; ",H426="Add dates",H426="Add registration",H426="Check date format"),R426,"")</x:f>
      </x:c>
      <x:c r="N426" t="str">
        <x:f>IF(COUNTIFS(C426:F426,"Reviewed N/A")&gt;0,S426,"")</x:f>
      </x:c>
      <x:c r="O426" t="n">
        <x:f>O425+IF(AND(A426&lt;&gt;"",COUNTIFS(C426,"&gt;=36526",C426,"&lt;"&amp;TODAY())+COUNTIFS(D426,"&gt;=36526",D426,"&lt;"&amp;TODAY())+COUNTIFS(E426,"&gt;=36526",E426,"&lt;"&amp;TODAY())+COUNTIFS(F426,"&gt;=36526",F426,"&lt;"&amp;TODAY())&gt;0),1,0)</x:f>
        <x:v>0</x:v>
      </x:c>
      <x:c r="P426" t="n">
        <x:f>P425+IF(AND(A426&lt;&gt;"",COUNTIFS(C426,"&gt;=36526",C426,TODAY())+COUNTIFS(D426,"&gt;=36526",D426,TODAY())+COUNTIFS(E426,"&gt;=36526",E426,TODAY())+COUNTIFS(F426,"&gt;=36526",F426,TODAY())&gt;0),1,0)</x:f>
        <x:v>0</x:v>
      </x:c>
      <x:c r="Q426" t="n">
        <x:f>Q425+IF(AND(A426&lt;&gt;"",COUNTIFS(C426,"&gt;"&amp;TODAY(),C426,"&lt;="&amp;TODAY()+30)+COUNTIFS(D426,"&gt;"&amp;TODAY(),D426,"&lt;="&amp;TODAY()+30)+COUNTIFS(E426,"&gt;"&amp;TODAY(),E426,"&lt;="&amp;TODAY()+30)+COUNTIFS(F426,"&gt;"&amp;TODAY(),F426,"&lt;="&amp;TODAY()+30)&gt;0),1,0)</x:f>
        <x:v>0</x:v>
      </x:c>
      <x:c r="R426" t="n">
        <x:f>R425+IF(OR(LEFT(H426,15)="Missing dates; ",LEFT(H426,16)="Add N/A reason; ",H426="Add dates",H426="Add registration",H426="Check date format"),1,0)</x:f>
        <x:v>0</x:v>
      </x:c>
      <x:c r="S426" t="n">
        <x:f>S425+IF(COUNTIFS(C426:F426,"Reviewed N/A")&gt;0,1,0)</x:f>
        <x:v>0</x:v>
      </x:c>
    </x:row>
    <x:row r="427" ht="48" customHeight="1">
      <x:c r="A427" s="52"/>
      <x:c r="B427" s="52"/>
      <x:c r="C427" s="53"/>
      <x:c r="D427" s="53"/>
      <x:c r="E427" s="53"/>
      <x:c r="F427" s="53"/>
      <x:c r="G427" s="52"/>
      <x:c r="H427" s="21" t="str">
        <x:f>IF(COUNTA(A427:G427,I427)=0,"",IF(A427="","Add registration",IF(OR(COUNTA(C427:F427)&gt;COUNT(C427:F427)+COUNTIFS(C427:F427,"Reviewed N/A"),AND(COUNT(C427:F427)&gt;0,OR(MIN(C427:F427)&lt;36526,MAX(C427:F427)&gt;109574))),"Check date format",IF(AND(COUNTIFS(C427:F427,"Reviewed N/A")&gt;0,I427=""),"Add N/A reason; ","")&amp;IF(COUNT(C427:F427)=0,IF(COUNTIFS(C427:F427,"Reviewed N/A")=4,"No applicable dates recorded","Add dates"),IF(COUNT(C427:F427)+COUNTIFS(C427:F427,"Reviewed N/A")&lt;4,"Missing dates; ","")&amp;IF(MIN(C427:F427)&lt;TODAY(),"Overdue: ",IF(MIN(C427:F427)=TODAY(),"Due today: ",IF(MIN(C427:F427)&lt;=TODAY()+30,"Due within 30 days: ","Next: ")))&amp;INDEX($C$8:$F$8,1,MATCH(MIN(C427:F427),C427:F427,0))&amp;" "&amp;TEXT(MIN(C427:F427),"dd mmm yyyy")))))</x:f>
      </x:c>
      <x:c r="I427" s="52"/>
      <x:c r="J427" t="str">
        <x:f>IF(AND(A427&lt;&gt;"",COUNTIFS(C427,"&gt;=36526",C427,"&lt;"&amp;TODAY())+COUNTIFS(D427,"&gt;=36526",D427,"&lt;"&amp;TODAY())+COUNTIFS(E427,"&gt;=36526",E427,"&lt;"&amp;TODAY())+COUNTIFS(F427,"&gt;=36526",F427,"&lt;"&amp;TODAY())&gt;0),O427,"")</x:f>
      </x:c>
      <x:c r="K427" t="str">
        <x:f>IF(AND(A427&lt;&gt;"",COUNTIFS(C427,"&gt;=36526",C427,TODAY())+COUNTIFS(D427,"&gt;=36526",D427,TODAY())+COUNTIFS(E427,"&gt;=36526",E427,TODAY())+COUNTIFS(F427,"&gt;=36526",F427,TODAY())&gt;0),P427,"")</x:f>
      </x:c>
      <x:c r="L427" t="str">
        <x:f>IF(AND(A427&lt;&gt;"",COUNTIFS(C427,"&gt;"&amp;TODAY(),C427,"&lt;="&amp;TODAY()+30)+COUNTIFS(D427,"&gt;"&amp;TODAY(),D427,"&lt;="&amp;TODAY()+30)+COUNTIFS(E427,"&gt;"&amp;TODAY(),E427,"&lt;="&amp;TODAY()+30)+COUNTIFS(F427,"&gt;"&amp;TODAY(),F427,"&lt;="&amp;TODAY()+30)&gt;0),Q427,"")</x:f>
      </x:c>
      <x:c r="M427" t="str">
        <x:f>IF(OR(LEFT(H427,15)="Missing dates; ",LEFT(H427,16)="Add N/A reason; ",H427="Add dates",H427="Add registration",H427="Check date format"),R427,"")</x:f>
      </x:c>
      <x:c r="N427" t="str">
        <x:f>IF(COUNTIFS(C427:F427,"Reviewed N/A")&gt;0,S427,"")</x:f>
      </x:c>
      <x:c r="O427" t="n">
        <x:f>O426+IF(AND(A427&lt;&gt;"",COUNTIFS(C427,"&gt;=36526",C427,"&lt;"&amp;TODAY())+COUNTIFS(D427,"&gt;=36526",D427,"&lt;"&amp;TODAY())+COUNTIFS(E427,"&gt;=36526",E427,"&lt;"&amp;TODAY())+COUNTIFS(F427,"&gt;=36526",F427,"&lt;"&amp;TODAY())&gt;0),1,0)</x:f>
        <x:v>0</x:v>
      </x:c>
      <x:c r="P427" t="n">
        <x:f>P426+IF(AND(A427&lt;&gt;"",COUNTIFS(C427,"&gt;=36526",C427,TODAY())+COUNTIFS(D427,"&gt;=36526",D427,TODAY())+COUNTIFS(E427,"&gt;=36526",E427,TODAY())+COUNTIFS(F427,"&gt;=36526",F427,TODAY())&gt;0),1,0)</x:f>
        <x:v>0</x:v>
      </x:c>
      <x:c r="Q427" t="n">
        <x:f>Q426+IF(AND(A427&lt;&gt;"",COUNTIFS(C427,"&gt;"&amp;TODAY(),C427,"&lt;="&amp;TODAY()+30)+COUNTIFS(D427,"&gt;"&amp;TODAY(),D427,"&lt;="&amp;TODAY()+30)+COUNTIFS(E427,"&gt;"&amp;TODAY(),E427,"&lt;="&amp;TODAY()+30)+COUNTIFS(F427,"&gt;"&amp;TODAY(),F427,"&lt;="&amp;TODAY()+30)&gt;0),1,0)</x:f>
        <x:v>0</x:v>
      </x:c>
      <x:c r="R427" t="n">
        <x:f>R426+IF(OR(LEFT(H427,15)="Missing dates; ",LEFT(H427,16)="Add N/A reason; ",H427="Add dates",H427="Add registration",H427="Check date format"),1,0)</x:f>
        <x:v>0</x:v>
      </x:c>
      <x:c r="S427" t="n">
        <x:f>S426+IF(COUNTIFS(C427:F427,"Reviewed N/A")&gt;0,1,0)</x:f>
        <x:v>0</x:v>
      </x:c>
    </x:row>
    <x:row r="428" ht="48" customHeight="1">
      <x:c r="A428" s="52"/>
      <x:c r="B428" s="52"/>
      <x:c r="C428" s="53"/>
      <x:c r="D428" s="53"/>
      <x:c r="E428" s="53"/>
      <x:c r="F428" s="53"/>
      <x:c r="G428" s="52"/>
      <x:c r="H428" s="21" t="str">
        <x:f>IF(COUNTA(A428:G428,I428)=0,"",IF(A428="","Add registration",IF(OR(COUNTA(C428:F428)&gt;COUNT(C428:F428)+COUNTIFS(C428:F428,"Reviewed N/A"),AND(COUNT(C428:F428)&gt;0,OR(MIN(C428:F428)&lt;36526,MAX(C428:F428)&gt;109574))),"Check date format",IF(AND(COUNTIFS(C428:F428,"Reviewed N/A")&gt;0,I428=""),"Add N/A reason; ","")&amp;IF(COUNT(C428:F428)=0,IF(COUNTIFS(C428:F428,"Reviewed N/A")=4,"No applicable dates recorded","Add dates"),IF(COUNT(C428:F428)+COUNTIFS(C428:F428,"Reviewed N/A")&lt;4,"Missing dates; ","")&amp;IF(MIN(C428:F428)&lt;TODAY(),"Overdue: ",IF(MIN(C428:F428)=TODAY(),"Due today: ",IF(MIN(C428:F428)&lt;=TODAY()+30,"Due within 30 days: ","Next: ")))&amp;INDEX($C$8:$F$8,1,MATCH(MIN(C428:F428),C428:F428,0))&amp;" "&amp;TEXT(MIN(C428:F428),"dd mmm yyyy")))))</x:f>
      </x:c>
      <x:c r="I428" s="52"/>
      <x:c r="J428" t="str">
        <x:f>IF(AND(A428&lt;&gt;"",COUNTIFS(C428,"&gt;=36526",C428,"&lt;"&amp;TODAY())+COUNTIFS(D428,"&gt;=36526",D428,"&lt;"&amp;TODAY())+COUNTIFS(E428,"&gt;=36526",E428,"&lt;"&amp;TODAY())+COUNTIFS(F428,"&gt;=36526",F428,"&lt;"&amp;TODAY())&gt;0),O428,"")</x:f>
      </x:c>
      <x:c r="K428" t="str">
        <x:f>IF(AND(A428&lt;&gt;"",COUNTIFS(C428,"&gt;=36526",C428,TODAY())+COUNTIFS(D428,"&gt;=36526",D428,TODAY())+COUNTIFS(E428,"&gt;=36526",E428,TODAY())+COUNTIFS(F428,"&gt;=36526",F428,TODAY())&gt;0),P428,"")</x:f>
      </x:c>
      <x:c r="L428" t="str">
        <x:f>IF(AND(A428&lt;&gt;"",COUNTIFS(C428,"&gt;"&amp;TODAY(),C428,"&lt;="&amp;TODAY()+30)+COUNTIFS(D428,"&gt;"&amp;TODAY(),D428,"&lt;="&amp;TODAY()+30)+COUNTIFS(E428,"&gt;"&amp;TODAY(),E428,"&lt;="&amp;TODAY()+30)+COUNTIFS(F428,"&gt;"&amp;TODAY(),F428,"&lt;="&amp;TODAY()+30)&gt;0),Q428,"")</x:f>
      </x:c>
      <x:c r="M428" t="str">
        <x:f>IF(OR(LEFT(H428,15)="Missing dates; ",LEFT(H428,16)="Add N/A reason; ",H428="Add dates",H428="Add registration",H428="Check date format"),R428,"")</x:f>
      </x:c>
      <x:c r="N428" t="str">
        <x:f>IF(COUNTIFS(C428:F428,"Reviewed N/A")&gt;0,S428,"")</x:f>
      </x:c>
      <x:c r="O428" t="n">
        <x:f>O427+IF(AND(A428&lt;&gt;"",COUNTIFS(C428,"&gt;=36526",C428,"&lt;"&amp;TODAY())+COUNTIFS(D428,"&gt;=36526",D428,"&lt;"&amp;TODAY())+COUNTIFS(E428,"&gt;=36526",E428,"&lt;"&amp;TODAY())+COUNTIFS(F428,"&gt;=36526",F428,"&lt;"&amp;TODAY())&gt;0),1,0)</x:f>
        <x:v>0</x:v>
      </x:c>
      <x:c r="P428" t="n">
        <x:f>P427+IF(AND(A428&lt;&gt;"",COUNTIFS(C428,"&gt;=36526",C428,TODAY())+COUNTIFS(D428,"&gt;=36526",D428,TODAY())+COUNTIFS(E428,"&gt;=36526",E428,TODAY())+COUNTIFS(F428,"&gt;=36526",F428,TODAY())&gt;0),1,0)</x:f>
        <x:v>0</x:v>
      </x:c>
      <x:c r="Q428" t="n">
        <x:f>Q427+IF(AND(A428&lt;&gt;"",COUNTIFS(C428,"&gt;"&amp;TODAY(),C428,"&lt;="&amp;TODAY()+30)+COUNTIFS(D428,"&gt;"&amp;TODAY(),D428,"&lt;="&amp;TODAY()+30)+COUNTIFS(E428,"&gt;"&amp;TODAY(),E428,"&lt;="&amp;TODAY()+30)+COUNTIFS(F428,"&gt;"&amp;TODAY(),F428,"&lt;="&amp;TODAY()+30)&gt;0),1,0)</x:f>
        <x:v>0</x:v>
      </x:c>
      <x:c r="R428" t="n">
        <x:f>R427+IF(OR(LEFT(H428,15)="Missing dates; ",LEFT(H428,16)="Add N/A reason; ",H428="Add dates",H428="Add registration",H428="Check date format"),1,0)</x:f>
        <x:v>0</x:v>
      </x:c>
      <x:c r="S428" t="n">
        <x:f>S427+IF(COUNTIFS(C428:F428,"Reviewed N/A")&gt;0,1,0)</x:f>
        <x:v>0</x:v>
      </x:c>
    </x:row>
    <x:row r="429" ht="48" customHeight="1">
      <x:c r="A429" s="52"/>
      <x:c r="B429" s="52"/>
      <x:c r="C429" s="53"/>
      <x:c r="D429" s="53"/>
      <x:c r="E429" s="53"/>
      <x:c r="F429" s="53"/>
      <x:c r="G429" s="52"/>
      <x:c r="H429" s="21" t="str">
        <x:f>IF(COUNTA(A429:G429,I429)=0,"",IF(A429="","Add registration",IF(OR(COUNTA(C429:F429)&gt;COUNT(C429:F429)+COUNTIFS(C429:F429,"Reviewed N/A"),AND(COUNT(C429:F429)&gt;0,OR(MIN(C429:F429)&lt;36526,MAX(C429:F429)&gt;109574))),"Check date format",IF(AND(COUNTIFS(C429:F429,"Reviewed N/A")&gt;0,I429=""),"Add N/A reason; ","")&amp;IF(COUNT(C429:F429)=0,IF(COUNTIFS(C429:F429,"Reviewed N/A")=4,"No applicable dates recorded","Add dates"),IF(COUNT(C429:F429)+COUNTIFS(C429:F429,"Reviewed N/A")&lt;4,"Missing dates; ","")&amp;IF(MIN(C429:F429)&lt;TODAY(),"Overdue: ",IF(MIN(C429:F429)=TODAY(),"Due today: ",IF(MIN(C429:F429)&lt;=TODAY()+30,"Due within 30 days: ","Next: ")))&amp;INDEX($C$8:$F$8,1,MATCH(MIN(C429:F429),C429:F429,0))&amp;" "&amp;TEXT(MIN(C429:F429),"dd mmm yyyy")))))</x:f>
      </x:c>
      <x:c r="I429" s="52"/>
      <x:c r="J429" t="str">
        <x:f>IF(AND(A429&lt;&gt;"",COUNTIFS(C429,"&gt;=36526",C429,"&lt;"&amp;TODAY())+COUNTIFS(D429,"&gt;=36526",D429,"&lt;"&amp;TODAY())+COUNTIFS(E429,"&gt;=36526",E429,"&lt;"&amp;TODAY())+COUNTIFS(F429,"&gt;=36526",F429,"&lt;"&amp;TODAY())&gt;0),O429,"")</x:f>
      </x:c>
      <x:c r="K429" t="str">
        <x:f>IF(AND(A429&lt;&gt;"",COUNTIFS(C429,"&gt;=36526",C429,TODAY())+COUNTIFS(D429,"&gt;=36526",D429,TODAY())+COUNTIFS(E429,"&gt;=36526",E429,TODAY())+COUNTIFS(F429,"&gt;=36526",F429,TODAY())&gt;0),P429,"")</x:f>
      </x:c>
      <x:c r="L429" t="str">
        <x:f>IF(AND(A429&lt;&gt;"",COUNTIFS(C429,"&gt;"&amp;TODAY(),C429,"&lt;="&amp;TODAY()+30)+COUNTIFS(D429,"&gt;"&amp;TODAY(),D429,"&lt;="&amp;TODAY()+30)+COUNTIFS(E429,"&gt;"&amp;TODAY(),E429,"&lt;="&amp;TODAY()+30)+COUNTIFS(F429,"&gt;"&amp;TODAY(),F429,"&lt;="&amp;TODAY()+30)&gt;0),Q429,"")</x:f>
      </x:c>
      <x:c r="M429" t="str">
        <x:f>IF(OR(LEFT(H429,15)="Missing dates; ",LEFT(H429,16)="Add N/A reason; ",H429="Add dates",H429="Add registration",H429="Check date format"),R429,"")</x:f>
      </x:c>
      <x:c r="N429" t="str">
        <x:f>IF(COUNTIFS(C429:F429,"Reviewed N/A")&gt;0,S429,"")</x:f>
      </x:c>
      <x:c r="O429" t="n">
        <x:f>O428+IF(AND(A429&lt;&gt;"",COUNTIFS(C429,"&gt;=36526",C429,"&lt;"&amp;TODAY())+COUNTIFS(D429,"&gt;=36526",D429,"&lt;"&amp;TODAY())+COUNTIFS(E429,"&gt;=36526",E429,"&lt;"&amp;TODAY())+COUNTIFS(F429,"&gt;=36526",F429,"&lt;"&amp;TODAY())&gt;0),1,0)</x:f>
        <x:v>0</x:v>
      </x:c>
      <x:c r="P429" t="n">
        <x:f>P428+IF(AND(A429&lt;&gt;"",COUNTIFS(C429,"&gt;=36526",C429,TODAY())+COUNTIFS(D429,"&gt;=36526",D429,TODAY())+COUNTIFS(E429,"&gt;=36526",E429,TODAY())+COUNTIFS(F429,"&gt;=36526",F429,TODAY())&gt;0),1,0)</x:f>
        <x:v>0</x:v>
      </x:c>
      <x:c r="Q429" t="n">
        <x:f>Q428+IF(AND(A429&lt;&gt;"",COUNTIFS(C429,"&gt;"&amp;TODAY(),C429,"&lt;="&amp;TODAY()+30)+COUNTIFS(D429,"&gt;"&amp;TODAY(),D429,"&lt;="&amp;TODAY()+30)+COUNTIFS(E429,"&gt;"&amp;TODAY(),E429,"&lt;="&amp;TODAY()+30)+COUNTIFS(F429,"&gt;"&amp;TODAY(),F429,"&lt;="&amp;TODAY()+30)&gt;0),1,0)</x:f>
        <x:v>0</x:v>
      </x:c>
      <x:c r="R429" t="n">
        <x:f>R428+IF(OR(LEFT(H429,15)="Missing dates; ",LEFT(H429,16)="Add N/A reason; ",H429="Add dates",H429="Add registration",H429="Check date format"),1,0)</x:f>
        <x:v>0</x:v>
      </x:c>
      <x:c r="S429" t="n">
        <x:f>S428+IF(COUNTIFS(C429:F429,"Reviewed N/A")&gt;0,1,0)</x:f>
        <x:v>0</x:v>
      </x:c>
    </x:row>
    <x:row r="430" ht="48" customHeight="1">
      <x:c r="A430" s="52"/>
      <x:c r="B430" s="52"/>
      <x:c r="C430" s="53"/>
      <x:c r="D430" s="53"/>
      <x:c r="E430" s="53"/>
      <x:c r="F430" s="53"/>
      <x:c r="G430" s="52"/>
      <x:c r="H430" s="21" t="str">
        <x:f>IF(COUNTA(A430:G430,I430)=0,"",IF(A430="","Add registration",IF(OR(COUNTA(C430:F430)&gt;COUNT(C430:F430)+COUNTIFS(C430:F430,"Reviewed N/A"),AND(COUNT(C430:F430)&gt;0,OR(MIN(C430:F430)&lt;36526,MAX(C430:F430)&gt;109574))),"Check date format",IF(AND(COUNTIFS(C430:F430,"Reviewed N/A")&gt;0,I430=""),"Add N/A reason; ","")&amp;IF(COUNT(C430:F430)=0,IF(COUNTIFS(C430:F430,"Reviewed N/A")=4,"No applicable dates recorded","Add dates"),IF(COUNT(C430:F430)+COUNTIFS(C430:F430,"Reviewed N/A")&lt;4,"Missing dates; ","")&amp;IF(MIN(C430:F430)&lt;TODAY(),"Overdue: ",IF(MIN(C430:F430)=TODAY(),"Due today: ",IF(MIN(C430:F430)&lt;=TODAY()+30,"Due within 30 days: ","Next: ")))&amp;INDEX($C$8:$F$8,1,MATCH(MIN(C430:F430),C430:F430,0))&amp;" "&amp;TEXT(MIN(C430:F430),"dd mmm yyyy")))))</x:f>
      </x:c>
      <x:c r="I430" s="52"/>
      <x:c r="J430" t="str">
        <x:f>IF(AND(A430&lt;&gt;"",COUNTIFS(C430,"&gt;=36526",C430,"&lt;"&amp;TODAY())+COUNTIFS(D430,"&gt;=36526",D430,"&lt;"&amp;TODAY())+COUNTIFS(E430,"&gt;=36526",E430,"&lt;"&amp;TODAY())+COUNTIFS(F430,"&gt;=36526",F430,"&lt;"&amp;TODAY())&gt;0),O430,"")</x:f>
      </x:c>
      <x:c r="K430" t="str">
        <x:f>IF(AND(A430&lt;&gt;"",COUNTIFS(C430,"&gt;=36526",C430,TODAY())+COUNTIFS(D430,"&gt;=36526",D430,TODAY())+COUNTIFS(E430,"&gt;=36526",E430,TODAY())+COUNTIFS(F430,"&gt;=36526",F430,TODAY())&gt;0),P430,"")</x:f>
      </x:c>
      <x:c r="L430" t="str">
        <x:f>IF(AND(A430&lt;&gt;"",COUNTIFS(C430,"&gt;"&amp;TODAY(),C430,"&lt;="&amp;TODAY()+30)+COUNTIFS(D430,"&gt;"&amp;TODAY(),D430,"&lt;="&amp;TODAY()+30)+COUNTIFS(E430,"&gt;"&amp;TODAY(),E430,"&lt;="&amp;TODAY()+30)+COUNTIFS(F430,"&gt;"&amp;TODAY(),F430,"&lt;="&amp;TODAY()+30)&gt;0),Q430,"")</x:f>
      </x:c>
      <x:c r="M430" t="str">
        <x:f>IF(OR(LEFT(H430,15)="Missing dates; ",LEFT(H430,16)="Add N/A reason; ",H430="Add dates",H430="Add registration",H430="Check date format"),R430,"")</x:f>
      </x:c>
      <x:c r="N430" t="str">
        <x:f>IF(COUNTIFS(C430:F430,"Reviewed N/A")&gt;0,S430,"")</x:f>
      </x:c>
      <x:c r="O430" t="n">
        <x:f>O429+IF(AND(A430&lt;&gt;"",COUNTIFS(C430,"&gt;=36526",C430,"&lt;"&amp;TODAY())+COUNTIFS(D430,"&gt;=36526",D430,"&lt;"&amp;TODAY())+COUNTIFS(E430,"&gt;=36526",E430,"&lt;"&amp;TODAY())+COUNTIFS(F430,"&gt;=36526",F430,"&lt;"&amp;TODAY())&gt;0),1,0)</x:f>
        <x:v>0</x:v>
      </x:c>
      <x:c r="P430" t="n">
        <x:f>P429+IF(AND(A430&lt;&gt;"",COUNTIFS(C430,"&gt;=36526",C430,TODAY())+COUNTIFS(D430,"&gt;=36526",D430,TODAY())+COUNTIFS(E430,"&gt;=36526",E430,TODAY())+COUNTIFS(F430,"&gt;=36526",F430,TODAY())&gt;0),1,0)</x:f>
        <x:v>0</x:v>
      </x:c>
      <x:c r="Q430" t="n">
        <x:f>Q429+IF(AND(A430&lt;&gt;"",COUNTIFS(C430,"&gt;"&amp;TODAY(),C430,"&lt;="&amp;TODAY()+30)+COUNTIFS(D430,"&gt;"&amp;TODAY(),D430,"&lt;="&amp;TODAY()+30)+COUNTIFS(E430,"&gt;"&amp;TODAY(),E430,"&lt;="&amp;TODAY()+30)+COUNTIFS(F430,"&gt;"&amp;TODAY(),F430,"&lt;="&amp;TODAY()+30)&gt;0),1,0)</x:f>
        <x:v>0</x:v>
      </x:c>
      <x:c r="R430" t="n">
        <x:f>R429+IF(OR(LEFT(H430,15)="Missing dates; ",LEFT(H430,16)="Add N/A reason; ",H430="Add dates",H430="Add registration",H430="Check date format"),1,0)</x:f>
        <x:v>0</x:v>
      </x:c>
      <x:c r="S430" t="n">
        <x:f>S429+IF(COUNTIFS(C430:F430,"Reviewed N/A")&gt;0,1,0)</x:f>
        <x:v>0</x:v>
      </x:c>
    </x:row>
    <x:row r="431" ht="48" customHeight="1">
      <x:c r="A431" s="52"/>
      <x:c r="B431" s="52"/>
      <x:c r="C431" s="53"/>
      <x:c r="D431" s="53"/>
      <x:c r="E431" s="53"/>
      <x:c r="F431" s="53"/>
      <x:c r="G431" s="52"/>
      <x:c r="H431" s="21" t="str">
        <x:f>IF(COUNTA(A431:G431,I431)=0,"",IF(A431="","Add registration",IF(OR(COUNTA(C431:F431)&gt;COUNT(C431:F431)+COUNTIFS(C431:F431,"Reviewed N/A"),AND(COUNT(C431:F431)&gt;0,OR(MIN(C431:F431)&lt;36526,MAX(C431:F431)&gt;109574))),"Check date format",IF(AND(COUNTIFS(C431:F431,"Reviewed N/A")&gt;0,I431=""),"Add N/A reason; ","")&amp;IF(COUNT(C431:F431)=0,IF(COUNTIFS(C431:F431,"Reviewed N/A")=4,"No applicable dates recorded","Add dates"),IF(COUNT(C431:F431)+COUNTIFS(C431:F431,"Reviewed N/A")&lt;4,"Missing dates; ","")&amp;IF(MIN(C431:F431)&lt;TODAY(),"Overdue: ",IF(MIN(C431:F431)=TODAY(),"Due today: ",IF(MIN(C431:F431)&lt;=TODAY()+30,"Due within 30 days: ","Next: ")))&amp;INDEX($C$8:$F$8,1,MATCH(MIN(C431:F431),C431:F431,0))&amp;" "&amp;TEXT(MIN(C431:F431),"dd mmm yyyy")))))</x:f>
      </x:c>
      <x:c r="I431" s="52"/>
      <x:c r="J431" t="str">
        <x:f>IF(AND(A431&lt;&gt;"",COUNTIFS(C431,"&gt;=36526",C431,"&lt;"&amp;TODAY())+COUNTIFS(D431,"&gt;=36526",D431,"&lt;"&amp;TODAY())+COUNTIFS(E431,"&gt;=36526",E431,"&lt;"&amp;TODAY())+COUNTIFS(F431,"&gt;=36526",F431,"&lt;"&amp;TODAY())&gt;0),O431,"")</x:f>
      </x:c>
      <x:c r="K431" t="str">
        <x:f>IF(AND(A431&lt;&gt;"",COUNTIFS(C431,"&gt;=36526",C431,TODAY())+COUNTIFS(D431,"&gt;=36526",D431,TODAY())+COUNTIFS(E431,"&gt;=36526",E431,TODAY())+COUNTIFS(F431,"&gt;=36526",F431,TODAY())&gt;0),P431,"")</x:f>
      </x:c>
      <x:c r="L431" t="str">
        <x:f>IF(AND(A431&lt;&gt;"",COUNTIFS(C431,"&gt;"&amp;TODAY(),C431,"&lt;="&amp;TODAY()+30)+COUNTIFS(D431,"&gt;"&amp;TODAY(),D431,"&lt;="&amp;TODAY()+30)+COUNTIFS(E431,"&gt;"&amp;TODAY(),E431,"&lt;="&amp;TODAY()+30)+COUNTIFS(F431,"&gt;"&amp;TODAY(),F431,"&lt;="&amp;TODAY()+30)&gt;0),Q431,"")</x:f>
      </x:c>
      <x:c r="M431" t="str">
        <x:f>IF(OR(LEFT(H431,15)="Missing dates; ",LEFT(H431,16)="Add N/A reason; ",H431="Add dates",H431="Add registration",H431="Check date format"),R431,"")</x:f>
      </x:c>
      <x:c r="N431" t="str">
        <x:f>IF(COUNTIFS(C431:F431,"Reviewed N/A")&gt;0,S431,"")</x:f>
      </x:c>
      <x:c r="O431" t="n">
        <x:f>O430+IF(AND(A431&lt;&gt;"",COUNTIFS(C431,"&gt;=36526",C431,"&lt;"&amp;TODAY())+COUNTIFS(D431,"&gt;=36526",D431,"&lt;"&amp;TODAY())+COUNTIFS(E431,"&gt;=36526",E431,"&lt;"&amp;TODAY())+COUNTIFS(F431,"&gt;=36526",F431,"&lt;"&amp;TODAY())&gt;0),1,0)</x:f>
        <x:v>0</x:v>
      </x:c>
      <x:c r="P431" t="n">
        <x:f>P430+IF(AND(A431&lt;&gt;"",COUNTIFS(C431,"&gt;=36526",C431,TODAY())+COUNTIFS(D431,"&gt;=36526",D431,TODAY())+COUNTIFS(E431,"&gt;=36526",E431,TODAY())+COUNTIFS(F431,"&gt;=36526",F431,TODAY())&gt;0),1,0)</x:f>
        <x:v>0</x:v>
      </x:c>
      <x:c r="Q431" t="n">
        <x:f>Q430+IF(AND(A431&lt;&gt;"",COUNTIFS(C431,"&gt;"&amp;TODAY(),C431,"&lt;="&amp;TODAY()+30)+COUNTIFS(D431,"&gt;"&amp;TODAY(),D431,"&lt;="&amp;TODAY()+30)+COUNTIFS(E431,"&gt;"&amp;TODAY(),E431,"&lt;="&amp;TODAY()+30)+COUNTIFS(F431,"&gt;"&amp;TODAY(),F431,"&lt;="&amp;TODAY()+30)&gt;0),1,0)</x:f>
        <x:v>0</x:v>
      </x:c>
      <x:c r="R431" t="n">
        <x:f>R430+IF(OR(LEFT(H431,15)="Missing dates; ",LEFT(H431,16)="Add N/A reason; ",H431="Add dates",H431="Add registration",H431="Check date format"),1,0)</x:f>
        <x:v>0</x:v>
      </x:c>
      <x:c r="S431" t="n">
        <x:f>S430+IF(COUNTIFS(C431:F431,"Reviewed N/A")&gt;0,1,0)</x:f>
        <x:v>0</x:v>
      </x:c>
    </x:row>
    <x:row r="432" ht="48" customHeight="1">
      <x:c r="A432" s="52"/>
      <x:c r="B432" s="52"/>
      <x:c r="C432" s="53"/>
      <x:c r="D432" s="53"/>
      <x:c r="E432" s="53"/>
      <x:c r="F432" s="53"/>
      <x:c r="G432" s="52"/>
      <x:c r="H432" s="21" t="str">
        <x:f>IF(COUNTA(A432:G432,I432)=0,"",IF(A432="","Add registration",IF(OR(COUNTA(C432:F432)&gt;COUNT(C432:F432)+COUNTIFS(C432:F432,"Reviewed N/A"),AND(COUNT(C432:F432)&gt;0,OR(MIN(C432:F432)&lt;36526,MAX(C432:F432)&gt;109574))),"Check date format",IF(AND(COUNTIFS(C432:F432,"Reviewed N/A")&gt;0,I432=""),"Add N/A reason; ","")&amp;IF(COUNT(C432:F432)=0,IF(COUNTIFS(C432:F432,"Reviewed N/A")=4,"No applicable dates recorded","Add dates"),IF(COUNT(C432:F432)+COUNTIFS(C432:F432,"Reviewed N/A")&lt;4,"Missing dates; ","")&amp;IF(MIN(C432:F432)&lt;TODAY(),"Overdue: ",IF(MIN(C432:F432)=TODAY(),"Due today: ",IF(MIN(C432:F432)&lt;=TODAY()+30,"Due within 30 days: ","Next: ")))&amp;INDEX($C$8:$F$8,1,MATCH(MIN(C432:F432),C432:F432,0))&amp;" "&amp;TEXT(MIN(C432:F432),"dd mmm yyyy")))))</x:f>
      </x:c>
      <x:c r="I432" s="52"/>
      <x:c r="J432" t="str">
        <x:f>IF(AND(A432&lt;&gt;"",COUNTIFS(C432,"&gt;=36526",C432,"&lt;"&amp;TODAY())+COUNTIFS(D432,"&gt;=36526",D432,"&lt;"&amp;TODAY())+COUNTIFS(E432,"&gt;=36526",E432,"&lt;"&amp;TODAY())+COUNTIFS(F432,"&gt;=36526",F432,"&lt;"&amp;TODAY())&gt;0),O432,"")</x:f>
      </x:c>
      <x:c r="K432" t="str">
        <x:f>IF(AND(A432&lt;&gt;"",COUNTIFS(C432,"&gt;=36526",C432,TODAY())+COUNTIFS(D432,"&gt;=36526",D432,TODAY())+COUNTIFS(E432,"&gt;=36526",E432,TODAY())+COUNTIFS(F432,"&gt;=36526",F432,TODAY())&gt;0),P432,"")</x:f>
      </x:c>
      <x:c r="L432" t="str">
        <x:f>IF(AND(A432&lt;&gt;"",COUNTIFS(C432,"&gt;"&amp;TODAY(),C432,"&lt;="&amp;TODAY()+30)+COUNTIFS(D432,"&gt;"&amp;TODAY(),D432,"&lt;="&amp;TODAY()+30)+COUNTIFS(E432,"&gt;"&amp;TODAY(),E432,"&lt;="&amp;TODAY()+30)+COUNTIFS(F432,"&gt;"&amp;TODAY(),F432,"&lt;="&amp;TODAY()+30)&gt;0),Q432,"")</x:f>
      </x:c>
      <x:c r="M432" t="str">
        <x:f>IF(OR(LEFT(H432,15)="Missing dates; ",LEFT(H432,16)="Add N/A reason; ",H432="Add dates",H432="Add registration",H432="Check date format"),R432,"")</x:f>
      </x:c>
      <x:c r="N432" t="str">
        <x:f>IF(COUNTIFS(C432:F432,"Reviewed N/A")&gt;0,S432,"")</x:f>
      </x:c>
      <x:c r="O432" t="n">
        <x:f>O431+IF(AND(A432&lt;&gt;"",COUNTIFS(C432,"&gt;=36526",C432,"&lt;"&amp;TODAY())+COUNTIFS(D432,"&gt;=36526",D432,"&lt;"&amp;TODAY())+COUNTIFS(E432,"&gt;=36526",E432,"&lt;"&amp;TODAY())+COUNTIFS(F432,"&gt;=36526",F432,"&lt;"&amp;TODAY())&gt;0),1,0)</x:f>
        <x:v>0</x:v>
      </x:c>
      <x:c r="P432" t="n">
        <x:f>P431+IF(AND(A432&lt;&gt;"",COUNTIFS(C432,"&gt;=36526",C432,TODAY())+COUNTIFS(D432,"&gt;=36526",D432,TODAY())+COUNTIFS(E432,"&gt;=36526",E432,TODAY())+COUNTIFS(F432,"&gt;=36526",F432,TODAY())&gt;0),1,0)</x:f>
        <x:v>0</x:v>
      </x:c>
      <x:c r="Q432" t="n">
        <x:f>Q431+IF(AND(A432&lt;&gt;"",COUNTIFS(C432,"&gt;"&amp;TODAY(),C432,"&lt;="&amp;TODAY()+30)+COUNTIFS(D432,"&gt;"&amp;TODAY(),D432,"&lt;="&amp;TODAY()+30)+COUNTIFS(E432,"&gt;"&amp;TODAY(),E432,"&lt;="&amp;TODAY()+30)+COUNTIFS(F432,"&gt;"&amp;TODAY(),F432,"&lt;="&amp;TODAY()+30)&gt;0),1,0)</x:f>
        <x:v>0</x:v>
      </x:c>
      <x:c r="R432" t="n">
        <x:f>R431+IF(OR(LEFT(H432,15)="Missing dates; ",LEFT(H432,16)="Add N/A reason; ",H432="Add dates",H432="Add registration",H432="Check date format"),1,0)</x:f>
        <x:v>0</x:v>
      </x:c>
      <x:c r="S432" t="n">
        <x:f>S431+IF(COUNTIFS(C432:F432,"Reviewed N/A")&gt;0,1,0)</x:f>
        <x:v>0</x:v>
      </x:c>
    </x:row>
    <x:row r="433" ht="48" customHeight="1">
      <x:c r="A433" s="52"/>
      <x:c r="B433" s="52"/>
      <x:c r="C433" s="53"/>
      <x:c r="D433" s="53"/>
      <x:c r="E433" s="53"/>
      <x:c r="F433" s="53"/>
      <x:c r="G433" s="52"/>
      <x:c r="H433" s="21" t="str">
        <x:f>IF(COUNTA(A433:G433,I433)=0,"",IF(A433="","Add registration",IF(OR(COUNTA(C433:F433)&gt;COUNT(C433:F433)+COUNTIFS(C433:F433,"Reviewed N/A"),AND(COUNT(C433:F433)&gt;0,OR(MIN(C433:F433)&lt;36526,MAX(C433:F433)&gt;109574))),"Check date format",IF(AND(COUNTIFS(C433:F433,"Reviewed N/A")&gt;0,I433=""),"Add N/A reason; ","")&amp;IF(COUNT(C433:F433)=0,IF(COUNTIFS(C433:F433,"Reviewed N/A")=4,"No applicable dates recorded","Add dates"),IF(COUNT(C433:F433)+COUNTIFS(C433:F433,"Reviewed N/A")&lt;4,"Missing dates; ","")&amp;IF(MIN(C433:F433)&lt;TODAY(),"Overdue: ",IF(MIN(C433:F433)=TODAY(),"Due today: ",IF(MIN(C433:F433)&lt;=TODAY()+30,"Due within 30 days: ","Next: ")))&amp;INDEX($C$8:$F$8,1,MATCH(MIN(C433:F433),C433:F433,0))&amp;" "&amp;TEXT(MIN(C433:F433),"dd mmm yyyy")))))</x:f>
      </x:c>
      <x:c r="I433" s="52"/>
      <x:c r="J433" t="str">
        <x:f>IF(AND(A433&lt;&gt;"",COUNTIFS(C433,"&gt;=36526",C433,"&lt;"&amp;TODAY())+COUNTIFS(D433,"&gt;=36526",D433,"&lt;"&amp;TODAY())+COUNTIFS(E433,"&gt;=36526",E433,"&lt;"&amp;TODAY())+COUNTIFS(F433,"&gt;=36526",F433,"&lt;"&amp;TODAY())&gt;0),O433,"")</x:f>
      </x:c>
      <x:c r="K433" t="str">
        <x:f>IF(AND(A433&lt;&gt;"",COUNTIFS(C433,"&gt;=36526",C433,TODAY())+COUNTIFS(D433,"&gt;=36526",D433,TODAY())+COUNTIFS(E433,"&gt;=36526",E433,TODAY())+COUNTIFS(F433,"&gt;=36526",F433,TODAY())&gt;0),P433,"")</x:f>
      </x:c>
      <x:c r="L433" t="str">
        <x:f>IF(AND(A433&lt;&gt;"",COUNTIFS(C433,"&gt;"&amp;TODAY(),C433,"&lt;="&amp;TODAY()+30)+COUNTIFS(D433,"&gt;"&amp;TODAY(),D433,"&lt;="&amp;TODAY()+30)+COUNTIFS(E433,"&gt;"&amp;TODAY(),E433,"&lt;="&amp;TODAY()+30)+COUNTIFS(F433,"&gt;"&amp;TODAY(),F433,"&lt;="&amp;TODAY()+30)&gt;0),Q433,"")</x:f>
      </x:c>
      <x:c r="M433" t="str">
        <x:f>IF(OR(LEFT(H433,15)="Missing dates; ",LEFT(H433,16)="Add N/A reason; ",H433="Add dates",H433="Add registration",H433="Check date format"),R433,"")</x:f>
      </x:c>
      <x:c r="N433" t="str">
        <x:f>IF(COUNTIFS(C433:F433,"Reviewed N/A")&gt;0,S433,"")</x:f>
      </x:c>
      <x:c r="O433" t="n">
        <x:f>O432+IF(AND(A433&lt;&gt;"",COUNTIFS(C433,"&gt;=36526",C433,"&lt;"&amp;TODAY())+COUNTIFS(D433,"&gt;=36526",D433,"&lt;"&amp;TODAY())+COUNTIFS(E433,"&gt;=36526",E433,"&lt;"&amp;TODAY())+COUNTIFS(F433,"&gt;=36526",F433,"&lt;"&amp;TODAY())&gt;0),1,0)</x:f>
        <x:v>0</x:v>
      </x:c>
      <x:c r="P433" t="n">
        <x:f>P432+IF(AND(A433&lt;&gt;"",COUNTIFS(C433,"&gt;=36526",C433,TODAY())+COUNTIFS(D433,"&gt;=36526",D433,TODAY())+COUNTIFS(E433,"&gt;=36526",E433,TODAY())+COUNTIFS(F433,"&gt;=36526",F433,TODAY())&gt;0),1,0)</x:f>
        <x:v>0</x:v>
      </x:c>
      <x:c r="Q433" t="n">
        <x:f>Q432+IF(AND(A433&lt;&gt;"",COUNTIFS(C433,"&gt;"&amp;TODAY(),C433,"&lt;="&amp;TODAY()+30)+COUNTIFS(D433,"&gt;"&amp;TODAY(),D433,"&lt;="&amp;TODAY()+30)+COUNTIFS(E433,"&gt;"&amp;TODAY(),E433,"&lt;="&amp;TODAY()+30)+COUNTIFS(F433,"&gt;"&amp;TODAY(),F433,"&lt;="&amp;TODAY()+30)&gt;0),1,0)</x:f>
        <x:v>0</x:v>
      </x:c>
      <x:c r="R433" t="n">
        <x:f>R432+IF(OR(LEFT(H433,15)="Missing dates; ",LEFT(H433,16)="Add N/A reason; ",H433="Add dates",H433="Add registration",H433="Check date format"),1,0)</x:f>
        <x:v>0</x:v>
      </x:c>
      <x:c r="S433" t="n">
        <x:f>S432+IF(COUNTIFS(C433:F433,"Reviewed N/A")&gt;0,1,0)</x:f>
        <x:v>0</x:v>
      </x:c>
    </x:row>
    <x:row r="434" ht="48" customHeight="1">
      <x:c r="A434" s="52"/>
      <x:c r="B434" s="52"/>
      <x:c r="C434" s="53"/>
      <x:c r="D434" s="53"/>
      <x:c r="E434" s="53"/>
      <x:c r="F434" s="53"/>
      <x:c r="G434" s="52"/>
      <x:c r="H434" s="21" t="str">
        <x:f>IF(COUNTA(A434:G434,I434)=0,"",IF(A434="","Add registration",IF(OR(COUNTA(C434:F434)&gt;COUNT(C434:F434)+COUNTIFS(C434:F434,"Reviewed N/A"),AND(COUNT(C434:F434)&gt;0,OR(MIN(C434:F434)&lt;36526,MAX(C434:F434)&gt;109574))),"Check date format",IF(AND(COUNTIFS(C434:F434,"Reviewed N/A")&gt;0,I434=""),"Add N/A reason; ","")&amp;IF(COUNT(C434:F434)=0,IF(COUNTIFS(C434:F434,"Reviewed N/A")=4,"No applicable dates recorded","Add dates"),IF(COUNT(C434:F434)+COUNTIFS(C434:F434,"Reviewed N/A")&lt;4,"Missing dates; ","")&amp;IF(MIN(C434:F434)&lt;TODAY(),"Overdue: ",IF(MIN(C434:F434)=TODAY(),"Due today: ",IF(MIN(C434:F434)&lt;=TODAY()+30,"Due within 30 days: ","Next: ")))&amp;INDEX($C$8:$F$8,1,MATCH(MIN(C434:F434),C434:F434,0))&amp;" "&amp;TEXT(MIN(C434:F434),"dd mmm yyyy")))))</x:f>
      </x:c>
      <x:c r="I434" s="52"/>
      <x:c r="J434" t="str">
        <x:f>IF(AND(A434&lt;&gt;"",COUNTIFS(C434,"&gt;=36526",C434,"&lt;"&amp;TODAY())+COUNTIFS(D434,"&gt;=36526",D434,"&lt;"&amp;TODAY())+COUNTIFS(E434,"&gt;=36526",E434,"&lt;"&amp;TODAY())+COUNTIFS(F434,"&gt;=36526",F434,"&lt;"&amp;TODAY())&gt;0),O434,"")</x:f>
      </x:c>
      <x:c r="K434" t="str">
        <x:f>IF(AND(A434&lt;&gt;"",COUNTIFS(C434,"&gt;=36526",C434,TODAY())+COUNTIFS(D434,"&gt;=36526",D434,TODAY())+COUNTIFS(E434,"&gt;=36526",E434,TODAY())+COUNTIFS(F434,"&gt;=36526",F434,TODAY())&gt;0),P434,"")</x:f>
      </x:c>
      <x:c r="L434" t="str">
        <x:f>IF(AND(A434&lt;&gt;"",COUNTIFS(C434,"&gt;"&amp;TODAY(),C434,"&lt;="&amp;TODAY()+30)+COUNTIFS(D434,"&gt;"&amp;TODAY(),D434,"&lt;="&amp;TODAY()+30)+COUNTIFS(E434,"&gt;"&amp;TODAY(),E434,"&lt;="&amp;TODAY()+30)+COUNTIFS(F434,"&gt;"&amp;TODAY(),F434,"&lt;="&amp;TODAY()+30)&gt;0),Q434,"")</x:f>
      </x:c>
      <x:c r="M434" t="str">
        <x:f>IF(OR(LEFT(H434,15)="Missing dates; ",LEFT(H434,16)="Add N/A reason; ",H434="Add dates",H434="Add registration",H434="Check date format"),R434,"")</x:f>
      </x:c>
      <x:c r="N434" t="str">
        <x:f>IF(COUNTIFS(C434:F434,"Reviewed N/A")&gt;0,S434,"")</x:f>
      </x:c>
      <x:c r="O434" t="n">
        <x:f>O433+IF(AND(A434&lt;&gt;"",COUNTIFS(C434,"&gt;=36526",C434,"&lt;"&amp;TODAY())+COUNTIFS(D434,"&gt;=36526",D434,"&lt;"&amp;TODAY())+COUNTIFS(E434,"&gt;=36526",E434,"&lt;"&amp;TODAY())+COUNTIFS(F434,"&gt;=36526",F434,"&lt;"&amp;TODAY())&gt;0),1,0)</x:f>
        <x:v>0</x:v>
      </x:c>
      <x:c r="P434" t="n">
        <x:f>P433+IF(AND(A434&lt;&gt;"",COUNTIFS(C434,"&gt;=36526",C434,TODAY())+COUNTIFS(D434,"&gt;=36526",D434,TODAY())+COUNTIFS(E434,"&gt;=36526",E434,TODAY())+COUNTIFS(F434,"&gt;=36526",F434,TODAY())&gt;0),1,0)</x:f>
        <x:v>0</x:v>
      </x:c>
      <x:c r="Q434" t="n">
        <x:f>Q433+IF(AND(A434&lt;&gt;"",COUNTIFS(C434,"&gt;"&amp;TODAY(),C434,"&lt;="&amp;TODAY()+30)+COUNTIFS(D434,"&gt;"&amp;TODAY(),D434,"&lt;="&amp;TODAY()+30)+COUNTIFS(E434,"&gt;"&amp;TODAY(),E434,"&lt;="&amp;TODAY()+30)+COUNTIFS(F434,"&gt;"&amp;TODAY(),F434,"&lt;="&amp;TODAY()+30)&gt;0),1,0)</x:f>
        <x:v>0</x:v>
      </x:c>
      <x:c r="R434" t="n">
        <x:f>R433+IF(OR(LEFT(H434,15)="Missing dates; ",LEFT(H434,16)="Add N/A reason; ",H434="Add dates",H434="Add registration",H434="Check date format"),1,0)</x:f>
        <x:v>0</x:v>
      </x:c>
      <x:c r="S434" t="n">
        <x:f>S433+IF(COUNTIFS(C434:F434,"Reviewed N/A")&gt;0,1,0)</x:f>
        <x:v>0</x:v>
      </x:c>
    </x:row>
    <x:row r="435" ht="48" customHeight="1">
      <x:c r="A435" s="52"/>
      <x:c r="B435" s="52"/>
      <x:c r="C435" s="53"/>
      <x:c r="D435" s="53"/>
      <x:c r="E435" s="53"/>
      <x:c r="F435" s="53"/>
      <x:c r="G435" s="52"/>
      <x:c r="H435" s="21" t="str">
        <x:f>IF(COUNTA(A435:G435,I435)=0,"",IF(A435="","Add registration",IF(OR(COUNTA(C435:F435)&gt;COUNT(C435:F435)+COUNTIFS(C435:F435,"Reviewed N/A"),AND(COUNT(C435:F435)&gt;0,OR(MIN(C435:F435)&lt;36526,MAX(C435:F435)&gt;109574))),"Check date format",IF(AND(COUNTIFS(C435:F435,"Reviewed N/A")&gt;0,I435=""),"Add N/A reason; ","")&amp;IF(COUNT(C435:F435)=0,IF(COUNTIFS(C435:F435,"Reviewed N/A")=4,"No applicable dates recorded","Add dates"),IF(COUNT(C435:F435)+COUNTIFS(C435:F435,"Reviewed N/A")&lt;4,"Missing dates; ","")&amp;IF(MIN(C435:F435)&lt;TODAY(),"Overdue: ",IF(MIN(C435:F435)=TODAY(),"Due today: ",IF(MIN(C435:F435)&lt;=TODAY()+30,"Due within 30 days: ","Next: ")))&amp;INDEX($C$8:$F$8,1,MATCH(MIN(C435:F435),C435:F435,0))&amp;" "&amp;TEXT(MIN(C435:F435),"dd mmm yyyy")))))</x:f>
      </x:c>
      <x:c r="I435" s="52"/>
      <x:c r="J435" t="str">
        <x:f>IF(AND(A435&lt;&gt;"",COUNTIFS(C435,"&gt;=36526",C435,"&lt;"&amp;TODAY())+COUNTIFS(D435,"&gt;=36526",D435,"&lt;"&amp;TODAY())+COUNTIFS(E435,"&gt;=36526",E435,"&lt;"&amp;TODAY())+COUNTIFS(F435,"&gt;=36526",F435,"&lt;"&amp;TODAY())&gt;0),O435,"")</x:f>
      </x:c>
      <x:c r="K435" t="str">
        <x:f>IF(AND(A435&lt;&gt;"",COUNTIFS(C435,"&gt;=36526",C435,TODAY())+COUNTIFS(D435,"&gt;=36526",D435,TODAY())+COUNTIFS(E435,"&gt;=36526",E435,TODAY())+COUNTIFS(F435,"&gt;=36526",F435,TODAY())&gt;0),P435,"")</x:f>
      </x:c>
      <x:c r="L435" t="str">
        <x:f>IF(AND(A435&lt;&gt;"",COUNTIFS(C435,"&gt;"&amp;TODAY(),C435,"&lt;="&amp;TODAY()+30)+COUNTIFS(D435,"&gt;"&amp;TODAY(),D435,"&lt;="&amp;TODAY()+30)+COUNTIFS(E435,"&gt;"&amp;TODAY(),E435,"&lt;="&amp;TODAY()+30)+COUNTIFS(F435,"&gt;"&amp;TODAY(),F435,"&lt;="&amp;TODAY()+30)&gt;0),Q435,"")</x:f>
      </x:c>
      <x:c r="M435" t="str">
        <x:f>IF(OR(LEFT(H435,15)="Missing dates; ",LEFT(H435,16)="Add N/A reason; ",H435="Add dates",H435="Add registration",H435="Check date format"),R435,"")</x:f>
      </x:c>
      <x:c r="N435" t="str">
        <x:f>IF(COUNTIFS(C435:F435,"Reviewed N/A")&gt;0,S435,"")</x:f>
      </x:c>
      <x:c r="O435" t="n">
        <x:f>O434+IF(AND(A435&lt;&gt;"",COUNTIFS(C435,"&gt;=36526",C435,"&lt;"&amp;TODAY())+COUNTIFS(D435,"&gt;=36526",D435,"&lt;"&amp;TODAY())+COUNTIFS(E435,"&gt;=36526",E435,"&lt;"&amp;TODAY())+COUNTIFS(F435,"&gt;=36526",F435,"&lt;"&amp;TODAY())&gt;0),1,0)</x:f>
        <x:v>0</x:v>
      </x:c>
      <x:c r="P435" t="n">
        <x:f>P434+IF(AND(A435&lt;&gt;"",COUNTIFS(C435,"&gt;=36526",C435,TODAY())+COUNTIFS(D435,"&gt;=36526",D435,TODAY())+COUNTIFS(E435,"&gt;=36526",E435,TODAY())+COUNTIFS(F435,"&gt;=36526",F435,TODAY())&gt;0),1,0)</x:f>
        <x:v>0</x:v>
      </x:c>
      <x:c r="Q435" t="n">
        <x:f>Q434+IF(AND(A435&lt;&gt;"",COUNTIFS(C435,"&gt;"&amp;TODAY(),C435,"&lt;="&amp;TODAY()+30)+COUNTIFS(D435,"&gt;"&amp;TODAY(),D435,"&lt;="&amp;TODAY()+30)+COUNTIFS(E435,"&gt;"&amp;TODAY(),E435,"&lt;="&amp;TODAY()+30)+COUNTIFS(F435,"&gt;"&amp;TODAY(),F435,"&lt;="&amp;TODAY()+30)&gt;0),1,0)</x:f>
        <x:v>0</x:v>
      </x:c>
      <x:c r="R435" t="n">
        <x:f>R434+IF(OR(LEFT(H435,15)="Missing dates; ",LEFT(H435,16)="Add N/A reason; ",H435="Add dates",H435="Add registration",H435="Check date format"),1,0)</x:f>
        <x:v>0</x:v>
      </x:c>
      <x:c r="S435" t="n">
        <x:f>S434+IF(COUNTIFS(C435:F435,"Reviewed N/A")&gt;0,1,0)</x:f>
        <x:v>0</x:v>
      </x:c>
    </x:row>
    <x:row r="436" ht="48" customHeight="1">
      <x:c r="A436" s="52"/>
      <x:c r="B436" s="52"/>
      <x:c r="C436" s="53"/>
      <x:c r="D436" s="53"/>
      <x:c r="E436" s="53"/>
      <x:c r="F436" s="53"/>
      <x:c r="G436" s="52"/>
      <x:c r="H436" s="21" t="str">
        <x:f>IF(COUNTA(A436:G436,I436)=0,"",IF(A436="","Add registration",IF(OR(COUNTA(C436:F436)&gt;COUNT(C436:F436)+COUNTIFS(C436:F436,"Reviewed N/A"),AND(COUNT(C436:F436)&gt;0,OR(MIN(C436:F436)&lt;36526,MAX(C436:F436)&gt;109574))),"Check date format",IF(AND(COUNTIFS(C436:F436,"Reviewed N/A")&gt;0,I436=""),"Add N/A reason; ","")&amp;IF(COUNT(C436:F436)=0,IF(COUNTIFS(C436:F436,"Reviewed N/A")=4,"No applicable dates recorded","Add dates"),IF(COUNT(C436:F436)+COUNTIFS(C436:F436,"Reviewed N/A")&lt;4,"Missing dates; ","")&amp;IF(MIN(C436:F436)&lt;TODAY(),"Overdue: ",IF(MIN(C436:F436)=TODAY(),"Due today: ",IF(MIN(C436:F436)&lt;=TODAY()+30,"Due within 30 days: ","Next: ")))&amp;INDEX($C$8:$F$8,1,MATCH(MIN(C436:F436),C436:F436,0))&amp;" "&amp;TEXT(MIN(C436:F436),"dd mmm yyyy")))))</x:f>
      </x:c>
      <x:c r="I436" s="52"/>
      <x:c r="J436" t="str">
        <x:f>IF(AND(A436&lt;&gt;"",COUNTIFS(C436,"&gt;=36526",C436,"&lt;"&amp;TODAY())+COUNTIFS(D436,"&gt;=36526",D436,"&lt;"&amp;TODAY())+COUNTIFS(E436,"&gt;=36526",E436,"&lt;"&amp;TODAY())+COUNTIFS(F436,"&gt;=36526",F436,"&lt;"&amp;TODAY())&gt;0),O436,"")</x:f>
      </x:c>
      <x:c r="K436" t="str">
        <x:f>IF(AND(A436&lt;&gt;"",COUNTIFS(C436,"&gt;=36526",C436,TODAY())+COUNTIFS(D436,"&gt;=36526",D436,TODAY())+COUNTIFS(E436,"&gt;=36526",E436,TODAY())+COUNTIFS(F436,"&gt;=36526",F436,TODAY())&gt;0),P436,"")</x:f>
      </x:c>
      <x:c r="L436" t="str">
        <x:f>IF(AND(A436&lt;&gt;"",COUNTIFS(C436,"&gt;"&amp;TODAY(),C436,"&lt;="&amp;TODAY()+30)+COUNTIFS(D436,"&gt;"&amp;TODAY(),D436,"&lt;="&amp;TODAY()+30)+COUNTIFS(E436,"&gt;"&amp;TODAY(),E436,"&lt;="&amp;TODAY()+30)+COUNTIFS(F436,"&gt;"&amp;TODAY(),F436,"&lt;="&amp;TODAY()+30)&gt;0),Q436,"")</x:f>
      </x:c>
      <x:c r="M436" t="str">
        <x:f>IF(OR(LEFT(H436,15)="Missing dates; ",LEFT(H436,16)="Add N/A reason; ",H436="Add dates",H436="Add registration",H436="Check date format"),R436,"")</x:f>
      </x:c>
      <x:c r="N436" t="str">
        <x:f>IF(COUNTIFS(C436:F436,"Reviewed N/A")&gt;0,S436,"")</x:f>
      </x:c>
      <x:c r="O436" t="n">
        <x:f>O435+IF(AND(A436&lt;&gt;"",COUNTIFS(C436,"&gt;=36526",C436,"&lt;"&amp;TODAY())+COUNTIFS(D436,"&gt;=36526",D436,"&lt;"&amp;TODAY())+COUNTIFS(E436,"&gt;=36526",E436,"&lt;"&amp;TODAY())+COUNTIFS(F436,"&gt;=36526",F436,"&lt;"&amp;TODAY())&gt;0),1,0)</x:f>
        <x:v>0</x:v>
      </x:c>
      <x:c r="P436" t="n">
        <x:f>P435+IF(AND(A436&lt;&gt;"",COUNTIFS(C436,"&gt;=36526",C436,TODAY())+COUNTIFS(D436,"&gt;=36526",D436,TODAY())+COUNTIFS(E436,"&gt;=36526",E436,TODAY())+COUNTIFS(F436,"&gt;=36526",F436,TODAY())&gt;0),1,0)</x:f>
        <x:v>0</x:v>
      </x:c>
      <x:c r="Q436" t="n">
        <x:f>Q435+IF(AND(A436&lt;&gt;"",COUNTIFS(C436,"&gt;"&amp;TODAY(),C436,"&lt;="&amp;TODAY()+30)+COUNTIFS(D436,"&gt;"&amp;TODAY(),D436,"&lt;="&amp;TODAY()+30)+COUNTIFS(E436,"&gt;"&amp;TODAY(),E436,"&lt;="&amp;TODAY()+30)+COUNTIFS(F436,"&gt;"&amp;TODAY(),F436,"&lt;="&amp;TODAY()+30)&gt;0),1,0)</x:f>
        <x:v>0</x:v>
      </x:c>
      <x:c r="R436" t="n">
        <x:f>R435+IF(OR(LEFT(H436,15)="Missing dates; ",LEFT(H436,16)="Add N/A reason; ",H436="Add dates",H436="Add registration",H436="Check date format"),1,0)</x:f>
        <x:v>0</x:v>
      </x:c>
      <x:c r="S436" t="n">
        <x:f>S435+IF(COUNTIFS(C436:F436,"Reviewed N/A")&gt;0,1,0)</x:f>
        <x:v>0</x:v>
      </x:c>
    </x:row>
    <x:row r="437" ht="48" customHeight="1">
      <x:c r="A437" s="52"/>
      <x:c r="B437" s="52"/>
      <x:c r="C437" s="53"/>
      <x:c r="D437" s="53"/>
      <x:c r="E437" s="53"/>
      <x:c r="F437" s="53"/>
      <x:c r="G437" s="52"/>
      <x:c r="H437" s="21" t="str">
        <x:f>IF(COUNTA(A437:G437,I437)=0,"",IF(A437="","Add registration",IF(OR(COUNTA(C437:F437)&gt;COUNT(C437:F437)+COUNTIFS(C437:F437,"Reviewed N/A"),AND(COUNT(C437:F437)&gt;0,OR(MIN(C437:F437)&lt;36526,MAX(C437:F437)&gt;109574))),"Check date format",IF(AND(COUNTIFS(C437:F437,"Reviewed N/A")&gt;0,I437=""),"Add N/A reason; ","")&amp;IF(COUNT(C437:F437)=0,IF(COUNTIFS(C437:F437,"Reviewed N/A")=4,"No applicable dates recorded","Add dates"),IF(COUNT(C437:F437)+COUNTIFS(C437:F437,"Reviewed N/A")&lt;4,"Missing dates; ","")&amp;IF(MIN(C437:F437)&lt;TODAY(),"Overdue: ",IF(MIN(C437:F437)=TODAY(),"Due today: ",IF(MIN(C437:F437)&lt;=TODAY()+30,"Due within 30 days: ","Next: ")))&amp;INDEX($C$8:$F$8,1,MATCH(MIN(C437:F437),C437:F437,0))&amp;" "&amp;TEXT(MIN(C437:F437),"dd mmm yyyy")))))</x:f>
      </x:c>
      <x:c r="I437" s="52"/>
      <x:c r="J437" t="str">
        <x:f>IF(AND(A437&lt;&gt;"",COUNTIFS(C437,"&gt;=36526",C437,"&lt;"&amp;TODAY())+COUNTIFS(D437,"&gt;=36526",D437,"&lt;"&amp;TODAY())+COUNTIFS(E437,"&gt;=36526",E437,"&lt;"&amp;TODAY())+COUNTIFS(F437,"&gt;=36526",F437,"&lt;"&amp;TODAY())&gt;0),O437,"")</x:f>
      </x:c>
      <x:c r="K437" t="str">
        <x:f>IF(AND(A437&lt;&gt;"",COUNTIFS(C437,"&gt;=36526",C437,TODAY())+COUNTIFS(D437,"&gt;=36526",D437,TODAY())+COUNTIFS(E437,"&gt;=36526",E437,TODAY())+COUNTIFS(F437,"&gt;=36526",F437,TODAY())&gt;0),P437,"")</x:f>
      </x:c>
      <x:c r="L437" t="str">
        <x:f>IF(AND(A437&lt;&gt;"",COUNTIFS(C437,"&gt;"&amp;TODAY(),C437,"&lt;="&amp;TODAY()+30)+COUNTIFS(D437,"&gt;"&amp;TODAY(),D437,"&lt;="&amp;TODAY()+30)+COUNTIFS(E437,"&gt;"&amp;TODAY(),E437,"&lt;="&amp;TODAY()+30)+COUNTIFS(F437,"&gt;"&amp;TODAY(),F437,"&lt;="&amp;TODAY()+30)&gt;0),Q437,"")</x:f>
      </x:c>
      <x:c r="M437" t="str">
        <x:f>IF(OR(LEFT(H437,15)="Missing dates; ",LEFT(H437,16)="Add N/A reason; ",H437="Add dates",H437="Add registration",H437="Check date format"),R437,"")</x:f>
      </x:c>
      <x:c r="N437" t="str">
        <x:f>IF(COUNTIFS(C437:F437,"Reviewed N/A")&gt;0,S437,"")</x:f>
      </x:c>
      <x:c r="O437" t="n">
        <x:f>O436+IF(AND(A437&lt;&gt;"",COUNTIFS(C437,"&gt;=36526",C437,"&lt;"&amp;TODAY())+COUNTIFS(D437,"&gt;=36526",D437,"&lt;"&amp;TODAY())+COUNTIFS(E437,"&gt;=36526",E437,"&lt;"&amp;TODAY())+COUNTIFS(F437,"&gt;=36526",F437,"&lt;"&amp;TODAY())&gt;0),1,0)</x:f>
        <x:v>0</x:v>
      </x:c>
      <x:c r="P437" t="n">
        <x:f>P436+IF(AND(A437&lt;&gt;"",COUNTIFS(C437,"&gt;=36526",C437,TODAY())+COUNTIFS(D437,"&gt;=36526",D437,TODAY())+COUNTIFS(E437,"&gt;=36526",E437,TODAY())+COUNTIFS(F437,"&gt;=36526",F437,TODAY())&gt;0),1,0)</x:f>
        <x:v>0</x:v>
      </x:c>
      <x:c r="Q437" t="n">
        <x:f>Q436+IF(AND(A437&lt;&gt;"",COUNTIFS(C437,"&gt;"&amp;TODAY(),C437,"&lt;="&amp;TODAY()+30)+COUNTIFS(D437,"&gt;"&amp;TODAY(),D437,"&lt;="&amp;TODAY()+30)+COUNTIFS(E437,"&gt;"&amp;TODAY(),E437,"&lt;="&amp;TODAY()+30)+COUNTIFS(F437,"&gt;"&amp;TODAY(),F437,"&lt;="&amp;TODAY()+30)&gt;0),1,0)</x:f>
        <x:v>0</x:v>
      </x:c>
      <x:c r="R437" t="n">
        <x:f>R436+IF(OR(LEFT(H437,15)="Missing dates; ",LEFT(H437,16)="Add N/A reason; ",H437="Add dates",H437="Add registration",H437="Check date format"),1,0)</x:f>
        <x:v>0</x:v>
      </x:c>
      <x:c r="S437" t="n">
        <x:f>S436+IF(COUNTIFS(C437:F437,"Reviewed N/A")&gt;0,1,0)</x:f>
        <x:v>0</x:v>
      </x:c>
    </x:row>
    <x:row r="438" ht="48" customHeight="1">
      <x:c r="A438" s="52"/>
      <x:c r="B438" s="52"/>
      <x:c r="C438" s="53"/>
      <x:c r="D438" s="53"/>
      <x:c r="E438" s="53"/>
      <x:c r="F438" s="53"/>
      <x:c r="G438" s="52"/>
      <x:c r="H438" s="21" t="str">
        <x:f>IF(COUNTA(A438:G438,I438)=0,"",IF(A438="","Add registration",IF(OR(COUNTA(C438:F438)&gt;COUNT(C438:F438)+COUNTIFS(C438:F438,"Reviewed N/A"),AND(COUNT(C438:F438)&gt;0,OR(MIN(C438:F438)&lt;36526,MAX(C438:F438)&gt;109574))),"Check date format",IF(AND(COUNTIFS(C438:F438,"Reviewed N/A")&gt;0,I438=""),"Add N/A reason; ","")&amp;IF(COUNT(C438:F438)=0,IF(COUNTIFS(C438:F438,"Reviewed N/A")=4,"No applicable dates recorded","Add dates"),IF(COUNT(C438:F438)+COUNTIFS(C438:F438,"Reviewed N/A")&lt;4,"Missing dates; ","")&amp;IF(MIN(C438:F438)&lt;TODAY(),"Overdue: ",IF(MIN(C438:F438)=TODAY(),"Due today: ",IF(MIN(C438:F438)&lt;=TODAY()+30,"Due within 30 days: ","Next: ")))&amp;INDEX($C$8:$F$8,1,MATCH(MIN(C438:F438),C438:F438,0))&amp;" "&amp;TEXT(MIN(C438:F438),"dd mmm yyyy")))))</x:f>
      </x:c>
      <x:c r="I438" s="52"/>
      <x:c r="J438" t="str">
        <x:f>IF(AND(A438&lt;&gt;"",COUNTIFS(C438,"&gt;=36526",C438,"&lt;"&amp;TODAY())+COUNTIFS(D438,"&gt;=36526",D438,"&lt;"&amp;TODAY())+COUNTIFS(E438,"&gt;=36526",E438,"&lt;"&amp;TODAY())+COUNTIFS(F438,"&gt;=36526",F438,"&lt;"&amp;TODAY())&gt;0),O438,"")</x:f>
      </x:c>
      <x:c r="K438" t="str">
        <x:f>IF(AND(A438&lt;&gt;"",COUNTIFS(C438,"&gt;=36526",C438,TODAY())+COUNTIFS(D438,"&gt;=36526",D438,TODAY())+COUNTIFS(E438,"&gt;=36526",E438,TODAY())+COUNTIFS(F438,"&gt;=36526",F438,TODAY())&gt;0),P438,"")</x:f>
      </x:c>
      <x:c r="L438" t="str">
        <x:f>IF(AND(A438&lt;&gt;"",COUNTIFS(C438,"&gt;"&amp;TODAY(),C438,"&lt;="&amp;TODAY()+30)+COUNTIFS(D438,"&gt;"&amp;TODAY(),D438,"&lt;="&amp;TODAY()+30)+COUNTIFS(E438,"&gt;"&amp;TODAY(),E438,"&lt;="&amp;TODAY()+30)+COUNTIFS(F438,"&gt;"&amp;TODAY(),F438,"&lt;="&amp;TODAY()+30)&gt;0),Q438,"")</x:f>
      </x:c>
      <x:c r="M438" t="str">
        <x:f>IF(OR(LEFT(H438,15)="Missing dates; ",LEFT(H438,16)="Add N/A reason; ",H438="Add dates",H438="Add registration",H438="Check date format"),R438,"")</x:f>
      </x:c>
      <x:c r="N438" t="str">
        <x:f>IF(COUNTIFS(C438:F438,"Reviewed N/A")&gt;0,S438,"")</x:f>
      </x:c>
      <x:c r="O438" t="n">
        <x:f>O437+IF(AND(A438&lt;&gt;"",COUNTIFS(C438,"&gt;=36526",C438,"&lt;"&amp;TODAY())+COUNTIFS(D438,"&gt;=36526",D438,"&lt;"&amp;TODAY())+COUNTIFS(E438,"&gt;=36526",E438,"&lt;"&amp;TODAY())+COUNTIFS(F438,"&gt;=36526",F438,"&lt;"&amp;TODAY())&gt;0),1,0)</x:f>
        <x:v>0</x:v>
      </x:c>
      <x:c r="P438" t="n">
        <x:f>P437+IF(AND(A438&lt;&gt;"",COUNTIFS(C438,"&gt;=36526",C438,TODAY())+COUNTIFS(D438,"&gt;=36526",D438,TODAY())+COUNTIFS(E438,"&gt;=36526",E438,TODAY())+COUNTIFS(F438,"&gt;=36526",F438,TODAY())&gt;0),1,0)</x:f>
        <x:v>0</x:v>
      </x:c>
      <x:c r="Q438" t="n">
        <x:f>Q437+IF(AND(A438&lt;&gt;"",COUNTIFS(C438,"&gt;"&amp;TODAY(),C438,"&lt;="&amp;TODAY()+30)+COUNTIFS(D438,"&gt;"&amp;TODAY(),D438,"&lt;="&amp;TODAY()+30)+COUNTIFS(E438,"&gt;"&amp;TODAY(),E438,"&lt;="&amp;TODAY()+30)+COUNTIFS(F438,"&gt;"&amp;TODAY(),F438,"&lt;="&amp;TODAY()+30)&gt;0),1,0)</x:f>
        <x:v>0</x:v>
      </x:c>
      <x:c r="R438" t="n">
        <x:f>R437+IF(OR(LEFT(H438,15)="Missing dates; ",LEFT(H438,16)="Add N/A reason; ",H438="Add dates",H438="Add registration",H438="Check date format"),1,0)</x:f>
        <x:v>0</x:v>
      </x:c>
      <x:c r="S438" t="n">
        <x:f>S437+IF(COUNTIFS(C438:F438,"Reviewed N/A")&gt;0,1,0)</x:f>
        <x:v>0</x:v>
      </x:c>
    </x:row>
    <x:row r="439" ht="48" customHeight="1">
      <x:c r="A439" s="52"/>
      <x:c r="B439" s="52"/>
      <x:c r="C439" s="53"/>
      <x:c r="D439" s="53"/>
      <x:c r="E439" s="53"/>
      <x:c r="F439" s="53"/>
      <x:c r="G439" s="52"/>
      <x:c r="H439" s="21" t="str">
        <x:f>IF(COUNTA(A439:G439,I439)=0,"",IF(A439="","Add registration",IF(OR(COUNTA(C439:F439)&gt;COUNT(C439:F439)+COUNTIFS(C439:F439,"Reviewed N/A"),AND(COUNT(C439:F439)&gt;0,OR(MIN(C439:F439)&lt;36526,MAX(C439:F439)&gt;109574))),"Check date format",IF(AND(COUNTIFS(C439:F439,"Reviewed N/A")&gt;0,I439=""),"Add N/A reason; ","")&amp;IF(COUNT(C439:F439)=0,IF(COUNTIFS(C439:F439,"Reviewed N/A")=4,"No applicable dates recorded","Add dates"),IF(COUNT(C439:F439)+COUNTIFS(C439:F439,"Reviewed N/A")&lt;4,"Missing dates; ","")&amp;IF(MIN(C439:F439)&lt;TODAY(),"Overdue: ",IF(MIN(C439:F439)=TODAY(),"Due today: ",IF(MIN(C439:F439)&lt;=TODAY()+30,"Due within 30 days: ","Next: ")))&amp;INDEX($C$8:$F$8,1,MATCH(MIN(C439:F439),C439:F439,0))&amp;" "&amp;TEXT(MIN(C439:F439),"dd mmm yyyy")))))</x:f>
      </x:c>
      <x:c r="I439" s="52"/>
      <x:c r="J439" t="str">
        <x:f>IF(AND(A439&lt;&gt;"",COUNTIFS(C439,"&gt;=36526",C439,"&lt;"&amp;TODAY())+COUNTIFS(D439,"&gt;=36526",D439,"&lt;"&amp;TODAY())+COUNTIFS(E439,"&gt;=36526",E439,"&lt;"&amp;TODAY())+COUNTIFS(F439,"&gt;=36526",F439,"&lt;"&amp;TODAY())&gt;0),O439,"")</x:f>
      </x:c>
      <x:c r="K439" t="str">
        <x:f>IF(AND(A439&lt;&gt;"",COUNTIFS(C439,"&gt;=36526",C439,TODAY())+COUNTIFS(D439,"&gt;=36526",D439,TODAY())+COUNTIFS(E439,"&gt;=36526",E439,TODAY())+COUNTIFS(F439,"&gt;=36526",F439,TODAY())&gt;0),P439,"")</x:f>
      </x:c>
      <x:c r="L439" t="str">
        <x:f>IF(AND(A439&lt;&gt;"",COUNTIFS(C439,"&gt;"&amp;TODAY(),C439,"&lt;="&amp;TODAY()+30)+COUNTIFS(D439,"&gt;"&amp;TODAY(),D439,"&lt;="&amp;TODAY()+30)+COUNTIFS(E439,"&gt;"&amp;TODAY(),E439,"&lt;="&amp;TODAY()+30)+COUNTIFS(F439,"&gt;"&amp;TODAY(),F439,"&lt;="&amp;TODAY()+30)&gt;0),Q439,"")</x:f>
      </x:c>
      <x:c r="M439" t="str">
        <x:f>IF(OR(LEFT(H439,15)="Missing dates; ",LEFT(H439,16)="Add N/A reason; ",H439="Add dates",H439="Add registration",H439="Check date format"),R439,"")</x:f>
      </x:c>
      <x:c r="N439" t="str">
        <x:f>IF(COUNTIFS(C439:F439,"Reviewed N/A")&gt;0,S439,"")</x:f>
      </x:c>
      <x:c r="O439" t="n">
        <x:f>O438+IF(AND(A439&lt;&gt;"",COUNTIFS(C439,"&gt;=36526",C439,"&lt;"&amp;TODAY())+COUNTIFS(D439,"&gt;=36526",D439,"&lt;"&amp;TODAY())+COUNTIFS(E439,"&gt;=36526",E439,"&lt;"&amp;TODAY())+COUNTIFS(F439,"&gt;=36526",F439,"&lt;"&amp;TODAY())&gt;0),1,0)</x:f>
        <x:v>0</x:v>
      </x:c>
      <x:c r="P439" t="n">
        <x:f>P438+IF(AND(A439&lt;&gt;"",COUNTIFS(C439,"&gt;=36526",C439,TODAY())+COUNTIFS(D439,"&gt;=36526",D439,TODAY())+COUNTIFS(E439,"&gt;=36526",E439,TODAY())+COUNTIFS(F439,"&gt;=36526",F439,TODAY())&gt;0),1,0)</x:f>
        <x:v>0</x:v>
      </x:c>
      <x:c r="Q439" t="n">
        <x:f>Q438+IF(AND(A439&lt;&gt;"",COUNTIFS(C439,"&gt;"&amp;TODAY(),C439,"&lt;="&amp;TODAY()+30)+COUNTIFS(D439,"&gt;"&amp;TODAY(),D439,"&lt;="&amp;TODAY()+30)+COUNTIFS(E439,"&gt;"&amp;TODAY(),E439,"&lt;="&amp;TODAY()+30)+COUNTIFS(F439,"&gt;"&amp;TODAY(),F439,"&lt;="&amp;TODAY()+30)&gt;0),1,0)</x:f>
        <x:v>0</x:v>
      </x:c>
      <x:c r="R439" t="n">
        <x:f>R438+IF(OR(LEFT(H439,15)="Missing dates; ",LEFT(H439,16)="Add N/A reason; ",H439="Add dates",H439="Add registration",H439="Check date format"),1,0)</x:f>
        <x:v>0</x:v>
      </x:c>
      <x:c r="S439" t="n">
        <x:f>S438+IF(COUNTIFS(C439:F439,"Reviewed N/A")&gt;0,1,0)</x:f>
        <x:v>0</x:v>
      </x:c>
    </x:row>
    <x:row r="440" ht="48" customHeight="1">
      <x:c r="A440" s="52"/>
      <x:c r="B440" s="52"/>
      <x:c r="C440" s="53"/>
      <x:c r="D440" s="53"/>
      <x:c r="E440" s="53"/>
      <x:c r="F440" s="53"/>
      <x:c r="G440" s="52"/>
      <x:c r="H440" s="21" t="str">
        <x:f>IF(COUNTA(A440:G440,I440)=0,"",IF(A440="","Add registration",IF(OR(COUNTA(C440:F440)&gt;COUNT(C440:F440)+COUNTIFS(C440:F440,"Reviewed N/A"),AND(COUNT(C440:F440)&gt;0,OR(MIN(C440:F440)&lt;36526,MAX(C440:F440)&gt;109574))),"Check date format",IF(AND(COUNTIFS(C440:F440,"Reviewed N/A")&gt;0,I440=""),"Add N/A reason; ","")&amp;IF(COUNT(C440:F440)=0,IF(COUNTIFS(C440:F440,"Reviewed N/A")=4,"No applicable dates recorded","Add dates"),IF(COUNT(C440:F440)+COUNTIFS(C440:F440,"Reviewed N/A")&lt;4,"Missing dates; ","")&amp;IF(MIN(C440:F440)&lt;TODAY(),"Overdue: ",IF(MIN(C440:F440)=TODAY(),"Due today: ",IF(MIN(C440:F440)&lt;=TODAY()+30,"Due within 30 days: ","Next: ")))&amp;INDEX($C$8:$F$8,1,MATCH(MIN(C440:F440),C440:F440,0))&amp;" "&amp;TEXT(MIN(C440:F440),"dd mmm yyyy")))))</x:f>
      </x:c>
      <x:c r="I440" s="52"/>
      <x:c r="J440" t="str">
        <x:f>IF(AND(A440&lt;&gt;"",COUNTIFS(C440,"&gt;=36526",C440,"&lt;"&amp;TODAY())+COUNTIFS(D440,"&gt;=36526",D440,"&lt;"&amp;TODAY())+COUNTIFS(E440,"&gt;=36526",E440,"&lt;"&amp;TODAY())+COUNTIFS(F440,"&gt;=36526",F440,"&lt;"&amp;TODAY())&gt;0),O440,"")</x:f>
      </x:c>
      <x:c r="K440" t="str">
        <x:f>IF(AND(A440&lt;&gt;"",COUNTIFS(C440,"&gt;=36526",C440,TODAY())+COUNTIFS(D440,"&gt;=36526",D440,TODAY())+COUNTIFS(E440,"&gt;=36526",E440,TODAY())+COUNTIFS(F440,"&gt;=36526",F440,TODAY())&gt;0),P440,"")</x:f>
      </x:c>
      <x:c r="L440" t="str">
        <x:f>IF(AND(A440&lt;&gt;"",COUNTIFS(C440,"&gt;"&amp;TODAY(),C440,"&lt;="&amp;TODAY()+30)+COUNTIFS(D440,"&gt;"&amp;TODAY(),D440,"&lt;="&amp;TODAY()+30)+COUNTIFS(E440,"&gt;"&amp;TODAY(),E440,"&lt;="&amp;TODAY()+30)+COUNTIFS(F440,"&gt;"&amp;TODAY(),F440,"&lt;="&amp;TODAY()+30)&gt;0),Q440,"")</x:f>
      </x:c>
      <x:c r="M440" t="str">
        <x:f>IF(OR(LEFT(H440,15)="Missing dates; ",LEFT(H440,16)="Add N/A reason; ",H440="Add dates",H440="Add registration",H440="Check date format"),R440,"")</x:f>
      </x:c>
      <x:c r="N440" t="str">
        <x:f>IF(COUNTIFS(C440:F440,"Reviewed N/A")&gt;0,S440,"")</x:f>
      </x:c>
      <x:c r="O440" t="n">
        <x:f>O439+IF(AND(A440&lt;&gt;"",COUNTIFS(C440,"&gt;=36526",C440,"&lt;"&amp;TODAY())+COUNTIFS(D440,"&gt;=36526",D440,"&lt;"&amp;TODAY())+COUNTIFS(E440,"&gt;=36526",E440,"&lt;"&amp;TODAY())+COUNTIFS(F440,"&gt;=36526",F440,"&lt;"&amp;TODAY())&gt;0),1,0)</x:f>
        <x:v>0</x:v>
      </x:c>
      <x:c r="P440" t="n">
        <x:f>P439+IF(AND(A440&lt;&gt;"",COUNTIFS(C440,"&gt;=36526",C440,TODAY())+COUNTIFS(D440,"&gt;=36526",D440,TODAY())+COUNTIFS(E440,"&gt;=36526",E440,TODAY())+COUNTIFS(F440,"&gt;=36526",F440,TODAY())&gt;0),1,0)</x:f>
        <x:v>0</x:v>
      </x:c>
      <x:c r="Q440" t="n">
        <x:f>Q439+IF(AND(A440&lt;&gt;"",COUNTIFS(C440,"&gt;"&amp;TODAY(),C440,"&lt;="&amp;TODAY()+30)+COUNTIFS(D440,"&gt;"&amp;TODAY(),D440,"&lt;="&amp;TODAY()+30)+COUNTIFS(E440,"&gt;"&amp;TODAY(),E440,"&lt;="&amp;TODAY()+30)+COUNTIFS(F440,"&gt;"&amp;TODAY(),F440,"&lt;="&amp;TODAY()+30)&gt;0),1,0)</x:f>
        <x:v>0</x:v>
      </x:c>
      <x:c r="R440" t="n">
        <x:f>R439+IF(OR(LEFT(H440,15)="Missing dates; ",LEFT(H440,16)="Add N/A reason; ",H440="Add dates",H440="Add registration",H440="Check date format"),1,0)</x:f>
        <x:v>0</x:v>
      </x:c>
      <x:c r="S440" t="n">
        <x:f>S439+IF(COUNTIFS(C440:F440,"Reviewed N/A")&gt;0,1,0)</x:f>
        <x:v>0</x:v>
      </x:c>
    </x:row>
    <x:row r="441" ht="48" customHeight="1">
      <x:c r="A441" s="52"/>
      <x:c r="B441" s="52"/>
      <x:c r="C441" s="53"/>
      <x:c r="D441" s="53"/>
      <x:c r="E441" s="53"/>
      <x:c r="F441" s="53"/>
      <x:c r="G441" s="52"/>
      <x:c r="H441" s="21" t="str">
        <x:f>IF(COUNTA(A441:G441,I441)=0,"",IF(A441="","Add registration",IF(OR(COUNTA(C441:F441)&gt;COUNT(C441:F441)+COUNTIFS(C441:F441,"Reviewed N/A"),AND(COUNT(C441:F441)&gt;0,OR(MIN(C441:F441)&lt;36526,MAX(C441:F441)&gt;109574))),"Check date format",IF(AND(COUNTIFS(C441:F441,"Reviewed N/A")&gt;0,I441=""),"Add N/A reason; ","")&amp;IF(COUNT(C441:F441)=0,IF(COUNTIFS(C441:F441,"Reviewed N/A")=4,"No applicable dates recorded","Add dates"),IF(COUNT(C441:F441)+COUNTIFS(C441:F441,"Reviewed N/A")&lt;4,"Missing dates; ","")&amp;IF(MIN(C441:F441)&lt;TODAY(),"Overdue: ",IF(MIN(C441:F441)=TODAY(),"Due today: ",IF(MIN(C441:F441)&lt;=TODAY()+30,"Due within 30 days: ","Next: ")))&amp;INDEX($C$8:$F$8,1,MATCH(MIN(C441:F441),C441:F441,0))&amp;" "&amp;TEXT(MIN(C441:F441),"dd mmm yyyy")))))</x:f>
      </x:c>
      <x:c r="I441" s="52"/>
      <x:c r="J441" t="str">
        <x:f>IF(AND(A441&lt;&gt;"",COUNTIFS(C441,"&gt;=36526",C441,"&lt;"&amp;TODAY())+COUNTIFS(D441,"&gt;=36526",D441,"&lt;"&amp;TODAY())+COUNTIFS(E441,"&gt;=36526",E441,"&lt;"&amp;TODAY())+COUNTIFS(F441,"&gt;=36526",F441,"&lt;"&amp;TODAY())&gt;0),O441,"")</x:f>
      </x:c>
      <x:c r="K441" t="str">
        <x:f>IF(AND(A441&lt;&gt;"",COUNTIFS(C441,"&gt;=36526",C441,TODAY())+COUNTIFS(D441,"&gt;=36526",D441,TODAY())+COUNTIFS(E441,"&gt;=36526",E441,TODAY())+COUNTIFS(F441,"&gt;=36526",F441,TODAY())&gt;0),P441,"")</x:f>
      </x:c>
      <x:c r="L441" t="str">
        <x:f>IF(AND(A441&lt;&gt;"",COUNTIFS(C441,"&gt;"&amp;TODAY(),C441,"&lt;="&amp;TODAY()+30)+COUNTIFS(D441,"&gt;"&amp;TODAY(),D441,"&lt;="&amp;TODAY()+30)+COUNTIFS(E441,"&gt;"&amp;TODAY(),E441,"&lt;="&amp;TODAY()+30)+COUNTIFS(F441,"&gt;"&amp;TODAY(),F441,"&lt;="&amp;TODAY()+30)&gt;0),Q441,"")</x:f>
      </x:c>
      <x:c r="M441" t="str">
        <x:f>IF(OR(LEFT(H441,15)="Missing dates; ",LEFT(H441,16)="Add N/A reason; ",H441="Add dates",H441="Add registration",H441="Check date format"),R441,"")</x:f>
      </x:c>
      <x:c r="N441" t="str">
        <x:f>IF(COUNTIFS(C441:F441,"Reviewed N/A")&gt;0,S441,"")</x:f>
      </x:c>
      <x:c r="O441" t="n">
        <x:f>O440+IF(AND(A441&lt;&gt;"",COUNTIFS(C441,"&gt;=36526",C441,"&lt;"&amp;TODAY())+COUNTIFS(D441,"&gt;=36526",D441,"&lt;"&amp;TODAY())+COUNTIFS(E441,"&gt;=36526",E441,"&lt;"&amp;TODAY())+COUNTIFS(F441,"&gt;=36526",F441,"&lt;"&amp;TODAY())&gt;0),1,0)</x:f>
        <x:v>0</x:v>
      </x:c>
      <x:c r="P441" t="n">
        <x:f>P440+IF(AND(A441&lt;&gt;"",COUNTIFS(C441,"&gt;=36526",C441,TODAY())+COUNTIFS(D441,"&gt;=36526",D441,TODAY())+COUNTIFS(E441,"&gt;=36526",E441,TODAY())+COUNTIFS(F441,"&gt;=36526",F441,TODAY())&gt;0),1,0)</x:f>
        <x:v>0</x:v>
      </x:c>
      <x:c r="Q441" t="n">
        <x:f>Q440+IF(AND(A441&lt;&gt;"",COUNTIFS(C441,"&gt;"&amp;TODAY(),C441,"&lt;="&amp;TODAY()+30)+COUNTIFS(D441,"&gt;"&amp;TODAY(),D441,"&lt;="&amp;TODAY()+30)+COUNTIFS(E441,"&gt;"&amp;TODAY(),E441,"&lt;="&amp;TODAY()+30)+COUNTIFS(F441,"&gt;"&amp;TODAY(),F441,"&lt;="&amp;TODAY()+30)&gt;0),1,0)</x:f>
        <x:v>0</x:v>
      </x:c>
      <x:c r="R441" t="n">
        <x:f>R440+IF(OR(LEFT(H441,15)="Missing dates; ",LEFT(H441,16)="Add N/A reason; ",H441="Add dates",H441="Add registration",H441="Check date format"),1,0)</x:f>
        <x:v>0</x:v>
      </x:c>
      <x:c r="S441" t="n">
        <x:f>S440+IF(COUNTIFS(C441:F441,"Reviewed N/A")&gt;0,1,0)</x:f>
        <x:v>0</x:v>
      </x:c>
    </x:row>
    <x:row r="442" ht="48" customHeight="1">
      <x:c r="A442" s="52"/>
      <x:c r="B442" s="52"/>
      <x:c r="C442" s="53"/>
      <x:c r="D442" s="53"/>
      <x:c r="E442" s="53"/>
      <x:c r="F442" s="53"/>
      <x:c r="G442" s="52"/>
      <x:c r="H442" s="21" t="str">
        <x:f>IF(COUNTA(A442:G442,I442)=0,"",IF(A442="","Add registration",IF(OR(COUNTA(C442:F442)&gt;COUNT(C442:F442)+COUNTIFS(C442:F442,"Reviewed N/A"),AND(COUNT(C442:F442)&gt;0,OR(MIN(C442:F442)&lt;36526,MAX(C442:F442)&gt;109574))),"Check date format",IF(AND(COUNTIFS(C442:F442,"Reviewed N/A")&gt;0,I442=""),"Add N/A reason; ","")&amp;IF(COUNT(C442:F442)=0,IF(COUNTIFS(C442:F442,"Reviewed N/A")=4,"No applicable dates recorded","Add dates"),IF(COUNT(C442:F442)+COUNTIFS(C442:F442,"Reviewed N/A")&lt;4,"Missing dates; ","")&amp;IF(MIN(C442:F442)&lt;TODAY(),"Overdue: ",IF(MIN(C442:F442)=TODAY(),"Due today: ",IF(MIN(C442:F442)&lt;=TODAY()+30,"Due within 30 days: ","Next: ")))&amp;INDEX($C$8:$F$8,1,MATCH(MIN(C442:F442),C442:F442,0))&amp;" "&amp;TEXT(MIN(C442:F442),"dd mmm yyyy")))))</x:f>
      </x:c>
      <x:c r="I442" s="52"/>
      <x:c r="J442" t="str">
        <x:f>IF(AND(A442&lt;&gt;"",COUNTIFS(C442,"&gt;=36526",C442,"&lt;"&amp;TODAY())+COUNTIFS(D442,"&gt;=36526",D442,"&lt;"&amp;TODAY())+COUNTIFS(E442,"&gt;=36526",E442,"&lt;"&amp;TODAY())+COUNTIFS(F442,"&gt;=36526",F442,"&lt;"&amp;TODAY())&gt;0),O442,"")</x:f>
      </x:c>
      <x:c r="K442" t="str">
        <x:f>IF(AND(A442&lt;&gt;"",COUNTIFS(C442,"&gt;=36526",C442,TODAY())+COUNTIFS(D442,"&gt;=36526",D442,TODAY())+COUNTIFS(E442,"&gt;=36526",E442,TODAY())+COUNTIFS(F442,"&gt;=36526",F442,TODAY())&gt;0),P442,"")</x:f>
      </x:c>
      <x:c r="L442" t="str">
        <x:f>IF(AND(A442&lt;&gt;"",COUNTIFS(C442,"&gt;"&amp;TODAY(),C442,"&lt;="&amp;TODAY()+30)+COUNTIFS(D442,"&gt;"&amp;TODAY(),D442,"&lt;="&amp;TODAY()+30)+COUNTIFS(E442,"&gt;"&amp;TODAY(),E442,"&lt;="&amp;TODAY()+30)+COUNTIFS(F442,"&gt;"&amp;TODAY(),F442,"&lt;="&amp;TODAY()+30)&gt;0),Q442,"")</x:f>
      </x:c>
      <x:c r="M442" t="str">
        <x:f>IF(OR(LEFT(H442,15)="Missing dates; ",LEFT(H442,16)="Add N/A reason; ",H442="Add dates",H442="Add registration",H442="Check date format"),R442,"")</x:f>
      </x:c>
      <x:c r="N442" t="str">
        <x:f>IF(COUNTIFS(C442:F442,"Reviewed N/A")&gt;0,S442,"")</x:f>
      </x:c>
      <x:c r="O442" t="n">
        <x:f>O441+IF(AND(A442&lt;&gt;"",COUNTIFS(C442,"&gt;=36526",C442,"&lt;"&amp;TODAY())+COUNTIFS(D442,"&gt;=36526",D442,"&lt;"&amp;TODAY())+COUNTIFS(E442,"&gt;=36526",E442,"&lt;"&amp;TODAY())+COUNTIFS(F442,"&gt;=36526",F442,"&lt;"&amp;TODAY())&gt;0),1,0)</x:f>
        <x:v>0</x:v>
      </x:c>
      <x:c r="P442" t="n">
        <x:f>P441+IF(AND(A442&lt;&gt;"",COUNTIFS(C442,"&gt;=36526",C442,TODAY())+COUNTIFS(D442,"&gt;=36526",D442,TODAY())+COUNTIFS(E442,"&gt;=36526",E442,TODAY())+COUNTIFS(F442,"&gt;=36526",F442,TODAY())&gt;0),1,0)</x:f>
        <x:v>0</x:v>
      </x:c>
      <x:c r="Q442" t="n">
        <x:f>Q441+IF(AND(A442&lt;&gt;"",COUNTIFS(C442,"&gt;"&amp;TODAY(),C442,"&lt;="&amp;TODAY()+30)+COUNTIFS(D442,"&gt;"&amp;TODAY(),D442,"&lt;="&amp;TODAY()+30)+COUNTIFS(E442,"&gt;"&amp;TODAY(),E442,"&lt;="&amp;TODAY()+30)+COUNTIFS(F442,"&gt;"&amp;TODAY(),F442,"&lt;="&amp;TODAY()+30)&gt;0),1,0)</x:f>
        <x:v>0</x:v>
      </x:c>
      <x:c r="R442" t="n">
        <x:f>R441+IF(OR(LEFT(H442,15)="Missing dates; ",LEFT(H442,16)="Add N/A reason; ",H442="Add dates",H442="Add registration",H442="Check date format"),1,0)</x:f>
        <x:v>0</x:v>
      </x:c>
      <x:c r="S442" t="n">
        <x:f>S441+IF(COUNTIFS(C442:F442,"Reviewed N/A")&gt;0,1,0)</x:f>
        <x:v>0</x:v>
      </x:c>
    </x:row>
    <x:row r="443" ht="48" customHeight="1">
      <x:c r="A443" s="52"/>
      <x:c r="B443" s="52"/>
      <x:c r="C443" s="53"/>
      <x:c r="D443" s="53"/>
      <x:c r="E443" s="53"/>
      <x:c r="F443" s="53"/>
      <x:c r="G443" s="52"/>
      <x:c r="H443" s="21" t="str">
        <x:f>IF(COUNTA(A443:G443,I443)=0,"",IF(A443="","Add registration",IF(OR(COUNTA(C443:F443)&gt;COUNT(C443:F443)+COUNTIFS(C443:F443,"Reviewed N/A"),AND(COUNT(C443:F443)&gt;0,OR(MIN(C443:F443)&lt;36526,MAX(C443:F443)&gt;109574))),"Check date format",IF(AND(COUNTIFS(C443:F443,"Reviewed N/A")&gt;0,I443=""),"Add N/A reason; ","")&amp;IF(COUNT(C443:F443)=0,IF(COUNTIFS(C443:F443,"Reviewed N/A")=4,"No applicable dates recorded","Add dates"),IF(COUNT(C443:F443)+COUNTIFS(C443:F443,"Reviewed N/A")&lt;4,"Missing dates; ","")&amp;IF(MIN(C443:F443)&lt;TODAY(),"Overdue: ",IF(MIN(C443:F443)=TODAY(),"Due today: ",IF(MIN(C443:F443)&lt;=TODAY()+30,"Due within 30 days: ","Next: ")))&amp;INDEX($C$8:$F$8,1,MATCH(MIN(C443:F443),C443:F443,0))&amp;" "&amp;TEXT(MIN(C443:F443),"dd mmm yyyy")))))</x:f>
      </x:c>
      <x:c r="I443" s="52"/>
      <x:c r="J443" t="str">
        <x:f>IF(AND(A443&lt;&gt;"",COUNTIFS(C443,"&gt;=36526",C443,"&lt;"&amp;TODAY())+COUNTIFS(D443,"&gt;=36526",D443,"&lt;"&amp;TODAY())+COUNTIFS(E443,"&gt;=36526",E443,"&lt;"&amp;TODAY())+COUNTIFS(F443,"&gt;=36526",F443,"&lt;"&amp;TODAY())&gt;0),O443,"")</x:f>
      </x:c>
      <x:c r="K443" t="str">
        <x:f>IF(AND(A443&lt;&gt;"",COUNTIFS(C443,"&gt;=36526",C443,TODAY())+COUNTIFS(D443,"&gt;=36526",D443,TODAY())+COUNTIFS(E443,"&gt;=36526",E443,TODAY())+COUNTIFS(F443,"&gt;=36526",F443,TODAY())&gt;0),P443,"")</x:f>
      </x:c>
      <x:c r="L443" t="str">
        <x:f>IF(AND(A443&lt;&gt;"",COUNTIFS(C443,"&gt;"&amp;TODAY(),C443,"&lt;="&amp;TODAY()+30)+COUNTIFS(D443,"&gt;"&amp;TODAY(),D443,"&lt;="&amp;TODAY()+30)+COUNTIFS(E443,"&gt;"&amp;TODAY(),E443,"&lt;="&amp;TODAY()+30)+COUNTIFS(F443,"&gt;"&amp;TODAY(),F443,"&lt;="&amp;TODAY()+30)&gt;0),Q443,"")</x:f>
      </x:c>
      <x:c r="M443" t="str">
        <x:f>IF(OR(LEFT(H443,15)="Missing dates; ",LEFT(H443,16)="Add N/A reason; ",H443="Add dates",H443="Add registration",H443="Check date format"),R443,"")</x:f>
      </x:c>
      <x:c r="N443" t="str">
        <x:f>IF(COUNTIFS(C443:F443,"Reviewed N/A")&gt;0,S443,"")</x:f>
      </x:c>
      <x:c r="O443" t="n">
        <x:f>O442+IF(AND(A443&lt;&gt;"",COUNTIFS(C443,"&gt;=36526",C443,"&lt;"&amp;TODAY())+COUNTIFS(D443,"&gt;=36526",D443,"&lt;"&amp;TODAY())+COUNTIFS(E443,"&gt;=36526",E443,"&lt;"&amp;TODAY())+COUNTIFS(F443,"&gt;=36526",F443,"&lt;"&amp;TODAY())&gt;0),1,0)</x:f>
        <x:v>0</x:v>
      </x:c>
      <x:c r="P443" t="n">
        <x:f>P442+IF(AND(A443&lt;&gt;"",COUNTIFS(C443,"&gt;=36526",C443,TODAY())+COUNTIFS(D443,"&gt;=36526",D443,TODAY())+COUNTIFS(E443,"&gt;=36526",E443,TODAY())+COUNTIFS(F443,"&gt;=36526",F443,TODAY())&gt;0),1,0)</x:f>
        <x:v>0</x:v>
      </x:c>
      <x:c r="Q443" t="n">
        <x:f>Q442+IF(AND(A443&lt;&gt;"",COUNTIFS(C443,"&gt;"&amp;TODAY(),C443,"&lt;="&amp;TODAY()+30)+COUNTIFS(D443,"&gt;"&amp;TODAY(),D443,"&lt;="&amp;TODAY()+30)+COUNTIFS(E443,"&gt;"&amp;TODAY(),E443,"&lt;="&amp;TODAY()+30)+COUNTIFS(F443,"&gt;"&amp;TODAY(),F443,"&lt;="&amp;TODAY()+30)&gt;0),1,0)</x:f>
        <x:v>0</x:v>
      </x:c>
      <x:c r="R443" t="n">
        <x:f>R442+IF(OR(LEFT(H443,15)="Missing dates; ",LEFT(H443,16)="Add N/A reason; ",H443="Add dates",H443="Add registration",H443="Check date format"),1,0)</x:f>
        <x:v>0</x:v>
      </x:c>
      <x:c r="S443" t="n">
        <x:f>S442+IF(COUNTIFS(C443:F443,"Reviewed N/A")&gt;0,1,0)</x:f>
        <x:v>0</x:v>
      </x:c>
    </x:row>
    <x:row r="444" ht="48" customHeight="1">
      <x:c r="A444" s="52"/>
      <x:c r="B444" s="52"/>
      <x:c r="C444" s="53"/>
      <x:c r="D444" s="53"/>
      <x:c r="E444" s="53"/>
      <x:c r="F444" s="53"/>
      <x:c r="G444" s="52"/>
      <x:c r="H444" s="21" t="str">
        <x:f>IF(COUNTA(A444:G444,I444)=0,"",IF(A444="","Add registration",IF(OR(COUNTA(C444:F444)&gt;COUNT(C444:F444)+COUNTIFS(C444:F444,"Reviewed N/A"),AND(COUNT(C444:F444)&gt;0,OR(MIN(C444:F444)&lt;36526,MAX(C444:F444)&gt;109574))),"Check date format",IF(AND(COUNTIFS(C444:F444,"Reviewed N/A")&gt;0,I444=""),"Add N/A reason; ","")&amp;IF(COUNT(C444:F444)=0,IF(COUNTIFS(C444:F444,"Reviewed N/A")=4,"No applicable dates recorded","Add dates"),IF(COUNT(C444:F444)+COUNTIFS(C444:F444,"Reviewed N/A")&lt;4,"Missing dates; ","")&amp;IF(MIN(C444:F444)&lt;TODAY(),"Overdue: ",IF(MIN(C444:F444)=TODAY(),"Due today: ",IF(MIN(C444:F444)&lt;=TODAY()+30,"Due within 30 days: ","Next: ")))&amp;INDEX($C$8:$F$8,1,MATCH(MIN(C444:F444),C444:F444,0))&amp;" "&amp;TEXT(MIN(C444:F444),"dd mmm yyyy")))))</x:f>
      </x:c>
      <x:c r="I444" s="52"/>
      <x:c r="J444" t="str">
        <x:f>IF(AND(A444&lt;&gt;"",COUNTIFS(C444,"&gt;=36526",C444,"&lt;"&amp;TODAY())+COUNTIFS(D444,"&gt;=36526",D444,"&lt;"&amp;TODAY())+COUNTIFS(E444,"&gt;=36526",E444,"&lt;"&amp;TODAY())+COUNTIFS(F444,"&gt;=36526",F444,"&lt;"&amp;TODAY())&gt;0),O444,"")</x:f>
      </x:c>
      <x:c r="K444" t="str">
        <x:f>IF(AND(A444&lt;&gt;"",COUNTIFS(C444,"&gt;=36526",C444,TODAY())+COUNTIFS(D444,"&gt;=36526",D444,TODAY())+COUNTIFS(E444,"&gt;=36526",E444,TODAY())+COUNTIFS(F444,"&gt;=36526",F444,TODAY())&gt;0),P444,"")</x:f>
      </x:c>
      <x:c r="L444" t="str">
        <x:f>IF(AND(A444&lt;&gt;"",COUNTIFS(C444,"&gt;"&amp;TODAY(),C444,"&lt;="&amp;TODAY()+30)+COUNTIFS(D444,"&gt;"&amp;TODAY(),D444,"&lt;="&amp;TODAY()+30)+COUNTIFS(E444,"&gt;"&amp;TODAY(),E444,"&lt;="&amp;TODAY()+30)+COUNTIFS(F444,"&gt;"&amp;TODAY(),F444,"&lt;="&amp;TODAY()+30)&gt;0),Q444,"")</x:f>
      </x:c>
      <x:c r="M444" t="str">
        <x:f>IF(OR(LEFT(H444,15)="Missing dates; ",LEFT(H444,16)="Add N/A reason; ",H444="Add dates",H444="Add registration",H444="Check date format"),R444,"")</x:f>
      </x:c>
      <x:c r="N444" t="str">
        <x:f>IF(COUNTIFS(C444:F444,"Reviewed N/A")&gt;0,S444,"")</x:f>
      </x:c>
      <x:c r="O444" t="n">
        <x:f>O443+IF(AND(A444&lt;&gt;"",COUNTIFS(C444,"&gt;=36526",C444,"&lt;"&amp;TODAY())+COUNTIFS(D444,"&gt;=36526",D444,"&lt;"&amp;TODAY())+COUNTIFS(E444,"&gt;=36526",E444,"&lt;"&amp;TODAY())+COUNTIFS(F444,"&gt;=36526",F444,"&lt;"&amp;TODAY())&gt;0),1,0)</x:f>
        <x:v>0</x:v>
      </x:c>
      <x:c r="P444" t="n">
        <x:f>P443+IF(AND(A444&lt;&gt;"",COUNTIFS(C444,"&gt;=36526",C444,TODAY())+COUNTIFS(D444,"&gt;=36526",D444,TODAY())+COUNTIFS(E444,"&gt;=36526",E444,TODAY())+COUNTIFS(F444,"&gt;=36526",F444,TODAY())&gt;0),1,0)</x:f>
        <x:v>0</x:v>
      </x:c>
      <x:c r="Q444" t="n">
        <x:f>Q443+IF(AND(A444&lt;&gt;"",COUNTIFS(C444,"&gt;"&amp;TODAY(),C444,"&lt;="&amp;TODAY()+30)+COUNTIFS(D444,"&gt;"&amp;TODAY(),D444,"&lt;="&amp;TODAY()+30)+COUNTIFS(E444,"&gt;"&amp;TODAY(),E444,"&lt;="&amp;TODAY()+30)+COUNTIFS(F444,"&gt;"&amp;TODAY(),F444,"&lt;="&amp;TODAY()+30)&gt;0),1,0)</x:f>
        <x:v>0</x:v>
      </x:c>
      <x:c r="R444" t="n">
        <x:f>R443+IF(OR(LEFT(H444,15)="Missing dates; ",LEFT(H444,16)="Add N/A reason; ",H444="Add dates",H444="Add registration",H444="Check date format"),1,0)</x:f>
        <x:v>0</x:v>
      </x:c>
      <x:c r="S444" t="n">
        <x:f>S443+IF(COUNTIFS(C444:F444,"Reviewed N/A")&gt;0,1,0)</x:f>
        <x:v>0</x:v>
      </x:c>
    </x:row>
    <x:row r="445" ht="48" customHeight="1">
      <x:c r="A445" s="52"/>
      <x:c r="B445" s="52"/>
      <x:c r="C445" s="53"/>
      <x:c r="D445" s="53"/>
      <x:c r="E445" s="53"/>
      <x:c r="F445" s="53"/>
      <x:c r="G445" s="52"/>
      <x:c r="H445" s="21" t="str">
        <x:f>IF(COUNTA(A445:G445,I445)=0,"",IF(A445="","Add registration",IF(OR(COUNTA(C445:F445)&gt;COUNT(C445:F445)+COUNTIFS(C445:F445,"Reviewed N/A"),AND(COUNT(C445:F445)&gt;0,OR(MIN(C445:F445)&lt;36526,MAX(C445:F445)&gt;109574))),"Check date format",IF(AND(COUNTIFS(C445:F445,"Reviewed N/A")&gt;0,I445=""),"Add N/A reason; ","")&amp;IF(COUNT(C445:F445)=0,IF(COUNTIFS(C445:F445,"Reviewed N/A")=4,"No applicable dates recorded","Add dates"),IF(COUNT(C445:F445)+COUNTIFS(C445:F445,"Reviewed N/A")&lt;4,"Missing dates; ","")&amp;IF(MIN(C445:F445)&lt;TODAY(),"Overdue: ",IF(MIN(C445:F445)=TODAY(),"Due today: ",IF(MIN(C445:F445)&lt;=TODAY()+30,"Due within 30 days: ","Next: ")))&amp;INDEX($C$8:$F$8,1,MATCH(MIN(C445:F445),C445:F445,0))&amp;" "&amp;TEXT(MIN(C445:F445),"dd mmm yyyy")))))</x:f>
      </x:c>
      <x:c r="I445" s="52"/>
      <x:c r="J445" t="str">
        <x:f>IF(AND(A445&lt;&gt;"",COUNTIFS(C445,"&gt;=36526",C445,"&lt;"&amp;TODAY())+COUNTIFS(D445,"&gt;=36526",D445,"&lt;"&amp;TODAY())+COUNTIFS(E445,"&gt;=36526",E445,"&lt;"&amp;TODAY())+COUNTIFS(F445,"&gt;=36526",F445,"&lt;"&amp;TODAY())&gt;0),O445,"")</x:f>
      </x:c>
      <x:c r="K445" t="str">
        <x:f>IF(AND(A445&lt;&gt;"",COUNTIFS(C445,"&gt;=36526",C445,TODAY())+COUNTIFS(D445,"&gt;=36526",D445,TODAY())+COUNTIFS(E445,"&gt;=36526",E445,TODAY())+COUNTIFS(F445,"&gt;=36526",F445,TODAY())&gt;0),P445,"")</x:f>
      </x:c>
      <x:c r="L445" t="str">
        <x:f>IF(AND(A445&lt;&gt;"",COUNTIFS(C445,"&gt;"&amp;TODAY(),C445,"&lt;="&amp;TODAY()+30)+COUNTIFS(D445,"&gt;"&amp;TODAY(),D445,"&lt;="&amp;TODAY()+30)+COUNTIFS(E445,"&gt;"&amp;TODAY(),E445,"&lt;="&amp;TODAY()+30)+COUNTIFS(F445,"&gt;"&amp;TODAY(),F445,"&lt;="&amp;TODAY()+30)&gt;0),Q445,"")</x:f>
      </x:c>
      <x:c r="M445" t="str">
        <x:f>IF(OR(LEFT(H445,15)="Missing dates; ",LEFT(H445,16)="Add N/A reason; ",H445="Add dates",H445="Add registration",H445="Check date format"),R445,"")</x:f>
      </x:c>
      <x:c r="N445" t="str">
        <x:f>IF(COUNTIFS(C445:F445,"Reviewed N/A")&gt;0,S445,"")</x:f>
      </x:c>
      <x:c r="O445" t="n">
        <x:f>O444+IF(AND(A445&lt;&gt;"",COUNTIFS(C445,"&gt;=36526",C445,"&lt;"&amp;TODAY())+COUNTIFS(D445,"&gt;=36526",D445,"&lt;"&amp;TODAY())+COUNTIFS(E445,"&gt;=36526",E445,"&lt;"&amp;TODAY())+COUNTIFS(F445,"&gt;=36526",F445,"&lt;"&amp;TODAY())&gt;0),1,0)</x:f>
        <x:v>0</x:v>
      </x:c>
      <x:c r="P445" t="n">
        <x:f>P444+IF(AND(A445&lt;&gt;"",COUNTIFS(C445,"&gt;=36526",C445,TODAY())+COUNTIFS(D445,"&gt;=36526",D445,TODAY())+COUNTIFS(E445,"&gt;=36526",E445,TODAY())+COUNTIFS(F445,"&gt;=36526",F445,TODAY())&gt;0),1,0)</x:f>
        <x:v>0</x:v>
      </x:c>
      <x:c r="Q445" t="n">
        <x:f>Q444+IF(AND(A445&lt;&gt;"",COUNTIFS(C445,"&gt;"&amp;TODAY(),C445,"&lt;="&amp;TODAY()+30)+COUNTIFS(D445,"&gt;"&amp;TODAY(),D445,"&lt;="&amp;TODAY()+30)+COUNTIFS(E445,"&gt;"&amp;TODAY(),E445,"&lt;="&amp;TODAY()+30)+COUNTIFS(F445,"&gt;"&amp;TODAY(),F445,"&lt;="&amp;TODAY()+30)&gt;0),1,0)</x:f>
        <x:v>0</x:v>
      </x:c>
      <x:c r="R445" t="n">
        <x:f>R444+IF(OR(LEFT(H445,15)="Missing dates; ",LEFT(H445,16)="Add N/A reason; ",H445="Add dates",H445="Add registration",H445="Check date format"),1,0)</x:f>
        <x:v>0</x:v>
      </x:c>
      <x:c r="S445" t="n">
        <x:f>S444+IF(COUNTIFS(C445:F445,"Reviewed N/A")&gt;0,1,0)</x:f>
        <x:v>0</x:v>
      </x:c>
    </x:row>
    <x:row r="446" ht="48" customHeight="1">
      <x:c r="A446" s="52"/>
      <x:c r="B446" s="52"/>
      <x:c r="C446" s="53"/>
      <x:c r="D446" s="53"/>
      <x:c r="E446" s="53"/>
      <x:c r="F446" s="53"/>
      <x:c r="G446" s="52"/>
      <x:c r="H446" s="21" t="str">
        <x:f>IF(COUNTA(A446:G446,I446)=0,"",IF(A446="","Add registration",IF(OR(COUNTA(C446:F446)&gt;COUNT(C446:F446)+COUNTIFS(C446:F446,"Reviewed N/A"),AND(COUNT(C446:F446)&gt;0,OR(MIN(C446:F446)&lt;36526,MAX(C446:F446)&gt;109574))),"Check date format",IF(AND(COUNTIFS(C446:F446,"Reviewed N/A")&gt;0,I446=""),"Add N/A reason; ","")&amp;IF(COUNT(C446:F446)=0,IF(COUNTIFS(C446:F446,"Reviewed N/A")=4,"No applicable dates recorded","Add dates"),IF(COUNT(C446:F446)+COUNTIFS(C446:F446,"Reviewed N/A")&lt;4,"Missing dates; ","")&amp;IF(MIN(C446:F446)&lt;TODAY(),"Overdue: ",IF(MIN(C446:F446)=TODAY(),"Due today: ",IF(MIN(C446:F446)&lt;=TODAY()+30,"Due within 30 days: ","Next: ")))&amp;INDEX($C$8:$F$8,1,MATCH(MIN(C446:F446),C446:F446,0))&amp;" "&amp;TEXT(MIN(C446:F446),"dd mmm yyyy")))))</x:f>
      </x:c>
      <x:c r="I446" s="52"/>
      <x:c r="J446" t="str">
        <x:f>IF(AND(A446&lt;&gt;"",COUNTIFS(C446,"&gt;=36526",C446,"&lt;"&amp;TODAY())+COUNTIFS(D446,"&gt;=36526",D446,"&lt;"&amp;TODAY())+COUNTIFS(E446,"&gt;=36526",E446,"&lt;"&amp;TODAY())+COUNTIFS(F446,"&gt;=36526",F446,"&lt;"&amp;TODAY())&gt;0),O446,"")</x:f>
      </x:c>
      <x:c r="K446" t="str">
        <x:f>IF(AND(A446&lt;&gt;"",COUNTIFS(C446,"&gt;=36526",C446,TODAY())+COUNTIFS(D446,"&gt;=36526",D446,TODAY())+COUNTIFS(E446,"&gt;=36526",E446,TODAY())+COUNTIFS(F446,"&gt;=36526",F446,TODAY())&gt;0),P446,"")</x:f>
      </x:c>
      <x:c r="L446" t="str">
        <x:f>IF(AND(A446&lt;&gt;"",COUNTIFS(C446,"&gt;"&amp;TODAY(),C446,"&lt;="&amp;TODAY()+30)+COUNTIFS(D446,"&gt;"&amp;TODAY(),D446,"&lt;="&amp;TODAY()+30)+COUNTIFS(E446,"&gt;"&amp;TODAY(),E446,"&lt;="&amp;TODAY()+30)+COUNTIFS(F446,"&gt;"&amp;TODAY(),F446,"&lt;="&amp;TODAY()+30)&gt;0),Q446,"")</x:f>
      </x:c>
      <x:c r="M446" t="str">
        <x:f>IF(OR(LEFT(H446,15)="Missing dates; ",LEFT(H446,16)="Add N/A reason; ",H446="Add dates",H446="Add registration",H446="Check date format"),R446,"")</x:f>
      </x:c>
      <x:c r="N446" t="str">
        <x:f>IF(COUNTIFS(C446:F446,"Reviewed N/A")&gt;0,S446,"")</x:f>
      </x:c>
      <x:c r="O446" t="n">
        <x:f>O445+IF(AND(A446&lt;&gt;"",COUNTIFS(C446,"&gt;=36526",C446,"&lt;"&amp;TODAY())+COUNTIFS(D446,"&gt;=36526",D446,"&lt;"&amp;TODAY())+COUNTIFS(E446,"&gt;=36526",E446,"&lt;"&amp;TODAY())+COUNTIFS(F446,"&gt;=36526",F446,"&lt;"&amp;TODAY())&gt;0),1,0)</x:f>
        <x:v>0</x:v>
      </x:c>
      <x:c r="P446" t="n">
        <x:f>P445+IF(AND(A446&lt;&gt;"",COUNTIFS(C446,"&gt;=36526",C446,TODAY())+COUNTIFS(D446,"&gt;=36526",D446,TODAY())+COUNTIFS(E446,"&gt;=36526",E446,TODAY())+COUNTIFS(F446,"&gt;=36526",F446,TODAY())&gt;0),1,0)</x:f>
        <x:v>0</x:v>
      </x:c>
      <x:c r="Q446" t="n">
        <x:f>Q445+IF(AND(A446&lt;&gt;"",COUNTIFS(C446,"&gt;"&amp;TODAY(),C446,"&lt;="&amp;TODAY()+30)+COUNTIFS(D446,"&gt;"&amp;TODAY(),D446,"&lt;="&amp;TODAY()+30)+COUNTIFS(E446,"&gt;"&amp;TODAY(),E446,"&lt;="&amp;TODAY()+30)+COUNTIFS(F446,"&gt;"&amp;TODAY(),F446,"&lt;="&amp;TODAY()+30)&gt;0),1,0)</x:f>
        <x:v>0</x:v>
      </x:c>
      <x:c r="R446" t="n">
        <x:f>R445+IF(OR(LEFT(H446,15)="Missing dates; ",LEFT(H446,16)="Add N/A reason; ",H446="Add dates",H446="Add registration",H446="Check date format"),1,0)</x:f>
        <x:v>0</x:v>
      </x:c>
      <x:c r="S446" t="n">
        <x:f>S445+IF(COUNTIFS(C446:F446,"Reviewed N/A")&gt;0,1,0)</x:f>
        <x:v>0</x:v>
      </x:c>
    </x:row>
    <x:row r="447" ht="48" customHeight="1">
      <x:c r="A447" s="52"/>
      <x:c r="B447" s="52"/>
      <x:c r="C447" s="53"/>
      <x:c r="D447" s="53"/>
      <x:c r="E447" s="53"/>
      <x:c r="F447" s="53"/>
      <x:c r="G447" s="52"/>
      <x:c r="H447" s="21" t="str">
        <x:f>IF(COUNTA(A447:G447,I447)=0,"",IF(A447="","Add registration",IF(OR(COUNTA(C447:F447)&gt;COUNT(C447:F447)+COUNTIFS(C447:F447,"Reviewed N/A"),AND(COUNT(C447:F447)&gt;0,OR(MIN(C447:F447)&lt;36526,MAX(C447:F447)&gt;109574))),"Check date format",IF(AND(COUNTIFS(C447:F447,"Reviewed N/A")&gt;0,I447=""),"Add N/A reason; ","")&amp;IF(COUNT(C447:F447)=0,IF(COUNTIFS(C447:F447,"Reviewed N/A")=4,"No applicable dates recorded","Add dates"),IF(COUNT(C447:F447)+COUNTIFS(C447:F447,"Reviewed N/A")&lt;4,"Missing dates; ","")&amp;IF(MIN(C447:F447)&lt;TODAY(),"Overdue: ",IF(MIN(C447:F447)=TODAY(),"Due today: ",IF(MIN(C447:F447)&lt;=TODAY()+30,"Due within 30 days: ","Next: ")))&amp;INDEX($C$8:$F$8,1,MATCH(MIN(C447:F447),C447:F447,0))&amp;" "&amp;TEXT(MIN(C447:F447),"dd mmm yyyy")))))</x:f>
      </x:c>
      <x:c r="I447" s="52"/>
      <x:c r="J447" t="str">
        <x:f>IF(AND(A447&lt;&gt;"",COUNTIFS(C447,"&gt;=36526",C447,"&lt;"&amp;TODAY())+COUNTIFS(D447,"&gt;=36526",D447,"&lt;"&amp;TODAY())+COUNTIFS(E447,"&gt;=36526",E447,"&lt;"&amp;TODAY())+COUNTIFS(F447,"&gt;=36526",F447,"&lt;"&amp;TODAY())&gt;0),O447,"")</x:f>
      </x:c>
      <x:c r="K447" t="str">
        <x:f>IF(AND(A447&lt;&gt;"",COUNTIFS(C447,"&gt;=36526",C447,TODAY())+COUNTIFS(D447,"&gt;=36526",D447,TODAY())+COUNTIFS(E447,"&gt;=36526",E447,TODAY())+COUNTIFS(F447,"&gt;=36526",F447,TODAY())&gt;0),P447,"")</x:f>
      </x:c>
      <x:c r="L447" t="str">
        <x:f>IF(AND(A447&lt;&gt;"",COUNTIFS(C447,"&gt;"&amp;TODAY(),C447,"&lt;="&amp;TODAY()+30)+COUNTIFS(D447,"&gt;"&amp;TODAY(),D447,"&lt;="&amp;TODAY()+30)+COUNTIFS(E447,"&gt;"&amp;TODAY(),E447,"&lt;="&amp;TODAY()+30)+COUNTIFS(F447,"&gt;"&amp;TODAY(),F447,"&lt;="&amp;TODAY()+30)&gt;0),Q447,"")</x:f>
      </x:c>
      <x:c r="M447" t="str">
        <x:f>IF(OR(LEFT(H447,15)="Missing dates; ",LEFT(H447,16)="Add N/A reason; ",H447="Add dates",H447="Add registration",H447="Check date format"),R447,"")</x:f>
      </x:c>
      <x:c r="N447" t="str">
        <x:f>IF(COUNTIFS(C447:F447,"Reviewed N/A")&gt;0,S447,"")</x:f>
      </x:c>
      <x:c r="O447" t="n">
        <x:f>O446+IF(AND(A447&lt;&gt;"",COUNTIFS(C447,"&gt;=36526",C447,"&lt;"&amp;TODAY())+COUNTIFS(D447,"&gt;=36526",D447,"&lt;"&amp;TODAY())+COUNTIFS(E447,"&gt;=36526",E447,"&lt;"&amp;TODAY())+COUNTIFS(F447,"&gt;=36526",F447,"&lt;"&amp;TODAY())&gt;0),1,0)</x:f>
        <x:v>0</x:v>
      </x:c>
      <x:c r="P447" t="n">
        <x:f>P446+IF(AND(A447&lt;&gt;"",COUNTIFS(C447,"&gt;=36526",C447,TODAY())+COUNTIFS(D447,"&gt;=36526",D447,TODAY())+COUNTIFS(E447,"&gt;=36526",E447,TODAY())+COUNTIFS(F447,"&gt;=36526",F447,TODAY())&gt;0),1,0)</x:f>
        <x:v>0</x:v>
      </x:c>
      <x:c r="Q447" t="n">
        <x:f>Q446+IF(AND(A447&lt;&gt;"",COUNTIFS(C447,"&gt;"&amp;TODAY(),C447,"&lt;="&amp;TODAY()+30)+COUNTIFS(D447,"&gt;"&amp;TODAY(),D447,"&lt;="&amp;TODAY()+30)+COUNTIFS(E447,"&gt;"&amp;TODAY(),E447,"&lt;="&amp;TODAY()+30)+COUNTIFS(F447,"&gt;"&amp;TODAY(),F447,"&lt;="&amp;TODAY()+30)&gt;0),1,0)</x:f>
        <x:v>0</x:v>
      </x:c>
      <x:c r="R447" t="n">
        <x:f>R446+IF(OR(LEFT(H447,15)="Missing dates; ",LEFT(H447,16)="Add N/A reason; ",H447="Add dates",H447="Add registration",H447="Check date format"),1,0)</x:f>
        <x:v>0</x:v>
      </x:c>
      <x:c r="S447" t="n">
        <x:f>S446+IF(COUNTIFS(C447:F447,"Reviewed N/A")&gt;0,1,0)</x:f>
        <x:v>0</x:v>
      </x:c>
    </x:row>
    <x:row r="448" ht="48" customHeight="1">
      <x:c r="A448" s="52"/>
      <x:c r="B448" s="52"/>
      <x:c r="C448" s="53"/>
      <x:c r="D448" s="53"/>
      <x:c r="E448" s="53"/>
      <x:c r="F448" s="53"/>
      <x:c r="G448" s="52"/>
      <x:c r="H448" s="21" t="str">
        <x:f>IF(COUNTA(A448:G448,I448)=0,"",IF(A448="","Add registration",IF(OR(COUNTA(C448:F448)&gt;COUNT(C448:F448)+COUNTIFS(C448:F448,"Reviewed N/A"),AND(COUNT(C448:F448)&gt;0,OR(MIN(C448:F448)&lt;36526,MAX(C448:F448)&gt;109574))),"Check date format",IF(AND(COUNTIFS(C448:F448,"Reviewed N/A")&gt;0,I448=""),"Add N/A reason; ","")&amp;IF(COUNT(C448:F448)=0,IF(COUNTIFS(C448:F448,"Reviewed N/A")=4,"No applicable dates recorded","Add dates"),IF(COUNT(C448:F448)+COUNTIFS(C448:F448,"Reviewed N/A")&lt;4,"Missing dates; ","")&amp;IF(MIN(C448:F448)&lt;TODAY(),"Overdue: ",IF(MIN(C448:F448)=TODAY(),"Due today: ",IF(MIN(C448:F448)&lt;=TODAY()+30,"Due within 30 days: ","Next: ")))&amp;INDEX($C$8:$F$8,1,MATCH(MIN(C448:F448),C448:F448,0))&amp;" "&amp;TEXT(MIN(C448:F448),"dd mmm yyyy")))))</x:f>
      </x:c>
      <x:c r="I448" s="52"/>
      <x:c r="J448" t="str">
        <x:f>IF(AND(A448&lt;&gt;"",COUNTIFS(C448,"&gt;=36526",C448,"&lt;"&amp;TODAY())+COUNTIFS(D448,"&gt;=36526",D448,"&lt;"&amp;TODAY())+COUNTIFS(E448,"&gt;=36526",E448,"&lt;"&amp;TODAY())+COUNTIFS(F448,"&gt;=36526",F448,"&lt;"&amp;TODAY())&gt;0),O448,"")</x:f>
      </x:c>
      <x:c r="K448" t="str">
        <x:f>IF(AND(A448&lt;&gt;"",COUNTIFS(C448,"&gt;=36526",C448,TODAY())+COUNTIFS(D448,"&gt;=36526",D448,TODAY())+COUNTIFS(E448,"&gt;=36526",E448,TODAY())+COUNTIFS(F448,"&gt;=36526",F448,TODAY())&gt;0),P448,"")</x:f>
      </x:c>
      <x:c r="L448" t="str">
        <x:f>IF(AND(A448&lt;&gt;"",COUNTIFS(C448,"&gt;"&amp;TODAY(),C448,"&lt;="&amp;TODAY()+30)+COUNTIFS(D448,"&gt;"&amp;TODAY(),D448,"&lt;="&amp;TODAY()+30)+COUNTIFS(E448,"&gt;"&amp;TODAY(),E448,"&lt;="&amp;TODAY()+30)+COUNTIFS(F448,"&gt;"&amp;TODAY(),F448,"&lt;="&amp;TODAY()+30)&gt;0),Q448,"")</x:f>
      </x:c>
      <x:c r="M448" t="str">
        <x:f>IF(OR(LEFT(H448,15)="Missing dates; ",LEFT(H448,16)="Add N/A reason; ",H448="Add dates",H448="Add registration",H448="Check date format"),R448,"")</x:f>
      </x:c>
      <x:c r="N448" t="str">
        <x:f>IF(COUNTIFS(C448:F448,"Reviewed N/A")&gt;0,S448,"")</x:f>
      </x:c>
      <x:c r="O448" t="n">
        <x:f>O447+IF(AND(A448&lt;&gt;"",COUNTIFS(C448,"&gt;=36526",C448,"&lt;"&amp;TODAY())+COUNTIFS(D448,"&gt;=36526",D448,"&lt;"&amp;TODAY())+COUNTIFS(E448,"&gt;=36526",E448,"&lt;"&amp;TODAY())+COUNTIFS(F448,"&gt;=36526",F448,"&lt;"&amp;TODAY())&gt;0),1,0)</x:f>
        <x:v>0</x:v>
      </x:c>
      <x:c r="P448" t="n">
        <x:f>P447+IF(AND(A448&lt;&gt;"",COUNTIFS(C448,"&gt;=36526",C448,TODAY())+COUNTIFS(D448,"&gt;=36526",D448,TODAY())+COUNTIFS(E448,"&gt;=36526",E448,TODAY())+COUNTIFS(F448,"&gt;=36526",F448,TODAY())&gt;0),1,0)</x:f>
        <x:v>0</x:v>
      </x:c>
      <x:c r="Q448" t="n">
        <x:f>Q447+IF(AND(A448&lt;&gt;"",COUNTIFS(C448,"&gt;"&amp;TODAY(),C448,"&lt;="&amp;TODAY()+30)+COUNTIFS(D448,"&gt;"&amp;TODAY(),D448,"&lt;="&amp;TODAY()+30)+COUNTIFS(E448,"&gt;"&amp;TODAY(),E448,"&lt;="&amp;TODAY()+30)+COUNTIFS(F448,"&gt;"&amp;TODAY(),F448,"&lt;="&amp;TODAY()+30)&gt;0),1,0)</x:f>
        <x:v>0</x:v>
      </x:c>
      <x:c r="R448" t="n">
        <x:f>R447+IF(OR(LEFT(H448,15)="Missing dates; ",LEFT(H448,16)="Add N/A reason; ",H448="Add dates",H448="Add registration",H448="Check date format"),1,0)</x:f>
        <x:v>0</x:v>
      </x:c>
      <x:c r="S448" t="n">
        <x:f>S447+IF(COUNTIFS(C448:F448,"Reviewed N/A")&gt;0,1,0)</x:f>
        <x:v>0</x:v>
      </x:c>
    </x:row>
    <x:row r="449" ht="48" customHeight="1">
      <x:c r="A449" s="52"/>
      <x:c r="B449" s="52"/>
      <x:c r="C449" s="53"/>
      <x:c r="D449" s="53"/>
      <x:c r="E449" s="53"/>
      <x:c r="F449" s="53"/>
      <x:c r="G449" s="52"/>
      <x:c r="H449" s="21" t="str">
        <x:f>IF(COUNTA(A449:G449,I449)=0,"",IF(A449="","Add registration",IF(OR(COUNTA(C449:F449)&gt;COUNT(C449:F449)+COUNTIFS(C449:F449,"Reviewed N/A"),AND(COUNT(C449:F449)&gt;0,OR(MIN(C449:F449)&lt;36526,MAX(C449:F449)&gt;109574))),"Check date format",IF(AND(COUNTIFS(C449:F449,"Reviewed N/A")&gt;0,I449=""),"Add N/A reason; ","")&amp;IF(COUNT(C449:F449)=0,IF(COUNTIFS(C449:F449,"Reviewed N/A")=4,"No applicable dates recorded","Add dates"),IF(COUNT(C449:F449)+COUNTIFS(C449:F449,"Reviewed N/A")&lt;4,"Missing dates; ","")&amp;IF(MIN(C449:F449)&lt;TODAY(),"Overdue: ",IF(MIN(C449:F449)=TODAY(),"Due today: ",IF(MIN(C449:F449)&lt;=TODAY()+30,"Due within 30 days: ","Next: ")))&amp;INDEX($C$8:$F$8,1,MATCH(MIN(C449:F449),C449:F449,0))&amp;" "&amp;TEXT(MIN(C449:F449),"dd mmm yyyy")))))</x:f>
      </x:c>
      <x:c r="I449" s="52"/>
      <x:c r="J449" t="str">
        <x:f>IF(AND(A449&lt;&gt;"",COUNTIFS(C449,"&gt;=36526",C449,"&lt;"&amp;TODAY())+COUNTIFS(D449,"&gt;=36526",D449,"&lt;"&amp;TODAY())+COUNTIFS(E449,"&gt;=36526",E449,"&lt;"&amp;TODAY())+COUNTIFS(F449,"&gt;=36526",F449,"&lt;"&amp;TODAY())&gt;0),O449,"")</x:f>
      </x:c>
      <x:c r="K449" t="str">
        <x:f>IF(AND(A449&lt;&gt;"",COUNTIFS(C449,"&gt;=36526",C449,TODAY())+COUNTIFS(D449,"&gt;=36526",D449,TODAY())+COUNTIFS(E449,"&gt;=36526",E449,TODAY())+COUNTIFS(F449,"&gt;=36526",F449,TODAY())&gt;0),P449,"")</x:f>
      </x:c>
      <x:c r="L449" t="str">
        <x:f>IF(AND(A449&lt;&gt;"",COUNTIFS(C449,"&gt;"&amp;TODAY(),C449,"&lt;="&amp;TODAY()+30)+COUNTIFS(D449,"&gt;"&amp;TODAY(),D449,"&lt;="&amp;TODAY()+30)+COUNTIFS(E449,"&gt;"&amp;TODAY(),E449,"&lt;="&amp;TODAY()+30)+COUNTIFS(F449,"&gt;"&amp;TODAY(),F449,"&lt;="&amp;TODAY()+30)&gt;0),Q449,"")</x:f>
      </x:c>
      <x:c r="M449" t="str">
        <x:f>IF(OR(LEFT(H449,15)="Missing dates; ",LEFT(H449,16)="Add N/A reason; ",H449="Add dates",H449="Add registration",H449="Check date format"),R449,"")</x:f>
      </x:c>
      <x:c r="N449" t="str">
        <x:f>IF(COUNTIFS(C449:F449,"Reviewed N/A")&gt;0,S449,"")</x:f>
      </x:c>
      <x:c r="O449" t="n">
        <x:f>O448+IF(AND(A449&lt;&gt;"",COUNTIFS(C449,"&gt;=36526",C449,"&lt;"&amp;TODAY())+COUNTIFS(D449,"&gt;=36526",D449,"&lt;"&amp;TODAY())+COUNTIFS(E449,"&gt;=36526",E449,"&lt;"&amp;TODAY())+COUNTIFS(F449,"&gt;=36526",F449,"&lt;"&amp;TODAY())&gt;0),1,0)</x:f>
        <x:v>0</x:v>
      </x:c>
      <x:c r="P449" t="n">
        <x:f>P448+IF(AND(A449&lt;&gt;"",COUNTIFS(C449,"&gt;=36526",C449,TODAY())+COUNTIFS(D449,"&gt;=36526",D449,TODAY())+COUNTIFS(E449,"&gt;=36526",E449,TODAY())+COUNTIFS(F449,"&gt;=36526",F449,TODAY())&gt;0),1,0)</x:f>
        <x:v>0</x:v>
      </x:c>
      <x:c r="Q449" t="n">
        <x:f>Q448+IF(AND(A449&lt;&gt;"",COUNTIFS(C449,"&gt;"&amp;TODAY(),C449,"&lt;="&amp;TODAY()+30)+COUNTIFS(D449,"&gt;"&amp;TODAY(),D449,"&lt;="&amp;TODAY()+30)+COUNTIFS(E449,"&gt;"&amp;TODAY(),E449,"&lt;="&amp;TODAY()+30)+COUNTIFS(F449,"&gt;"&amp;TODAY(),F449,"&lt;="&amp;TODAY()+30)&gt;0),1,0)</x:f>
        <x:v>0</x:v>
      </x:c>
      <x:c r="R449" t="n">
        <x:f>R448+IF(OR(LEFT(H449,15)="Missing dates; ",LEFT(H449,16)="Add N/A reason; ",H449="Add dates",H449="Add registration",H449="Check date format"),1,0)</x:f>
        <x:v>0</x:v>
      </x:c>
      <x:c r="S449" t="n">
        <x:f>S448+IF(COUNTIFS(C449:F449,"Reviewed N/A")&gt;0,1,0)</x:f>
        <x:v>0</x:v>
      </x:c>
    </x:row>
    <x:row r="450" ht="48" customHeight="1">
      <x:c r="A450" s="52"/>
      <x:c r="B450" s="52"/>
      <x:c r="C450" s="53"/>
      <x:c r="D450" s="53"/>
      <x:c r="E450" s="53"/>
      <x:c r="F450" s="53"/>
      <x:c r="G450" s="52"/>
      <x:c r="H450" s="21" t="str">
        <x:f>IF(COUNTA(A450:G450,I450)=0,"",IF(A450="","Add registration",IF(OR(COUNTA(C450:F450)&gt;COUNT(C450:F450)+COUNTIFS(C450:F450,"Reviewed N/A"),AND(COUNT(C450:F450)&gt;0,OR(MIN(C450:F450)&lt;36526,MAX(C450:F450)&gt;109574))),"Check date format",IF(AND(COUNTIFS(C450:F450,"Reviewed N/A")&gt;0,I450=""),"Add N/A reason; ","")&amp;IF(COUNT(C450:F450)=0,IF(COUNTIFS(C450:F450,"Reviewed N/A")=4,"No applicable dates recorded","Add dates"),IF(COUNT(C450:F450)+COUNTIFS(C450:F450,"Reviewed N/A")&lt;4,"Missing dates; ","")&amp;IF(MIN(C450:F450)&lt;TODAY(),"Overdue: ",IF(MIN(C450:F450)=TODAY(),"Due today: ",IF(MIN(C450:F450)&lt;=TODAY()+30,"Due within 30 days: ","Next: ")))&amp;INDEX($C$8:$F$8,1,MATCH(MIN(C450:F450),C450:F450,0))&amp;" "&amp;TEXT(MIN(C450:F450),"dd mmm yyyy")))))</x:f>
      </x:c>
      <x:c r="I450" s="52"/>
      <x:c r="J450" t="str">
        <x:f>IF(AND(A450&lt;&gt;"",COUNTIFS(C450,"&gt;=36526",C450,"&lt;"&amp;TODAY())+COUNTIFS(D450,"&gt;=36526",D450,"&lt;"&amp;TODAY())+COUNTIFS(E450,"&gt;=36526",E450,"&lt;"&amp;TODAY())+COUNTIFS(F450,"&gt;=36526",F450,"&lt;"&amp;TODAY())&gt;0),O450,"")</x:f>
      </x:c>
      <x:c r="K450" t="str">
        <x:f>IF(AND(A450&lt;&gt;"",COUNTIFS(C450,"&gt;=36526",C450,TODAY())+COUNTIFS(D450,"&gt;=36526",D450,TODAY())+COUNTIFS(E450,"&gt;=36526",E450,TODAY())+COUNTIFS(F450,"&gt;=36526",F450,TODAY())&gt;0),P450,"")</x:f>
      </x:c>
      <x:c r="L450" t="str">
        <x:f>IF(AND(A450&lt;&gt;"",COUNTIFS(C450,"&gt;"&amp;TODAY(),C450,"&lt;="&amp;TODAY()+30)+COUNTIFS(D450,"&gt;"&amp;TODAY(),D450,"&lt;="&amp;TODAY()+30)+COUNTIFS(E450,"&gt;"&amp;TODAY(),E450,"&lt;="&amp;TODAY()+30)+COUNTIFS(F450,"&gt;"&amp;TODAY(),F450,"&lt;="&amp;TODAY()+30)&gt;0),Q450,"")</x:f>
      </x:c>
      <x:c r="M450" t="str">
        <x:f>IF(OR(LEFT(H450,15)="Missing dates; ",LEFT(H450,16)="Add N/A reason; ",H450="Add dates",H450="Add registration",H450="Check date format"),R450,"")</x:f>
      </x:c>
      <x:c r="N450" t="str">
        <x:f>IF(COUNTIFS(C450:F450,"Reviewed N/A")&gt;0,S450,"")</x:f>
      </x:c>
      <x:c r="O450" t="n">
        <x:f>O449+IF(AND(A450&lt;&gt;"",COUNTIFS(C450,"&gt;=36526",C450,"&lt;"&amp;TODAY())+COUNTIFS(D450,"&gt;=36526",D450,"&lt;"&amp;TODAY())+COUNTIFS(E450,"&gt;=36526",E450,"&lt;"&amp;TODAY())+COUNTIFS(F450,"&gt;=36526",F450,"&lt;"&amp;TODAY())&gt;0),1,0)</x:f>
        <x:v>0</x:v>
      </x:c>
      <x:c r="P450" t="n">
        <x:f>P449+IF(AND(A450&lt;&gt;"",COUNTIFS(C450,"&gt;=36526",C450,TODAY())+COUNTIFS(D450,"&gt;=36526",D450,TODAY())+COUNTIFS(E450,"&gt;=36526",E450,TODAY())+COUNTIFS(F450,"&gt;=36526",F450,TODAY())&gt;0),1,0)</x:f>
        <x:v>0</x:v>
      </x:c>
      <x:c r="Q450" t="n">
        <x:f>Q449+IF(AND(A450&lt;&gt;"",COUNTIFS(C450,"&gt;"&amp;TODAY(),C450,"&lt;="&amp;TODAY()+30)+COUNTIFS(D450,"&gt;"&amp;TODAY(),D450,"&lt;="&amp;TODAY()+30)+COUNTIFS(E450,"&gt;"&amp;TODAY(),E450,"&lt;="&amp;TODAY()+30)+COUNTIFS(F450,"&gt;"&amp;TODAY(),F450,"&lt;="&amp;TODAY()+30)&gt;0),1,0)</x:f>
        <x:v>0</x:v>
      </x:c>
      <x:c r="R450" t="n">
        <x:f>R449+IF(OR(LEFT(H450,15)="Missing dates; ",LEFT(H450,16)="Add N/A reason; ",H450="Add dates",H450="Add registration",H450="Check date format"),1,0)</x:f>
        <x:v>0</x:v>
      </x:c>
      <x:c r="S450" t="n">
        <x:f>S449+IF(COUNTIFS(C450:F450,"Reviewed N/A")&gt;0,1,0)</x:f>
        <x:v>0</x:v>
      </x:c>
    </x:row>
    <x:row r="451" ht="48" customHeight="1">
      <x:c r="A451" s="52"/>
      <x:c r="B451" s="52"/>
      <x:c r="C451" s="53"/>
      <x:c r="D451" s="53"/>
      <x:c r="E451" s="53"/>
      <x:c r="F451" s="53"/>
      <x:c r="G451" s="52"/>
      <x:c r="H451" s="21" t="str">
        <x:f>IF(COUNTA(A451:G451,I451)=0,"",IF(A451="","Add registration",IF(OR(COUNTA(C451:F451)&gt;COUNT(C451:F451)+COUNTIFS(C451:F451,"Reviewed N/A"),AND(COUNT(C451:F451)&gt;0,OR(MIN(C451:F451)&lt;36526,MAX(C451:F451)&gt;109574))),"Check date format",IF(AND(COUNTIFS(C451:F451,"Reviewed N/A")&gt;0,I451=""),"Add N/A reason; ","")&amp;IF(COUNT(C451:F451)=0,IF(COUNTIFS(C451:F451,"Reviewed N/A")=4,"No applicable dates recorded","Add dates"),IF(COUNT(C451:F451)+COUNTIFS(C451:F451,"Reviewed N/A")&lt;4,"Missing dates; ","")&amp;IF(MIN(C451:F451)&lt;TODAY(),"Overdue: ",IF(MIN(C451:F451)=TODAY(),"Due today: ",IF(MIN(C451:F451)&lt;=TODAY()+30,"Due within 30 days: ","Next: ")))&amp;INDEX($C$8:$F$8,1,MATCH(MIN(C451:F451),C451:F451,0))&amp;" "&amp;TEXT(MIN(C451:F451),"dd mmm yyyy")))))</x:f>
      </x:c>
      <x:c r="I451" s="52"/>
      <x:c r="J451" t="str">
        <x:f>IF(AND(A451&lt;&gt;"",COUNTIFS(C451,"&gt;=36526",C451,"&lt;"&amp;TODAY())+COUNTIFS(D451,"&gt;=36526",D451,"&lt;"&amp;TODAY())+COUNTIFS(E451,"&gt;=36526",E451,"&lt;"&amp;TODAY())+COUNTIFS(F451,"&gt;=36526",F451,"&lt;"&amp;TODAY())&gt;0),O451,"")</x:f>
      </x:c>
      <x:c r="K451" t="str">
        <x:f>IF(AND(A451&lt;&gt;"",COUNTIFS(C451,"&gt;=36526",C451,TODAY())+COUNTIFS(D451,"&gt;=36526",D451,TODAY())+COUNTIFS(E451,"&gt;=36526",E451,TODAY())+COUNTIFS(F451,"&gt;=36526",F451,TODAY())&gt;0),P451,"")</x:f>
      </x:c>
      <x:c r="L451" t="str">
        <x:f>IF(AND(A451&lt;&gt;"",COUNTIFS(C451,"&gt;"&amp;TODAY(),C451,"&lt;="&amp;TODAY()+30)+COUNTIFS(D451,"&gt;"&amp;TODAY(),D451,"&lt;="&amp;TODAY()+30)+COUNTIFS(E451,"&gt;"&amp;TODAY(),E451,"&lt;="&amp;TODAY()+30)+COUNTIFS(F451,"&gt;"&amp;TODAY(),F451,"&lt;="&amp;TODAY()+30)&gt;0),Q451,"")</x:f>
      </x:c>
      <x:c r="M451" t="str">
        <x:f>IF(OR(LEFT(H451,15)="Missing dates; ",LEFT(H451,16)="Add N/A reason; ",H451="Add dates",H451="Add registration",H451="Check date format"),R451,"")</x:f>
      </x:c>
      <x:c r="N451" t="str">
        <x:f>IF(COUNTIFS(C451:F451,"Reviewed N/A")&gt;0,S451,"")</x:f>
      </x:c>
      <x:c r="O451" t="n">
        <x:f>O450+IF(AND(A451&lt;&gt;"",COUNTIFS(C451,"&gt;=36526",C451,"&lt;"&amp;TODAY())+COUNTIFS(D451,"&gt;=36526",D451,"&lt;"&amp;TODAY())+COUNTIFS(E451,"&gt;=36526",E451,"&lt;"&amp;TODAY())+COUNTIFS(F451,"&gt;=36526",F451,"&lt;"&amp;TODAY())&gt;0),1,0)</x:f>
        <x:v>0</x:v>
      </x:c>
      <x:c r="P451" t="n">
        <x:f>P450+IF(AND(A451&lt;&gt;"",COUNTIFS(C451,"&gt;=36526",C451,TODAY())+COUNTIFS(D451,"&gt;=36526",D451,TODAY())+COUNTIFS(E451,"&gt;=36526",E451,TODAY())+COUNTIFS(F451,"&gt;=36526",F451,TODAY())&gt;0),1,0)</x:f>
        <x:v>0</x:v>
      </x:c>
      <x:c r="Q451" t="n">
        <x:f>Q450+IF(AND(A451&lt;&gt;"",COUNTIFS(C451,"&gt;"&amp;TODAY(),C451,"&lt;="&amp;TODAY()+30)+COUNTIFS(D451,"&gt;"&amp;TODAY(),D451,"&lt;="&amp;TODAY()+30)+COUNTIFS(E451,"&gt;"&amp;TODAY(),E451,"&lt;="&amp;TODAY()+30)+COUNTIFS(F451,"&gt;"&amp;TODAY(),F451,"&lt;="&amp;TODAY()+30)&gt;0),1,0)</x:f>
        <x:v>0</x:v>
      </x:c>
      <x:c r="R451" t="n">
        <x:f>R450+IF(OR(LEFT(H451,15)="Missing dates; ",LEFT(H451,16)="Add N/A reason; ",H451="Add dates",H451="Add registration",H451="Check date format"),1,0)</x:f>
        <x:v>0</x:v>
      </x:c>
      <x:c r="S451" t="n">
        <x:f>S450+IF(COUNTIFS(C451:F451,"Reviewed N/A")&gt;0,1,0)</x:f>
        <x:v>0</x:v>
      </x:c>
    </x:row>
    <x:row r="452" ht="48" customHeight="1">
      <x:c r="A452" s="52"/>
      <x:c r="B452" s="52"/>
      <x:c r="C452" s="53"/>
      <x:c r="D452" s="53"/>
      <x:c r="E452" s="53"/>
      <x:c r="F452" s="53"/>
      <x:c r="G452" s="52"/>
      <x:c r="H452" s="21" t="str">
        <x:f>IF(COUNTA(A452:G452,I452)=0,"",IF(A452="","Add registration",IF(OR(COUNTA(C452:F452)&gt;COUNT(C452:F452)+COUNTIFS(C452:F452,"Reviewed N/A"),AND(COUNT(C452:F452)&gt;0,OR(MIN(C452:F452)&lt;36526,MAX(C452:F452)&gt;109574))),"Check date format",IF(AND(COUNTIFS(C452:F452,"Reviewed N/A")&gt;0,I452=""),"Add N/A reason; ","")&amp;IF(COUNT(C452:F452)=0,IF(COUNTIFS(C452:F452,"Reviewed N/A")=4,"No applicable dates recorded","Add dates"),IF(COUNT(C452:F452)+COUNTIFS(C452:F452,"Reviewed N/A")&lt;4,"Missing dates; ","")&amp;IF(MIN(C452:F452)&lt;TODAY(),"Overdue: ",IF(MIN(C452:F452)=TODAY(),"Due today: ",IF(MIN(C452:F452)&lt;=TODAY()+30,"Due within 30 days: ","Next: ")))&amp;INDEX($C$8:$F$8,1,MATCH(MIN(C452:F452),C452:F452,0))&amp;" "&amp;TEXT(MIN(C452:F452),"dd mmm yyyy")))))</x:f>
      </x:c>
      <x:c r="I452" s="52"/>
      <x:c r="J452" t="str">
        <x:f>IF(AND(A452&lt;&gt;"",COUNTIFS(C452,"&gt;=36526",C452,"&lt;"&amp;TODAY())+COUNTIFS(D452,"&gt;=36526",D452,"&lt;"&amp;TODAY())+COUNTIFS(E452,"&gt;=36526",E452,"&lt;"&amp;TODAY())+COUNTIFS(F452,"&gt;=36526",F452,"&lt;"&amp;TODAY())&gt;0),O452,"")</x:f>
      </x:c>
      <x:c r="K452" t="str">
        <x:f>IF(AND(A452&lt;&gt;"",COUNTIFS(C452,"&gt;=36526",C452,TODAY())+COUNTIFS(D452,"&gt;=36526",D452,TODAY())+COUNTIFS(E452,"&gt;=36526",E452,TODAY())+COUNTIFS(F452,"&gt;=36526",F452,TODAY())&gt;0),P452,"")</x:f>
      </x:c>
      <x:c r="L452" t="str">
        <x:f>IF(AND(A452&lt;&gt;"",COUNTIFS(C452,"&gt;"&amp;TODAY(),C452,"&lt;="&amp;TODAY()+30)+COUNTIFS(D452,"&gt;"&amp;TODAY(),D452,"&lt;="&amp;TODAY()+30)+COUNTIFS(E452,"&gt;"&amp;TODAY(),E452,"&lt;="&amp;TODAY()+30)+COUNTIFS(F452,"&gt;"&amp;TODAY(),F452,"&lt;="&amp;TODAY()+30)&gt;0),Q452,"")</x:f>
      </x:c>
      <x:c r="M452" t="str">
        <x:f>IF(OR(LEFT(H452,15)="Missing dates; ",LEFT(H452,16)="Add N/A reason; ",H452="Add dates",H452="Add registration",H452="Check date format"),R452,"")</x:f>
      </x:c>
      <x:c r="N452" t="str">
        <x:f>IF(COUNTIFS(C452:F452,"Reviewed N/A")&gt;0,S452,"")</x:f>
      </x:c>
      <x:c r="O452" t="n">
        <x:f>O451+IF(AND(A452&lt;&gt;"",COUNTIFS(C452,"&gt;=36526",C452,"&lt;"&amp;TODAY())+COUNTIFS(D452,"&gt;=36526",D452,"&lt;"&amp;TODAY())+COUNTIFS(E452,"&gt;=36526",E452,"&lt;"&amp;TODAY())+COUNTIFS(F452,"&gt;=36526",F452,"&lt;"&amp;TODAY())&gt;0),1,0)</x:f>
        <x:v>0</x:v>
      </x:c>
      <x:c r="P452" t="n">
        <x:f>P451+IF(AND(A452&lt;&gt;"",COUNTIFS(C452,"&gt;=36526",C452,TODAY())+COUNTIFS(D452,"&gt;=36526",D452,TODAY())+COUNTIFS(E452,"&gt;=36526",E452,TODAY())+COUNTIFS(F452,"&gt;=36526",F452,TODAY())&gt;0),1,0)</x:f>
        <x:v>0</x:v>
      </x:c>
      <x:c r="Q452" t="n">
        <x:f>Q451+IF(AND(A452&lt;&gt;"",COUNTIFS(C452,"&gt;"&amp;TODAY(),C452,"&lt;="&amp;TODAY()+30)+COUNTIFS(D452,"&gt;"&amp;TODAY(),D452,"&lt;="&amp;TODAY()+30)+COUNTIFS(E452,"&gt;"&amp;TODAY(),E452,"&lt;="&amp;TODAY()+30)+COUNTIFS(F452,"&gt;"&amp;TODAY(),F452,"&lt;="&amp;TODAY()+30)&gt;0),1,0)</x:f>
        <x:v>0</x:v>
      </x:c>
      <x:c r="R452" t="n">
        <x:f>R451+IF(OR(LEFT(H452,15)="Missing dates; ",LEFT(H452,16)="Add N/A reason; ",H452="Add dates",H452="Add registration",H452="Check date format"),1,0)</x:f>
        <x:v>0</x:v>
      </x:c>
      <x:c r="S452" t="n">
        <x:f>S451+IF(COUNTIFS(C452:F452,"Reviewed N/A")&gt;0,1,0)</x:f>
        <x:v>0</x:v>
      </x:c>
    </x:row>
    <x:row r="453" ht="48" customHeight="1">
      <x:c r="A453" s="52"/>
      <x:c r="B453" s="52"/>
      <x:c r="C453" s="53"/>
      <x:c r="D453" s="53"/>
      <x:c r="E453" s="53"/>
      <x:c r="F453" s="53"/>
      <x:c r="G453" s="52"/>
      <x:c r="H453" s="21" t="str">
        <x:f>IF(COUNTA(A453:G453,I453)=0,"",IF(A453="","Add registration",IF(OR(COUNTA(C453:F453)&gt;COUNT(C453:F453)+COUNTIFS(C453:F453,"Reviewed N/A"),AND(COUNT(C453:F453)&gt;0,OR(MIN(C453:F453)&lt;36526,MAX(C453:F453)&gt;109574))),"Check date format",IF(AND(COUNTIFS(C453:F453,"Reviewed N/A")&gt;0,I453=""),"Add N/A reason; ","")&amp;IF(COUNT(C453:F453)=0,IF(COUNTIFS(C453:F453,"Reviewed N/A")=4,"No applicable dates recorded","Add dates"),IF(COUNT(C453:F453)+COUNTIFS(C453:F453,"Reviewed N/A")&lt;4,"Missing dates; ","")&amp;IF(MIN(C453:F453)&lt;TODAY(),"Overdue: ",IF(MIN(C453:F453)=TODAY(),"Due today: ",IF(MIN(C453:F453)&lt;=TODAY()+30,"Due within 30 days: ","Next: ")))&amp;INDEX($C$8:$F$8,1,MATCH(MIN(C453:F453),C453:F453,0))&amp;" "&amp;TEXT(MIN(C453:F453),"dd mmm yyyy")))))</x:f>
      </x:c>
      <x:c r="I453" s="52"/>
      <x:c r="J453" t="str">
        <x:f>IF(AND(A453&lt;&gt;"",COUNTIFS(C453,"&gt;=36526",C453,"&lt;"&amp;TODAY())+COUNTIFS(D453,"&gt;=36526",D453,"&lt;"&amp;TODAY())+COUNTIFS(E453,"&gt;=36526",E453,"&lt;"&amp;TODAY())+COUNTIFS(F453,"&gt;=36526",F453,"&lt;"&amp;TODAY())&gt;0),O453,"")</x:f>
      </x:c>
      <x:c r="K453" t="str">
        <x:f>IF(AND(A453&lt;&gt;"",COUNTIFS(C453,"&gt;=36526",C453,TODAY())+COUNTIFS(D453,"&gt;=36526",D453,TODAY())+COUNTIFS(E453,"&gt;=36526",E453,TODAY())+COUNTIFS(F453,"&gt;=36526",F453,TODAY())&gt;0),P453,"")</x:f>
      </x:c>
      <x:c r="L453" t="str">
        <x:f>IF(AND(A453&lt;&gt;"",COUNTIFS(C453,"&gt;"&amp;TODAY(),C453,"&lt;="&amp;TODAY()+30)+COUNTIFS(D453,"&gt;"&amp;TODAY(),D453,"&lt;="&amp;TODAY()+30)+COUNTIFS(E453,"&gt;"&amp;TODAY(),E453,"&lt;="&amp;TODAY()+30)+COUNTIFS(F453,"&gt;"&amp;TODAY(),F453,"&lt;="&amp;TODAY()+30)&gt;0),Q453,"")</x:f>
      </x:c>
      <x:c r="M453" t="str">
        <x:f>IF(OR(LEFT(H453,15)="Missing dates; ",LEFT(H453,16)="Add N/A reason; ",H453="Add dates",H453="Add registration",H453="Check date format"),R453,"")</x:f>
      </x:c>
      <x:c r="N453" t="str">
        <x:f>IF(COUNTIFS(C453:F453,"Reviewed N/A")&gt;0,S453,"")</x:f>
      </x:c>
      <x:c r="O453" t="n">
        <x:f>O452+IF(AND(A453&lt;&gt;"",COUNTIFS(C453,"&gt;=36526",C453,"&lt;"&amp;TODAY())+COUNTIFS(D453,"&gt;=36526",D453,"&lt;"&amp;TODAY())+COUNTIFS(E453,"&gt;=36526",E453,"&lt;"&amp;TODAY())+COUNTIFS(F453,"&gt;=36526",F453,"&lt;"&amp;TODAY())&gt;0),1,0)</x:f>
        <x:v>0</x:v>
      </x:c>
      <x:c r="P453" t="n">
        <x:f>P452+IF(AND(A453&lt;&gt;"",COUNTIFS(C453,"&gt;=36526",C453,TODAY())+COUNTIFS(D453,"&gt;=36526",D453,TODAY())+COUNTIFS(E453,"&gt;=36526",E453,TODAY())+COUNTIFS(F453,"&gt;=36526",F453,TODAY())&gt;0),1,0)</x:f>
        <x:v>0</x:v>
      </x:c>
      <x:c r="Q453" t="n">
        <x:f>Q452+IF(AND(A453&lt;&gt;"",COUNTIFS(C453,"&gt;"&amp;TODAY(),C453,"&lt;="&amp;TODAY()+30)+COUNTIFS(D453,"&gt;"&amp;TODAY(),D453,"&lt;="&amp;TODAY()+30)+COUNTIFS(E453,"&gt;"&amp;TODAY(),E453,"&lt;="&amp;TODAY()+30)+COUNTIFS(F453,"&gt;"&amp;TODAY(),F453,"&lt;="&amp;TODAY()+30)&gt;0),1,0)</x:f>
        <x:v>0</x:v>
      </x:c>
      <x:c r="R453" t="n">
        <x:f>R452+IF(OR(LEFT(H453,15)="Missing dates; ",LEFT(H453,16)="Add N/A reason; ",H453="Add dates",H453="Add registration",H453="Check date format"),1,0)</x:f>
        <x:v>0</x:v>
      </x:c>
      <x:c r="S453" t="n">
        <x:f>S452+IF(COUNTIFS(C453:F453,"Reviewed N/A")&gt;0,1,0)</x:f>
        <x:v>0</x:v>
      </x:c>
    </x:row>
    <x:row r="454" ht="48" customHeight="1">
      <x:c r="A454" s="52"/>
      <x:c r="B454" s="52"/>
      <x:c r="C454" s="53"/>
      <x:c r="D454" s="53"/>
      <x:c r="E454" s="53"/>
      <x:c r="F454" s="53"/>
      <x:c r="G454" s="52"/>
      <x:c r="H454" s="21" t="str">
        <x:f>IF(COUNTA(A454:G454,I454)=0,"",IF(A454="","Add registration",IF(OR(COUNTA(C454:F454)&gt;COUNT(C454:F454)+COUNTIFS(C454:F454,"Reviewed N/A"),AND(COUNT(C454:F454)&gt;0,OR(MIN(C454:F454)&lt;36526,MAX(C454:F454)&gt;109574))),"Check date format",IF(AND(COUNTIFS(C454:F454,"Reviewed N/A")&gt;0,I454=""),"Add N/A reason; ","")&amp;IF(COUNT(C454:F454)=0,IF(COUNTIFS(C454:F454,"Reviewed N/A")=4,"No applicable dates recorded","Add dates"),IF(COUNT(C454:F454)+COUNTIFS(C454:F454,"Reviewed N/A")&lt;4,"Missing dates; ","")&amp;IF(MIN(C454:F454)&lt;TODAY(),"Overdue: ",IF(MIN(C454:F454)=TODAY(),"Due today: ",IF(MIN(C454:F454)&lt;=TODAY()+30,"Due within 30 days: ","Next: ")))&amp;INDEX($C$8:$F$8,1,MATCH(MIN(C454:F454),C454:F454,0))&amp;" "&amp;TEXT(MIN(C454:F454),"dd mmm yyyy")))))</x:f>
      </x:c>
      <x:c r="I454" s="52"/>
      <x:c r="J454" t="str">
        <x:f>IF(AND(A454&lt;&gt;"",COUNTIFS(C454,"&gt;=36526",C454,"&lt;"&amp;TODAY())+COUNTIFS(D454,"&gt;=36526",D454,"&lt;"&amp;TODAY())+COUNTIFS(E454,"&gt;=36526",E454,"&lt;"&amp;TODAY())+COUNTIFS(F454,"&gt;=36526",F454,"&lt;"&amp;TODAY())&gt;0),O454,"")</x:f>
      </x:c>
      <x:c r="K454" t="str">
        <x:f>IF(AND(A454&lt;&gt;"",COUNTIFS(C454,"&gt;=36526",C454,TODAY())+COUNTIFS(D454,"&gt;=36526",D454,TODAY())+COUNTIFS(E454,"&gt;=36526",E454,TODAY())+COUNTIFS(F454,"&gt;=36526",F454,TODAY())&gt;0),P454,"")</x:f>
      </x:c>
      <x:c r="L454" t="str">
        <x:f>IF(AND(A454&lt;&gt;"",COUNTIFS(C454,"&gt;"&amp;TODAY(),C454,"&lt;="&amp;TODAY()+30)+COUNTIFS(D454,"&gt;"&amp;TODAY(),D454,"&lt;="&amp;TODAY()+30)+COUNTIFS(E454,"&gt;"&amp;TODAY(),E454,"&lt;="&amp;TODAY()+30)+COUNTIFS(F454,"&gt;"&amp;TODAY(),F454,"&lt;="&amp;TODAY()+30)&gt;0),Q454,"")</x:f>
      </x:c>
      <x:c r="M454" t="str">
        <x:f>IF(OR(LEFT(H454,15)="Missing dates; ",LEFT(H454,16)="Add N/A reason; ",H454="Add dates",H454="Add registration",H454="Check date format"),R454,"")</x:f>
      </x:c>
      <x:c r="N454" t="str">
        <x:f>IF(COUNTIFS(C454:F454,"Reviewed N/A")&gt;0,S454,"")</x:f>
      </x:c>
      <x:c r="O454" t="n">
        <x:f>O453+IF(AND(A454&lt;&gt;"",COUNTIFS(C454,"&gt;=36526",C454,"&lt;"&amp;TODAY())+COUNTIFS(D454,"&gt;=36526",D454,"&lt;"&amp;TODAY())+COUNTIFS(E454,"&gt;=36526",E454,"&lt;"&amp;TODAY())+COUNTIFS(F454,"&gt;=36526",F454,"&lt;"&amp;TODAY())&gt;0),1,0)</x:f>
        <x:v>0</x:v>
      </x:c>
      <x:c r="P454" t="n">
        <x:f>P453+IF(AND(A454&lt;&gt;"",COUNTIFS(C454,"&gt;=36526",C454,TODAY())+COUNTIFS(D454,"&gt;=36526",D454,TODAY())+COUNTIFS(E454,"&gt;=36526",E454,TODAY())+COUNTIFS(F454,"&gt;=36526",F454,TODAY())&gt;0),1,0)</x:f>
        <x:v>0</x:v>
      </x:c>
      <x:c r="Q454" t="n">
        <x:f>Q453+IF(AND(A454&lt;&gt;"",COUNTIFS(C454,"&gt;"&amp;TODAY(),C454,"&lt;="&amp;TODAY()+30)+COUNTIFS(D454,"&gt;"&amp;TODAY(),D454,"&lt;="&amp;TODAY()+30)+COUNTIFS(E454,"&gt;"&amp;TODAY(),E454,"&lt;="&amp;TODAY()+30)+COUNTIFS(F454,"&gt;"&amp;TODAY(),F454,"&lt;="&amp;TODAY()+30)&gt;0),1,0)</x:f>
        <x:v>0</x:v>
      </x:c>
      <x:c r="R454" t="n">
        <x:f>R453+IF(OR(LEFT(H454,15)="Missing dates; ",LEFT(H454,16)="Add N/A reason; ",H454="Add dates",H454="Add registration",H454="Check date format"),1,0)</x:f>
        <x:v>0</x:v>
      </x:c>
      <x:c r="S454" t="n">
        <x:f>S453+IF(COUNTIFS(C454:F454,"Reviewed N/A")&gt;0,1,0)</x:f>
        <x:v>0</x:v>
      </x:c>
    </x:row>
    <x:row r="455" ht="48" customHeight="1">
      <x:c r="A455" s="52"/>
      <x:c r="B455" s="52"/>
      <x:c r="C455" s="53"/>
      <x:c r="D455" s="53"/>
      <x:c r="E455" s="53"/>
      <x:c r="F455" s="53"/>
      <x:c r="G455" s="52"/>
      <x:c r="H455" s="21" t="str">
        <x:f>IF(COUNTA(A455:G455,I455)=0,"",IF(A455="","Add registration",IF(OR(COUNTA(C455:F455)&gt;COUNT(C455:F455)+COUNTIFS(C455:F455,"Reviewed N/A"),AND(COUNT(C455:F455)&gt;0,OR(MIN(C455:F455)&lt;36526,MAX(C455:F455)&gt;109574))),"Check date format",IF(AND(COUNTIFS(C455:F455,"Reviewed N/A")&gt;0,I455=""),"Add N/A reason; ","")&amp;IF(COUNT(C455:F455)=0,IF(COUNTIFS(C455:F455,"Reviewed N/A")=4,"No applicable dates recorded","Add dates"),IF(COUNT(C455:F455)+COUNTIFS(C455:F455,"Reviewed N/A")&lt;4,"Missing dates; ","")&amp;IF(MIN(C455:F455)&lt;TODAY(),"Overdue: ",IF(MIN(C455:F455)=TODAY(),"Due today: ",IF(MIN(C455:F455)&lt;=TODAY()+30,"Due within 30 days: ","Next: ")))&amp;INDEX($C$8:$F$8,1,MATCH(MIN(C455:F455),C455:F455,0))&amp;" "&amp;TEXT(MIN(C455:F455),"dd mmm yyyy")))))</x:f>
      </x:c>
      <x:c r="I455" s="52"/>
      <x:c r="J455" t="str">
        <x:f>IF(AND(A455&lt;&gt;"",COUNTIFS(C455,"&gt;=36526",C455,"&lt;"&amp;TODAY())+COUNTIFS(D455,"&gt;=36526",D455,"&lt;"&amp;TODAY())+COUNTIFS(E455,"&gt;=36526",E455,"&lt;"&amp;TODAY())+COUNTIFS(F455,"&gt;=36526",F455,"&lt;"&amp;TODAY())&gt;0),O455,"")</x:f>
      </x:c>
      <x:c r="K455" t="str">
        <x:f>IF(AND(A455&lt;&gt;"",COUNTIFS(C455,"&gt;=36526",C455,TODAY())+COUNTIFS(D455,"&gt;=36526",D455,TODAY())+COUNTIFS(E455,"&gt;=36526",E455,TODAY())+COUNTIFS(F455,"&gt;=36526",F455,TODAY())&gt;0),P455,"")</x:f>
      </x:c>
      <x:c r="L455" t="str">
        <x:f>IF(AND(A455&lt;&gt;"",COUNTIFS(C455,"&gt;"&amp;TODAY(),C455,"&lt;="&amp;TODAY()+30)+COUNTIFS(D455,"&gt;"&amp;TODAY(),D455,"&lt;="&amp;TODAY()+30)+COUNTIFS(E455,"&gt;"&amp;TODAY(),E455,"&lt;="&amp;TODAY()+30)+COUNTIFS(F455,"&gt;"&amp;TODAY(),F455,"&lt;="&amp;TODAY()+30)&gt;0),Q455,"")</x:f>
      </x:c>
      <x:c r="M455" t="str">
        <x:f>IF(OR(LEFT(H455,15)="Missing dates; ",LEFT(H455,16)="Add N/A reason; ",H455="Add dates",H455="Add registration",H455="Check date format"),R455,"")</x:f>
      </x:c>
      <x:c r="N455" t="str">
        <x:f>IF(COUNTIFS(C455:F455,"Reviewed N/A")&gt;0,S455,"")</x:f>
      </x:c>
      <x:c r="O455" t="n">
        <x:f>O454+IF(AND(A455&lt;&gt;"",COUNTIFS(C455,"&gt;=36526",C455,"&lt;"&amp;TODAY())+COUNTIFS(D455,"&gt;=36526",D455,"&lt;"&amp;TODAY())+COUNTIFS(E455,"&gt;=36526",E455,"&lt;"&amp;TODAY())+COUNTIFS(F455,"&gt;=36526",F455,"&lt;"&amp;TODAY())&gt;0),1,0)</x:f>
        <x:v>0</x:v>
      </x:c>
      <x:c r="P455" t="n">
        <x:f>P454+IF(AND(A455&lt;&gt;"",COUNTIFS(C455,"&gt;=36526",C455,TODAY())+COUNTIFS(D455,"&gt;=36526",D455,TODAY())+COUNTIFS(E455,"&gt;=36526",E455,TODAY())+COUNTIFS(F455,"&gt;=36526",F455,TODAY())&gt;0),1,0)</x:f>
        <x:v>0</x:v>
      </x:c>
      <x:c r="Q455" t="n">
        <x:f>Q454+IF(AND(A455&lt;&gt;"",COUNTIFS(C455,"&gt;"&amp;TODAY(),C455,"&lt;="&amp;TODAY()+30)+COUNTIFS(D455,"&gt;"&amp;TODAY(),D455,"&lt;="&amp;TODAY()+30)+COUNTIFS(E455,"&gt;"&amp;TODAY(),E455,"&lt;="&amp;TODAY()+30)+COUNTIFS(F455,"&gt;"&amp;TODAY(),F455,"&lt;="&amp;TODAY()+30)&gt;0),1,0)</x:f>
        <x:v>0</x:v>
      </x:c>
      <x:c r="R455" t="n">
        <x:f>R454+IF(OR(LEFT(H455,15)="Missing dates; ",LEFT(H455,16)="Add N/A reason; ",H455="Add dates",H455="Add registration",H455="Check date format"),1,0)</x:f>
        <x:v>0</x:v>
      </x:c>
      <x:c r="S455" t="n">
        <x:f>S454+IF(COUNTIFS(C455:F455,"Reviewed N/A")&gt;0,1,0)</x:f>
        <x:v>0</x:v>
      </x:c>
    </x:row>
    <x:row r="456" ht="48" customHeight="1">
      <x:c r="A456" s="52"/>
      <x:c r="B456" s="52"/>
      <x:c r="C456" s="53"/>
      <x:c r="D456" s="53"/>
      <x:c r="E456" s="53"/>
      <x:c r="F456" s="53"/>
      <x:c r="G456" s="52"/>
      <x:c r="H456" s="21" t="str">
        <x:f>IF(COUNTA(A456:G456,I456)=0,"",IF(A456="","Add registration",IF(OR(COUNTA(C456:F456)&gt;COUNT(C456:F456)+COUNTIFS(C456:F456,"Reviewed N/A"),AND(COUNT(C456:F456)&gt;0,OR(MIN(C456:F456)&lt;36526,MAX(C456:F456)&gt;109574))),"Check date format",IF(AND(COUNTIFS(C456:F456,"Reviewed N/A")&gt;0,I456=""),"Add N/A reason; ","")&amp;IF(COUNT(C456:F456)=0,IF(COUNTIFS(C456:F456,"Reviewed N/A")=4,"No applicable dates recorded","Add dates"),IF(COUNT(C456:F456)+COUNTIFS(C456:F456,"Reviewed N/A")&lt;4,"Missing dates; ","")&amp;IF(MIN(C456:F456)&lt;TODAY(),"Overdue: ",IF(MIN(C456:F456)=TODAY(),"Due today: ",IF(MIN(C456:F456)&lt;=TODAY()+30,"Due within 30 days: ","Next: ")))&amp;INDEX($C$8:$F$8,1,MATCH(MIN(C456:F456),C456:F456,0))&amp;" "&amp;TEXT(MIN(C456:F456),"dd mmm yyyy")))))</x:f>
      </x:c>
      <x:c r="I456" s="52"/>
      <x:c r="J456" t="str">
        <x:f>IF(AND(A456&lt;&gt;"",COUNTIFS(C456,"&gt;=36526",C456,"&lt;"&amp;TODAY())+COUNTIFS(D456,"&gt;=36526",D456,"&lt;"&amp;TODAY())+COUNTIFS(E456,"&gt;=36526",E456,"&lt;"&amp;TODAY())+COUNTIFS(F456,"&gt;=36526",F456,"&lt;"&amp;TODAY())&gt;0),O456,"")</x:f>
      </x:c>
      <x:c r="K456" t="str">
        <x:f>IF(AND(A456&lt;&gt;"",COUNTIFS(C456,"&gt;=36526",C456,TODAY())+COUNTIFS(D456,"&gt;=36526",D456,TODAY())+COUNTIFS(E456,"&gt;=36526",E456,TODAY())+COUNTIFS(F456,"&gt;=36526",F456,TODAY())&gt;0),P456,"")</x:f>
      </x:c>
      <x:c r="L456" t="str">
        <x:f>IF(AND(A456&lt;&gt;"",COUNTIFS(C456,"&gt;"&amp;TODAY(),C456,"&lt;="&amp;TODAY()+30)+COUNTIFS(D456,"&gt;"&amp;TODAY(),D456,"&lt;="&amp;TODAY()+30)+COUNTIFS(E456,"&gt;"&amp;TODAY(),E456,"&lt;="&amp;TODAY()+30)+COUNTIFS(F456,"&gt;"&amp;TODAY(),F456,"&lt;="&amp;TODAY()+30)&gt;0),Q456,"")</x:f>
      </x:c>
      <x:c r="M456" t="str">
        <x:f>IF(OR(LEFT(H456,15)="Missing dates; ",LEFT(H456,16)="Add N/A reason; ",H456="Add dates",H456="Add registration",H456="Check date format"),R456,"")</x:f>
      </x:c>
      <x:c r="N456" t="str">
        <x:f>IF(COUNTIFS(C456:F456,"Reviewed N/A")&gt;0,S456,"")</x:f>
      </x:c>
      <x:c r="O456" t="n">
        <x:f>O455+IF(AND(A456&lt;&gt;"",COUNTIFS(C456,"&gt;=36526",C456,"&lt;"&amp;TODAY())+COUNTIFS(D456,"&gt;=36526",D456,"&lt;"&amp;TODAY())+COUNTIFS(E456,"&gt;=36526",E456,"&lt;"&amp;TODAY())+COUNTIFS(F456,"&gt;=36526",F456,"&lt;"&amp;TODAY())&gt;0),1,0)</x:f>
        <x:v>0</x:v>
      </x:c>
      <x:c r="P456" t="n">
        <x:f>P455+IF(AND(A456&lt;&gt;"",COUNTIFS(C456,"&gt;=36526",C456,TODAY())+COUNTIFS(D456,"&gt;=36526",D456,TODAY())+COUNTIFS(E456,"&gt;=36526",E456,TODAY())+COUNTIFS(F456,"&gt;=36526",F456,TODAY())&gt;0),1,0)</x:f>
        <x:v>0</x:v>
      </x:c>
      <x:c r="Q456" t="n">
        <x:f>Q455+IF(AND(A456&lt;&gt;"",COUNTIFS(C456,"&gt;"&amp;TODAY(),C456,"&lt;="&amp;TODAY()+30)+COUNTIFS(D456,"&gt;"&amp;TODAY(),D456,"&lt;="&amp;TODAY()+30)+COUNTIFS(E456,"&gt;"&amp;TODAY(),E456,"&lt;="&amp;TODAY()+30)+COUNTIFS(F456,"&gt;"&amp;TODAY(),F456,"&lt;="&amp;TODAY()+30)&gt;0),1,0)</x:f>
        <x:v>0</x:v>
      </x:c>
      <x:c r="R456" t="n">
        <x:f>R455+IF(OR(LEFT(H456,15)="Missing dates; ",LEFT(H456,16)="Add N/A reason; ",H456="Add dates",H456="Add registration",H456="Check date format"),1,0)</x:f>
        <x:v>0</x:v>
      </x:c>
      <x:c r="S456" t="n">
        <x:f>S455+IF(COUNTIFS(C456:F456,"Reviewed N/A")&gt;0,1,0)</x:f>
        <x:v>0</x:v>
      </x:c>
    </x:row>
    <x:row r="457" ht="48" customHeight="1">
      <x:c r="A457" s="52"/>
      <x:c r="B457" s="52"/>
      <x:c r="C457" s="53"/>
      <x:c r="D457" s="53"/>
      <x:c r="E457" s="53"/>
      <x:c r="F457" s="53"/>
      <x:c r="G457" s="52"/>
      <x:c r="H457" s="21" t="str">
        <x:f>IF(COUNTA(A457:G457,I457)=0,"",IF(A457="","Add registration",IF(OR(COUNTA(C457:F457)&gt;COUNT(C457:F457)+COUNTIFS(C457:F457,"Reviewed N/A"),AND(COUNT(C457:F457)&gt;0,OR(MIN(C457:F457)&lt;36526,MAX(C457:F457)&gt;109574))),"Check date format",IF(AND(COUNTIFS(C457:F457,"Reviewed N/A")&gt;0,I457=""),"Add N/A reason; ","")&amp;IF(COUNT(C457:F457)=0,IF(COUNTIFS(C457:F457,"Reviewed N/A")=4,"No applicable dates recorded","Add dates"),IF(COUNT(C457:F457)+COUNTIFS(C457:F457,"Reviewed N/A")&lt;4,"Missing dates; ","")&amp;IF(MIN(C457:F457)&lt;TODAY(),"Overdue: ",IF(MIN(C457:F457)=TODAY(),"Due today: ",IF(MIN(C457:F457)&lt;=TODAY()+30,"Due within 30 days: ","Next: ")))&amp;INDEX($C$8:$F$8,1,MATCH(MIN(C457:F457),C457:F457,0))&amp;" "&amp;TEXT(MIN(C457:F457),"dd mmm yyyy")))))</x:f>
      </x:c>
      <x:c r="I457" s="52"/>
      <x:c r="J457" t="str">
        <x:f>IF(AND(A457&lt;&gt;"",COUNTIFS(C457,"&gt;=36526",C457,"&lt;"&amp;TODAY())+COUNTIFS(D457,"&gt;=36526",D457,"&lt;"&amp;TODAY())+COUNTIFS(E457,"&gt;=36526",E457,"&lt;"&amp;TODAY())+COUNTIFS(F457,"&gt;=36526",F457,"&lt;"&amp;TODAY())&gt;0),O457,"")</x:f>
      </x:c>
      <x:c r="K457" t="str">
        <x:f>IF(AND(A457&lt;&gt;"",COUNTIFS(C457,"&gt;=36526",C457,TODAY())+COUNTIFS(D457,"&gt;=36526",D457,TODAY())+COUNTIFS(E457,"&gt;=36526",E457,TODAY())+COUNTIFS(F457,"&gt;=36526",F457,TODAY())&gt;0),P457,"")</x:f>
      </x:c>
      <x:c r="L457" t="str">
        <x:f>IF(AND(A457&lt;&gt;"",COUNTIFS(C457,"&gt;"&amp;TODAY(),C457,"&lt;="&amp;TODAY()+30)+COUNTIFS(D457,"&gt;"&amp;TODAY(),D457,"&lt;="&amp;TODAY()+30)+COUNTIFS(E457,"&gt;"&amp;TODAY(),E457,"&lt;="&amp;TODAY()+30)+COUNTIFS(F457,"&gt;"&amp;TODAY(),F457,"&lt;="&amp;TODAY()+30)&gt;0),Q457,"")</x:f>
      </x:c>
      <x:c r="M457" t="str">
        <x:f>IF(OR(LEFT(H457,15)="Missing dates; ",LEFT(H457,16)="Add N/A reason; ",H457="Add dates",H457="Add registration",H457="Check date format"),R457,"")</x:f>
      </x:c>
      <x:c r="N457" t="str">
        <x:f>IF(COUNTIFS(C457:F457,"Reviewed N/A")&gt;0,S457,"")</x:f>
      </x:c>
      <x:c r="O457" t="n">
        <x:f>O456+IF(AND(A457&lt;&gt;"",COUNTIFS(C457,"&gt;=36526",C457,"&lt;"&amp;TODAY())+COUNTIFS(D457,"&gt;=36526",D457,"&lt;"&amp;TODAY())+COUNTIFS(E457,"&gt;=36526",E457,"&lt;"&amp;TODAY())+COUNTIFS(F457,"&gt;=36526",F457,"&lt;"&amp;TODAY())&gt;0),1,0)</x:f>
        <x:v>0</x:v>
      </x:c>
      <x:c r="P457" t="n">
        <x:f>P456+IF(AND(A457&lt;&gt;"",COUNTIFS(C457,"&gt;=36526",C457,TODAY())+COUNTIFS(D457,"&gt;=36526",D457,TODAY())+COUNTIFS(E457,"&gt;=36526",E457,TODAY())+COUNTIFS(F457,"&gt;=36526",F457,TODAY())&gt;0),1,0)</x:f>
        <x:v>0</x:v>
      </x:c>
      <x:c r="Q457" t="n">
        <x:f>Q456+IF(AND(A457&lt;&gt;"",COUNTIFS(C457,"&gt;"&amp;TODAY(),C457,"&lt;="&amp;TODAY()+30)+COUNTIFS(D457,"&gt;"&amp;TODAY(),D457,"&lt;="&amp;TODAY()+30)+COUNTIFS(E457,"&gt;"&amp;TODAY(),E457,"&lt;="&amp;TODAY()+30)+COUNTIFS(F457,"&gt;"&amp;TODAY(),F457,"&lt;="&amp;TODAY()+30)&gt;0),1,0)</x:f>
        <x:v>0</x:v>
      </x:c>
      <x:c r="R457" t="n">
        <x:f>R456+IF(OR(LEFT(H457,15)="Missing dates; ",LEFT(H457,16)="Add N/A reason; ",H457="Add dates",H457="Add registration",H457="Check date format"),1,0)</x:f>
        <x:v>0</x:v>
      </x:c>
      <x:c r="S457" t="n">
        <x:f>S456+IF(COUNTIFS(C457:F457,"Reviewed N/A")&gt;0,1,0)</x:f>
        <x:v>0</x:v>
      </x:c>
    </x:row>
    <x:row r="458" ht="48" customHeight="1">
      <x:c r="A458" s="52"/>
      <x:c r="B458" s="52"/>
      <x:c r="C458" s="53"/>
      <x:c r="D458" s="53"/>
      <x:c r="E458" s="53"/>
      <x:c r="F458" s="53"/>
      <x:c r="G458" s="52"/>
      <x:c r="H458" s="21" t="str">
        <x:f>IF(COUNTA(A458:G458,I458)=0,"",IF(A458="","Add registration",IF(OR(COUNTA(C458:F458)&gt;COUNT(C458:F458)+COUNTIFS(C458:F458,"Reviewed N/A"),AND(COUNT(C458:F458)&gt;0,OR(MIN(C458:F458)&lt;36526,MAX(C458:F458)&gt;109574))),"Check date format",IF(AND(COUNTIFS(C458:F458,"Reviewed N/A")&gt;0,I458=""),"Add N/A reason; ","")&amp;IF(COUNT(C458:F458)=0,IF(COUNTIFS(C458:F458,"Reviewed N/A")=4,"No applicable dates recorded","Add dates"),IF(COUNT(C458:F458)+COUNTIFS(C458:F458,"Reviewed N/A")&lt;4,"Missing dates; ","")&amp;IF(MIN(C458:F458)&lt;TODAY(),"Overdue: ",IF(MIN(C458:F458)=TODAY(),"Due today: ",IF(MIN(C458:F458)&lt;=TODAY()+30,"Due within 30 days: ","Next: ")))&amp;INDEX($C$8:$F$8,1,MATCH(MIN(C458:F458),C458:F458,0))&amp;" "&amp;TEXT(MIN(C458:F458),"dd mmm yyyy")))))</x:f>
      </x:c>
      <x:c r="I458" s="52"/>
      <x:c r="J458" t="str">
        <x:f>IF(AND(A458&lt;&gt;"",COUNTIFS(C458,"&gt;=36526",C458,"&lt;"&amp;TODAY())+COUNTIFS(D458,"&gt;=36526",D458,"&lt;"&amp;TODAY())+COUNTIFS(E458,"&gt;=36526",E458,"&lt;"&amp;TODAY())+COUNTIFS(F458,"&gt;=36526",F458,"&lt;"&amp;TODAY())&gt;0),O458,"")</x:f>
      </x:c>
      <x:c r="K458" t="str">
        <x:f>IF(AND(A458&lt;&gt;"",COUNTIFS(C458,"&gt;=36526",C458,TODAY())+COUNTIFS(D458,"&gt;=36526",D458,TODAY())+COUNTIFS(E458,"&gt;=36526",E458,TODAY())+COUNTIFS(F458,"&gt;=36526",F458,TODAY())&gt;0),P458,"")</x:f>
      </x:c>
      <x:c r="L458" t="str">
        <x:f>IF(AND(A458&lt;&gt;"",COUNTIFS(C458,"&gt;"&amp;TODAY(),C458,"&lt;="&amp;TODAY()+30)+COUNTIFS(D458,"&gt;"&amp;TODAY(),D458,"&lt;="&amp;TODAY()+30)+COUNTIFS(E458,"&gt;"&amp;TODAY(),E458,"&lt;="&amp;TODAY()+30)+COUNTIFS(F458,"&gt;"&amp;TODAY(),F458,"&lt;="&amp;TODAY()+30)&gt;0),Q458,"")</x:f>
      </x:c>
      <x:c r="M458" t="str">
        <x:f>IF(OR(LEFT(H458,15)="Missing dates; ",LEFT(H458,16)="Add N/A reason; ",H458="Add dates",H458="Add registration",H458="Check date format"),R458,"")</x:f>
      </x:c>
      <x:c r="N458" t="str">
        <x:f>IF(COUNTIFS(C458:F458,"Reviewed N/A")&gt;0,S458,"")</x:f>
      </x:c>
      <x:c r="O458" t="n">
        <x:f>O457+IF(AND(A458&lt;&gt;"",COUNTIFS(C458,"&gt;=36526",C458,"&lt;"&amp;TODAY())+COUNTIFS(D458,"&gt;=36526",D458,"&lt;"&amp;TODAY())+COUNTIFS(E458,"&gt;=36526",E458,"&lt;"&amp;TODAY())+COUNTIFS(F458,"&gt;=36526",F458,"&lt;"&amp;TODAY())&gt;0),1,0)</x:f>
        <x:v>0</x:v>
      </x:c>
      <x:c r="P458" t="n">
        <x:f>P457+IF(AND(A458&lt;&gt;"",COUNTIFS(C458,"&gt;=36526",C458,TODAY())+COUNTIFS(D458,"&gt;=36526",D458,TODAY())+COUNTIFS(E458,"&gt;=36526",E458,TODAY())+COUNTIFS(F458,"&gt;=36526",F458,TODAY())&gt;0),1,0)</x:f>
        <x:v>0</x:v>
      </x:c>
      <x:c r="Q458" t="n">
        <x:f>Q457+IF(AND(A458&lt;&gt;"",COUNTIFS(C458,"&gt;"&amp;TODAY(),C458,"&lt;="&amp;TODAY()+30)+COUNTIFS(D458,"&gt;"&amp;TODAY(),D458,"&lt;="&amp;TODAY()+30)+COUNTIFS(E458,"&gt;"&amp;TODAY(),E458,"&lt;="&amp;TODAY()+30)+COUNTIFS(F458,"&gt;"&amp;TODAY(),F458,"&lt;="&amp;TODAY()+30)&gt;0),1,0)</x:f>
        <x:v>0</x:v>
      </x:c>
      <x:c r="R458" t="n">
        <x:f>R457+IF(OR(LEFT(H458,15)="Missing dates; ",LEFT(H458,16)="Add N/A reason; ",H458="Add dates",H458="Add registration",H458="Check date format"),1,0)</x:f>
        <x:v>0</x:v>
      </x:c>
      <x:c r="S458" t="n">
        <x:f>S457+IF(COUNTIFS(C458:F458,"Reviewed N/A")&gt;0,1,0)</x:f>
        <x:v>0</x:v>
      </x:c>
    </x:row>
    <x:row r="459" ht="48" customHeight="1">
      <x:c r="A459" s="52"/>
      <x:c r="B459" s="52"/>
      <x:c r="C459" s="53"/>
      <x:c r="D459" s="53"/>
      <x:c r="E459" s="53"/>
      <x:c r="F459" s="53"/>
      <x:c r="G459" s="52"/>
      <x:c r="H459" s="21" t="str">
        <x:f>IF(COUNTA(A459:G459,I459)=0,"",IF(A459="","Add registration",IF(OR(COUNTA(C459:F459)&gt;COUNT(C459:F459)+COUNTIFS(C459:F459,"Reviewed N/A"),AND(COUNT(C459:F459)&gt;0,OR(MIN(C459:F459)&lt;36526,MAX(C459:F459)&gt;109574))),"Check date format",IF(AND(COUNTIFS(C459:F459,"Reviewed N/A")&gt;0,I459=""),"Add N/A reason; ","")&amp;IF(COUNT(C459:F459)=0,IF(COUNTIFS(C459:F459,"Reviewed N/A")=4,"No applicable dates recorded","Add dates"),IF(COUNT(C459:F459)+COUNTIFS(C459:F459,"Reviewed N/A")&lt;4,"Missing dates; ","")&amp;IF(MIN(C459:F459)&lt;TODAY(),"Overdue: ",IF(MIN(C459:F459)=TODAY(),"Due today: ",IF(MIN(C459:F459)&lt;=TODAY()+30,"Due within 30 days: ","Next: ")))&amp;INDEX($C$8:$F$8,1,MATCH(MIN(C459:F459),C459:F459,0))&amp;" "&amp;TEXT(MIN(C459:F459),"dd mmm yyyy")))))</x:f>
      </x:c>
      <x:c r="I459" s="52"/>
      <x:c r="J459" t="str">
        <x:f>IF(AND(A459&lt;&gt;"",COUNTIFS(C459,"&gt;=36526",C459,"&lt;"&amp;TODAY())+COUNTIFS(D459,"&gt;=36526",D459,"&lt;"&amp;TODAY())+COUNTIFS(E459,"&gt;=36526",E459,"&lt;"&amp;TODAY())+COUNTIFS(F459,"&gt;=36526",F459,"&lt;"&amp;TODAY())&gt;0),O459,"")</x:f>
      </x:c>
      <x:c r="K459" t="str">
        <x:f>IF(AND(A459&lt;&gt;"",COUNTIFS(C459,"&gt;=36526",C459,TODAY())+COUNTIFS(D459,"&gt;=36526",D459,TODAY())+COUNTIFS(E459,"&gt;=36526",E459,TODAY())+COUNTIFS(F459,"&gt;=36526",F459,TODAY())&gt;0),P459,"")</x:f>
      </x:c>
      <x:c r="L459" t="str">
        <x:f>IF(AND(A459&lt;&gt;"",COUNTIFS(C459,"&gt;"&amp;TODAY(),C459,"&lt;="&amp;TODAY()+30)+COUNTIFS(D459,"&gt;"&amp;TODAY(),D459,"&lt;="&amp;TODAY()+30)+COUNTIFS(E459,"&gt;"&amp;TODAY(),E459,"&lt;="&amp;TODAY()+30)+COUNTIFS(F459,"&gt;"&amp;TODAY(),F459,"&lt;="&amp;TODAY()+30)&gt;0),Q459,"")</x:f>
      </x:c>
      <x:c r="M459" t="str">
        <x:f>IF(OR(LEFT(H459,15)="Missing dates; ",LEFT(H459,16)="Add N/A reason; ",H459="Add dates",H459="Add registration",H459="Check date format"),R459,"")</x:f>
      </x:c>
      <x:c r="N459" t="str">
        <x:f>IF(COUNTIFS(C459:F459,"Reviewed N/A")&gt;0,S459,"")</x:f>
      </x:c>
      <x:c r="O459" t="n">
        <x:f>O458+IF(AND(A459&lt;&gt;"",COUNTIFS(C459,"&gt;=36526",C459,"&lt;"&amp;TODAY())+COUNTIFS(D459,"&gt;=36526",D459,"&lt;"&amp;TODAY())+COUNTIFS(E459,"&gt;=36526",E459,"&lt;"&amp;TODAY())+COUNTIFS(F459,"&gt;=36526",F459,"&lt;"&amp;TODAY())&gt;0),1,0)</x:f>
        <x:v>0</x:v>
      </x:c>
      <x:c r="P459" t="n">
        <x:f>P458+IF(AND(A459&lt;&gt;"",COUNTIFS(C459,"&gt;=36526",C459,TODAY())+COUNTIFS(D459,"&gt;=36526",D459,TODAY())+COUNTIFS(E459,"&gt;=36526",E459,TODAY())+COUNTIFS(F459,"&gt;=36526",F459,TODAY())&gt;0),1,0)</x:f>
        <x:v>0</x:v>
      </x:c>
      <x:c r="Q459" t="n">
        <x:f>Q458+IF(AND(A459&lt;&gt;"",COUNTIFS(C459,"&gt;"&amp;TODAY(),C459,"&lt;="&amp;TODAY()+30)+COUNTIFS(D459,"&gt;"&amp;TODAY(),D459,"&lt;="&amp;TODAY()+30)+COUNTIFS(E459,"&gt;"&amp;TODAY(),E459,"&lt;="&amp;TODAY()+30)+COUNTIFS(F459,"&gt;"&amp;TODAY(),F459,"&lt;="&amp;TODAY()+30)&gt;0),1,0)</x:f>
        <x:v>0</x:v>
      </x:c>
      <x:c r="R459" t="n">
        <x:f>R458+IF(OR(LEFT(H459,15)="Missing dates; ",LEFT(H459,16)="Add N/A reason; ",H459="Add dates",H459="Add registration",H459="Check date format"),1,0)</x:f>
        <x:v>0</x:v>
      </x:c>
      <x:c r="S459" t="n">
        <x:f>S458+IF(COUNTIFS(C459:F459,"Reviewed N/A")&gt;0,1,0)</x:f>
        <x:v>0</x:v>
      </x:c>
    </x:row>
    <x:row r="460" ht="48" customHeight="1">
      <x:c r="A460" s="52"/>
      <x:c r="B460" s="52"/>
      <x:c r="C460" s="53"/>
      <x:c r="D460" s="53"/>
      <x:c r="E460" s="53"/>
      <x:c r="F460" s="53"/>
      <x:c r="G460" s="52"/>
      <x:c r="H460" s="21" t="str">
        <x:f>IF(COUNTA(A460:G460,I460)=0,"",IF(A460="","Add registration",IF(OR(COUNTA(C460:F460)&gt;COUNT(C460:F460)+COUNTIFS(C460:F460,"Reviewed N/A"),AND(COUNT(C460:F460)&gt;0,OR(MIN(C460:F460)&lt;36526,MAX(C460:F460)&gt;109574))),"Check date format",IF(AND(COUNTIFS(C460:F460,"Reviewed N/A")&gt;0,I460=""),"Add N/A reason; ","")&amp;IF(COUNT(C460:F460)=0,IF(COUNTIFS(C460:F460,"Reviewed N/A")=4,"No applicable dates recorded","Add dates"),IF(COUNT(C460:F460)+COUNTIFS(C460:F460,"Reviewed N/A")&lt;4,"Missing dates; ","")&amp;IF(MIN(C460:F460)&lt;TODAY(),"Overdue: ",IF(MIN(C460:F460)=TODAY(),"Due today: ",IF(MIN(C460:F460)&lt;=TODAY()+30,"Due within 30 days: ","Next: ")))&amp;INDEX($C$8:$F$8,1,MATCH(MIN(C460:F460),C460:F460,0))&amp;" "&amp;TEXT(MIN(C460:F460),"dd mmm yyyy")))))</x:f>
      </x:c>
      <x:c r="I460" s="52"/>
      <x:c r="J460" t="str">
        <x:f>IF(AND(A460&lt;&gt;"",COUNTIFS(C460,"&gt;=36526",C460,"&lt;"&amp;TODAY())+COUNTIFS(D460,"&gt;=36526",D460,"&lt;"&amp;TODAY())+COUNTIFS(E460,"&gt;=36526",E460,"&lt;"&amp;TODAY())+COUNTIFS(F460,"&gt;=36526",F460,"&lt;"&amp;TODAY())&gt;0),O460,"")</x:f>
      </x:c>
      <x:c r="K460" t="str">
        <x:f>IF(AND(A460&lt;&gt;"",COUNTIFS(C460,"&gt;=36526",C460,TODAY())+COUNTIFS(D460,"&gt;=36526",D460,TODAY())+COUNTIFS(E460,"&gt;=36526",E460,TODAY())+COUNTIFS(F460,"&gt;=36526",F460,TODAY())&gt;0),P460,"")</x:f>
      </x:c>
      <x:c r="L460" t="str">
        <x:f>IF(AND(A460&lt;&gt;"",COUNTIFS(C460,"&gt;"&amp;TODAY(),C460,"&lt;="&amp;TODAY()+30)+COUNTIFS(D460,"&gt;"&amp;TODAY(),D460,"&lt;="&amp;TODAY()+30)+COUNTIFS(E460,"&gt;"&amp;TODAY(),E460,"&lt;="&amp;TODAY()+30)+COUNTIFS(F460,"&gt;"&amp;TODAY(),F460,"&lt;="&amp;TODAY()+30)&gt;0),Q460,"")</x:f>
      </x:c>
      <x:c r="M460" t="str">
        <x:f>IF(OR(LEFT(H460,15)="Missing dates; ",LEFT(H460,16)="Add N/A reason; ",H460="Add dates",H460="Add registration",H460="Check date format"),R460,"")</x:f>
      </x:c>
      <x:c r="N460" t="str">
        <x:f>IF(COUNTIFS(C460:F460,"Reviewed N/A")&gt;0,S460,"")</x:f>
      </x:c>
      <x:c r="O460" t="n">
        <x:f>O459+IF(AND(A460&lt;&gt;"",COUNTIFS(C460,"&gt;=36526",C460,"&lt;"&amp;TODAY())+COUNTIFS(D460,"&gt;=36526",D460,"&lt;"&amp;TODAY())+COUNTIFS(E460,"&gt;=36526",E460,"&lt;"&amp;TODAY())+COUNTIFS(F460,"&gt;=36526",F460,"&lt;"&amp;TODAY())&gt;0),1,0)</x:f>
        <x:v>0</x:v>
      </x:c>
      <x:c r="P460" t="n">
        <x:f>P459+IF(AND(A460&lt;&gt;"",COUNTIFS(C460,"&gt;=36526",C460,TODAY())+COUNTIFS(D460,"&gt;=36526",D460,TODAY())+COUNTIFS(E460,"&gt;=36526",E460,TODAY())+COUNTIFS(F460,"&gt;=36526",F460,TODAY())&gt;0),1,0)</x:f>
        <x:v>0</x:v>
      </x:c>
      <x:c r="Q460" t="n">
        <x:f>Q459+IF(AND(A460&lt;&gt;"",COUNTIFS(C460,"&gt;"&amp;TODAY(),C460,"&lt;="&amp;TODAY()+30)+COUNTIFS(D460,"&gt;"&amp;TODAY(),D460,"&lt;="&amp;TODAY()+30)+COUNTIFS(E460,"&gt;"&amp;TODAY(),E460,"&lt;="&amp;TODAY()+30)+COUNTIFS(F460,"&gt;"&amp;TODAY(),F460,"&lt;="&amp;TODAY()+30)&gt;0),1,0)</x:f>
        <x:v>0</x:v>
      </x:c>
      <x:c r="R460" t="n">
        <x:f>R459+IF(OR(LEFT(H460,15)="Missing dates; ",LEFT(H460,16)="Add N/A reason; ",H460="Add dates",H460="Add registration",H460="Check date format"),1,0)</x:f>
        <x:v>0</x:v>
      </x:c>
      <x:c r="S460" t="n">
        <x:f>S459+IF(COUNTIFS(C460:F460,"Reviewed N/A")&gt;0,1,0)</x:f>
        <x:v>0</x:v>
      </x:c>
    </x:row>
    <x:row r="461" ht="48" customHeight="1">
      <x:c r="A461" s="52"/>
      <x:c r="B461" s="52"/>
      <x:c r="C461" s="53"/>
      <x:c r="D461" s="53"/>
      <x:c r="E461" s="53"/>
      <x:c r="F461" s="53"/>
      <x:c r="G461" s="52"/>
      <x:c r="H461" s="21" t="str">
        <x:f>IF(COUNTA(A461:G461,I461)=0,"",IF(A461="","Add registration",IF(OR(COUNTA(C461:F461)&gt;COUNT(C461:F461)+COUNTIFS(C461:F461,"Reviewed N/A"),AND(COUNT(C461:F461)&gt;0,OR(MIN(C461:F461)&lt;36526,MAX(C461:F461)&gt;109574))),"Check date format",IF(AND(COUNTIFS(C461:F461,"Reviewed N/A")&gt;0,I461=""),"Add N/A reason; ","")&amp;IF(COUNT(C461:F461)=0,IF(COUNTIFS(C461:F461,"Reviewed N/A")=4,"No applicable dates recorded","Add dates"),IF(COUNT(C461:F461)+COUNTIFS(C461:F461,"Reviewed N/A")&lt;4,"Missing dates; ","")&amp;IF(MIN(C461:F461)&lt;TODAY(),"Overdue: ",IF(MIN(C461:F461)=TODAY(),"Due today: ",IF(MIN(C461:F461)&lt;=TODAY()+30,"Due within 30 days: ","Next: ")))&amp;INDEX($C$8:$F$8,1,MATCH(MIN(C461:F461),C461:F461,0))&amp;" "&amp;TEXT(MIN(C461:F461),"dd mmm yyyy")))))</x:f>
      </x:c>
      <x:c r="I461" s="52"/>
      <x:c r="J461" t="str">
        <x:f>IF(AND(A461&lt;&gt;"",COUNTIFS(C461,"&gt;=36526",C461,"&lt;"&amp;TODAY())+COUNTIFS(D461,"&gt;=36526",D461,"&lt;"&amp;TODAY())+COUNTIFS(E461,"&gt;=36526",E461,"&lt;"&amp;TODAY())+COUNTIFS(F461,"&gt;=36526",F461,"&lt;"&amp;TODAY())&gt;0),O461,"")</x:f>
      </x:c>
      <x:c r="K461" t="str">
        <x:f>IF(AND(A461&lt;&gt;"",COUNTIFS(C461,"&gt;=36526",C461,TODAY())+COUNTIFS(D461,"&gt;=36526",D461,TODAY())+COUNTIFS(E461,"&gt;=36526",E461,TODAY())+COUNTIFS(F461,"&gt;=36526",F461,TODAY())&gt;0),P461,"")</x:f>
      </x:c>
      <x:c r="L461" t="str">
        <x:f>IF(AND(A461&lt;&gt;"",COUNTIFS(C461,"&gt;"&amp;TODAY(),C461,"&lt;="&amp;TODAY()+30)+COUNTIFS(D461,"&gt;"&amp;TODAY(),D461,"&lt;="&amp;TODAY()+30)+COUNTIFS(E461,"&gt;"&amp;TODAY(),E461,"&lt;="&amp;TODAY()+30)+COUNTIFS(F461,"&gt;"&amp;TODAY(),F461,"&lt;="&amp;TODAY()+30)&gt;0),Q461,"")</x:f>
      </x:c>
      <x:c r="M461" t="str">
        <x:f>IF(OR(LEFT(H461,15)="Missing dates; ",LEFT(H461,16)="Add N/A reason; ",H461="Add dates",H461="Add registration",H461="Check date format"),R461,"")</x:f>
      </x:c>
      <x:c r="N461" t="str">
        <x:f>IF(COUNTIFS(C461:F461,"Reviewed N/A")&gt;0,S461,"")</x:f>
      </x:c>
      <x:c r="O461" t="n">
        <x:f>O460+IF(AND(A461&lt;&gt;"",COUNTIFS(C461,"&gt;=36526",C461,"&lt;"&amp;TODAY())+COUNTIFS(D461,"&gt;=36526",D461,"&lt;"&amp;TODAY())+COUNTIFS(E461,"&gt;=36526",E461,"&lt;"&amp;TODAY())+COUNTIFS(F461,"&gt;=36526",F461,"&lt;"&amp;TODAY())&gt;0),1,0)</x:f>
        <x:v>0</x:v>
      </x:c>
      <x:c r="P461" t="n">
        <x:f>P460+IF(AND(A461&lt;&gt;"",COUNTIFS(C461,"&gt;=36526",C461,TODAY())+COUNTIFS(D461,"&gt;=36526",D461,TODAY())+COUNTIFS(E461,"&gt;=36526",E461,TODAY())+COUNTIFS(F461,"&gt;=36526",F461,TODAY())&gt;0),1,0)</x:f>
        <x:v>0</x:v>
      </x:c>
      <x:c r="Q461" t="n">
        <x:f>Q460+IF(AND(A461&lt;&gt;"",COUNTIFS(C461,"&gt;"&amp;TODAY(),C461,"&lt;="&amp;TODAY()+30)+COUNTIFS(D461,"&gt;"&amp;TODAY(),D461,"&lt;="&amp;TODAY()+30)+COUNTIFS(E461,"&gt;"&amp;TODAY(),E461,"&lt;="&amp;TODAY()+30)+COUNTIFS(F461,"&gt;"&amp;TODAY(),F461,"&lt;="&amp;TODAY()+30)&gt;0),1,0)</x:f>
        <x:v>0</x:v>
      </x:c>
      <x:c r="R461" t="n">
        <x:f>R460+IF(OR(LEFT(H461,15)="Missing dates; ",LEFT(H461,16)="Add N/A reason; ",H461="Add dates",H461="Add registration",H461="Check date format"),1,0)</x:f>
        <x:v>0</x:v>
      </x:c>
      <x:c r="S461" t="n">
        <x:f>S460+IF(COUNTIFS(C461:F461,"Reviewed N/A")&gt;0,1,0)</x:f>
        <x:v>0</x:v>
      </x:c>
    </x:row>
    <x:row r="462" ht="48" customHeight="1">
      <x:c r="A462" s="52"/>
      <x:c r="B462" s="52"/>
      <x:c r="C462" s="53"/>
      <x:c r="D462" s="53"/>
      <x:c r="E462" s="53"/>
      <x:c r="F462" s="53"/>
      <x:c r="G462" s="52"/>
      <x:c r="H462" s="21" t="str">
        <x:f>IF(COUNTA(A462:G462,I462)=0,"",IF(A462="","Add registration",IF(OR(COUNTA(C462:F462)&gt;COUNT(C462:F462)+COUNTIFS(C462:F462,"Reviewed N/A"),AND(COUNT(C462:F462)&gt;0,OR(MIN(C462:F462)&lt;36526,MAX(C462:F462)&gt;109574))),"Check date format",IF(AND(COUNTIFS(C462:F462,"Reviewed N/A")&gt;0,I462=""),"Add N/A reason; ","")&amp;IF(COUNT(C462:F462)=0,IF(COUNTIFS(C462:F462,"Reviewed N/A")=4,"No applicable dates recorded","Add dates"),IF(COUNT(C462:F462)+COUNTIFS(C462:F462,"Reviewed N/A")&lt;4,"Missing dates; ","")&amp;IF(MIN(C462:F462)&lt;TODAY(),"Overdue: ",IF(MIN(C462:F462)=TODAY(),"Due today: ",IF(MIN(C462:F462)&lt;=TODAY()+30,"Due within 30 days: ","Next: ")))&amp;INDEX($C$8:$F$8,1,MATCH(MIN(C462:F462),C462:F462,0))&amp;" "&amp;TEXT(MIN(C462:F462),"dd mmm yyyy")))))</x:f>
      </x:c>
      <x:c r="I462" s="52"/>
      <x:c r="J462" t="str">
        <x:f>IF(AND(A462&lt;&gt;"",COUNTIFS(C462,"&gt;=36526",C462,"&lt;"&amp;TODAY())+COUNTIFS(D462,"&gt;=36526",D462,"&lt;"&amp;TODAY())+COUNTIFS(E462,"&gt;=36526",E462,"&lt;"&amp;TODAY())+COUNTIFS(F462,"&gt;=36526",F462,"&lt;"&amp;TODAY())&gt;0),O462,"")</x:f>
      </x:c>
      <x:c r="K462" t="str">
        <x:f>IF(AND(A462&lt;&gt;"",COUNTIFS(C462,"&gt;=36526",C462,TODAY())+COUNTIFS(D462,"&gt;=36526",D462,TODAY())+COUNTIFS(E462,"&gt;=36526",E462,TODAY())+COUNTIFS(F462,"&gt;=36526",F462,TODAY())&gt;0),P462,"")</x:f>
      </x:c>
      <x:c r="L462" t="str">
        <x:f>IF(AND(A462&lt;&gt;"",COUNTIFS(C462,"&gt;"&amp;TODAY(),C462,"&lt;="&amp;TODAY()+30)+COUNTIFS(D462,"&gt;"&amp;TODAY(),D462,"&lt;="&amp;TODAY()+30)+COUNTIFS(E462,"&gt;"&amp;TODAY(),E462,"&lt;="&amp;TODAY()+30)+COUNTIFS(F462,"&gt;"&amp;TODAY(),F462,"&lt;="&amp;TODAY()+30)&gt;0),Q462,"")</x:f>
      </x:c>
      <x:c r="M462" t="str">
        <x:f>IF(OR(LEFT(H462,15)="Missing dates; ",LEFT(H462,16)="Add N/A reason; ",H462="Add dates",H462="Add registration",H462="Check date format"),R462,"")</x:f>
      </x:c>
      <x:c r="N462" t="str">
        <x:f>IF(COUNTIFS(C462:F462,"Reviewed N/A")&gt;0,S462,"")</x:f>
      </x:c>
      <x:c r="O462" t="n">
        <x:f>O461+IF(AND(A462&lt;&gt;"",COUNTIFS(C462,"&gt;=36526",C462,"&lt;"&amp;TODAY())+COUNTIFS(D462,"&gt;=36526",D462,"&lt;"&amp;TODAY())+COUNTIFS(E462,"&gt;=36526",E462,"&lt;"&amp;TODAY())+COUNTIFS(F462,"&gt;=36526",F462,"&lt;"&amp;TODAY())&gt;0),1,0)</x:f>
        <x:v>0</x:v>
      </x:c>
      <x:c r="P462" t="n">
        <x:f>P461+IF(AND(A462&lt;&gt;"",COUNTIFS(C462,"&gt;=36526",C462,TODAY())+COUNTIFS(D462,"&gt;=36526",D462,TODAY())+COUNTIFS(E462,"&gt;=36526",E462,TODAY())+COUNTIFS(F462,"&gt;=36526",F462,TODAY())&gt;0),1,0)</x:f>
        <x:v>0</x:v>
      </x:c>
      <x:c r="Q462" t="n">
        <x:f>Q461+IF(AND(A462&lt;&gt;"",COUNTIFS(C462,"&gt;"&amp;TODAY(),C462,"&lt;="&amp;TODAY()+30)+COUNTIFS(D462,"&gt;"&amp;TODAY(),D462,"&lt;="&amp;TODAY()+30)+COUNTIFS(E462,"&gt;"&amp;TODAY(),E462,"&lt;="&amp;TODAY()+30)+COUNTIFS(F462,"&gt;"&amp;TODAY(),F462,"&lt;="&amp;TODAY()+30)&gt;0),1,0)</x:f>
        <x:v>0</x:v>
      </x:c>
      <x:c r="R462" t="n">
        <x:f>R461+IF(OR(LEFT(H462,15)="Missing dates; ",LEFT(H462,16)="Add N/A reason; ",H462="Add dates",H462="Add registration",H462="Check date format"),1,0)</x:f>
        <x:v>0</x:v>
      </x:c>
      <x:c r="S462" t="n">
        <x:f>S461+IF(COUNTIFS(C462:F462,"Reviewed N/A")&gt;0,1,0)</x:f>
        <x:v>0</x:v>
      </x:c>
    </x:row>
    <x:row r="463" ht="48" customHeight="1">
      <x:c r="A463" s="52"/>
      <x:c r="B463" s="52"/>
      <x:c r="C463" s="53"/>
      <x:c r="D463" s="53"/>
      <x:c r="E463" s="53"/>
      <x:c r="F463" s="53"/>
      <x:c r="G463" s="52"/>
      <x:c r="H463" s="21" t="str">
        <x:f>IF(COUNTA(A463:G463,I463)=0,"",IF(A463="","Add registration",IF(OR(COUNTA(C463:F463)&gt;COUNT(C463:F463)+COUNTIFS(C463:F463,"Reviewed N/A"),AND(COUNT(C463:F463)&gt;0,OR(MIN(C463:F463)&lt;36526,MAX(C463:F463)&gt;109574))),"Check date format",IF(AND(COUNTIFS(C463:F463,"Reviewed N/A")&gt;0,I463=""),"Add N/A reason; ","")&amp;IF(COUNT(C463:F463)=0,IF(COUNTIFS(C463:F463,"Reviewed N/A")=4,"No applicable dates recorded","Add dates"),IF(COUNT(C463:F463)+COUNTIFS(C463:F463,"Reviewed N/A")&lt;4,"Missing dates; ","")&amp;IF(MIN(C463:F463)&lt;TODAY(),"Overdue: ",IF(MIN(C463:F463)=TODAY(),"Due today: ",IF(MIN(C463:F463)&lt;=TODAY()+30,"Due within 30 days: ","Next: ")))&amp;INDEX($C$8:$F$8,1,MATCH(MIN(C463:F463),C463:F463,0))&amp;" "&amp;TEXT(MIN(C463:F463),"dd mmm yyyy")))))</x:f>
      </x:c>
      <x:c r="I463" s="52"/>
      <x:c r="J463" t="str">
        <x:f>IF(AND(A463&lt;&gt;"",COUNTIFS(C463,"&gt;=36526",C463,"&lt;"&amp;TODAY())+COUNTIFS(D463,"&gt;=36526",D463,"&lt;"&amp;TODAY())+COUNTIFS(E463,"&gt;=36526",E463,"&lt;"&amp;TODAY())+COUNTIFS(F463,"&gt;=36526",F463,"&lt;"&amp;TODAY())&gt;0),O463,"")</x:f>
      </x:c>
      <x:c r="K463" t="str">
        <x:f>IF(AND(A463&lt;&gt;"",COUNTIFS(C463,"&gt;=36526",C463,TODAY())+COUNTIFS(D463,"&gt;=36526",D463,TODAY())+COUNTIFS(E463,"&gt;=36526",E463,TODAY())+COUNTIFS(F463,"&gt;=36526",F463,TODAY())&gt;0),P463,"")</x:f>
      </x:c>
      <x:c r="L463" t="str">
        <x:f>IF(AND(A463&lt;&gt;"",COUNTIFS(C463,"&gt;"&amp;TODAY(),C463,"&lt;="&amp;TODAY()+30)+COUNTIFS(D463,"&gt;"&amp;TODAY(),D463,"&lt;="&amp;TODAY()+30)+COUNTIFS(E463,"&gt;"&amp;TODAY(),E463,"&lt;="&amp;TODAY()+30)+COUNTIFS(F463,"&gt;"&amp;TODAY(),F463,"&lt;="&amp;TODAY()+30)&gt;0),Q463,"")</x:f>
      </x:c>
      <x:c r="M463" t="str">
        <x:f>IF(OR(LEFT(H463,15)="Missing dates; ",LEFT(H463,16)="Add N/A reason; ",H463="Add dates",H463="Add registration",H463="Check date format"),R463,"")</x:f>
      </x:c>
      <x:c r="N463" t="str">
        <x:f>IF(COUNTIFS(C463:F463,"Reviewed N/A")&gt;0,S463,"")</x:f>
      </x:c>
      <x:c r="O463" t="n">
        <x:f>O462+IF(AND(A463&lt;&gt;"",COUNTIFS(C463,"&gt;=36526",C463,"&lt;"&amp;TODAY())+COUNTIFS(D463,"&gt;=36526",D463,"&lt;"&amp;TODAY())+COUNTIFS(E463,"&gt;=36526",E463,"&lt;"&amp;TODAY())+COUNTIFS(F463,"&gt;=36526",F463,"&lt;"&amp;TODAY())&gt;0),1,0)</x:f>
        <x:v>0</x:v>
      </x:c>
      <x:c r="P463" t="n">
        <x:f>P462+IF(AND(A463&lt;&gt;"",COUNTIFS(C463,"&gt;=36526",C463,TODAY())+COUNTIFS(D463,"&gt;=36526",D463,TODAY())+COUNTIFS(E463,"&gt;=36526",E463,TODAY())+COUNTIFS(F463,"&gt;=36526",F463,TODAY())&gt;0),1,0)</x:f>
        <x:v>0</x:v>
      </x:c>
      <x:c r="Q463" t="n">
        <x:f>Q462+IF(AND(A463&lt;&gt;"",COUNTIFS(C463,"&gt;"&amp;TODAY(),C463,"&lt;="&amp;TODAY()+30)+COUNTIFS(D463,"&gt;"&amp;TODAY(),D463,"&lt;="&amp;TODAY()+30)+COUNTIFS(E463,"&gt;"&amp;TODAY(),E463,"&lt;="&amp;TODAY()+30)+COUNTIFS(F463,"&gt;"&amp;TODAY(),F463,"&lt;="&amp;TODAY()+30)&gt;0),1,0)</x:f>
        <x:v>0</x:v>
      </x:c>
      <x:c r="R463" t="n">
        <x:f>R462+IF(OR(LEFT(H463,15)="Missing dates; ",LEFT(H463,16)="Add N/A reason; ",H463="Add dates",H463="Add registration",H463="Check date format"),1,0)</x:f>
        <x:v>0</x:v>
      </x:c>
      <x:c r="S463" t="n">
        <x:f>S462+IF(COUNTIFS(C463:F463,"Reviewed N/A")&gt;0,1,0)</x:f>
        <x:v>0</x:v>
      </x:c>
    </x:row>
    <x:row r="464" ht="48" customHeight="1">
      <x:c r="A464" s="52"/>
      <x:c r="B464" s="52"/>
      <x:c r="C464" s="53"/>
      <x:c r="D464" s="53"/>
      <x:c r="E464" s="53"/>
      <x:c r="F464" s="53"/>
      <x:c r="G464" s="52"/>
      <x:c r="H464" s="21" t="str">
        <x:f>IF(COUNTA(A464:G464,I464)=0,"",IF(A464="","Add registration",IF(OR(COUNTA(C464:F464)&gt;COUNT(C464:F464)+COUNTIFS(C464:F464,"Reviewed N/A"),AND(COUNT(C464:F464)&gt;0,OR(MIN(C464:F464)&lt;36526,MAX(C464:F464)&gt;109574))),"Check date format",IF(AND(COUNTIFS(C464:F464,"Reviewed N/A")&gt;0,I464=""),"Add N/A reason; ","")&amp;IF(COUNT(C464:F464)=0,IF(COUNTIFS(C464:F464,"Reviewed N/A")=4,"No applicable dates recorded","Add dates"),IF(COUNT(C464:F464)+COUNTIFS(C464:F464,"Reviewed N/A")&lt;4,"Missing dates; ","")&amp;IF(MIN(C464:F464)&lt;TODAY(),"Overdue: ",IF(MIN(C464:F464)=TODAY(),"Due today: ",IF(MIN(C464:F464)&lt;=TODAY()+30,"Due within 30 days: ","Next: ")))&amp;INDEX($C$8:$F$8,1,MATCH(MIN(C464:F464),C464:F464,0))&amp;" "&amp;TEXT(MIN(C464:F464),"dd mmm yyyy")))))</x:f>
      </x:c>
      <x:c r="I464" s="52"/>
      <x:c r="J464" t="str">
        <x:f>IF(AND(A464&lt;&gt;"",COUNTIFS(C464,"&gt;=36526",C464,"&lt;"&amp;TODAY())+COUNTIFS(D464,"&gt;=36526",D464,"&lt;"&amp;TODAY())+COUNTIFS(E464,"&gt;=36526",E464,"&lt;"&amp;TODAY())+COUNTIFS(F464,"&gt;=36526",F464,"&lt;"&amp;TODAY())&gt;0),O464,"")</x:f>
      </x:c>
      <x:c r="K464" t="str">
        <x:f>IF(AND(A464&lt;&gt;"",COUNTIFS(C464,"&gt;=36526",C464,TODAY())+COUNTIFS(D464,"&gt;=36526",D464,TODAY())+COUNTIFS(E464,"&gt;=36526",E464,TODAY())+COUNTIFS(F464,"&gt;=36526",F464,TODAY())&gt;0),P464,"")</x:f>
      </x:c>
      <x:c r="L464" t="str">
        <x:f>IF(AND(A464&lt;&gt;"",COUNTIFS(C464,"&gt;"&amp;TODAY(),C464,"&lt;="&amp;TODAY()+30)+COUNTIFS(D464,"&gt;"&amp;TODAY(),D464,"&lt;="&amp;TODAY()+30)+COUNTIFS(E464,"&gt;"&amp;TODAY(),E464,"&lt;="&amp;TODAY()+30)+COUNTIFS(F464,"&gt;"&amp;TODAY(),F464,"&lt;="&amp;TODAY()+30)&gt;0),Q464,"")</x:f>
      </x:c>
      <x:c r="M464" t="str">
        <x:f>IF(OR(LEFT(H464,15)="Missing dates; ",LEFT(H464,16)="Add N/A reason; ",H464="Add dates",H464="Add registration",H464="Check date format"),R464,"")</x:f>
      </x:c>
      <x:c r="N464" t="str">
        <x:f>IF(COUNTIFS(C464:F464,"Reviewed N/A")&gt;0,S464,"")</x:f>
      </x:c>
      <x:c r="O464" t="n">
        <x:f>O463+IF(AND(A464&lt;&gt;"",COUNTIFS(C464,"&gt;=36526",C464,"&lt;"&amp;TODAY())+COUNTIFS(D464,"&gt;=36526",D464,"&lt;"&amp;TODAY())+COUNTIFS(E464,"&gt;=36526",E464,"&lt;"&amp;TODAY())+COUNTIFS(F464,"&gt;=36526",F464,"&lt;"&amp;TODAY())&gt;0),1,0)</x:f>
        <x:v>0</x:v>
      </x:c>
      <x:c r="P464" t="n">
        <x:f>P463+IF(AND(A464&lt;&gt;"",COUNTIFS(C464,"&gt;=36526",C464,TODAY())+COUNTIFS(D464,"&gt;=36526",D464,TODAY())+COUNTIFS(E464,"&gt;=36526",E464,TODAY())+COUNTIFS(F464,"&gt;=36526",F464,TODAY())&gt;0),1,0)</x:f>
        <x:v>0</x:v>
      </x:c>
      <x:c r="Q464" t="n">
        <x:f>Q463+IF(AND(A464&lt;&gt;"",COUNTIFS(C464,"&gt;"&amp;TODAY(),C464,"&lt;="&amp;TODAY()+30)+COUNTIFS(D464,"&gt;"&amp;TODAY(),D464,"&lt;="&amp;TODAY()+30)+COUNTIFS(E464,"&gt;"&amp;TODAY(),E464,"&lt;="&amp;TODAY()+30)+COUNTIFS(F464,"&gt;"&amp;TODAY(),F464,"&lt;="&amp;TODAY()+30)&gt;0),1,0)</x:f>
        <x:v>0</x:v>
      </x:c>
      <x:c r="R464" t="n">
        <x:f>R463+IF(OR(LEFT(H464,15)="Missing dates; ",LEFT(H464,16)="Add N/A reason; ",H464="Add dates",H464="Add registration",H464="Check date format"),1,0)</x:f>
        <x:v>0</x:v>
      </x:c>
      <x:c r="S464" t="n">
        <x:f>S463+IF(COUNTIFS(C464:F464,"Reviewed N/A")&gt;0,1,0)</x:f>
        <x:v>0</x:v>
      </x:c>
    </x:row>
    <x:row r="465" ht="48" customHeight="1">
      <x:c r="A465" s="52"/>
      <x:c r="B465" s="52"/>
      <x:c r="C465" s="53"/>
      <x:c r="D465" s="53"/>
      <x:c r="E465" s="53"/>
      <x:c r="F465" s="53"/>
      <x:c r="G465" s="52"/>
      <x:c r="H465" s="21" t="str">
        <x:f>IF(COUNTA(A465:G465,I465)=0,"",IF(A465="","Add registration",IF(OR(COUNTA(C465:F465)&gt;COUNT(C465:F465)+COUNTIFS(C465:F465,"Reviewed N/A"),AND(COUNT(C465:F465)&gt;0,OR(MIN(C465:F465)&lt;36526,MAX(C465:F465)&gt;109574))),"Check date format",IF(AND(COUNTIFS(C465:F465,"Reviewed N/A")&gt;0,I465=""),"Add N/A reason; ","")&amp;IF(COUNT(C465:F465)=0,IF(COUNTIFS(C465:F465,"Reviewed N/A")=4,"No applicable dates recorded","Add dates"),IF(COUNT(C465:F465)+COUNTIFS(C465:F465,"Reviewed N/A")&lt;4,"Missing dates; ","")&amp;IF(MIN(C465:F465)&lt;TODAY(),"Overdue: ",IF(MIN(C465:F465)=TODAY(),"Due today: ",IF(MIN(C465:F465)&lt;=TODAY()+30,"Due within 30 days: ","Next: ")))&amp;INDEX($C$8:$F$8,1,MATCH(MIN(C465:F465),C465:F465,0))&amp;" "&amp;TEXT(MIN(C465:F465),"dd mmm yyyy")))))</x:f>
      </x:c>
      <x:c r="I465" s="52"/>
      <x:c r="J465" t="str">
        <x:f>IF(AND(A465&lt;&gt;"",COUNTIFS(C465,"&gt;=36526",C465,"&lt;"&amp;TODAY())+COUNTIFS(D465,"&gt;=36526",D465,"&lt;"&amp;TODAY())+COUNTIFS(E465,"&gt;=36526",E465,"&lt;"&amp;TODAY())+COUNTIFS(F465,"&gt;=36526",F465,"&lt;"&amp;TODAY())&gt;0),O465,"")</x:f>
      </x:c>
      <x:c r="K465" t="str">
        <x:f>IF(AND(A465&lt;&gt;"",COUNTIFS(C465,"&gt;=36526",C465,TODAY())+COUNTIFS(D465,"&gt;=36526",D465,TODAY())+COUNTIFS(E465,"&gt;=36526",E465,TODAY())+COUNTIFS(F465,"&gt;=36526",F465,TODAY())&gt;0),P465,"")</x:f>
      </x:c>
      <x:c r="L465" t="str">
        <x:f>IF(AND(A465&lt;&gt;"",COUNTIFS(C465,"&gt;"&amp;TODAY(),C465,"&lt;="&amp;TODAY()+30)+COUNTIFS(D465,"&gt;"&amp;TODAY(),D465,"&lt;="&amp;TODAY()+30)+COUNTIFS(E465,"&gt;"&amp;TODAY(),E465,"&lt;="&amp;TODAY()+30)+COUNTIFS(F465,"&gt;"&amp;TODAY(),F465,"&lt;="&amp;TODAY()+30)&gt;0),Q465,"")</x:f>
      </x:c>
      <x:c r="M465" t="str">
        <x:f>IF(OR(LEFT(H465,15)="Missing dates; ",LEFT(H465,16)="Add N/A reason; ",H465="Add dates",H465="Add registration",H465="Check date format"),R465,"")</x:f>
      </x:c>
      <x:c r="N465" t="str">
        <x:f>IF(COUNTIFS(C465:F465,"Reviewed N/A")&gt;0,S465,"")</x:f>
      </x:c>
      <x:c r="O465" t="n">
        <x:f>O464+IF(AND(A465&lt;&gt;"",COUNTIFS(C465,"&gt;=36526",C465,"&lt;"&amp;TODAY())+COUNTIFS(D465,"&gt;=36526",D465,"&lt;"&amp;TODAY())+COUNTIFS(E465,"&gt;=36526",E465,"&lt;"&amp;TODAY())+COUNTIFS(F465,"&gt;=36526",F465,"&lt;"&amp;TODAY())&gt;0),1,0)</x:f>
        <x:v>0</x:v>
      </x:c>
      <x:c r="P465" t="n">
        <x:f>P464+IF(AND(A465&lt;&gt;"",COUNTIFS(C465,"&gt;=36526",C465,TODAY())+COUNTIFS(D465,"&gt;=36526",D465,TODAY())+COUNTIFS(E465,"&gt;=36526",E465,TODAY())+COUNTIFS(F465,"&gt;=36526",F465,TODAY())&gt;0),1,0)</x:f>
        <x:v>0</x:v>
      </x:c>
      <x:c r="Q465" t="n">
        <x:f>Q464+IF(AND(A465&lt;&gt;"",COUNTIFS(C465,"&gt;"&amp;TODAY(),C465,"&lt;="&amp;TODAY()+30)+COUNTIFS(D465,"&gt;"&amp;TODAY(),D465,"&lt;="&amp;TODAY()+30)+COUNTIFS(E465,"&gt;"&amp;TODAY(),E465,"&lt;="&amp;TODAY()+30)+COUNTIFS(F465,"&gt;"&amp;TODAY(),F465,"&lt;="&amp;TODAY()+30)&gt;0),1,0)</x:f>
        <x:v>0</x:v>
      </x:c>
      <x:c r="R465" t="n">
        <x:f>R464+IF(OR(LEFT(H465,15)="Missing dates; ",LEFT(H465,16)="Add N/A reason; ",H465="Add dates",H465="Add registration",H465="Check date format"),1,0)</x:f>
        <x:v>0</x:v>
      </x:c>
      <x:c r="S465" t="n">
        <x:f>S464+IF(COUNTIFS(C465:F465,"Reviewed N/A")&gt;0,1,0)</x:f>
        <x:v>0</x:v>
      </x:c>
    </x:row>
    <x:row r="466" ht="48" customHeight="1">
      <x:c r="A466" s="52"/>
      <x:c r="B466" s="52"/>
      <x:c r="C466" s="53"/>
      <x:c r="D466" s="53"/>
      <x:c r="E466" s="53"/>
      <x:c r="F466" s="53"/>
      <x:c r="G466" s="52"/>
      <x:c r="H466" s="21" t="str">
        <x:f>IF(COUNTA(A466:G466,I466)=0,"",IF(A466="","Add registration",IF(OR(COUNTA(C466:F466)&gt;COUNT(C466:F466)+COUNTIFS(C466:F466,"Reviewed N/A"),AND(COUNT(C466:F466)&gt;0,OR(MIN(C466:F466)&lt;36526,MAX(C466:F466)&gt;109574))),"Check date format",IF(AND(COUNTIFS(C466:F466,"Reviewed N/A")&gt;0,I466=""),"Add N/A reason; ","")&amp;IF(COUNT(C466:F466)=0,IF(COUNTIFS(C466:F466,"Reviewed N/A")=4,"No applicable dates recorded","Add dates"),IF(COUNT(C466:F466)+COUNTIFS(C466:F466,"Reviewed N/A")&lt;4,"Missing dates; ","")&amp;IF(MIN(C466:F466)&lt;TODAY(),"Overdue: ",IF(MIN(C466:F466)=TODAY(),"Due today: ",IF(MIN(C466:F466)&lt;=TODAY()+30,"Due within 30 days: ","Next: ")))&amp;INDEX($C$8:$F$8,1,MATCH(MIN(C466:F466),C466:F466,0))&amp;" "&amp;TEXT(MIN(C466:F466),"dd mmm yyyy")))))</x:f>
      </x:c>
      <x:c r="I466" s="52"/>
      <x:c r="J466" t="str">
        <x:f>IF(AND(A466&lt;&gt;"",COUNTIFS(C466,"&gt;=36526",C466,"&lt;"&amp;TODAY())+COUNTIFS(D466,"&gt;=36526",D466,"&lt;"&amp;TODAY())+COUNTIFS(E466,"&gt;=36526",E466,"&lt;"&amp;TODAY())+COUNTIFS(F466,"&gt;=36526",F466,"&lt;"&amp;TODAY())&gt;0),O466,"")</x:f>
      </x:c>
      <x:c r="K466" t="str">
        <x:f>IF(AND(A466&lt;&gt;"",COUNTIFS(C466,"&gt;=36526",C466,TODAY())+COUNTIFS(D466,"&gt;=36526",D466,TODAY())+COUNTIFS(E466,"&gt;=36526",E466,TODAY())+COUNTIFS(F466,"&gt;=36526",F466,TODAY())&gt;0),P466,"")</x:f>
      </x:c>
      <x:c r="L466" t="str">
        <x:f>IF(AND(A466&lt;&gt;"",COUNTIFS(C466,"&gt;"&amp;TODAY(),C466,"&lt;="&amp;TODAY()+30)+COUNTIFS(D466,"&gt;"&amp;TODAY(),D466,"&lt;="&amp;TODAY()+30)+COUNTIFS(E466,"&gt;"&amp;TODAY(),E466,"&lt;="&amp;TODAY()+30)+COUNTIFS(F466,"&gt;"&amp;TODAY(),F466,"&lt;="&amp;TODAY()+30)&gt;0),Q466,"")</x:f>
      </x:c>
      <x:c r="M466" t="str">
        <x:f>IF(OR(LEFT(H466,15)="Missing dates; ",LEFT(H466,16)="Add N/A reason; ",H466="Add dates",H466="Add registration",H466="Check date format"),R466,"")</x:f>
      </x:c>
      <x:c r="N466" t="str">
        <x:f>IF(COUNTIFS(C466:F466,"Reviewed N/A")&gt;0,S466,"")</x:f>
      </x:c>
      <x:c r="O466" t="n">
        <x:f>O465+IF(AND(A466&lt;&gt;"",COUNTIFS(C466,"&gt;=36526",C466,"&lt;"&amp;TODAY())+COUNTIFS(D466,"&gt;=36526",D466,"&lt;"&amp;TODAY())+COUNTIFS(E466,"&gt;=36526",E466,"&lt;"&amp;TODAY())+COUNTIFS(F466,"&gt;=36526",F466,"&lt;"&amp;TODAY())&gt;0),1,0)</x:f>
        <x:v>0</x:v>
      </x:c>
      <x:c r="P466" t="n">
        <x:f>P465+IF(AND(A466&lt;&gt;"",COUNTIFS(C466,"&gt;=36526",C466,TODAY())+COUNTIFS(D466,"&gt;=36526",D466,TODAY())+COUNTIFS(E466,"&gt;=36526",E466,TODAY())+COUNTIFS(F466,"&gt;=36526",F466,TODAY())&gt;0),1,0)</x:f>
        <x:v>0</x:v>
      </x:c>
      <x:c r="Q466" t="n">
        <x:f>Q465+IF(AND(A466&lt;&gt;"",COUNTIFS(C466,"&gt;"&amp;TODAY(),C466,"&lt;="&amp;TODAY()+30)+COUNTIFS(D466,"&gt;"&amp;TODAY(),D466,"&lt;="&amp;TODAY()+30)+COUNTIFS(E466,"&gt;"&amp;TODAY(),E466,"&lt;="&amp;TODAY()+30)+COUNTIFS(F466,"&gt;"&amp;TODAY(),F466,"&lt;="&amp;TODAY()+30)&gt;0),1,0)</x:f>
        <x:v>0</x:v>
      </x:c>
      <x:c r="R466" t="n">
        <x:f>R465+IF(OR(LEFT(H466,15)="Missing dates; ",LEFT(H466,16)="Add N/A reason; ",H466="Add dates",H466="Add registration",H466="Check date format"),1,0)</x:f>
        <x:v>0</x:v>
      </x:c>
      <x:c r="S466" t="n">
        <x:f>S465+IF(COUNTIFS(C466:F466,"Reviewed N/A")&gt;0,1,0)</x:f>
        <x:v>0</x:v>
      </x:c>
    </x:row>
    <x:row r="467" ht="48" customHeight="1">
      <x:c r="A467" s="52"/>
      <x:c r="B467" s="52"/>
      <x:c r="C467" s="53"/>
      <x:c r="D467" s="53"/>
      <x:c r="E467" s="53"/>
      <x:c r="F467" s="53"/>
      <x:c r="G467" s="52"/>
      <x:c r="H467" s="21" t="str">
        <x:f>IF(COUNTA(A467:G467,I467)=0,"",IF(A467="","Add registration",IF(OR(COUNTA(C467:F467)&gt;COUNT(C467:F467)+COUNTIFS(C467:F467,"Reviewed N/A"),AND(COUNT(C467:F467)&gt;0,OR(MIN(C467:F467)&lt;36526,MAX(C467:F467)&gt;109574))),"Check date format",IF(AND(COUNTIFS(C467:F467,"Reviewed N/A")&gt;0,I467=""),"Add N/A reason; ","")&amp;IF(COUNT(C467:F467)=0,IF(COUNTIFS(C467:F467,"Reviewed N/A")=4,"No applicable dates recorded","Add dates"),IF(COUNT(C467:F467)+COUNTIFS(C467:F467,"Reviewed N/A")&lt;4,"Missing dates; ","")&amp;IF(MIN(C467:F467)&lt;TODAY(),"Overdue: ",IF(MIN(C467:F467)=TODAY(),"Due today: ",IF(MIN(C467:F467)&lt;=TODAY()+30,"Due within 30 days: ","Next: ")))&amp;INDEX($C$8:$F$8,1,MATCH(MIN(C467:F467),C467:F467,0))&amp;" "&amp;TEXT(MIN(C467:F467),"dd mmm yyyy")))))</x:f>
      </x:c>
      <x:c r="I467" s="52"/>
      <x:c r="J467" t="str">
        <x:f>IF(AND(A467&lt;&gt;"",COUNTIFS(C467,"&gt;=36526",C467,"&lt;"&amp;TODAY())+COUNTIFS(D467,"&gt;=36526",D467,"&lt;"&amp;TODAY())+COUNTIFS(E467,"&gt;=36526",E467,"&lt;"&amp;TODAY())+COUNTIFS(F467,"&gt;=36526",F467,"&lt;"&amp;TODAY())&gt;0),O467,"")</x:f>
      </x:c>
      <x:c r="K467" t="str">
        <x:f>IF(AND(A467&lt;&gt;"",COUNTIFS(C467,"&gt;=36526",C467,TODAY())+COUNTIFS(D467,"&gt;=36526",D467,TODAY())+COUNTIFS(E467,"&gt;=36526",E467,TODAY())+COUNTIFS(F467,"&gt;=36526",F467,TODAY())&gt;0),P467,"")</x:f>
      </x:c>
      <x:c r="L467" t="str">
        <x:f>IF(AND(A467&lt;&gt;"",COUNTIFS(C467,"&gt;"&amp;TODAY(),C467,"&lt;="&amp;TODAY()+30)+COUNTIFS(D467,"&gt;"&amp;TODAY(),D467,"&lt;="&amp;TODAY()+30)+COUNTIFS(E467,"&gt;"&amp;TODAY(),E467,"&lt;="&amp;TODAY()+30)+COUNTIFS(F467,"&gt;"&amp;TODAY(),F467,"&lt;="&amp;TODAY()+30)&gt;0),Q467,"")</x:f>
      </x:c>
      <x:c r="M467" t="str">
        <x:f>IF(OR(LEFT(H467,15)="Missing dates; ",LEFT(H467,16)="Add N/A reason; ",H467="Add dates",H467="Add registration",H467="Check date format"),R467,"")</x:f>
      </x:c>
      <x:c r="N467" t="str">
        <x:f>IF(COUNTIFS(C467:F467,"Reviewed N/A")&gt;0,S467,"")</x:f>
      </x:c>
      <x:c r="O467" t="n">
        <x:f>O466+IF(AND(A467&lt;&gt;"",COUNTIFS(C467,"&gt;=36526",C467,"&lt;"&amp;TODAY())+COUNTIFS(D467,"&gt;=36526",D467,"&lt;"&amp;TODAY())+COUNTIFS(E467,"&gt;=36526",E467,"&lt;"&amp;TODAY())+COUNTIFS(F467,"&gt;=36526",F467,"&lt;"&amp;TODAY())&gt;0),1,0)</x:f>
        <x:v>0</x:v>
      </x:c>
      <x:c r="P467" t="n">
        <x:f>P466+IF(AND(A467&lt;&gt;"",COUNTIFS(C467,"&gt;=36526",C467,TODAY())+COUNTIFS(D467,"&gt;=36526",D467,TODAY())+COUNTIFS(E467,"&gt;=36526",E467,TODAY())+COUNTIFS(F467,"&gt;=36526",F467,TODAY())&gt;0),1,0)</x:f>
        <x:v>0</x:v>
      </x:c>
      <x:c r="Q467" t="n">
        <x:f>Q466+IF(AND(A467&lt;&gt;"",COUNTIFS(C467,"&gt;"&amp;TODAY(),C467,"&lt;="&amp;TODAY()+30)+COUNTIFS(D467,"&gt;"&amp;TODAY(),D467,"&lt;="&amp;TODAY()+30)+COUNTIFS(E467,"&gt;"&amp;TODAY(),E467,"&lt;="&amp;TODAY()+30)+COUNTIFS(F467,"&gt;"&amp;TODAY(),F467,"&lt;="&amp;TODAY()+30)&gt;0),1,0)</x:f>
        <x:v>0</x:v>
      </x:c>
      <x:c r="R467" t="n">
        <x:f>R466+IF(OR(LEFT(H467,15)="Missing dates; ",LEFT(H467,16)="Add N/A reason; ",H467="Add dates",H467="Add registration",H467="Check date format"),1,0)</x:f>
        <x:v>0</x:v>
      </x:c>
      <x:c r="S467" t="n">
        <x:f>S466+IF(COUNTIFS(C467:F467,"Reviewed N/A")&gt;0,1,0)</x:f>
        <x:v>0</x:v>
      </x:c>
    </x:row>
    <x:row r="468" ht="48" customHeight="1">
      <x:c r="A468" s="52"/>
      <x:c r="B468" s="52"/>
      <x:c r="C468" s="53"/>
      <x:c r="D468" s="53"/>
      <x:c r="E468" s="53"/>
      <x:c r="F468" s="53"/>
      <x:c r="G468" s="52"/>
      <x:c r="H468" s="21" t="str">
        <x:f>IF(COUNTA(A468:G468,I468)=0,"",IF(A468="","Add registration",IF(OR(COUNTA(C468:F468)&gt;COUNT(C468:F468)+COUNTIFS(C468:F468,"Reviewed N/A"),AND(COUNT(C468:F468)&gt;0,OR(MIN(C468:F468)&lt;36526,MAX(C468:F468)&gt;109574))),"Check date format",IF(AND(COUNTIFS(C468:F468,"Reviewed N/A")&gt;0,I468=""),"Add N/A reason; ","")&amp;IF(COUNT(C468:F468)=0,IF(COUNTIFS(C468:F468,"Reviewed N/A")=4,"No applicable dates recorded","Add dates"),IF(COUNT(C468:F468)+COUNTIFS(C468:F468,"Reviewed N/A")&lt;4,"Missing dates; ","")&amp;IF(MIN(C468:F468)&lt;TODAY(),"Overdue: ",IF(MIN(C468:F468)=TODAY(),"Due today: ",IF(MIN(C468:F468)&lt;=TODAY()+30,"Due within 30 days: ","Next: ")))&amp;INDEX($C$8:$F$8,1,MATCH(MIN(C468:F468),C468:F468,0))&amp;" "&amp;TEXT(MIN(C468:F468),"dd mmm yyyy")))))</x:f>
      </x:c>
      <x:c r="I468" s="52"/>
      <x:c r="J468" t="str">
        <x:f>IF(AND(A468&lt;&gt;"",COUNTIFS(C468,"&gt;=36526",C468,"&lt;"&amp;TODAY())+COUNTIFS(D468,"&gt;=36526",D468,"&lt;"&amp;TODAY())+COUNTIFS(E468,"&gt;=36526",E468,"&lt;"&amp;TODAY())+COUNTIFS(F468,"&gt;=36526",F468,"&lt;"&amp;TODAY())&gt;0),O468,"")</x:f>
      </x:c>
      <x:c r="K468" t="str">
        <x:f>IF(AND(A468&lt;&gt;"",COUNTIFS(C468,"&gt;=36526",C468,TODAY())+COUNTIFS(D468,"&gt;=36526",D468,TODAY())+COUNTIFS(E468,"&gt;=36526",E468,TODAY())+COUNTIFS(F468,"&gt;=36526",F468,TODAY())&gt;0),P468,"")</x:f>
      </x:c>
      <x:c r="L468" t="str">
        <x:f>IF(AND(A468&lt;&gt;"",COUNTIFS(C468,"&gt;"&amp;TODAY(),C468,"&lt;="&amp;TODAY()+30)+COUNTIFS(D468,"&gt;"&amp;TODAY(),D468,"&lt;="&amp;TODAY()+30)+COUNTIFS(E468,"&gt;"&amp;TODAY(),E468,"&lt;="&amp;TODAY()+30)+COUNTIFS(F468,"&gt;"&amp;TODAY(),F468,"&lt;="&amp;TODAY()+30)&gt;0),Q468,"")</x:f>
      </x:c>
      <x:c r="M468" t="str">
        <x:f>IF(OR(LEFT(H468,15)="Missing dates; ",LEFT(H468,16)="Add N/A reason; ",H468="Add dates",H468="Add registration",H468="Check date format"),R468,"")</x:f>
      </x:c>
      <x:c r="N468" t="str">
        <x:f>IF(COUNTIFS(C468:F468,"Reviewed N/A")&gt;0,S468,"")</x:f>
      </x:c>
      <x:c r="O468" t="n">
        <x:f>O467+IF(AND(A468&lt;&gt;"",COUNTIFS(C468,"&gt;=36526",C468,"&lt;"&amp;TODAY())+COUNTIFS(D468,"&gt;=36526",D468,"&lt;"&amp;TODAY())+COUNTIFS(E468,"&gt;=36526",E468,"&lt;"&amp;TODAY())+COUNTIFS(F468,"&gt;=36526",F468,"&lt;"&amp;TODAY())&gt;0),1,0)</x:f>
        <x:v>0</x:v>
      </x:c>
      <x:c r="P468" t="n">
        <x:f>P467+IF(AND(A468&lt;&gt;"",COUNTIFS(C468,"&gt;=36526",C468,TODAY())+COUNTIFS(D468,"&gt;=36526",D468,TODAY())+COUNTIFS(E468,"&gt;=36526",E468,TODAY())+COUNTIFS(F468,"&gt;=36526",F468,TODAY())&gt;0),1,0)</x:f>
        <x:v>0</x:v>
      </x:c>
      <x:c r="Q468" t="n">
        <x:f>Q467+IF(AND(A468&lt;&gt;"",COUNTIFS(C468,"&gt;"&amp;TODAY(),C468,"&lt;="&amp;TODAY()+30)+COUNTIFS(D468,"&gt;"&amp;TODAY(),D468,"&lt;="&amp;TODAY()+30)+COUNTIFS(E468,"&gt;"&amp;TODAY(),E468,"&lt;="&amp;TODAY()+30)+COUNTIFS(F468,"&gt;"&amp;TODAY(),F468,"&lt;="&amp;TODAY()+30)&gt;0),1,0)</x:f>
        <x:v>0</x:v>
      </x:c>
      <x:c r="R468" t="n">
        <x:f>R467+IF(OR(LEFT(H468,15)="Missing dates; ",LEFT(H468,16)="Add N/A reason; ",H468="Add dates",H468="Add registration",H468="Check date format"),1,0)</x:f>
        <x:v>0</x:v>
      </x:c>
      <x:c r="S468" t="n">
        <x:f>S467+IF(COUNTIFS(C468:F468,"Reviewed N/A")&gt;0,1,0)</x:f>
        <x:v>0</x:v>
      </x:c>
    </x:row>
    <x:row r="469" ht="48" customHeight="1">
      <x:c r="A469" s="52"/>
      <x:c r="B469" s="52"/>
      <x:c r="C469" s="53"/>
      <x:c r="D469" s="53"/>
      <x:c r="E469" s="53"/>
      <x:c r="F469" s="53"/>
      <x:c r="G469" s="52"/>
      <x:c r="H469" s="21" t="str">
        <x:f>IF(COUNTA(A469:G469,I469)=0,"",IF(A469="","Add registration",IF(OR(COUNTA(C469:F469)&gt;COUNT(C469:F469)+COUNTIFS(C469:F469,"Reviewed N/A"),AND(COUNT(C469:F469)&gt;0,OR(MIN(C469:F469)&lt;36526,MAX(C469:F469)&gt;109574))),"Check date format",IF(AND(COUNTIFS(C469:F469,"Reviewed N/A")&gt;0,I469=""),"Add N/A reason; ","")&amp;IF(COUNT(C469:F469)=0,IF(COUNTIFS(C469:F469,"Reviewed N/A")=4,"No applicable dates recorded","Add dates"),IF(COUNT(C469:F469)+COUNTIFS(C469:F469,"Reviewed N/A")&lt;4,"Missing dates; ","")&amp;IF(MIN(C469:F469)&lt;TODAY(),"Overdue: ",IF(MIN(C469:F469)=TODAY(),"Due today: ",IF(MIN(C469:F469)&lt;=TODAY()+30,"Due within 30 days: ","Next: ")))&amp;INDEX($C$8:$F$8,1,MATCH(MIN(C469:F469),C469:F469,0))&amp;" "&amp;TEXT(MIN(C469:F469),"dd mmm yyyy")))))</x:f>
      </x:c>
      <x:c r="I469" s="52"/>
      <x:c r="J469" t="str">
        <x:f>IF(AND(A469&lt;&gt;"",COUNTIFS(C469,"&gt;=36526",C469,"&lt;"&amp;TODAY())+COUNTIFS(D469,"&gt;=36526",D469,"&lt;"&amp;TODAY())+COUNTIFS(E469,"&gt;=36526",E469,"&lt;"&amp;TODAY())+COUNTIFS(F469,"&gt;=36526",F469,"&lt;"&amp;TODAY())&gt;0),O469,"")</x:f>
      </x:c>
      <x:c r="K469" t="str">
        <x:f>IF(AND(A469&lt;&gt;"",COUNTIFS(C469,"&gt;=36526",C469,TODAY())+COUNTIFS(D469,"&gt;=36526",D469,TODAY())+COUNTIFS(E469,"&gt;=36526",E469,TODAY())+COUNTIFS(F469,"&gt;=36526",F469,TODAY())&gt;0),P469,"")</x:f>
      </x:c>
      <x:c r="L469" t="str">
        <x:f>IF(AND(A469&lt;&gt;"",COUNTIFS(C469,"&gt;"&amp;TODAY(),C469,"&lt;="&amp;TODAY()+30)+COUNTIFS(D469,"&gt;"&amp;TODAY(),D469,"&lt;="&amp;TODAY()+30)+COUNTIFS(E469,"&gt;"&amp;TODAY(),E469,"&lt;="&amp;TODAY()+30)+COUNTIFS(F469,"&gt;"&amp;TODAY(),F469,"&lt;="&amp;TODAY()+30)&gt;0),Q469,"")</x:f>
      </x:c>
      <x:c r="M469" t="str">
        <x:f>IF(OR(LEFT(H469,15)="Missing dates; ",LEFT(H469,16)="Add N/A reason; ",H469="Add dates",H469="Add registration",H469="Check date format"),R469,"")</x:f>
      </x:c>
      <x:c r="N469" t="str">
        <x:f>IF(COUNTIFS(C469:F469,"Reviewed N/A")&gt;0,S469,"")</x:f>
      </x:c>
      <x:c r="O469" t="n">
        <x:f>O468+IF(AND(A469&lt;&gt;"",COUNTIFS(C469,"&gt;=36526",C469,"&lt;"&amp;TODAY())+COUNTIFS(D469,"&gt;=36526",D469,"&lt;"&amp;TODAY())+COUNTIFS(E469,"&gt;=36526",E469,"&lt;"&amp;TODAY())+COUNTIFS(F469,"&gt;=36526",F469,"&lt;"&amp;TODAY())&gt;0),1,0)</x:f>
        <x:v>0</x:v>
      </x:c>
      <x:c r="P469" t="n">
        <x:f>P468+IF(AND(A469&lt;&gt;"",COUNTIFS(C469,"&gt;=36526",C469,TODAY())+COUNTIFS(D469,"&gt;=36526",D469,TODAY())+COUNTIFS(E469,"&gt;=36526",E469,TODAY())+COUNTIFS(F469,"&gt;=36526",F469,TODAY())&gt;0),1,0)</x:f>
        <x:v>0</x:v>
      </x:c>
      <x:c r="Q469" t="n">
        <x:f>Q468+IF(AND(A469&lt;&gt;"",COUNTIFS(C469,"&gt;"&amp;TODAY(),C469,"&lt;="&amp;TODAY()+30)+COUNTIFS(D469,"&gt;"&amp;TODAY(),D469,"&lt;="&amp;TODAY()+30)+COUNTIFS(E469,"&gt;"&amp;TODAY(),E469,"&lt;="&amp;TODAY()+30)+COUNTIFS(F469,"&gt;"&amp;TODAY(),F469,"&lt;="&amp;TODAY()+30)&gt;0),1,0)</x:f>
        <x:v>0</x:v>
      </x:c>
      <x:c r="R469" t="n">
        <x:f>R468+IF(OR(LEFT(H469,15)="Missing dates; ",LEFT(H469,16)="Add N/A reason; ",H469="Add dates",H469="Add registration",H469="Check date format"),1,0)</x:f>
        <x:v>0</x:v>
      </x:c>
      <x:c r="S469" t="n">
        <x:f>S468+IF(COUNTIFS(C469:F469,"Reviewed N/A")&gt;0,1,0)</x:f>
        <x:v>0</x:v>
      </x:c>
    </x:row>
    <x:row r="470" ht="48" customHeight="1">
      <x:c r="A470" s="52"/>
      <x:c r="B470" s="52"/>
      <x:c r="C470" s="53"/>
      <x:c r="D470" s="53"/>
      <x:c r="E470" s="53"/>
      <x:c r="F470" s="53"/>
      <x:c r="G470" s="52"/>
      <x:c r="H470" s="21" t="str">
        <x:f>IF(COUNTA(A470:G470,I470)=0,"",IF(A470="","Add registration",IF(OR(COUNTA(C470:F470)&gt;COUNT(C470:F470)+COUNTIFS(C470:F470,"Reviewed N/A"),AND(COUNT(C470:F470)&gt;0,OR(MIN(C470:F470)&lt;36526,MAX(C470:F470)&gt;109574))),"Check date format",IF(AND(COUNTIFS(C470:F470,"Reviewed N/A")&gt;0,I470=""),"Add N/A reason; ","")&amp;IF(COUNT(C470:F470)=0,IF(COUNTIFS(C470:F470,"Reviewed N/A")=4,"No applicable dates recorded","Add dates"),IF(COUNT(C470:F470)+COUNTIFS(C470:F470,"Reviewed N/A")&lt;4,"Missing dates; ","")&amp;IF(MIN(C470:F470)&lt;TODAY(),"Overdue: ",IF(MIN(C470:F470)=TODAY(),"Due today: ",IF(MIN(C470:F470)&lt;=TODAY()+30,"Due within 30 days: ","Next: ")))&amp;INDEX($C$8:$F$8,1,MATCH(MIN(C470:F470),C470:F470,0))&amp;" "&amp;TEXT(MIN(C470:F470),"dd mmm yyyy")))))</x:f>
      </x:c>
      <x:c r="I470" s="52"/>
      <x:c r="J470" t="str">
        <x:f>IF(AND(A470&lt;&gt;"",COUNTIFS(C470,"&gt;=36526",C470,"&lt;"&amp;TODAY())+COUNTIFS(D470,"&gt;=36526",D470,"&lt;"&amp;TODAY())+COUNTIFS(E470,"&gt;=36526",E470,"&lt;"&amp;TODAY())+COUNTIFS(F470,"&gt;=36526",F470,"&lt;"&amp;TODAY())&gt;0),O470,"")</x:f>
      </x:c>
      <x:c r="K470" t="str">
        <x:f>IF(AND(A470&lt;&gt;"",COUNTIFS(C470,"&gt;=36526",C470,TODAY())+COUNTIFS(D470,"&gt;=36526",D470,TODAY())+COUNTIFS(E470,"&gt;=36526",E470,TODAY())+COUNTIFS(F470,"&gt;=36526",F470,TODAY())&gt;0),P470,"")</x:f>
      </x:c>
      <x:c r="L470" t="str">
        <x:f>IF(AND(A470&lt;&gt;"",COUNTIFS(C470,"&gt;"&amp;TODAY(),C470,"&lt;="&amp;TODAY()+30)+COUNTIFS(D470,"&gt;"&amp;TODAY(),D470,"&lt;="&amp;TODAY()+30)+COUNTIFS(E470,"&gt;"&amp;TODAY(),E470,"&lt;="&amp;TODAY()+30)+COUNTIFS(F470,"&gt;"&amp;TODAY(),F470,"&lt;="&amp;TODAY()+30)&gt;0),Q470,"")</x:f>
      </x:c>
      <x:c r="M470" t="str">
        <x:f>IF(OR(LEFT(H470,15)="Missing dates; ",LEFT(H470,16)="Add N/A reason; ",H470="Add dates",H470="Add registration",H470="Check date format"),R470,"")</x:f>
      </x:c>
      <x:c r="N470" t="str">
        <x:f>IF(COUNTIFS(C470:F470,"Reviewed N/A")&gt;0,S470,"")</x:f>
      </x:c>
      <x:c r="O470" t="n">
        <x:f>O469+IF(AND(A470&lt;&gt;"",COUNTIFS(C470,"&gt;=36526",C470,"&lt;"&amp;TODAY())+COUNTIFS(D470,"&gt;=36526",D470,"&lt;"&amp;TODAY())+COUNTIFS(E470,"&gt;=36526",E470,"&lt;"&amp;TODAY())+COUNTIFS(F470,"&gt;=36526",F470,"&lt;"&amp;TODAY())&gt;0),1,0)</x:f>
        <x:v>0</x:v>
      </x:c>
      <x:c r="P470" t="n">
        <x:f>P469+IF(AND(A470&lt;&gt;"",COUNTIFS(C470,"&gt;=36526",C470,TODAY())+COUNTIFS(D470,"&gt;=36526",D470,TODAY())+COUNTIFS(E470,"&gt;=36526",E470,TODAY())+COUNTIFS(F470,"&gt;=36526",F470,TODAY())&gt;0),1,0)</x:f>
        <x:v>0</x:v>
      </x:c>
      <x:c r="Q470" t="n">
        <x:f>Q469+IF(AND(A470&lt;&gt;"",COUNTIFS(C470,"&gt;"&amp;TODAY(),C470,"&lt;="&amp;TODAY()+30)+COUNTIFS(D470,"&gt;"&amp;TODAY(),D470,"&lt;="&amp;TODAY()+30)+COUNTIFS(E470,"&gt;"&amp;TODAY(),E470,"&lt;="&amp;TODAY()+30)+COUNTIFS(F470,"&gt;"&amp;TODAY(),F470,"&lt;="&amp;TODAY()+30)&gt;0),1,0)</x:f>
        <x:v>0</x:v>
      </x:c>
      <x:c r="R470" t="n">
        <x:f>R469+IF(OR(LEFT(H470,15)="Missing dates; ",LEFT(H470,16)="Add N/A reason; ",H470="Add dates",H470="Add registration",H470="Check date format"),1,0)</x:f>
        <x:v>0</x:v>
      </x:c>
      <x:c r="S470" t="n">
        <x:f>S469+IF(COUNTIFS(C470:F470,"Reviewed N/A")&gt;0,1,0)</x:f>
        <x:v>0</x:v>
      </x:c>
    </x:row>
    <x:row r="471" ht="48" customHeight="1">
      <x:c r="A471" s="52"/>
      <x:c r="B471" s="52"/>
      <x:c r="C471" s="53"/>
      <x:c r="D471" s="53"/>
      <x:c r="E471" s="53"/>
      <x:c r="F471" s="53"/>
      <x:c r="G471" s="52"/>
      <x:c r="H471" s="21" t="str">
        <x:f>IF(COUNTA(A471:G471,I471)=0,"",IF(A471="","Add registration",IF(OR(COUNTA(C471:F471)&gt;COUNT(C471:F471)+COUNTIFS(C471:F471,"Reviewed N/A"),AND(COUNT(C471:F471)&gt;0,OR(MIN(C471:F471)&lt;36526,MAX(C471:F471)&gt;109574))),"Check date format",IF(AND(COUNTIFS(C471:F471,"Reviewed N/A")&gt;0,I471=""),"Add N/A reason; ","")&amp;IF(COUNT(C471:F471)=0,IF(COUNTIFS(C471:F471,"Reviewed N/A")=4,"No applicable dates recorded","Add dates"),IF(COUNT(C471:F471)+COUNTIFS(C471:F471,"Reviewed N/A")&lt;4,"Missing dates; ","")&amp;IF(MIN(C471:F471)&lt;TODAY(),"Overdue: ",IF(MIN(C471:F471)=TODAY(),"Due today: ",IF(MIN(C471:F471)&lt;=TODAY()+30,"Due within 30 days: ","Next: ")))&amp;INDEX($C$8:$F$8,1,MATCH(MIN(C471:F471),C471:F471,0))&amp;" "&amp;TEXT(MIN(C471:F471),"dd mmm yyyy")))))</x:f>
      </x:c>
      <x:c r="I471" s="52"/>
      <x:c r="J471" t="str">
        <x:f>IF(AND(A471&lt;&gt;"",COUNTIFS(C471,"&gt;=36526",C471,"&lt;"&amp;TODAY())+COUNTIFS(D471,"&gt;=36526",D471,"&lt;"&amp;TODAY())+COUNTIFS(E471,"&gt;=36526",E471,"&lt;"&amp;TODAY())+COUNTIFS(F471,"&gt;=36526",F471,"&lt;"&amp;TODAY())&gt;0),O471,"")</x:f>
      </x:c>
      <x:c r="K471" t="str">
        <x:f>IF(AND(A471&lt;&gt;"",COUNTIFS(C471,"&gt;=36526",C471,TODAY())+COUNTIFS(D471,"&gt;=36526",D471,TODAY())+COUNTIFS(E471,"&gt;=36526",E471,TODAY())+COUNTIFS(F471,"&gt;=36526",F471,TODAY())&gt;0),P471,"")</x:f>
      </x:c>
      <x:c r="L471" t="str">
        <x:f>IF(AND(A471&lt;&gt;"",COUNTIFS(C471,"&gt;"&amp;TODAY(),C471,"&lt;="&amp;TODAY()+30)+COUNTIFS(D471,"&gt;"&amp;TODAY(),D471,"&lt;="&amp;TODAY()+30)+COUNTIFS(E471,"&gt;"&amp;TODAY(),E471,"&lt;="&amp;TODAY()+30)+COUNTIFS(F471,"&gt;"&amp;TODAY(),F471,"&lt;="&amp;TODAY()+30)&gt;0),Q471,"")</x:f>
      </x:c>
      <x:c r="M471" t="str">
        <x:f>IF(OR(LEFT(H471,15)="Missing dates; ",LEFT(H471,16)="Add N/A reason; ",H471="Add dates",H471="Add registration",H471="Check date format"),R471,"")</x:f>
      </x:c>
      <x:c r="N471" t="str">
        <x:f>IF(COUNTIFS(C471:F471,"Reviewed N/A")&gt;0,S471,"")</x:f>
      </x:c>
      <x:c r="O471" t="n">
        <x:f>O470+IF(AND(A471&lt;&gt;"",COUNTIFS(C471,"&gt;=36526",C471,"&lt;"&amp;TODAY())+COUNTIFS(D471,"&gt;=36526",D471,"&lt;"&amp;TODAY())+COUNTIFS(E471,"&gt;=36526",E471,"&lt;"&amp;TODAY())+COUNTIFS(F471,"&gt;=36526",F471,"&lt;"&amp;TODAY())&gt;0),1,0)</x:f>
        <x:v>0</x:v>
      </x:c>
      <x:c r="P471" t="n">
        <x:f>P470+IF(AND(A471&lt;&gt;"",COUNTIFS(C471,"&gt;=36526",C471,TODAY())+COUNTIFS(D471,"&gt;=36526",D471,TODAY())+COUNTIFS(E471,"&gt;=36526",E471,TODAY())+COUNTIFS(F471,"&gt;=36526",F471,TODAY())&gt;0),1,0)</x:f>
        <x:v>0</x:v>
      </x:c>
      <x:c r="Q471" t="n">
        <x:f>Q470+IF(AND(A471&lt;&gt;"",COUNTIFS(C471,"&gt;"&amp;TODAY(),C471,"&lt;="&amp;TODAY()+30)+COUNTIFS(D471,"&gt;"&amp;TODAY(),D471,"&lt;="&amp;TODAY()+30)+COUNTIFS(E471,"&gt;"&amp;TODAY(),E471,"&lt;="&amp;TODAY()+30)+COUNTIFS(F471,"&gt;"&amp;TODAY(),F471,"&lt;="&amp;TODAY()+30)&gt;0),1,0)</x:f>
        <x:v>0</x:v>
      </x:c>
      <x:c r="R471" t="n">
        <x:f>R470+IF(OR(LEFT(H471,15)="Missing dates; ",LEFT(H471,16)="Add N/A reason; ",H471="Add dates",H471="Add registration",H471="Check date format"),1,0)</x:f>
        <x:v>0</x:v>
      </x:c>
      <x:c r="S471" t="n">
        <x:f>S470+IF(COUNTIFS(C471:F471,"Reviewed N/A")&gt;0,1,0)</x:f>
        <x:v>0</x:v>
      </x:c>
    </x:row>
    <x:row r="472" ht="48" customHeight="1">
      <x:c r="A472" s="52"/>
      <x:c r="B472" s="52"/>
      <x:c r="C472" s="53"/>
      <x:c r="D472" s="53"/>
      <x:c r="E472" s="53"/>
      <x:c r="F472" s="53"/>
      <x:c r="G472" s="52"/>
      <x:c r="H472" s="21" t="str">
        <x:f>IF(COUNTA(A472:G472,I472)=0,"",IF(A472="","Add registration",IF(OR(COUNTA(C472:F472)&gt;COUNT(C472:F472)+COUNTIFS(C472:F472,"Reviewed N/A"),AND(COUNT(C472:F472)&gt;0,OR(MIN(C472:F472)&lt;36526,MAX(C472:F472)&gt;109574))),"Check date format",IF(AND(COUNTIFS(C472:F472,"Reviewed N/A")&gt;0,I472=""),"Add N/A reason; ","")&amp;IF(COUNT(C472:F472)=0,IF(COUNTIFS(C472:F472,"Reviewed N/A")=4,"No applicable dates recorded","Add dates"),IF(COUNT(C472:F472)+COUNTIFS(C472:F472,"Reviewed N/A")&lt;4,"Missing dates; ","")&amp;IF(MIN(C472:F472)&lt;TODAY(),"Overdue: ",IF(MIN(C472:F472)=TODAY(),"Due today: ",IF(MIN(C472:F472)&lt;=TODAY()+30,"Due within 30 days: ","Next: ")))&amp;INDEX($C$8:$F$8,1,MATCH(MIN(C472:F472),C472:F472,0))&amp;" "&amp;TEXT(MIN(C472:F472),"dd mmm yyyy")))))</x:f>
      </x:c>
      <x:c r="I472" s="52"/>
      <x:c r="J472" t="str">
        <x:f>IF(AND(A472&lt;&gt;"",COUNTIFS(C472,"&gt;=36526",C472,"&lt;"&amp;TODAY())+COUNTIFS(D472,"&gt;=36526",D472,"&lt;"&amp;TODAY())+COUNTIFS(E472,"&gt;=36526",E472,"&lt;"&amp;TODAY())+COUNTIFS(F472,"&gt;=36526",F472,"&lt;"&amp;TODAY())&gt;0),O472,"")</x:f>
      </x:c>
      <x:c r="K472" t="str">
        <x:f>IF(AND(A472&lt;&gt;"",COUNTIFS(C472,"&gt;=36526",C472,TODAY())+COUNTIFS(D472,"&gt;=36526",D472,TODAY())+COUNTIFS(E472,"&gt;=36526",E472,TODAY())+COUNTIFS(F472,"&gt;=36526",F472,TODAY())&gt;0),P472,"")</x:f>
      </x:c>
      <x:c r="L472" t="str">
        <x:f>IF(AND(A472&lt;&gt;"",COUNTIFS(C472,"&gt;"&amp;TODAY(),C472,"&lt;="&amp;TODAY()+30)+COUNTIFS(D472,"&gt;"&amp;TODAY(),D472,"&lt;="&amp;TODAY()+30)+COUNTIFS(E472,"&gt;"&amp;TODAY(),E472,"&lt;="&amp;TODAY()+30)+COUNTIFS(F472,"&gt;"&amp;TODAY(),F472,"&lt;="&amp;TODAY()+30)&gt;0),Q472,"")</x:f>
      </x:c>
      <x:c r="M472" t="str">
        <x:f>IF(OR(LEFT(H472,15)="Missing dates; ",LEFT(H472,16)="Add N/A reason; ",H472="Add dates",H472="Add registration",H472="Check date format"),R472,"")</x:f>
      </x:c>
      <x:c r="N472" t="str">
        <x:f>IF(COUNTIFS(C472:F472,"Reviewed N/A")&gt;0,S472,"")</x:f>
      </x:c>
      <x:c r="O472" t="n">
        <x:f>O471+IF(AND(A472&lt;&gt;"",COUNTIFS(C472,"&gt;=36526",C472,"&lt;"&amp;TODAY())+COUNTIFS(D472,"&gt;=36526",D472,"&lt;"&amp;TODAY())+COUNTIFS(E472,"&gt;=36526",E472,"&lt;"&amp;TODAY())+COUNTIFS(F472,"&gt;=36526",F472,"&lt;"&amp;TODAY())&gt;0),1,0)</x:f>
        <x:v>0</x:v>
      </x:c>
      <x:c r="P472" t="n">
        <x:f>P471+IF(AND(A472&lt;&gt;"",COUNTIFS(C472,"&gt;=36526",C472,TODAY())+COUNTIFS(D472,"&gt;=36526",D472,TODAY())+COUNTIFS(E472,"&gt;=36526",E472,TODAY())+COUNTIFS(F472,"&gt;=36526",F472,TODAY())&gt;0),1,0)</x:f>
        <x:v>0</x:v>
      </x:c>
      <x:c r="Q472" t="n">
        <x:f>Q471+IF(AND(A472&lt;&gt;"",COUNTIFS(C472,"&gt;"&amp;TODAY(),C472,"&lt;="&amp;TODAY()+30)+COUNTIFS(D472,"&gt;"&amp;TODAY(),D472,"&lt;="&amp;TODAY()+30)+COUNTIFS(E472,"&gt;"&amp;TODAY(),E472,"&lt;="&amp;TODAY()+30)+COUNTIFS(F472,"&gt;"&amp;TODAY(),F472,"&lt;="&amp;TODAY()+30)&gt;0),1,0)</x:f>
        <x:v>0</x:v>
      </x:c>
      <x:c r="R472" t="n">
        <x:f>R471+IF(OR(LEFT(H472,15)="Missing dates; ",LEFT(H472,16)="Add N/A reason; ",H472="Add dates",H472="Add registration",H472="Check date format"),1,0)</x:f>
        <x:v>0</x:v>
      </x:c>
      <x:c r="S472" t="n">
        <x:f>S471+IF(COUNTIFS(C472:F472,"Reviewed N/A")&gt;0,1,0)</x:f>
        <x:v>0</x:v>
      </x:c>
    </x:row>
    <x:row r="473" ht="48" customHeight="1">
      <x:c r="A473" s="52"/>
      <x:c r="B473" s="52"/>
      <x:c r="C473" s="53"/>
      <x:c r="D473" s="53"/>
      <x:c r="E473" s="53"/>
      <x:c r="F473" s="53"/>
      <x:c r="G473" s="52"/>
      <x:c r="H473" s="21" t="str">
        <x:f>IF(COUNTA(A473:G473,I473)=0,"",IF(A473="","Add registration",IF(OR(COUNTA(C473:F473)&gt;COUNT(C473:F473)+COUNTIFS(C473:F473,"Reviewed N/A"),AND(COUNT(C473:F473)&gt;0,OR(MIN(C473:F473)&lt;36526,MAX(C473:F473)&gt;109574))),"Check date format",IF(AND(COUNTIFS(C473:F473,"Reviewed N/A")&gt;0,I473=""),"Add N/A reason; ","")&amp;IF(COUNT(C473:F473)=0,IF(COUNTIFS(C473:F473,"Reviewed N/A")=4,"No applicable dates recorded","Add dates"),IF(COUNT(C473:F473)+COUNTIFS(C473:F473,"Reviewed N/A")&lt;4,"Missing dates; ","")&amp;IF(MIN(C473:F473)&lt;TODAY(),"Overdue: ",IF(MIN(C473:F473)=TODAY(),"Due today: ",IF(MIN(C473:F473)&lt;=TODAY()+30,"Due within 30 days: ","Next: ")))&amp;INDEX($C$8:$F$8,1,MATCH(MIN(C473:F473),C473:F473,0))&amp;" "&amp;TEXT(MIN(C473:F473),"dd mmm yyyy")))))</x:f>
      </x:c>
      <x:c r="I473" s="52"/>
      <x:c r="J473" t="str">
        <x:f>IF(AND(A473&lt;&gt;"",COUNTIFS(C473,"&gt;=36526",C473,"&lt;"&amp;TODAY())+COUNTIFS(D473,"&gt;=36526",D473,"&lt;"&amp;TODAY())+COUNTIFS(E473,"&gt;=36526",E473,"&lt;"&amp;TODAY())+COUNTIFS(F473,"&gt;=36526",F473,"&lt;"&amp;TODAY())&gt;0),O473,"")</x:f>
      </x:c>
      <x:c r="K473" t="str">
        <x:f>IF(AND(A473&lt;&gt;"",COUNTIFS(C473,"&gt;=36526",C473,TODAY())+COUNTIFS(D473,"&gt;=36526",D473,TODAY())+COUNTIFS(E473,"&gt;=36526",E473,TODAY())+COUNTIFS(F473,"&gt;=36526",F473,TODAY())&gt;0),P473,"")</x:f>
      </x:c>
      <x:c r="L473" t="str">
        <x:f>IF(AND(A473&lt;&gt;"",COUNTIFS(C473,"&gt;"&amp;TODAY(),C473,"&lt;="&amp;TODAY()+30)+COUNTIFS(D473,"&gt;"&amp;TODAY(),D473,"&lt;="&amp;TODAY()+30)+COUNTIFS(E473,"&gt;"&amp;TODAY(),E473,"&lt;="&amp;TODAY()+30)+COUNTIFS(F473,"&gt;"&amp;TODAY(),F473,"&lt;="&amp;TODAY()+30)&gt;0),Q473,"")</x:f>
      </x:c>
      <x:c r="M473" t="str">
        <x:f>IF(OR(LEFT(H473,15)="Missing dates; ",LEFT(H473,16)="Add N/A reason; ",H473="Add dates",H473="Add registration",H473="Check date format"),R473,"")</x:f>
      </x:c>
      <x:c r="N473" t="str">
        <x:f>IF(COUNTIFS(C473:F473,"Reviewed N/A")&gt;0,S473,"")</x:f>
      </x:c>
      <x:c r="O473" t="n">
        <x:f>O472+IF(AND(A473&lt;&gt;"",COUNTIFS(C473,"&gt;=36526",C473,"&lt;"&amp;TODAY())+COUNTIFS(D473,"&gt;=36526",D473,"&lt;"&amp;TODAY())+COUNTIFS(E473,"&gt;=36526",E473,"&lt;"&amp;TODAY())+COUNTIFS(F473,"&gt;=36526",F473,"&lt;"&amp;TODAY())&gt;0),1,0)</x:f>
        <x:v>0</x:v>
      </x:c>
      <x:c r="P473" t="n">
        <x:f>P472+IF(AND(A473&lt;&gt;"",COUNTIFS(C473,"&gt;=36526",C473,TODAY())+COUNTIFS(D473,"&gt;=36526",D473,TODAY())+COUNTIFS(E473,"&gt;=36526",E473,TODAY())+COUNTIFS(F473,"&gt;=36526",F473,TODAY())&gt;0),1,0)</x:f>
        <x:v>0</x:v>
      </x:c>
      <x:c r="Q473" t="n">
        <x:f>Q472+IF(AND(A473&lt;&gt;"",COUNTIFS(C473,"&gt;"&amp;TODAY(),C473,"&lt;="&amp;TODAY()+30)+COUNTIFS(D473,"&gt;"&amp;TODAY(),D473,"&lt;="&amp;TODAY()+30)+COUNTIFS(E473,"&gt;"&amp;TODAY(),E473,"&lt;="&amp;TODAY()+30)+COUNTIFS(F473,"&gt;"&amp;TODAY(),F473,"&lt;="&amp;TODAY()+30)&gt;0),1,0)</x:f>
        <x:v>0</x:v>
      </x:c>
      <x:c r="R473" t="n">
        <x:f>R472+IF(OR(LEFT(H473,15)="Missing dates; ",LEFT(H473,16)="Add N/A reason; ",H473="Add dates",H473="Add registration",H473="Check date format"),1,0)</x:f>
        <x:v>0</x:v>
      </x:c>
      <x:c r="S473" t="n">
        <x:f>S472+IF(COUNTIFS(C473:F473,"Reviewed N/A")&gt;0,1,0)</x:f>
        <x:v>0</x:v>
      </x:c>
    </x:row>
    <x:row r="474" ht="48" customHeight="1">
      <x:c r="A474" s="52"/>
      <x:c r="B474" s="52"/>
      <x:c r="C474" s="53"/>
      <x:c r="D474" s="53"/>
      <x:c r="E474" s="53"/>
      <x:c r="F474" s="53"/>
      <x:c r="G474" s="52"/>
      <x:c r="H474" s="21" t="str">
        <x:f>IF(COUNTA(A474:G474,I474)=0,"",IF(A474="","Add registration",IF(OR(COUNTA(C474:F474)&gt;COUNT(C474:F474)+COUNTIFS(C474:F474,"Reviewed N/A"),AND(COUNT(C474:F474)&gt;0,OR(MIN(C474:F474)&lt;36526,MAX(C474:F474)&gt;109574))),"Check date format",IF(AND(COUNTIFS(C474:F474,"Reviewed N/A")&gt;0,I474=""),"Add N/A reason; ","")&amp;IF(COUNT(C474:F474)=0,IF(COUNTIFS(C474:F474,"Reviewed N/A")=4,"No applicable dates recorded","Add dates"),IF(COUNT(C474:F474)+COUNTIFS(C474:F474,"Reviewed N/A")&lt;4,"Missing dates; ","")&amp;IF(MIN(C474:F474)&lt;TODAY(),"Overdue: ",IF(MIN(C474:F474)=TODAY(),"Due today: ",IF(MIN(C474:F474)&lt;=TODAY()+30,"Due within 30 days: ","Next: ")))&amp;INDEX($C$8:$F$8,1,MATCH(MIN(C474:F474),C474:F474,0))&amp;" "&amp;TEXT(MIN(C474:F474),"dd mmm yyyy")))))</x:f>
      </x:c>
      <x:c r="I474" s="52"/>
      <x:c r="J474" t="str">
        <x:f>IF(AND(A474&lt;&gt;"",COUNTIFS(C474,"&gt;=36526",C474,"&lt;"&amp;TODAY())+COUNTIFS(D474,"&gt;=36526",D474,"&lt;"&amp;TODAY())+COUNTIFS(E474,"&gt;=36526",E474,"&lt;"&amp;TODAY())+COUNTIFS(F474,"&gt;=36526",F474,"&lt;"&amp;TODAY())&gt;0),O474,"")</x:f>
      </x:c>
      <x:c r="K474" t="str">
        <x:f>IF(AND(A474&lt;&gt;"",COUNTIFS(C474,"&gt;=36526",C474,TODAY())+COUNTIFS(D474,"&gt;=36526",D474,TODAY())+COUNTIFS(E474,"&gt;=36526",E474,TODAY())+COUNTIFS(F474,"&gt;=36526",F474,TODAY())&gt;0),P474,"")</x:f>
      </x:c>
      <x:c r="L474" t="str">
        <x:f>IF(AND(A474&lt;&gt;"",COUNTIFS(C474,"&gt;"&amp;TODAY(),C474,"&lt;="&amp;TODAY()+30)+COUNTIFS(D474,"&gt;"&amp;TODAY(),D474,"&lt;="&amp;TODAY()+30)+COUNTIFS(E474,"&gt;"&amp;TODAY(),E474,"&lt;="&amp;TODAY()+30)+COUNTIFS(F474,"&gt;"&amp;TODAY(),F474,"&lt;="&amp;TODAY()+30)&gt;0),Q474,"")</x:f>
      </x:c>
      <x:c r="M474" t="str">
        <x:f>IF(OR(LEFT(H474,15)="Missing dates; ",LEFT(H474,16)="Add N/A reason; ",H474="Add dates",H474="Add registration",H474="Check date format"),R474,"")</x:f>
      </x:c>
      <x:c r="N474" t="str">
        <x:f>IF(COUNTIFS(C474:F474,"Reviewed N/A")&gt;0,S474,"")</x:f>
      </x:c>
      <x:c r="O474" t="n">
        <x:f>O473+IF(AND(A474&lt;&gt;"",COUNTIFS(C474,"&gt;=36526",C474,"&lt;"&amp;TODAY())+COUNTIFS(D474,"&gt;=36526",D474,"&lt;"&amp;TODAY())+COUNTIFS(E474,"&gt;=36526",E474,"&lt;"&amp;TODAY())+COUNTIFS(F474,"&gt;=36526",F474,"&lt;"&amp;TODAY())&gt;0),1,0)</x:f>
        <x:v>0</x:v>
      </x:c>
      <x:c r="P474" t="n">
        <x:f>P473+IF(AND(A474&lt;&gt;"",COUNTIFS(C474,"&gt;=36526",C474,TODAY())+COUNTIFS(D474,"&gt;=36526",D474,TODAY())+COUNTIFS(E474,"&gt;=36526",E474,TODAY())+COUNTIFS(F474,"&gt;=36526",F474,TODAY())&gt;0),1,0)</x:f>
        <x:v>0</x:v>
      </x:c>
      <x:c r="Q474" t="n">
        <x:f>Q473+IF(AND(A474&lt;&gt;"",COUNTIFS(C474,"&gt;"&amp;TODAY(),C474,"&lt;="&amp;TODAY()+30)+COUNTIFS(D474,"&gt;"&amp;TODAY(),D474,"&lt;="&amp;TODAY()+30)+COUNTIFS(E474,"&gt;"&amp;TODAY(),E474,"&lt;="&amp;TODAY()+30)+COUNTIFS(F474,"&gt;"&amp;TODAY(),F474,"&lt;="&amp;TODAY()+30)&gt;0),1,0)</x:f>
        <x:v>0</x:v>
      </x:c>
      <x:c r="R474" t="n">
        <x:f>R473+IF(OR(LEFT(H474,15)="Missing dates; ",LEFT(H474,16)="Add N/A reason; ",H474="Add dates",H474="Add registration",H474="Check date format"),1,0)</x:f>
        <x:v>0</x:v>
      </x:c>
      <x:c r="S474" t="n">
        <x:f>S473+IF(COUNTIFS(C474:F474,"Reviewed N/A")&gt;0,1,0)</x:f>
        <x:v>0</x:v>
      </x:c>
    </x:row>
    <x:row r="475" ht="48" customHeight="1">
      <x:c r="A475" s="52"/>
      <x:c r="B475" s="52"/>
      <x:c r="C475" s="53"/>
      <x:c r="D475" s="53"/>
      <x:c r="E475" s="53"/>
      <x:c r="F475" s="53"/>
      <x:c r="G475" s="52"/>
      <x:c r="H475" s="21" t="str">
        <x:f>IF(COUNTA(A475:G475,I475)=0,"",IF(A475="","Add registration",IF(OR(COUNTA(C475:F475)&gt;COUNT(C475:F475)+COUNTIFS(C475:F475,"Reviewed N/A"),AND(COUNT(C475:F475)&gt;0,OR(MIN(C475:F475)&lt;36526,MAX(C475:F475)&gt;109574))),"Check date format",IF(AND(COUNTIFS(C475:F475,"Reviewed N/A")&gt;0,I475=""),"Add N/A reason; ","")&amp;IF(COUNT(C475:F475)=0,IF(COUNTIFS(C475:F475,"Reviewed N/A")=4,"No applicable dates recorded","Add dates"),IF(COUNT(C475:F475)+COUNTIFS(C475:F475,"Reviewed N/A")&lt;4,"Missing dates; ","")&amp;IF(MIN(C475:F475)&lt;TODAY(),"Overdue: ",IF(MIN(C475:F475)=TODAY(),"Due today: ",IF(MIN(C475:F475)&lt;=TODAY()+30,"Due within 30 days: ","Next: ")))&amp;INDEX($C$8:$F$8,1,MATCH(MIN(C475:F475),C475:F475,0))&amp;" "&amp;TEXT(MIN(C475:F475),"dd mmm yyyy")))))</x:f>
      </x:c>
      <x:c r="I475" s="52"/>
      <x:c r="J475" t="str">
        <x:f>IF(AND(A475&lt;&gt;"",COUNTIFS(C475,"&gt;=36526",C475,"&lt;"&amp;TODAY())+COUNTIFS(D475,"&gt;=36526",D475,"&lt;"&amp;TODAY())+COUNTIFS(E475,"&gt;=36526",E475,"&lt;"&amp;TODAY())+COUNTIFS(F475,"&gt;=36526",F475,"&lt;"&amp;TODAY())&gt;0),O475,"")</x:f>
      </x:c>
      <x:c r="K475" t="str">
        <x:f>IF(AND(A475&lt;&gt;"",COUNTIFS(C475,"&gt;=36526",C475,TODAY())+COUNTIFS(D475,"&gt;=36526",D475,TODAY())+COUNTIFS(E475,"&gt;=36526",E475,TODAY())+COUNTIFS(F475,"&gt;=36526",F475,TODAY())&gt;0),P475,"")</x:f>
      </x:c>
      <x:c r="L475" t="str">
        <x:f>IF(AND(A475&lt;&gt;"",COUNTIFS(C475,"&gt;"&amp;TODAY(),C475,"&lt;="&amp;TODAY()+30)+COUNTIFS(D475,"&gt;"&amp;TODAY(),D475,"&lt;="&amp;TODAY()+30)+COUNTIFS(E475,"&gt;"&amp;TODAY(),E475,"&lt;="&amp;TODAY()+30)+COUNTIFS(F475,"&gt;"&amp;TODAY(),F475,"&lt;="&amp;TODAY()+30)&gt;0),Q475,"")</x:f>
      </x:c>
      <x:c r="M475" t="str">
        <x:f>IF(OR(LEFT(H475,15)="Missing dates; ",LEFT(H475,16)="Add N/A reason; ",H475="Add dates",H475="Add registration",H475="Check date format"),R475,"")</x:f>
      </x:c>
      <x:c r="N475" t="str">
        <x:f>IF(COUNTIFS(C475:F475,"Reviewed N/A")&gt;0,S475,"")</x:f>
      </x:c>
      <x:c r="O475" t="n">
        <x:f>O474+IF(AND(A475&lt;&gt;"",COUNTIFS(C475,"&gt;=36526",C475,"&lt;"&amp;TODAY())+COUNTIFS(D475,"&gt;=36526",D475,"&lt;"&amp;TODAY())+COUNTIFS(E475,"&gt;=36526",E475,"&lt;"&amp;TODAY())+COUNTIFS(F475,"&gt;=36526",F475,"&lt;"&amp;TODAY())&gt;0),1,0)</x:f>
        <x:v>0</x:v>
      </x:c>
      <x:c r="P475" t="n">
        <x:f>P474+IF(AND(A475&lt;&gt;"",COUNTIFS(C475,"&gt;=36526",C475,TODAY())+COUNTIFS(D475,"&gt;=36526",D475,TODAY())+COUNTIFS(E475,"&gt;=36526",E475,TODAY())+COUNTIFS(F475,"&gt;=36526",F475,TODAY())&gt;0),1,0)</x:f>
        <x:v>0</x:v>
      </x:c>
      <x:c r="Q475" t="n">
        <x:f>Q474+IF(AND(A475&lt;&gt;"",COUNTIFS(C475,"&gt;"&amp;TODAY(),C475,"&lt;="&amp;TODAY()+30)+COUNTIFS(D475,"&gt;"&amp;TODAY(),D475,"&lt;="&amp;TODAY()+30)+COUNTIFS(E475,"&gt;"&amp;TODAY(),E475,"&lt;="&amp;TODAY()+30)+COUNTIFS(F475,"&gt;"&amp;TODAY(),F475,"&lt;="&amp;TODAY()+30)&gt;0),1,0)</x:f>
        <x:v>0</x:v>
      </x:c>
      <x:c r="R475" t="n">
        <x:f>R474+IF(OR(LEFT(H475,15)="Missing dates; ",LEFT(H475,16)="Add N/A reason; ",H475="Add dates",H475="Add registration",H475="Check date format"),1,0)</x:f>
        <x:v>0</x:v>
      </x:c>
      <x:c r="S475" t="n">
        <x:f>S474+IF(COUNTIFS(C475:F475,"Reviewed N/A")&gt;0,1,0)</x:f>
        <x:v>0</x:v>
      </x:c>
    </x:row>
    <x:row r="476" ht="48" customHeight="1">
      <x:c r="A476" s="52"/>
      <x:c r="B476" s="52"/>
      <x:c r="C476" s="53"/>
      <x:c r="D476" s="53"/>
      <x:c r="E476" s="53"/>
      <x:c r="F476" s="53"/>
      <x:c r="G476" s="52"/>
      <x:c r="H476" s="21" t="str">
        <x:f>IF(COUNTA(A476:G476,I476)=0,"",IF(A476="","Add registration",IF(OR(COUNTA(C476:F476)&gt;COUNT(C476:F476)+COUNTIFS(C476:F476,"Reviewed N/A"),AND(COUNT(C476:F476)&gt;0,OR(MIN(C476:F476)&lt;36526,MAX(C476:F476)&gt;109574))),"Check date format",IF(AND(COUNTIFS(C476:F476,"Reviewed N/A")&gt;0,I476=""),"Add N/A reason; ","")&amp;IF(COUNT(C476:F476)=0,IF(COUNTIFS(C476:F476,"Reviewed N/A")=4,"No applicable dates recorded","Add dates"),IF(COUNT(C476:F476)+COUNTIFS(C476:F476,"Reviewed N/A")&lt;4,"Missing dates; ","")&amp;IF(MIN(C476:F476)&lt;TODAY(),"Overdue: ",IF(MIN(C476:F476)=TODAY(),"Due today: ",IF(MIN(C476:F476)&lt;=TODAY()+30,"Due within 30 days: ","Next: ")))&amp;INDEX($C$8:$F$8,1,MATCH(MIN(C476:F476),C476:F476,0))&amp;" "&amp;TEXT(MIN(C476:F476),"dd mmm yyyy")))))</x:f>
      </x:c>
      <x:c r="I476" s="52"/>
      <x:c r="J476" t="str">
        <x:f>IF(AND(A476&lt;&gt;"",COUNTIFS(C476,"&gt;=36526",C476,"&lt;"&amp;TODAY())+COUNTIFS(D476,"&gt;=36526",D476,"&lt;"&amp;TODAY())+COUNTIFS(E476,"&gt;=36526",E476,"&lt;"&amp;TODAY())+COUNTIFS(F476,"&gt;=36526",F476,"&lt;"&amp;TODAY())&gt;0),O476,"")</x:f>
      </x:c>
      <x:c r="K476" t="str">
        <x:f>IF(AND(A476&lt;&gt;"",COUNTIFS(C476,"&gt;=36526",C476,TODAY())+COUNTIFS(D476,"&gt;=36526",D476,TODAY())+COUNTIFS(E476,"&gt;=36526",E476,TODAY())+COUNTIFS(F476,"&gt;=36526",F476,TODAY())&gt;0),P476,"")</x:f>
      </x:c>
      <x:c r="L476" t="str">
        <x:f>IF(AND(A476&lt;&gt;"",COUNTIFS(C476,"&gt;"&amp;TODAY(),C476,"&lt;="&amp;TODAY()+30)+COUNTIFS(D476,"&gt;"&amp;TODAY(),D476,"&lt;="&amp;TODAY()+30)+COUNTIFS(E476,"&gt;"&amp;TODAY(),E476,"&lt;="&amp;TODAY()+30)+COUNTIFS(F476,"&gt;"&amp;TODAY(),F476,"&lt;="&amp;TODAY()+30)&gt;0),Q476,"")</x:f>
      </x:c>
      <x:c r="M476" t="str">
        <x:f>IF(OR(LEFT(H476,15)="Missing dates; ",LEFT(H476,16)="Add N/A reason; ",H476="Add dates",H476="Add registration",H476="Check date format"),R476,"")</x:f>
      </x:c>
      <x:c r="N476" t="str">
        <x:f>IF(COUNTIFS(C476:F476,"Reviewed N/A")&gt;0,S476,"")</x:f>
      </x:c>
      <x:c r="O476" t="n">
        <x:f>O475+IF(AND(A476&lt;&gt;"",COUNTIFS(C476,"&gt;=36526",C476,"&lt;"&amp;TODAY())+COUNTIFS(D476,"&gt;=36526",D476,"&lt;"&amp;TODAY())+COUNTIFS(E476,"&gt;=36526",E476,"&lt;"&amp;TODAY())+COUNTIFS(F476,"&gt;=36526",F476,"&lt;"&amp;TODAY())&gt;0),1,0)</x:f>
        <x:v>0</x:v>
      </x:c>
      <x:c r="P476" t="n">
        <x:f>P475+IF(AND(A476&lt;&gt;"",COUNTIFS(C476,"&gt;=36526",C476,TODAY())+COUNTIFS(D476,"&gt;=36526",D476,TODAY())+COUNTIFS(E476,"&gt;=36526",E476,TODAY())+COUNTIFS(F476,"&gt;=36526",F476,TODAY())&gt;0),1,0)</x:f>
        <x:v>0</x:v>
      </x:c>
      <x:c r="Q476" t="n">
        <x:f>Q475+IF(AND(A476&lt;&gt;"",COUNTIFS(C476,"&gt;"&amp;TODAY(),C476,"&lt;="&amp;TODAY()+30)+COUNTIFS(D476,"&gt;"&amp;TODAY(),D476,"&lt;="&amp;TODAY()+30)+COUNTIFS(E476,"&gt;"&amp;TODAY(),E476,"&lt;="&amp;TODAY()+30)+COUNTIFS(F476,"&gt;"&amp;TODAY(),F476,"&lt;="&amp;TODAY()+30)&gt;0),1,0)</x:f>
        <x:v>0</x:v>
      </x:c>
      <x:c r="R476" t="n">
        <x:f>R475+IF(OR(LEFT(H476,15)="Missing dates; ",LEFT(H476,16)="Add N/A reason; ",H476="Add dates",H476="Add registration",H476="Check date format"),1,0)</x:f>
        <x:v>0</x:v>
      </x:c>
      <x:c r="S476" t="n">
        <x:f>S475+IF(COUNTIFS(C476:F476,"Reviewed N/A")&gt;0,1,0)</x:f>
        <x:v>0</x:v>
      </x:c>
    </x:row>
    <x:row r="477" ht="48" customHeight="1">
      <x:c r="A477" s="52"/>
      <x:c r="B477" s="52"/>
      <x:c r="C477" s="53"/>
      <x:c r="D477" s="53"/>
      <x:c r="E477" s="53"/>
      <x:c r="F477" s="53"/>
      <x:c r="G477" s="52"/>
      <x:c r="H477" s="21" t="str">
        <x:f>IF(COUNTA(A477:G477,I477)=0,"",IF(A477="","Add registration",IF(OR(COUNTA(C477:F477)&gt;COUNT(C477:F477)+COUNTIFS(C477:F477,"Reviewed N/A"),AND(COUNT(C477:F477)&gt;0,OR(MIN(C477:F477)&lt;36526,MAX(C477:F477)&gt;109574))),"Check date format",IF(AND(COUNTIFS(C477:F477,"Reviewed N/A")&gt;0,I477=""),"Add N/A reason; ","")&amp;IF(COUNT(C477:F477)=0,IF(COUNTIFS(C477:F477,"Reviewed N/A")=4,"No applicable dates recorded","Add dates"),IF(COUNT(C477:F477)+COUNTIFS(C477:F477,"Reviewed N/A")&lt;4,"Missing dates; ","")&amp;IF(MIN(C477:F477)&lt;TODAY(),"Overdue: ",IF(MIN(C477:F477)=TODAY(),"Due today: ",IF(MIN(C477:F477)&lt;=TODAY()+30,"Due within 30 days: ","Next: ")))&amp;INDEX($C$8:$F$8,1,MATCH(MIN(C477:F477),C477:F477,0))&amp;" "&amp;TEXT(MIN(C477:F477),"dd mmm yyyy")))))</x:f>
      </x:c>
      <x:c r="I477" s="52"/>
      <x:c r="J477" t="str">
        <x:f>IF(AND(A477&lt;&gt;"",COUNTIFS(C477,"&gt;=36526",C477,"&lt;"&amp;TODAY())+COUNTIFS(D477,"&gt;=36526",D477,"&lt;"&amp;TODAY())+COUNTIFS(E477,"&gt;=36526",E477,"&lt;"&amp;TODAY())+COUNTIFS(F477,"&gt;=36526",F477,"&lt;"&amp;TODAY())&gt;0),O477,"")</x:f>
      </x:c>
      <x:c r="K477" t="str">
        <x:f>IF(AND(A477&lt;&gt;"",COUNTIFS(C477,"&gt;=36526",C477,TODAY())+COUNTIFS(D477,"&gt;=36526",D477,TODAY())+COUNTIFS(E477,"&gt;=36526",E477,TODAY())+COUNTIFS(F477,"&gt;=36526",F477,TODAY())&gt;0),P477,"")</x:f>
      </x:c>
      <x:c r="L477" t="str">
        <x:f>IF(AND(A477&lt;&gt;"",COUNTIFS(C477,"&gt;"&amp;TODAY(),C477,"&lt;="&amp;TODAY()+30)+COUNTIFS(D477,"&gt;"&amp;TODAY(),D477,"&lt;="&amp;TODAY()+30)+COUNTIFS(E477,"&gt;"&amp;TODAY(),E477,"&lt;="&amp;TODAY()+30)+COUNTIFS(F477,"&gt;"&amp;TODAY(),F477,"&lt;="&amp;TODAY()+30)&gt;0),Q477,"")</x:f>
      </x:c>
      <x:c r="M477" t="str">
        <x:f>IF(OR(LEFT(H477,15)="Missing dates; ",LEFT(H477,16)="Add N/A reason; ",H477="Add dates",H477="Add registration",H477="Check date format"),R477,"")</x:f>
      </x:c>
      <x:c r="N477" t="str">
        <x:f>IF(COUNTIFS(C477:F477,"Reviewed N/A")&gt;0,S477,"")</x:f>
      </x:c>
      <x:c r="O477" t="n">
        <x:f>O476+IF(AND(A477&lt;&gt;"",COUNTIFS(C477,"&gt;=36526",C477,"&lt;"&amp;TODAY())+COUNTIFS(D477,"&gt;=36526",D477,"&lt;"&amp;TODAY())+COUNTIFS(E477,"&gt;=36526",E477,"&lt;"&amp;TODAY())+COUNTIFS(F477,"&gt;=36526",F477,"&lt;"&amp;TODAY())&gt;0),1,0)</x:f>
        <x:v>0</x:v>
      </x:c>
      <x:c r="P477" t="n">
        <x:f>P476+IF(AND(A477&lt;&gt;"",COUNTIFS(C477,"&gt;=36526",C477,TODAY())+COUNTIFS(D477,"&gt;=36526",D477,TODAY())+COUNTIFS(E477,"&gt;=36526",E477,TODAY())+COUNTIFS(F477,"&gt;=36526",F477,TODAY())&gt;0),1,0)</x:f>
        <x:v>0</x:v>
      </x:c>
      <x:c r="Q477" t="n">
        <x:f>Q476+IF(AND(A477&lt;&gt;"",COUNTIFS(C477,"&gt;"&amp;TODAY(),C477,"&lt;="&amp;TODAY()+30)+COUNTIFS(D477,"&gt;"&amp;TODAY(),D477,"&lt;="&amp;TODAY()+30)+COUNTIFS(E477,"&gt;"&amp;TODAY(),E477,"&lt;="&amp;TODAY()+30)+COUNTIFS(F477,"&gt;"&amp;TODAY(),F477,"&lt;="&amp;TODAY()+30)&gt;0),1,0)</x:f>
        <x:v>0</x:v>
      </x:c>
      <x:c r="R477" t="n">
        <x:f>R476+IF(OR(LEFT(H477,15)="Missing dates; ",LEFT(H477,16)="Add N/A reason; ",H477="Add dates",H477="Add registration",H477="Check date format"),1,0)</x:f>
        <x:v>0</x:v>
      </x:c>
      <x:c r="S477" t="n">
        <x:f>S476+IF(COUNTIFS(C477:F477,"Reviewed N/A")&gt;0,1,0)</x:f>
        <x:v>0</x:v>
      </x:c>
    </x:row>
    <x:row r="478" ht="48" customHeight="1">
      <x:c r="A478" s="52"/>
      <x:c r="B478" s="52"/>
      <x:c r="C478" s="53"/>
      <x:c r="D478" s="53"/>
      <x:c r="E478" s="53"/>
      <x:c r="F478" s="53"/>
      <x:c r="G478" s="52"/>
      <x:c r="H478" s="21" t="str">
        <x:f>IF(COUNTA(A478:G478,I478)=0,"",IF(A478="","Add registration",IF(OR(COUNTA(C478:F478)&gt;COUNT(C478:F478)+COUNTIFS(C478:F478,"Reviewed N/A"),AND(COUNT(C478:F478)&gt;0,OR(MIN(C478:F478)&lt;36526,MAX(C478:F478)&gt;109574))),"Check date format",IF(AND(COUNTIFS(C478:F478,"Reviewed N/A")&gt;0,I478=""),"Add N/A reason; ","")&amp;IF(COUNT(C478:F478)=0,IF(COUNTIFS(C478:F478,"Reviewed N/A")=4,"No applicable dates recorded","Add dates"),IF(COUNT(C478:F478)+COUNTIFS(C478:F478,"Reviewed N/A")&lt;4,"Missing dates; ","")&amp;IF(MIN(C478:F478)&lt;TODAY(),"Overdue: ",IF(MIN(C478:F478)=TODAY(),"Due today: ",IF(MIN(C478:F478)&lt;=TODAY()+30,"Due within 30 days: ","Next: ")))&amp;INDEX($C$8:$F$8,1,MATCH(MIN(C478:F478),C478:F478,0))&amp;" "&amp;TEXT(MIN(C478:F478),"dd mmm yyyy")))))</x:f>
      </x:c>
      <x:c r="I478" s="52"/>
      <x:c r="J478" t="str">
        <x:f>IF(AND(A478&lt;&gt;"",COUNTIFS(C478,"&gt;=36526",C478,"&lt;"&amp;TODAY())+COUNTIFS(D478,"&gt;=36526",D478,"&lt;"&amp;TODAY())+COUNTIFS(E478,"&gt;=36526",E478,"&lt;"&amp;TODAY())+COUNTIFS(F478,"&gt;=36526",F478,"&lt;"&amp;TODAY())&gt;0),O478,"")</x:f>
      </x:c>
      <x:c r="K478" t="str">
        <x:f>IF(AND(A478&lt;&gt;"",COUNTIFS(C478,"&gt;=36526",C478,TODAY())+COUNTIFS(D478,"&gt;=36526",D478,TODAY())+COUNTIFS(E478,"&gt;=36526",E478,TODAY())+COUNTIFS(F478,"&gt;=36526",F478,TODAY())&gt;0),P478,"")</x:f>
      </x:c>
      <x:c r="L478" t="str">
        <x:f>IF(AND(A478&lt;&gt;"",COUNTIFS(C478,"&gt;"&amp;TODAY(),C478,"&lt;="&amp;TODAY()+30)+COUNTIFS(D478,"&gt;"&amp;TODAY(),D478,"&lt;="&amp;TODAY()+30)+COUNTIFS(E478,"&gt;"&amp;TODAY(),E478,"&lt;="&amp;TODAY()+30)+COUNTIFS(F478,"&gt;"&amp;TODAY(),F478,"&lt;="&amp;TODAY()+30)&gt;0),Q478,"")</x:f>
      </x:c>
      <x:c r="M478" t="str">
        <x:f>IF(OR(LEFT(H478,15)="Missing dates; ",LEFT(H478,16)="Add N/A reason; ",H478="Add dates",H478="Add registration",H478="Check date format"),R478,"")</x:f>
      </x:c>
      <x:c r="N478" t="str">
        <x:f>IF(COUNTIFS(C478:F478,"Reviewed N/A")&gt;0,S478,"")</x:f>
      </x:c>
      <x:c r="O478" t="n">
        <x:f>O477+IF(AND(A478&lt;&gt;"",COUNTIFS(C478,"&gt;=36526",C478,"&lt;"&amp;TODAY())+COUNTIFS(D478,"&gt;=36526",D478,"&lt;"&amp;TODAY())+COUNTIFS(E478,"&gt;=36526",E478,"&lt;"&amp;TODAY())+COUNTIFS(F478,"&gt;=36526",F478,"&lt;"&amp;TODAY())&gt;0),1,0)</x:f>
        <x:v>0</x:v>
      </x:c>
      <x:c r="P478" t="n">
        <x:f>P477+IF(AND(A478&lt;&gt;"",COUNTIFS(C478,"&gt;=36526",C478,TODAY())+COUNTIFS(D478,"&gt;=36526",D478,TODAY())+COUNTIFS(E478,"&gt;=36526",E478,TODAY())+COUNTIFS(F478,"&gt;=36526",F478,TODAY())&gt;0),1,0)</x:f>
        <x:v>0</x:v>
      </x:c>
      <x:c r="Q478" t="n">
        <x:f>Q477+IF(AND(A478&lt;&gt;"",COUNTIFS(C478,"&gt;"&amp;TODAY(),C478,"&lt;="&amp;TODAY()+30)+COUNTIFS(D478,"&gt;"&amp;TODAY(),D478,"&lt;="&amp;TODAY()+30)+COUNTIFS(E478,"&gt;"&amp;TODAY(),E478,"&lt;="&amp;TODAY()+30)+COUNTIFS(F478,"&gt;"&amp;TODAY(),F478,"&lt;="&amp;TODAY()+30)&gt;0),1,0)</x:f>
        <x:v>0</x:v>
      </x:c>
      <x:c r="R478" t="n">
        <x:f>R477+IF(OR(LEFT(H478,15)="Missing dates; ",LEFT(H478,16)="Add N/A reason; ",H478="Add dates",H478="Add registration",H478="Check date format"),1,0)</x:f>
        <x:v>0</x:v>
      </x:c>
      <x:c r="S478" t="n">
        <x:f>S477+IF(COUNTIFS(C478:F478,"Reviewed N/A")&gt;0,1,0)</x:f>
        <x:v>0</x:v>
      </x:c>
    </x:row>
    <x:row r="479" ht="48" customHeight="1">
      <x:c r="A479" s="52"/>
      <x:c r="B479" s="52"/>
      <x:c r="C479" s="53"/>
      <x:c r="D479" s="53"/>
      <x:c r="E479" s="53"/>
      <x:c r="F479" s="53"/>
      <x:c r="G479" s="52"/>
      <x:c r="H479" s="21" t="str">
        <x:f>IF(COUNTA(A479:G479,I479)=0,"",IF(A479="","Add registration",IF(OR(COUNTA(C479:F479)&gt;COUNT(C479:F479)+COUNTIFS(C479:F479,"Reviewed N/A"),AND(COUNT(C479:F479)&gt;0,OR(MIN(C479:F479)&lt;36526,MAX(C479:F479)&gt;109574))),"Check date format",IF(AND(COUNTIFS(C479:F479,"Reviewed N/A")&gt;0,I479=""),"Add N/A reason; ","")&amp;IF(COUNT(C479:F479)=0,IF(COUNTIFS(C479:F479,"Reviewed N/A")=4,"No applicable dates recorded","Add dates"),IF(COUNT(C479:F479)+COUNTIFS(C479:F479,"Reviewed N/A")&lt;4,"Missing dates; ","")&amp;IF(MIN(C479:F479)&lt;TODAY(),"Overdue: ",IF(MIN(C479:F479)=TODAY(),"Due today: ",IF(MIN(C479:F479)&lt;=TODAY()+30,"Due within 30 days: ","Next: ")))&amp;INDEX($C$8:$F$8,1,MATCH(MIN(C479:F479),C479:F479,0))&amp;" "&amp;TEXT(MIN(C479:F479),"dd mmm yyyy")))))</x:f>
      </x:c>
      <x:c r="I479" s="52"/>
      <x:c r="J479" t="str">
        <x:f>IF(AND(A479&lt;&gt;"",COUNTIFS(C479,"&gt;=36526",C479,"&lt;"&amp;TODAY())+COUNTIFS(D479,"&gt;=36526",D479,"&lt;"&amp;TODAY())+COUNTIFS(E479,"&gt;=36526",E479,"&lt;"&amp;TODAY())+COUNTIFS(F479,"&gt;=36526",F479,"&lt;"&amp;TODAY())&gt;0),O479,"")</x:f>
      </x:c>
      <x:c r="K479" t="str">
        <x:f>IF(AND(A479&lt;&gt;"",COUNTIFS(C479,"&gt;=36526",C479,TODAY())+COUNTIFS(D479,"&gt;=36526",D479,TODAY())+COUNTIFS(E479,"&gt;=36526",E479,TODAY())+COUNTIFS(F479,"&gt;=36526",F479,TODAY())&gt;0),P479,"")</x:f>
      </x:c>
      <x:c r="L479" t="str">
        <x:f>IF(AND(A479&lt;&gt;"",COUNTIFS(C479,"&gt;"&amp;TODAY(),C479,"&lt;="&amp;TODAY()+30)+COUNTIFS(D479,"&gt;"&amp;TODAY(),D479,"&lt;="&amp;TODAY()+30)+COUNTIFS(E479,"&gt;"&amp;TODAY(),E479,"&lt;="&amp;TODAY()+30)+COUNTIFS(F479,"&gt;"&amp;TODAY(),F479,"&lt;="&amp;TODAY()+30)&gt;0),Q479,"")</x:f>
      </x:c>
      <x:c r="M479" t="str">
        <x:f>IF(OR(LEFT(H479,15)="Missing dates; ",LEFT(H479,16)="Add N/A reason; ",H479="Add dates",H479="Add registration",H479="Check date format"),R479,"")</x:f>
      </x:c>
      <x:c r="N479" t="str">
        <x:f>IF(COUNTIFS(C479:F479,"Reviewed N/A")&gt;0,S479,"")</x:f>
      </x:c>
      <x:c r="O479" t="n">
        <x:f>O478+IF(AND(A479&lt;&gt;"",COUNTIFS(C479,"&gt;=36526",C479,"&lt;"&amp;TODAY())+COUNTIFS(D479,"&gt;=36526",D479,"&lt;"&amp;TODAY())+COUNTIFS(E479,"&gt;=36526",E479,"&lt;"&amp;TODAY())+COUNTIFS(F479,"&gt;=36526",F479,"&lt;"&amp;TODAY())&gt;0),1,0)</x:f>
        <x:v>0</x:v>
      </x:c>
      <x:c r="P479" t="n">
        <x:f>P478+IF(AND(A479&lt;&gt;"",COUNTIFS(C479,"&gt;=36526",C479,TODAY())+COUNTIFS(D479,"&gt;=36526",D479,TODAY())+COUNTIFS(E479,"&gt;=36526",E479,TODAY())+COUNTIFS(F479,"&gt;=36526",F479,TODAY())&gt;0),1,0)</x:f>
        <x:v>0</x:v>
      </x:c>
      <x:c r="Q479" t="n">
        <x:f>Q478+IF(AND(A479&lt;&gt;"",COUNTIFS(C479,"&gt;"&amp;TODAY(),C479,"&lt;="&amp;TODAY()+30)+COUNTIFS(D479,"&gt;"&amp;TODAY(),D479,"&lt;="&amp;TODAY()+30)+COUNTIFS(E479,"&gt;"&amp;TODAY(),E479,"&lt;="&amp;TODAY()+30)+COUNTIFS(F479,"&gt;"&amp;TODAY(),F479,"&lt;="&amp;TODAY()+30)&gt;0),1,0)</x:f>
        <x:v>0</x:v>
      </x:c>
      <x:c r="R479" t="n">
        <x:f>R478+IF(OR(LEFT(H479,15)="Missing dates; ",LEFT(H479,16)="Add N/A reason; ",H479="Add dates",H479="Add registration",H479="Check date format"),1,0)</x:f>
        <x:v>0</x:v>
      </x:c>
      <x:c r="S479" t="n">
        <x:f>S478+IF(COUNTIFS(C479:F479,"Reviewed N/A")&gt;0,1,0)</x:f>
        <x:v>0</x:v>
      </x:c>
    </x:row>
    <x:row r="480" ht="48" customHeight="1">
      <x:c r="A480" s="52"/>
      <x:c r="B480" s="52"/>
      <x:c r="C480" s="53"/>
      <x:c r="D480" s="53"/>
      <x:c r="E480" s="53"/>
      <x:c r="F480" s="53"/>
      <x:c r="G480" s="52"/>
      <x:c r="H480" s="21" t="str">
        <x:f>IF(COUNTA(A480:G480,I480)=0,"",IF(A480="","Add registration",IF(OR(COUNTA(C480:F480)&gt;COUNT(C480:F480)+COUNTIFS(C480:F480,"Reviewed N/A"),AND(COUNT(C480:F480)&gt;0,OR(MIN(C480:F480)&lt;36526,MAX(C480:F480)&gt;109574))),"Check date format",IF(AND(COUNTIFS(C480:F480,"Reviewed N/A")&gt;0,I480=""),"Add N/A reason; ","")&amp;IF(COUNT(C480:F480)=0,IF(COUNTIFS(C480:F480,"Reviewed N/A")=4,"No applicable dates recorded","Add dates"),IF(COUNT(C480:F480)+COUNTIFS(C480:F480,"Reviewed N/A")&lt;4,"Missing dates; ","")&amp;IF(MIN(C480:F480)&lt;TODAY(),"Overdue: ",IF(MIN(C480:F480)=TODAY(),"Due today: ",IF(MIN(C480:F480)&lt;=TODAY()+30,"Due within 30 days: ","Next: ")))&amp;INDEX($C$8:$F$8,1,MATCH(MIN(C480:F480),C480:F480,0))&amp;" "&amp;TEXT(MIN(C480:F480),"dd mmm yyyy")))))</x:f>
      </x:c>
      <x:c r="I480" s="52"/>
      <x:c r="J480" t="str">
        <x:f>IF(AND(A480&lt;&gt;"",COUNTIFS(C480,"&gt;=36526",C480,"&lt;"&amp;TODAY())+COUNTIFS(D480,"&gt;=36526",D480,"&lt;"&amp;TODAY())+COUNTIFS(E480,"&gt;=36526",E480,"&lt;"&amp;TODAY())+COUNTIFS(F480,"&gt;=36526",F480,"&lt;"&amp;TODAY())&gt;0),O480,"")</x:f>
      </x:c>
      <x:c r="K480" t="str">
        <x:f>IF(AND(A480&lt;&gt;"",COUNTIFS(C480,"&gt;=36526",C480,TODAY())+COUNTIFS(D480,"&gt;=36526",D480,TODAY())+COUNTIFS(E480,"&gt;=36526",E480,TODAY())+COUNTIFS(F480,"&gt;=36526",F480,TODAY())&gt;0),P480,"")</x:f>
      </x:c>
      <x:c r="L480" t="str">
        <x:f>IF(AND(A480&lt;&gt;"",COUNTIFS(C480,"&gt;"&amp;TODAY(),C480,"&lt;="&amp;TODAY()+30)+COUNTIFS(D480,"&gt;"&amp;TODAY(),D480,"&lt;="&amp;TODAY()+30)+COUNTIFS(E480,"&gt;"&amp;TODAY(),E480,"&lt;="&amp;TODAY()+30)+COUNTIFS(F480,"&gt;"&amp;TODAY(),F480,"&lt;="&amp;TODAY()+30)&gt;0),Q480,"")</x:f>
      </x:c>
      <x:c r="M480" t="str">
        <x:f>IF(OR(LEFT(H480,15)="Missing dates; ",LEFT(H480,16)="Add N/A reason; ",H480="Add dates",H480="Add registration",H480="Check date format"),R480,"")</x:f>
      </x:c>
      <x:c r="N480" t="str">
        <x:f>IF(COUNTIFS(C480:F480,"Reviewed N/A")&gt;0,S480,"")</x:f>
      </x:c>
      <x:c r="O480" t="n">
        <x:f>O479+IF(AND(A480&lt;&gt;"",COUNTIFS(C480,"&gt;=36526",C480,"&lt;"&amp;TODAY())+COUNTIFS(D480,"&gt;=36526",D480,"&lt;"&amp;TODAY())+COUNTIFS(E480,"&gt;=36526",E480,"&lt;"&amp;TODAY())+COUNTIFS(F480,"&gt;=36526",F480,"&lt;"&amp;TODAY())&gt;0),1,0)</x:f>
        <x:v>0</x:v>
      </x:c>
      <x:c r="P480" t="n">
        <x:f>P479+IF(AND(A480&lt;&gt;"",COUNTIFS(C480,"&gt;=36526",C480,TODAY())+COUNTIFS(D480,"&gt;=36526",D480,TODAY())+COUNTIFS(E480,"&gt;=36526",E480,TODAY())+COUNTIFS(F480,"&gt;=36526",F480,TODAY())&gt;0),1,0)</x:f>
        <x:v>0</x:v>
      </x:c>
      <x:c r="Q480" t="n">
        <x:f>Q479+IF(AND(A480&lt;&gt;"",COUNTIFS(C480,"&gt;"&amp;TODAY(),C480,"&lt;="&amp;TODAY()+30)+COUNTIFS(D480,"&gt;"&amp;TODAY(),D480,"&lt;="&amp;TODAY()+30)+COUNTIFS(E480,"&gt;"&amp;TODAY(),E480,"&lt;="&amp;TODAY()+30)+COUNTIFS(F480,"&gt;"&amp;TODAY(),F480,"&lt;="&amp;TODAY()+30)&gt;0),1,0)</x:f>
        <x:v>0</x:v>
      </x:c>
      <x:c r="R480" t="n">
        <x:f>R479+IF(OR(LEFT(H480,15)="Missing dates; ",LEFT(H480,16)="Add N/A reason; ",H480="Add dates",H480="Add registration",H480="Check date format"),1,0)</x:f>
        <x:v>0</x:v>
      </x:c>
      <x:c r="S480" t="n">
        <x:f>S479+IF(COUNTIFS(C480:F480,"Reviewed N/A")&gt;0,1,0)</x:f>
        <x:v>0</x:v>
      </x:c>
    </x:row>
    <x:row r="481" ht="48" customHeight="1">
      <x:c r="A481" s="52"/>
      <x:c r="B481" s="52"/>
      <x:c r="C481" s="53"/>
      <x:c r="D481" s="53"/>
      <x:c r="E481" s="53"/>
      <x:c r="F481" s="53"/>
      <x:c r="G481" s="52"/>
      <x:c r="H481" s="21" t="str">
        <x:f>IF(COUNTA(A481:G481,I481)=0,"",IF(A481="","Add registration",IF(OR(COUNTA(C481:F481)&gt;COUNT(C481:F481)+COUNTIFS(C481:F481,"Reviewed N/A"),AND(COUNT(C481:F481)&gt;0,OR(MIN(C481:F481)&lt;36526,MAX(C481:F481)&gt;109574))),"Check date format",IF(AND(COUNTIFS(C481:F481,"Reviewed N/A")&gt;0,I481=""),"Add N/A reason; ","")&amp;IF(COUNT(C481:F481)=0,IF(COUNTIFS(C481:F481,"Reviewed N/A")=4,"No applicable dates recorded","Add dates"),IF(COUNT(C481:F481)+COUNTIFS(C481:F481,"Reviewed N/A")&lt;4,"Missing dates; ","")&amp;IF(MIN(C481:F481)&lt;TODAY(),"Overdue: ",IF(MIN(C481:F481)=TODAY(),"Due today: ",IF(MIN(C481:F481)&lt;=TODAY()+30,"Due within 30 days: ","Next: ")))&amp;INDEX($C$8:$F$8,1,MATCH(MIN(C481:F481),C481:F481,0))&amp;" "&amp;TEXT(MIN(C481:F481),"dd mmm yyyy")))))</x:f>
      </x:c>
      <x:c r="I481" s="52"/>
      <x:c r="J481" t="str">
        <x:f>IF(AND(A481&lt;&gt;"",COUNTIFS(C481,"&gt;=36526",C481,"&lt;"&amp;TODAY())+COUNTIFS(D481,"&gt;=36526",D481,"&lt;"&amp;TODAY())+COUNTIFS(E481,"&gt;=36526",E481,"&lt;"&amp;TODAY())+COUNTIFS(F481,"&gt;=36526",F481,"&lt;"&amp;TODAY())&gt;0),O481,"")</x:f>
      </x:c>
      <x:c r="K481" t="str">
        <x:f>IF(AND(A481&lt;&gt;"",COUNTIFS(C481,"&gt;=36526",C481,TODAY())+COUNTIFS(D481,"&gt;=36526",D481,TODAY())+COUNTIFS(E481,"&gt;=36526",E481,TODAY())+COUNTIFS(F481,"&gt;=36526",F481,TODAY())&gt;0),P481,"")</x:f>
      </x:c>
      <x:c r="L481" t="str">
        <x:f>IF(AND(A481&lt;&gt;"",COUNTIFS(C481,"&gt;"&amp;TODAY(),C481,"&lt;="&amp;TODAY()+30)+COUNTIFS(D481,"&gt;"&amp;TODAY(),D481,"&lt;="&amp;TODAY()+30)+COUNTIFS(E481,"&gt;"&amp;TODAY(),E481,"&lt;="&amp;TODAY()+30)+COUNTIFS(F481,"&gt;"&amp;TODAY(),F481,"&lt;="&amp;TODAY()+30)&gt;0),Q481,"")</x:f>
      </x:c>
      <x:c r="M481" t="str">
        <x:f>IF(OR(LEFT(H481,15)="Missing dates; ",LEFT(H481,16)="Add N/A reason; ",H481="Add dates",H481="Add registration",H481="Check date format"),R481,"")</x:f>
      </x:c>
      <x:c r="N481" t="str">
        <x:f>IF(COUNTIFS(C481:F481,"Reviewed N/A")&gt;0,S481,"")</x:f>
      </x:c>
      <x:c r="O481" t="n">
        <x:f>O480+IF(AND(A481&lt;&gt;"",COUNTIFS(C481,"&gt;=36526",C481,"&lt;"&amp;TODAY())+COUNTIFS(D481,"&gt;=36526",D481,"&lt;"&amp;TODAY())+COUNTIFS(E481,"&gt;=36526",E481,"&lt;"&amp;TODAY())+COUNTIFS(F481,"&gt;=36526",F481,"&lt;"&amp;TODAY())&gt;0),1,0)</x:f>
        <x:v>0</x:v>
      </x:c>
      <x:c r="P481" t="n">
        <x:f>P480+IF(AND(A481&lt;&gt;"",COUNTIFS(C481,"&gt;=36526",C481,TODAY())+COUNTIFS(D481,"&gt;=36526",D481,TODAY())+COUNTIFS(E481,"&gt;=36526",E481,TODAY())+COUNTIFS(F481,"&gt;=36526",F481,TODAY())&gt;0),1,0)</x:f>
        <x:v>0</x:v>
      </x:c>
      <x:c r="Q481" t="n">
        <x:f>Q480+IF(AND(A481&lt;&gt;"",COUNTIFS(C481,"&gt;"&amp;TODAY(),C481,"&lt;="&amp;TODAY()+30)+COUNTIFS(D481,"&gt;"&amp;TODAY(),D481,"&lt;="&amp;TODAY()+30)+COUNTIFS(E481,"&gt;"&amp;TODAY(),E481,"&lt;="&amp;TODAY()+30)+COUNTIFS(F481,"&gt;"&amp;TODAY(),F481,"&lt;="&amp;TODAY()+30)&gt;0),1,0)</x:f>
        <x:v>0</x:v>
      </x:c>
      <x:c r="R481" t="n">
        <x:f>R480+IF(OR(LEFT(H481,15)="Missing dates; ",LEFT(H481,16)="Add N/A reason; ",H481="Add dates",H481="Add registration",H481="Check date format"),1,0)</x:f>
        <x:v>0</x:v>
      </x:c>
      <x:c r="S481" t="n">
        <x:f>S480+IF(COUNTIFS(C481:F481,"Reviewed N/A")&gt;0,1,0)</x:f>
        <x:v>0</x:v>
      </x:c>
    </x:row>
    <x:row r="482" ht="48" customHeight="1">
      <x:c r="A482" s="52"/>
      <x:c r="B482" s="52"/>
      <x:c r="C482" s="53"/>
      <x:c r="D482" s="53"/>
      <x:c r="E482" s="53"/>
      <x:c r="F482" s="53"/>
      <x:c r="G482" s="52"/>
      <x:c r="H482" s="21" t="str">
        <x:f>IF(COUNTA(A482:G482,I482)=0,"",IF(A482="","Add registration",IF(OR(COUNTA(C482:F482)&gt;COUNT(C482:F482)+COUNTIFS(C482:F482,"Reviewed N/A"),AND(COUNT(C482:F482)&gt;0,OR(MIN(C482:F482)&lt;36526,MAX(C482:F482)&gt;109574))),"Check date format",IF(AND(COUNTIFS(C482:F482,"Reviewed N/A")&gt;0,I482=""),"Add N/A reason; ","")&amp;IF(COUNT(C482:F482)=0,IF(COUNTIFS(C482:F482,"Reviewed N/A")=4,"No applicable dates recorded","Add dates"),IF(COUNT(C482:F482)+COUNTIFS(C482:F482,"Reviewed N/A")&lt;4,"Missing dates; ","")&amp;IF(MIN(C482:F482)&lt;TODAY(),"Overdue: ",IF(MIN(C482:F482)=TODAY(),"Due today: ",IF(MIN(C482:F482)&lt;=TODAY()+30,"Due within 30 days: ","Next: ")))&amp;INDEX($C$8:$F$8,1,MATCH(MIN(C482:F482),C482:F482,0))&amp;" "&amp;TEXT(MIN(C482:F482),"dd mmm yyyy")))))</x:f>
      </x:c>
      <x:c r="I482" s="52"/>
      <x:c r="J482" t="str">
        <x:f>IF(AND(A482&lt;&gt;"",COUNTIFS(C482,"&gt;=36526",C482,"&lt;"&amp;TODAY())+COUNTIFS(D482,"&gt;=36526",D482,"&lt;"&amp;TODAY())+COUNTIFS(E482,"&gt;=36526",E482,"&lt;"&amp;TODAY())+COUNTIFS(F482,"&gt;=36526",F482,"&lt;"&amp;TODAY())&gt;0),O482,"")</x:f>
      </x:c>
      <x:c r="K482" t="str">
        <x:f>IF(AND(A482&lt;&gt;"",COUNTIFS(C482,"&gt;=36526",C482,TODAY())+COUNTIFS(D482,"&gt;=36526",D482,TODAY())+COUNTIFS(E482,"&gt;=36526",E482,TODAY())+COUNTIFS(F482,"&gt;=36526",F482,TODAY())&gt;0),P482,"")</x:f>
      </x:c>
      <x:c r="L482" t="str">
        <x:f>IF(AND(A482&lt;&gt;"",COUNTIFS(C482,"&gt;"&amp;TODAY(),C482,"&lt;="&amp;TODAY()+30)+COUNTIFS(D482,"&gt;"&amp;TODAY(),D482,"&lt;="&amp;TODAY()+30)+COUNTIFS(E482,"&gt;"&amp;TODAY(),E482,"&lt;="&amp;TODAY()+30)+COUNTIFS(F482,"&gt;"&amp;TODAY(),F482,"&lt;="&amp;TODAY()+30)&gt;0),Q482,"")</x:f>
      </x:c>
      <x:c r="M482" t="str">
        <x:f>IF(OR(LEFT(H482,15)="Missing dates; ",LEFT(H482,16)="Add N/A reason; ",H482="Add dates",H482="Add registration",H482="Check date format"),R482,"")</x:f>
      </x:c>
      <x:c r="N482" t="str">
        <x:f>IF(COUNTIFS(C482:F482,"Reviewed N/A")&gt;0,S482,"")</x:f>
      </x:c>
      <x:c r="O482" t="n">
        <x:f>O481+IF(AND(A482&lt;&gt;"",COUNTIFS(C482,"&gt;=36526",C482,"&lt;"&amp;TODAY())+COUNTIFS(D482,"&gt;=36526",D482,"&lt;"&amp;TODAY())+COUNTIFS(E482,"&gt;=36526",E482,"&lt;"&amp;TODAY())+COUNTIFS(F482,"&gt;=36526",F482,"&lt;"&amp;TODAY())&gt;0),1,0)</x:f>
        <x:v>0</x:v>
      </x:c>
      <x:c r="P482" t="n">
        <x:f>P481+IF(AND(A482&lt;&gt;"",COUNTIFS(C482,"&gt;=36526",C482,TODAY())+COUNTIFS(D482,"&gt;=36526",D482,TODAY())+COUNTIFS(E482,"&gt;=36526",E482,TODAY())+COUNTIFS(F482,"&gt;=36526",F482,TODAY())&gt;0),1,0)</x:f>
        <x:v>0</x:v>
      </x:c>
      <x:c r="Q482" t="n">
        <x:f>Q481+IF(AND(A482&lt;&gt;"",COUNTIFS(C482,"&gt;"&amp;TODAY(),C482,"&lt;="&amp;TODAY()+30)+COUNTIFS(D482,"&gt;"&amp;TODAY(),D482,"&lt;="&amp;TODAY()+30)+COUNTIFS(E482,"&gt;"&amp;TODAY(),E482,"&lt;="&amp;TODAY()+30)+COUNTIFS(F482,"&gt;"&amp;TODAY(),F482,"&lt;="&amp;TODAY()+30)&gt;0),1,0)</x:f>
        <x:v>0</x:v>
      </x:c>
      <x:c r="R482" t="n">
        <x:f>R481+IF(OR(LEFT(H482,15)="Missing dates; ",LEFT(H482,16)="Add N/A reason; ",H482="Add dates",H482="Add registration",H482="Check date format"),1,0)</x:f>
        <x:v>0</x:v>
      </x:c>
      <x:c r="S482" t="n">
        <x:f>S481+IF(COUNTIFS(C482:F482,"Reviewed N/A")&gt;0,1,0)</x:f>
        <x:v>0</x:v>
      </x:c>
    </x:row>
    <x:row r="483" ht="48" customHeight="1">
      <x:c r="A483" s="52"/>
      <x:c r="B483" s="52"/>
      <x:c r="C483" s="53"/>
      <x:c r="D483" s="53"/>
      <x:c r="E483" s="53"/>
      <x:c r="F483" s="53"/>
      <x:c r="G483" s="52"/>
      <x:c r="H483" s="21" t="str">
        <x:f>IF(COUNTA(A483:G483,I483)=0,"",IF(A483="","Add registration",IF(OR(COUNTA(C483:F483)&gt;COUNT(C483:F483)+COUNTIFS(C483:F483,"Reviewed N/A"),AND(COUNT(C483:F483)&gt;0,OR(MIN(C483:F483)&lt;36526,MAX(C483:F483)&gt;109574))),"Check date format",IF(AND(COUNTIFS(C483:F483,"Reviewed N/A")&gt;0,I483=""),"Add N/A reason; ","")&amp;IF(COUNT(C483:F483)=0,IF(COUNTIFS(C483:F483,"Reviewed N/A")=4,"No applicable dates recorded","Add dates"),IF(COUNT(C483:F483)+COUNTIFS(C483:F483,"Reviewed N/A")&lt;4,"Missing dates; ","")&amp;IF(MIN(C483:F483)&lt;TODAY(),"Overdue: ",IF(MIN(C483:F483)=TODAY(),"Due today: ",IF(MIN(C483:F483)&lt;=TODAY()+30,"Due within 30 days: ","Next: ")))&amp;INDEX($C$8:$F$8,1,MATCH(MIN(C483:F483),C483:F483,0))&amp;" "&amp;TEXT(MIN(C483:F483),"dd mmm yyyy")))))</x:f>
      </x:c>
      <x:c r="I483" s="52"/>
      <x:c r="J483" t="str">
        <x:f>IF(AND(A483&lt;&gt;"",COUNTIFS(C483,"&gt;=36526",C483,"&lt;"&amp;TODAY())+COUNTIFS(D483,"&gt;=36526",D483,"&lt;"&amp;TODAY())+COUNTIFS(E483,"&gt;=36526",E483,"&lt;"&amp;TODAY())+COUNTIFS(F483,"&gt;=36526",F483,"&lt;"&amp;TODAY())&gt;0),O483,"")</x:f>
      </x:c>
      <x:c r="K483" t="str">
        <x:f>IF(AND(A483&lt;&gt;"",COUNTIFS(C483,"&gt;=36526",C483,TODAY())+COUNTIFS(D483,"&gt;=36526",D483,TODAY())+COUNTIFS(E483,"&gt;=36526",E483,TODAY())+COUNTIFS(F483,"&gt;=36526",F483,TODAY())&gt;0),P483,"")</x:f>
      </x:c>
      <x:c r="L483" t="str">
        <x:f>IF(AND(A483&lt;&gt;"",COUNTIFS(C483,"&gt;"&amp;TODAY(),C483,"&lt;="&amp;TODAY()+30)+COUNTIFS(D483,"&gt;"&amp;TODAY(),D483,"&lt;="&amp;TODAY()+30)+COUNTIFS(E483,"&gt;"&amp;TODAY(),E483,"&lt;="&amp;TODAY()+30)+COUNTIFS(F483,"&gt;"&amp;TODAY(),F483,"&lt;="&amp;TODAY()+30)&gt;0),Q483,"")</x:f>
      </x:c>
      <x:c r="M483" t="str">
        <x:f>IF(OR(LEFT(H483,15)="Missing dates; ",LEFT(H483,16)="Add N/A reason; ",H483="Add dates",H483="Add registration",H483="Check date format"),R483,"")</x:f>
      </x:c>
      <x:c r="N483" t="str">
        <x:f>IF(COUNTIFS(C483:F483,"Reviewed N/A")&gt;0,S483,"")</x:f>
      </x:c>
      <x:c r="O483" t="n">
        <x:f>O482+IF(AND(A483&lt;&gt;"",COUNTIFS(C483,"&gt;=36526",C483,"&lt;"&amp;TODAY())+COUNTIFS(D483,"&gt;=36526",D483,"&lt;"&amp;TODAY())+COUNTIFS(E483,"&gt;=36526",E483,"&lt;"&amp;TODAY())+COUNTIFS(F483,"&gt;=36526",F483,"&lt;"&amp;TODAY())&gt;0),1,0)</x:f>
        <x:v>0</x:v>
      </x:c>
      <x:c r="P483" t="n">
        <x:f>P482+IF(AND(A483&lt;&gt;"",COUNTIFS(C483,"&gt;=36526",C483,TODAY())+COUNTIFS(D483,"&gt;=36526",D483,TODAY())+COUNTIFS(E483,"&gt;=36526",E483,TODAY())+COUNTIFS(F483,"&gt;=36526",F483,TODAY())&gt;0),1,0)</x:f>
        <x:v>0</x:v>
      </x:c>
      <x:c r="Q483" t="n">
        <x:f>Q482+IF(AND(A483&lt;&gt;"",COUNTIFS(C483,"&gt;"&amp;TODAY(),C483,"&lt;="&amp;TODAY()+30)+COUNTIFS(D483,"&gt;"&amp;TODAY(),D483,"&lt;="&amp;TODAY()+30)+COUNTIFS(E483,"&gt;"&amp;TODAY(),E483,"&lt;="&amp;TODAY()+30)+COUNTIFS(F483,"&gt;"&amp;TODAY(),F483,"&lt;="&amp;TODAY()+30)&gt;0),1,0)</x:f>
        <x:v>0</x:v>
      </x:c>
      <x:c r="R483" t="n">
        <x:f>R482+IF(OR(LEFT(H483,15)="Missing dates; ",LEFT(H483,16)="Add N/A reason; ",H483="Add dates",H483="Add registration",H483="Check date format"),1,0)</x:f>
        <x:v>0</x:v>
      </x:c>
      <x:c r="S483" t="n">
        <x:f>S482+IF(COUNTIFS(C483:F483,"Reviewed N/A")&gt;0,1,0)</x:f>
        <x:v>0</x:v>
      </x:c>
    </x:row>
    <x:row r="484" ht="48" customHeight="1">
      <x:c r="A484" s="52"/>
      <x:c r="B484" s="52"/>
      <x:c r="C484" s="53"/>
      <x:c r="D484" s="53"/>
      <x:c r="E484" s="53"/>
      <x:c r="F484" s="53"/>
      <x:c r="G484" s="52"/>
      <x:c r="H484" s="21" t="str">
        <x:f>IF(COUNTA(A484:G484,I484)=0,"",IF(A484="","Add registration",IF(OR(COUNTA(C484:F484)&gt;COUNT(C484:F484)+COUNTIFS(C484:F484,"Reviewed N/A"),AND(COUNT(C484:F484)&gt;0,OR(MIN(C484:F484)&lt;36526,MAX(C484:F484)&gt;109574))),"Check date format",IF(AND(COUNTIFS(C484:F484,"Reviewed N/A")&gt;0,I484=""),"Add N/A reason; ","")&amp;IF(COUNT(C484:F484)=0,IF(COUNTIFS(C484:F484,"Reviewed N/A")=4,"No applicable dates recorded","Add dates"),IF(COUNT(C484:F484)+COUNTIFS(C484:F484,"Reviewed N/A")&lt;4,"Missing dates; ","")&amp;IF(MIN(C484:F484)&lt;TODAY(),"Overdue: ",IF(MIN(C484:F484)=TODAY(),"Due today: ",IF(MIN(C484:F484)&lt;=TODAY()+30,"Due within 30 days: ","Next: ")))&amp;INDEX($C$8:$F$8,1,MATCH(MIN(C484:F484),C484:F484,0))&amp;" "&amp;TEXT(MIN(C484:F484),"dd mmm yyyy")))))</x:f>
      </x:c>
      <x:c r="I484" s="52"/>
      <x:c r="J484" t="str">
        <x:f>IF(AND(A484&lt;&gt;"",COUNTIFS(C484,"&gt;=36526",C484,"&lt;"&amp;TODAY())+COUNTIFS(D484,"&gt;=36526",D484,"&lt;"&amp;TODAY())+COUNTIFS(E484,"&gt;=36526",E484,"&lt;"&amp;TODAY())+COUNTIFS(F484,"&gt;=36526",F484,"&lt;"&amp;TODAY())&gt;0),O484,"")</x:f>
      </x:c>
      <x:c r="K484" t="str">
        <x:f>IF(AND(A484&lt;&gt;"",COUNTIFS(C484,"&gt;=36526",C484,TODAY())+COUNTIFS(D484,"&gt;=36526",D484,TODAY())+COUNTIFS(E484,"&gt;=36526",E484,TODAY())+COUNTIFS(F484,"&gt;=36526",F484,TODAY())&gt;0),P484,"")</x:f>
      </x:c>
      <x:c r="L484" t="str">
        <x:f>IF(AND(A484&lt;&gt;"",COUNTIFS(C484,"&gt;"&amp;TODAY(),C484,"&lt;="&amp;TODAY()+30)+COUNTIFS(D484,"&gt;"&amp;TODAY(),D484,"&lt;="&amp;TODAY()+30)+COUNTIFS(E484,"&gt;"&amp;TODAY(),E484,"&lt;="&amp;TODAY()+30)+COUNTIFS(F484,"&gt;"&amp;TODAY(),F484,"&lt;="&amp;TODAY()+30)&gt;0),Q484,"")</x:f>
      </x:c>
      <x:c r="M484" t="str">
        <x:f>IF(OR(LEFT(H484,15)="Missing dates; ",LEFT(H484,16)="Add N/A reason; ",H484="Add dates",H484="Add registration",H484="Check date format"),R484,"")</x:f>
      </x:c>
      <x:c r="N484" t="str">
        <x:f>IF(COUNTIFS(C484:F484,"Reviewed N/A")&gt;0,S484,"")</x:f>
      </x:c>
      <x:c r="O484" t="n">
        <x:f>O483+IF(AND(A484&lt;&gt;"",COUNTIFS(C484,"&gt;=36526",C484,"&lt;"&amp;TODAY())+COUNTIFS(D484,"&gt;=36526",D484,"&lt;"&amp;TODAY())+COUNTIFS(E484,"&gt;=36526",E484,"&lt;"&amp;TODAY())+COUNTIFS(F484,"&gt;=36526",F484,"&lt;"&amp;TODAY())&gt;0),1,0)</x:f>
        <x:v>0</x:v>
      </x:c>
      <x:c r="P484" t="n">
        <x:f>P483+IF(AND(A484&lt;&gt;"",COUNTIFS(C484,"&gt;=36526",C484,TODAY())+COUNTIFS(D484,"&gt;=36526",D484,TODAY())+COUNTIFS(E484,"&gt;=36526",E484,TODAY())+COUNTIFS(F484,"&gt;=36526",F484,TODAY())&gt;0),1,0)</x:f>
        <x:v>0</x:v>
      </x:c>
      <x:c r="Q484" t="n">
        <x:f>Q483+IF(AND(A484&lt;&gt;"",COUNTIFS(C484,"&gt;"&amp;TODAY(),C484,"&lt;="&amp;TODAY()+30)+COUNTIFS(D484,"&gt;"&amp;TODAY(),D484,"&lt;="&amp;TODAY()+30)+COUNTIFS(E484,"&gt;"&amp;TODAY(),E484,"&lt;="&amp;TODAY()+30)+COUNTIFS(F484,"&gt;"&amp;TODAY(),F484,"&lt;="&amp;TODAY()+30)&gt;0),1,0)</x:f>
        <x:v>0</x:v>
      </x:c>
      <x:c r="R484" t="n">
        <x:f>R483+IF(OR(LEFT(H484,15)="Missing dates; ",LEFT(H484,16)="Add N/A reason; ",H484="Add dates",H484="Add registration",H484="Check date format"),1,0)</x:f>
        <x:v>0</x:v>
      </x:c>
      <x:c r="S484" t="n">
        <x:f>S483+IF(COUNTIFS(C484:F484,"Reviewed N/A")&gt;0,1,0)</x:f>
        <x:v>0</x:v>
      </x:c>
    </x:row>
    <x:row r="485" ht="48" customHeight="1">
      <x:c r="A485" s="52"/>
      <x:c r="B485" s="52"/>
      <x:c r="C485" s="53"/>
      <x:c r="D485" s="53"/>
      <x:c r="E485" s="53"/>
      <x:c r="F485" s="53"/>
      <x:c r="G485" s="52"/>
      <x:c r="H485" s="21" t="str">
        <x:f>IF(COUNTA(A485:G485,I485)=0,"",IF(A485="","Add registration",IF(OR(COUNTA(C485:F485)&gt;COUNT(C485:F485)+COUNTIFS(C485:F485,"Reviewed N/A"),AND(COUNT(C485:F485)&gt;0,OR(MIN(C485:F485)&lt;36526,MAX(C485:F485)&gt;109574))),"Check date format",IF(AND(COUNTIFS(C485:F485,"Reviewed N/A")&gt;0,I485=""),"Add N/A reason; ","")&amp;IF(COUNT(C485:F485)=0,IF(COUNTIFS(C485:F485,"Reviewed N/A")=4,"No applicable dates recorded","Add dates"),IF(COUNT(C485:F485)+COUNTIFS(C485:F485,"Reviewed N/A")&lt;4,"Missing dates; ","")&amp;IF(MIN(C485:F485)&lt;TODAY(),"Overdue: ",IF(MIN(C485:F485)=TODAY(),"Due today: ",IF(MIN(C485:F485)&lt;=TODAY()+30,"Due within 30 days: ","Next: ")))&amp;INDEX($C$8:$F$8,1,MATCH(MIN(C485:F485),C485:F485,0))&amp;" "&amp;TEXT(MIN(C485:F485),"dd mmm yyyy")))))</x:f>
      </x:c>
      <x:c r="I485" s="52"/>
      <x:c r="J485" t="str">
        <x:f>IF(AND(A485&lt;&gt;"",COUNTIFS(C485,"&gt;=36526",C485,"&lt;"&amp;TODAY())+COUNTIFS(D485,"&gt;=36526",D485,"&lt;"&amp;TODAY())+COUNTIFS(E485,"&gt;=36526",E485,"&lt;"&amp;TODAY())+COUNTIFS(F485,"&gt;=36526",F485,"&lt;"&amp;TODAY())&gt;0),O485,"")</x:f>
      </x:c>
      <x:c r="K485" t="str">
        <x:f>IF(AND(A485&lt;&gt;"",COUNTIFS(C485,"&gt;=36526",C485,TODAY())+COUNTIFS(D485,"&gt;=36526",D485,TODAY())+COUNTIFS(E485,"&gt;=36526",E485,TODAY())+COUNTIFS(F485,"&gt;=36526",F485,TODAY())&gt;0),P485,"")</x:f>
      </x:c>
      <x:c r="L485" t="str">
        <x:f>IF(AND(A485&lt;&gt;"",COUNTIFS(C485,"&gt;"&amp;TODAY(),C485,"&lt;="&amp;TODAY()+30)+COUNTIFS(D485,"&gt;"&amp;TODAY(),D485,"&lt;="&amp;TODAY()+30)+COUNTIFS(E485,"&gt;"&amp;TODAY(),E485,"&lt;="&amp;TODAY()+30)+COUNTIFS(F485,"&gt;"&amp;TODAY(),F485,"&lt;="&amp;TODAY()+30)&gt;0),Q485,"")</x:f>
      </x:c>
      <x:c r="M485" t="str">
        <x:f>IF(OR(LEFT(H485,15)="Missing dates; ",LEFT(H485,16)="Add N/A reason; ",H485="Add dates",H485="Add registration",H485="Check date format"),R485,"")</x:f>
      </x:c>
      <x:c r="N485" t="str">
        <x:f>IF(COUNTIFS(C485:F485,"Reviewed N/A")&gt;0,S485,"")</x:f>
      </x:c>
      <x:c r="O485" t="n">
        <x:f>O484+IF(AND(A485&lt;&gt;"",COUNTIFS(C485,"&gt;=36526",C485,"&lt;"&amp;TODAY())+COUNTIFS(D485,"&gt;=36526",D485,"&lt;"&amp;TODAY())+COUNTIFS(E485,"&gt;=36526",E485,"&lt;"&amp;TODAY())+COUNTIFS(F485,"&gt;=36526",F485,"&lt;"&amp;TODAY())&gt;0),1,0)</x:f>
        <x:v>0</x:v>
      </x:c>
      <x:c r="P485" t="n">
        <x:f>P484+IF(AND(A485&lt;&gt;"",COUNTIFS(C485,"&gt;=36526",C485,TODAY())+COUNTIFS(D485,"&gt;=36526",D485,TODAY())+COUNTIFS(E485,"&gt;=36526",E485,TODAY())+COUNTIFS(F485,"&gt;=36526",F485,TODAY())&gt;0),1,0)</x:f>
        <x:v>0</x:v>
      </x:c>
      <x:c r="Q485" t="n">
        <x:f>Q484+IF(AND(A485&lt;&gt;"",COUNTIFS(C485,"&gt;"&amp;TODAY(),C485,"&lt;="&amp;TODAY()+30)+COUNTIFS(D485,"&gt;"&amp;TODAY(),D485,"&lt;="&amp;TODAY()+30)+COUNTIFS(E485,"&gt;"&amp;TODAY(),E485,"&lt;="&amp;TODAY()+30)+COUNTIFS(F485,"&gt;"&amp;TODAY(),F485,"&lt;="&amp;TODAY()+30)&gt;0),1,0)</x:f>
        <x:v>0</x:v>
      </x:c>
      <x:c r="R485" t="n">
        <x:f>R484+IF(OR(LEFT(H485,15)="Missing dates; ",LEFT(H485,16)="Add N/A reason; ",H485="Add dates",H485="Add registration",H485="Check date format"),1,0)</x:f>
        <x:v>0</x:v>
      </x:c>
      <x:c r="S485" t="n">
        <x:f>S484+IF(COUNTIFS(C485:F485,"Reviewed N/A")&gt;0,1,0)</x:f>
        <x:v>0</x:v>
      </x:c>
    </x:row>
    <x:row r="486" ht="48" customHeight="1">
      <x:c r="A486" s="52"/>
      <x:c r="B486" s="52"/>
      <x:c r="C486" s="53"/>
      <x:c r="D486" s="53"/>
      <x:c r="E486" s="53"/>
      <x:c r="F486" s="53"/>
      <x:c r="G486" s="52"/>
      <x:c r="H486" s="21" t="str">
        <x:f>IF(COUNTA(A486:G486,I486)=0,"",IF(A486="","Add registration",IF(OR(COUNTA(C486:F486)&gt;COUNT(C486:F486)+COUNTIFS(C486:F486,"Reviewed N/A"),AND(COUNT(C486:F486)&gt;0,OR(MIN(C486:F486)&lt;36526,MAX(C486:F486)&gt;109574))),"Check date format",IF(AND(COUNTIFS(C486:F486,"Reviewed N/A")&gt;0,I486=""),"Add N/A reason; ","")&amp;IF(COUNT(C486:F486)=0,IF(COUNTIFS(C486:F486,"Reviewed N/A")=4,"No applicable dates recorded","Add dates"),IF(COUNT(C486:F486)+COUNTIFS(C486:F486,"Reviewed N/A")&lt;4,"Missing dates; ","")&amp;IF(MIN(C486:F486)&lt;TODAY(),"Overdue: ",IF(MIN(C486:F486)=TODAY(),"Due today: ",IF(MIN(C486:F486)&lt;=TODAY()+30,"Due within 30 days: ","Next: ")))&amp;INDEX($C$8:$F$8,1,MATCH(MIN(C486:F486),C486:F486,0))&amp;" "&amp;TEXT(MIN(C486:F486),"dd mmm yyyy")))))</x:f>
      </x:c>
      <x:c r="I486" s="52"/>
      <x:c r="J486" t="str">
        <x:f>IF(AND(A486&lt;&gt;"",COUNTIFS(C486,"&gt;=36526",C486,"&lt;"&amp;TODAY())+COUNTIFS(D486,"&gt;=36526",D486,"&lt;"&amp;TODAY())+COUNTIFS(E486,"&gt;=36526",E486,"&lt;"&amp;TODAY())+COUNTIFS(F486,"&gt;=36526",F486,"&lt;"&amp;TODAY())&gt;0),O486,"")</x:f>
      </x:c>
      <x:c r="K486" t="str">
        <x:f>IF(AND(A486&lt;&gt;"",COUNTIFS(C486,"&gt;=36526",C486,TODAY())+COUNTIFS(D486,"&gt;=36526",D486,TODAY())+COUNTIFS(E486,"&gt;=36526",E486,TODAY())+COUNTIFS(F486,"&gt;=36526",F486,TODAY())&gt;0),P486,"")</x:f>
      </x:c>
      <x:c r="L486" t="str">
        <x:f>IF(AND(A486&lt;&gt;"",COUNTIFS(C486,"&gt;"&amp;TODAY(),C486,"&lt;="&amp;TODAY()+30)+COUNTIFS(D486,"&gt;"&amp;TODAY(),D486,"&lt;="&amp;TODAY()+30)+COUNTIFS(E486,"&gt;"&amp;TODAY(),E486,"&lt;="&amp;TODAY()+30)+COUNTIFS(F486,"&gt;"&amp;TODAY(),F486,"&lt;="&amp;TODAY()+30)&gt;0),Q486,"")</x:f>
      </x:c>
      <x:c r="M486" t="str">
        <x:f>IF(OR(LEFT(H486,15)="Missing dates; ",LEFT(H486,16)="Add N/A reason; ",H486="Add dates",H486="Add registration",H486="Check date format"),R486,"")</x:f>
      </x:c>
      <x:c r="N486" t="str">
        <x:f>IF(COUNTIFS(C486:F486,"Reviewed N/A")&gt;0,S486,"")</x:f>
      </x:c>
      <x:c r="O486" t="n">
        <x:f>O485+IF(AND(A486&lt;&gt;"",COUNTIFS(C486,"&gt;=36526",C486,"&lt;"&amp;TODAY())+COUNTIFS(D486,"&gt;=36526",D486,"&lt;"&amp;TODAY())+COUNTIFS(E486,"&gt;=36526",E486,"&lt;"&amp;TODAY())+COUNTIFS(F486,"&gt;=36526",F486,"&lt;"&amp;TODAY())&gt;0),1,0)</x:f>
        <x:v>0</x:v>
      </x:c>
      <x:c r="P486" t="n">
        <x:f>P485+IF(AND(A486&lt;&gt;"",COUNTIFS(C486,"&gt;=36526",C486,TODAY())+COUNTIFS(D486,"&gt;=36526",D486,TODAY())+COUNTIFS(E486,"&gt;=36526",E486,TODAY())+COUNTIFS(F486,"&gt;=36526",F486,TODAY())&gt;0),1,0)</x:f>
        <x:v>0</x:v>
      </x:c>
      <x:c r="Q486" t="n">
        <x:f>Q485+IF(AND(A486&lt;&gt;"",COUNTIFS(C486,"&gt;"&amp;TODAY(),C486,"&lt;="&amp;TODAY()+30)+COUNTIFS(D486,"&gt;"&amp;TODAY(),D486,"&lt;="&amp;TODAY()+30)+COUNTIFS(E486,"&gt;"&amp;TODAY(),E486,"&lt;="&amp;TODAY()+30)+COUNTIFS(F486,"&gt;"&amp;TODAY(),F486,"&lt;="&amp;TODAY()+30)&gt;0),1,0)</x:f>
        <x:v>0</x:v>
      </x:c>
      <x:c r="R486" t="n">
        <x:f>R485+IF(OR(LEFT(H486,15)="Missing dates; ",LEFT(H486,16)="Add N/A reason; ",H486="Add dates",H486="Add registration",H486="Check date format"),1,0)</x:f>
        <x:v>0</x:v>
      </x:c>
      <x:c r="S486" t="n">
        <x:f>S485+IF(COUNTIFS(C486:F486,"Reviewed N/A")&gt;0,1,0)</x:f>
        <x:v>0</x:v>
      </x:c>
    </x:row>
    <x:row r="487" ht="48" customHeight="1">
      <x:c r="A487" s="52"/>
      <x:c r="B487" s="52"/>
      <x:c r="C487" s="53"/>
      <x:c r="D487" s="53"/>
      <x:c r="E487" s="53"/>
      <x:c r="F487" s="53"/>
      <x:c r="G487" s="52"/>
      <x:c r="H487" s="21" t="str">
        <x:f>IF(COUNTA(A487:G487,I487)=0,"",IF(A487="","Add registration",IF(OR(COUNTA(C487:F487)&gt;COUNT(C487:F487)+COUNTIFS(C487:F487,"Reviewed N/A"),AND(COUNT(C487:F487)&gt;0,OR(MIN(C487:F487)&lt;36526,MAX(C487:F487)&gt;109574))),"Check date format",IF(AND(COUNTIFS(C487:F487,"Reviewed N/A")&gt;0,I487=""),"Add N/A reason; ","")&amp;IF(COUNT(C487:F487)=0,IF(COUNTIFS(C487:F487,"Reviewed N/A")=4,"No applicable dates recorded","Add dates"),IF(COUNT(C487:F487)+COUNTIFS(C487:F487,"Reviewed N/A")&lt;4,"Missing dates; ","")&amp;IF(MIN(C487:F487)&lt;TODAY(),"Overdue: ",IF(MIN(C487:F487)=TODAY(),"Due today: ",IF(MIN(C487:F487)&lt;=TODAY()+30,"Due within 30 days: ","Next: ")))&amp;INDEX($C$8:$F$8,1,MATCH(MIN(C487:F487),C487:F487,0))&amp;" "&amp;TEXT(MIN(C487:F487),"dd mmm yyyy")))))</x:f>
      </x:c>
      <x:c r="I487" s="52"/>
      <x:c r="J487" t="str">
        <x:f>IF(AND(A487&lt;&gt;"",COUNTIFS(C487,"&gt;=36526",C487,"&lt;"&amp;TODAY())+COUNTIFS(D487,"&gt;=36526",D487,"&lt;"&amp;TODAY())+COUNTIFS(E487,"&gt;=36526",E487,"&lt;"&amp;TODAY())+COUNTIFS(F487,"&gt;=36526",F487,"&lt;"&amp;TODAY())&gt;0),O487,"")</x:f>
      </x:c>
      <x:c r="K487" t="str">
        <x:f>IF(AND(A487&lt;&gt;"",COUNTIFS(C487,"&gt;=36526",C487,TODAY())+COUNTIFS(D487,"&gt;=36526",D487,TODAY())+COUNTIFS(E487,"&gt;=36526",E487,TODAY())+COUNTIFS(F487,"&gt;=36526",F487,TODAY())&gt;0),P487,"")</x:f>
      </x:c>
      <x:c r="L487" t="str">
        <x:f>IF(AND(A487&lt;&gt;"",COUNTIFS(C487,"&gt;"&amp;TODAY(),C487,"&lt;="&amp;TODAY()+30)+COUNTIFS(D487,"&gt;"&amp;TODAY(),D487,"&lt;="&amp;TODAY()+30)+COUNTIFS(E487,"&gt;"&amp;TODAY(),E487,"&lt;="&amp;TODAY()+30)+COUNTIFS(F487,"&gt;"&amp;TODAY(),F487,"&lt;="&amp;TODAY()+30)&gt;0),Q487,"")</x:f>
      </x:c>
      <x:c r="M487" t="str">
        <x:f>IF(OR(LEFT(H487,15)="Missing dates; ",LEFT(H487,16)="Add N/A reason; ",H487="Add dates",H487="Add registration",H487="Check date format"),R487,"")</x:f>
      </x:c>
      <x:c r="N487" t="str">
        <x:f>IF(COUNTIFS(C487:F487,"Reviewed N/A")&gt;0,S487,"")</x:f>
      </x:c>
      <x:c r="O487" t="n">
        <x:f>O486+IF(AND(A487&lt;&gt;"",COUNTIFS(C487,"&gt;=36526",C487,"&lt;"&amp;TODAY())+COUNTIFS(D487,"&gt;=36526",D487,"&lt;"&amp;TODAY())+COUNTIFS(E487,"&gt;=36526",E487,"&lt;"&amp;TODAY())+COUNTIFS(F487,"&gt;=36526",F487,"&lt;"&amp;TODAY())&gt;0),1,0)</x:f>
        <x:v>0</x:v>
      </x:c>
      <x:c r="P487" t="n">
        <x:f>P486+IF(AND(A487&lt;&gt;"",COUNTIFS(C487,"&gt;=36526",C487,TODAY())+COUNTIFS(D487,"&gt;=36526",D487,TODAY())+COUNTIFS(E487,"&gt;=36526",E487,TODAY())+COUNTIFS(F487,"&gt;=36526",F487,TODAY())&gt;0),1,0)</x:f>
        <x:v>0</x:v>
      </x:c>
      <x:c r="Q487" t="n">
        <x:f>Q486+IF(AND(A487&lt;&gt;"",COUNTIFS(C487,"&gt;"&amp;TODAY(),C487,"&lt;="&amp;TODAY()+30)+COUNTIFS(D487,"&gt;"&amp;TODAY(),D487,"&lt;="&amp;TODAY()+30)+COUNTIFS(E487,"&gt;"&amp;TODAY(),E487,"&lt;="&amp;TODAY()+30)+COUNTIFS(F487,"&gt;"&amp;TODAY(),F487,"&lt;="&amp;TODAY()+30)&gt;0),1,0)</x:f>
        <x:v>0</x:v>
      </x:c>
      <x:c r="R487" t="n">
        <x:f>R486+IF(OR(LEFT(H487,15)="Missing dates; ",LEFT(H487,16)="Add N/A reason; ",H487="Add dates",H487="Add registration",H487="Check date format"),1,0)</x:f>
        <x:v>0</x:v>
      </x:c>
      <x:c r="S487" t="n">
        <x:f>S486+IF(COUNTIFS(C487:F487,"Reviewed N/A")&gt;0,1,0)</x:f>
        <x:v>0</x:v>
      </x:c>
    </x:row>
    <x:row r="488" ht="48" customHeight="1">
      <x:c r="A488" s="52"/>
      <x:c r="B488" s="52"/>
      <x:c r="C488" s="53"/>
      <x:c r="D488" s="53"/>
      <x:c r="E488" s="53"/>
      <x:c r="F488" s="53"/>
      <x:c r="G488" s="52"/>
      <x:c r="H488" s="21" t="str">
        <x:f>IF(COUNTA(A488:G488,I488)=0,"",IF(A488="","Add registration",IF(OR(COUNTA(C488:F488)&gt;COUNT(C488:F488)+COUNTIFS(C488:F488,"Reviewed N/A"),AND(COUNT(C488:F488)&gt;0,OR(MIN(C488:F488)&lt;36526,MAX(C488:F488)&gt;109574))),"Check date format",IF(AND(COUNTIFS(C488:F488,"Reviewed N/A")&gt;0,I488=""),"Add N/A reason; ","")&amp;IF(COUNT(C488:F488)=0,IF(COUNTIFS(C488:F488,"Reviewed N/A")=4,"No applicable dates recorded","Add dates"),IF(COUNT(C488:F488)+COUNTIFS(C488:F488,"Reviewed N/A")&lt;4,"Missing dates; ","")&amp;IF(MIN(C488:F488)&lt;TODAY(),"Overdue: ",IF(MIN(C488:F488)=TODAY(),"Due today: ",IF(MIN(C488:F488)&lt;=TODAY()+30,"Due within 30 days: ","Next: ")))&amp;INDEX($C$8:$F$8,1,MATCH(MIN(C488:F488),C488:F488,0))&amp;" "&amp;TEXT(MIN(C488:F488),"dd mmm yyyy")))))</x:f>
      </x:c>
      <x:c r="I488" s="52"/>
      <x:c r="J488" t="str">
        <x:f>IF(AND(A488&lt;&gt;"",COUNTIFS(C488,"&gt;=36526",C488,"&lt;"&amp;TODAY())+COUNTIFS(D488,"&gt;=36526",D488,"&lt;"&amp;TODAY())+COUNTIFS(E488,"&gt;=36526",E488,"&lt;"&amp;TODAY())+COUNTIFS(F488,"&gt;=36526",F488,"&lt;"&amp;TODAY())&gt;0),O488,"")</x:f>
      </x:c>
      <x:c r="K488" t="str">
        <x:f>IF(AND(A488&lt;&gt;"",COUNTIFS(C488,"&gt;=36526",C488,TODAY())+COUNTIFS(D488,"&gt;=36526",D488,TODAY())+COUNTIFS(E488,"&gt;=36526",E488,TODAY())+COUNTIFS(F488,"&gt;=36526",F488,TODAY())&gt;0),P488,"")</x:f>
      </x:c>
      <x:c r="L488" t="str">
        <x:f>IF(AND(A488&lt;&gt;"",COUNTIFS(C488,"&gt;"&amp;TODAY(),C488,"&lt;="&amp;TODAY()+30)+COUNTIFS(D488,"&gt;"&amp;TODAY(),D488,"&lt;="&amp;TODAY()+30)+COUNTIFS(E488,"&gt;"&amp;TODAY(),E488,"&lt;="&amp;TODAY()+30)+COUNTIFS(F488,"&gt;"&amp;TODAY(),F488,"&lt;="&amp;TODAY()+30)&gt;0),Q488,"")</x:f>
      </x:c>
      <x:c r="M488" t="str">
        <x:f>IF(OR(LEFT(H488,15)="Missing dates; ",LEFT(H488,16)="Add N/A reason; ",H488="Add dates",H488="Add registration",H488="Check date format"),R488,"")</x:f>
      </x:c>
      <x:c r="N488" t="str">
        <x:f>IF(COUNTIFS(C488:F488,"Reviewed N/A")&gt;0,S488,"")</x:f>
      </x:c>
      <x:c r="O488" t="n">
        <x:f>O487+IF(AND(A488&lt;&gt;"",COUNTIFS(C488,"&gt;=36526",C488,"&lt;"&amp;TODAY())+COUNTIFS(D488,"&gt;=36526",D488,"&lt;"&amp;TODAY())+COUNTIFS(E488,"&gt;=36526",E488,"&lt;"&amp;TODAY())+COUNTIFS(F488,"&gt;=36526",F488,"&lt;"&amp;TODAY())&gt;0),1,0)</x:f>
        <x:v>0</x:v>
      </x:c>
      <x:c r="P488" t="n">
        <x:f>P487+IF(AND(A488&lt;&gt;"",COUNTIFS(C488,"&gt;=36526",C488,TODAY())+COUNTIFS(D488,"&gt;=36526",D488,TODAY())+COUNTIFS(E488,"&gt;=36526",E488,TODAY())+COUNTIFS(F488,"&gt;=36526",F488,TODAY())&gt;0),1,0)</x:f>
        <x:v>0</x:v>
      </x:c>
      <x:c r="Q488" t="n">
        <x:f>Q487+IF(AND(A488&lt;&gt;"",COUNTIFS(C488,"&gt;"&amp;TODAY(),C488,"&lt;="&amp;TODAY()+30)+COUNTIFS(D488,"&gt;"&amp;TODAY(),D488,"&lt;="&amp;TODAY()+30)+COUNTIFS(E488,"&gt;"&amp;TODAY(),E488,"&lt;="&amp;TODAY()+30)+COUNTIFS(F488,"&gt;"&amp;TODAY(),F488,"&lt;="&amp;TODAY()+30)&gt;0),1,0)</x:f>
        <x:v>0</x:v>
      </x:c>
      <x:c r="R488" t="n">
        <x:f>R487+IF(OR(LEFT(H488,15)="Missing dates; ",LEFT(H488,16)="Add N/A reason; ",H488="Add dates",H488="Add registration",H488="Check date format"),1,0)</x:f>
        <x:v>0</x:v>
      </x:c>
      <x:c r="S488" t="n">
        <x:f>S487+IF(COUNTIFS(C488:F488,"Reviewed N/A")&gt;0,1,0)</x:f>
        <x:v>0</x:v>
      </x:c>
    </x:row>
    <x:row r="489" ht="48" customHeight="1">
      <x:c r="A489" s="52"/>
      <x:c r="B489" s="52"/>
      <x:c r="C489" s="53"/>
      <x:c r="D489" s="53"/>
      <x:c r="E489" s="53"/>
      <x:c r="F489" s="53"/>
      <x:c r="G489" s="52"/>
      <x:c r="H489" s="21" t="str">
        <x:f>IF(COUNTA(A489:G489,I489)=0,"",IF(A489="","Add registration",IF(OR(COUNTA(C489:F489)&gt;COUNT(C489:F489)+COUNTIFS(C489:F489,"Reviewed N/A"),AND(COUNT(C489:F489)&gt;0,OR(MIN(C489:F489)&lt;36526,MAX(C489:F489)&gt;109574))),"Check date format",IF(AND(COUNTIFS(C489:F489,"Reviewed N/A")&gt;0,I489=""),"Add N/A reason; ","")&amp;IF(COUNT(C489:F489)=0,IF(COUNTIFS(C489:F489,"Reviewed N/A")=4,"No applicable dates recorded","Add dates"),IF(COUNT(C489:F489)+COUNTIFS(C489:F489,"Reviewed N/A")&lt;4,"Missing dates; ","")&amp;IF(MIN(C489:F489)&lt;TODAY(),"Overdue: ",IF(MIN(C489:F489)=TODAY(),"Due today: ",IF(MIN(C489:F489)&lt;=TODAY()+30,"Due within 30 days: ","Next: ")))&amp;INDEX($C$8:$F$8,1,MATCH(MIN(C489:F489),C489:F489,0))&amp;" "&amp;TEXT(MIN(C489:F489),"dd mmm yyyy")))))</x:f>
      </x:c>
      <x:c r="I489" s="52"/>
      <x:c r="J489" t="str">
        <x:f>IF(AND(A489&lt;&gt;"",COUNTIFS(C489,"&gt;=36526",C489,"&lt;"&amp;TODAY())+COUNTIFS(D489,"&gt;=36526",D489,"&lt;"&amp;TODAY())+COUNTIFS(E489,"&gt;=36526",E489,"&lt;"&amp;TODAY())+COUNTIFS(F489,"&gt;=36526",F489,"&lt;"&amp;TODAY())&gt;0),O489,"")</x:f>
      </x:c>
      <x:c r="K489" t="str">
        <x:f>IF(AND(A489&lt;&gt;"",COUNTIFS(C489,"&gt;=36526",C489,TODAY())+COUNTIFS(D489,"&gt;=36526",D489,TODAY())+COUNTIFS(E489,"&gt;=36526",E489,TODAY())+COUNTIFS(F489,"&gt;=36526",F489,TODAY())&gt;0),P489,"")</x:f>
      </x:c>
      <x:c r="L489" t="str">
        <x:f>IF(AND(A489&lt;&gt;"",COUNTIFS(C489,"&gt;"&amp;TODAY(),C489,"&lt;="&amp;TODAY()+30)+COUNTIFS(D489,"&gt;"&amp;TODAY(),D489,"&lt;="&amp;TODAY()+30)+COUNTIFS(E489,"&gt;"&amp;TODAY(),E489,"&lt;="&amp;TODAY()+30)+COUNTIFS(F489,"&gt;"&amp;TODAY(),F489,"&lt;="&amp;TODAY()+30)&gt;0),Q489,"")</x:f>
      </x:c>
      <x:c r="M489" t="str">
        <x:f>IF(OR(LEFT(H489,15)="Missing dates; ",LEFT(H489,16)="Add N/A reason; ",H489="Add dates",H489="Add registration",H489="Check date format"),R489,"")</x:f>
      </x:c>
      <x:c r="N489" t="str">
        <x:f>IF(COUNTIFS(C489:F489,"Reviewed N/A")&gt;0,S489,"")</x:f>
      </x:c>
      <x:c r="O489" t="n">
        <x:f>O488+IF(AND(A489&lt;&gt;"",COUNTIFS(C489,"&gt;=36526",C489,"&lt;"&amp;TODAY())+COUNTIFS(D489,"&gt;=36526",D489,"&lt;"&amp;TODAY())+COUNTIFS(E489,"&gt;=36526",E489,"&lt;"&amp;TODAY())+COUNTIFS(F489,"&gt;=36526",F489,"&lt;"&amp;TODAY())&gt;0),1,0)</x:f>
        <x:v>0</x:v>
      </x:c>
      <x:c r="P489" t="n">
        <x:f>P488+IF(AND(A489&lt;&gt;"",COUNTIFS(C489,"&gt;=36526",C489,TODAY())+COUNTIFS(D489,"&gt;=36526",D489,TODAY())+COUNTIFS(E489,"&gt;=36526",E489,TODAY())+COUNTIFS(F489,"&gt;=36526",F489,TODAY())&gt;0),1,0)</x:f>
        <x:v>0</x:v>
      </x:c>
      <x:c r="Q489" t="n">
        <x:f>Q488+IF(AND(A489&lt;&gt;"",COUNTIFS(C489,"&gt;"&amp;TODAY(),C489,"&lt;="&amp;TODAY()+30)+COUNTIFS(D489,"&gt;"&amp;TODAY(),D489,"&lt;="&amp;TODAY()+30)+COUNTIFS(E489,"&gt;"&amp;TODAY(),E489,"&lt;="&amp;TODAY()+30)+COUNTIFS(F489,"&gt;"&amp;TODAY(),F489,"&lt;="&amp;TODAY()+30)&gt;0),1,0)</x:f>
        <x:v>0</x:v>
      </x:c>
      <x:c r="R489" t="n">
        <x:f>R488+IF(OR(LEFT(H489,15)="Missing dates; ",LEFT(H489,16)="Add N/A reason; ",H489="Add dates",H489="Add registration",H489="Check date format"),1,0)</x:f>
        <x:v>0</x:v>
      </x:c>
      <x:c r="S489" t="n">
        <x:f>S488+IF(COUNTIFS(C489:F489,"Reviewed N/A")&gt;0,1,0)</x:f>
        <x:v>0</x:v>
      </x:c>
    </x:row>
    <x:row r="490" ht="48" customHeight="1">
      <x:c r="A490" s="52"/>
      <x:c r="B490" s="52"/>
      <x:c r="C490" s="53"/>
      <x:c r="D490" s="53"/>
      <x:c r="E490" s="53"/>
      <x:c r="F490" s="53"/>
      <x:c r="G490" s="52"/>
      <x:c r="H490" s="21" t="str">
        <x:f>IF(COUNTA(A490:G490,I490)=0,"",IF(A490="","Add registration",IF(OR(COUNTA(C490:F490)&gt;COUNT(C490:F490)+COUNTIFS(C490:F490,"Reviewed N/A"),AND(COUNT(C490:F490)&gt;0,OR(MIN(C490:F490)&lt;36526,MAX(C490:F490)&gt;109574))),"Check date format",IF(AND(COUNTIFS(C490:F490,"Reviewed N/A")&gt;0,I490=""),"Add N/A reason; ","")&amp;IF(COUNT(C490:F490)=0,IF(COUNTIFS(C490:F490,"Reviewed N/A")=4,"No applicable dates recorded","Add dates"),IF(COUNT(C490:F490)+COUNTIFS(C490:F490,"Reviewed N/A")&lt;4,"Missing dates; ","")&amp;IF(MIN(C490:F490)&lt;TODAY(),"Overdue: ",IF(MIN(C490:F490)=TODAY(),"Due today: ",IF(MIN(C490:F490)&lt;=TODAY()+30,"Due within 30 days: ","Next: ")))&amp;INDEX($C$8:$F$8,1,MATCH(MIN(C490:F490),C490:F490,0))&amp;" "&amp;TEXT(MIN(C490:F490),"dd mmm yyyy")))))</x:f>
      </x:c>
      <x:c r="I490" s="52"/>
      <x:c r="J490" t="str">
        <x:f>IF(AND(A490&lt;&gt;"",COUNTIFS(C490,"&gt;=36526",C490,"&lt;"&amp;TODAY())+COUNTIFS(D490,"&gt;=36526",D490,"&lt;"&amp;TODAY())+COUNTIFS(E490,"&gt;=36526",E490,"&lt;"&amp;TODAY())+COUNTIFS(F490,"&gt;=36526",F490,"&lt;"&amp;TODAY())&gt;0),O490,"")</x:f>
      </x:c>
      <x:c r="K490" t="str">
        <x:f>IF(AND(A490&lt;&gt;"",COUNTIFS(C490,"&gt;=36526",C490,TODAY())+COUNTIFS(D490,"&gt;=36526",D490,TODAY())+COUNTIFS(E490,"&gt;=36526",E490,TODAY())+COUNTIFS(F490,"&gt;=36526",F490,TODAY())&gt;0),P490,"")</x:f>
      </x:c>
      <x:c r="L490" t="str">
        <x:f>IF(AND(A490&lt;&gt;"",COUNTIFS(C490,"&gt;"&amp;TODAY(),C490,"&lt;="&amp;TODAY()+30)+COUNTIFS(D490,"&gt;"&amp;TODAY(),D490,"&lt;="&amp;TODAY()+30)+COUNTIFS(E490,"&gt;"&amp;TODAY(),E490,"&lt;="&amp;TODAY()+30)+COUNTIFS(F490,"&gt;"&amp;TODAY(),F490,"&lt;="&amp;TODAY()+30)&gt;0),Q490,"")</x:f>
      </x:c>
      <x:c r="M490" t="str">
        <x:f>IF(OR(LEFT(H490,15)="Missing dates; ",LEFT(H490,16)="Add N/A reason; ",H490="Add dates",H490="Add registration",H490="Check date format"),R490,"")</x:f>
      </x:c>
      <x:c r="N490" t="str">
        <x:f>IF(COUNTIFS(C490:F490,"Reviewed N/A")&gt;0,S490,"")</x:f>
      </x:c>
      <x:c r="O490" t="n">
        <x:f>O489+IF(AND(A490&lt;&gt;"",COUNTIFS(C490,"&gt;=36526",C490,"&lt;"&amp;TODAY())+COUNTIFS(D490,"&gt;=36526",D490,"&lt;"&amp;TODAY())+COUNTIFS(E490,"&gt;=36526",E490,"&lt;"&amp;TODAY())+COUNTIFS(F490,"&gt;=36526",F490,"&lt;"&amp;TODAY())&gt;0),1,0)</x:f>
        <x:v>0</x:v>
      </x:c>
      <x:c r="P490" t="n">
        <x:f>P489+IF(AND(A490&lt;&gt;"",COUNTIFS(C490,"&gt;=36526",C490,TODAY())+COUNTIFS(D490,"&gt;=36526",D490,TODAY())+COUNTIFS(E490,"&gt;=36526",E490,TODAY())+COUNTIFS(F490,"&gt;=36526",F490,TODAY())&gt;0),1,0)</x:f>
        <x:v>0</x:v>
      </x:c>
      <x:c r="Q490" t="n">
        <x:f>Q489+IF(AND(A490&lt;&gt;"",COUNTIFS(C490,"&gt;"&amp;TODAY(),C490,"&lt;="&amp;TODAY()+30)+COUNTIFS(D490,"&gt;"&amp;TODAY(),D490,"&lt;="&amp;TODAY()+30)+COUNTIFS(E490,"&gt;"&amp;TODAY(),E490,"&lt;="&amp;TODAY()+30)+COUNTIFS(F490,"&gt;"&amp;TODAY(),F490,"&lt;="&amp;TODAY()+30)&gt;0),1,0)</x:f>
        <x:v>0</x:v>
      </x:c>
      <x:c r="R490" t="n">
        <x:f>R489+IF(OR(LEFT(H490,15)="Missing dates; ",LEFT(H490,16)="Add N/A reason; ",H490="Add dates",H490="Add registration",H490="Check date format"),1,0)</x:f>
        <x:v>0</x:v>
      </x:c>
      <x:c r="S490" t="n">
        <x:f>S489+IF(COUNTIFS(C490:F490,"Reviewed N/A")&gt;0,1,0)</x:f>
        <x:v>0</x:v>
      </x:c>
    </x:row>
    <x:row r="491" ht="48" customHeight="1">
      <x:c r="A491" s="52"/>
      <x:c r="B491" s="52"/>
      <x:c r="C491" s="53"/>
      <x:c r="D491" s="53"/>
      <x:c r="E491" s="53"/>
      <x:c r="F491" s="53"/>
      <x:c r="G491" s="52"/>
      <x:c r="H491" s="21" t="str">
        <x:f>IF(COUNTA(A491:G491,I491)=0,"",IF(A491="","Add registration",IF(OR(COUNTA(C491:F491)&gt;COUNT(C491:F491)+COUNTIFS(C491:F491,"Reviewed N/A"),AND(COUNT(C491:F491)&gt;0,OR(MIN(C491:F491)&lt;36526,MAX(C491:F491)&gt;109574))),"Check date format",IF(AND(COUNTIFS(C491:F491,"Reviewed N/A")&gt;0,I491=""),"Add N/A reason; ","")&amp;IF(COUNT(C491:F491)=0,IF(COUNTIFS(C491:F491,"Reviewed N/A")=4,"No applicable dates recorded","Add dates"),IF(COUNT(C491:F491)+COUNTIFS(C491:F491,"Reviewed N/A")&lt;4,"Missing dates; ","")&amp;IF(MIN(C491:F491)&lt;TODAY(),"Overdue: ",IF(MIN(C491:F491)=TODAY(),"Due today: ",IF(MIN(C491:F491)&lt;=TODAY()+30,"Due within 30 days: ","Next: ")))&amp;INDEX($C$8:$F$8,1,MATCH(MIN(C491:F491),C491:F491,0))&amp;" "&amp;TEXT(MIN(C491:F491),"dd mmm yyyy")))))</x:f>
      </x:c>
      <x:c r="I491" s="52"/>
      <x:c r="J491" t="str">
        <x:f>IF(AND(A491&lt;&gt;"",COUNTIFS(C491,"&gt;=36526",C491,"&lt;"&amp;TODAY())+COUNTIFS(D491,"&gt;=36526",D491,"&lt;"&amp;TODAY())+COUNTIFS(E491,"&gt;=36526",E491,"&lt;"&amp;TODAY())+COUNTIFS(F491,"&gt;=36526",F491,"&lt;"&amp;TODAY())&gt;0),O491,"")</x:f>
      </x:c>
      <x:c r="K491" t="str">
        <x:f>IF(AND(A491&lt;&gt;"",COUNTIFS(C491,"&gt;=36526",C491,TODAY())+COUNTIFS(D491,"&gt;=36526",D491,TODAY())+COUNTIFS(E491,"&gt;=36526",E491,TODAY())+COUNTIFS(F491,"&gt;=36526",F491,TODAY())&gt;0),P491,"")</x:f>
      </x:c>
      <x:c r="L491" t="str">
        <x:f>IF(AND(A491&lt;&gt;"",COUNTIFS(C491,"&gt;"&amp;TODAY(),C491,"&lt;="&amp;TODAY()+30)+COUNTIFS(D491,"&gt;"&amp;TODAY(),D491,"&lt;="&amp;TODAY()+30)+COUNTIFS(E491,"&gt;"&amp;TODAY(),E491,"&lt;="&amp;TODAY()+30)+COUNTIFS(F491,"&gt;"&amp;TODAY(),F491,"&lt;="&amp;TODAY()+30)&gt;0),Q491,"")</x:f>
      </x:c>
      <x:c r="M491" t="str">
        <x:f>IF(OR(LEFT(H491,15)="Missing dates; ",LEFT(H491,16)="Add N/A reason; ",H491="Add dates",H491="Add registration",H491="Check date format"),R491,"")</x:f>
      </x:c>
      <x:c r="N491" t="str">
        <x:f>IF(COUNTIFS(C491:F491,"Reviewed N/A")&gt;0,S491,"")</x:f>
      </x:c>
      <x:c r="O491" t="n">
        <x:f>O490+IF(AND(A491&lt;&gt;"",COUNTIFS(C491,"&gt;=36526",C491,"&lt;"&amp;TODAY())+COUNTIFS(D491,"&gt;=36526",D491,"&lt;"&amp;TODAY())+COUNTIFS(E491,"&gt;=36526",E491,"&lt;"&amp;TODAY())+COUNTIFS(F491,"&gt;=36526",F491,"&lt;"&amp;TODAY())&gt;0),1,0)</x:f>
        <x:v>0</x:v>
      </x:c>
      <x:c r="P491" t="n">
        <x:f>P490+IF(AND(A491&lt;&gt;"",COUNTIFS(C491,"&gt;=36526",C491,TODAY())+COUNTIFS(D491,"&gt;=36526",D491,TODAY())+COUNTIFS(E491,"&gt;=36526",E491,TODAY())+COUNTIFS(F491,"&gt;=36526",F491,TODAY())&gt;0),1,0)</x:f>
        <x:v>0</x:v>
      </x:c>
      <x:c r="Q491" t="n">
        <x:f>Q490+IF(AND(A491&lt;&gt;"",COUNTIFS(C491,"&gt;"&amp;TODAY(),C491,"&lt;="&amp;TODAY()+30)+COUNTIFS(D491,"&gt;"&amp;TODAY(),D491,"&lt;="&amp;TODAY()+30)+COUNTIFS(E491,"&gt;"&amp;TODAY(),E491,"&lt;="&amp;TODAY()+30)+COUNTIFS(F491,"&gt;"&amp;TODAY(),F491,"&lt;="&amp;TODAY()+30)&gt;0),1,0)</x:f>
        <x:v>0</x:v>
      </x:c>
      <x:c r="R491" t="n">
        <x:f>R490+IF(OR(LEFT(H491,15)="Missing dates; ",LEFT(H491,16)="Add N/A reason; ",H491="Add dates",H491="Add registration",H491="Check date format"),1,0)</x:f>
        <x:v>0</x:v>
      </x:c>
      <x:c r="S491" t="n">
        <x:f>S490+IF(COUNTIFS(C491:F491,"Reviewed N/A")&gt;0,1,0)</x:f>
        <x:v>0</x:v>
      </x:c>
    </x:row>
    <x:row r="492" ht="48" customHeight="1">
      <x:c r="A492" s="52"/>
      <x:c r="B492" s="52"/>
      <x:c r="C492" s="53"/>
      <x:c r="D492" s="53"/>
      <x:c r="E492" s="53"/>
      <x:c r="F492" s="53"/>
      <x:c r="G492" s="52"/>
      <x:c r="H492" s="21" t="str">
        <x:f>IF(COUNTA(A492:G492,I492)=0,"",IF(A492="","Add registration",IF(OR(COUNTA(C492:F492)&gt;COUNT(C492:F492)+COUNTIFS(C492:F492,"Reviewed N/A"),AND(COUNT(C492:F492)&gt;0,OR(MIN(C492:F492)&lt;36526,MAX(C492:F492)&gt;109574))),"Check date format",IF(AND(COUNTIFS(C492:F492,"Reviewed N/A")&gt;0,I492=""),"Add N/A reason; ","")&amp;IF(COUNT(C492:F492)=0,IF(COUNTIFS(C492:F492,"Reviewed N/A")=4,"No applicable dates recorded","Add dates"),IF(COUNT(C492:F492)+COUNTIFS(C492:F492,"Reviewed N/A")&lt;4,"Missing dates; ","")&amp;IF(MIN(C492:F492)&lt;TODAY(),"Overdue: ",IF(MIN(C492:F492)=TODAY(),"Due today: ",IF(MIN(C492:F492)&lt;=TODAY()+30,"Due within 30 days: ","Next: ")))&amp;INDEX($C$8:$F$8,1,MATCH(MIN(C492:F492),C492:F492,0))&amp;" "&amp;TEXT(MIN(C492:F492),"dd mmm yyyy")))))</x:f>
      </x:c>
      <x:c r="I492" s="52"/>
      <x:c r="J492" t="str">
        <x:f>IF(AND(A492&lt;&gt;"",COUNTIFS(C492,"&gt;=36526",C492,"&lt;"&amp;TODAY())+COUNTIFS(D492,"&gt;=36526",D492,"&lt;"&amp;TODAY())+COUNTIFS(E492,"&gt;=36526",E492,"&lt;"&amp;TODAY())+COUNTIFS(F492,"&gt;=36526",F492,"&lt;"&amp;TODAY())&gt;0),O492,"")</x:f>
      </x:c>
      <x:c r="K492" t="str">
        <x:f>IF(AND(A492&lt;&gt;"",COUNTIFS(C492,"&gt;=36526",C492,TODAY())+COUNTIFS(D492,"&gt;=36526",D492,TODAY())+COUNTIFS(E492,"&gt;=36526",E492,TODAY())+COUNTIFS(F492,"&gt;=36526",F492,TODAY())&gt;0),P492,"")</x:f>
      </x:c>
      <x:c r="L492" t="str">
        <x:f>IF(AND(A492&lt;&gt;"",COUNTIFS(C492,"&gt;"&amp;TODAY(),C492,"&lt;="&amp;TODAY()+30)+COUNTIFS(D492,"&gt;"&amp;TODAY(),D492,"&lt;="&amp;TODAY()+30)+COUNTIFS(E492,"&gt;"&amp;TODAY(),E492,"&lt;="&amp;TODAY()+30)+COUNTIFS(F492,"&gt;"&amp;TODAY(),F492,"&lt;="&amp;TODAY()+30)&gt;0),Q492,"")</x:f>
      </x:c>
      <x:c r="M492" t="str">
        <x:f>IF(OR(LEFT(H492,15)="Missing dates; ",LEFT(H492,16)="Add N/A reason; ",H492="Add dates",H492="Add registration",H492="Check date format"),R492,"")</x:f>
      </x:c>
      <x:c r="N492" t="str">
        <x:f>IF(COUNTIFS(C492:F492,"Reviewed N/A")&gt;0,S492,"")</x:f>
      </x:c>
      <x:c r="O492" t="n">
        <x:f>O491+IF(AND(A492&lt;&gt;"",COUNTIFS(C492,"&gt;=36526",C492,"&lt;"&amp;TODAY())+COUNTIFS(D492,"&gt;=36526",D492,"&lt;"&amp;TODAY())+COUNTIFS(E492,"&gt;=36526",E492,"&lt;"&amp;TODAY())+COUNTIFS(F492,"&gt;=36526",F492,"&lt;"&amp;TODAY())&gt;0),1,0)</x:f>
        <x:v>0</x:v>
      </x:c>
      <x:c r="P492" t="n">
        <x:f>P491+IF(AND(A492&lt;&gt;"",COUNTIFS(C492,"&gt;=36526",C492,TODAY())+COUNTIFS(D492,"&gt;=36526",D492,TODAY())+COUNTIFS(E492,"&gt;=36526",E492,TODAY())+COUNTIFS(F492,"&gt;=36526",F492,TODAY())&gt;0),1,0)</x:f>
        <x:v>0</x:v>
      </x:c>
      <x:c r="Q492" t="n">
        <x:f>Q491+IF(AND(A492&lt;&gt;"",COUNTIFS(C492,"&gt;"&amp;TODAY(),C492,"&lt;="&amp;TODAY()+30)+COUNTIFS(D492,"&gt;"&amp;TODAY(),D492,"&lt;="&amp;TODAY()+30)+COUNTIFS(E492,"&gt;"&amp;TODAY(),E492,"&lt;="&amp;TODAY()+30)+COUNTIFS(F492,"&gt;"&amp;TODAY(),F492,"&lt;="&amp;TODAY()+30)&gt;0),1,0)</x:f>
        <x:v>0</x:v>
      </x:c>
      <x:c r="R492" t="n">
        <x:f>R491+IF(OR(LEFT(H492,15)="Missing dates; ",LEFT(H492,16)="Add N/A reason; ",H492="Add dates",H492="Add registration",H492="Check date format"),1,0)</x:f>
        <x:v>0</x:v>
      </x:c>
      <x:c r="S492" t="n">
        <x:f>S491+IF(COUNTIFS(C492:F492,"Reviewed N/A")&gt;0,1,0)</x:f>
        <x:v>0</x:v>
      </x:c>
    </x:row>
    <x:row r="493" ht="48" customHeight="1">
      <x:c r="A493" s="52"/>
      <x:c r="B493" s="52"/>
      <x:c r="C493" s="53"/>
      <x:c r="D493" s="53"/>
      <x:c r="E493" s="53"/>
      <x:c r="F493" s="53"/>
      <x:c r="G493" s="52"/>
      <x:c r="H493" s="21" t="str">
        <x:f>IF(COUNTA(A493:G493,I493)=0,"",IF(A493="","Add registration",IF(OR(COUNTA(C493:F493)&gt;COUNT(C493:F493)+COUNTIFS(C493:F493,"Reviewed N/A"),AND(COUNT(C493:F493)&gt;0,OR(MIN(C493:F493)&lt;36526,MAX(C493:F493)&gt;109574))),"Check date format",IF(AND(COUNTIFS(C493:F493,"Reviewed N/A")&gt;0,I493=""),"Add N/A reason; ","")&amp;IF(COUNT(C493:F493)=0,IF(COUNTIFS(C493:F493,"Reviewed N/A")=4,"No applicable dates recorded","Add dates"),IF(COUNT(C493:F493)+COUNTIFS(C493:F493,"Reviewed N/A")&lt;4,"Missing dates; ","")&amp;IF(MIN(C493:F493)&lt;TODAY(),"Overdue: ",IF(MIN(C493:F493)=TODAY(),"Due today: ",IF(MIN(C493:F493)&lt;=TODAY()+30,"Due within 30 days: ","Next: ")))&amp;INDEX($C$8:$F$8,1,MATCH(MIN(C493:F493),C493:F493,0))&amp;" "&amp;TEXT(MIN(C493:F493),"dd mmm yyyy")))))</x:f>
      </x:c>
      <x:c r="I493" s="52"/>
      <x:c r="J493" t="str">
        <x:f>IF(AND(A493&lt;&gt;"",COUNTIFS(C493,"&gt;=36526",C493,"&lt;"&amp;TODAY())+COUNTIFS(D493,"&gt;=36526",D493,"&lt;"&amp;TODAY())+COUNTIFS(E493,"&gt;=36526",E493,"&lt;"&amp;TODAY())+COUNTIFS(F493,"&gt;=36526",F493,"&lt;"&amp;TODAY())&gt;0),O493,"")</x:f>
      </x:c>
      <x:c r="K493" t="str">
        <x:f>IF(AND(A493&lt;&gt;"",COUNTIFS(C493,"&gt;=36526",C493,TODAY())+COUNTIFS(D493,"&gt;=36526",D493,TODAY())+COUNTIFS(E493,"&gt;=36526",E493,TODAY())+COUNTIFS(F493,"&gt;=36526",F493,TODAY())&gt;0),P493,"")</x:f>
      </x:c>
      <x:c r="L493" t="str">
        <x:f>IF(AND(A493&lt;&gt;"",COUNTIFS(C493,"&gt;"&amp;TODAY(),C493,"&lt;="&amp;TODAY()+30)+COUNTIFS(D493,"&gt;"&amp;TODAY(),D493,"&lt;="&amp;TODAY()+30)+COUNTIFS(E493,"&gt;"&amp;TODAY(),E493,"&lt;="&amp;TODAY()+30)+COUNTIFS(F493,"&gt;"&amp;TODAY(),F493,"&lt;="&amp;TODAY()+30)&gt;0),Q493,"")</x:f>
      </x:c>
      <x:c r="M493" t="str">
        <x:f>IF(OR(LEFT(H493,15)="Missing dates; ",LEFT(H493,16)="Add N/A reason; ",H493="Add dates",H493="Add registration",H493="Check date format"),R493,"")</x:f>
      </x:c>
      <x:c r="N493" t="str">
        <x:f>IF(COUNTIFS(C493:F493,"Reviewed N/A")&gt;0,S493,"")</x:f>
      </x:c>
      <x:c r="O493" t="n">
        <x:f>O492+IF(AND(A493&lt;&gt;"",COUNTIFS(C493,"&gt;=36526",C493,"&lt;"&amp;TODAY())+COUNTIFS(D493,"&gt;=36526",D493,"&lt;"&amp;TODAY())+COUNTIFS(E493,"&gt;=36526",E493,"&lt;"&amp;TODAY())+COUNTIFS(F493,"&gt;=36526",F493,"&lt;"&amp;TODAY())&gt;0),1,0)</x:f>
        <x:v>0</x:v>
      </x:c>
      <x:c r="P493" t="n">
        <x:f>P492+IF(AND(A493&lt;&gt;"",COUNTIFS(C493,"&gt;=36526",C493,TODAY())+COUNTIFS(D493,"&gt;=36526",D493,TODAY())+COUNTIFS(E493,"&gt;=36526",E493,TODAY())+COUNTIFS(F493,"&gt;=36526",F493,TODAY())&gt;0),1,0)</x:f>
        <x:v>0</x:v>
      </x:c>
      <x:c r="Q493" t="n">
        <x:f>Q492+IF(AND(A493&lt;&gt;"",COUNTIFS(C493,"&gt;"&amp;TODAY(),C493,"&lt;="&amp;TODAY()+30)+COUNTIFS(D493,"&gt;"&amp;TODAY(),D493,"&lt;="&amp;TODAY()+30)+COUNTIFS(E493,"&gt;"&amp;TODAY(),E493,"&lt;="&amp;TODAY()+30)+COUNTIFS(F493,"&gt;"&amp;TODAY(),F493,"&lt;="&amp;TODAY()+30)&gt;0),1,0)</x:f>
        <x:v>0</x:v>
      </x:c>
      <x:c r="R493" t="n">
        <x:f>R492+IF(OR(LEFT(H493,15)="Missing dates; ",LEFT(H493,16)="Add N/A reason; ",H493="Add dates",H493="Add registration",H493="Check date format"),1,0)</x:f>
        <x:v>0</x:v>
      </x:c>
      <x:c r="S493" t="n">
        <x:f>S492+IF(COUNTIFS(C493:F493,"Reviewed N/A")&gt;0,1,0)</x:f>
        <x:v>0</x:v>
      </x:c>
    </x:row>
    <x:row r="494" ht="48" customHeight="1">
      <x:c r="A494" s="52"/>
      <x:c r="B494" s="52"/>
      <x:c r="C494" s="53"/>
      <x:c r="D494" s="53"/>
      <x:c r="E494" s="53"/>
      <x:c r="F494" s="53"/>
      <x:c r="G494" s="52"/>
      <x:c r="H494" s="21" t="str">
        <x:f>IF(COUNTA(A494:G494,I494)=0,"",IF(A494="","Add registration",IF(OR(COUNTA(C494:F494)&gt;COUNT(C494:F494)+COUNTIFS(C494:F494,"Reviewed N/A"),AND(COUNT(C494:F494)&gt;0,OR(MIN(C494:F494)&lt;36526,MAX(C494:F494)&gt;109574))),"Check date format",IF(AND(COUNTIFS(C494:F494,"Reviewed N/A")&gt;0,I494=""),"Add N/A reason; ","")&amp;IF(COUNT(C494:F494)=0,IF(COUNTIFS(C494:F494,"Reviewed N/A")=4,"No applicable dates recorded","Add dates"),IF(COUNT(C494:F494)+COUNTIFS(C494:F494,"Reviewed N/A")&lt;4,"Missing dates; ","")&amp;IF(MIN(C494:F494)&lt;TODAY(),"Overdue: ",IF(MIN(C494:F494)=TODAY(),"Due today: ",IF(MIN(C494:F494)&lt;=TODAY()+30,"Due within 30 days: ","Next: ")))&amp;INDEX($C$8:$F$8,1,MATCH(MIN(C494:F494),C494:F494,0))&amp;" "&amp;TEXT(MIN(C494:F494),"dd mmm yyyy")))))</x:f>
      </x:c>
      <x:c r="I494" s="52"/>
      <x:c r="J494" t="str">
        <x:f>IF(AND(A494&lt;&gt;"",COUNTIFS(C494,"&gt;=36526",C494,"&lt;"&amp;TODAY())+COUNTIFS(D494,"&gt;=36526",D494,"&lt;"&amp;TODAY())+COUNTIFS(E494,"&gt;=36526",E494,"&lt;"&amp;TODAY())+COUNTIFS(F494,"&gt;=36526",F494,"&lt;"&amp;TODAY())&gt;0),O494,"")</x:f>
      </x:c>
      <x:c r="K494" t="str">
        <x:f>IF(AND(A494&lt;&gt;"",COUNTIFS(C494,"&gt;=36526",C494,TODAY())+COUNTIFS(D494,"&gt;=36526",D494,TODAY())+COUNTIFS(E494,"&gt;=36526",E494,TODAY())+COUNTIFS(F494,"&gt;=36526",F494,TODAY())&gt;0),P494,"")</x:f>
      </x:c>
      <x:c r="L494" t="str">
        <x:f>IF(AND(A494&lt;&gt;"",COUNTIFS(C494,"&gt;"&amp;TODAY(),C494,"&lt;="&amp;TODAY()+30)+COUNTIFS(D494,"&gt;"&amp;TODAY(),D494,"&lt;="&amp;TODAY()+30)+COUNTIFS(E494,"&gt;"&amp;TODAY(),E494,"&lt;="&amp;TODAY()+30)+COUNTIFS(F494,"&gt;"&amp;TODAY(),F494,"&lt;="&amp;TODAY()+30)&gt;0),Q494,"")</x:f>
      </x:c>
      <x:c r="M494" t="str">
        <x:f>IF(OR(LEFT(H494,15)="Missing dates; ",LEFT(H494,16)="Add N/A reason; ",H494="Add dates",H494="Add registration",H494="Check date format"),R494,"")</x:f>
      </x:c>
      <x:c r="N494" t="str">
        <x:f>IF(COUNTIFS(C494:F494,"Reviewed N/A")&gt;0,S494,"")</x:f>
      </x:c>
      <x:c r="O494" t="n">
        <x:f>O493+IF(AND(A494&lt;&gt;"",COUNTIFS(C494,"&gt;=36526",C494,"&lt;"&amp;TODAY())+COUNTIFS(D494,"&gt;=36526",D494,"&lt;"&amp;TODAY())+COUNTIFS(E494,"&gt;=36526",E494,"&lt;"&amp;TODAY())+COUNTIFS(F494,"&gt;=36526",F494,"&lt;"&amp;TODAY())&gt;0),1,0)</x:f>
        <x:v>0</x:v>
      </x:c>
      <x:c r="P494" t="n">
        <x:f>P493+IF(AND(A494&lt;&gt;"",COUNTIFS(C494,"&gt;=36526",C494,TODAY())+COUNTIFS(D494,"&gt;=36526",D494,TODAY())+COUNTIFS(E494,"&gt;=36526",E494,TODAY())+COUNTIFS(F494,"&gt;=36526",F494,TODAY())&gt;0),1,0)</x:f>
        <x:v>0</x:v>
      </x:c>
      <x:c r="Q494" t="n">
        <x:f>Q493+IF(AND(A494&lt;&gt;"",COUNTIFS(C494,"&gt;"&amp;TODAY(),C494,"&lt;="&amp;TODAY()+30)+COUNTIFS(D494,"&gt;"&amp;TODAY(),D494,"&lt;="&amp;TODAY()+30)+COUNTIFS(E494,"&gt;"&amp;TODAY(),E494,"&lt;="&amp;TODAY()+30)+COUNTIFS(F494,"&gt;"&amp;TODAY(),F494,"&lt;="&amp;TODAY()+30)&gt;0),1,0)</x:f>
        <x:v>0</x:v>
      </x:c>
      <x:c r="R494" t="n">
        <x:f>R493+IF(OR(LEFT(H494,15)="Missing dates; ",LEFT(H494,16)="Add N/A reason; ",H494="Add dates",H494="Add registration",H494="Check date format"),1,0)</x:f>
        <x:v>0</x:v>
      </x:c>
      <x:c r="S494" t="n">
        <x:f>S493+IF(COUNTIFS(C494:F494,"Reviewed N/A")&gt;0,1,0)</x:f>
        <x:v>0</x:v>
      </x:c>
    </x:row>
    <x:row r="495" ht="48" customHeight="1">
      <x:c r="A495" s="52"/>
      <x:c r="B495" s="52"/>
      <x:c r="C495" s="53"/>
      <x:c r="D495" s="53"/>
      <x:c r="E495" s="53"/>
      <x:c r="F495" s="53"/>
      <x:c r="G495" s="52"/>
      <x:c r="H495" s="21" t="str">
        <x:f>IF(COUNTA(A495:G495,I495)=0,"",IF(A495="","Add registration",IF(OR(COUNTA(C495:F495)&gt;COUNT(C495:F495)+COUNTIFS(C495:F495,"Reviewed N/A"),AND(COUNT(C495:F495)&gt;0,OR(MIN(C495:F495)&lt;36526,MAX(C495:F495)&gt;109574))),"Check date format",IF(AND(COUNTIFS(C495:F495,"Reviewed N/A")&gt;0,I495=""),"Add N/A reason; ","")&amp;IF(COUNT(C495:F495)=0,IF(COUNTIFS(C495:F495,"Reviewed N/A")=4,"No applicable dates recorded","Add dates"),IF(COUNT(C495:F495)+COUNTIFS(C495:F495,"Reviewed N/A")&lt;4,"Missing dates; ","")&amp;IF(MIN(C495:F495)&lt;TODAY(),"Overdue: ",IF(MIN(C495:F495)=TODAY(),"Due today: ",IF(MIN(C495:F495)&lt;=TODAY()+30,"Due within 30 days: ","Next: ")))&amp;INDEX($C$8:$F$8,1,MATCH(MIN(C495:F495),C495:F495,0))&amp;" "&amp;TEXT(MIN(C495:F495),"dd mmm yyyy")))))</x:f>
      </x:c>
      <x:c r="I495" s="52"/>
      <x:c r="J495" t="str">
        <x:f>IF(AND(A495&lt;&gt;"",COUNTIFS(C495,"&gt;=36526",C495,"&lt;"&amp;TODAY())+COUNTIFS(D495,"&gt;=36526",D495,"&lt;"&amp;TODAY())+COUNTIFS(E495,"&gt;=36526",E495,"&lt;"&amp;TODAY())+COUNTIFS(F495,"&gt;=36526",F495,"&lt;"&amp;TODAY())&gt;0),O495,"")</x:f>
      </x:c>
      <x:c r="K495" t="str">
        <x:f>IF(AND(A495&lt;&gt;"",COUNTIFS(C495,"&gt;=36526",C495,TODAY())+COUNTIFS(D495,"&gt;=36526",D495,TODAY())+COUNTIFS(E495,"&gt;=36526",E495,TODAY())+COUNTIFS(F495,"&gt;=36526",F495,TODAY())&gt;0),P495,"")</x:f>
      </x:c>
      <x:c r="L495" t="str">
        <x:f>IF(AND(A495&lt;&gt;"",COUNTIFS(C495,"&gt;"&amp;TODAY(),C495,"&lt;="&amp;TODAY()+30)+COUNTIFS(D495,"&gt;"&amp;TODAY(),D495,"&lt;="&amp;TODAY()+30)+COUNTIFS(E495,"&gt;"&amp;TODAY(),E495,"&lt;="&amp;TODAY()+30)+COUNTIFS(F495,"&gt;"&amp;TODAY(),F495,"&lt;="&amp;TODAY()+30)&gt;0),Q495,"")</x:f>
      </x:c>
      <x:c r="M495" t="str">
        <x:f>IF(OR(LEFT(H495,15)="Missing dates; ",LEFT(H495,16)="Add N/A reason; ",H495="Add dates",H495="Add registration",H495="Check date format"),R495,"")</x:f>
      </x:c>
      <x:c r="N495" t="str">
        <x:f>IF(COUNTIFS(C495:F495,"Reviewed N/A")&gt;0,S495,"")</x:f>
      </x:c>
      <x:c r="O495" t="n">
        <x:f>O494+IF(AND(A495&lt;&gt;"",COUNTIFS(C495,"&gt;=36526",C495,"&lt;"&amp;TODAY())+COUNTIFS(D495,"&gt;=36526",D495,"&lt;"&amp;TODAY())+COUNTIFS(E495,"&gt;=36526",E495,"&lt;"&amp;TODAY())+COUNTIFS(F495,"&gt;=36526",F495,"&lt;"&amp;TODAY())&gt;0),1,0)</x:f>
        <x:v>0</x:v>
      </x:c>
      <x:c r="P495" t="n">
        <x:f>P494+IF(AND(A495&lt;&gt;"",COUNTIFS(C495,"&gt;=36526",C495,TODAY())+COUNTIFS(D495,"&gt;=36526",D495,TODAY())+COUNTIFS(E495,"&gt;=36526",E495,TODAY())+COUNTIFS(F495,"&gt;=36526",F495,TODAY())&gt;0),1,0)</x:f>
        <x:v>0</x:v>
      </x:c>
      <x:c r="Q495" t="n">
        <x:f>Q494+IF(AND(A495&lt;&gt;"",COUNTIFS(C495,"&gt;"&amp;TODAY(),C495,"&lt;="&amp;TODAY()+30)+COUNTIFS(D495,"&gt;"&amp;TODAY(),D495,"&lt;="&amp;TODAY()+30)+COUNTIFS(E495,"&gt;"&amp;TODAY(),E495,"&lt;="&amp;TODAY()+30)+COUNTIFS(F495,"&gt;"&amp;TODAY(),F495,"&lt;="&amp;TODAY()+30)&gt;0),1,0)</x:f>
        <x:v>0</x:v>
      </x:c>
      <x:c r="R495" t="n">
        <x:f>R494+IF(OR(LEFT(H495,15)="Missing dates; ",LEFT(H495,16)="Add N/A reason; ",H495="Add dates",H495="Add registration",H495="Check date format"),1,0)</x:f>
        <x:v>0</x:v>
      </x:c>
      <x:c r="S495" t="n">
        <x:f>S494+IF(COUNTIFS(C495:F495,"Reviewed N/A")&gt;0,1,0)</x:f>
        <x:v>0</x:v>
      </x:c>
    </x:row>
    <x:row r="496" ht="48" customHeight="1">
      <x:c r="A496" s="52"/>
      <x:c r="B496" s="52"/>
      <x:c r="C496" s="53"/>
      <x:c r="D496" s="53"/>
      <x:c r="E496" s="53"/>
      <x:c r="F496" s="53"/>
      <x:c r="G496" s="52"/>
      <x:c r="H496" s="21" t="str">
        <x:f>IF(COUNTA(A496:G496,I496)=0,"",IF(A496="","Add registration",IF(OR(COUNTA(C496:F496)&gt;COUNT(C496:F496)+COUNTIFS(C496:F496,"Reviewed N/A"),AND(COUNT(C496:F496)&gt;0,OR(MIN(C496:F496)&lt;36526,MAX(C496:F496)&gt;109574))),"Check date format",IF(AND(COUNTIFS(C496:F496,"Reviewed N/A")&gt;0,I496=""),"Add N/A reason; ","")&amp;IF(COUNT(C496:F496)=0,IF(COUNTIFS(C496:F496,"Reviewed N/A")=4,"No applicable dates recorded","Add dates"),IF(COUNT(C496:F496)+COUNTIFS(C496:F496,"Reviewed N/A")&lt;4,"Missing dates; ","")&amp;IF(MIN(C496:F496)&lt;TODAY(),"Overdue: ",IF(MIN(C496:F496)=TODAY(),"Due today: ",IF(MIN(C496:F496)&lt;=TODAY()+30,"Due within 30 days: ","Next: ")))&amp;INDEX($C$8:$F$8,1,MATCH(MIN(C496:F496),C496:F496,0))&amp;" "&amp;TEXT(MIN(C496:F496),"dd mmm yyyy")))))</x:f>
      </x:c>
      <x:c r="I496" s="52"/>
      <x:c r="J496" t="str">
        <x:f>IF(AND(A496&lt;&gt;"",COUNTIFS(C496,"&gt;=36526",C496,"&lt;"&amp;TODAY())+COUNTIFS(D496,"&gt;=36526",D496,"&lt;"&amp;TODAY())+COUNTIFS(E496,"&gt;=36526",E496,"&lt;"&amp;TODAY())+COUNTIFS(F496,"&gt;=36526",F496,"&lt;"&amp;TODAY())&gt;0),O496,"")</x:f>
      </x:c>
      <x:c r="K496" t="str">
        <x:f>IF(AND(A496&lt;&gt;"",COUNTIFS(C496,"&gt;=36526",C496,TODAY())+COUNTIFS(D496,"&gt;=36526",D496,TODAY())+COUNTIFS(E496,"&gt;=36526",E496,TODAY())+COUNTIFS(F496,"&gt;=36526",F496,TODAY())&gt;0),P496,"")</x:f>
      </x:c>
      <x:c r="L496" t="str">
        <x:f>IF(AND(A496&lt;&gt;"",COUNTIFS(C496,"&gt;"&amp;TODAY(),C496,"&lt;="&amp;TODAY()+30)+COUNTIFS(D496,"&gt;"&amp;TODAY(),D496,"&lt;="&amp;TODAY()+30)+COUNTIFS(E496,"&gt;"&amp;TODAY(),E496,"&lt;="&amp;TODAY()+30)+COUNTIFS(F496,"&gt;"&amp;TODAY(),F496,"&lt;="&amp;TODAY()+30)&gt;0),Q496,"")</x:f>
      </x:c>
      <x:c r="M496" t="str">
        <x:f>IF(OR(LEFT(H496,15)="Missing dates; ",LEFT(H496,16)="Add N/A reason; ",H496="Add dates",H496="Add registration",H496="Check date format"),R496,"")</x:f>
      </x:c>
      <x:c r="N496" t="str">
        <x:f>IF(COUNTIFS(C496:F496,"Reviewed N/A")&gt;0,S496,"")</x:f>
      </x:c>
      <x:c r="O496" t="n">
        <x:f>O495+IF(AND(A496&lt;&gt;"",COUNTIFS(C496,"&gt;=36526",C496,"&lt;"&amp;TODAY())+COUNTIFS(D496,"&gt;=36526",D496,"&lt;"&amp;TODAY())+COUNTIFS(E496,"&gt;=36526",E496,"&lt;"&amp;TODAY())+COUNTIFS(F496,"&gt;=36526",F496,"&lt;"&amp;TODAY())&gt;0),1,0)</x:f>
        <x:v>0</x:v>
      </x:c>
      <x:c r="P496" t="n">
        <x:f>P495+IF(AND(A496&lt;&gt;"",COUNTIFS(C496,"&gt;=36526",C496,TODAY())+COUNTIFS(D496,"&gt;=36526",D496,TODAY())+COUNTIFS(E496,"&gt;=36526",E496,TODAY())+COUNTIFS(F496,"&gt;=36526",F496,TODAY())&gt;0),1,0)</x:f>
        <x:v>0</x:v>
      </x:c>
      <x:c r="Q496" t="n">
        <x:f>Q495+IF(AND(A496&lt;&gt;"",COUNTIFS(C496,"&gt;"&amp;TODAY(),C496,"&lt;="&amp;TODAY()+30)+COUNTIFS(D496,"&gt;"&amp;TODAY(),D496,"&lt;="&amp;TODAY()+30)+COUNTIFS(E496,"&gt;"&amp;TODAY(),E496,"&lt;="&amp;TODAY()+30)+COUNTIFS(F496,"&gt;"&amp;TODAY(),F496,"&lt;="&amp;TODAY()+30)&gt;0),1,0)</x:f>
        <x:v>0</x:v>
      </x:c>
      <x:c r="R496" t="n">
        <x:f>R495+IF(OR(LEFT(H496,15)="Missing dates; ",LEFT(H496,16)="Add N/A reason; ",H496="Add dates",H496="Add registration",H496="Check date format"),1,0)</x:f>
        <x:v>0</x:v>
      </x:c>
      <x:c r="S496" t="n">
        <x:f>S495+IF(COUNTIFS(C496:F496,"Reviewed N/A")&gt;0,1,0)</x:f>
        <x:v>0</x:v>
      </x:c>
    </x:row>
    <x:row r="497" ht="48" customHeight="1">
      <x:c r="A497" s="52"/>
      <x:c r="B497" s="52"/>
      <x:c r="C497" s="53"/>
      <x:c r="D497" s="53"/>
      <x:c r="E497" s="53"/>
      <x:c r="F497" s="53"/>
      <x:c r="G497" s="52"/>
      <x:c r="H497" s="21" t="str">
        <x:f>IF(COUNTA(A497:G497,I497)=0,"",IF(A497="","Add registration",IF(OR(COUNTA(C497:F497)&gt;COUNT(C497:F497)+COUNTIFS(C497:F497,"Reviewed N/A"),AND(COUNT(C497:F497)&gt;0,OR(MIN(C497:F497)&lt;36526,MAX(C497:F497)&gt;109574))),"Check date format",IF(AND(COUNTIFS(C497:F497,"Reviewed N/A")&gt;0,I497=""),"Add N/A reason; ","")&amp;IF(COUNT(C497:F497)=0,IF(COUNTIFS(C497:F497,"Reviewed N/A")=4,"No applicable dates recorded","Add dates"),IF(COUNT(C497:F497)+COUNTIFS(C497:F497,"Reviewed N/A")&lt;4,"Missing dates; ","")&amp;IF(MIN(C497:F497)&lt;TODAY(),"Overdue: ",IF(MIN(C497:F497)=TODAY(),"Due today: ",IF(MIN(C497:F497)&lt;=TODAY()+30,"Due within 30 days: ","Next: ")))&amp;INDEX($C$8:$F$8,1,MATCH(MIN(C497:F497),C497:F497,0))&amp;" "&amp;TEXT(MIN(C497:F497),"dd mmm yyyy")))))</x:f>
      </x:c>
      <x:c r="I497" s="52"/>
      <x:c r="J497" t="str">
        <x:f>IF(AND(A497&lt;&gt;"",COUNTIFS(C497,"&gt;=36526",C497,"&lt;"&amp;TODAY())+COUNTIFS(D497,"&gt;=36526",D497,"&lt;"&amp;TODAY())+COUNTIFS(E497,"&gt;=36526",E497,"&lt;"&amp;TODAY())+COUNTIFS(F497,"&gt;=36526",F497,"&lt;"&amp;TODAY())&gt;0),O497,"")</x:f>
      </x:c>
      <x:c r="K497" t="str">
        <x:f>IF(AND(A497&lt;&gt;"",COUNTIFS(C497,"&gt;=36526",C497,TODAY())+COUNTIFS(D497,"&gt;=36526",D497,TODAY())+COUNTIFS(E497,"&gt;=36526",E497,TODAY())+COUNTIFS(F497,"&gt;=36526",F497,TODAY())&gt;0),P497,"")</x:f>
      </x:c>
      <x:c r="L497" t="str">
        <x:f>IF(AND(A497&lt;&gt;"",COUNTIFS(C497,"&gt;"&amp;TODAY(),C497,"&lt;="&amp;TODAY()+30)+COUNTIFS(D497,"&gt;"&amp;TODAY(),D497,"&lt;="&amp;TODAY()+30)+COUNTIFS(E497,"&gt;"&amp;TODAY(),E497,"&lt;="&amp;TODAY()+30)+COUNTIFS(F497,"&gt;"&amp;TODAY(),F497,"&lt;="&amp;TODAY()+30)&gt;0),Q497,"")</x:f>
      </x:c>
      <x:c r="M497" t="str">
        <x:f>IF(OR(LEFT(H497,15)="Missing dates; ",LEFT(H497,16)="Add N/A reason; ",H497="Add dates",H497="Add registration",H497="Check date format"),R497,"")</x:f>
      </x:c>
      <x:c r="N497" t="str">
        <x:f>IF(COUNTIFS(C497:F497,"Reviewed N/A")&gt;0,S497,"")</x:f>
      </x:c>
      <x:c r="O497" t="n">
        <x:f>O496+IF(AND(A497&lt;&gt;"",COUNTIFS(C497,"&gt;=36526",C497,"&lt;"&amp;TODAY())+COUNTIFS(D497,"&gt;=36526",D497,"&lt;"&amp;TODAY())+COUNTIFS(E497,"&gt;=36526",E497,"&lt;"&amp;TODAY())+COUNTIFS(F497,"&gt;=36526",F497,"&lt;"&amp;TODAY())&gt;0),1,0)</x:f>
        <x:v>0</x:v>
      </x:c>
      <x:c r="P497" t="n">
        <x:f>P496+IF(AND(A497&lt;&gt;"",COUNTIFS(C497,"&gt;=36526",C497,TODAY())+COUNTIFS(D497,"&gt;=36526",D497,TODAY())+COUNTIFS(E497,"&gt;=36526",E497,TODAY())+COUNTIFS(F497,"&gt;=36526",F497,TODAY())&gt;0),1,0)</x:f>
        <x:v>0</x:v>
      </x:c>
      <x:c r="Q497" t="n">
        <x:f>Q496+IF(AND(A497&lt;&gt;"",COUNTIFS(C497,"&gt;"&amp;TODAY(),C497,"&lt;="&amp;TODAY()+30)+COUNTIFS(D497,"&gt;"&amp;TODAY(),D497,"&lt;="&amp;TODAY()+30)+COUNTIFS(E497,"&gt;"&amp;TODAY(),E497,"&lt;="&amp;TODAY()+30)+COUNTIFS(F497,"&gt;"&amp;TODAY(),F497,"&lt;="&amp;TODAY()+30)&gt;0),1,0)</x:f>
        <x:v>0</x:v>
      </x:c>
      <x:c r="R497" t="n">
        <x:f>R496+IF(OR(LEFT(H497,15)="Missing dates; ",LEFT(H497,16)="Add N/A reason; ",H497="Add dates",H497="Add registration",H497="Check date format"),1,0)</x:f>
        <x:v>0</x:v>
      </x:c>
      <x:c r="S497" t="n">
        <x:f>S496+IF(COUNTIFS(C497:F497,"Reviewed N/A")&gt;0,1,0)</x:f>
        <x:v>0</x:v>
      </x:c>
    </x:row>
    <x:row r="498" ht="48" customHeight="1">
      <x:c r="A498" s="52"/>
      <x:c r="B498" s="52"/>
      <x:c r="C498" s="53"/>
      <x:c r="D498" s="53"/>
      <x:c r="E498" s="53"/>
      <x:c r="F498" s="53"/>
      <x:c r="G498" s="52"/>
      <x:c r="H498" s="21" t="str">
        <x:f>IF(COUNTA(A498:G498,I498)=0,"",IF(A498="","Add registration",IF(OR(COUNTA(C498:F498)&gt;COUNT(C498:F498)+COUNTIFS(C498:F498,"Reviewed N/A"),AND(COUNT(C498:F498)&gt;0,OR(MIN(C498:F498)&lt;36526,MAX(C498:F498)&gt;109574))),"Check date format",IF(AND(COUNTIFS(C498:F498,"Reviewed N/A")&gt;0,I498=""),"Add N/A reason; ","")&amp;IF(COUNT(C498:F498)=0,IF(COUNTIFS(C498:F498,"Reviewed N/A")=4,"No applicable dates recorded","Add dates"),IF(COUNT(C498:F498)+COUNTIFS(C498:F498,"Reviewed N/A")&lt;4,"Missing dates; ","")&amp;IF(MIN(C498:F498)&lt;TODAY(),"Overdue: ",IF(MIN(C498:F498)=TODAY(),"Due today: ",IF(MIN(C498:F498)&lt;=TODAY()+30,"Due within 30 days: ","Next: ")))&amp;INDEX($C$8:$F$8,1,MATCH(MIN(C498:F498),C498:F498,0))&amp;" "&amp;TEXT(MIN(C498:F498),"dd mmm yyyy")))))</x:f>
      </x:c>
      <x:c r="I498" s="52"/>
      <x:c r="J498" t="str">
        <x:f>IF(AND(A498&lt;&gt;"",COUNTIFS(C498,"&gt;=36526",C498,"&lt;"&amp;TODAY())+COUNTIFS(D498,"&gt;=36526",D498,"&lt;"&amp;TODAY())+COUNTIFS(E498,"&gt;=36526",E498,"&lt;"&amp;TODAY())+COUNTIFS(F498,"&gt;=36526",F498,"&lt;"&amp;TODAY())&gt;0),O498,"")</x:f>
      </x:c>
      <x:c r="K498" t="str">
        <x:f>IF(AND(A498&lt;&gt;"",COUNTIFS(C498,"&gt;=36526",C498,TODAY())+COUNTIFS(D498,"&gt;=36526",D498,TODAY())+COUNTIFS(E498,"&gt;=36526",E498,TODAY())+COUNTIFS(F498,"&gt;=36526",F498,TODAY())&gt;0),P498,"")</x:f>
      </x:c>
      <x:c r="L498" t="str">
        <x:f>IF(AND(A498&lt;&gt;"",COUNTIFS(C498,"&gt;"&amp;TODAY(),C498,"&lt;="&amp;TODAY()+30)+COUNTIFS(D498,"&gt;"&amp;TODAY(),D498,"&lt;="&amp;TODAY()+30)+COUNTIFS(E498,"&gt;"&amp;TODAY(),E498,"&lt;="&amp;TODAY()+30)+COUNTIFS(F498,"&gt;"&amp;TODAY(),F498,"&lt;="&amp;TODAY()+30)&gt;0),Q498,"")</x:f>
      </x:c>
      <x:c r="M498" t="str">
        <x:f>IF(OR(LEFT(H498,15)="Missing dates; ",LEFT(H498,16)="Add N/A reason; ",H498="Add dates",H498="Add registration",H498="Check date format"),R498,"")</x:f>
      </x:c>
      <x:c r="N498" t="str">
        <x:f>IF(COUNTIFS(C498:F498,"Reviewed N/A")&gt;0,S498,"")</x:f>
      </x:c>
      <x:c r="O498" t="n">
        <x:f>O497+IF(AND(A498&lt;&gt;"",COUNTIFS(C498,"&gt;=36526",C498,"&lt;"&amp;TODAY())+COUNTIFS(D498,"&gt;=36526",D498,"&lt;"&amp;TODAY())+COUNTIFS(E498,"&gt;=36526",E498,"&lt;"&amp;TODAY())+COUNTIFS(F498,"&gt;=36526",F498,"&lt;"&amp;TODAY())&gt;0),1,0)</x:f>
        <x:v>0</x:v>
      </x:c>
      <x:c r="P498" t="n">
        <x:f>P497+IF(AND(A498&lt;&gt;"",COUNTIFS(C498,"&gt;=36526",C498,TODAY())+COUNTIFS(D498,"&gt;=36526",D498,TODAY())+COUNTIFS(E498,"&gt;=36526",E498,TODAY())+COUNTIFS(F498,"&gt;=36526",F498,TODAY())&gt;0),1,0)</x:f>
        <x:v>0</x:v>
      </x:c>
      <x:c r="Q498" t="n">
        <x:f>Q497+IF(AND(A498&lt;&gt;"",COUNTIFS(C498,"&gt;"&amp;TODAY(),C498,"&lt;="&amp;TODAY()+30)+COUNTIFS(D498,"&gt;"&amp;TODAY(),D498,"&lt;="&amp;TODAY()+30)+COUNTIFS(E498,"&gt;"&amp;TODAY(),E498,"&lt;="&amp;TODAY()+30)+COUNTIFS(F498,"&gt;"&amp;TODAY(),F498,"&lt;="&amp;TODAY()+30)&gt;0),1,0)</x:f>
        <x:v>0</x:v>
      </x:c>
      <x:c r="R498" t="n">
        <x:f>R497+IF(OR(LEFT(H498,15)="Missing dates; ",LEFT(H498,16)="Add N/A reason; ",H498="Add dates",H498="Add registration",H498="Check date format"),1,0)</x:f>
        <x:v>0</x:v>
      </x:c>
      <x:c r="S498" t="n">
        <x:f>S497+IF(COUNTIFS(C498:F498,"Reviewed N/A")&gt;0,1,0)</x:f>
        <x:v>0</x:v>
      </x:c>
    </x:row>
    <x:row r="499" ht="48" customHeight="1">
      <x:c r="A499" s="52"/>
      <x:c r="B499" s="52"/>
      <x:c r="C499" s="53"/>
      <x:c r="D499" s="53"/>
      <x:c r="E499" s="53"/>
      <x:c r="F499" s="53"/>
      <x:c r="G499" s="52"/>
      <x:c r="H499" s="21" t="str">
        <x:f>IF(COUNTA(A499:G499,I499)=0,"",IF(A499="","Add registration",IF(OR(COUNTA(C499:F499)&gt;COUNT(C499:F499)+COUNTIFS(C499:F499,"Reviewed N/A"),AND(COUNT(C499:F499)&gt;0,OR(MIN(C499:F499)&lt;36526,MAX(C499:F499)&gt;109574))),"Check date format",IF(AND(COUNTIFS(C499:F499,"Reviewed N/A")&gt;0,I499=""),"Add N/A reason; ","")&amp;IF(COUNT(C499:F499)=0,IF(COUNTIFS(C499:F499,"Reviewed N/A")=4,"No applicable dates recorded","Add dates"),IF(COUNT(C499:F499)+COUNTIFS(C499:F499,"Reviewed N/A")&lt;4,"Missing dates; ","")&amp;IF(MIN(C499:F499)&lt;TODAY(),"Overdue: ",IF(MIN(C499:F499)=TODAY(),"Due today: ",IF(MIN(C499:F499)&lt;=TODAY()+30,"Due within 30 days: ","Next: ")))&amp;INDEX($C$8:$F$8,1,MATCH(MIN(C499:F499),C499:F499,0))&amp;" "&amp;TEXT(MIN(C499:F499),"dd mmm yyyy")))))</x:f>
      </x:c>
      <x:c r="I499" s="52"/>
      <x:c r="J499" t="str">
        <x:f>IF(AND(A499&lt;&gt;"",COUNTIFS(C499,"&gt;=36526",C499,"&lt;"&amp;TODAY())+COUNTIFS(D499,"&gt;=36526",D499,"&lt;"&amp;TODAY())+COUNTIFS(E499,"&gt;=36526",E499,"&lt;"&amp;TODAY())+COUNTIFS(F499,"&gt;=36526",F499,"&lt;"&amp;TODAY())&gt;0),O499,"")</x:f>
      </x:c>
      <x:c r="K499" t="str">
        <x:f>IF(AND(A499&lt;&gt;"",COUNTIFS(C499,"&gt;=36526",C499,TODAY())+COUNTIFS(D499,"&gt;=36526",D499,TODAY())+COUNTIFS(E499,"&gt;=36526",E499,TODAY())+COUNTIFS(F499,"&gt;=36526",F499,TODAY())&gt;0),P499,"")</x:f>
      </x:c>
      <x:c r="L499" t="str">
        <x:f>IF(AND(A499&lt;&gt;"",COUNTIFS(C499,"&gt;"&amp;TODAY(),C499,"&lt;="&amp;TODAY()+30)+COUNTIFS(D499,"&gt;"&amp;TODAY(),D499,"&lt;="&amp;TODAY()+30)+COUNTIFS(E499,"&gt;"&amp;TODAY(),E499,"&lt;="&amp;TODAY()+30)+COUNTIFS(F499,"&gt;"&amp;TODAY(),F499,"&lt;="&amp;TODAY()+30)&gt;0),Q499,"")</x:f>
      </x:c>
      <x:c r="M499" t="str">
        <x:f>IF(OR(LEFT(H499,15)="Missing dates; ",LEFT(H499,16)="Add N/A reason; ",H499="Add dates",H499="Add registration",H499="Check date format"),R499,"")</x:f>
      </x:c>
      <x:c r="N499" t="str">
        <x:f>IF(COUNTIFS(C499:F499,"Reviewed N/A")&gt;0,S499,"")</x:f>
      </x:c>
      <x:c r="O499" t="n">
        <x:f>O498+IF(AND(A499&lt;&gt;"",COUNTIFS(C499,"&gt;=36526",C499,"&lt;"&amp;TODAY())+COUNTIFS(D499,"&gt;=36526",D499,"&lt;"&amp;TODAY())+COUNTIFS(E499,"&gt;=36526",E499,"&lt;"&amp;TODAY())+COUNTIFS(F499,"&gt;=36526",F499,"&lt;"&amp;TODAY())&gt;0),1,0)</x:f>
        <x:v>0</x:v>
      </x:c>
      <x:c r="P499" t="n">
        <x:f>P498+IF(AND(A499&lt;&gt;"",COUNTIFS(C499,"&gt;=36526",C499,TODAY())+COUNTIFS(D499,"&gt;=36526",D499,TODAY())+COUNTIFS(E499,"&gt;=36526",E499,TODAY())+COUNTIFS(F499,"&gt;=36526",F499,TODAY())&gt;0),1,0)</x:f>
        <x:v>0</x:v>
      </x:c>
      <x:c r="Q499" t="n">
        <x:f>Q498+IF(AND(A499&lt;&gt;"",COUNTIFS(C499,"&gt;"&amp;TODAY(),C499,"&lt;="&amp;TODAY()+30)+COUNTIFS(D499,"&gt;"&amp;TODAY(),D499,"&lt;="&amp;TODAY()+30)+COUNTIFS(E499,"&gt;"&amp;TODAY(),E499,"&lt;="&amp;TODAY()+30)+COUNTIFS(F499,"&gt;"&amp;TODAY(),F499,"&lt;="&amp;TODAY()+30)&gt;0),1,0)</x:f>
        <x:v>0</x:v>
      </x:c>
      <x:c r="R499" t="n">
        <x:f>R498+IF(OR(LEFT(H499,15)="Missing dates; ",LEFT(H499,16)="Add N/A reason; ",H499="Add dates",H499="Add registration",H499="Check date format"),1,0)</x:f>
        <x:v>0</x:v>
      </x:c>
      <x:c r="S499" t="n">
        <x:f>S498+IF(COUNTIFS(C499:F499,"Reviewed N/A")&gt;0,1,0)</x:f>
        <x:v>0</x:v>
      </x:c>
    </x:row>
    <x:row r="500" ht="48" customHeight="1">
      <x:c r="A500" s="52"/>
      <x:c r="B500" s="52"/>
      <x:c r="C500" s="53"/>
      <x:c r="D500" s="53"/>
      <x:c r="E500" s="53"/>
      <x:c r="F500" s="53"/>
      <x:c r="G500" s="52"/>
      <x:c r="H500" s="21" t="str">
        <x:f>IF(COUNTA(A500:G500,I500)=0,"",IF(A500="","Add registration",IF(OR(COUNTA(C500:F500)&gt;COUNT(C500:F500)+COUNTIFS(C500:F500,"Reviewed N/A"),AND(COUNT(C500:F500)&gt;0,OR(MIN(C500:F500)&lt;36526,MAX(C500:F500)&gt;109574))),"Check date format",IF(AND(COUNTIFS(C500:F500,"Reviewed N/A")&gt;0,I500=""),"Add N/A reason; ","")&amp;IF(COUNT(C500:F500)=0,IF(COUNTIFS(C500:F500,"Reviewed N/A")=4,"No applicable dates recorded","Add dates"),IF(COUNT(C500:F500)+COUNTIFS(C500:F500,"Reviewed N/A")&lt;4,"Missing dates; ","")&amp;IF(MIN(C500:F500)&lt;TODAY(),"Overdue: ",IF(MIN(C500:F500)=TODAY(),"Due today: ",IF(MIN(C500:F500)&lt;=TODAY()+30,"Due within 30 days: ","Next: ")))&amp;INDEX($C$8:$F$8,1,MATCH(MIN(C500:F500),C500:F500,0))&amp;" "&amp;TEXT(MIN(C500:F500),"dd mmm yyyy")))))</x:f>
      </x:c>
      <x:c r="I500" s="52"/>
      <x:c r="J500" t="str">
        <x:f>IF(AND(A500&lt;&gt;"",COUNTIFS(C500,"&gt;=36526",C500,"&lt;"&amp;TODAY())+COUNTIFS(D500,"&gt;=36526",D500,"&lt;"&amp;TODAY())+COUNTIFS(E500,"&gt;=36526",E500,"&lt;"&amp;TODAY())+COUNTIFS(F500,"&gt;=36526",F500,"&lt;"&amp;TODAY())&gt;0),O500,"")</x:f>
      </x:c>
      <x:c r="K500" t="str">
        <x:f>IF(AND(A500&lt;&gt;"",COUNTIFS(C500,"&gt;=36526",C500,TODAY())+COUNTIFS(D500,"&gt;=36526",D500,TODAY())+COUNTIFS(E500,"&gt;=36526",E500,TODAY())+COUNTIFS(F500,"&gt;=36526",F500,TODAY())&gt;0),P500,"")</x:f>
      </x:c>
      <x:c r="L500" t="str">
        <x:f>IF(AND(A500&lt;&gt;"",COUNTIFS(C500,"&gt;"&amp;TODAY(),C500,"&lt;="&amp;TODAY()+30)+COUNTIFS(D500,"&gt;"&amp;TODAY(),D500,"&lt;="&amp;TODAY()+30)+COUNTIFS(E500,"&gt;"&amp;TODAY(),E500,"&lt;="&amp;TODAY()+30)+COUNTIFS(F500,"&gt;"&amp;TODAY(),F500,"&lt;="&amp;TODAY()+30)&gt;0),Q500,"")</x:f>
      </x:c>
      <x:c r="M500" t="str">
        <x:f>IF(OR(LEFT(H500,15)="Missing dates; ",LEFT(H500,16)="Add N/A reason; ",H500="Add dates",H500="Add registration",H500="Check date format"),R500,"")</x:f>
      </x:c>
      <x:c r="N500" t="str">
        <x:f>IF(COUNTIFS(C500:F500,"Reviewed N/A")&gt;0,S500,"")</x:f>
      </x:c>
      <x:c r="O500" t="n">
        <x:f>O499+IF(AND(A500&lt;&gt;"",COUNTIFS(C500,"&gt;=36526",C500,"&lt;"&amp;TODAY())+COUNTIFS(D500,"&gt;=36526",D500,"&lt;"&amp;TODAY())+COUNTIFS(E500,"&gt;=36526",E500,"&lt;"&amp;TODAY())+COUNTIFS(F500,"&gt;=36526",F500,"&lt;"&amp;TODAY())&gt;0),1,0)</x:f>
        <x:v>0</x:v>
      </x:c>
      <x:c r="P500" t="n">
        <x:f>P499+IF(AND(A500&lt;&gt;"",COUNTIFS(C500,"&gt;=36526",C500,TODAY())+COUNTIFS(D500,"&gt;=36526",D500,TODAY())+COUNTIFS(E500,"&gt;=36526",E500,TODAY())+COUNTIFS(F500,"&gt;=36526",F500,TODAY())&gt;0),1,0)</x:f>
        <x:v>0</x:v>
      </x:c>
      <x:c r="Q500" t="n">
        <x:f>Q499+IF(AND(A500&lt;&gt;"",COUNTIFS(C500,"&gt;"&amp;TODAY(),C500,"&lt;="&amp;TODAY()+30)+COUNTIFS(D500,"&gt;"&amp;TODAY(),D500,"&lt;="&amp;TODAY()+30)+COUNTIFS(E500,"&gt;"&amp;TODAY(),E500,"&lt;="&amp;TODAY()+30)+COUNTIFS(F500,"&gt;"&amp;TODAY(),F500,"&lt;="&amp;TODAY()+30)&gt;0),1,0)</x:f>
        <x:v>0</x:v>
      </x:c>
      <x:c r="R500" t="n">
        <x:f>R499+IF(OR(LEFT(H500,15)="Missing dates; ",LEFT(H500,16)="Add N/A reason; ",H500="Add dates",H500="Add registration",H500="Check date format"),1,0)</x:f>
        <x:v>0</x:v>
      </x:c>
      <x:c r="S500" t="n">
        <x:f>S499+IF(COUNTIFS(C500:F500,"Reviewed N/A")&gt;0,1,0)</x:f>
        <x:v>0</x:v>
      </x:c>
    </x:row>
    <x:row r="501" ht="48" customHeight="1">
      <x:c r="A501" s="52"/>
      <x:c r="B501" s="52"/>
      <x:c r="C501" s="53"/>
      <x:c r="D501" s="53"/>
      <x:c r="E501" s="53"/>
      <x:c r="F501" s="53"/>
      <x:c r="G501" s="52"/>
      <x:c r="H501" s="21" t="str">
        <x:f>IF(COUNTA(A501:G501,I501)=0,"",IF(A501="","Add registration",IF(OR(COUNTA(C501:F501)&gt;COUNT(C501:F501)+COUNTIFS(C501:F501,"Reviewed N/A"),AND(COUNT(C501:F501)&gt;0,OR(MIN(C501:F501)&lt;36526,MAX(C501:F501)&gt;109574))),"Check date format",IF(AND(COUNTIFS(C501:F501,"Reviewed N/A")&gt;0,I501=""),"Add N/A reason; ","")&amp;IF(COUNT(C501:F501)=0,IF(COUNTIFS(C501:F501,"Reviewed N/A")=4,"No applicable dates recorded","Add dates"),IF(COUNT(C501:F501)+COUNTIFS(C501:F501,"Reviewed N/A")&lt;4,"Missing dates; ","")&amp;IF(MIN(C501:F501)&lt;TODAY(),"Overdue: ",IF(MIN(C501:F501)=TODAY(),"Due today: ",IF(MIN(C501:F501)&lt;=TODAY()+30,"Due within 30 days: ","Next: ")))&amp;INDEX($C$8:$F$8,1,MATCH(MIN(C501:F501),C501:F501,0))&amp;" "&amp;TEXT(MIN(C501:F501),"dd mmm yyyy")))))</x:f>
      </x:c>
      <x:c r="I501" s="52"/>
      <x:c r="J501" t="str">
        <x:f>IF(AND(A501&lt;&gt;"",COUNTIFS(C501,"&gt;=36526",C501,"&lt;"&amp;TODAY())+COUNTIFS(D501,"&gt;=36526",D501,"&lt;"&amp;TODAY())+COUNTIFS(E501,"&gt;=36526",E501,"&lt;"&amp;TODAY())+COUNTIFS(F501,"&gt;=36526",F501,"&lt;"&amp;TODAY())&gt;0),O501,"")</x:f>
      </x:c>
      <x:c r="K501" t="str">
        <x:f>IF(AND(A501&lt;&gt;"",COUNTIFS(C501,"&gt;=36526",C501,TODAY())+COUNTIFS(D501,"&gt;=36526",D501,TODAY())+COUNTIFS(E501,"&gt;=36526",E501,TODAY())+COUNTIFS(F501,"&gt;=36526",F501,TODAY())&gt;0),P501,"")</x:f>
      </x:c>
      <x:c r="L501" t="str">
        <x:f>IF(AND(A501&lt;&gt;"",COUNTIFS(C501,"&gt;"&amp;TODAY(),C501,"&lt;="&amp;TODAY()+30)+COUNTIFS(D501,"&gt;"&amp;TODAY(),D501,"&lt;="&amp;TODAY()+30)+COUNTIFS(E501,"&gt;"&amp;TODAY(),E501,"&lt;="&amp;TODAY()+30)+COUNTIFS(F501,"&gt;"&amp;TODAY(),F501,"&lt;="&amp;TODAY()+30)&gt;0),Q501,"")</x:f>
      </x:c>
      <x:c r="M501" t="str">
        <x:f>IF(OR(LEFT(H501,15)="Missing dates; ",LEFT(H501,16)="Add N/A reason; ",H501="Add dates",H501="Add registration",H501="Check date format"),R501,"")</x:f>
      </x:c>
      <x:c r="N501" t="str">
        <x:f>IF(COUNTIFS(C501:F501,"Reviewed N/A")&gt;0,S501,"")</x:f>
      </x:c>
      <x:c r="O501" t="n">
        <x:f>O500+IF(AND(A501&lt;&gt;"",COUNTIFS(C501,"&gt;=36526",C501,"&lt;"&amp;TODAY())+COUNTIFS(D501,"&gt;=36526",D501,"&lt;"&amp;TODAY())+COUNTIFS(E501,"&gt;=36526",E501,"&lt;"&amp;TODAY())+COUNTIFS(F501,"&gt;=36526",F501,"&lt;"&amp;TODAY())&gt;0),1,0)</x:f>
        <x:v>0</x:v>
      </x:c>
      <x:c r="P501" t="n">
        <x:f>P500+IF(AND(A501&lt;&gt;"",COUNTIFS(C501,"&gt;=36526",C501,TODAY())+COUNTIFS(D501,"&gt;=36526",D501,TODAY())+COUNTIFS(E501,"&gt;=36526",E501,TODAY())+COUNTIFS(F501,"&gt;=36526",F501,TODAY())&gt;0),1,0)</x:f>
        <x:v>0</x:v>
      </x:c>
      <x:c r="Q501" t="n">
        <x:f>Q500+IF(AND(A501&lt;&gt;"",COUNTIFS(C501,"&gt;"&amp;TODAY(),C501,"&lt;="&amp;TODAY()+30)+COUNTIFS(D501,"&gt;"&amp;TODAY(),D501,"&lt;="&amp;TODAY()+30)+COUNTIFS(E501,"&gt;"&amp;TODAY(),E501,"&lt;="&amp;TODAY()+30)+COUNTIFS(F501,"&gt;"&amp;TODAY(),F501,"&lt;="&amp;TODAY()+30)&gt;0),1,0)</x:f>
        <x:v>0</x:v>
      </x:c>
      <x:c r="R501" t="n">
        <x:f>R500+IF(OR(LEFT(H501,15)="Missing dates; ",LEFT(H501,16)="Add N/A reason; ",H501="Add dates",H501="Add registration",H501="Check date format"),1,0)</x:f>
        <x:v>0</x:v>
      </x:c>
      <x:c r="S501" t="n">
        <x:f>S500+IF(COUNTIFS(C501:F501,"Reviewed N/A")&gt;0,1,0)</x:f>
        <x:v>0</x:v>
      </x:c>
    </x:row>
    <x:row r="502" ht="48" customHeight="1">
      <x:c r="A502" s="52"/>
      <x:c r="B502" s="52"/>
      <x:c r="C502" s="53"/>
      <x:c r="D502" s="53"/>
      <x:c r="E502" s="53"/>
      <x:c r="F502" s="53"/>
      <x:c r="G502" s="52"/>
      <x:c r="H502" s="21" t="str">
        <x:f>IF(COUNTA(A502:G502,I502)=0,"",IF(A502="","Add registration",IF(OR(COUNTA(C502:F502)&gt;COUNT(C502:F502)+COUNTIFS(C502:F502,"Reviewed N/A"),AND(COUNT(C502:F502)&gt;0,OR(MIN(C502:F502)&lt;36526,MAX(C502:F502)&gt;109574))),"Check date format",IF(AND(COUNTIFS(C502:F502,"Reviewed N/A")&gt;0,I502=""),"Add N/A reason; ","")&amp;IF(COUNT(C502:F502)=0,IF(COUNTIFS(C502:F502,"Reviewed N/A")=4,"No applicable dates recorded","Add dates"),IF(COUNT(C502:F502)+COUNTIFS(C502:F502,"Reviewed N/A")&lt;4,"Missing dates; ","")&amp;IF(MIN(C502:F502)&lt;TODAY(),"Overdue: ",IF(MIN(C502:F502)=TODAY(),"Due today: ",IF(MIN(C502:F502)&lt;=TODAY()+30,"Due within 30 days: ","Next: ")))&amp;INDEX($C$8:$F$8,1,MATCH(MIN(C502:F502),C502:F502,0))&amp;" "&amp;TEXT(MIN(C502:F502),"dd mmm yyyy")))))</x:f>
      </x:c>
      <x:c r="I502" s="52"/>
      <x:c r="J502" t="str">
        <x:f>IF(AND(A502&lt;&gt;"",COUNTIFS(C502,"&gt;=36526",C502,"&lt;"&amp;TODAY())+COUNTIFS(D502,"&gt;=36526",D502,"&lt;"&amp;TODAY())+COUNTIFS(E502,"&gt;=36526",E502,"&lt;"&amp;TODAY())+COUNTIFS(F502,"&gt;=36526",F502,"&lt;"&amp;TODAY())&gt;0),O502,"")</x:f>
      </x:c>
      <x:c r="K502" t="str">
        <x:f>IF(AND(A502&lt;&gt;"",COUNTIFS(C502,"&gt;=36526",C502,TODAY())+COUNTIFS(D502,"&gt;=36526",D502,TODAY())+COUNTIFS(E502,"&gt;=36526",E502,TODAY())+COUNTIFS(F502,"&gt;=36526",F502,TODAY())&gt;0),P502,"")</x:f>
      </x:c>
      <x:c r="L502" t="str">
        <x:f>IF(AND(A502&lt;&gt;"",COUNTIFS(C502,"&gt;"&amp;TODAY(),C502,"&lt;="&amp;TODAY()+30)+COUNTIFS(D502,"&gt;"&amp;TODAY(),D502,"&lt;="&amp;TODAY()+30)+COUNTIFS(E502,"&gt;"&amp;TODAY(),E502,"&lt;="&amp;TODAY()+30)+COUNTIFS(F502,"&gt;"&amp;TODAY(),F502,"&lt;="&amp;TODAY()+30)&gt;0),Q502,"")</x:f>
      </x:c>
      <x:c r="M502" t="str">
        <x:f>IF(OR(LEFT(H502,15)="Missing dates; ",LEFT(H502,16)="Add N/A reason; ",H502="Add dates",H502="Add registration",H502="Check date format"),R502,"")</x:f>
      </x:c>
      <x:c r="N502" t="str">
        <x:f>IF(COUNTIFS(C502:F502,"Reviewed N/A")&gt;0,S502,"")</x:f>
      </x:c>
      <x:c r="O502" t="n">
        <x:f>O501+IF(AND(A502&lt;&gt;"",COUNTIFS(C502,"&gt;=36526",C502,"&lt;"&amp;TODAY())+COUNTIFS(D502,"&gt;=36526",D502,"&lt;"&amp;TODAY())+COUNTIFS(E502,"&gt;=36526",E502,"&lt;"&amp;TODAY())+COUNTIFS(F502,"&gt;=36526",F502,"&lt;"&amp;TODAY())&gt;0),1,0)</x:f>
        <x:v>0</x:v>
      </x:c>
      <x:c r="P502" t="n">
        <x:f>P501+IF(AND(A502&lt;&gt;"",COUNTIFS(C502,"&gt;=36526",C502,TODAY())+COUNTIFS(D502,"&gt;=36526",D502,TODAY())+COUNTIFS(E502,"&gt;=36526",E502,TODAY())+COUNTIFS(F502,"&gt;=36526",F502,TODAY())&gt;0),1,0)</x:f>
        <x:v>0</x:v>
      </x:c>
      <x:c r="Q502" t="n">
        <x:f>Q501+IF(AND(A502&lt;&gt;"",COUNTIFS(C502,"&gt;"&amp;TODAY(),C502,"&lt;="&amp;TODAY()+30)+COUNTIFS(D502,"&gt;"&amp;TODAY(),D502,"&lt;="&amp;TODAY()+30)+COUNTIFS(E502,"&gt;"&amp;TODAY(),E502,"&lt;="&amp;TODAY()+30)+COUNTIFS(F502,"&gt;"&amp;TODAY(),F502,"&lt;="&amp;TODAY()+30)&gt;0),1,0)</x:f>
        <x:v>0</x:v>
      </x:c>
      <x:c r="R502" t="n">
        <x:f>R501+IF(OR(LEFT(H502,15)="Missing dates; ",LEFT(H502,16)="Add N/A reason; ",H502="Add dates",H502="Add registration",H502="Check date format"),1,0)</x:f>
        <x:v>0</x:v>
      </x:c>
      <x:c r="S502" t="n">
        <x:f>S501+IF(COUNTIFS(C502:F502,"Reviewed N/A")&gt;0,1,0)</x:f>
        <x:v>0</x:v>
      </x:c>
    </x:row>
    <x:row r="503" ht="48" customHeight="1">
      <x:c r="A503" s="52"/>
      <x:c r="B503" s="52"/>
      <x:c r="C503" s="53"/>
      <x:c r="D503" s="53"/>
      <x:c r="E503" s="53"/>
      <x:c r="F503" s="53"/>
      <x:c r="G503" s="52"/>
      <x:c r="H503" s="21" t="str">
        <x:f>IF(COUNTA(A503:G503,I503)=0,"",IF(A503="","Add registration",IF(OR(COUNTA(C503:F503)&gt;COUNT(C503:F503)+COUNTIFS(C503:F503,"Reviewed N/A"),AND(COUNT(C503:F503)&gt;0,OR(MIN(C503:F503)&lt;36526,MAX(C503:F503)&gt;109574))),"Check date format",IF(AND(COUNTIFS(C503:F503,"Reviewed N/A")&gt;0,I503=""),"Add N/A reason; ","")&amp;IF(COUNT(C503:F503)=0,IF(COUNTIFS(C503:F503,"Reviewed N/A")=4,"No applicable dates recorded","Add dates"),IF(COUNT(C503:F503)+COUNTIFS(C503:F503,"Reviewed N/A")&lt;4,"Missing dates; ","")&amp;IF(MIN(C503:F503)&lt;TODAY(),"Overdue: ",IF(MIN(C503:F503)=TODAY(),"Due today: ",IF(MIN(C503:F503)&lt;=TODAY()+30,"Due within 30 days: ","Next: ")))&amp;INDEX($C$8:$F$8,1,MATCH(MIN(C503:F503),C503:F503,0))&amp;" "&amp;TEXT(MIN(C503:F503),"dd mmm yyyy")))))</x:f>
      </x:c>
      <x:c r="I503" s="52"/>
      <x:c r="J503" t="str">
        <x:f>IF(AND(A503&lt;&gt;"",COUNTIFS(C503,"&gt;=36526",C503,"&lt;"&amp;TODAY())+COUNTIFS(D503,"&gt;=36526",D503,"&lt;"&amp;TODAY())+COUNTIFS(E503,"&gt;=36526",E503,"&lt;"&amp;TODAY())+COUNTIFS(F503,"&gt;=36526",F503,"&lt;"&amp;TODAY())&gt;0),O503,"")</x:f>
      </x:c>
      <x:c r="K503" t="str">
        <x:f>IF(AND(A503&lt;&gt;"",COUNTIFS(C503,"&gt;=36526",C503,TODAY())+COUNTIFS(D503,"&gt;=36526",D503,TODAY())+COUNTIFS(E503,"&gt;=36526",E503,TODAY())+COUNTIFS(F503,"&gt;=36526",F503,TODAY())&gt;0),P503,"")</x:f>
      </x:c>
      <x:c r="L503" t="str">
        <x:f>IF(AND(A503&lt;&gt;"",COUNTIFS(C503,"&gt;"&amp;TODAY(),C503,"&lt;="&amp;TODAY()+30)+COUNTIFS(D503,"&gt;"&amp;TODAY(),D503,"&lt;="&amp;TODAY()+30)+COUNTIFS(E503,"&gt;"&amp;TODAY(),E503,"&lt;="&amp;TODAY()+30)+COUNTIFS(F503,"&gt;"&amp;TODAY(),F503,"&lt;="&amp;TODAY()+30)&gt;0),Q503,"")</x:f>
      </x:c>
      <x:c r="M503" t="str">
        <x:f>IF(OR(LEFT(H503,15)="Missing dates; ",LEFT(H503,16)="Add N/A reason; ",H503="Add dates",H503="Add registration",H503="Check date format"),R503,"")</x:f>
      </x:c>
      <x:c r="N503" t="str">
        <x:f>IF(COUNTIFS(C503:F503,"Reviewed N/A")&gt;0,S503,"")</x:f>
      </x:c>
      <x:c r="O503" t="n">
        <x:f>O502+IF(AND(A503&lt;&gt;"",COUNTIFS(C503,"&gt;=36526",C503,"&lt;"&amp;TODAY())+COUNTIFS(D503,"&gt;=36526",D503,"&lt;"&amp;TODAY())+COUNTIFS(E503,"&gt;=36526",E503,"&lt;"&amp;TODAY())+COUNTIFS(F503,"&gt;=36526",F503,"&lt;"&amp;TODAY())&gt;0),1,0)</x:f>
        <x:v>0</x:v>
      </x:c>
      <x:c r="P503" t="n">
        <x:f>P502+IF(AND(A503&lt;&gt;"",COUNTIFS(C503,"&gt;=36526",C503,TODAY())+COUNTIFS(D503,"&gt;=36526",D503,TODAY())+COUNTIFS(E503,"&gt;=36526",E503,TODAY())+COUNTIFS(F503,"&gt;=36526",F503,TODAY())&gt;0),1,0)</x:f>
        <x:v>0</x:v>
      </x:c>
      <x:c r="Q503" t="n">
        <x:f>Q502+IF(AND(A503&lt;&gt;"",COUNTIFS(C503,"&gt;"&amp;TODAY(),C503,"&lt;="&amp;TODAY()+30)+COUNTIFS(D503,"&gt;"&amp;TODAY(),D503,"&lt;="&amp;TODAY()+30)+COUNTIFS(E503,"&gt;"&amp;TODAY(),E503,"&lt;="&amp;TODAY()+30)+COUNTIFS(F503,"&gt;"&amp;TODAY(),F503,"&lt;="&amp;TODAY()+30)&gt;0),1,0)</x:f>
        <x:v>0</x:v>
      </x:c>
      <x:c r="R503" t="n">
        <x:f>R502+IF(OR(LEFT(H503,15)="Missing dates; ",LEFT(H503,16)="Add N/A reason; ",H503="Add dates",H503="Add registration",H503="Check date format"),1,0)</x:f>
        <x:v>0</x:v>
      </x:c>
      <x:c r="S503" t="n">
        <x:f>S502+IF(COUNTIFS(C503:F503,"Reviewed N/A")&gt;0,1,0)</x:f>
        <x:v>0</x:v>
      </x:c>
    </x:row>
    <x:row r="504" ht="48" customHeight="1">
      <x:c r="A504" s="52"/>
      <x:c r="B504" s="52"/>
      <x:c r="C504" s="53"/>
      <x:c r="D504" s="53"/>
      <x:c r="E504" s="53"/>
      <x:c r="F504" s="53"/>
      <x:c r="G504" s="52"/>
      <x:c r="H504" s="21" t="str">
        <x:f>IF(COUNTA(A504:G504,I504)=0,"",IF(A504="","Add registration",IF(OR(COUNTA(C504:F504)&gt;COUNT(C504:F504)+COUNTIFS(C504:F504,"Reviewed N/A"),AND(COUNT(C504:F504)&gt;0,OR(MIN(C504:F504)&lt;36526,MAX(C504:F504)&gt;109574))),"Check date format",IF(AND(COUNTIFS(C504:F504,"Reviewed N/A")&gt;0,I504=""),"Add N/A reason; ","")&amp;IF(COUNT(C504:F504)=0,IF(COUNTIFS(C504:F504,"Reviewed N/A")=4,"No applicable dates recorded","Add dates"),IF(COUNT(C504:F504)+COUNTIFS(C504:F504,"Reviewed N/A")&lt;4,"Missing dates; ","")&amp;IF(MIN(C504:F504)&lt;TODAY(),"Overdue: ",IF(MIN(C504:F504)=TODAY(),"Due today: ",IF(MIN(C504:F504)&lt;=TODAY()+30,"Due within 30 days: ","Next: ")))&amp;INDEX($C$8:$F$8,1,MATCH(MIN(C504:F504),C504:F504,0))&amp;" "&amp;TEXT(MIN(C504:F504),"dd mmm yyyy")))))</x:f>
      </x:c>
      <x:c r="I504" s="52"/>
      <x:c r="J504" t="str">
        <x:f>IF(AND(A504&lt;&gt;"",COUNTIFS(C504,"&gt;=36526",C504,"&lt;"&amp;TODAY())+COUNTIFS(D504,"&gt;=36526",D504,"&lt;"&amp;TODAY())+COUNTIFS(E504,"&gt;=36526",E504,"&lt;"&amp;TODAY())+COUNTIFS(F504,"&gt;=36526",F504,"&lt;"&amp;TODAY())&gt;0),O504,"")</x:f>
      </x:c>
      <x:c r="K504" t="str">
        <x:f>IF(AND(A504&lt;&gt;"",COUNTIFS(C504,"&gt;=36526",C504,TODAY())+COUNTIFS(D504,"&gt;=36526",D504,TODAY())+COUNTIFS(E504,"&gt;=36526",E504,TODAY())+COUNTIFS(F504,"&gt;=36526",F504,TODAY())&gt;0),P504,"")</x:f>
      </x:c>
      <x:c r="L504" t="str">
        <x:f>IF(AND(A504&lt;&gt;"",COUNTIFS(C504,"&gt;"&amp;TODAY(),C504,"&lt;="&amp;TODAY()+30)+COUNTIFS(D504,"&gt;"&amp;TODAY(),D504,"&lt;="&amp;TODAY()+30)+COUNTIFS(E504,"&gt;"&amp;TODAY(),E504,"&lt;="&amp;TODAY()+30)+COUNTIFS(F504,"&gt;"&amp;TODAY(),F504,"&lt;="&amp;TODAY()+30)&gt;0),Q504,"")</x:f>
      </x:c>
      <x:c r="M504" t="str">
        <x:f>IF(OR(LEFT(H504,15)="Missing dates; ",LEFT(H504,16)="Add N/A reason; ",H504="Add dates",H504="Add registration",H504="Check date format"),R504,"")</x:f>
      </x:c>
      <x:c r="N504" t="str">
        <x:f>IF(COUNTIFS(C504:F504,"Reviewed N/A")&gt;0,S504,"")</x:f>
      </x:c>
      <x:c r="O504" t="n">
        <x:f>O503+IF(AND(A504&lt;&gt;"",COUNTIFS(C504,"&gt;=36526",C504,"&lt;"&amp;TODAY())+COUNTIFS(D504,"&gt;=36526",D504,"&lt;"&amp;TODAY())+COUNTIFS(E504,"&gt;=36526",E504,"&lt;"&amp;TODAY())+COUNTIFS(F504,"&gt;=36526",F504,"&lt;"&amp;TODAY())&gt;0),1,0)</x:f>
        <x:v>0</x:v>
      </x:c>
      <x:c r="P504" t="n">
        <x:f>P503+IF(AND(A504&lt;&gt;"",COUNTIFS(C504,"&gt;=36526",C504,TODAY())+COUNTIFS(D504,"&gt;=36526",D504,TODAY())+COUNTIFS(E504,"&gt;=36526",E504,TODAY())+COUNTIFS(F504,"&gt;=36526",F504,TODAY())&gt;0),1,0)</x:f>
        <x:v>0</x:v>
      </x:c>
      <x:c r="Q504" t="n">
        <x:f>Q503+IF(AND(A504&lt;&gt;"",COUNTIFS(C504,"&gt;"&amp;TODAY(),C504,"&lt;="&amp;TODAY()+30)+COUNTIFS(D504,"&gt;"&amp;TODAY(),D504,"&lt;="&amp;TODAY()+30)+COUNTIFS(E504,"&gt;"&amp;TODAY(),E504,"&lt;="&amp;TODAY()+30)+COUNTIFS(F504,"&gt;"&amp;TODAY(),F504,"&lt;="&amp;TODAY()+30)&gt;0),1,0)</x:f>
        <x:v>0</x:v>
      </x:c>
      <x:c r="R504" t="n">
        <x:f>R503+IF(OR(LEFT(H504,15)="Missing dates; ",LEFT(H504,16)="Add N/A reason; ",H504="Add dates",H504="Add registration",H504="Check date format"),1,0)</x:f>
        <x:v>0</x:v>
      </x:c>
      <x:c r="S504" t="n">
        <x:f>S503+IF(COUNTIFS(C504:F504,"Reviewed N/A")&gt;0,1,0)</x:f>
        <x:v>0</x:v>
      </x:c>
    </x:row>
    <x:row r="505" ht="48" customHeight="1">
      <x:c r="A505" s="52"/>
      <x:c r="B505" s="52"/>
      <x:c r="C505" s="53"/>
      <x:c r="D505" s="53"/>
      <x:c r="E505" s="53"/>
      <x:c r="F505" s="53"/>
      <x:c r="G505" s="52"/>
      <x:c r="H505" s="21" t="str">
        <x:f>IF(COUNTA(A505:G505,I505)=0,"",IF(A505="","Add registration",IF(OR(COUNTA(C505:F505)&gt;COUNT(C505:F505)+COUNTIFS(C505:F505,"Reviewed N/A"),AND(COUNT(C505:F505)&gt;0,OR(MIN(C505:F505)&lt;36526,MAX(C505:F505)&gt;109574))),"Check date format",IF(AND(COUNTIFS(C505:F505,"Reviewed N/A")&gt;0,I505=""),"Add N/A reason; ","")&amp;IF(COUNT(C505:F505)=0,IF(COUNTIFS(C505:F505,"Reviewed N/A")=4,"No applicable dates recorded","Add dates"),IF(COUNT(C505:F505)+COUNTIFS(C505:F505,"Reviewed N/A")&lt;4,"Missing dates; ","")&amp;IF(MIN(C505:F505)&lt;TODAY(),"Overdue: ",IF(MIN(C505:F505)=TODAY(),"Due today: ",IF(MIN(C505:F505)&lt;=TODAY()+30,"Due within 30 days: ","Next: ")))&amp;INDEX($C$8:$F$8,1,MATCH(MIN(C505:F505),C505:F505,0))&amp;" "&amp;TEXT(MIN(C505:F505),"dd mmm yyyy")))))</x:f>
      </x:c>
      <x:c r="I505" s="52"/>
      <x:c r="J505" t="str">
        <x:f>IF(AND(A505&lt;&gt;"",COUNTIFS(C505,"&gt;=36526",C505,"&lt;"&amp;TODAY())+COUNTIFS(D505,"&gt;=36526",D505,"&lt;"&amp;TODAY())+COUNTIFS(E505,"&gt;=36526",E505,"&lt;"&amp;TODAY())+COUNTIFS(F505,"&gt;=36526",F505,"&lt;"&amp;TODAY())&gt;0),O505,"")</x:f>
      </x:c>
      <x:c r="K505" t="str">
        <x:f>IF(AND(A505&lt;&gt;"",COUNTIFS(C505,"&gt;=36526",C505,TODAY())+COUNTIFS(D505,"&gt;=36526",D505,TODAY())+COUNTIFS(E505,"&gt;=36526",E505,TODAY())+COUNTIFS(F505,"&gt;=36526",F505,TODAY())&gt;0),P505,"")</x:f>
      </x:c>
      <x:c r="L505" t="str">
        <x:f>IF(AND(A505&lt;&gt;"",COUNTIFS(C505,"&gt;"&amp;TODAY(),C505,"&lt;="&amp;TODAY()+30)+COUNTIFS(D505,"&gt;"&amp;TODAY(),D505,"&lt;="&amp;TODAY()+30)+COUNTIFS(E505,"&gt;"&amp;TODAY(),E505,"&lt;="&amp;TODAY()+30)+COUNTIFS(F505,"&gt;"&amp;TODAY(),F505,"&lt;="&amp;TODAY()+30)&gt;0),Q505,"")</x:f>
      </x:c>
      <x:c r="M505" t="str">
        <x:f>IF(OR(LEFT(H505,15)="Missing dates; ",LEFT(H505,16)="Add N/A reason; ",H505="Add dates",H505="Add registration",H505="Check date format"),R505,"")</x:f>
      </x:c>
      <x:c r="N505" t="str">
        <x:f>IF(COUNTIFS(C505:F505,"Reviewed N/A")&gt;0,S505,"")</x:f>
      </x:c>
      <x:c r="O505" t="n">
        <x:f>O504+IF(AND(A505&lt;&gt;"",COUNTIFS(C505,"&gt;=36526",C505,"&lt;"&amp;TODAY())+COUNTIFS(D505,"&gt;=36526",D505,"&lt;"&amp;TODAY())+COUNTIFS(E505,"&gt;=36526",E505,"&lt;"&amp;TODAY())+COUNTIFS(F505,"&gt;=36526",F505,"&lt;"&amp;TODAY())&gt;0),1,0)</x:f>
        <x:v>0</x:v>
      </x:c>
      <x:c r="P505" t="n">
        <x:f>P504+IF(AND(A505&lt;&gt;"",COUNTIFS(C505,"&gt;=36526",C505,TODAY())+COUNTIFS(D505,"&gt;=36526",D505,TODAY())+COUNTIFS(E505,"&gt;=36526",E505,TODAY())+COUNTIFS(F505,"&gt;=36526",F505,TODAY())&gt;0),1,0)</x:f>
        <x:v>0</x:v>
      </x:c>
      <x:c r="Q505" t="n">
        <x:f>Q504+IF(AND(A505&lt;&gt;"",COUNTIFS(C505,"&gt;"&amp;TODAY(),C505,"&lt;="&amp;TODAY()+30)+COUNTIFS(D505,"&gt;"&amp;TODAY(),D505,"&lt;="&amp;TODAY()+30)+COUNTIFS(E505,"&gt;"&amp;TODAY(),E505,"&lt;="&amp;TODAY()+30)+COUNTIFS(F505,"&gt;"&amp;TODAY(),F505,"&lt;="&amp;TODAY()+30)&gt;0),1,0)</x:f>
        <x:v>0</x:v>
      </x:c>
      <x:c r="R505" t="n">
        <x:f>R504+IF(OR(LEFT(H505,15)="Missing dates; ",LEFT(H505,16)="Add N/A reason; ",H505="Add dates",H505="Add registration",H505="Check date format"),1,0)</x:f>
        <x:v>0</x:v>
      </x:c>
      <x:c r="S505" t="n">
        <x:f>S504+IF(COUNTIFS(C505:F505,"Reviewed N/A")&gt;0,1,0)</x:f>
        <x:v>0</x:v>
      </x:c>
    </x:row>
    <x:row r="506" ht="48" customHeight="1">
      <x:c r="A506" s="52"/>
      <x:c r="B506" s="52"/>
      <x:c r="C506" s="53"/>
      <x:c r="D506" s="53"/>
      <x:c r="E506" s="53"/>
      <x:c r="F506" s="53"/>
      <x:c r="G506" s="52"/>
      <x:c r="H506" s="21" t="str">
        <x:f>IF(COUNTA(A506:G506,I506)=0,"",IF(A506="","Add registration",IF(OR(COUNTA(C506:F506)&gt;COUNT(C506:F506)+COUNTIFS(C506:F506,"Reviewed N/A"),AND(COUNT(C506:F506)&gt;0,OR(MIN(C506:F506)&lt;36526,MAX(C506:F506)&gt;109574))),"Check date format",IF(AND(COUNTIFS(C506:F506,"Reviewed N/A")&gt;0,I506=""),"Add N/A reason; ","")&amp;IF(COUNT(C506:F506)=0,IF(COUNTIFS(C506:F506,"Reviewed N/A")=4,"No applicable dates recorded","Add dates"),IF(COUNT(C506:F506)+COUNTIFS(C506:F506,"Reviewed N/A")&lt;4,"Missing dates; ","")&amp;IF(MIN(C506:F506)&lt;TODAY(),"Overdue: ",IF(MIN(C506:F506)=TODAY(),"Due today: ",IF(MIN(C506:F506)&lt;=TODAY()+30,"Due within 30 days: ","Next: ")))&amp;INDEX($C$8:$F$8,1,MATCH(MIN(C506:F506),C506:F506,0))&amp;" "&amp;TEXT(MIN(C506:F506),"dd mmm yyyy")))))</x:f>
      </x:c>
      <x:c r="I506" s="52"/>
      <x:c r="J506" t="str">
        <x:f>IF(AND(A506&lt;&gt;"",COUNTIFS(C506,"&gt;=36526",C506,"&lt;"&amp;TODAY())+COUNTIFS(D506,"&gt;=36526",D506,"&lt;"&amp;TODAY())+COUNTIFS(E506,"&gt;=36526",E506,"&lt;"&amp;TODAY())+COUNTIFS(F506,"&gt;=36526",F506,"&lt;"&amp;TODAY())&gt;0),O506,"")</x:f>
      </x:c>
      <x:c r="K506" t="str">
        <x:f>IF(AND(A506&lt;&gt;"",COUNTIFS(C506,"&gt;=36526",C506,TODAY())+COUNTIFS(D506,"&gt;=36526",D506,TODAY())+COUNTIFS(E506,"&gt;=36526",E506,TODAY())+COUNTIFS(F506,"&gt;=36526",F506,TODAY())&gt;0),P506,"")</x:f>
      </x:c>
      <x:c r="L506" t="str">
        <x:f>IF(AND(A506&lt;&gt;"",COUNTIFS(C506,"&gt;"&amp;TODAY(),C506,"&lt;="&amp;TODAY()+30)+COUNTIFS(D506,"&gt;"&amp;TODAY(),D506,"&lt;="&amp;TODAY()+30)+COUNTIFS(E506,"&gt;"&amp;TODAY(),E506,"&lt;="&amp;TODAY()+30)+COUNTIFS(F506,"&gt;"&amp;TODAY(),F506,"&lt;="&amp;TODAY()+30)&gt;0),Q506,"")</x:f>
      </x:c>
      <x:c r="M506" t="str">
        <x:f>IF(OR(LEFT(H506,15)="Missing dates; ",LEFT(H506,16)="Add N/A reason; ",H506="Add dates",H506="Add registration",H506="Check date format"),R506,"")</x:f>
      </x:c>
      <x:c r="N506" t="str">
        <x:f>IF(COUNTIFS(C506:F506,"Reviewed N/A")&gt;0,S506,"")</x:f>
      </x:c>
      <x:c r="O506" t="n">
        <x:f>O505+IF(AND(A506&lt;&gt;"",COUNTIFS(C506,"&gt;=36526",C506,"&lt;"&amp;TODAY())+COUNTIFS(D506,"&gt;=36526",D506,"&lt;"&amp;TODAY())+COUNTIFS(E506,"&gt;=36526",E506,"&lt;"&amp;TODAY())+COUNTIFS(F506,"&gt;=36526",F506,"&lt;"&amp;TODAY())&gt;0),1,0)</x:f>
        <x:v>0</x:v>
      </x:c>
      <x:c r="P506" t="n">
        <x:f>P505+IF(AND(A506&lt;&gt;"",COUNTIFS(C506,"&gt;=36526",C506,TODAY())+COUNTIFS(D506,"&gt;=36526",D506,TODAY())+COUNTIFS(E506,"&gt;=36526",E506,TODAY())+COUNTIFS(F506,"&gt;=36526",F506,TODAY())&gt;0),1,0)</x:f>
        <x:v>0</x:v>
      </x:c>
      <x:c r="Q506" t="n">
        <x:f>Q505+IF(AND(A506&lt;&gt;"",COUNTIFS(C506,"&gt;"&amp;TODAY(),C506,"&lt;="&amp;TODAY()+30)+COUNTIFS(D506,"&gt;"&amp;TODAY(),D506,"&lt;="&amp;TODAY()+30)+COUNTIFS(E506,"&gt;"&amp;TODAY(),E506,"&lt;="&amp;TODAY()+30)+COUNTIFS(F506,"&gt;"&amp;TODAY(),F506,"&lt;="&amp;TODAY()+30)&gt;0),1,0)</x:f>
        <x:v>0</x:v>
      </x:c>
      <x:c r="R506" t="n">
        <x:f>R505+IF(OR(LEFT(H506,15)="Missing dates; ",LEFT(H506,16)="Add N/A reason; ",H506="Add dates",H506="Add registration",H506="Check date format"),1,0)</x:f>
        <x:v>0</x:v>
      </x:c>
      <x:c r="S506" t="n">
        <x:f>S505+IF(COUNTIFS(C506:F506,"Reviewed N/A")&gt;0,1,0)</x:f>
        <x:v>0</x:v>
      </x:c>
    </x:row>
    <x:row r="507" ht="48" customHeight="1">
      <x:c r="A507" s="52"/>
      <x:c r="B507" s="52"/>
      <x:c r="C507" s="53"/>
      <x:c r="D507" s="53"/>
      <x:c r="E507" s="53"/>
      <x:c r="F507" s="53"/>
      <x:c r="G507" s="52"/>
      <x:c r="H507" s="21" t="str">
        <x:f>IF(COUNTA(A507:G507,I507)=0,"",IF(A507="","Add registration",IF(OR(COUNTA(C507:F507)&gt;COUNT(C507:F507)+COUNTIFS(C507:F507,"Reviewed N/A"),AND(COUNT(C507:F507)&gt;0,OR(MIN(C507:F507)&lt;36526,MAX(C507:F507)&gt;109574))),"Check date format",IF(AND(COUNTIFS(C507:F507,"Reviewed N/A")&gt;0,I507=""),"Add N/A reason; ","")&amp;IF(COUNT(C507:F507)=0,IF(COUNTIFS(C507:F507,"Reviewed N/A")=4,"No applicable dates recorded","Add dates"),IF(COUNT(C507:F507)+COUNTIFS(C507:F507,"Reviewed N/A")&lt;4,"Missing dates; ","")&amp;IF(MIN(C507:F507)&lt;TODAY(),"Overdue: ",IF(MIN(C507:F507)=TODAY(),"Due today: ",IF(MIN(C507:F507)&lt;=TODAY()+30,"Due within 30 days: ","Next: ")))&amp;INDEX($C$8:$F$8,1,MATCH(MIN(C507:F507),C507:F507,0))&amp;" "&amp;TEXT(MIN(C507:F507),"dd mmm yyyy")))))</x:f>
      </x:c>
      <x:c r="I507" s="52"/>
      <x:c r="J507" t="str">
        <x:f>IF(AND(A507&lt;&gt;"",COUNTIFS(C507,"&gt;=36526",C507,"&lt;"&amp;TODAY())+COUNTIFS(D507,"&gt;=36526",D507,"&lt;"&amp;TODAY())+COUNTIFS(E507,"&gt;=36526",E507,"&lt;"&amp;TODAY())+COUNTIFS(F507,"&gt;=36526",F507,"&lt;"&amp;TODAY())&gt;0),O507,"")</x:f>
      </x:c>
      <x:c r="K507" t="str">
        <x:f>IF(AND(A507&lt;&gt;"",COUNTIFS(C507,"&gt;=36526",C507,TODAY())+COUNTIFS(D507,"&gt;=36526",D507,TODAY())+COUNTIFS(E507,"&gt;=36526",E507,TODAY())+COUNTIFS(F507,"&gt;=36526",F507,TODAY())&gt;0),P507,"")</x:f>
      </x:c>
      <x:c r="L507" t="str">
        <x:f>IF(AND(A507&lt;&gt;"",COUNTIFS(C507,"&gt;"&amp;TODAY(),C507,"&lt;="&amp;TODAY()+30)+COUNTIFS(D507,"&gt;"&amp;TODAY(),D507,"&lt;="&amp;TODAY()+30)+COUNTIFS(E507,"&gt;"&amp;TODAY(),E507,"&lt;="&amp;TODAY()+30)+COUNTIFS(F507,"&gt;"&amp;TODAY(),F507,"&lt;="&amp;TODAY()+30)&gt;0),Q507,"")</x:f>
      </x:c>
      <x:c r="M507" t="str">
        <x:f>IF(OR(LEFT(H507,15)="Missing dates; ",LEFT(H507,16)="Add N/A reason; ",H507="Add dates",H507="Add registration",H507="Check date format"),R507,"")</x:f>
      </x:c>
      <x:c r="N507" t="str">
        <x:f>IF(COUNTIFS(C507:F507,"Reviewed N/A")&gt;0,S507,"")</x:f>
      </x:c>
      <x:c r="O507" t="n">
        <x:f>O506+IF(AND(A507&lt;&gt;"",COUNTIFS(C507,"&gt;=36526",C507,"&lt;"&amp;TODAY())+COUNTIFS(D507,"&gt;=36526",D507,"&lt;"&amp;TODAY())+COUNTIFS(E507,"&gt;=36526",E507,"&lt;"&amp;TODAY())+COUNTIFS(F507,"&gt;=36526",F507,"&lt;"&amp;TODAY())&gt;0),1,0)</x:f>
        <x:v>0</x:v>
      </x:c>
      <x:c r="P507" t="n">
        <x:f>P506+IF(AND(A507&lt;&gt;"",COUNTIFS(C507,"&gt;=36526",C507,TODAY())+COUNTIFS(D507,"&gt;=36526",D507,TODAY())+COUNTIFS(E507,"&gt;=36526",E507,TODAY())+COUNTIFS(F507,"&gt;=36526",F507,TODAY())&gt;0),1,0)</x:f>
        <x:v>0</x:v>
      </x:c>
      <x:c r="Q507" t="n">
        <x:f>Q506+IF(AND(A507&lt;&gt;"",COUNTIFS(C507,"&gt;"&amp;TODAY(),C507,"&lt;="&amp;TODAY()+30)+COUNTIFS(D507,"&gt;"&amp;TODAY(),D507,"&lt;="&amp;TODAY()+30)+COUNTIFS(E507,"&gt;"&amp;TODAY(),E507,"&lt;="&amp;TODAY()+30)+COUNTIFS(F507,"&gt;"&amp;TODAY(),F507,"&lt;="&amp;TODAY()+30)&gt;0),1,0)</x:f>
        <x:v>0</x:v>
      </x:c>
      <x:c r="R507" t="n">
        <x:f>R506+IF(OR(LEFT(H507,15)="Missing dates; ",LEFT(H507,16)="Add N/A reason; ",H507="Add dates",H507="Add registration",H507="Check date format"),1,0)</x:f>
        <x:v>0</x:v>
      </x:c>
      <x:c r="S507" t="n">
        <x:f>S506+IF(COUNTIFS(C507:F507,"Reviewed N/A")&gt;0,1,0)</x:f>
        <x:v>0</x:v>
      </x:c>
    </x:row>
    <x:row r="508" ht="48" customHeight="1">
      <x:c r="A508" s="52"/>
      <x:c r="B508" s="52"/>
      <x:c r="C508" s="53"/>
      <x:c r="D508" s="53"/>
      <x:c r="E508" s="53"/>
      <x:c r="F508" s="53"/>
      <x:c r="G508" s="52"/>
      <x:c r="H508" s="21" t="str">
        <x:f>IF(COUNTA(A508:G508,I508)=0,"",IF(A508="","Add registration",IF(OR(COUNTA(C508:F508)&gt;COUNT(C508:F508)+COUNTIFS(C508:F508,"Reviewed N/A"),AND(COUNT(C508:F508)&gt;0,OR(MIN(C508:F508)&lt;36526,MAX(C508:F508)&gt;109574))),"Check date format",IF(AND(COUNTIFS(C508:F508,"Reviewed N/A")&gt;0,I508=""),"Add N/A reason; ","")&amp;IF(COUNT(C508:F508)=0,IF(COUNTIFS(C508:F508,"Reviewed N/A")=4,"No applicable dates recorded","Add dates"),IF(COUNT(C508:F508)+COUNTIFS(C508:F508,"Reviewed N/A")&lt;4,"Missing dates; ","")&amp;IF(MIN(C508:F508)&lt;TODAY(),"Overdue: ",IF(MIN(C508:F508)=TODAY(),"Due today: ",IF(MIN(C508:F508)&lt;=TODAY()+30,"Due within 30 days: ","Next: ")))&amp;INDEX($C$8:$F$8,1,MATCH(MIN(C508:F508),C508:F508,0))&amp;" "&amp;TEXT(MIN(C508:F508),"dd mmm yyyy")))))</x:f>
      </x:c>
      <x:c r="I508" s="52"/>
      <x:c r="J508" t="str">
        <x:f>IF(AND(A508&lt;&gt;"",COUNTIFS(C508,"&gt;=36526",C508,"&lt;"&amp;TODAY())+COUNTIFS(D508,"&gt;=36526",D508,"&lt;"&amp;TODAY())+COUNTIFS(E508,"&gt;=36526",E508,"&lt;"&amp;TODAY())+COUNTIFS(F508,"&gt;=36526",F508,"&lt;"&amp;TODAY())&gt;0),O508,"")</x:f>
      </x:c>
      <x:c r="K508" t="str">
        <x:f>IF(AND(A508&lt;&gt;"",COUNTIFS(C508,"&gt;=36526",C508,TODAY())+COUNTIFS(D508,"&gt;=36526",D508,TODAY())+COUNTIFS(E508,"&gt;=36526",E508,TODAY())+COUNTIFS(F508,"&gt;=36526",F508,TODAY())&gt;0),P508,"")</x:f>
      </x:c>
      <x:c r="L508" t="str">
        <x:f>IF(AND(A508&lt;&gt;"",COUNTIFS(C508,"&gt;"&amp;TODAY(),C508,"&lt;="&amp;TODAY()+30)+COUNTIFS(D508,"&gt;"&amp;TODAY(),D508,"&lt;="&amp;TODAY()+30)+COUNTIFS(E508,"&gt;"&amp;TODAY(),E508,"&lt;="&amp;TODAY()+30)+COUNTIFS(F508,"&gt;"&amp;TODAY(),F508,"&lt;="&amp;TODAY()+30)&gt;0),Q508,"")</x:f>
      </x:c>
      <x:c r="M508" t="str">
        <x:f>IF(OR(LEFT(H508,15)="Missing dates; ",LEFT(H508,16)="Add N/A reason; ",H508="Add dates",H508="Add registration",H508="Check date format"),R508,"")</x:f>
      </x:c>
      <x:c r="N508" t="str">
        <x:f>IF(COUNTIFS(C508:F508,"Reviewed N/A")&gt;0,S508,"")</x:f>
      </x:c>
      <x:c r="O508" t="n">
        <x:f>O507+IF(AND(A508&lt;&gt;"",COUNTIFS(C508,"&gt;=36526",C508,"&lt;"&amp;TODAY())+COUNTIFS(D508,"&gt;=36526",D508,"&lt;"&amp;TODAY())+COUNTIFS(E508,"&gt;=36526",E508,"&lt;"&amp;TODAY())+COUNTIFS(F508,"&gt;=36526",F508,"&lt;"&amp;TODAY())&gt;0),1,0)</x:f>
        <x:v>0</x:v>
      </x:c>
      <x:c r="P508" t="n">
        <x:f>P507+IF(AND(A508&lt;&gt;"",COUNTIFS(C508,"&gt;=36526",C508,TODAY())+COUNTIFS(D508,"&gt;=36526",D508,TODAY())+COUNTIFS(E508,"&gt;=36526",E508,TODAY())+COUNTIFS(F508,"&gt;=36526",F508,TODAY())&gt;0),1,0)</x:f>
        <x:v>0</x:v>
      </x:c>
      <x:c r="Q508" t="n">
        <x:f>Q507+IF(AND(A508&lt;&gt;"",COUNTIFS(C508,"&gt;"&amp;TODAY(),C508,"&lt;="&amp;TODAY()+30)+COUNTIFS(D508,"&gt;"&amp;TODAY(),D508,"&lt;="&amp;TODAY()+30)+COUNTIFS(E508,"&gt;"&amp;TODAY(),E508,"&lt;="&amp;TODAY()+30)+COUNTIFS(F508,"&gt;"&amp;TODAY(),F508,"&lt;="&amp;TODAY()+30)&gt;0),1,0)</x:f>
        <x:v>0</x:v>
      </x:c>
      <x:c r="R508" t="n">
        <x:f>R507+IF(OR(LEFT(H508,15)="Missing dates; ",LEFT(H508,16)="Add N/A reason; ",H508="Add dates",H508="Add registration",H508="Check date format"),1,0)</x:f>
        <x:v>0</x:v>
      </x:c>
      <x:c r="S508" t="n">
        <x:f>S507+IF(COUNTIFS(C508:F508,"Reviewed N/A")&gt;0,1,0)</x:f>
        <x:v>0</x:v>
      </x:c>
    </x:row>
    <x:row r="509" ht="48" customHeight="1">
      <x:c r="A509" s="52"/>
      <x:c r="B509" s="52"/>
      <x:c r="C509" s="53"/>
      <x:c r="D509" s="53"/>
      <x:c r="E509" s="53"/>
      <x:c r="F509" s="53"/>
      <x:c r="G509" s="52"/>
      <x:c r="H509" s="21" t="str">
        <x:f>IF(COUNTA(A509:G509,I509)=0,"",IF(A509="","Add registration",IF(OR(COUNTA(C509:F509)&gt;COUNT(C509:F509)+COUNTIFS(C509:F509,"Reviewed N/A"),AND(COUNT(C509:F509)&gt;0,OR(MIN(C509:F509)&lt;36526,MAX(C509:F509)&gt;109574))),"Check date format",IF(AND(COUNTIFS(C509:F509,"Reviewed N/A")&gt;0,I509=""),"Add N/A reason; ","")&amp;IF(COUNT(C509:F509)=0,IF(COUNTIFS(C509:F509,"Reviewed N/A")=4,"No applicable dates recorded","Add dates"),IF(COUNT(C509:F509)+COUNTIFS(C509:F509,"Reviewed N/A")&lt;4,"Missing dates; ","")&amp;IF(MIN(C509:F509)&lt;TODAY(),"Overdue: ",IF(MIN(C509:F509)=TODAY(),"Due today: ",IF(MIN(C509:F509)&lt;=TODAY()+30,"Due within 30 days: ","Next: ")))&amp;INDEX($C$8:$F$8,1,MATCH(MIN(C509:F509),C509:F509,0))&amp;" "&amp;TEXT(MIN(C509:F509),"dd mmm yyyy")))))</x:f>
      </x:c>
      <x:c r="I509" s="52"/>
      <x:c r="J509" t="str">
        <x:f>IF(AND(A509&lt;&gt;"",COUNTIFS(C509,"&gt;=36526",C509,"&lt;"&amp;TODAY())+COUNTIFS(D509,"&gt;=36526",D509,"&lt;"&amp;TODAY())+COUNTIFS(E509,"&gt;=36526",E509,"&lt;"&amp;TODAY())+COUNTIFS(F509,"&gt;=36526",F509,"&lt;"&amp;TODAY())&gt;0),O509,"")</x:f>
      </x:c>
      <x:c r="K509" t="str">
        <x:f>IF(AND(A509&lt;&gt;"",COUNTIFS(C509,"&gt;=36526",C509,TODAY())+COUNTIFS(D509,"&gt;=36526",D509,TODAY())+COUNTIFS(E509,"&gt;=36526",E509,TODAY())+COUNTIFS(F509,"&gt;=36526",F509,TODAY())&gt;0),P509,"")</x:f>
      </x:c>
      <x:c r="L509" t="str">
        <x:f>IF(AND(A509&lt;&gt;"",COUNTIFS(C509,"&gt;"&amp;TODAY(),C509,"&lt;="&amp;TODAY()+30)+COUNTIFS(D509,"&gt;"&amp;TODAY(),D509,"&lt;="&amp;TODAY()+30)+COUNTIFS(E509,"&gt;"&amp;TODAY(),E509,"&lt;="&amp;TODAY()+30)+COUNTIFS(F509,"&gt;"&amp;TODAY(),F509,"&lt;="&amp;TODAY()+30)&gt;0),Q509,"")</x:f>
      </x:c>
      <x:c r="M509" t="str">
        <x:f>IF(OR(LEFT(H509,15)="Missing dates; ",LEFT(H509,16)="Add N/A reason; ",H509="Add dates",H509="Add registration",H509="Check date format"),R509,"")</x:f>
      </x:c>
      <x:c r="N509" t="str">
        <x:f>IF(COUNTIFS(C509:F509,"Reviewed N/A")&gt;0,S509,"")</x:f>
      </x:c>
      <x:c r="O509" t="n">
        <x:f>O508+IF(AND(A509&lt;&gt;"",COUNTIFS(C509,"&gt;=36526",C509,"&lt;"&amp;TODAY())+COUNTIFS(D509,"&gt;=36526",D509,"&lt;"&amp;TODAY())+COUNTIFS(E509,"&gt;=36526",E509,"&lt;"&amp;TODAY())+COUNTIFS(F509,"&gt;=36526",F509,"&lt;"&amp;TODAY())&gt;0),1,0)</x:f>
        <x:v>0</x:v>
      </x:c>
      <x:c r="P509" t="n">
        <x:f>P508+IF(AND(A509&lt;&gt;"",COUNTIFS(C509,"&gt;=36526",C509,TODAY())+COUNTIFS(D509,"&gt;=36526",D509,TODAY())+COUNTIFS(E509,"&gt;=36526",E509,TODAY())+COUNTIFS(F509,"&gt;=36526",F509,TODAY())&gt;0),1,0)</x:f>
        <x:v>0</x:v>
      </x:c>
      <x:c r="Q509" t="n">
        <x:f>Q508+IF(AND(A509&lt;&gt;"",COUNTIFS(C509,"&gt;"&amp;TODAY(),C509,"&lt;="&amp;TODAY()+30)+COUNTIFS(D509,"&gt;"&amp;TODAY(),D509,"&lt;="&amp;TODAY()+30)+COUNTIFS(E509,"&gt;"&amp;TODAY(),E509,"&lt;="&amp;TODAY()+30)+COUNTIFS(F509,"&gt;"&amp;TODAY(),F509,"&lt;="&amp;TODAY()+30)&gt;0),1,0)</x:f>
        <x:v>0</x:v>
      </x:c>
      <x:c r="R509" t="n">
        <x:f>R508+IF(OR(LEFT(H509,15)="Missing dates; ",LEFT(H509,16)="Add N/A reason; ",H509="Add dates",H509="Add registration",H509="Check date format"),1,0)</x:f>
        <x:v>0</x:v>
      </x:c>
      <x:c r="S509" t="n">
        <x:f>S508+IF(COUNTIFS(C509:F509,"Reviewed N/A")&gt;0,1,0)</x:f>
        <x:v>0</x:v>
      </x:c>
    </x:row>
    <x:row r="510" ht="48" customHeight="1">
      <x:c r="A510" s="52"/>
      <x:c r="B510" s="52"/>
      <x:c r="C510" s="53"/>
      <x:c r="D510" s="53"/>
      <x:c r="E510" s="53"/>
      <x:c r="F510" s="53"/>
      <x:c r="G510" s="52"/>
      <x:c r="H510" s="21" t="str">
        <x:f>IF(COUNTA(A510:G510,I510)=0,"",IF(A510="","Add registration",IF(OR(COUNTA(C510:F510)&gt;COUNT(C510:F510)+COUNTIFS(C510:F510,"Reviewed N/A"),AND(COUNT(C510:F510)&gt;0,OR(MIN(C510:F510)&lt;36526,MAX(C510:F510)&gt;109574))),"Check date format",IF(AND(COUNTIFS(C510:F510,"Reviewed N/A")&gt;0,I510=""),"Add N/A reason; ","")&amp;IF(COUNT(C510:F510)=0,IF(COUNTIFS(C510:F510,"Reviewed N/A")=4,"No applicable dates recorded","Add dates"),IF(COUNT(C510:F510)+COUNTIFS(C510:F510,"Reviewed N/A")&lt;4,"Missing dates; ","")&amp;IF(MIN(C510:F510)&lt;TODAY(),"Overdue: ",IF(MIN(C510:F510)=TODAY(),"Due today: ",IF(MIN(C510:F510)&lt;=TODAY()+30,"Due within 30 days: ","Next: ")))&amp;INDEX($C$8:$F$8,1,MATCH(MIN(C510:F510),C510:F510,0))&amp;" "&amp;TEXT(MIN(C510:F510),"dd mmm yyyy")))))</x:f>
      </x:c>
      <x:c r="I510" s="52"/>
      <x:c r="J510" t="str">
        <x:f>IF(AND(A510&lt;&gt;"",COUNTIFS(C510,"&gt;=36526",C510,"&lt;"&amp;TODAY())+COUNTIFS(D510,"&gt;=36526",D510,"&lt;"&amp;TODAY())+COUNTIFS(E510,"&gt;=36526",E510,"&lt;"&amp;TODAY())+COUNTIFS(F510,"&gt;=36526",F510,"&lt;"&amp;TODAY())&gt;0),O510,"")</x:f>
      </x:c>
      <x:c r="K510" t="str">
        <x:f>IF(AND(A510&lt;&gt;"",COUNTIFS(C510,"&gt;=36526",C510,TODAY())+COUNTIFS(D510,"&gt;=36526",D510,TODAY())+COUNTIFS(E510,"&gt;=36526",E510,TODAY())+COUNTIFS(F510,"&gt;=36526",F510,TODAY())&gt;0),P510,"")</x:f>
      </x:c>
      <x:c r="L510" t="str">
        <x:f>IF(AND(A510&lt;&gt;"",COUNTIFS(C510,"&gt;"&amp;TODAY(),C510,"&lt;="&amp;TODAY()+30)+COUNTIFS(D510,"&gt;"&amp;TODAY(),D510,"&lt;="&amp;TODAY()+30)+COUNTIFS(E510,"&gt;"&amp;TODAY(),E510,"&lt;="&amp;TODAY()+30)+COUNTIFS(F510,"&gt;"&amp;TODAY(),F510,"&lt;="&amp;TODAY()+30)&gt;0),Q510,"")</x:f>
      </x:c>
      <x:c r="M510" t="str">
        <x:f>IF(OR(LEFT(H510,15)="Missing dates; ",LEFT(H510,16)="Add N/A reason; ",H510="Add dates",H510="Add registration",H510="Check date format"),R510,"")</x:f>
      </x:c>
      <x:c r="N510" t="str">
        <x:f>IF(COUNTIFS(C510:F510,"Reviewed N/A")&gt;0,S510,"")</x:f>
      </x:c>
      <x:c r="O510" t="n">
        <x:f>O509+IF(AND(A510&lt;&gt;"",COUNTIFS(C510,"&gt;=36526",C510,"&lt;"&amp;TODAY())+COUNTIFS(D510,"&gt;=36526",D510,"&lt;"&amp;TODAY())+COUNTIFS(E510,"&gt;=36526",E510,"&lt;"&amp;TODAY())+COUNTIFS(F510,"&gt;=36526",F510,"&lt;"&amp;TODAY())&gt;0),1,0)</x:f>
        <x:v>0</x:v>
      </x:c>
      <x:c r="P510" t="n">
        <x:f>P509+IF(AND(A510&lt;&gt;"",COUNTIFS(C510,"&gt;=36526",C510,TODAY())+COUNTIFS(D510,"&gt;=36526",D510,TODAY())+COUNTIFS(E510,"&gt;=36526",E510,TODAY())+COUNTIFS(F510,"&gt;=36526",F510,TODAY())&gt;0),1,0)</x:f>
        <x:v>0</x:v>
      </x:c>
      <x:c r="Q510" t="n">
        <x:f>Q509+IF(AND(A510&lt;&gt;"",COUNTIFS(C510,"&gt;"&amp;TODAY(),C510,"&lt;="&amp;TODAY()+30)+COUNTIFS(D510,"&gt;"&amp;TODAY(),D510,"&lt;="&amp;TODAY()+30)+COUNTIFS(E510,"&gt;"&amp;TODAY(),E510,"&lt;="&amp;TODAY()+30)+COUNTIFS(F510,"&gt;"&amp;TODAY(),F510,"&lt;="&amp;TODAY()+30)&gt;0),1,0)</x:f>
        <x:v>0</x:v>
      </x:c>
      <x:c r="R510" t="n">
        <x:f>R509+IF(OR(LEFT(H510,15)="Missing dates; ",LEFT(H510,16)="Add N/A reason; ",H510="Add dates",H510="Add registration",H510="Check date format"),1,0)</x:f>
        <x:v>0</x:v>
      </x:c>
      <x:c r="S510" t="n">
        <x:f>S509+IF(COUNTIFS(C510:F510,"Reviewed N/A")&gt;0,1,0)</x:f>
        <x:v>0</x:v>
      </x:c>
    </x:row>
    <x:row r="511" ht="48" customHeight="1">
      <x:c r="A511" s="52"/>
      <x:c r="B511" s="52"/>
      <x:c r="C511" s="53"/>
      <x:c r="D511" s="53"/>
      <x:c r="E511" s="53"/>
      <x:c r="F511" s="53"/>
      <x:c r="G511" s="52"/>
      <x:c r="H511" s="21" t="str">
        <x:f>IF(COUNTA(A511:G511,I511)=0,"",IF(A511="","Add registration",IF(OR(COUNTA(C511:F511)&gt;COUNT(C511:F511)+COUNTIFS(C511:F511,"Reviewed N/A"),AND(COUNT(C511:F511)&gt;0,OR(MIN(C511:F511)&lt;36526,MAX(C511:F511)&gt;109574))),"Check date format",IF(AND(COUNTIFS(C511:F511,"Reviewed N/A")&gt;0,I511=""),"Add N/A reason; ","")&amp;IF(COUNT(C511:F511)=0,IF(COUNTIFS(C511:F511,"Reviewed N/A")=4,"No applicable dates recorded","Add dates"),IF(COUNT(C511:F511)+COUNTIFS(C511:F511,"Reviewed N/A")&lt;4,"Missing dates; ","")&amp;IF(MIN(C511:F511)&lt;TODAY(),"Overdue: ",IF(MIN(C511:F511)=TODAY(),"Due today: ",IF(MIN(C511:F511)&lt;=TODAY()+30,"Due within 30 days: ","Next: ")))&amp;INDEX($C$8:$F$8,1,MATCH(MIN(C511:F511),C511:F511,0))&amp;" "&amp;TEXT(MIN(C511:F511),"dd mmm yyyy")))))</x:f>
      </x:c>
      <x:c r="I511" s="52"/>
      <x:c r="J511" t="str">
        <x:f>IF(AND(A511&lt;&gt;"",COUNTIFS(C511,"&gt;=36526",C511,"&lt;"&amp;TODAY())+COUNTIFS(D511,"&gt;=36526",D511,"&lt;"&amp;TODAY())+COUNTIFS(E511,"&gt;=36526",E511,"&lt;"&amp;TODAY())+COUNTIFS(F511,"&gt;=36526",F511,"&lt;"&amp;TODAY())&gt;0),O511,"")</x:f>
      </x:c>
      <x:c r="K511" t="str">
        <x:f>IF(AND(A511&lt;&gt;"",COUNTIFS(C511,"&gt;=36526",C511,TODAY())+COUNTIFS(D511,"&gt;=36526",D511,TODAY())+COUNTIFS(E511,"&gt;=36526",E511,TODAY())+COUNTIFS(F511,"&gt;=36526",F511,TODAY())&gt;0),P511,"")</x:f>
      </x:c>
      <x:c r="L511" t="str">
        <x:f>IF(AND(A511&lt;&gt;"",COUNTIFS(C511,"&gt;"&amp;TODAY(),C511,"&lt;="&amp;TODAY()+30)+COUNTIFS(D511,"&gt;"&amp;TODAY(),D511,"&lt;="&amp;TODAY()+30)+COUNTIFS(E511,"&gt;"&amp;TODAY(),E511,"&lt;="&amp;TODAY()+30)+COUNTIFS(F511,"&gt;"&amp;TODAY(),F511,"&lt;="&amp;TODAY()+30)&gt;0),Q511,"")</x:f>
      </x:c>
      <x:c r="M511" t="str">
        <x:f>IF(OR(LEFT(H511,15)="Missing dates; ",LEFT(H511,16)="Add N/A reason; ",H511="Add dates",H511="Add registration",H511="Check date format"),R511,"")</x:f>
      </x:c>
      <x:c r="N511" t="str">
        <x:f>IF(COUNTIFS(C511:F511,"Reviewed N/A")&gt;0,S511,"")</x:f>
      </x:c>
      <x:c r="O511" t="n">
        <x:f>O510+IF(AND(A511&lt;&gt;"",COUNTIFS(C511,"&gt;=36526",C511,"&lt;"&amp;TODAY())+COUNTIFS(D511,"&gt;=36526",D511,"&lt;"&amp;TODAY())+COUNTIFS(E511,"&gt;=36526",E511,"&lt;"&amp;TODAY())+COUNTIFS(F511,"&gt;=36526",F511,"&lt;"&amp;TODAY())&gt;0),1,0)</x:f>
        <x:v>0</x:v>
      </x:c>
      <x:c r="P511" t="n">
        <x:f>P510+IF(AND(A511&lt;&gt;"",COUNTIFS(C511,"&gt;=36526",C511,TODAY())+COUNTIFS(D511,"&gt;=36526",D511,TODAY())+COUNTIFS(E511,"&gt;=36526",E511,TODAY())+COUNTIFS(F511,"&gt;=36526",F511,TODAY())&gt;0),1,0)</x:f>
        <x:v>0</x:v>
      </x:c>
      <x:c r="Q511" t="n">
        <x:f>Q510+IF(AND(A511&lt;&gt;"",COUNTIFS(C511,"&gt;"&amp;TODAY(),C511,"&lt;="&amp;TODAY()+30)+COUNTIFS(D511,"&gt;"&amp;TODAY(),D511,"&lt;="&amp;TODAY()+30)+COUNTIFS(E511,"&gt;"&amp;TODAY(),E511,"&lt;="&amp;TODAY()+30)+COUNTIFS(F511,"&gt;"&amp;TODAY(),F511,"&lt;="&amp;TODAY()+30)&gt;0),1,0)</x:f>
        <x:v>0</x:v>
      </x:c>
      <x:c r="R511" t="n">
        <x:f>R510+IF(OR(LEFT(H511,15)="Missing dates; ",LEFT(H511,16)="Add N/A reason; ",H511="Add dates",H511="Add registration",H511="Check date format"),1,0)</x:f>
        <x:v>0</x:v>
      </x:c>
      <x:c r="S511" t="n">
        <x:f>S510+IF(COUNTIFS(C511:F511,"Reviewed N/A")&gt;0,1,0)</x:f>
        <x:v>0</x:v>
      </x:c>
    </x:row>
    <x:row r="512" ht="48" customHeight="1">
      <x:c r="A512" s="52"/>
      <x:c r="B512" s="52"/>
      <x:c r="C512" s="53"/>
      <x:c r="D512" s="53"/>
      <x:c r="E512" s="53"/>
      <x:c r="F512" s="53"/>
      <x:c r="G512" s="52"/>
      <x:c r="H512" s="21" t="str">
        <x:f>IF(COUNTA(A512:G512,I512)=0,"",IF(A512="","Add registration",IF(OR(COUNTA(C512:F512)&gt;COUNT(C512:F512)+COUNTIFS(C512:F512,"Reviewed N/A"),AND(COUNT(C512:F512)&gt;0,OR(MIN(C512:F512)&lt;36526,MAX(C512:F512)&gt;109574))),"Check date format",IF(AND(COUNTIFS(C512:F512,"Reviewed N/A")&gt;0,I512=""),"Add N/A reason; ","")&amp;IF(COUNT(C512:F512)=0,IF(COUNTIFS(C512:F512,"Reviewed N/A")=4,"No applicable dates recorded","Add dates"),IF(COUNT(C512:F512)+COUNTIFS(C512:F512,"Reviewed N/A")&lt;4,"Missing dates; ","")&amp;IF(MIN(C512:F512)&lt;TODAY(),"Overdue: ",IF(MIN(C512:F512)=TODAY(),"Due today: ",IF(MIN(C512:F512)&lt;=TODAY()+30,"Due within 30 days: ","Next: ")))&amp;INDEX($C$8:$F$8,1,MATCH(MIN(C512:F512),C512:F512,0))&amp;" "&amp;TEXT(MIN(C512:F512),"dd mmm yyyy")))))</x:f>
      </x:c>
      <x:c r="I512" s="52"/>
      <x:c r="J512" t="str">
        <x:f>IF(AND(A512&lt;&gt;"",COUNTIFS(C512,"&gt;=36526",C512,"&lt;"&amp;TODAY())+COUNTIFS(D512,"&gt;=36526",D512,"&lt;"&amp;TODAY())+COUNTIFS(E512,"&gt;=36526",E512,"&lt;"&amp;TODAY())+COUNTIFS(F512,"&gt;=36526",F512,"&lt;"&amp;TODAY())&gt;0),O512,"")</x:f>
      </x:c>
      <x:c r="K512" t="str">
        <x:f>IF(AND(A512&lt;&gt;"",COUNTIFS(C512,"&gt;=36526",C512,TODAY())+COUNTIFS(D512,"&gt;=36526",D512,TODAY())+COUNTIFS(E512,"&gt;=36526",E512,TODAY())+COUNTIFS(F512,"&gt;=36526",F512,TODAY())&gt;0),P512,"")</x:f>
      </x:c>
      <x:c r="L512" t="str">
        <x:f>IF(AND(A512&lt;&gt;"",COUNTIFS(C512,"&gt;"&amp;TODAY(),C512,"&lt;="&amp;TODAY()+30)+COUNTIFS(D512,"&gt;"&amp;TODAY(),D512,"&lt;="&amp;TODAY()+30)+COUNTIFS(E512,"&gt;"&amp;TODAY(),E512,"&lt;="&amp;TODAY()+30)+COUNTIFS(F512,"&gt;"&amp;TODAY(),F512,"&lt;="&amp;TODAY()+30)&gt;0),Q512,"")</x:f>
      </x:c>
      <x:c r="M512" t="str">
        <x:f>IF(OR(LEFT(H512,15)="Missing dates; ",LEFT(H512,16)="Add N/A reason; ",H512="Add dates",H512="Add registration",H512="Check date format"),R512,"")</x:f>
      </x:c>
      <x:c r="N512" t="str">
        <x:f>IF(COUNTIFS(C512:F512,"Reviewed N/A")&gt;0,S512,"")</x:f>
      </x:c>
      <x:c r="O512" t="n">
        <x:f>O511+IF(AND(A512&lt;&gt;"",COUNTIFS(C512,"&gt;=36526",C512,"&lt;"&amp;TODAY())+COUNTIFS(D512,"&gt;=36526",D512,"&lt;"&amp;TODAY())+COUNTIFS(E512,"&gt;=36526",E512,"&lt;"&amp;TODAY())+COUNTIFS(F512,"&gt;=36526",F512,"&lt;"&amp;TODAY())&gt;0),1,0)</x:f>
        <x:v>0</x:v>
      </x:c>
      <x:c r="P512" t="n">
        <x:f>P511+IF(AND(A512&lt;&gt;"",COUNTIFS(C512,"&gt;=36526",C512,TODAY())+COUNTIFS(D512,"&gt;=36526",D512,TODAY())+COUNTIFS(E512,"&gt;=36526",E512,TODAY())+COUNTIFS(F512,"&gt;=36526",F512,TODAY())&gt;0),1,0)</x:f>
        <x:v>0</x:v>
      </x:c>
      <x:c r="Q512" t="n">
        <x:f>Q511+IF(AND(A512&lt;&gt;"",COUNTIFS(C512,"&gt;"&amp;TODAY(),C512,"&lt;="&amp;TODAY()+30)+COUNTIFS(D512,"&gt;"&amp;TODAY(),D512,"&lt;="&amp;TODAY()+30)+COUNTIFS(E512,"&gt;"&amp;TODAY(),E512,"&lt;="&amp;TODAY()+30)+COUNTIFS(F512,"&gt;"&amp;TODAY(),F512,"&lt;="&amp;TODAY()+30)&gt;0),1,0)</x:f>
        <x:v>0</x:v>
      </x:c>
      <x:c r="R512" t="n">
        <x:f>R511+IF(OR(LEFT(H512,15)="Missing dates; ",LEFT(H512,16)="Add N/A reason; ",H512="Add dates",H512="Add registration",H512="Check date format"),1,0)</x:f>
        <x:v>0</x:v>
      </x:c>
      <x:c r="S512" t="n">
        <x:f>S511+IF(COUNTIFS(C512:F512,"Reviewed N/A")&gt;0,1,0)</x:f>
        <x:v>0</x:v>
      </x:c>
    </x:row>
    <x:row r="513" ht="48" customHeight="1">
      <x:c r="A513" s="52"/>
      <x:c r="B513" s="52"/>
      <x:c r="C513" s="53"/>
      <x:c r="D513" s="53"/>
      <x:c r="E513" s="53"/>
      <x:c r="F513" s="53"/>
      <x:c r="G513" s="52"/>
      <x:c r="H513" s="21" t="str">
        <x:f>IF(COUNTA(A513:G513,I513)=0,"",IF(A513="","Add registration",IF(OR(COUNTA(C513:F513)&gt;COUNT(C513:F513)+COUNTIFS(C513:F513,"Reviewed N/A"),AND(COUNT(C513:F513)&gt;0,OR(MIN(C513:F513)&lt;36526,MAX(C513:F513)&gt;109574))),"Check date format",IF(AND(COUNTIFS(C513:F513,"Reviewed N/A")&gt;0,I513=""),"Add N/A reason; ","")&amp;IF(COUNT(C513:F513)=0,IF(COUNTIFS(C513:F513,"Reviewed N/A")=4,"No applicable dates recorded","Add dates"),IF(COUNT(C513:F513)+COUNTIFS(C513:F513,"Reviewed N/A")&lt;4,"Missing dates; ","")&amp;IF(MIN(C513:F513)&lt;TODAY(),"Overdue: ",IF(MIN(C513:F513)=TODAY(),"Due today: ",IF(MIN(C513:F513)&lt;=TODAY()+30,"Due within 30 days: ","Next: ")))&amp;INDEX($C$8:$F$8,1,MATCH(MIN(C513:F513),C513:F513,0))&amp;" "&amp;TEXT(MIN(C513:F513),"dd mmm yyyy")))))</x:f>
      </x:c>
      <x:c r="I513" s="52"/>
      <x:c r="J513" t="str">
        <x:f>IF(AND(A513&lt;&gt;"",COUNTIFS(C513,"&gt;=36526",C513,"&lt;"&amp;TODAY())+COUNTIFS(D513,"&gt;=36526",D513,"&lt;"&amp;TODAY())+COUNTIFS(E513,"&gt;=36526",E513,"&lt;"&amp;TODAY())+COUNTIFS(F513,"&gt;=36526",F513,"&lt;"&amp;TODAY())&gt;0),O513,"")</x:f>
      </x:c>
      <x:c r="K513" t="str">
        <x:f>IF(AND(A513&lt;&gt;"",COUNTIFS(C513,"&gt;=36526",C513,TODAY())+COUNTIFS(D513,"&gt;=36526",D513,TODAY())+COUNTIFS(E513,"&gt;=36526",E513,TODAY())+COUNTIFS(F513,"&gt;=36526",F513,TODAY())&gt;0),P513,"")</x:f>
      </x:c>
      <x:c r="L513" t="str">
        <x:f>IF(AND(A513&lt;&gt;"",COUNTIFS(C513,"&gt;"&amp;TODAY(),C513,"&lt;="&amp;TODAY()+30)+COUNTIFS(D513,"&gt;"&amp;TODAY(),D513,"&lt;="&amp;TODAY()+30)+COUNTIFS(E513,"&gt;"&amp;TODAY(),E513,"&lt;="&amp;TODAY()+30)+COUNTIFS(F513,"&gt;"&amp;TODAY(),F513,"&lt;="&amp;TODAY()+30)&gt;0),Q513,"")</x:f>
      </x:c>
      <x:c r="M513" t="str">
        <x:f>IF(OR(LEFT(H513,15)="Missing dates; ",LEFT(H513,16)="Add N/A reason; ",H513="Add dates",H513="Add registration",H513="Check date format"),R513,"")</x:f>
      </x:c>
      <x:c r="N513" t="str">
        <x:f>IF(COUNTIFS(C513:F513,"Reviewed N/A")&gt;0,S513,"")</x:f>
      </x:c>
      <x:c r="O513" t="n">
        <x:f>O512+IF(AND(A513&lt;&gt;"",COUNTIFS(C513,"&gt;=36526",C513,"&lt;"&amp;TODAY())+COUNTIFS(D513,"&gt;=36526",D513,"&lt;"&amp;TODAY())+COUNTIFS(E513,"&gt;=36526",E513,"&lt;"&amp;TODAY())+COUNTIFS(F513,"&gt;=36526",F513,"&lt;"&amp;TODAY())&gt;0),1,0)</x:f>
        <x:v>0</x:v>
      </x:c>
      <x:c r="P513" t="n">
        <x:f>P512+IF(AND(A513&lt;&gt;"",COUNTIFS(C513,"&gt;=36526",C513,TODAY())+COUNTIFS(D513,"&gt;=36526",D513,TODAY())+COUNTIFS(E513,"&gt;=36526",E513,TODAY())+COUNTIFS(F513,"&gt;=36526",F513,TODAY())&gt;0),1,0)</x:f>
        <x:v>0</x:v>
      </x:c>
      <x:c r="Q513" t="n">
        <x:f>Q512+IF(AND(A513&lt;&gt;"",COUNTIFS(C513,"&gt;"&amp;TODAY(),C513,"&lt;="&amp;TODAY()+30)+COUNTIFS(D513,"&gt;"&amp;TODAY(),D513,"&lt;="&amp;TODAY()+30)+COUNTIFS(E513,"&gt;"&amp;TODAY(),E513,"&lt;="&amp;TODAY()+30)+COUNTIFS(F513,"&gt;"&amp;TODAY(),F513,"&lt;="&amp;TODAY()+30)&gt;0),1,0)</x:f>
        <x:v>0</x:v>
      </x:c>
      <x:c r="R513" t="n">
        <x:f>R512+IF(OR(LEFT(H513,15)="Missing dates; ",LEFT(H513,16)="Add N/A reason; ",H513="Add dates",H513="Add registration",H513="Check date format"),1,0)</x:f>
        <x:v>0</x:v>
      </x:c>
      <x:c r="S513" t="n">
        <x:f>S512+IF(COUNTIFS(C513:F513,"Reviewed N/A")&gt;0,1,0)</x:f>
        <x:v>0</x:v>
      </x:c>
    </x:row>
    <x:row r="514" ht="48" customHeight="1">
      <x:c r="A514" s="52"/>
      <x:c r="B514" s="52"/>
      <x:c r="C514" s="53"/>
      <x:c r="D514" s="53"/>
      <x:c r="E514" s="53"/>
      <x:c r="F514" s="53"/>
      <x:c r="G514" s="52"/>
      <x:c r="H514" s="21" t="str">
        <x:f>IF(COUNTA(A514:G514,I514)=0,"",IF(A514="","Add registration",IF(OR(COUNTA(C514:F514)&gt;COUNT(C514:F514)+COUNTIFS(C514:F514,"Reviewed N/A"),AND(COUNT(C514:F514)&gt;0,OR(MIN(C514:F514)&lt;36526,MAX(C514:F514)&gt;109574))),"Check date format",IF(AND(COUNTIFS(C514:F514,"Reviewed N/A")&gt;0,I514=""),"Add N/A reason; ","")&amp;IF(COUNT(C514:F514)=0,IF(COUNTIFS(C514:F514,"Reviewed N/A")=4,"No applicable dates recorded","Add dates"),IF(COUNT(C514:F514)+COUNTIFS(C514:F514,"Reviewed N/A")&lt;4,"Missing dates; ","")&amp;IF(MIN(C514:F514)&lt;TODAY(),"Overdue: ",IF(MIN(C514:F514)=TODAY(),"Due today: ",IF(MIN(C514:F514)&lt;=TODAY()+30,"Due within 30 days: ","Next: ")))&amp;INDEX($C$8:$F$8,1,MATCH(MIN(C514:F514),C514:F514,0))&amp;" "&amp;TEXT(MIN(C514:F514),"dd mmm yyyy")))))</x:f>
      </x:c>
      <x:c r="I514" s="52"/>
      <x:c r="J514" t="str">
        <x:f>IF(AND(A514&lt;&gt;"",COUNTIFS(C514,"&gt;=36526",C514,"&lt;"&amp;TODAY())+COUNTIFS(D514,"&gt;=36526",D514,"&lt;"&amp;TODAY())+COUNTIFS(E514,"&gt;=36526",E514,"&lt;"&amp;TODAY())+COUNTIFS(F514,"&gt;=36526",F514,"&lt;"&amp;TODAY())&gt;0),O514,"")</x:f>
      </x:c>
      <x:c r="K514" t="str">
        <x:f>IF(AND(A514&lt;&gt;"",COUNTIFS(C514,"&gt;=36526",C514,TODAY())+COUNTIFS(D514,"&gt;=36526",D514,TODAY())+COUNTIFS(E514,"&gt;=36526",E514,TODAY())+COUNTIFS(F514,"&gt;=36526",F514,TODAY())&gt;0),P514,"")</x:f>
      </x:c>
      <x:c r="L514" t="str">
        <x:f>IF(AND(A514&lt;&gt;"",COUNTIFS(C514,"&gt;"&amp;TODAY(),C514,"&lt;="&amp;TODAY()+30)+COUNTIFS(D514,"&gt;"&amp;TODAY(),D514,"&lt;="&amp;TODAY()+30)+COUNTIFS(E514,"&gt;"&amp;TODAY(),E514,"&lt;="&amp;TODAY()+30)+COUNTIFS(F514,"&gt;"&amp;TODAY(),F514,"&lt;="&amp;TODAY()+30)&gt;0),Q514,"")</x:f>
      </x:c>
      <x:c r="M514" t="str">
        <x:f>IF(OR(LEFT(H514,15)="Missing dates; ",LEFT(H514,16)="Add N/A reason; ",H514="Add dates",H514="Add registration",H514="Check date format"),R514,"")</x:f>
      </x:c>
      <x:c r="N514" t="str">
        <x:f>IF(COUNTIFS(C514:F514,"Reviewed N/A")&gt;0,S514,"")</x:f>
      </x:c>
      <x:c r="O514" t="n">
        <x:f>O513+IF(AND(A514&lt;&gt;"",COUNTIFS(C514,"&gt;=36526",C514,"&lt;"&amp;TODAY())+COUNTIFS(D514,"&gt;=36526",D514,"&lt;"&amp;TODAY())+COUNTIFS(E514,"&gt;=36526",E514,"&lt;"&amp;TODAY())+COUNTIFS(F514,"&gt;=36526",F514,"&lt;"&amp;TODAY())&gt;0),1,0)</x:f>
        <x:v>0</x:v>
      </x:c>
      <x:c r="P514" t="n">
        <x:f>P513+IF(AND(A514&lt;&gt;"",COUNTIFS(C514,"&gt;=36526",C514,TODAY())+COUNTIFS(D514,"&gt;=36526",D514,TODAY())+COUNTIFS(E514,"&gt;=36526",E514,TODAY())+COUNTIFS(F514,"&gt;=36526",F514,TODAY())&gt;0),1,0)</x:f>
        <x:v>0</x:v>
      </x:c>
      <x:c r="Q514" t="n">
        <x:f>Q513+IF(AND(A514&lt;&gt;"",COUNTIFS(C514,"&gt;"&amp;TODAY(),C514,"&lt;="&amp;TODAY()+30)+COUNTIFS(D514,"&gt;"&amp;TODAY(),D514,"&lt;="&amp;TODAY()+30)+COUNTIFS(E514,"&gt;"&amp;TODAY(),E514,"&lt;="&amp;TODAY()+30)+COUNTIFS(F514,"&gt;"&amp;TODAY(),F514,"&lt;="&amp;TODAY()+30)&gt;0),1,0)</x:f>
        <x:v>0</x:v>
      </x:c>
      <x:c r="R514" t="n">
        <x:f>R513+IF(OR(LEFT(H514,15)="Missing dates; ",LEFT(H514,16)="Add N/A reason; ",H514="Add dates",H514="Add registration",H514="Check date format"),1,0)</x:f>
        <x:v>0</x:v>
      </x:c>
      <x:c r="S514" t="n">
        <x:f>S513+IF(COUNTIFS(C514:F514,"Reviewed N/A")&gt;0,1,0)</x:f>
        <x:v>0</x:v>
      </x:c>
    </x:row>
    <x:row r="515" ht="48" customHeight="1">
      <x:c r="A515" s="52"/>
      <x:c r="B515" s="52"/>
      <x:c r="C515" s="53"/>
      <x:c r="D515" s="53"/>
      <x:c r="E515" s="53"/>
      <x:c r="F515" s="53"/>
      <x:c r="G515" s="52"/>
      <x:c r="H515" s="21" t="str">
        <x:f>IF(COUNTA(A515:G515,I515)=0,"",IF(A515="","Add registration",IF(OR(COUNTA(C515:F515)&gt;COUNT(C515:F515)+COUNTIFS(C515:F515,"Reviewed N/A"),AND(COUNT(C515:F515)&gt;0,OR(MIN(C515:F515)&lt;36526,MAX(C515:F515)&gt;109574))),"Check date format",IF(AND(COUNTIFS(C515:F515,"Reviewed N/A")&gt;0,I515=""),"Add N/A reason; ","")&amp;IF(COUNT(C515:F515)=0,IF(COUNTIFS(C515:F515,"Reviewed N/A")=4,"No applicable dates recorded","Add dates"),IF(COUNT(C515:F515)+COUNTIFS(C515:F515,"Reviewed N/A")&lt;4,"Missing dates; ","")&amp;IF(MIN(C515:F515)&lt;TODAY(),"Overdue: ",IF(MIN(C515:F515)=TODAY(),"Due today: ",IF(MIN(C515:F515)&lt;=TODAY()+30,"Due within 30 days: ","Next: ")))&amp;INDEX($C$8:$F$8,1,MATCH(MIN(C515:F515),C515:F515,0))&amp;" "&amp;TEXT(MIN(C515:F515),"dd mmm yyyy")))))</x:f>
      </x:c>
      <x:c r="I515" s="52"/>
      <x:c r="J515" t="str">
        <x:f>IF(AND(A515&lt;&gt;"",COUNTIFS(C515,"&gt;=36526",C515,"&lt;"&amp;TODAY())+COUNTIFS(D515,"&gt;=36526",D515,"&lt;"&amp;TODAY())+COUNTIFS(E515,"&gt;=36526",E515,"&lt;"&amp;TODAY())+COUNTIFS(F515,"&gt;=36526",F515,"&lt;"&amp;TODAY())&gt;0),O515,"")</x:f>
      </x:c>
      <x:c r="K515" t="str">
        <x:f>IF(AND(A515&lt;&gt;"",COUNTIFS(C515,"&gt;=36526",C515,TODAY())+COUNTIFS(D515,"&gt;=36526",D515,TODAY())+COUNTIFS(E515,"&gt;=36526",E515,TODAY())+COUNTIFS(F515,"&gt;=36526",F515,TODAY())&gt;0),P515,"")</x:f>
      </x:c>
      <x:c r="L515" t="str">
        <x:f>IF(AND(A515&lt;&gt;"",COUNTIFS(C515,"&gt;"&amp;TODAY(),C515,"&lt;="&amp;TODAY()+30)+COUNTIFS(D515,"&gt;"&amp;TODAY(),D515,"&lt;="&amp;TODAY()+30)+COUNTIFS(E515,"&gt;"&amp;TODAY(),E515,"&lt;="&amp;TODAY()+30)+COUNTIFS(F515,"&gt;"&amp;TODAY(),F515,"&lt;="&amp;TODAY()+30)&gt;0),Q515,"")</x:f>
      </x:c>
      <x:c r="M515" t="str">
        <x:f>IF(OR(LEFT(H515,15)="Missing dates; ",LEFT(H515,16)="Add N/A reason; ",H515="Add dates",H515="Add registration",H515="Check date format"),R515,"")</x:f>
      </x:c>
      <x:c r="N515" t="str">
        <x:f>IF(COUNTIFS(C515:F515,"Reviewed N/A")&gt;0,S515,"")</x:f>
      </x:c>
      <x:c r="O515" t="n">
        <x:f>O514+IF(AND(A515&lt;&gt;"",COUNTIFS(C515,"&gt;=36526",C515,"&lt;"&amp;TODAY())+COUNTIFS(D515,"&gt;=36526",D515,"&lt;"&amp;TODAY())+COUNTIFS(E515,"&gt;=36526",E515,"&lt;"&amp;TODAY())+COUNTIFS(F515,"&gt;=36526",F515,"&lt;"&amp;TODAY())&gt;0),1,0)</x:f>
        <x:v>0</x:v>
      </x:c>
      <x:c r="P515" t="n">
        <x:f>P514+IF(AND(A515&lt;&gt;"",COUNTIFS(C515,"&gt;=36526",C515,TODAY())+COUNTIFS(D515,"&gt;=36526",D515,TODAY())+COUNTIFS(E515,"&gt;=36526",E515,TODAY())+COUNTIFS(F515,"&gt;=36526",F515,TODAY())&gt;0),1,0)</x:f>
        <x:v>0</x:v>
      </x:c>
      <x:c r="Q515" t="n">
        <x:f>Q514+IF(AND(A515&lt;&gt;"",COUNTIFS(C515,"&gt;"&amp;TODAY(),C515,"&lt;="&amp;TODAY()+30)+COUNTIFS(D515,"&gt;"&amp;TODAY(),D515,"&lt;="&amp;TODAY()+30)+COUNTIFS(E515,"&gt;"&amp;TODAY(),E515,"&lt;="&amp;TODAY()+30)+COUNTIFS(F515,"&gt;"&amp;TODAY(),F515,"&lt;="&amp;TODAY()+30)&gt;0),1,0)</x:f>
        <x:v>0</x:v>
      </x:c>
      <x:c r="R515" t="n">
        <x:f>R514+IF(OR(LEFT(H515,15)="Missing dates; ",LEFT(H515,16)="Add N/A reason; ",H515="Add dates",H515="Add registration",H515="Check date format"),1,0)</x:f>
        <x:v>0</x:v>
      </x:c>
      <x:c r="S515" t="n">
        <x:f>S514+IF(COUNTIFS(C515:F515,"Reviewed N/A")&gt;0,1,0)</x:f>
        <x:v>0</x:v>
      </x:c>
    </x:row>
    <x:row r="516" ht="48" customHeight="1">
      <x:c r="A516" s="52"/>
      <x:c r="B516" s="52"/>
      <x:c r="C516" s="53"/>
      <x:c r="D516" s="53"/>
      <x:c r="E516" s="53"/>
      <x:c r="F516" s="53"/>
      <x:c r="G516" s="52"/>
      <x:c r="H516" s="21" t="str">
        <x:f>IF(COUNTA(A516:G516,I516)=0,"",IF(A516="","Add registration",IF(OR(COUNTA(C516:F516)&gt;COUNT(C516:F516)+COUNTIFS(C516:F516,"Reviewed N/A"),AND(COUNT(C516:F516)&gt;0,OR(MIN(C516:F516)&lt;36526,MAX(C516:F516)&gt;109574))),"Check date format",IF(AND(COUNTIFS(C516:F516,"Reviewed N/A")&gt;0,I516=""),"Add N/A reason; ","")&amp;IF(COUNT(C516:F516)=0,IF(COUNTIFS(C516:F516,"Reviewed N/A")=4,"No applicable dates recorded","Add dates"),IF(COUNT(C516:F516)+COUNTIFS(C516:F516,"Reviewed N/A")&lt;4,"Missing dates; ","")&amp;IF(MIN(C516:F516)&lt;TODAY(),"Overdue: ",IF(MIN(C516:F516)=TODAY(),"Due today: ",IF(MIN(C516:F516)&lt;=TODAY()+30,"Due within 30 days: ","Next: ")))&amp;INDEX($C$8:$F$8,1,MATCH(MIN(C516:F516),C516:F516,0))&amp;" "&amp;TEXT(MIN(C516:F516),"dd mmm yyyy")))))</x:f>
      </x:c>
      <x:c r="I516" s="52"/>
      <x:c r="J516" t="str">
        <x:f>IF(AND(A516&lt;&gt;"",COUNTIFS(C516,"&gt;=36526",C516,"&lt;"&amp;TODAY())+COUNTIFS(D516,"&gt;=36526",D516,"&lt;"&amp;TODAY())+COUNTIFS(E516,"&gt;=36526",E516,"&lt;"&amp;TODAY())+COUNTIFS(F516,"&gt;=36526",F516,"&lt;"&amp;TODAY())&gt;0),O516,"")</x:f>
      </x:c>
      <x:c r="K516" t="str">
        <x:f>IF(AND(A516&lt;&gt;"",COUNTIFS(C516,"&gt;=36526",C516,TODAY())+COUNTIFS(D516,"&gt;=36526",D516,TODAY())+COUNTIFS(E516,"&gt;=36526",E516,TODAY())+COUNTIFS(F516,"&gt;=36526",F516,TODAY())&gt;0),P516,"")</x:f>
      </x:c>
      <x:c r="L516" t="str">
        <x:f>IF(AND(A516&lt;&gt;"",COUNTIFS(C516,"&gt;"&amp;TODAY(),C516,"&lt;="&amp;TODAY()+30)+COUNTIFS(D516,"&gt;"&amp;TODAY(),D516,"&lt;="&amp;TODAY()+30)+COUNTIFS(E516,"&gt;"&amp;TODAY(),E516,"&lt;="&amp;TODAY()+30)+COUNTIFS(F516,"&gt;"&amp;TODAY(),F516,"&lt;="&amp;TODAY()+30)&gt;0),Q516,"")</x:f>
      </x:c>
      <x:c r="M516" t="str">
        <x:f>IF(OR(LEFT(H516,15)="Missing dates; ",LEFT(H516,16)="Add N/A reason; ",H516="Add dates",H516="Add registration",H516="Check date format"),R516,"")</x:f>
      </x:c>
      <x:c r="N516" t="str">
        <x:f>IF(COUNTIFS(C516:F516,"Reviewed N/A")&gt;0,S516,"")</x:f>
      </x:c>
      <x:c r="O516" t="n">
        <x:f>O515+IF(AND(A516&lt;&gt;"",COUNTIFS(C516,"&gt;=36526",C516,"&lt;"&amp;TODAY())+COUNTIFS(D516,"&gt;=36526",D516,"&lt;"&amp;TODAY())+COUNTIFS(E516,"&gt;=36526",E516,"&lt;"&amp;TODAY())+COUNTIFS(F516,"&gt;=36526",F516,"&lt;"&amp;TODAY())&gt;0),1,0)</x:f>
        <x:v>0</x:v>
      </x:c>
      <x:c r="P516" t="n">
        <x:f>P515+IF(AND(A516&lt;&gt;"",COUNTIFS(C516,"&gt;=36526",C516,TODAY())+COUNTIFS(D516,"&gt;=36526",D516,TODAY())+COUNTIFS(E516,"&gt;=36526",E516,TODAY())+COUNTIFS(F516,"&gt;=36526",F516,TODAY())&gt;0),1,0)</x:f>
        <x:v>0</x:v>
      </x:c>
      <x:c r="Q516" t="n">
        <x:f>Q515+IF(AND(A516&lt;&gt;"",COUNTIFS(C516,"&gt;"&amp;TODAY(),C516,"&lt;="&amp;TODAY()+30)+COUNTIFS(D516,"&gt;"&amp;TODAY(),D516,"&lt;="&amp;TODAY()+30)+COUNTIFS(E516,"&gt;"&amp;TODAY(),E516,"&lt;="&amp;TODAY()+30)+COUNTIFS(F516,"&gt;"&amp;TODAY(),F516,"&lt;="&amp;TODAY()+30)&gt;0),1,0)</x:f>
        <x:v>0</x:v>
      </x:c>
      <x:c r="R516" t="n">
        <x:f>R515+IF(OR(LEFT(H516,15)="Missing dates; ",LEFT(H516,16)="Add N/A reason; ",H516="Add dates",H516="Add registration",H516="Check date format"),1,0)</x:f>
        <x:v>0</x:v>
      </x:c>
      <x:c r="S516" t="n">
        <x:f>S515+IF(COUNTIFS(C516:F516,"Reviewed N/A")&gt;0,1,0)</x:f>
        <x:v>0</x:v>
      </x:c>
    </x:row>
    <x:row r="517" ht="48" customHeight="1">
      <x:c r="A517" s="52"/>
      <x:c r="B517" s="52"/>
      <x:c r="C517" s="53"/>
      <x:c r="D517" s="53"/>
      <x:c r="E517" s="53"/>
      <x:c r="F517" s="53"/>
      <x:c r="G517" s="52"/>
      <x:c r="H517" s="21" t="str">
        <x:f>IF(COUNTA(A517:G517,I517)=0,"",IF(A517="","Add registration",IF(OR(COUNTA(C517:F517)&gt;COUNT(C517:F517)+COUNTIFS(C517:F517,"Reviewed N/A"),AND(COUNT(C517:F517)&gt;0,OR(MIN(C517:F517)&lt;36526,MAX(C517:F517)&gt;109574))),"Check date format",IF(AND(COUNTIFS(C517:F517,"Reviewed N/A")&gt;0,I517=""),"Add N/A reason; ","")&amp;IF(COUNT(C517:F517)=0,IF(COUNTIFS(C517:F517,"Reviewed N/A")=4,"No applicable dates recorded","Add dates"),IF(COUNT(C517:F517)+COUNTIFS(C517:F517,"Reviewed N/A")&lt;4,"Missing dates; ","")&amp;IF(MIN(C517:F517)&lt;TODAY(),"Overdue: ",IF(MIN(C517:F517)=TODAY(),"Due today: ",IF(MIN(C517:F517)&lt;=TODAY()+30,"Due within 30 days: ","Next: ")))&amp;INDEX($C$8:$F$8,1,MATCH(MIN(C517:F517),C517:F517,0))&amp;" "&amp;TEXT(MIN(C517:F517),"dd mmm yyyy")))))</x:f>
      </x:c>
      <x:c r="I517" s="52"/>
      <x:c r="J517" t="str">
        <x:f>IF(AND(A517&lt;&gt;"",COUNTIFS(C517,"&gt;=36526",C517,"&lt;"&amp;TODAY())+COUNTIFS(D517,"&gt;=36526",D517,"&lt;"&amp;TODAY())+COUNTIFS(E517,"&gt;=36526",E517,"&lt;"&amp;TODAY())+COUNTIFS(F517,"&gt;=36526",F517,"&lt;"&amp;TODAY())&gt;0),O517,"")</x:f>
      </x:c>
      <x:c r="K517" t="str">
        <x:f>IF(AND(A517&lt;&gt;"",COUNTIFS(C517,"&gt;=36526",C517,TODAY())+COUNTIFS(D517,"&gt;=36526",D517,TODAY())+COUNTIFS(E517,"&gt;=36526",E517,TODAY())+COUNTIFS(F517,"&gt;=36526",F517,TODAY())&gt;0),P517,"")</x:f>
      </x:c>
      <x:c r="L517" t="str">
        <x:f>IF(AND(A517&lt;&gt;"",COUNTIFS(C517,"&gt;"&amp;TODAY(),C517,"&lt;="&amp;TODAY()+30)+COUNTIFS(D517,"&gt;"&amp;TODAY(),D517,"&lt;="&amp;TODAY()+30)+COUNTIFS(E517,"&gt;"&amp;TODAY(),E517,"&lt;="&amp;TODAY()+30)+COUNTIFS(F517,"&gt;"&amp;TODAY(),F517,"&lt;="&amp;TODAY()+30)&gt;0),Q517,"")</x:f>
      </x:c>
      <x:c r="M517" t="str">
        <x:f>IF(OR(LEFT(H517,15)="Missing dates; ",LEFT(H517,16)="Add N/A reason; ",H517="Add dates",H517="Add registration",H517="Check date format"),R517,"")</x:f>
      </x:c>
      <x:c r="N517" t="str">
        <x:f>IF(COUNTIFS(C517:F517,"Reviewed N/A")&gt;0,S517,"")</x:f>
      </x:c>
      <x:c r="O517" t="n">
        <x:f>O516+IF(AND(A517&lt;&gt;"",COUNTIFS(C517,"&gt;=36526",C517,"&lt;"&amp;TODAY())+COUNTIFS(D517,"&gt;=36526",D517,"&lt;"&amp;TODAY())+COUNTIFS(E517,"&gt;=36526",E517,"&lt;"&amp;TODAY())+COUNTIFS(F517,"&gt;=36526",F517,"&lt;"&amp;TODAY())&gt;0),1,0)</x:f>
        <x:v>0</x:v>
      </x:c>
      <x:c r="P517" t="n">
        <x:f>P516+IF(AND(A517&lt;&gt;"",COUNTIFS(C517,"&gt;=36526",C517,TODAY())+COUNTIFS(D517,"&gt;=36526",D517,TODAY())+COUNTIFS(E517,"&gt;=36526",E517,TODAY())+COUNTIFS(F517,"&gt;=36526",F517,TODAY())&gt;0),1,0)</x:f>
        <x:v>0</x:v>
      </x:c>
      <x:c r="Q517" t="n">
        <x:f>Q516+IF(AND(A517&lt;&gt;"",COUNTIFS(C517,"&gt;"&amp;TODAY(),C517,"&lt;="&amp;TODAY()+30)+COUNTIFS(D517,"&gt;"&amp;TODAY(),D517,"&lt;="&amp;TODAY()+30)+COUNTIFS(E517,"&gt;"&amp;TODAY(),E517,"&lt;="&amp;TODAY()+30)+COUNTIFS(F517,"&gt;"&amp;TODAY(),F517,"&lt;="&amp;TODAY()+30)&gt;0),1,0)</x:f>
        <x:v>0</x:v>
      </x:c>
      <x:c r="R517" t="n">
        <x:f>R516+IF(OR(LEFT(H517,15)="Missing dates; ",LEFT(H517,16)="Add N/A reason; ",H517="Add dates",H517="Add registration",H517="Check date format"),1,0)</x:f>
        <x:v>0</x:v>
      </x:c>
      <x:c r="S517" t="n">
        <x:f>S516+IF(COUNTIFS(C517:F517,"Reviewed N/A")&gt;0,1,0)</x:f>
        <x:v>0</x:v>
      </x:c>
    </x:row>
    <x:row r="518" ht="48" customHeight="1">
      <x:c r="A518" s="52"/>
      <x:c r="B518" s="52"/>
      <x:c r="C518" s="53"/>
      <x:c r="D518" s="53"/>
      <x:c r="E518" s="53"/>
      <x:c r="F518" s="53"/>
      <x:c r="G518" s="52"/>
      <x:c r="H518" s="21" t="str">
        <x:f>IF(COUNTA(A518:G518,I518)=0,"",IF(A518="","Add registration",IF(OR(COUNTA(C518:F518)&gt;COUNT(C518:F518)+COUNTIFS(C518:F518,"Reviewed N/A"),AND(COUNT(C518:F518)&gt;0,OR(MIN(C518:F518)&lt;36526,MAX(C518:F518)&gt;109574))),"Check date format",IF(AND(COUNTIFS(C518:F518,"Reviewed N/A")&gt;0,I518=""),"Add N/A reason; ","")&amp;IF(COUNT(C518:F518)=0,IF(COUNTIFS(C518:F518,"Reviewed N/A")=4,"No applicable dates recorded","Add dates"),IF(COUNT(C518:F518)+COUNTIFS(C518:F518,"Reviewed N/A")&lt;4,"Missing dates; ","")&amp;IF(MIN(C518:F518)&lt;TODAY(),"Overdue: ",IF(MIN(C518:F518)=TODAY(),"Due today: ",IF(MIN(C518:F518)&lt;=TODAY()+30,"Due within 30 days: ","Next: ")))&amp;INDEX($C$8:$F$8,1,MATCH(MIN(C518:F518),C518:F518,0))&amp;" "&amp;TEXT(MIN(C518:F518),"dd mmm yyyy")))))</x:f>
      </x:c>
      <x:c r="I518" s="52"/>
      <x:c r="J518" t="str">
        <x:f>IF(AND(A518&lt;&gt;"",COUNTIFS(C518,"&gt;=36526",C518,"&lt;"&amp;TODAY())+COUNTIFS(D518,"&gt;=36526",D518,"&lt;"&amp;TODAY())+COUNTIFS(E518,"&gt;=36526",E518,"&lt;"&amp;TODAY())+COUNTIFS(F518,"&gt;=36526",F518,"&lt;"&amp;TODAY())&gt;0),O518,"")</x:f>
      </x:c>
      <x:c r="K518" t="str">
        <x:f>IF(AND(A518&lt;&gt;"",COUNTIFS(C518,"&gt;=36526",C518,TODAY())+COUNTIFS(D518,"&gt;=36526",D518,TODAY())+COUNTIFS(E518,"&gt;=36526",E518,TODAY())+COUNTIFS(F518,"&gt;=36526",F518,TODAY())&gt;0),P518,"")</x:f>
      </x:c>
      <x:c r="L518" t="str">
        <x:f>IF(AND(A518&lt;&gt;"",COUNTIFS(C518,"&gt;"&amp;TODAY(),C518,"&lt;="&amp;TODAY()+30)+COUNTIFS(D518,"&gt;"&amp;TODAY(),D518,"&lt;="&amp;TODAY()+30)+COUNTIFS(E518,"&gt;"&amp;TODAY(),E518,"&lt;="&amp;TODAY()+30)+COUNTIFS(F518,"&gt;"&amp;TODAY(),F518,"&lt;="&amp;TODAY()+30)&gt;0),Q518,"")</x:f>
      </x:c>
      <x:c r="M518" t="str">
        <x:f>IF(OR(LEFT(H518,15)="Missing dates; ",LEFT(H518,16)="Add N/A reason; ",H518="Add dates",H518="Add registration",H518="Check date format"),R518,"")</x:f>
      </x:c>
      <x:c r="N518" t="str">
        <x:f>IF(COUNTIFS(C518:F518,"Reviewed N/A")&gt;0,S518,"")</x:f>
      </x:c>
      <x:c r="O518" t="n">
        <x:f>O517+IF(AND(A518&lt;&gt;"",COUNTIFS(C518,"&gt;=36526",C518,"&lt;"&amp;TODAY())+COUNTIFS(D518,"&gt;=36526",D518,"&lt;"&amp;TODAY())+COUNTIFS(E518,"&gt;=36526",E518,"&lt;"&amp;TODAY())+COUNTIFS(F518,"&gt;=36526",F518,"&lt;"&amp;TODAY())&gt;0),1,0)</x:f>
        <x:v>0</x:v>
      </x:c>
      <x:c r="P518" t="n">
        <x:f>P517+IF(AND(A518&lt;&gt;"",COUNTIFS(C518,"&gt;=36526",C518,TODAY())+COUNTIFS(D518,"&gt;=36526",D518,TODAY())+COUNTIFS(E518,"&gt;=36526",E518,TODAY())+COUNTIFS(F518,"&gt;=36526",F518,TODAY())&gt;0),1,0)</x:f>
        <x:v>0</x:v>
      </x:c>
      <x:c r="Q518" t="n">
        <x:f>Q517+IF(AND(A518&lt;&gt;"",COUNTIFS(C518,"&gt;"&amp;TODAY(),C518,"&lt;="&amp;TODAY()+30)+COUNTIFS(D518,"&gt;"&amp;TODAY(),D518,"&lt;="&amp;TODAY()+30)+COUNTIFS(E518,"&gt;"&amp;TODAY(),E518,"&lt;="&amp;TODAY()+30)+COUNTIFS(F518,"&gt;"&amp;TODAY(),F518,"&lt;="&amp;TODAY()+30)&gt;0),1,0)</x:f>
        <x:v>0</x:v>
      </x:c>
      <x:c r="R518" t="n">
        <x:f>R517+IF(OR(LEFT(H518,15)="Missing dates; ",LEFT(H518,16)="Add N/A reason; ",H518="Add dates",H518="Add registration",H518="Check date format"),1,0)</x:f>
        <x:v>0</x:v>
      </x:c>
      <x:c r="S518" t="n">
        <x:f>S517+IF(COUNTIFS(C518:F518,"Reviewed N/A")&gt;0,1,0)</x:f>
        <x:v>0</x:v>
      </x:c>
    </x:row>
    <x:row r="519" ht="48" customHeight="1">
      <x:c r="A519" s="52"/>
      <x:c r="B519" s="52"/>
      <x:c r="C519" s="53"/>
      <x:c r="D519" s="53"/>
      <x:c r="E519" s="53"/>
      <x:c r="F519" s="53"/>
      <x:c r="G519" s="52"/>
      <x:c r="H519" s="21" t="str">
        <x:f>IF(COUNTA(A519:G519,I519)=0,"",IF(A519="","Add registration",IF(OR(COUNTA(C519:F519)&gt;COUNT(C519:F519)+COUNTIFS(C519:F519,"Reviewed N/A"),AND(COUNT(C519:F519)&gt;0,OR(MIN(C519:F519)&lt;36526,MAX(C519:F519)&gt;109574))),"Check date format",IF(AND(COUNTIFS(C519:F519,"Reviewed N/A")&gt;0,I519=""),"Add N/A reason; ","")&amp;IF(COUNT(C519:F519)=0,IF(COUNTIFS(C519:F519,"Reviewed N/A")=4,"No applicable dates recorded","Add dates"),IF(COUNT(C519:F519)+COUNTIFS(C519:F519,"Reviewed N/A")&lt;4,"Missing dates; ","")&amp;IF(MIN(C519:F519)&lt;TODAY(),"Overdue: ",IF(MIN(C519:F519)=TODAY(),"Due today: ",IF(MIN(C519:F519)&lt;=TODAY()+30,"Due within 30 days: ","Next: ")))&amp;INDEX($C$8:$F$8,1,MATCH(MIN(C519:F519),C519:F519,0))&amp;" "&amp;TEXT(MIN(C519:F519),"dd mmm yyyy")))))</x:f>
      </x:c>
      <x:c r="I519" s="52"/>
      <x:c r="J519" t="str">
        <x:f>IF(AND(A519&lt;&gt;"",COUNTIFS(C519,"&gt;=36526",C519,"&lt;"&amp;TODAY())+COUNTIFS(D519,"&gt;=36526",D519,"&lt;"&amp;TODAY())+COUNTIFS(E519,"&gt;=36526",E519,"&lt;"&amp;TODAY())+COUNTIFS(F519,"&gt;=36526",F519,"&lt;"&amp;TODAY())&gt;0),O519,"")</x:f>
      </x:c>
      <x:c r="K519" t="str">
        <x:f>IF(AND(A519&lt;&gt;"",COUNTIFS(C519,"&gt;=36526",C519,TODAY())+COUNTIFS(D519,"&gt;=36526",D519,TODAY())+COUNTIFS(E519,"&gt;=36526",E519,TODAY())+COUNTIFS(F519,"&gt;=36526",F519,TODAY())&gt;0),P519,"")</x:f>
      </x:c>
      <x:c r="L519" t="str">
        <x:f>IF(AND(A519&lt;&gt;"",COUNTIFS(C519,"&gt;"&amp;TODAY(),C519,"&lt;="&amp;TODAY()+30)+COUNTIFS(D519,"&gt;"&amp;TODAY(),D519,"&lt;="&amp;TODAY()+30)+COUNTIFS(E519,"&gt;"&amp;TODAY(),E519,"&lt;="&amp;TODAY()+30)+COUNTIFS(F519,"&gt;"&amp;TODAY(),F519,"&lt;="&amp;TODAY()+30)&gt;0),Q519,"")</x:f>
      </x:c>
      <x:c r="M519" t="str">
        <x:f>IF(OR(LEFT(H519,15)="Missing dates; ",LEFT(H519,16)="Add N/A reason; ",H519="Add dates",H519="Add registration",H519="Check date format"),R519,"")</x:f>
      </x:c>
      <x:c r="N519" t="str">
        <x:f>IF(COUNTIFS(C519:F519,"Reviewed N/A")&gt;0,S519,"")</x:f>
      </x:c>
      <x:c r="O519" t="n">
        <x:f>O518+IF(AND(A519&lt;&gt;"",COUNTIFS(C519,"&gt;=36526",C519,"&lt;"&amp;TODAY())+COUNTIFS(D519,"&gt;=36526",D519,"&lt;"&amp;TODAY())+COUNTIFS(E519,"&gt;=36526",E519,"&lt;"&amp;TODAY())+COUNTIFS(F519,"&gt;=36526",F519,"&lt;"&amp;TODAY())&gt;0),1,0)</x:f>
        <x:v>0</x:v>
      </x:c>
      <x:c r="P519" t="n">
        <x:f>P518+IF(AND(A519&lt;&gt;"",COUNTIFS(C519,"&gt;=36526",C519,TODAY())+COUNTIFS(D519,"&gt;=36526",D519,TODAY())+COUNTIFS(E519,"&gt;=36526",E519,TODAY())+COUNTIFS(F519,"&gt;=36526",F519,TODAY())&gt;0),1,0)</x:f>
        <x:v>0</x:v>
      </x:c>
      <x:c r="Q519" t="n">
        <x:f>Q518+IF(AND(A519&lt;&gt;"",COUNTIFS(C519,"&gt;"&amp;TODAY(),C519,"&lt;="&amp;TODAY()+30)+COUNTIFS(D519,"&gt;"&amp;TODAY(),D519,"&lt;="&amp;TODAY()+30)+COUNTIFS(E519,"&gt;"&amp;TODAY(),E519,"&lt;="&amp;TODAY()+30)+COUNTIFS(F519,"&gt;"&amp;TODAY(),F519,"&lt;="&amp;TODAY()+30)&gt;0),1,0)</x:f>
        <x:v>0</x:v>
      </x:c>
      <x:c r="R519" t="n">
        <x:f>R518+IF(OR(LEFT(H519,15)="Missing dates; ",LEFT(H519,16)="Add N/A reason; ",H519="Add dates",H519="Add registration",H519="Check date format"),1,0)</x:f>
        <x:v>0</x:v>
      </x:c>
      <x:c r="S519" t="n">
        <x:f>S518+IF(COUNTIFS(C519:F519,"Reviewed N/A")&gt;0,1,0)</x:f>
        <x:v>0</x:v>
      </x:c>
    </x:row>
    <x:row r="520" ht="48" customHeight="1">
      <x:c r="A520" s="52"/>
      <x:c r="B520" s="52"/>
      <x:c r="C520" s="53"/>
      <x:c r="D520" s="53"/>
      <x:c r="E520" s="53"/>
      <x:c r="F520" s="53"/>
      <x:c r="G520" s="52"/>
      <x:c r="H520" s="21" t="str">
        <x:f>IF(COUNTA(A520:G520,I520)=0,"",IF(A520="","Add registration",IF(OR(COUNTA(C520:F520)&gt;COUNT(C520:F520)+COUNTIFS(C520:F520,"Reviewed N/A"),AND(COUNT(C520:F520)&gt;0,OR(MIN(C520:F520)&lt;36526,MAX(C520:F520)&gt;109574))),"Check date format",IF(AND(COUNTIFS(C520:F520,"Reviewed N/A")&gt;0,I520=""),"Add N/A reason; ","")&amp;IF(COUNT(C520:F520)=0,IF(COUNTIFS(C520:F520,"Reviewed N/A")=4,"No applicable dates recorded","Add dates"),IF(COUNT(C520:F520)+COUNTIFS(C520:F520,"Reviewed N/A")&lt;4,"Missing dates; ","")&amp;IF(MIN(C520:F520)&lt;TODAY(),"Overdue: ",IF(MIN(C520:F520)=TODAY(),"Due today: ",IF(MIN(C520:F520)&lt;=TODAY()+30,"Due within 30 days: ","Next: ")))&amp;INDEX($C$8:$F$8,1,MATCH(MIN(C520:F520),C520:F520,0))&amp;" "&amp;TEXT(MIN(C520:F520),"dd mmm yyyy")))))</x:f>
      </x:c>
      <x:c r="I520" s="52"/>
      <x:c r="J520" t="str">
        <x:f>IF(AND(A520&lt;&gt;"",COUNTIFS(C520,"&gt;=36526",C520,"&lt;"&amp;TODAY())+COUNTIFS(D520,"&gt;=36526",D520,"&lt;"&amp;TODAY())+COUNTIFS(E520,"&gt;=36526",E520,"&lt;"&amp;TODAY())+COUNTIFS(F520,"&gt;=36526",F520,"&lt;"&amp;TODAY())&gt;0),O520,"")</x:f>
      </x:c>
      <x:c r="K520" t="str">
        <x:f>IF(AND(A520&lt;&gt;"",COUNTIFS(C520,"&gt;=36526",C520,TODAY())+COUNTIFS(D520,"&gt;=36526",D520,TODAY())+COUNTIFS(E520,"&gt;=36526",E520,TODAY())+COUNTIFS(F520,"&gt;=36526",F520,TODAY())&gt;0),P520,"")</x:f>
      </x:c>
      <x:c r="L520" t="str">
        <x:f>IF(AND(A520&lt;&gt;"",COUNTIFS(C520,"&gt;"&amp;TODAY(),C520,"&lt;="&amp;TODAY()+30)+COUNTIFS(D520,"&gt;"&amp;TODAY(),D520,"&lt;="&amp;TODAY()+30)+COUNTIFS(E520,"&gt;"&amp;TODAY(),E520,"&lt;="&amp;TODAY()+30)+COUNTIFS(F520,"&gt;"&amp;TODAY(),F520,"&lt;="&amp;TODAY()+30)&gt;0),Q520,"")</x:f>
      </x:c>
      <x:c r="M520" t="str">
        <x:f>IF(OR(LEFT(H520,15)="Missing dates; ",LEFT(H520,16)="Add N/A reason; ",H520="Add dates",H520="Add registration",H520="Check date format"),R520,"")</x:f>
      </x:c>
      <x:c r="N520" t="str">
        <x:f>IF(COUNTIFS(C520:F520,"Reviewed N/A")&gt;0,S520,"")</x:f>
      </x:c>
      <x:c r="O520" t="n">
        <x:f>O519+IF(AND(A520&lt;&gt;"",COUNTIFS(C520,"&gt;=36526",C520,"&lt;"&amp;TODAY())+COUNTIFS(D520,"&gt;=36526",D520,"&lt;"&amp;TODAY())+COUNTIFS(E520,"&gt;=36526",E520,"&lt;"&amp;TODAY())+COUNTIFS(F520,"&gt;=36526",F520,"&lt;"&amp;TODAY())&gt;0),1,0)</x:f>
        <x:v>0</x:v>
      </x:c>
      <x:c r="P520" t="n">
        <x:f>P519+IF(AND(A520&lt;&gt;"",COUNTIFS(C520,"&gt;=36526",C520,TODAY())+COUNTIFS(D520,"&gt;=36526",D520,TODAY())+COUNTIFS(E520,"&gt;=36526",E520,TODAY())+COUNTIFS(F520,"&gt;=36526",F520,TODAY())&gt;0),1,0)</x:f>
        <x:v>0</x:v>
      </x:c>
      <x:c r="Q520" t="n">
        <x:f>Q519+IF(AND(A520&lt;&gt;"",COUNTIFS(C520,"&gt;"&amp;TODAY(),C520,"&lt;="&amp;TODAY()+30)+COUNTIFS(D520,"&gt;"&amp;TODAY(),D520,"&lt;="&amp;TODAY()+30)+COUNTIFS(E520,"&gt;"&amp;TODAY(),E520,"&lt;="&amp;TODAY()+30)+COUNTIFS(F520,"&gt;"&amp;TODAY(),F520,"&lt;="&amp;TODAY()+30)&gt;0),1,0)</x:f>
        <x:v>0</x:v>
      </x:c>
      <x:c r="R520" t="n">
        <x:f>R519+IF(OR(LEFT(H520,15)="Missing dates; ",LEFT(H520,16)="Add N/A reason; ",H520="Add dates",H520="Add registration",H520="Check date format"),1,0)</x:f>
        <x:v>0</x:v>
      </x:c>
      <x:c r="S520" t="n">
        <x:f>S519+IF(COUNTIFS(C520:F520,"Reviewed N/A")&gt;0,1,0)</x:f>
        <x:v>0</x:v>
      </x:c>
    </x:row>
    <x:row r="521" ht="48" customHeight="1">
      <x:c r="A521" s="52"/>
      <x:c r="B521" s="52"/>
      <x:c r="C521" s="53"/>
      <x:c r="D521" s="53"/>
      <x:c r="E521" s="53"/>
      <x:c r="F521" s="53"/>
      <x:c r="G521" s="52"/>
      <x:c r="H521" s="21" t="str">
        <x:f>IF(COUNTA(A521:G521,I521)=0,"",IF(A521="","Add registration",IF(OR(COUNTA(C521:F521)&gt;COUNT(C521:F521)+COUNTIFS(C521:F521,"Reviewed N/A"),AND(COUNT(C521:F521)&gt;0,OR(MIN(C521:F521)&lt;36526,MAX(C521:F521)&gt;109574))),"Check date format",IF(AND(COUNTIFS(C521:F521,"Reviewed N/A")&gt;0,I521=""),"Add N/A reason; ","")&amp;IF(COUNT(C521:F521)=0,IF(COUNTIFS(C521:F521,"Reviewed N/A")=4,"No applicable dates recorded","Add dates"),IF(COUNT(C521:F521)+COUNTIFS(C521:F521,"Reviewed N/A")&lt;4,"Missing dates; ","")&amp;IF(MIN(C521:F521)&lt;TODAY(),"Overdue: ",IF(MIN(C521:F521)=TODAY(),"Due today: ",IF(MIN(C521:F521)&lt;=TODAY()+30,"Due within 30 days: ","Next: ")))&amp;INDEX($C$8:$F$8,1,MATCH(MIN(C521:F521),C521:F521,0))&amp;" "&amp;TEXT(MIN(C521:F521),"dd mmm yyyy")))))</x:f>
      </x:c>
      <x:c r="I521" s="52"/>
      <x:c r="J521" t="str">
        <x:f>IF(AND(A521&lt;&gt;"",COUNTIFS(C521,"&gt;=36526",C521,"&lt;"&amp;TODAY())+COUNTIFS(D521,"&gt;=36526",D521,"&lt;"&amp;TODAY())+COUNTIFS(E521,"&gt;=36526",E521,"&lt;"&amp;TODAY())+COUNTIFS(F521,"&gt;=36526",F521,"&lt;"&amp;TODAY())&gt;0),O521,"")</x:f>
      </x:c>
      <x:c r="K521" t="str">
        <x:f>IF(AND(A521&lt;&gt;"",COUNTIFS(C521,"&gt;=36526",C521,TODAY())+COUNTIFS(D521,"&gt;=36526",D521,TODAY())+COUNTIFS(E521,"&gt;=36526",E521,TODAY())+COUNTIFS(F521,"&gt;=36526",F521,TODAY())&gt;0),P521,"")</x:f>
      </x:c>
      <x:c r="L521" t="str">
        <x:f>IF(AND(A521&lt;&gt;"",COUNTIFS(C521,"&gt;"&amp;TODAY(),C521,"&lt;="&amp;TODAY()+30)+COUNTIFS(D521,"&gt;"&amp;TODAY(),D521,"&lt;="&amp;TODAY()+30)+COUNTIFS(E521,"&gt;"&amp;TODAY(),E521,"&lt;="&amp;TODAY()+30)+COUNTIFS(F521,"&gt;"&amp;TODAY(),F521,"&lt;="&amp;TODAY()+30)&gt;0),Q521,"")</x:f>
      </x:c>
      <x:c r="M521" t="str">
        <x:f>IF(OR(LEFT(H521,15)="Missing dates; ",LEFT(H521,16)="Add N/A reason; ",H521="Add dates",H521="Add registration",H521="Check date format"),R521,"")</x:f>
      </x:c>
      <x:c r="N521" t="str">
        <x:f>IF(COUNTIFS(C521:F521,"Reviewed N/A")&gt;0,S521,"")</x:f>
      </x:c>
      <x:c r="O521" t="n">
        <x:f>O520+IF(AND(A521&lt;&gt;"",COUNTIFS(C521,"&gt;=36526",C521,"&lt;"&amp;TODAY())+COUNTIFS(D521,"&gt;=36526",D521,"&lt;"&amp;TODAY())+COUNTIFS(E521,"&gt;=36526",E521,"&lt;"&amp;TODAY())+COUNTIFS(F521,"&gt;=36526",F521,"&lt;"&amp;TODAY())&gt;0),1,0)</x:f>
        <x:v>0</x:v>
      </x:c>
      <x:c r="P521" t="n">
        <x:f>P520+IF(AND(A521&lt;&gt;"",COUNTIFS(C521,"&gt;=36526",C521,TODAY())+COUNTIFS(D521,"&gt;=36526",D521,TODAY())+COUNTIFS(E521,"&gt;=36526",E521,TODAY())+COUNTIFS(F521,"&gt;=36526",F521,TODAY())&gt;0),1,0)</x:f>
        <x:v>0</x:v>
      </x:c>
      <x:c r="Q521" t="n">
        <x:f>Q520+IF(AND(A521&lt;&gt;"",COUNTIFS(C521,"&gt;"&amp;TODAY(),C521,"&lt;="&amp;TODAY()+30)+COUNTIFS(D521,"&gt;"&amp;TODAY(),D521,"&lt;="&amp;TODAY()+30)+COUNTIFS(E521,"&gt;"&amp;TODAY(),E521,"&lt;="&amp;TODAY()+30)+COUNTIFS(F521,"&gt;"&amp;TODAY(),F521,"&lt;="&amp;TODAY()+30)&gt;0),1,0)</x:f>
        <x:v>0</x:v>
      </x:c>
      <x:c r="R521" t="n">
        <x:f>R520+IF(OR(LEFT(H521,15)="Missing dates; ",LEFT(H521,16)="Add N/A reason; ",H521="Add dates",H521="Add registration",H521="Check date format"),1,0)</x:f>
        <x:v>0</x:v>
      </x:c>
      <x:c r="S521" t="n">
        <x:f>S520+IF(COUNTIFS(C521:F521,"Reviewed N/A")&gt;0,1,0)</x:f>
        <x:v>0</x:v>
      </x:c>
    </x:row>
    <x:row r="522" ht="48" customHeight="1">
      <x:c r="A522" s="52"/>
      <x:c r="B522" s="52"/>
      <x:c r="C522" s="53"/>
      <x:c r="D522" s="53"/>
      <x:c r="E522" s="53"/>
      <x:c r="F522" s="53"/>
      <x:c r="G522" s="52"/>
      <x:c r="H522" s="21" t="str">
        <x:f>IF(COUNTA(A522:G522,I522)=0,"",IF(A522="","Add registration",IF(OR(COUNTA(C522:F522)&gt;COUNT(C522:F522)+COUNTIFS(C522:F522,"Reviewed N/A"),AND(COUNT(C522:F522)&gt;0,OR(MIN(C522:F522)&lt;36526,MAX(C522:F522)&gt;109574))),"Check date format",IF(AND(COUNTIFS(C522:F522,"Reviewed N/A")&gt;0,I522=""),"Add N/A reason; ","")&amp;IF(COUNT(C522:F522)=0,IF(COUNTIFS(C522:F522,"Reviewed N/A")=4,"No applicable dates recorded","Add dates"),IF(COUNT(C522:F522)+COUNTIFS(C522:F522,"Reviewed N/A")&lt;4,"Missing dates; ","")&amp;IF(MIN(C522:F522)&lt;TODAY(),"Overdue: ",IF(MIN(C522:F522)=TODAY(),"Due today: ",IF(MIN(C522:F522)&lt;=TODAY()+30,"Due within 30 days: ","Next: ")))&amp;INDEX($C$8:$F$8,1,MATCH(MIN(C522:F522),C522:F522,0))&amp;" "&amp;TEXT(MIN(C522:F522),"dd mmm yyyy")))))</x:f>
      </x:c>
      <x:c r="I522" s="52"/>
      <x:c r="J522" t="str">
        <x:f>IF(AND(A522&lt;&gt;"",COUNTIFS(C522,"&gt;=36526",C522,"&lt;"&amp;TODAY())+COUNTIFS(D522,"&gt;=36526",D522,"&lt;"&amp;TODAY())+COUNTIFS(E522,"&gt;=36526",E522,"&lt;"&amp;TODAY())+COUNTIFS(F522,"&gt;=36526",F522,"&lt;"&amp;TODAY())&gt;0),O522,"")</x:f>
      </x:c>
      <x:c r="K522" t="str">
        <x:f>IF(AND(A522&lt;&gt;"",COUNTIFS(C522,"&gt;=36526",C522,TODAY())+COUNTIFS(D522,"&gt;=36526",D522,TODAY())+COUNTIFS(E522,"&gt;=36526",E522,TODAY())+COUNTIFS(F522,"&gt;=36526",F522,TODAY())&gt;0),P522,"")</x:f>
      </x:c>
      <x:c r="L522" t="str">
        <x:f>IF(AND(A522&lt;&gt;"",COUNTIFS(C522,"&gt;"&amp;TODAY(),C522,"&lt;="&amp;TODAY()+30)+COUNTIFS(D522,"&gt;"&amp;TODAY(),D522,"&lt;="&amp;TODAY()+30)+COUNTIFS(E522,"&gt;"&amp;TODAY(),E522,"&lt;="&amp;TODAY()+30)+COUNTIFS(F522,"&gt;"&amp;TODAY(),F522,"&lt;="&amp;TODAY()+30)&gt;0),Q522,"")</x:f>
      </x:c>
      <x:c r="M522" t="str">
        <x:f>IF(OR(LEFT(H522,15)="Missing dates; ",LEFT(H522,16)="Add N/A reason; ",H522="Add dates",H522="Add registration",H522="Check date format"),R522,"")</x:f>
      </x:c>
      <x:c r="N522" t="str">
        <x:f>IF(COUNTIFS(C522:F522,"Reviewed N/A")&gt;0,S522,"")</x:f>
      </x:c>
      <x:c r="O522" t="n">
        <x:f>O521+IF(AND(A522&lt;&gt;"",COUNTIFS(C522,"&gt;=36526",C522,"&lt;"&amp;TODAY())+COUNTIFS(D522,"&gt;=36526",D522,"&lt;"&amp;TODAY())+COUNTIFS(E522,"&gt;=36526",E522,"&lt;"&amp;TODAY())+COUNTIFS(F522,"&gt;=36526",F522,"&lt;"&amp;TODAY())&gt;0),1,0)</x:f>
        <x:v>0</x:v>
      </x:c>
      <x:c r="P522" t="n">
        <x:f>P521+IF(AND(A522&lt;&gt;"",COUNTIFS(C522,"&gt;=36526",C522,TODAY())+COUNTIFS(D522,"&gt;=36526",D522,TODAY())+COUNTIFS(E522,"&gt;=36526",E522,TODAY())+COUNTIFS(F522,"&gt;=36526",F522,TODAY())&gt;0),1,0)</x:f>
        <x:v>0</x:v>
      </x:c>
      <x:c r="Q522" t="n">
        <x:f>Q521+IF(AND(A522&lt;&gt;"",COUNTIFS(C522,"&gt;"&amp;TODAY(),C522,"&lt;="&amp;TODAY()+30)+COUNTIFS(D522,"&gt;"&amp;TODAY(),D522,"&lt;="&amp;TODAY()+30)+COUNTIFS(E522,"&gt;"&amp;TODAY(),E522,"&lt;="&amp;TODAY()+30)+COUNTIFS(F522,"&gt;"&amp;TODAY(),F522,"&lt;="&amp;TODAY()+30)&gt;0),1,0)</x:f>
        <x:v>0</x:v>
      </x:c>
      <x:c r="R522" t="n">
        <x:f>R521+IF(OR(LEFT(H522,15)="Missing dates; ",LEFT(H522,16)="Add N/A reason; ",H522="Add dates",H522="Add registration",H522="Check date format"),1,0)</x:f>
        <x:v>0</x:v>
      </x:c>
      <x:c r="S522" t="n">
        <x:f>S521+IF(COUNTIFS(C522:F522,"Reviewed N/A")&gt;0,1,0)</x:f>
        <x:v>0</x:v>
      </x:c>
    </x:row>
    <x:row r="523" ht="48" customHeight="1">
      <x:c r="A523" s="52"/>
      <x:c r="B523" s="52"/>
      <x:c r="C523" s="53"/>
      <x:c r="D523" s="53"/>
      <x:c r="E523" s="53"/>
      <x:c r="F523" s="53"/>
      <x:c r="G523" s="52"/>
      <x:c r="H523" s="21" t="str">
        <x:f>IF(COUNTA(A523:G523,I523)=0,"",IF(A523="","Add registration",IF(OR(COUNTA(C523:F523)&gt;COUNT(C523:F523)+COUNTIFS(C523:F523,"Reviewed N/A"),AND(COUNT(C523:F523)&gt;0,OR(MIN(C523:F523)&lt;36526,MAX(C523:F523)&gt;109574))),"Check date format",IF(AND(COUNTIFS(C523:F523,"Reviewed N/A")&gt;0,I523=""),"Add N/A reason; ","")&amp;IF(COUNT(C523:F523)=0,IF(COUNTIFS(C523:F523,"Reviewed N/A")=4,"No applicable dates recorded","Add dates"),IF(COUNT(C523:F523)+COUNTIFS(C523:F523,"Reviewed N/A")&lt;4,"Missing dates; ","")&amp;IF(MIN(C523:F523)&lt;TODAY(),"Overdue: ",IF(MIN(C523:F523)=TODAY(),"Due today: ",IF(MIN(C523:F523)&lt;=TODAY()+30,"Due within 30 days: ","Next: ")))&amp;INDEX($C$8:$F$8,1,MATCH(MIN(C523:F523),C523:F523,0))&amp;" "&amp;TEXT(MIN(C523:F523),"dd mmm yyyy")))))</x:f>
      </x:c>
      <x:c r="I523" s="52"/>
      <x:c r="J523" t="str">
        <x:f>IF(AND(A523&lt;&gt;"",COUNTIFS(C523,"&gt;=36526",C523,"&lt;"&amp;TODAY())+COUNTIFS(D523,"&gt;=36526",D523,"&lt;"&amp;TODAY())+COUNTIFS(E523,"&gt;=36526",E523,"&lt;"&amp;TODAY())+COUNTIFS(F523,"&gt;=36526",F523,"&lt;"&amp;TODAY())&gt;0),O523,"")</x:f>
      </x:c>
      <x:c r="K523" t="str">
        <x:f>IF(AND(A523&lt;&gt;"",COUNTIFS(C523,"&gt;=36526",C523,TODAY())+COUNTIFS(D523,"&gt;=36526",D523,TODAY())+COUNTIFS(E523,"&gt;=36526",E523,TODAY())+COUNTIFS(F523,"&gt;=36526",F523,TODAY())&gt;0),P523,"")</x:f>
      </x:c>
      <x:c r="L523" t="str">
        <x:f>IF(AND(A523&lt;&gt;"",COUNTIFS(C523,"&gt;"&amp;TODAY(),C523,"&lt;="&amp;TODAY()+30)+COUNTIFS(D523,"&gt;"&amp;TODAY(),D523,"&lt;="&amp;TODAY()+30)+COUNTIFS(E523,"&gt;"&amp;TODAY(),E523,"&lt;="&amp;TODAY()+30)+COUNTIFS(F523,"&gt;"&amp;TODAY(),F523,"&lt;="&amp;TODAY()+30)&gt;0),Q523,"")</x:f>
      </x:c>
      <x:c r="M523" t="str">
        <x:f>IF(OR(LEFT(H523,15)="Missing dates; ",LEFT(H523,16)="Add N/A reason; ",H523="Add dates",H523="Add registration",H523="Check date format"),R523,"")</x:f>
      </x:c>
      <x:c r="N523" t="str">
        <x:f>IF(COUNTIFS(C523:F523,"Reviewed N/A")&gt;0,S523,"")</x:f>
      </x:c>
      <x:c r="O523" t="n">
        <x:f>O522+IF(AND(A523&lt;&gt;"",COUNTIFS(C523,"&gt;=36526",C523,"&lt;"&amp;TODAY())+COUNTIFS(D523,"&gt;=36526",D523,"&lt;"&amp;TODAY())+COUNTIFS(E523,"&gt;=36526",E523,"&lt;"&amp;TODAY())+COUNTIFS(F523,"&gt;=36526",F523,"&lt;"&amp;TODAY())&gt;0),1,0)</x:f>
        <x:v>0</x:v>
      </x:c>
      <x:c r="P523" t="n">
        <x:f>P522+IF(AND(A523&lt;&gt;"",COUNTIFS(C523,"&gt;=36526",C523,TODAY())+COUNTIFS(D523,"&gt;=36526",D523,TODAY())+COUNTIFS(E523,"&gt;=36526",E523,TODAY())+COUNTIFS(F523,"&gt;=36526",F523,TODAY())&gt;0),1,0)</x:f>
        <x:v>0</x:v>
      </x:c>
      <x:c r="Q523" t="n">
        <x:f>Q522+IF(AND(A523&lt;&gt;"",COUNTIFS(C523,"&gt;"&amp;TODAY(),C523,"&lt;="&amp;TODAY()+30)+COUNTIFS(D523,"&gt;"&amp;TODAY(),D523,"&lt;="&amp;TODAY()+30)+COUNTIFS(E523,"&gt;"&amp;TODAY(),E523,"&lt;="&amp;TODAY()+30)+COUNTIFS(F523,"&gt;"&amp;TODAY(),F523,"&lt;="&amp;TODAY()+30)&gt;0),1,0)</x:f>
        <x:v>0</x:v>
      </x:c>
      <x:c r="R523" t="n">
        <x:f>R522+IF(OR(LEFT(H523,15)="Missing dates; ",LEFT(H523,16)="Add N/A reason; ",H523="Add dates",H523="Add registration",H523="Check date format"),1,0)</x:f>
        <x:v>0</x:v>
      </x:c>
      <x:c r="S523" t="n">
        <x:f>S522+IF(COUNTIFS(C523:F523,"Reviewed N/A")&gt;0,1,0)</x:f>
        <x:v>0</x:v>
      </x:c>
    </x:row>
    <x:row r="524" ht="48" customHeight="1">
      <x:c r="A524" s="52"/>
      <x:c r="B524" s="52"/>
      <x:c r="C524" s="53"/>
      <x:c r="D524" s="53"/>
      <x:c r="E524" s="53"/>
      <x:c r="F524" s="53"/>
      <x:c r="G524" s="52"/>
      <x:c r="H524" s="21" t="str">
        <x:f>IF(COUNTA(A524:G524,I524)=0,"",IF(A524="","Add registration",IF(OR(COUNTA(C524:F524)&gt;COUNT(C524:F524)+COUNTIFS(C524:F524,"Reviewed N/A"),AND(COUNT(C524:F524)&gt;0,OR(MIN(C524:F524)&lt;36526,MAX(C524:F524)&gt;109574))),"Check date format",IF(AND(COUNTIFS(C524:F524,"Reviewed N/A")&gt;0,I524=""),"Add N/A reason; ","")&amp;IF(COUNT(C524:F524)=0,IF(COUNTIFS(C524:F524,"Reviewed N/A")=4,"No applicable dates recorded","Add dates"),IF(COUNT(C524:F524)+COUNTIFS(C524:F524,"Reviewed N/A")&lt;4,"Missing dates; ","")&amp;IF(MIN(C524:F524)&lt;TODAY(),"Overdue: ",IF(MIN(C524:F524)=TODAY(),"Due today: ",IF(MIN(C524:F524)&lt;=TODAY()+30,"Due within 30 days: ","Next: ")))&amp;INDEX($C$8:$F$8,1,MATCH(MIN(C524:F524),C524:F524,0))&amp;" "&amp;TEXT(MIN(C524:F524),"dd mmm yyyy")))))</x:f>
      </x:c>
      <x:c r="I524" s="52"/>
      <x:c r="J524" t="str">
        <x:f>IF(AND(A524&lt;&gt;"",COUNTIFS(C524,"&gt;=36526",C524,"&lt;"&amp;TODAY())+COUNTIFS(D524,"&gt;=36526",D524,"&lt;"&amp;TODAY())+COUNTIFS(E524,"&gt;=36526",E524,"&lt;"&amp;TODAY())+COUNTIFS(F524,"&gt;=36526",F524,"&lt;"&amp;TODAY())&gt;0),O524,"")</x:f>
      </x:c>
      <x:c r="K524" t="str">
        <x:f>IF(AND(A524&lt;&gt;"",COUNTIFS(C524,"&gt;=36526",C524,TODAY())+COUNTIFS(D524,"&gt;=36526",D524,TODAY())+COUNTIFS(E524,"&gt;=36526",E524,TODAY())+COUNTIFS(F524,"&gt;=36526",F524,TODAY())&gt;0),P524,"")</x:f>
      </x:c>
      <x:c r="L524" t="str">
        <x:f>IF(AND(A524&lt;&gt;"",COUNTIFS(C524,"&gt;"&amp;TODAY(),C524,"&lt;="&amp;TODAY()+30)+COUNTIFS(D524,"&gt;"&amp;TODAY(),D524,"&lt;="&amp;TODAY()+30)+COUNTIFS(E524,"&gt;"&amp;TODAY(),E524,"&lt;="&amp;TODAY()+30)+COUNTIFS(F524,"&gt;"&amp;TODAY(),F524,"&lt;="&amp;TODAY()+30)&gt;0),Q524,"")</x:f>
      </x:c>
      <x:c r="M524" t="str">
        <x:f>IF(OR(LEFT(H524,15)="Missing dates; ",LEFT(H524,16)="Add N/A reason; ",H524="Add dates",H524="Add registration",H524="Check date format"),R524,"")</x:f>
      </x:c>
      <x:c r="N524" t="str">
        <x:f>IF(COUNTIFS(C524:F524,"Reviewed N/A")&gt;0,S524,"")</x:f>
      </x:c>
      <x:c r="O524" t="n">
        <x:f>O523+IF(AND(A524&lt;&gt;"",COUNTIFS(C524,"&gt;=36526",C524,"&lt;"&amp;TODAY())+COUNTIFS(D524,"&gt;=36526",D524,"&lt;"&amp;TODAY())+COUNTIFS(E524,"&gt;=36526",E524,"&lt;"&amp;TODAY())+COUNTIFS(F524,"&gt;=36526",F524,"&lt;"&amp;TODAY())&gt;0),1,0)</x:f>
        <x:v>0</x:v>
      </x:c>
      <x:c r="P524" t="n">
        <x:f>P523+IF(AND(A524&lt;&gt;"",COUNTIFS(C524,"&gt;=36526",C524,TODAY())+COUNTIFS(D524,"&gt;=36526",D524,TODAY())+COUNTIFS(E524,"&gt;=36526",E524,TODAY())+COUNTIFS(F524,"&gt;=36526",F524,TODAY())&gt;0),1,0)</x:f>
        <x:v>0</x:v>
      </x:c>
      <x:c r="Q524" t="n">
        <x:f>Q523+IF(AND(A524&lt;&gt;"",COUNTIFS(C524,"&gt;"&amp;TODAY(),C524,"&lt;="&amp;TODAY()+30)+COUNTIFS(D524,"&gt;"&amp;TODAY(),D524,"&lt;="&amp;TODAY()+30)+COUNTIFS(E524,"&gt;"&amp;TODAY(),E524,"&lt;="&amp;TODAY()+30)+COUNTIFS(F524,"&gt;"&amp;TODAY(),F524,"&lt;="&amp;TODAY()+30)&gt;0),1,0)</x:f>
        <x:v>0</x:v>
      </x:c>
      <x:c r="R524" t="n">
        <x:f>R523+IF(OR(LEFT(H524,15)="Missing dates; ",LEFT(H524,16)="Add N/A reason; ",H524="Add dates",H524="Add registration",H524="Check date format"),1,0)</x:f>
        <x:v>0</x:v>
      </x:c>
      <x:c r="S524" t="n">
        <x:f>S523+IF(COUNTIFS(C524:F524,"Reviewed N/A")&gt;0,1,0)</x:f>
        <x:v>0</x:v>
      </x:c>
    </x:row>
    <x:row r="525" ht="48" customHeight="1">
      <x:c r="A525" s="52"/>
      <x:c r="B525" s="52"/>
      <x:c r="C525" s="53"/>
      <x:c r="D525" s="53"/>
      <x:c r="E525" s="53"/>
      <x:c r="F525" s="53"/>
      <x:c r="G525" s="52"/>
      <x:c r="H525" s="21" t="str">
        <x:f>IF(COUNTA(A525:G525,I525)=0,"",IF(A525="","Add registration",IF(OR(COUNTA(C525:F525)&gt;COUNT(C525:F525)+COUNTIFS(C525:F525,"Reviewed N/A"),AND(COUNT(C525:F525)&gt;0,OR(MIN(C525:F525)&lt;36526,MAX(C525:F525)&gt;109574))),"Check date format",IF(AND(COUNTIFS(C525:F525,"Reviewed N/A")&gt;0,I525=""),"Add N/A reason; ","")&amp;IF(COUNT(C525:F525)=0,IF(COUNTIFS(C525:F525,"Reviewed N/A")=4,"No applicable dates recorded","Add dates"),IF(COUNT(C525:F525)+COUNTIFS(C525:F525,"Reviewed N/A")&lt;4,"Missing dates; ","")&amp;IF(MIN(C525:F525)&lt;TODAY(),"Overdue: ",IF(MIN(C525:F525)=TODAY(),"Due today: ",IF(MIN(C525:F525)&lt;=TODAY()+30,"Due within 30 days: ","Next: ")))&amp;INDEX($C$8:$F$8,1,MATCH(MIN(C525:F525),C525:F525,0))&amp;" "&amp;TEXT(MIN(C525:F525),"dd mmm yyyy")))))</x:f>
      </x:c>
      <x:c r="I525" s="52"/>
      <x:c r="J525" t="str">
        <x:f>IF(AND(A525&lt;&gt;"",COUNTIFS(C525,"&gt;=36526",C525,"&lt;"&amp;TODAY())+COUNTIFS(D525,"&gt;=36526",D525,"&lt;"&amp;TODAY())+COUNTIFS(E525,"&gt;=36526",E525,"&lt;"&amp;TODAY())+COUNTIFS(F525,"&gt;=36526",F525,"&lt;"&amp;TODAY())&gt;0),O525,"")</x:f>
      </x:c>
      <x:c r="K525" t="str">
        <x:f>IF(AND(A525&lt;&gt;"",COUNTIFS(C525,"&gt;=36526",C525,TODAY())+COUNTIFS(D525,"&gt;=36526",D525,TODAY())+COUNTIFS(E525,"&gt;=36526",E525,TODAY())+COUNTIFS(F525,"&gt;=36526",F525,TODAY())&gt;0),P525,"")</x:f>
      </x:c>
      <x:c r="L525" t="str">
        <x:f>IF(AND(A525&lt;&gt;"",COUNTIFS(C525,"&gt;"&amp;TODAY(),C525,"&lt;="&amp;TODAY()+30)+COUNTIFS(D525,"&gt;"&amp;TODAY(),D525,"&lt;="&amp;TODAY()+30)+COUNTIFS(E525,"&gt;"&amp;TODAY(),E525,"&lt;="&amp;TODAY()+30)+COUNTIFS(F525,"&gt;"&amp;TODAY(),F525,"&lt;="&amp;TODAY()+30)&gt;0),Q525,"")</x:f>
      </x:c>
      <x:c r="M525" t="str">
        <x:f>IF(OR(LEFT(H525,15)="Missing dates; ",LEFT(H525,16)="Add N/A reason; ",H525="Add dates",H525="Add registration",H525="Check date format"),R525,"")</x:f>
      </x:c>
      <x:c r="N525" t="str">
        <x:f>IF(COUNTIFS(C525:F525,"Reviewed N/A")&gt;0,S525,"")</x:f>
      </x:c>
      <x:c r="O525" t="n">
        <x:f>O524+IF(AND(A525&lt;&gt;"",COUNTIFS(C525,"&gt;=36526",C525,"&lt;"&amp;TODAY())+COUNTIFS(D525,"&gt;=36526",D525,"&lt;"&amp;TODAY())+COUNTIFS(E525,"&gt;=36526",E525,"&lt;"&amp;TODAY())+COUNTIFS(F525,"&gt;=36526",F525,"&lt;"&amp;TODAY())&gt;0),1,0)</x:f>
        <x:v>0</x:v>
      </x:c>
      <x:c r="P525" t="n">
        <x:f>P524+IF(AND(A525&lt;&gt;"",COUNTIFS(C525,"&gt;=36526",C525,TODAY())+COUNTIFS(D525,"&gt;=36526",D525,TODAY())+COUNTIFS(E525,"&gt;=36526",E525,TODAY())+COUNTIFS(F525,"&gt;=36526",F525,TODAY())&gt;0),1,0)</x:f>
        <x:v>0</x:v>
      </x:c>
      <x:c r="Q525" t="n">
        <x:f>Q524+IF(AND(A525&lt;&gt;"",COUNTIFS(C525,"&gt;"&amp;TODAY(),C525,"&lt;="&amp;TODAY()+30)+COUNTIFS(D525,"&gt;"&amp;TODAY(),D525,"&lt;="&amp;TODAY()+30)+COUNTIFS(E525,"&gt;"&amp;TODAY(),E525,"&lt;="&amp;TODAY()+30)+COUNTIFS(F525,"&gt;"&amp;TODAY(),F525,"&lt;="&amp;TODAY()+30)&gt;0),1,0)</x:f>
        <x:v>0</x:v>
      </x:c>
      <x:c r="R525" t="n">
        <x:f>R524+IF(OR(LEFT(H525,15)="Missing dates; ",LEFT(H525,16)="Add N/A reason; ",H525="Add dates",H525="Add registration",H525="Check date format"),1,0)</x:f>
        <x:v>0</x:v>
      </x:c>
      <x:c r="S525" t="n">
        <x:f>S524+IF(COUNTIFS(C525:F525,"Reviewed N/A")&gt;0,1,0)</x:f>
        <x:v>0</x:v>
      </x:c>
    </x:row>
    <x:row r="526" ht="48" customHeight="1">
      <x:c r="A526" s="52"/>
      <x:c r="B526" s="52"/>
      <x:c r="C526" s="53"/>
      <x:c r="D526" s="53"/>
      <x:c r="E526" s="53"/>
      <x:c r="F526" s="53"/>
      <x:c r="G526" s="52"/>
      <x:c r="H526" s="21" t="str">
        <x:f>IF(COUNTA(A526:G526,I526)=0,"",IF(A526="","Add registration",IF(OR(COUNTA(C526:F526)&gt;COUNT(C526:F526)+COUNTIFS(C526:F526,"Reviewed N/A"),AND(COUNT(C526:F526)&gt;0,OR(MIN(C526:F526)&lt;36526,MAX(C526:F526)&gt;109574))),"Check date format",IF(AND(COUNTIFS(C526:F526,"Reviewed N/A")&gt;0,I526=""),"Add N/A reason; ","")&amp;IF(COUNT(C526:F526)=0,IF(COUNTIFS(C526:F526,"Reviewed N/A")=4,"No applicable dates recorded","Add dates"),IF(COUNT(C526:F526)+COUNTIFS(C526:F526,"Reviewed N/A")&lt;4,"Missing dates; ","")&amp;IF(MIN(C526:F526)&lt;TODAY(),"Overdue: ",IF(MIN(C526:F526)=TODAY(),"Due today: ",IF(MIN(C526:F526)&lt;=TODAY()+30,"Due within 30 days: ","Next: ")))&amp;INDEX($C$8:$F$8,1,MATCH(MIN(C526:F526),C526:F526,0))&amp;" "&amp;TEXT(MIN(C526:F526),"dd mmm yyyy")))))</x:f>
      </x:c>
      <x:c r="I526" s="52"/>
      <x:c r="J526" t="str">
        <x:f>IF(AND(A526&lt;&gt;"",COUNTIFS(C526,"&gt;=36526",C526,"&lt;"&amp;TODAY())+COUNTIFS(D526,"&gt;=36526",D526,"&lt;"&amp;TODAY())+COUNTIFS(E526,"&gt;=36526",E526,"&lt;"&amp;TODAY())+COUNTIFS(F526,"&gt;=36526",F526,"&lt;"&amp;TODAY())&gt;0),O526,"")</x:f>
      </x:c>
      <x:c r="K526" t="str">
        <x:f>IF(AND(A526&lt;&gt;"",COUNTIFS(C526,"&gt;=36526",C526,TODAY())+COUNTIFS(D526,"&gt;=36526",D526,TODAY())+COUNTIFS(E526,"&gt;=36526",E526,TODAY())+COUNTIFS(F526,"&gt;=36526",F526,TODAY())&gt;0),P526,"")</x:f>
      </x:c>
      <x:c r="L526" t="str">
        <x:f>IF(AND(A526&lt;&gt;"",COUNTIFS(C526,"&gt;"&amp;TODAY(),C526,"&lt;="&amp;TODAY()+30)+COUNTIFS(D526,"&gt;"&amp;TODAY(),D526,"&lt;="&amp;TODAY()+30)+COUNTIFS(E526,"&gt;"&amp;TODAY(),E526,"&lt;="&amp;TODAY()+30)+COUNTIFS(F526,"&gt;"&amp;TODAY(),F526,"&lt;="&amp;TODAY()+30)&gt;0),Q526,"")</x:f>
      </x:c>
      <x:c r="M526" t="str">
        <x:f>IF(OR(LEFT(H526,15)="Missing dates; ",LEFT(H526,16)="Add N/A reason; ",H526="Add dates",H526="Add registration",H526="Check date format"),R526,"")</x:f>
      </x:c>
      <x:c r="N526" t="str">
        <x:f>IF(COUNTIFS(C526:F526,"Reviewed N/A")&gt;0,S526,"")</x:f>
      </x:c>
      <x:c r="O526" t="n">
        <x:f>O525+IF(AND(A526&lt;&gt;"",COUNTIFS(C526,"&gt;=36526",C526,"&lt;"&amp;TODAY())+COUNTIFS(D526,"&gt;=36526",D526,"&lt;"&amp;TODAY())+COUNTIFS(E526,"&gt;=36526",E526,"&lt;"&amp;TODAY())+COUNTIFS(F526,"&gt;=36526",F526,"&lt;"&amp;TODAY())&gt;0),1,0)</x:f>
        <x:v>0</x:v>
      </x:c>
      <x:c r="P526" t="n">
        <x:f>P525+IF(AND(A526&lt;&gt;"",COUNTIFS(C526,"&gt;=36526",C526,TODAY())+COUNTIFS(D526,"&gt;=36526",D526,TODAY())+COUNTIFS(E526,"&gt;=36526",E526,TODAY())+COUNTIFS(F526,"&gt;=36526",F526,TODAY())&gt;0),1,0)</x:f>
        <x:v>0</x:v>
      </x:c>
      <x:c r="Q526" t="n">
        <x:f>Q525+IF(AND(A526&lt;&gt;"",COUNTIFS(C526,"&gt;"&amp;TODAY(),C526,"&lt;="&amp;TODAY()+30)+COUNTIFS(D526,"&gt;"&amp;TODAY(),D526,"&lt;="&amp;TODAY()+30)+COUNTIFS(E526,"&gt;"&amp;TODAY(),E526,"&lt;="&amp;TODAY()+30)+COUNTIFS(F526,"&gt;"&amp;TODAY(),F526,"&lt;="&amp;TODAY()+30)&gt;0),1,0)</x:f>
        <x:v>0</x:v>
      </x:c>
      <x:c r="R526" t="n">
        <x:f>R525+IF(OR(LEFT(H526,15)="Missing dates; ",LEFT(H526,16)="Add N/A reason; ",H526="Add dates",H526="Add registration",H526="Check date format"),1,0)</x:f>
        <x:v>0</x:v>
      </x:c>
      <x:c r="S526" t="n">
        <x:f>S525+IF(COUNTIFS(C526:F526,"Reviewed N/A")&gt;0,1,0)</x:f>
        <x:v>0</x:v>
      </x:c>
    </x:row>
    <x:row r="527" ht="48" customHeight="1">
      <x:c r="A527" s="52"/>
      <x:c r="B527" s="52"/>
      <x:c r="C527" s="53"/>
      <x:c r="D527" s="53"/>
      <x:c r="E527" s="53"/>
      <x:c r="F527" s="53"/>
      <x:c r="G527" s="52"/>
      <x:c r="H527" s="21" t="str">
        <x:f>IF(COUNTA(A527:G527,I527)=0,"",IF(A527="","Add registration",IF(OR(COUNTA(C527:F527)&gt;COUNT(C527:F527)+COUNTIFS(C527:F527,"Reviewed N/A"),AND(COUNT(C527:F527)&gt;0,OR(MIN(C527:F527)&lt;36526,MAX(C527:F527)&gt;109574))),"Check date format",IF(AND(COUNTIFS(C527:F527,"Reviewed N/A")&gt;0,I527=""),"Add N/A reason; ","")&amp;IF(COUNT(C527:F527)=0,IF(COUNTIFS(C527:F527,"Reviewed N/A")=4,"No applicable dates recorded","Add dates"),IF(COUNT(C527:F527)+COUNTIFS(C527:F527,"Reviewed N/A")&lt;4,"Missing dates; ","")&amp;IF(MIN(C527:F527)&lt;TODAY(),"Overdue: ",IF(MIN(C527:F527)=TODAY(),"Due today: ",IF(MIN(C527:F527)&lt;=TODAY()+30,"Due within 30 days: ","Next: ")))&amp;INDEX($C$8:$F$8,1,MATCH(MIN(C527:F527),C527:F527,0))&amp;" "&amp;TEXT(MIN(C527:F527),"dd mmm yyyy")))))</x:f>
      </x:c>
      <x:c r="I527" s="52"/>
      <x:c r="J527" t="str">
        <x:f>IF(AND(A527&lt;&gt;"",COUNTIFS(C527,"&gt;=36526",C527,"&lt;"&amp;TODAY())+COUNTIFS(D527,"&gt;=36526",D527,"&lt;"&amp;TODAY())+COUNTIFS(E527,"&gt;=36526",E527,"&lt;"&amp;TODAY())+COUNTIFS(F527,"&gt;=36526",F527,"&lt;"&amp;TODAY())&gt;0),O527,"")</x:f>
      </x:c>
      <x:c r="K527" t="str">
        <x:f>IF(AND(A527&lt;&gt;"",COUNTIFS(C527,"&gt;=36526",C527,TODAY())+COUNTIFS(D527,"&gt;=36526",D527,TODAY())+COUNTIFS(E527,"&gt;=36526",E527,TODAY())+COUNTIFS(F527,"&gt;=36526",F527,TODAY())&gt;0),P527,"")</x:f>
      </x:c>
      <x:c r="L527" t="str">
        <x:f>IF(AND(A527&lt;&gt;"",COUNTIFS(C527,"&gt;"&amp;TODAY(),C527,"&lt;="&amp;TODAY()+30)+COUNTIFS(D527,"&gt;"&amp;TODAY(),D527,"&lt;="&amp;TODAY()+30)+COUNTIFS(E527,"&gt;"&amp;TODAY(),E527,"&lt;="&amp;TODAY()+30)+COUNTIFS(F527,"&gt;"&amp;TODAY(),F527,"&lt;="&amp;TODAY()+30)&gt;0),Q527,"")</x:f>
      </x:c>
      <x:c r="M527" t="str">
        <x:f>IF(OR(LEFT(H527,15)="Missing dates; ",LEFT(H527,16)="Add N/A reason; ",H527="Add dates",H527="Add registration",H527="Check date format"),R527,"")</x:f>
      </x:c>
      <x:c r="N527" t="str">
        <x:f>IF(COUNTIFS(C527:F527,"Reviewed N/A")&gt;0,S527,"")</x:f>
      </x:c>
      <x:c r="O527" t="n">
        <x:f>O526+IF(AND(A527&lt;&gt;"",COUNTIFS(C527,"&gt;=36526",C527,"&lt;"&amp;TODAY())+COUNTIFS(D527,"&gt;=36526",D527,"&lt;"&amp;TODAY())+COUNTIFS(E527,"&gt;=36526",E527,"&lt;"&amp;TODAY())+COUNTIFS(F527,"&gt;=36526",F527,"&lt;"&amp;TODAY())&gt;0),1,0)</x:f>
        <x:v>0</x:v>
      </x:c>
      <x:c r="P527" t="n">
        <x:f>P526+IF(AND(A527&lt;&gt;"",COUNTIFS(C527,"&gt;=36526",C527,TODAY())+COUNTIFS(D527,"&gt;=36526",D527,TODAY())+COUNTIFS(E527,"&gt;=36526",E527,TODAY())+COUNTIFS(F527,"&gt;=36526",F527,TODAY())&gt;0),1,0)</x:f>
        <x:v>0</x:v>
      </x:c>
      <x:c r="Q527" t="n">
        <x:f>Q526+IF(AND(A527&lt;&gt;"",COUNTIFS(C527,"&gt;"&amp;TODAY(),C527,"&lt;="&amp;TODAY()+30)+COUNTIFS(D527,"&gt;"&amp;TODAY(),D527,"&lt;="&amp;TODAY()+30)+COUNTIFS(E527,"&gt;"&amp;TODAY(),E527,"&lt;="&amp;TODAY()+30)+COUNTIFS(F527,"&gt;"&amp;TODAY(),F527,"&lt;="&amp;TODAY()+30)&gt;0),1,0)</x:f>
        <x:v>0</x:v>
      </x:c>
      <x:c r="R527" t="n">
        <x:f>R526+IF(OR(LEFT(H527,15)="Missing dates; ",LEFT(H527,16)="Add N/A reason; ",H527="Add dates",H527="Add registration",H527="Check date format"),1,0)</x:f>
        <x:v>0</x:v>
      </x:c>
      <x:c r="S527" t="n">
        <x:f>S526+IF(COUNTIFS(C527:F527,"Reviewed N/A")&gt;0,1,0)</x:f>
        <x:v>0</x:v>
      </x:c>
    </x:row>
    <x:row r="528" ht="48" customHeight="1">
      <x:c r="A528" s="52"/>
      <x:c r="B528" s="52"/>
      <x:c r="C528" s="53"/>
      <x:c r="D528" s="53"/>
      <x:c r="E528" s="53"/>
      <x:c r="F528" s="53"/>
      <x:c r="G528" s="52"/>
      <x:c r="H528" s="21" t="str">
        <x:f>IF(COUNTA(A528:G528,I528)=0,"",IF(A528="","Add registration",IF(OR(COUNTA(C528:F528)&gt;COUNT(C528:F528)+COUNTIFS(C528:F528,"Reviewed N/A"),AND(COUNT(C528:F528)&gt;0,OR(MIN(C528:F528)&lt;36526,MAX(C528:F528)&gt;109574))),"Check date format",IF(AND(COUNTIFS(C528:F528,"Reviewed N/A")&gt;0,I528=""),"Add N/A reason; ","")&amp;IF(COUNT(C528:F528)=0,IF(COUNTIFS(C528:F528,"Reviewed N/A")=4,"No applicable dates recorded","Add dates"),IF(COUNT(C528:F528)+COUNTIFS(C528:F528,"Reviewed N/A")&lt;4,"Missing dates; ","")&amp;IF(MIN(C528:F528)&lt;TODAY(),"Overdue: ",IF(MIN(C528:F528)=TODAY(),"Due today: ",IF(MIN(C528:F528)&lt;=TODAY()+30,"Due within 30 days: ","Next: ")))&amp;INDEX($C$8:$F$8,1,MATCH(MIN(C528:F528),C528:F528,0))&amp;" "&amp;TEXT(MIN(C528:F528),"dd mmm yyyy")))))</x:f>
      </x:c>
      <x:c r="I528" s="52"/>
      <x:c r="J528" t="str">
        <x:f>IF(AND(A528&lt;&gt;"",COUNTIFS(C528,"&gt;=36526",C528,"&lt;"&amp;TODAY())+COUNTIFS(D528,"&gt;=36526",D528,"&lt;"&amp;TODAY())+COUNTIFS(E528,"&gt;=36526",E528,"&lt;"&amp;TODAY())+COUNTIFS(F528,"&gt;=36526",F528,"&lt;"&amp;TODAY())&gt;0),O528,"")</x:f>
      </x:c>
      <x:c r="K528" t="str">
        <x:f>IF(AND(A528&lt;&gt;"",COUNTIFS(C528,"&gt;=36526",C528,TODAY())+COUNTIFS(D528,"&gt;=36526",D528,TODAY())+COUNTIFS(E528,"&gt;=36526",E528,TODAY())+COUNTIFS(F528,"&gt;=36526",F528,TODAY())&gt;0),P528,"")</x:f>
      </x:c>
      <x:c r="L528" t="str">
        <x:f>IF(AND(A528&lt;&gt;"",COUNTIFS(C528,"&gt;"&amp;TODAY(),C528,"&lt;="&amp;TODAY()+30)+COUNTIFS(D528,"&gt;"&amp;TODAY(),D528,"&lt;="&amp;TODAY()+30)+COUNTIFS(E528,"&gt;"&amp;TODAY(),E528,"&lt;="&amp;TODAY()+30)+COUNTIFS(F528,"&gt;"&amp;TODAY(),F528,"&lt;="&amp;TODAY()+30)&gt;0),Q528,"")</x:f>
      </x:c>
      <x:c r="M528" t="str">
        <x:f>IF(OR(LEFT(H528,15)="Missing dates; ",LEFT(H528,16)="Add N/A reason; ",H528="Add dates",H528="Add registration",H528="Check date format"),R528,"")</x:f>
      </x:c>
      <x:c r="N528" t="str">
        <x:f>IF(COUNTIFS(C528:F528,"Reviewed N/A")&gt;0,S528,"")</x:f>
      </x:c>
      <x:c r="O528" t="n">
        <x:f>O527+IF(AND(A528&lt;&gt;"",COUNTIFS(C528,"&gt;=36526",C528,"&lt;"&amp;TODAY())+COUNTIFS(D528,"&gt;=36526",D528,"&lt;"&amp;TODAY())+COUNTIFS(E528,"&gt;=36526",E528,"&lt;"&amp;TODAY())+COUNTIFS(F528,"&gt;=36526",F528,"&lt;"&amp;TODAY())&gt;0),1,0)</x:f>
        <x:v>0</x:v>
      </x:c>
      <x:c r="P528" t="n">
        <x:f>P527+IF(AND(A528&lt;&gt;"",COUNTIFS(C528,"&gt;=36526",C528,TODAY())+COUNTIFS(D528,"&gt;=36526",D528,TODAY())+COUNTIFS(E528,"&gt;=36526",E528,TODAY())+COUNTIFS(F528,"&gt;=36526",F528,TODAY())&gt;0),1,0)</x:f>
        <x:v>0</x:v>
      </x:c>
      <x:c r="Q528" t="n">
        <x:f>Q527+IF(AND(A528&lt;&gt;"",COUNTIFS(C528,"&gt;"&amp;TODAY(),C528,"&lt;="&amp;TODAY()+30)+COUNTIFS(D528,"&gt;"&amp;TODAY(),D528,"&lt;="&amp;TODAY()+30)+COUNTIFS(E528,"&gt;"&amp;TODAY(),E528,"&lt;="&amp;TODAY()+30)+COUNTIFS(F528,"&gt;"&amp;TODAY(),F528,"&lt;="&amp;TODAY()+30)&gt;0),1,0)</x:f>
        <x:v>0</x:v>
      </x:c>
      <x:c r="R528" t="n">
        <x:f>R527+IF(OR(LEFT(H528,15)="Missing dates; ",LEFT(H528,16)="Add N/A reason; ",H528="Add dates",H528="Add registration",H528="Check date format"),1,0)</x:f>
        <x:v>0</x:v>
      </x:c>
      <x:c r="S528" t="n">
        <x:f>S527+IF(COUNTIFS(C528:F528,"Reviewed N/A")&gt;0,1,0)</x:f>
        <x:v>0</x:v>
      </x:c>
    </x:row>
    <x:row r="529" ht="48" customHeight="1">
      <x:c r="A529" s="52"/>
      <x:c r="B529" s="52"/>
      <x:c r="C529" s="53"/>
      <x:c r="D529" s="53"/>
      <x:c r="E529" s="53"/>
      <x:c r="F529" s="53"/>
      <x:c r="G529" s="52"/>
      <x:c r="H529" s="21" t="str">
        <x:f>IF(COUNTA(A529:G529,I529)=0,"",IF(A529="","Add registration",IF(OR(COUNTA(C529:F529)&gt;COUNT(C529:F529)+COUNTIFS(C529:F529,"Reviewed N/A"),AND(COUNT(C529:F529)&gt;0,OR(MIN(C529:F529)&lt;36526,MAX(C529:F529)&gt;109574))),"Check date format",IF(AND(COUNTIFS(C529:F529,"Reviewed N/A")&gt;0,I529=""),"Add N/A reason; ","")&amp;IF(COUNT(C529:F529)=0,IF(COUNTIFS(C529:F529,"Reviewed N/A")=4,"No applicable dates recorded","Add dates"),IF(COUNT(C529:F529)+COUNTIFS(C529:F529,"Reviewed N/A")&lt;4,"Missing dates; ","")&amp;IF(MIN(C529:F529)&lt;TODAY(),"Overdue: ",IF(MIN(C529:F529)=TODAY(),"Due today: ",IF(MIN(C529:F529)&lt;=TODAY()+30,"Due within 30 days: ","Next: ")))&amp;INDEX($C$8:$F$8,1,MATCH(MIN(C529:F529),C529:F529,0))&amp;" "&amp;TEXT(MIN(C529:F529),"dd mmm yyyy")))))</x:f>
      </x:c>
      <x:c r="I529" s="52"/>
      <x:c r="J529" t="str">
        <x:f>IF(AND(A529&lt;&gt;"",COUNTIFS(C529,"&gt;=36526",C529,"&lt;"&amp;TODAY())+COUNTIFS(D529,"&gt;=36526",D529,"&lt;"&amp;TODAY())+COUNTIFS(E529,"&gt;=36526",E529,"&lt;"&amp;TODAY())+COUNTIFS(F529,"&gt;=36526",F529,"&lt;"&amp;TODAY())&gt;0),O529,"")</x:f>
      </x:c>
      <x:c r="K529" t="str">
        <x:f>IF(AND(A529&lt;&gt;"",COUNTIFS(C529,"&gt;=36526",C529,TODAY())+COUNTIFS(D529,"&gt;=36526",D529,TODAY())+COUNTIFS(E529,"&gt;=36526",E529,TODAY())+COUNTIFS(F529,"&gt;=36526",F529,TODAY())&gt;0),P529,"")</x:f>
      </x:c>
      <x:c r="L529" t="str">
        <x:f>IF(AND(A529&lt;&gt;"",COUNTIFS(C529,"&gt;"&amp;TODAY(),C529,"&lt;="&amp;TODAY()+30)+COUNTIFS(D529,"&gt;"&amp;TODAY(),D529,"&lt;="&amp;TODAY()+30)+COUNTIFS(E529,"&gt;"&amp;TODAY(),E529,"&lt;="&amp;TODAY()+30)+COUNTIFS(F529,"&gt;"&amp;TODAY(),F529,"&lt;="&amp;TODAY()+30)&gt;0),Q529,"")</x:f>
      </x:c>
      <x:c r="M529" t="str">
        <x:f>IF(OR(LEFT(H529,15)="Missing dates; ",LEFT(H529,16)="Add N/A reason; ",H529="Add dates",H529="Add registration",H529="Check date format"),R529,"")</x:f>
      </x:c>
      <x:c r="N529" t="str">
        <x:f>IF(COUNTIFS(C529:F529,"Reviewed N/A")&gt;0,S529,"")</x:f>
      </x:c>
      <x:c r="O529" t="n">
        <x:f>O528+IF(AND(A529&lt;&gt;"",COUNTIFS(C529,"&gt;=36526",C529,"&lt;"&amp;TODAY())+COUNTIFS(D529,"&gt;=36526",D529,"&lt;"&amp;TODAY())+COUNTIFS(E529,"&gt;=36526",E529,"&lt;"&amp;TODAY())+COUNTIFS(F529,"&gt;=36526",F529,"&lt;"&amp;TODAY())&gt;0),1,0)</x:f>
        <x:v>0</x:v>
      </x:c>
      <x:c r="P529" t="n">
        <x:f>P528+IF(AND(A529&lt;&gt;"",COUNTIFS(C529,"&gt;=36526",C529,TODAY())+COUNTIFS(D529,"&gt;=36526",D529,TODAY())+COUNTIFS(E529,"&gt;=36526",E529,TODAY())+COUNTIFS(F529,"&gt;=36526",F529,TODAY())&gt;0),1,0)</x:f>
        <x:v>0</x:v>
      </x:c>
      <x:c r="Q529" t="n">
        <x:f>Q528+IF(AND(A529&lt;&gt;"",COUNTIFS(C529,"&gt;"&amp;TODAY(),C529,"&lt;="&amp;TODAY()+30)+COUNTIFS(D529,"&gt;"&amp;TODAY(),D529,"&lt;="&amp;TODAY()+30)+COUNTIFS(E529,"&gt;"&amp;TODAY(),E529,"&lt;="&amp;TODAY()+30)+COUNTIFS(F529,"&gt;"&amp;TODAY(),F529,"&lt;="&amp;TODAY()+30)&gt;0),1,0)</x:f>
        <x:v>0</x:v>
      </x:c>
      <x:c r="R529" t="n">
        <x:f>R528+IF(OR(LEFT(H529,15)="Missing dates; ",LEFT(H529,16)="Add N/A reason; ",H529="Add dates",H529="Add registration",H529="Check date format"),1,0)</x:f>
        <x:v>0</x:v>
      </x:c>
      <x:c r="S529" t="n">
        <x:f>S528+IF(COUNTIFS(C529:F529,"Reviewed N/A")&gt;0,1,0)</x:f>
        <x:v>0</x:v>
      </x:c>
    </x:row>
    <x:row r="530" ht="48" customHeight="1">
      <x:c r="A530" s="52"/>
      <x:c r="B530" s="52"/>
      <x:c r="C530" s="53"/>
      <x:c r="D530" s="53"/>
      <x:c r="E530" s="53"/>
      <x:c r="F530" s="53"/>
      <x:c r="G530" s="52"/>
      <x:c r="H530" s="21" t="str">
        <x:f>IF(COUNTA(A530:G530,I530)=0,"",IF(A530="","Add registration",IF(OR(COUNTA(C530:F530)&gt;COUNT(C530:F530)+COUNTIFS(C530:F530,"Reviewed N/A"),AND(COUNT(C530:F530)&gt;0,OR(MIN(C530:F530)&lt;36526,MAX(C530:F530)&gt;109574))),"Check date format",IF(AND(COUNTIFS(C530:F530,"Reviewed N/A")&gt;0,I530=""),"Add N/A reason; ","")&amp;IF(COUNT(C530:F530)=0,IF(COUNTIFS(C530:F530,"Reviewed N/A")=4,"No applicable dates recorded","Add dates"),IF(COUNT(C530:F530)+COUNTIFS(C530:F530,"Reviewed N/A")&lt;4,"Missing dates; ","")&amp;IF(MIN(C530:F530)&lt;TODAY(),"Overdue: ",IF(MIN(C530:F530)=TODAY(),"Due today: ",IF(MIN(C530:F530)&lt;=TODAY()+30,"Due within 30 days: ","Next: ")))&amp;INDEX($C$8:$F$8,1,MATCH(MIN(C530:F530),C530:F530,0))&amp;" "&amp;TEXT(MIN(C530:F530),"dd mmm yyyy")))))</x:f>
      </x:c>
      <x:c r="I530" s="52"/>
      <x:c r="J530" t="str">
        <x:f>IF(AND(A530&lt;&gt;"",COUNTIFS(C530,"&gt;=36526",C530,"&lt;"&amp;TODAY())+COUNTIFS(D530,"&gt;=36526",D530,"&lt;"&amp;TODAY())+COUNTIFS(E530,"&gt;=36526",E530,"&lt;"&amp;TODAY())+COUNTIFS(F530,"&gt;=36526",F530,"&lt;"&amp;TODAY())&gt;0),O530,"")</x:f>
      </x:c>
      <x:c r="K530" t="str">
        <x:f>IF(AND(A530&lt;&gt;"",COUNTIFS(C530,"&gt;=36526",C530,TODAY())+COUNTIFS(D530,"&gt;=36526",D530,TODAY())+COUNTIFS(E530,"&gt;=36526",E530,TODAY())+COUNTIFS(F530,"&gt;=36526",F530,TODAY())&gt;0),P530,"")</x:f>
      </x:c>
      <x:c r="L530" t="str">
        <x:f>IF(AND(A530&lt;&gt;"",COUNTIFS(C530,"&gt;"&amp;TODAY(),C530,"&lt;="&amp;TODAY()+30)+COUNTIFS(D530,"&gt;"&amp;TODAY(),D530,"&lt;="&amp;TODAY()+30)+COUNTIFS(E530,"&gt;"&amp;TODAY(),E530,"&lt;="&amp;TODAY()+30)+COUNTIFS(F530,"&gt;"&amp;TODAY(),F530,"&lt;="&amp;TODAY()+30)&gt;0),Q530,"")</x:f>
      </x:c>
      <x:c r="M530" t="str">
        <x:f>IF(OR(LEFT(H530,15)="Missing dates; ",LEFT(H530,16)="Add N/A reason; ",H530="Add dates",H530="Add registration",H530="Check date format"),R530,"")</x:f>
      </x:c>
      <x:c r="N530" t="str">
        <x:f>IF(COUNTIFS(C530:F530,"Reviewed N/A")&gt;0,S530,"")</x:f>
      </x:c>
      <x:c r="O530" t="n">
        <x:f>O529+IF(AND(A530&lt;&gt;"",COUNTIFS(C530,"&gt;=36526",C530,"&lt;"&amp;TODAY())+COUNTIFS(D530,"&gt;=36526",D530,"&lt;"&amp;TODAY())+COUNTIFS(E530,"&gt;=36526",E530,"&lt;"&amp;TODAY())+COUNTIFS(F530,"&gt;=36526",F530,"&lt;"&amp;TODAY())&gt;0),1,0)</x:f>
        <x:v>0</x:v>
      </x:c>
      <x:c r="P530" t="n">
        <x:f>P529+IF(AND(A530&lt;&gt;"",COUNTIFS(C530,"&gt;=36526",C530,TODAY())+COUNTIFS(D530,"&gt;=36526",D530,TODAY())+COUNTIFS(E530,"&gt;=36526",E530,TODAY())+COUNTIFS(F530,"&gt;=36526",F530,TODAY())&gt;0),1,0)</x:f>
        <x:v>0</x:v>
      </x:c>
      <x:c r="Q530" t="n">
        <x:f>Q529+IF(AND(A530&lt;&gt;"",COUNTIFS(C530,"&gt;"&amp;TODAY(),C530,"&lt;="&amp;TODAY()+30)+COUNTIFS(D530,"&gt;"&amp;TODAY(),D530,"&lt;="&amp;TODAY()+30)+COUNTIFS(E530,"&gt;"&amp;TODAY(),E530,"&lt;="&amp;TODAY()+30)+COUNTIFS(F530,"&gt;"&amp;TODAY(),F530,"&lt;="&amp;TODAY()+30)&gt;0),1,0)</x:f>
        <x:v>0</x:v>
      </x:c>
      <x:c r="R530" t="n">
        <x:f>R529+IF(OR(LEFT(H530,15)="Missing dates; ",LEFT(H530,16)="Add N/A reason; ",H530="Add dates",H530="Add registration",H530="Check date format"),1,0)</x:f>
        <x:v>0</x:v>
      </x:c>
      <x:c r="S530" t="n">
        <x:f>S529+IF(COUNTIFS(C530:F530,"Reviewed N/A")&gt;0,1,0)</x:f>
        <x:v>0</x:v>
      </x:c>
    </x:row>
    <x:row r="531" ht="48" customHeight="1">
      <x:c r="A531" s="52"/>
      <x:c r="B531" s="52"/>
      <x:c r="C531" s="53"/>
      <x:c r="D531" s="53"/>
      <x:c r="E531" s="53"/>
      <x:c r="F531" s="53"/>
      <x:c r="G531" s="52"/>
      <x:c r="H531" s="21" t="str">
        <x:f>IF(COUNTA(A531:G531,I531)=0,"",IF(A531="","Add registration",IF(OR(COUNTA(C531:F531)&gt;COUNT(C531:F531)+COUNTIFS(C531:F531,"Reviewed N/A"),AND(COUNT(C531:F531)&gt;0,OR(MIN(C531:F531)&lt;36526,MAX(C531:F531)&gt;109574))),"Check date format",IF(AND(COUNTIFS(C531:F531,"Reviewed N/A")&gt;0,I531=""),"Add N/A reason; ","")&amp;IF(COUNT(C531:F531)=0,IF(COUNTIFS(C531:F531,"Reviewed N/A")=4,"No applicable dates recorded","Add dates"),IF(COUNT(C531:F531)+COUNTIFS(C531:F531,"Reviewed N/A")&lt;4,"Missing dates; ","")&amp;IF(MIN(C531:F531)&lt;TODAY(),"Overdue: ",IF(MIN(C531:F531)=TODAY(),"Due today: ",IF(MIN(C531:F531)&lt;=TODAY()+30,"Due within 30 days: ","Next: ")))&amp;INDEX($C$8:$F$8,1,MATCH(MIN(C531:F531),C531:F531,0))&amp;" "&amp;TEXT(MIN(C531:F531),"dd mmm yyyy")))))</x:f>
      </x:c>
      <x:c r="I531" s="52"/>
      <x:c r="J531" t="str">
        <x:f>IF(AND(A531&lt;&gt;"",COUNTIFS(C531,"&gt;=36526",C531,"&lt;"&amp;TODAY())+COUNTIFS(D531,"&gt;=36526",D531,"&lt;"&amp;TODAY())+COUNTIFS(E531,"&gt;=36526",E531,"&lt;"&amp;TODAY())+COUNTIFS(F531,"&gt;=36526",F531,"&lt;"&amp;TODAY())&gt;0),O531,"")</x:f>
      </x:c>
      <x:c r="K531" t="str">
        <x:f>IF(AND(A531&lt;&gt;"",COUNTIFS(C531,"&gt;=36526",C531,TODAY())+COUNTIFS(D531,"&gt;=36526",D531,TODAY())+COUNTIFS(E531,"&gt;=36526",E531,TODAY())+COUNTIFS(F531,"&gt;=36526",F531,TODAY())&gt;0),P531,"")</x:f>
      </x:c>
      <x:c r="L531" t="str">
        <x:f>IF(AND(A531&lt;&gt;"",COUNTIFS(C531,"&gt;"&amp;TODAY(),C531,"&lt;="&amp;TODAY()+30)+COUNTIFS(D531,"&gt;"&amp;TODAY(),D531,"&lt;="&amp;TODAY()+30)+COUNTIFS(E531,"&gt;"&amp;TODAY(),E531,"&lt;="&amp;TODAY()+30)+COUNTIFS(F531,"&gt;"&amp;TODAY(),F531,"&lt;="&amp;TODAY()+30)&gt;0),Q531,"")</x:f>
      </x:c>
      <x:c r="M531" t="str">
        <x:f>IF(OR(LEFT(H531,15)="Missing dates; ",LEFT(H531,16)="Add N/A reason; ",H531="Add dates",H531="Add registration",H531="Check date format"),R531,"")</x:f>
      </x:c>
      <x:c r="N531" t="str">
        <x:f>IF(COUNTIFS(C531:F531,"Reviewed N/A")&gt;0,S531,"")</x:f>
      </x:c>
      <x:c r="O531" t="n">
        <x:f>O530+IF(AND(A531&lt;&gt;"",COUNTIFS(C531,"&gt;=36526",C531,"&lt;"&amp;TODAY())+COUNTIFS(D531,"&gt;=36526",D531,"&lt;"&amp;TODAY())+COUNTIFS(E531,"&gt;=36526",E531,"&lt;"&amp;TODAY())+COUNTIFS(F531,"&gt;=36526",F531,"&lt;"&amp;TODAY())&gt;0),1,0)</x:f>
        <x:v>0</x:v>
      </x:c>
      <x:c r="P531" t="n">
        <x:f>P530+IF(AND(A531&lt;&gt;"",COUNTIFS(C531,"&gt;=36526",C531,TODAY())+COUNTIFS(D531,"&gt;=36526",D531,TODAY())+COUNTIFS(E531,"&gt;=36526",E531,TODAY())+COUNTIFS(F531,"&gt;=36526",F531,TODAY())&gt;0),1,0)</x:f>
        <x:v>0</x:v>
      </x:c>
      <x:c r="Q531" t="n">
        <x:f>Q530+IF(AND(A531&lt;&gt;"",COUNTIFS(C531,"&gt;"&amp;TODAY(),C531,"&lt;="&amp;TODAY()+30)+COUNTIFS(D531,"&gt;"&amp;TODAY(),D531,"&lt;="&amp;TODAY()+30)+COUNTIFS(E531,"&gt;"&amp;TODAY(),E531,"&lt;="&amp;TODAY()+30)+COUNTIFS(F531,"&gt;"&amp;TODAY(),F531,"&lt;="&amp;TODAY()+30)&gt;0),1,0)</x:f>
        <x:v>0</x:v>
      </x:c>
      <x:c r="R531" t="n">
        <x:f>R530+IF(OR(LEFT(H531,15)="Missing dates; ",LEFT(H531,16)="Add N/A reason; ",H531="Add dates",H531="Add registration",H531="Check date format"),1,0)</x:f>
        <x:v>0</x:v>
      </x:c>
      <x:c r="S531" t="n">
        <x:f>S530+IF(COUNTIFS(C531:F531,"Reviewed N/A")&gt;0,1,0)</x:f>
        <x:v>0</x:v>
      </x:c>
    </x:row>
    <x:row r="532" ht="48" customHeight="1">
      <x:c r="A532" s="52"/>
      <x:c r="B532" s="52"/>
      <x:c r="C532" s="53"/>
      <x:c r="D532" s="53"/>
      <x:c r="E532" s="53"/>
      <x:c r="F532" s="53"/>
      <x:c r="G532" s="52"/>
      <x:c r="H532" s="21" t="str">
        <x:f>IF(COUNTA(A532:G532,I532)=0,"",IF(A532="","Add registration",IF(OR(COUNTA(C532:F532)&gt;COUNT(C532:F532)+COUNTIFS(C532:F532,"Reviewed N/A"),AND(COUNT(C532:F532)&gt;0,OR(MIN(C532:F532)&lt;36526,MAX(C532:F532)&gt;109574))),"Check date format",IF(AND(COUNTIFS(C532:F532,"Reviewed N/A")&gt;0,I532=""),"Add N/A reason; ","")&amp;IF(COUNT(C532:F532)=0,IF(COUNTIFS(C532:F532,"Reviewed N/A")=4,"No applicable dates recorded","Add dates"),IF(COUNT(C532:F532)+COUNTIFS(C532:F532,"Reviewed N/A")&lt;4,"Missing dates; ","")&amp;IF(MIN(C532:F532)&lt;TODAY(),"Overdue: ",IF(MIN(C532:F532)=TODAY(),"Due today: ",IF(MIN(C532:F532)&lt;=TODAY()+30,"Due within 30 days: ","Next: ")))&amp;INDEX($C$8:$F$8,1,MATCH(MIN(C532:F532),C532:F532,0))&amp;" "&amp;TEXT(MIN(C532:F532),"dd mmm yyyy")))))</x:f>
      </x:c>
      <x:c r="I532" s="52"/>
      <x:c r="J532" t="str">
        <x:f>IF(AND(A532&lt;&gt;"",COUNTIFS(C532,"&gt;=36526",C532,"&lt;"&amp;TODAY())+COUNTIFS(D532,"&gt;=36526",D532,"&lt;"&amp;TODAY())+COUNTIFS(E532,"&gt;=36526",E532,"&lt;"&amp;TODAY())+COUNTIFS(F532,"&gt;=36526",F532,"&lt;"&amp;TODAY())&gt;0),O532,"")</x:f>
      </x:c>
      <x:c r="K532" t="str">
        <x:f>IF(AND(A532&lt;&gt;"",COUNTIFS(C532,"&gt;=36526",C532,TODAY())+COUNTIFS(D532,"&gt;=36526",D532,TODAY())+COUNTIFS(E532,"&gt;=36526",E532,TODAY())+COUNTIFS(F532,"&gt;=36526",F532,TODAY())&gt;0),P532,"")</x:f>
      </x:c>
      <x:c r="L532" t="str">
        <x:f>IF(AND(A532&lt;&gt;"",COUNTIFS(C532,"&gt;"&amp;TODAY(),C532,"&lt;="&amp;TODAY()+30)+COUNTIFS(D532,"&gt;"&amp;TODAY(),D532,"&lt;="&amp;TODAY()+30)+COUNTIFS(E532,"&gt;"&amp;TODAY(),E532,"&lt;="&amp;TODAY()+30)+COUNTIFS(F532,"&gt;"&amp;TODAY(),F532,"&lt;="&amp;TODAY()+30)&gt;0),Q532,"")</x:f>
      </x:c>
      <x:c r="M532" t="str">
        <x:f>IF(OR(LEFT(H532,15)="Missing dates; ",LEFT(H532,16)="Add N/A reason; ",H532="Add dates",H532="Add registration",H532="Check date format"),R532,"")</x:f>
      </x:c>
      <x:c r="N532" t="str">
        <x:f>IF(COUNTIFS(C532:F532,"Reviewed N/A")&gt;0,S532,"")</x:f>
      </x:c>
      <x:c r="O532" t="n">
        <x:f>O531+IF(AND(A532&lt;&gt;"",COUNTIFS(C532,"&gt;=36526",C532,"&lt;"&amp;TODAY())+COUNTIFS(D532,"&gt;=36526",D532,"&lt;"&amp;TODAY())+COUNTIFS(E532,"&gt;=36526",E532,"&lt;"&amp;TODAY())+COUNTIFS(F532,"&gt;=36526",F532,"&lt;"&amp;TODAY())&gt;0),1,0)</x:f>
        <x:v>0</x:v>
      </x:c>
      <x:c r="P532" t="n">
        <x:f>P531+IF(AND(A532&lt;&gt;"",COUNTIFS(C532,"&gt;=36526",C532,TODAY())+COUNTIFS(D532,"&gt;=36526",D532,TODAY())+COUNTIFS(E532,"&gt;=36526",E532,TODAY())+COUNTIFS(F532,"&gt;=36526",F532,TODAY())&gt;0),1,0)</x:f>
        <x:v>0</x:v>
      </x:c>
      <x:c r="Q532" t="n">
        <x:f>Q531+IF(AND(A532&lt;&gt;"",COUNTIFS(C532,"&gt;"&amp;TODAY(),C532,"&lt;="&amp;TODAY()+30)+COUNTIFS(D532,"&gt;"&amp;TODAY(),D532,"&lt;="&amp;TODAY()+30)+COUNTIFS(E532,"&gt;"&amp;TODAY(),E532,"&lt;="&amp;TODAY()+30)+COUNTIFS(F532,"&gt;"&amp;TODAY(),F532,"&lt;="&amp;TODAY()+30)&gt;0),1,0)</x:f>
        <x:v>0</x:v>
      </x:c>
      <x:c r="R532" t="n">
        <x:f>R531+IF(OR(LEFT(H532,15)="Missing dates; ",LEFT(H532,16)="Add N/A reason; ",H532="Add dates",H532="Add registration",H532="Check date format"),1,0)</x:f>
        <x:v>0</x:v>
      </x:c>
      <x:c r="S532" t="n">
        <x:f>S531+IF(COUNTIFS(C532:F532,"Reviewed N/A")&gt;0,1,0)</x:f>
        <x:v>0</x:v>
      </x:c>
    </x:row>
    <x:row r="533" ht="48" customHeight="1">
      <x:c r="A533" s="52"/>
      <x:c r="B533" s="52"/>
      <x:c r="C533" s="53"/>
      <x:c r="D533" s="53"/>
      <x:c r="E533" s="53"/>
      <x:c r="F533" s="53"/>
      <x:c r="G533" s="52"/>
      <x:c r="H533" s="21" t="str">
        <x:f>IF(COUNTA(A533:G533,I533)=0,"",IF(A533="","Add registration",IF(OR(COUNTA(C533:F533)&gt;COUNT(C533:F533)+COUNTIFS(C533:F533,"Reviewed N/A"),AND(COUNT(C533:F533)&gt;0,OR(MIN(C533:F533)&lt;36526,MAX(C533:F533)&gt;109574))),"Check date format",IF(AND(COUNTIFS(C533:F533,"Reviewed N/A")&gt;0,I533=""),"Add N/A reason; ","")&amp;IF(COUNT(C533:F533)=0,IF(COUNTIFS(C533:F533,"Reviewed N/A")=4,"No applicable dates recorded","Add dates"),IF(COUNT(C533:F533)+COUNTIFS(C533:F533,"Reviewed N/A")&lt;4,"Missing dates; ","")&amp;IF(MIN(C533:F533)&lt;TODAY(),"Overdue: ",IF(MIN(C533:F533)=TODAY(),"Due today: ",IF(MIN(C533:F533)&lt;=TODAY()+30,"Due within 30 days: ","Next: ")))&amp;INDEX($C$8:$F$8,1,MATCH(MIN(C533:F533),C533:F533,0))&amp;" "&amp;TEXT(MIN(C533:F533),"dd mmm yyyy")))))</x:f>
      </x:c>
      <x:c r="I533" s="52"/>
      <x:c r="J533" t="str">
        <x:f>IF(AND(A533&lt;&gt;"",COUNTIFS(C533,"&gt;=36526",C533,"&lt;"&amp;TODAY())+COUNTIFS(D533,"&gt;=36526",D533,"&lt;"&amp;TODAY())+COUNTIFS(E533,"&gt;=36526",E533,"&lt;"&amp;TODAY())+COUNTIFS(F533,"&gt;=36526",F533,"&lt;"&amp;TODAY())&gt;0),O533,"")</x:f>
      </x:c>
      <x:c r="K533" t="str">
        <x:f>IF(AND(A533&lt;&gt;"",COUNTIFS(C533,"&gt;=36526",C533,TODAY())+COUNTIFS(D533,"&gt;=36526",D533,TODAY())+COUNTIFS(E533,"&gt;=36526",E533,TODAY())+COUNTIFS(F533,"&gt;=36526",F533,TODAY())&gt;0),P533,"")</x:f>
      </x:c>
      <x:c r="L533" t="str">
        <x:f>IF(AND(A533&lt;&gt;"",COUNTIFS(C533,"&gt;"&amp;TODAY(),C533,"&lt;="&amp;TODAY()+30)+COUNTIFS(D533,"&gt;"&amp;TODAY(),D533,"&lt;="&amp;TODAY()+30)+COUNTIFS(E533,"&gt;"&amp;TODAY(),E533,"&lt;="&amp;TODAY()+30)+COUNTIFS(F533,"&gt;"&amp;TODAY(),F533,"&lt;="&amp;TODAY()+30)&gt;0),Q533,"")</x:f>
      </x:c>
      <x:c r="M533" t="str">
        <x:f>IF(OR(LEFT(H533,15)="Missing dates; ",LEFT(H533,16)="Add N/A reason; ",H533="Add dates",H533="Add registration",H533="Check date format"),R533,"")</x:f>
      </x:c>
      <x:c r="N533" t="str">
        <x:f>IF(COUNTIFS(C533:F533,"Reviewed N/A")&gt;0,S533,"")</x:f>
      </x:c>
      <x:c r="O533" t="n">
        <x:f>O532+IF(AND(A533&lt;&gt;"",COUNTIFS(C533,"&gt;=36526",C533,"&lt;"&amp;TODAY())+COUNTIFS(D533,"&gt;=36526",D533,"&lt;"&amp;TODAY())+COUNTIFS(E533,"&gt;=36526",E533,"&lt;"&amp;TODAY())+COUNTIFS(F533,"&gt;=36526",F533,"&lt;"&amp;TODAY())&gt;0),1,0)</x:f>
        <x:v>0</x:v>
      </x:c>
      <x:c r="P533" t="n">
        <x:f>P532+IF(AND(A533&lt;&gt;"",COUNTIFS(C533,"&gt;=36526",C533,TODAY())+COUNTIFS(D533,"&gt;=36526",D533,TODAY())+COUNTIFS(E533,"&gt;=36526",E533,TODAY())+COUNTIFS(F533,"&gt;=36526",F533,TODAY())&gt;0),1,0)</x:f>
        <x:v>0</x:v>
      </x:c>
      <x:c r="Q533" t="n">
        <x:f>Q532+IF(AND(A533&lt;&gt;"",COUNTIFS(C533,"&gt;"&amp;TODAY(),C533,"&lt;="&amp;TODAY()+30)+COUNTIFS(D533,"&gt;"&amp;TODAY(),D533,"&lt;="&amp;TODAY()+30)+COUNTIFS(E533,"&gt;"&amp;TODAY(),E533,"&lt;="&amp;TODAY()+30)+COUNTIFS(F533,"&gt;"&amp;TODAY(),F533,"&lt;="&amp;TODAY()+30)&gt;0),1,0)</x:f>
        <x:v>0</x:v>
      </x:c>
      <x:c r="R533" t="n">
        <x:f>R532+IF(OR(LEFT(H533,15)="Missing dates; ",LEFT(H533,16)="Add N/A reason; ",H533="Add dates",H533="Add registration",H533="Check date format"),1,0)</x:f>
        <x:v>0</x:v>
      </x:c>
      <x:c r="S533" t="n">
        <x:f>S532+IF(COUNTIFS(C533:F533,"Reviewed N/A")&gt;0,1,0)</x:f>
        <x:v>0</x:v>
      </x:c>
    </x:row>
    <x:row r="534" ht="48" customHeight="1">
      <x:c r="A534" s="52"/>
      <x:c r="B534" s="52"/>
      <x:c r="C534" s="53"/>
      <x:c r="D534" s="53"/>
      <x:c r="E534" s="53"/>
      <x:c r="F534" s="53"/>
      <x:c r="G534" s="52"/>
      <x:c r="H534" s="21" t="str">
        <x:f>IF(COUNTA(A534:G534,I534)=0,"",IF(A534="","Add registration",IF(OR(COUNTA(C534:F534)&gt;COUNT(C534:F534)+COUNTIFS(C534:F534,"Reviewed N/A"),AND(COUNT(C534:F534)&gt;0,OR(MIN(C534:F534)&lt;36526,MAX(C534:F534)&gt;109574))),"Check date format",IF(AND(COUNTIFS(C534:F534,"Reviewed N/A")&gt;0,I534=""),"Add N/A reason; ","")&amp;IF(COUNT(C534:F534)=0,IF(COUNTIFS(C534:F534,"Reviewed N/A")=4,"No applicable dates recorded","Add dates"),IF(COUNT(C534:F534)+COUNTIFS(C534:F534,"Reviewed N/A")&lt;4,"Missing dates; ","")&amp;IF(MIN(C534:F534)&lt;TODAY(),"Overdue: ",IF(MIN(C534:F534)=TODAY(),"Due today: ",IF(MIN(C534:F534)&lt;=TODAY()+30,"Due within 30 days: ","Next: ")))&amp;INDEX($C$8:$F$8,1,MATCH(MIN(C534:F534),C534:F534,0))&amp;" "&amp;TEXT(MIN(C534:F534),"dd mmm yyyy")))))</x:f>
      </x:c>
      <x:c r="I534" s="52"/>
      <x:c r="J534" t="str">
        <x:f>IF(AND(A534&lt;&gt;"",COUNTIFS(C534,"&gt;=36526",C534,"&lt;"&amp;TODAY())+COUNTIFS(D534,"&gt;=36526",D534,"&lt;"&amp;TODAY())+COUNTIFS(E534,"&gt;=36526",E534,"&lt;"&amp;TODAY())+COUNTIFS(F534,"&gt;=36526",F534,"&lt;"&amp;TODAY())&gt;0),O534,"")</x:f>
      </x:c>
      <x:c r="K534" t="str">
        <x:f>IF(AND(A534&lt;&gt;"",COUNTIFS(C534,"&gt;=36526",C534,TODAY())+COUNTIFS(D534,"&gt;=36526",D534,TODAY())+COUNTIFS(E534,"&gt;=36526",E534,TODAY())+COUNTIFS(F534,"&gt;=36526",F534,TODAY())&gt;0),P534,"")</x:f>
      </x:c>
      <x:c r="L534" t="str">
        <x:f>IF(AND(A534&lt;&gt;"",COUNTIFS(C534,"&gt;"&amp;TODAY(),C534,"&lt;="&amp;TODAY()+30)+COUNTIFS(D534,"&gt;"&amp;TODAY(),D534,"&lt;="&amp;TODAY()+30)+COUNTIFS(E534,"&gt;"&amp;TODAY(),E534,"&lt;="&amp;TODAY()+30)+COUNTIFS(F534,"&gt;"&amp;TODAY(),F534,"&lt;="&amp;TODAY()+30)&gt;0),Q534,"")</x:f>
      </x:c>
      <x:c r="M534" t="str">
        <x:f>IF(OR(LEFT(H534,15)="Missing dates; ",LEFT(H534,16)="Add N/A reason; ",H534="Add dates",H534="Add registration",H534="Check date format"),R534,"")</x:f>
      </x:c>
      <x:c r="N534" t="str">
        <x:f>IF(COUNTIFS(C534:F534,"Reviewed N/A")&gt;0,S534,"")</x:f>
      </x:c>
      <x:c r="O534" t="n">
        <x:f>O533+IF(AND(A534&lt;&gt;"",COUNTIFS(C534,"&gt;=36526",C534,"&lt;"&amp;TODAY())+COUNTIFS(D534,"&gt;=36526",D534,"&lt;"&amp;TODAY())+COUNTIFS(E534,"&gt;=36526",E534,"&lt;"&amp;TODAY())+COUNTIFS(F534,"&gt;=36526",F534,"&lt;"&amp;TODAY())&gt;0),1,0)</x:f>
        <x:v>0</x:v>
      </x:c>
      <x:c r="P534" t="n">
        <x:f>P533+IF(AND(A534&lt;&gt;"",COUNTIFS(C534,"&gt;=36526",C534,TODAY())+COUNTIFS(D534,"&gt;=36526",D534,TODAY())+COUNTIFS(E534,"&gt;=36526",E534,TODAY())+COUNTIFS(F534,"&gt;=36526",F534,TODAY())&gt;0),1,0)</x:f>
        <x:v>0</x:v>
      </x:c>
      <x:c r="Q534" t="n">
        <x:f>Q533+IF(AND(A534&lt;&gt;"",COUNTIFS(C534,"&gt;"&amp;TODAY(),C534,"&lt;="&amp;TODAY()+30)+COUNTIFS(D534,"&gt;"&amp;TODAY(),D534,"&lt;="&amp;TODAY()+30)+COUNTIFS(E534,"&gt;"&amp;TODAY(),E534,"&lt;="&amp;TODAY()+30)+COUNTIFS(F534,"&gt;"&amp;TODAY(),F534,"&lt;="&amp;TODAY()+30)&gt;0),1,0)</x:f>
        <x:v>0</x:v>
      </x:c>
      <x:c r="R534" t="n">
        <x:f>R533+IF(OR(LEFT(H534,15)="Missing dates; ",LEFT(H534,16)="Add N/A reason; ",H534="Add dates",H534="Add registration",H534="Check date format"),1,0)</x:f>
        <x:v>0</x:v>
      </x:c>
      <x:c r="S534" t="n">
        <x:f>S533+IF(COUNTIFS(C534:F534,"Reviewed N/A")&gt;0,1,0)</x:f>
        <x:v>0</x:v>
      </x:c>
    </x:row>
    <x:row r="535" ht="48" customHeight="1">
      <x:c r="A535" s="52"/>
      <x:c r="B535" s="52"/>
      <x:c r="C535" s="53"/>
      <x:c r="D535" s="53"/>
      <x:c r="E535" s="53"/>
      <x:c r="F535" s="53"/>
      <x:c r="G535" s="52"/>
      <x:c r="H535" s="21" t="str">
        <x:f>IF(COUNTA(A535:G535,I535)=0,"",IF(A535="","Add registration",IF(OR(COUNTA(C535:F535)&gt;COUNT(C535:F535)+COUNTIFS(C535:F535,"Reviewed N/A"),AND(COUNT(C535:F535)&gt;0,OR(MIN(C535:F535)&lt;36526,MAX(C535:F535)&gt;109574))),"Check date format",IF(AND(COUNTIFS(C535:F535,"Reviewed N/A")&gt;0,I535=""),"Add N/A reason; ","")&amp;IF(COUNT(C535:F535)=0,IF(COUNTIFS(C535:F535,"Reviewed N/A")=4,"No applicable dates recorded","Add dates"),IF(COUNT(C535:F535)+COUNTIFS(C535:F535,"Reviewed N/A")&lt;4,"Missing dates; ","")&amp;IF(MIN(C535:F535)&lt;TODAY(),"Overdue: ",IF(MIN(C535:F535)=TODAY(),"Due today: ",IF(MIN(C535:F535)&lt;=TODAY()+30,"Due within 30 days: ","Next: ")))&amp;INDEX($C$8:$F$8,1,MATCH(MIN(C535:F535),C535:F535,0))&amp;" "&amp;TEXT(MIN(C535:F535),"dd mmm yyyy")))))</x:f>
      </x:c>
      <x:c r="I535" s="52"/>
      <x:c r="J535" t="str">
        <x:f>IF(AND(A535&lt;&gt;"",COUNTIFS(C535,"&gt;=36526",C535,"&lt;"&amp;TODAY())+COUNTIFS(D535,"&gt;=36526",D535,"&lt;"&amp;TODAY())+COUNTIFS(E535,"&gt;=36526",E535,"&lt;"&amp;TODAY())+COUNTIFS(F535,"&gt;=36526",F535,"&lt;"&amp;TODAY())&gt;0),O535,"")</x:f>
      </x:c>
      <x:c r="K535" t="str">
        <x:f>IF(AND(A535&lt;&gt;"",COUNTIFS(C535,"&gt;=36526",C535,TODAY())+COUNTIFS(D535,"&gt;=36526",D535,TODAY())+COUNTIFS(E535,"&gt;=36526",E535,TODAY())+COUNTIFS(F535,"&gt;=36526",F535,TODAY())&gt;0),P535,"")</x:f>
      </x:c>
      <x:c r="L535" t="str">
        <x:f>IF(AND(A535&lt;&gt;"",COUNTIFS(C535,"&gt;"&amp;TODAY(),C535,"&lt;="&amp;TODAY()+30)+COUNTIFS(D535,"&gt;"&amp;TODAY(),D535,"&lt;="&amp;TODAY()+30)+COUNTIFS(E535,"&gt;"&amp;TODAY(),E535,"&lt;="&amp;TODAY()+30)+COUNTIFS(F535,"&gt;"&amp;TODAY(),F535,"&lt;="&amp;TODAY()+30)&gt;0),Q535,"")</x:f>
      </x:c>
      <x:c r="M535" t="str">
        <x:f>IF(OR(LEFT(H535,15)="Missing dates; ",LEFT(H535,16)="Add N/A reason; ",H535="Add dates",H535="Add registration",H535="Check date format"),R535,"")</x:f>
      </x:c>
      <x:c r="N535" t="str">
        <x:f>IF(COUNTIFS(C535:F535,"Reviewed N/A")&gt;0,S535,"")</x:f>
      </x:c>
      <x:c r="O535" t="n">
        <x:f>O534+IF(AND(A535&lt;&gt;"",COUNTIFS(C535,"&gt;=36526",C535,"&lt;"&amp;TODAY())+COUNTIFS(D535,"&gt;=36526",D535,"&lt;"&amp;TODAY())+COUNTIFS(E535,"&gt;=36526",E535,"&lt;"&amp;TODAY())+COUNTIFS(F535,"&gt;=36526",F535,"&lt;"&amp;TODAY())&gt;0),1,0)</x:f>
        <x:v>0</x:v>
      </x:c>
      <x:c r="P535" t="n">
        <x:f>P534+IF(AND(A535&lt;&gt;"",COUNTIFS(C535,"&gt;=36526",C535,TODAY())+COUNTIFS(D535,"&gt;=36526",D535,TODAY())+COUNTIFS(E535,"&gt;=36526",E535,TODAY())+COUNTIFS(F535,"&gt;=36526",F535,TODAY())&gt;0),1,0)</x:f>
        <x:v>0</x:v>
      </x:c>
      <x:c r="Q535" t="n">
        <x:f>Q534+IF(AND(A535&lt;&gt;"",COUNTIFS(C535,"&gt;"&amp;TODAY(),C535,"&lt;="&amp;TODAY()+30)+COUNTIFS(D535,"&gt;"&amp;TODAY(),D535,"&lt;="&amp;TODAY()+30)+COUNTIFS(E535,"&gt;"&amp;TODAY(),E535,"&lt;="&amp;TODAY()+30)+COUNTIFS(F535,"&gt;"&amp;TODAY(),F535,"&lt;="&amp;TODAY()+30)&gt;0),1,0)</x:f>
        <x:v>0</x:v>
      </x:c>
      <x:c r="R535" t="n">
        <x:f>R534+IF(OR(LEFT(H535,15)="Missing dates; ",LEFT(H535,16)="Add N/A reason; ",H535="Add dates",H535="Add registration",H535="Check date format"),1,0)</x:f>
        <x:v>0</x:v>
      </x:c>
      <x:c r="S535" t="n">
        <x:f>S534+IF(COUNTIFS(C535:F535,"Reviewed N/A")&gt;0,1,0)</x:f>
        <x:v>0</x:v>
      </x:c>
    </x:row>
    <x:row r="536" ht="48" customHeight="1">
      <x:c r="A536" s="52"/>
      <x:c r="B536" s="52"/>
      <x:c r="C536" s="53"/>
      <x:c r="D536" s="53"/>
      <x:c r="E536" s="53"/>
      <x:c r="F536" s="53"/>
      <x:c r="G536" s="52"/>
      <x:c r="H536" s="21" t="str">
        <x:f>IF(COUNTA(A536:G536,I536)=0,"",IF(A536="","Add registration",IF(OR(COUNTA(C536:F536)&gt;COUNT(C536:F536)+COUNTIFS(C536:F536,"Reviewed N/A"),AND(COUNT(C536:F536)&gt;0,OR(MIN(C536:F536)&lt;36526,MAX(C536:F536)&gt;109574))),"Check date format",IF(AND(COUNTIFS(C536:F536,"Reviewed N/A")&gt;0,I536=""),"Add N/A reason; ","")&amp;IF(COUNT(C536:F536)=0,IF(COUNTIFS(C536:F536,"Reviewed N/A")=4,"No applicable dates recorded","Add dates"),IF(COUNT(C536:F536)+COUNTIFS(C536:F536,"Reviewed N/A")&lt;4,"Missing dates; ","")&amp;IF(MIN(C536:F536)&lt;TODAY(),"Overdue: ",IF(MIN(C536:F536)=TODAY(),"Due today: ",IF(MIN(C536:F536)&lt;=TODAY()+30,"Due within 30 days: ","Next: ")))&amp;INDEX($C$8:$F$8,1,MATCH(MIN(C536:F536),C536:F536,0))&amp;" "&amp;TEXT(MIN(C536:F536),"dd mmm yyyy")))))</x:f>
      </x:c>
      <x:c r="I536" s="52"/>
      <x:c r="J536" t="str">
        <x:f>IF(AND(A536&lt;&gt;"",COUNTIFS(C536,"&gt;=36526",C536,"&lt;"&amp;TODAY())+COUNTIFS(D536,"&gt;=36526",D536,"&lt;"&amp;TODAY())+COUNTIFS(E536,"&gt;=36526",E536,"&lt;"&amp;TODAY())+COUNTIFS(F536,"&gt;=36526",F536,"&lt;"&amp;TODAY())&gt;0),O536,"")</x:f>
      </x:c>
      <x:c r="K536" t="str">
        <x:f>IF(AND(A536&lt;&gt;"",COUNTIFS(C536,"&gt;=36526",C536,TODAY())+COUNTIFS(D536,"&gt;=36526",D536,TODAY())+COUNTIFS(E536,"&gt;=36526",E536,TODAY())+COUNTIFS(F536,"&gt;=36526",F536,TODAY())&gt;0),P536,"")</x:f>
      </x:c>
      <x:c r="L536" t="str">
        <x:f>IF(AND(A536&lt;&gt;"",COUNTIFS(C536,"&gt;"&amp;TODAY(),C536,"&lt;="&amp;TODAY()+30)+COUNTIFS(D536,"&gt;"&amp;TODAY(),D536,"&lt;="&amp;TODAY()+30)+COUNTIFS(E536,"&gt;"&amp;TODAY(),E536,"&lt;="&amp;TODAY()+30)+COUNTIFS(F536,"&gt;"&amp;TODAY(),F536,"&lt;="&amp;TODAY()+30)&gt;0),Q536,"")</x:f>
      </x:c>
      <x:c r="M536" t="str">
        <x:f>IF(OR(LEFT(H536,15)="Missing dates; ",LEFT(H536,16)="Add N/A reason; ",H536="Add dates",H536="Add registration",H536="Check date format"),R536,"")</x:f>
      </x:c>
      <x:c r="N536" t="str">
        <x:f>IF(COUNTIFS(C536:F536,"Reviewed N/A")&gt;0,S536,"")</x:f>
      </x:c>
      <x:c r="O536" t="n">
        <x:f>O535+IF(AND(A536&lt;&gt;"",COUNTIFS(C536,"&gt;=36526",C536,"&lt;"&amp;TODAY())+COUNTIFS(D536,"&gt;=36526",D536,"&lt;"&amp;TODAY())+COUNTIFS(E536,"&gt;=36526",E536,"&lt;"&amp;TODAY())+COUNTIFS(F536,"&gt;=36526",F536,"&lt;"&amp;TODAY())&gt;0),1,0)</x:f>
        <x:v>0</x:v>
      </x:c>
      <x:c r="P536" t="n">
        <x:f>P535+IF(AND(A536&lt;&gt;"",COUNTIFS(C536,"&gt;=36526",C536,TODAY())+COUNTIFS(D536,"&gt;=36526",D536,TODAY())+COUNTIFS(E536,"&gt;=36526",E536,TODAY())+COUNTIFS(F536,"&gt;=36526",F536,TODAY())&gt;0),1,0)</x:f>
        <x:v>0</x:v>
      </x:c>
      <x:c r="Q536" t="n">
        <x:f>Q535+IF(AND(A536&lt;&gt;"",COUNTIFS(C536,"&gt;"&amp;TODAY(),C536,"&lt;="&amp;TODAY()+30)+COUNTIFS(D536,"&gt;"&amp;TODAY(),D536,"&lt;="&amp;TODAY()+30)+COUNTIFS(E536,"&gt;"&amp;TODAY(),E536,"&lt;="&amp;TODAY()+30)+COUNTIFS(F536,"&gt;"&amp;TODAY(),F536,"&lt;="&amp;TODAY()+30)&gt;0),1,0)</x:f>
        <x:v>0</x:v>
      </x:c>
      <x:c r="R536" t="n">
        <x:f>R535+IF(OR(LEFT(H536,15)="Missing dates; ",LEFT(H536,16)="Add N/A reason; ",H536="Add dates",H536="Add registration",H536="Check date format"),1,0)</x:f>
        <x:v>0</x:v>
      </x:c>
      <x:c r="S536" t="n">
        <x:f>S535+IF(COUNTIFS(C536:F536,"Reviewed N/A")&gt;0,1,0)</x:f>
        <x:v>0</x:v>
      </x:c>
    </x:row>
    <x:row r="537" ht="48" customHeight="1">
      <x:c r="A537" s="52"/>
      <x:c r="B537" s="52"/>
      <x:c r="C537" s="53"/>
      <x:c r="D537" s="53"/>
      <x:c r="E537" s="53"/>
      <x:c r="F537" s="53"/>
      <x:c r="G537" s="52"/>
      <x:c r="H537" s="21" t="str">
        <x:f>IF(COUNTA(A537:G537,I537)=0,"",IF(A537="","Add registration",IF(OR(COUNTA(C537:F537)&gt;COUNT(C537:F537)+COUNTIFS(C537:F537,"Reviewed N/A"),AND(COUNT(C537:F537)&gt;0,OR(MIN(C537:F537)&lt;36526,MAX(C537:F537)&gt;109574))),"Check date format",IF(AND(COUNTIFS(C537:F537,"Reviewed N/A")&gt;0,I537=""),"Add N/A reason; ","")&amp;IF(COUNT(C537:F537)=0,IF(COUNTIFS(C537:F537,"Reviewed N/A")=4,"No applicable dates recorded","Add dates"),IF(COUNT(C537:F537)+COUNTIFS(C537:F537,"Reviewed N/A")&lt;4,"Missing dates; ","")&amp;IF(MIN(C537:F537)&lt;TODAY(),"Overdue: ",IF(MIN(C537:F537)=TODAY(),"Due today: ",IF(MIN(C537:F537)&lt;=TODAY()+30,"Due within 30 days: ","Next: ")))&amp;INDEX($C$8:$F$8,1,MATCH(MIN(C537:F537),C537:F537,0))&amp;" "&amp;TEXT(MIN(C537:F537),"dd mmm yyyy")))))</x:f>
      </x:c>
      <x:c r="I537" s="52"/>
      <x:c r="J537" t="str">
        <x:f>IF(AND(A537&lt;&gt;"",COUNTIFS(C537,"&gt;=36526",C537,"&lt;"&amp;TODAY())+COUNTIFS(D537,"&gt;=36526",D537,"&lt;"&amp;TODAY())+COUNTIFS(E537,"&gt;=36526",E537,"&lt;"&amp;TODAY())+COUNTIFS(F537,"&gt;=36526",F537,"&lt;"&amp;TODAY())&gt;0),O537,"")</x:f>
      </x:c>
      <x:c r="K537" t="str">
        <x:f>IF(AND(A537&lt;&gt;"",COUNTIFS(C537,"&gt;=36526",C537,TODAY())+COUNTIFS(D537,"&gt;=36526",D537,TODAY())+COUNTIFS(E537,"&gt;=36526",E537,TODAY())+COUNTIFS(F537,"&gt;=36526",F537,TODAY())&gt;0),P537,"")</x:f>
      </x:c>
      <x:c r="L537" t="str">
        <x:f>IF(AND(A537&lt;&gt;"",COUNTIFS(C537,"&gt;"&amp;TODAY(),C537,"&lt;="&amp;TODAY()+30)+COUNTIFS(D537,"&gt;"&amp;TODAY(),D537,"&lt;="&amp;TODAY()+30)+COUNTIFS(E537,"&gt;"&amp;TODAY(),E537,"&lt;="&amp;TODAY()+30)+COUNTIFS(F537,"&gt;"&amp;TODAY(),F537,"&lt;="&amp;TODAY()+30)&gt;0),Q537,"")</x:f>
      </x:c>
      <x:c r="M537" t="str">
        <x:f>IF(OR(LEFT(H537,15)="Missing dates; ",LEFT(H537,16)="Add N/A reason; ",H537="Add dates",H537="Add registration",H537="Check date format"),R537,"")</x:f>
      </x:c>
      <x:c r="N537" t="str">
        <x:f>IF(COUNTIFS(C537:F537,"Reviewed N/A")&gt;0,S537,"")</x:f>
      </x:c>
      <x:c r="O537" t="n">
        <x:f>O536+IF(AND(A537&lt;&gt;"",COUNTIFS(C537,"&gt;=36526",C537,"&lt;"&amp;TODAY())+COUNTIFS(D537,"&gt;=36526",D537,"&lt;"&amp;TODAY())+COUNTIFS(E537,"&gt;=36526",E537,"&lt;"&amp;TODAY())+COUNTIFS(F537,"&gt;=36526",F537,"&lt;"&amp;TODAY())&gt;0),1,0)</x:f>
        <x:v>0</x:v>
      </x:c>
      <x:c r="P537" t="n">
        <x:f>P536+IF(AND(A537&lt;&gt;"",COUNTIFS(C537,"&gt;=36526",C537,TODAY())+COUNTIFS(D537,"&gt;=36526",D537,TODAY())+COUNTIFS(E537,"&gt;=36526",E537,TODAY())+COUNTIFS(F537,"&gt;=36526",F537,TODAY())&gt;0),1,0)</x:f>
        <x:v>0</x:v>
      </x:c>
      <x:c r="Q537" t="n">
        <x:f>Q536+IF(AND(A537&lt;&gt;"",COUNTIFS(C537,"&gt;"&amp;TODAY(),C537,"&lt;="&amp;TODAY()+30)+COUNTIFS(D537,"&gt;"&amp;TODAY(),D537,"&lt;="&amp;TODAY()+30)+COUNTIFS(E537,"&gt;"&amp;TODAY(),E537,"&lt;="&amp;TODAY()+30)+COUNTIFS(F537,"&gt;"&amp;TODAY(),F537,"&lt;="&amp;TODAY()+30)&gt;0),1,0)</x:f>
        <x:v>0</x:v>
      </x:c>
      <x:c r="R537" t="n">
        <x:f>R536+IF(OR(LEFT(H537,15)="Missing dates; ",LEFT(H537,16)="Add N/A reason; ",H537="Add dates",H537="Add registration",H537="Check date format"),1,0)</x:f>
        <x:v>0</x:v>
      </x:c>
      <x:c r="S537" t="n">
        <x:f>S536+IF(COUNTIFS(C537:F537,"Reviewed N/A")&gt;0,1,0)</x:f>
        <x:v>0</x:v>
      </x:c>
    </x:row>
    <x:row r="538" ht="48" customHeight="1">
      <x:c r="A538" s="52"/>
      <x:c r="B538" s="52"/>
      <x:c r="C538" s="53"/>
      <x:c r="D538" s="53"/>
      <x:c r="E538" s="53"/>
      <x:c r="F538" s="53"/>
      <x:c r="G538" s="52"/>
      <x:c r="H538" s="21" t="str">
        <x:f>IF(COUNTA(A538:G538,I538)=0,"",IF(A538="","Add registration",IF(OR(COUNTA(C538:F538)&gt;COUNT(C538:F538)+COUNTIFS(C538:F538,"Reviewed N/A"),AND(COUNT(C538:F538)&gt;0,OR(MIN(C538:F538)&lt;36526,MAX(C538:F538)&gt;109574))),"Check date format",IF(AND(COUNTIFS(C538:F538,"Reviewed N/A")&gt;0,I538=""),"Add N/A reason; ","")&amp;IF(COUNT(C538:F538)=0,IF(COUNTIFS(C538:F538,"Reviewed N/A")=4,"No applicable dates recorded","Add dates"),IF(COUNT(C538:F538)+COUNTIFS(C538:F538,"Reviewed N/A")&lt;4,"Missing dates; ","")&amp;IF(MIN(C538:F538)&lt;TODAY(),"Overdue: ",IF(MIN(C538:F538)=TODAY(),"Due today: ",IF(MIN(C538:F538)&lt;=TODAY()+30,"Due within 30 days: ","Next: ")))&amp;INDEX($C$8:$F$8,1,MATCH(MIN(C538:F538),C538:F538,0))&amp;" "&amp;TEXT(MIN(C538:F538),"dd mmm yyyy")))))</x:f>
      </x:c>
      <x:c r="I538" s="52"/>
      <x:c r="J538" t="str">
        <x:f>IF(AND(A538&lt;&gt;"",COUNTIFS(C538,"&gt;=36526",C538,"&lt;"&amp;TODAY())+COUNTIFS(D538,"&gt;=36526",D538,"&lt;"&amp;TODAY())+COUNTIFS(E538,"&gt;=36526",E538,"&lt;"&amp;TODAY())+COUNTIFS(F538,"&gt;=36526",F538,"&lt;"&amp;TODAY())&gt;0),O538,"")</x:f>
      </x:c>
      <x:c r="K538" t="str">
        <x:f>IF(AND(A538&lt;&gt;"",COUNTIFS(C538,"&gt;=36526",C538,TODAY())+COUNTIFS(D538,"&gt;=36526",D538,TODAY())+COUNTIFS(E538,"&gt;=36526",E538,TODAY())+COUNTIFS(F538,"&gt;=36526",F538,TODAY())&gt;0),P538,"")</x:f>
      </x:c>
      <x:c r="L538" t="str">
        <x:f>IF(AND(A538&lt;&gt;"",COUNTIFS(C538,"&gt;"&amp;TODAY(),C538,"&lt;="&amp;TODAY()+30)+COUNTIFS(D538,"&gt;"&amp;TODAY(),D538,"&lt;="&amp;TODAY()+30)+COUNTIFS(E538,"&gt;"&amp;TODAY(),E538,"&lt;="&amp;TODAY()+30)+COUNTIFS(F538,"&gt;"&amp;TODAY(),F538,"&lt;="&amp;TODAY()+30)&gt;0),Q538,"")</x:f>
      </x:c>
      <x:c r="M538" t="str">
        <x:f>IF(OR(LEFT(H538,15)="Missing dates; ",LEFT(H538,16)="Add N/A reason; ",H538="Add dates",H538="Add registration",H538="Check date format"),R538,"")</x:f>
      </x:c>
      <x:c r="N538" t="str">
        <x:f>IF(COUNTIFS(C538:F538,"Reviewed N/A")&gt;0,S538,"")</x:f>
      </x:c>
      <x:c r="O538" t="n">
        <x:f>O537+IF(AND(A538&lt;&gt;"",COUNTIFS(C538,"&gt;=36526",C538,"&lt;"&amp;TODAY())+COUNTIFS(D538,"&gt;=36526",D538,"&lt;"&amp;TODAY())+COUNTIFS(E538,"&gt;=36526",E538,"&lt;"&amp;TODAY())+COUNTIFS(F538,"&gt;=36526",F538,"&lt;"&amp;TODAY())&gt;0),1,0)</x:f>
        <x:v>0</x:v>
      </x:c>
      <x:c r="P538" t="n">
        <x:f>P537+IF(AND(A538&lt;&gt;"",COUNTIFS(C538,"&gt;=36526",C538,TODAY())+COUNTIFS(D538,"&gt;=36526",D538,TODAY())+COUNTIFS(E538,"&gt;=36526",E538,TODAY())+COUNTIFS(F538,"&gt;=36526",F538,TODAY())&gt;0),1,0)</x:f>
        <x:v>0</x:v>
      </x:c>
      <x:c r="Q538" t="n">
        <x:f>Q537+IF(AND(A538&lt;&gt;"",COUNTIFS(C538,"&gt;"&amp;TODAY(),C538,"&lt;="&amp;TODAY()+30)+COUNTIFS(D538,"&gt;"&amp;TODAY(),D538,"&lt;="&amp;TODAY()+30)+COUNTIFS(E538,"&gt;"&amp;TODAY(),E538,"&lt;="&amp;TODAY()+30)+COUNTIFS(F538,"&gt;"&amp;TODAY(),F538,"&lt;="&amp;TODAY()+30)&gt;0),1,0)</x:f>
        <x:v>0</x:v>
      </x:c>
      <x:c r="R538" t="n">
        <x:f>R537+IF(OR(LEFT(H538,15)="Missing dates; ",LEFT(H538,16)="Add N/A reason; ",H538="Add dates",H538="Add registration",H538="Check date format"),1,0)</x:f>
        <x:v>0</x:v>
      </x:c>
      <x:c r="S538" t="n">
        <x:f>S537+IF(COUNTIFS(C538:F538,"Reviewed N/A")&gt;0,1,0)</x:f>
        <x:v>0</x:v>
      </x:c>
    </x:row>
    <x:row r="539" ht="48" customHeight="1">
      <x:c r="A539" s="52"/>
      <x:c r="B539" s="52"/>
      <x:c r="C539" s="53"/>
      <x:c r="D539" s="53"/>
      <x:c r="E539" s="53"/>
      <x:c r="F539" s="53"/>
      <x:c r="G539" s="52"/>
      <x:c r="H539" s="21" t="str">
        <x:f>IF(COUNTA(A539:G539,I539)=0,"",IF(A539="","Add registration",IF(OR(COUNTA(C539:F539)&gt;COUNT(C539:F539)+COUNTIFS(C539:F539,"Reviewed N/A"),AND(COUNT(C539:F539)&gt;0,OR(MIN(C539:F539)&lt;36526,MAX(C539:F539)&gt;109574))),"Check date format",IF(AND(COUNTIFS(C539:F539,"Reviewed N/A")&gt;0,I539=""),"Add N/A reason; ","")&amp;IF(COUNT(C539:F539)=0,IF(COUNTIFS(C539:F539,"Reviewed N/A")=4,"No applicable dates recorded","Add dates"),IF(COUNT(C539:F539)+COUNTIFS(C539:F539,"Reviewed N/A")&lt;4,"Missing dates; ","")&amp;IF(MIN(C539:F539)&lt;TODAY(),"Overdue: ",IF(MIN(C539:F539)=TODAY(),"Due today: ",IF(MIN(C539:F539)&lt;=TODAY()+30,"Due within 30 days: ","Next: ")))&amp;INDEX($C$8:$F$8,1,MATCH(MIN(C539:F539),C539:F539,0))&amp;" "&amp;TEXT(MIN(C539:F539),"dd mmm yyyy")))))</x:f>
      </x:c>
      <x:c r="I539" s="52"/>
      <x:c r="J539" t="str">
        <x:f>IF(AND(A539&lt;&gt;"",COUNTIFS(C539,"&gt;=36526",C539,"&lt;"&amp;TODAY())+COUNTIFS(D539,"&gt;=36526",D539,"&lt;"&amp;TODAY())+COUNTIFS(E539,"&gt;=36526",E539,"&lt;"&amp;TODAY())+COUNTIFS(F539,"&gt;=36526",F539,"&lt;"&amp;TODAY())&gt;0),O539,"")</x:f>
      </x:c>
      <x:c r="K539" t="str">
        <x:f>IF(AND(A539&lt;&gt;"",COUNTIFS(C539,"&gt;=36526",C539,TODAY())+COUNTIFS(D539,"&gt;=36526",D539,TODAY())+COUNTIFS(E539,"&gt;=36526",E539,TODAY())+COUNTIFS(F539,"&gt;=36526",F539,TODAY())&gt;0),P539,"")</x:f>
      </x:c>
      <x:c r="L539" t="str">
        <x:f>IF(AND(A539&lt;&gt;"",COUNTIFS(C539,"&gt;"&amp;TODAY(),C539,"&lt;="&amp;TODAY()+30)+COUNTIFS(D539,"&gt;"&amp;TODAY(),D539,"&lt;="&amp;TODAY()+30)+COUNTIFS(E539,"&gt;"&amp;TODAY(),E539,"&lt;="&amp;TODAY()+30)+COUNTIFS(F539,"&gt;"&amp;TODAY(),F539,"&lt;="&amp;TODAY()+30)&gt;0),Q539,"")</x:f>
      </x:c>
      <x:c r="M539" t="str">
        <x:f>IF(OR(LEFT(H539,15)="Missing dates; ",LEFT(H539,16)="Add N/A reason; ",H539="Add dates",H539="Add registration",H539="Check date format"),R539,"")</x:f>
      </x:c>
      <x:c r="N539" t="str">
        <x:f>IF(COUNTIFS(C539:F539,"Reviewed N/A")&gt;0,S539,"")</x:f>
      </x:c>
      <x:c r="O539" t="n">
        <x:f>O538+IF(AND(A539&lt;&gt;"",COUNTIFS(C539,"&gt;=36526",C539,"&lt;"&amp;TODAY())+COUNTIFS(D539,"&gt;=36526",D539,"&lt;"&amp;TODAY())+COUNTIFS(E539,"&gt;=36526",E539,"&lt;"&amp;TODAY())+COUNTIFS(F539,"&gt;=36526",F539,"&lt;"&amp;TODAY())&gt;0),1,0)</x:f>
        <x:v>0</x:v>
      </x:c>
      <x:c r="P539" t="n">
        <x:f>P538+IF(AND(A539&lt;&gt;"",COUNTIFS(C539,"&gt;=36526",C539,TODAY())+COUNTIFS(D539,"&gt;=36526",D539,TODAY())+COUNTIFS(E539,"&gt;=36526",E539,TODAY())+COUNTIFS(F539,"&gt;=36526",F539,TODAY())&gt;0),1,0)</x:f>
        <x:v>0</x:v>
      </x:c>
      <x:c r="Q539" t="n">
        <x:f>Q538+IF(AND(A539&lt;&gt;"",COUNTIFS(C539,"&gt;"&amp;TODAY(),C539,"&lt;="&amp;TODAY()+30)+COUNTIFS(D539,"&gt;"&amp;TODAY(),D539,"&lt;="&amp;TODAY()+30)+COUNTIFS(E539,"&gt;"&amp;TODAY(),E539,"&lt;="&amp;TODAY()+30)+COUNTIFS(F539,"&gt;"&amp;TODAY(),F539,"&lt;="&amp;TODAY()+30)&gt;0),1,0)</x:f>
        <x:v>0</x:v>
      </x:c>
      <x:c r="R539" t="n">
        <x:f>R538+IF(OR(LEFT(H539,15)="Missing dates; ",LEFT(H539,16)="Add N/A reason; ",H539="Add dates",H539="Add registration",H539="Check date format"),1,0)</x:f>
        <x:v>0</x:v>
      </x:c>
      <x:c r="S539" t="n">
        <x:f>S538+IF(COUNTIFS(C539:F539,"Reviewed N/A")&gt;0,1,0)</x:f>
        <x:v>0</x:v>
      </x:c>
    </x:row>
    <x:row r="540" ht="48" customHeight="1">
      <x:c r="A540" s="52"/>
      <x:c r="B540" s="52"/>
      <x:c r="C540" s="53"/>
      <x:c r="D540" s="53"/>
      <x:c r="E540" s="53"/>
      <x:c r="F540" s="53"/>
      <x:c r="G540" s="52"/>
      <x:c r="H540" s="21" t="str">
        <x:f>IF(COUNTA(A540:G540,I540)=0,"",IF(A540="","Add registration",IF(OR(COUNTA(C540:F540)&gt;COUNT(C540:F540)+COUNTIFS(C540:F540,"Reviewed N/A"),AND(COUNT(C540:F540)&gt;0,OR(MIN(C540:F540)&lt;36526,MAX(C540:F540)&gt;109574))),"Check date format",IF(AND(COUNTIFS(C540:F540,"Reviewed N/A")&gt;0,I540=""),"Add N/A reason; ","")&amp;IF(COUNT(C540:F540)=0,IF(COUNTIFS(C540:F540,"Reviewed N/A")=4,"No applicable dates recorded","Add dates"),IF(COUNT(C540:F540)+COUNTIFS(C540:F540,"Reviewed N/A")&lt;4,"Missing dates; ","")&amp;IF(MIN(C540:F540)&lt;TODAY(),"Overdue: ",IF(MIN(C540:F540)=TODAY(),"Due today: ",IF(MIN(C540:F540)&lt;=TODAY()+30,"Due within 30 days: ","Next: ")))&amp;INDEX($C$8:$F$8,1,MATCH(MIN(C540:F540),C540:F540,0))&amp;" "&amp;TEXT(MIN(C540:F540),"dd mmm yyyy")))))</x:f>
      </x:c>
      <x:c r="I540" s="52"/>
      <x:c r="J540" t="str">
        <x:f>IF(AND(A540&lt;&gt;"",COUNTIFS(C540,"&gt;=36526",C540,"&lt;"&amp;TODAY())+COUNTIFS(D540,"&gt;=36526",D540,"&lt;"&amp;TODAY())+COUNTIFS(E540,"&gt;=36526",E540,"&lt;"&amp;TODAY())+COUNTIFS(F540,"&gt;=36526",F540,"&lt;"&amp;TODAY())&gt;0),O540,"")</x:f>
      </x:c>
      <x:c r="K540" t="str">
        <x:f>IF(AND(A540&lt;&gt;"",COUNTIFS(C540,"&gt;=36526",C540,TODAY())+COUNTIFS(D540,"&gt;=36526",D540,TODAY())+COUNTIFS(E540,"&gt;=36526",E540,TODAY())+COUNTIFS(F540,"&gt;=36526",F540,TODAY())&gt;0),P540,"")</x:f>
      </x:c>
      <x:c r="L540" t="str">
        <x:f>IF(AND(A540&lt;&gt;"",COUNTIFS(C540,"&gt;"&amp;TODAY(),C540,"&lt;="&amp;TODAY()+30)+COUNTIFS(D540,"&gt;"&amp;TODAY(),D540,"&lt;="&amp;TODAY()+30)+COUNTIFS(E540,"&gt;"&amp;TODAY(),E540,"&lt;="&amp;TODAY()+30)+COUNTIFS(F540,"&gt;"&amp;TODAY(),F540,"&lt;="&amp;TODAY()+30)&gt;0),Q540,"")</x:f>
      </x:c>
      <x:c r="M540" t="str">
        <x:f>IF(OR(LEFT(H540,15)="Missing dates; ",LEFT(H540,16)="Add N/A reason; ",H540="Add dates",H540="Add registration",H540="Check date format"),R540,"")</x:f>
      </x:c>
      <x:c r="N540" t="str">
        <x:f>IF(COUNTIFS(C540:F540,"Reviewed N/A")&gt;0,S540,"")</x:f>
      </x:c>
      <x:c r="O540" t="n">
        <x:f>O539+IF(AND(A540&lt;&gt;"",COUNTIFS(C540,"&gt;=36526",C540,"&lt;"&amp;TODAY())+COUNTIFS(D540,"&gt;=36526",D540,"&lt;"&amp;TODAY())+COUNTIFS(E540,"&gt;=36526",E540,"&lt;"&amp;TODAY())+COUNTIFS(F540,"&gt;=36526",F540,"&lt;"&amp;TODAY())&gt;0),1,0)</x:f>
        <x:v>0</x:v>
      </x:c>
      <x:c r="P540" t="n">
        <x:f>P539+IF(AND(A540&lt;&gt;"",COUNTIFS(C540,"&gt;=36526",C540,TODAY())+COUNTIFS(D540,"&gt;=36526",D540,TODAY())+COUNTIFS(E540,"&gt;=36526",E540,TODAY())+COUNTIFS(F540,"&gt;=36526",F540,TODAY())&gt;0),1,0)</x:f>
        <x:v>0</x:v>
      </x:c>
      <x:c r="Q540" t="n">
        <x:f>Q539+IF(AND(A540&lt;&gt;"",COUNTIFS(C540,"&gt;"&amp;TODAY(),C540,"&lt;="&amp;TODAY()+30)+COUNTIFS(D540,"&gt;"&amp;TODAY(),D540,"&lt;="&amp;TODAY()+30)+COUNTIFS(E540,"&gt;"&amp;TODAY(),E540,"&lt;="&amp;TODAY()+30)+COUNTIFS(F540,"&gt;"&amp;TODAY(),F540,"&lt;="&amp;TODAY()+30)&gt;0),1,0)</x:f>
        <x:v>0</x:v>
      </x:c>
      <x:c r="R540" t="n">
        <x:f>R539+IF(OR(LEFT(H540,15)="Missing dates; ",LEFT(H540,16)="Add N/A reason; ",H540="Add dates",H540="Add registration",H540="Check date format"),1,0)</x:f>
        <x:v>0</x:v>
      </x:c>
      <x:c r="S540" t="n">
        <x:f>S539+IF(COUNTIFS(C540:F540,"Reviewed N/A")&gt;0,1,0)</x:f>
        <x:v>0</x:v>
      </x:c>
    </x:row>
    <x:row r="541" ht="48" customHeight="1">
      <x:c r="A541" s="52"/>
      <x:c r="B541" s="52"/>
      <x:c r="C541" s="53"/>
      <x:c r="D541" s="53"/>
      <x:c r="E541" s="53"/>
      <x:c r="F541" s="53"/>
      <x:c r="G541" s="52"/>
      <x:c r="H541" s="21" t="str">
        <x:f>IF(COUNTA(A541:G541,I541)=0,"",IF(A541="","Add registration",IF(OR(COUNTA(C541:F541)&gt;COUNT(C541:F541)+COUNTIFS(C541:F541,"Reviewed N/A"),AND(COUNT(C541:F541)&gt;0,OR(MIN(C541:F541)&lt;36526,MAX(C541:F541)&gt;109574))),"Check date format",IF(AND(COUNTIFS(C541:F541,"Reviewed N/A")&gt;0,I541=""),"Add N/A reason; ","")&amp;IF(COUNT(C541:F541)=0,IF(COUNTIFS(C541:F541,"Reviewed N/A")=4,"No applicable dates recorded","Add dates"),IF(COUNT(C541:F541)+COUNTIFS(C541:F541,"Reviewed N/A")&lt;4,"Missing dates; ","")&amp;IF(MIN(C541:F541)&lt;TODAY(),"Overdue: ",IF(MIN(C541:F541)=TODAY(),"Due today: ",IF(MIN(C541:F541)&lt;=TODAY()+30,"Due within 30 days: ","Next: ")))&amp;INDEX($C$8:$F$8,1,MATCH(MIN(C541:F541),C541:F541,0))&amp;" "&amp;TEXT(MIN(C541:F541),"dd mmm yyyy")))))</x:f>
      </x:c>
      <x:c r="I541" s="52"/>
      <x:c r="J541" t="str">
        <x:f>IF(AND(A541&lt;&gt;"",COUNTIFS(C541,"&gt;=36526",C541,"&lt;"&amp;TODAY())+COUNTIFS(D541,"&gt;=36526",D541,"&lt;"&amp;TODAY())+COUNTIFS(E541,"&gt;=36526",E541,"&lt;"&amp;TODAY())+COUNTIFS(F541,"&gt;=36526",F541,"&lt;"&amp;TODAY())&gt;0),O541,"")</x:f>
      </x:c>
      <x:c r="K541" t="str">
        <x:f>IF(AND(A541&lt;&gt;"",COUNTIFS(C541,"&gt;=36526",C541,TODAY())+COUNTIFS(D541,"&gt;=36526",D541,TODAY())+COUNTIFS(E541,"&gt;=36526",E541,TODAY())+COUNTIFS(F541,"&gt;=36526",F541,TODAY())&gt;0),P541,"")</x:f>
      </x:c>
      <x:c r="L541" t="str">
        <x:f>IF(AND(A541&lt;&gt;"",COUNTIFS(C541,"&gt;"&amp;TODAY(),C541,"&lt;="&amp;TODAY()+30)+COUNTIFS(D541,"&gt;"&amp;TODAY(),D541,"&lt;="&amp;TODAY()+30)+COUNTIFS(E541,"&gt;"&amp;TODAY(),E541,"&lt;="&amp;TODAY()+30)+COUNTIFS(F541,"&gt;"&amp;TODAY(),F541,"&lt;="&amp;TODAY()+30)&gt;0),Q541,"")</x:f>
      </x:c>
      <x:c r="M541" t="str">
        <x:f>IF(OR(LEFT(H541,15)="Missing dates; ",LEFT(H541,16)="Add N/A reason; ",H541="Add dates",H541="Add registration",H541="Check date format"),R541,"")</x:f>
      </x:c>
      <x:c r="N541" t="str">
        <x:f>IF(COUNTIFS(C541:F541,"Reviewed N/A")&gt;0,S541,"")</x:f>
      </x:c>
      <x:c r="O541" t="n">
        <x:f>O540+IF(AND(A541&lt;&gt;"",COUNTIFS(C541,"&gt;=36526",C541,"&lt;"&amp;TODAY())+COUNTIFS(D541,"&gt;=36526",D541,"&lt;"&amp;TODAY())+COUNTIFS(E541,"&gt;=36526",E541,"&lt;"&amp;TODAY())+COUNTIFS(F541,"&gt;=36526",F541,"&lt;"&amp;TODAY())&gt;0),1,0)</x:f>
        <x:v>0</x:v>
      </x:c>
      <x:c r="P541" t="n">
        <x:f>P540+IF(AND(A541&lt;&gt;"",COUNTIFS(C541,"&gt;=36526",C541,TODAY())+COUNTIFS(D541,"&gt;=36526",D541,TODAY())+COUNTIFS(E541,"&gt;=36526",E541,TODAY())+COUNTIFS(F541,"&gt;=36526",F541,TODAY())&gt;0),1,0)</x:f>
        <x:v>0</x:v>
      </x:c>
      <x:c r="Q541" t="n">
        <x:f>Q540+IF(AND(A541&lt;&gt;"",COUNTIFS(C541,"&gt;"&amp;TODAY(),C541,"&lt;="&amp;TODAY()+30)+COUNTIFS(D541,"&gt;"&amp;TODAY(),D541,"&lt;="&amp;TODAY()+30)+COUNTIFS(E541,"&gt;"&amp;TODAY(),E541,"&lt;="&amp;TODAY()+30)+COUNTIFS(F541,"&gt;"&amp;TODAY(),F541,"&lt;="&amp;TODAY()+30)&gt;0),1,0)</x:f>
        <x:v>0</x:v>
      </x:c>
      <x:c r="R541" t="n">
        <x:f>R540+IF(OR(LEFT(H541,15)="Missing dates; ",LEFT(H541,16)="Add N/A reason; ",H541="Add dates",H541="Add registration",H541="Check date format"),1,0)</x:f>
        <x:v>0</x:v>
      </x:c>
      <x:c r="S541" t="n">
        <x:f>S540+IF(COUNTIFS(C541:F541,"Reviewed N/A")&gt;0,1,0)</x:f>
        <x:v>0</x:v>
      </x:c>
    </x:row>
    <x:row r="542" ht="48" customHeight="1">
      <x:c r="A542" s="52"/>
      <x:c r="B542" s="52"/>
      <x:c r="C542" s="53"/>
      <x:c r="D542" s="53"/>
      <x:c r="E542" s="53"/>
      <x:c r="F542" s="53"/>
      <x:c r="G542" s="52"/>
      <x:c r="H542" s="21" t="str">
        <x:f>IF(COUNTA(A542:G542,I542)=0,"",IF(A542="","Add registration",IF(OR(COUNTA(C542:F542)&gt;COUNT(C542:F542)+COUNTIFS(C542:F542,"Reviewed N/A"),AND(COUNT(C542:F542)&gt;0,OR(MIN(C542:F542)&lt;36526,MAX(C542:F542)&gt;109574))),"Check date format",IF(AND(COUNTIFS(C542:F542,"Reviewed N/A")&gt;0,I542=""),"Add N/A reason; ","")&amp;IF(COUNT(C542:F542)=0,IF(COUNTIFS(C542:F542,"Reviewed N/A")=4,"No applicable dates recorded","Add dates"),IF(COUNT(C542:F542)+COUNTIFS(C542:F542,"Reviewed N/A")&lt;4,"Missing dates; ","")&amp;IF(MIN(C542:F542)&lt;TODAY(),"Overdue: ",IF(MIN(C542:F542)=TODAY(),"Due today: ",IF(MIN(C542:F542)&lt;=TODAY()+30,"Due within 30 days: ","Next: ")))&amp;INDEX($C$8:$F$8,1,MATCH(MIN(C542:F542),C542:F542,0))&amp;" "&amp;TEXT(MIN(C542:F542),"dd mmm yyyy")))))</x:f>
      </x:c>
      <x:c r="I542" s="52"/>
      <x:c r="J542" t="str">
        <x:f>IF(AND(A542&lt;&gt;"",COUNTIFS(C542,"&gt;=36526",C542,"&lt;"&amp;TODAY())+COUNTIFS(D542,"&gt;=36526",D542,"&lt;"&amp;TODAY())+COUNTIFS(E542,"&gt;=36526",E542,"&lt;"&amp;TODAY())+COUNTIFS(F542,"&gt;=36526",F542,"&lt;"&amp;TODAY())&gt;0),O542,"")</x:f>
      </x:c>
      <x:c r="K542" t="str">
        <x:f>IF(AND(A542&lt;&gt;"",COUNTIFS(C542,"&gt;=36526",C542,TODAY())+COUNTIFS(D542,"&gt;=36526",D542,TODAY())+COUNTIFS(E542,"&gt;=36526",E542,TODAY())+COUNTIFS(F542,"&gt;=36526",F542,TODAY())&gt;0),P542,"")</x:f>
      </x:c>
      <x:c r="L542" t="str">
        <x:f>IF(AND(A542&lt;&gt;"",COUNTIFS(C542,"&gt;"&amp;TODAY(),C542,"&lt;="&amp;TODAY()+30)+COUNTIFS(D542,"&gt;"&amp;TODAY(),D542,"&lt;="&amp;TODAY()+30)+COUNTIFS(E542,"&gt;"&amp;TODAY(),E542,"&lt;="&amp;TODAY()+30)+COUNTIFS(F542,"&gt;"&amp;TODAY(),F542,"&lt;="&amp;TODAY()+30)&gt;0),Q542,"")</x:f>
      </x:c>
      <x:c r="M542" t="str">
        <x:f>IF(OR(LEFT(H542,15)="Missing dates; ",LEFT(H542,16)="Add N/A reason; ",H542="Add dates",H542="Add registration",H542="Check date format"),R542,"")</x:f>
      </x:c>
      <x:c r="N542" t="str">
        <x:f>IF(COUNTIFS(C542:F542,"Reviewed N/A")&gt;0,S542,"")</x:f>
      </x:c>
      <x:c r="O542" t="n">
        <x:f>O541+IF(AND(A542&lt;&gt;"",COUNTIFS(C542,"&gt;=36526",C542,"&lt;"&amp;TODAY())+COUNTIFS(D542,"&gt;=36526",D542,"&lt;"&amp;TODAY())+COUNTIFS(E542,"&gt;=36526",E542,"&lt;"&amp;TODAY())+COUNTIFS(F542,"&gt;=36526",F542,"&lt;"&amp;TODAY())&gt;0),1,0)</x:f>
        <x:v>0</x:v>
      </x:c>
      <x:c r="P542" t="n">
        <x:f>P541+IF(AND(A542&lt;&gt;"",COUNTIFS(C542,"&gt;=36526",C542,TODAY())+COUNTIFS(D542,"&gt;=36526",D542,TODAY())+COUNTIFS(E542,"&gt;=36526",E542,TODAY())+COUNTIFS(F542,"&gt;=36526",F542,TODAY())&gt;0),1,0)</x:f>
        <x:v>0</x:v>
      </x:c>
      <x:c r="Q542" t="n">
        <x:f>Q541+IF(AND(A542&lt;&gt;"",COUNTIFS(C542,"&gt;"&amp;TODAY(),C542,"&lt;="&amp;TODAY()+30)+COUNTIFS(D542,"&gt;"&amp;TODAY(),D542,"&lt;="&amp;TODAY()+30)+COUNTIFS(E542,"&gt;"&amp;TODAY(),E542,"&lt;="&amp;TODAY()+30)+COUNTIFS(F542,"&gt;"&amp;TODAY(),F542,"&lt;="&amp;TODAY()+30)&gt;0),1,0)</x:f>
        <x:v>0</x:v>
      </x:c>
      <x:c r="R542" t="n">
        <x:f>R541+IF(OR(LEFT(H542,15)="Missing dates; ",LEFT(H542,16)="Add N/A reason; ",H542="Add dates",H542="Add registration",H542="Check date format"),1,0)</x:f>
        <x:v>0</x:v>
      </x:c>
      <x:c r="S542" t="n">
        <x:f>S541+IF(COUNTIFS(C542:F542,"Reviewed N/A")&gt;0,1,0)</x:f>
        <x:v>0</x:v>
      </x:c>
    </x:row>
    <x:row r="543" ht="48" customHeight="1">
      <x:c r="A543" s="52"/>
      <x:c r="B543" s="52"/>
      <x:c r="C543" s="53"/>
      <x:c r="D543" s="53"/>
      <x:c r="E543" s="53"/>
      <x:c r="F543" s="53"/>
      <x:c r="G543" s="52"/>
      <x:c r="H543" s="21" t="str">
        <x:f>IF(COUNTA(A543:G543,I543)=0,"",IF(A543="","Add registration",IF(OR(COUNTA(C543:F543)&gt;COUNT(C543:F543)+COUNTIFS(C543:F543,"Reviewed N/A"),AND(COUNT(C543:F543)&gt;0,OR(MIN(C543:F543)&lt;36526,MAX(C543:F543)&gt;109574))),"Check date format",IF(AND(COUNTIFS(C543:F543,"Reviewed N/A")&gt;0,I543=""),"Add N/A reason; ","")&amp;IF(COUNT(C543:F543)=0,IF(COUNTIFS(C543:F543,"Reviewed N/A")=4,"No applicable dates recorded","Add dates"),IF(COUNT(C543:F543)+COUNTIFS(C543:F543,"Reviewed N/A")&lt;4,"Missing dates; ","")&amp;IF(MIN(C543:F543)&lt;TODAY(),"Overdue: ",IF(MIN(C543:F543)=TODAY(),"Due today: ",IF(MIN(C543:F543)&lt;=TODAY()+30,"Due within 30 days: ","Next: ")))&amp;INDEX($C$8:$F$8,1,MATCH(MIN(C543:F543),C543:F543,0))&amp;" "&amp;TEXT(MIN(C543:F543),"dd mmm yyyy")))))</x:f>
      </x:c>
      <x:c r="I543" s="52"/>
      <x:c r="J543" t="str">
        <x:f>IF(AND(A543&lt;&gt;"",COUNTIFS(C543,"&gt;=36526",C543,"&lt;"&amp;TODAY())+COUNTIFS(D543,"&gt;=36526",D543,"&lt;"&amp;TODAY())+COUNTIFS(E543,"&gt;=36526",E543,"&lt;"&amp;TODAY())+COUNTIFS(F543,"&gt;=36526",F543,"&lt;"&amp;TODAY())&gt;0),O543,"")</x:f>
      </x:c>
      <x:c r="K543" t="str">
        <x:f>IF(AND(A543&lt;&gt;"",COUNTIFS(C543,"&gt;=36526",C543,TODAY())+COUNTIFS(D543,"&gt;=36526",D543,TODAY())+COUNTIFS(E543,"&gt;=36526",E543,TODAY())+COUNTIFS(F543,"&gt;=36526",F543,TODAY())&gt;0),P543,"")</x:f>
      </x:c>
      <x:c r="L543" t="str">
        <x:f>IF(AND(A543&lt;&gt;"",COUNTIFS(C543,"&gt;"&amp;TODAY(),C543,"&lt;="&amp;TODAY()+30)+COUNTIFS(D543,"&gt;"&amp;TODAY(),D543,"&lt;="&amp;TODAY()+30)+COUNTIFS(E543,"&gt;"&amp;TODAY(),E543,"&lt;="&amp;TODAY()+30)+COUNTIFS(F543,"&gt;"&amp;TODAY(),F543,"&lt;="&amp;TODAY()+30)&gt;0),Q543,"")</x:f>
      </x:c>
      <x:c r="M543" t="str">
        <x:f>IF(OR(LEFT(H543,15)="Missing dates; ",LEFT(H543,16)="Add N/A reason; ",H543="Add dates",H543="Add registration",H543="Check date format"),R543,"")</x:f>
      </x:c>
      <x:c r="N543" t="str">
        <x:f>IF(COUNTIFS(C543:F543,"Reviewed N/A")&gt;0,S543,"")</x:f>
      </x:c>
      <x:c r="O543" t="n">
        <x:f>O542+IF(AND(A543&lt;&gt;"",COUNTIFS(C543,"&gt;=36526",C543,"&lt;"&amp;TODAY())+COUNTIFS(D543,"&gt;=36526",D543,"&lt;"&amp;TODAY())+COUNTIFS(E543,"&gt;=36526",E543,"&lt;"&amp;TODAY())+COUNTIFS(F543,"&gt;=36526",F543,"&lt;"&amp;TODAY())&gt;0),1,0)</x:f>
        <x:v>0</x:v>
      </x:c>
      <x:c r="P543" t="n">
        <x:f>P542+IF(AND(A543&lt;&gt;"",COUNTIFS(C543,"&gt;=36526",C543,TODAY())+COUNTIFS(D543,"&gt;=36526",D543,TODAY())+COUNTIFS(E543,"&gt;=36526",E543,TODAY())+COUNTIFS(F543,"&gt;=36526",F543,TODAY())&gt;0),1,0)</x:f>
        <x:v>0</x:v>
      </x:c>
      <x:c r="Q543" t="n">
        <x:f>Q542+IF(AND(A543&lt;&gt;"",COUNTIFS(C543,"&gt;"&amp;TODAY(),C543,"&lt;="&amp;TODAY()+30)+COUNTIFS(D543,"&gt;"&amp;TODAY(),D543,"&lt;="&amp;TODAY()+30)+COUNTIFS(E543,"&gt;"&amp;TODAY(),E543,"&lt;="&amp;TODAY()+30)+COUNTIFS(F543,"&gt;"&amp;TODAY(),F543,"&lt;="&amp;TODAY()+30)&gt;0),1,0)</x:f>
        <x:v>0</x:v>
      </x:c>
      <x:c r="R543" t="n">
        <x:f>R542+IF(OR(LEFT(H543,15)="Missing dates; ",LEFT(H543,16)="Add N/A reason; ",H543="Add dates",H543="Add registration",H543="Check date format"),1,0)</x:f>
        <x:v>0</x:v>
      </x:c>
      <x:c r="S543" t="n">
        <x:f>S542+IF(COUNTIFS(C543:F543,"Reviewed N/A")&gt;0,1,0)</x:f>
        <x:v>0</x:v>
      </x:c>
    </x:row>
    <x:row r="544" ht="48" customHeight="1">
      <x:c r="A544" s="52"/>
      <x:c r="B544" s="52"/>
      <x:c r="C544" s="53"/>
      <x:c r="D544" s="53"/>
      <x:c r="E544" s="53"/>
      <x:c r="F544" s="53"/>
      <x:c r="G544" s="52"/>
      <x:c r="H544" s="21" t="str">
        <x:f>IF(COUNTA(A544:G544,I544)=0,"",IF(A544="","Add registration",IF(OR(COUNTA(C544:F544)&gt;COUNT(C544:F544)+COUNTIFS(C544:F544,"Reviewed N/A"),AND(COUNT(C544:F544)&gt;0,OR(MIN(C544:F544)&lt;36526,MAX(C544:F544)&gt;109574))),"Check date format",IF(AND(COUNTIFS(C544:F544,"Reviewed N/A")&gt;0,I544=""),"Add N/A reason; ","")&amp;IF(COUNT(C544:F544)=0,IF(COUNTIFS(C544:F544,"Reviewed N/A")=4,"No applicable dates recorded","Add dates"),IF(COUNT(C544:F544)+COUNTIFS(C544:F544,"Reviewed N/A")&lt;4,"Missing dates; ","")&amp;IF(MIN(C544:F544)&lt;TODAY(),"Overdue: ",IF(MIN(C544:F544)=TODAY(),"Due today: ",IF(MIN(C544:F544)&lt;=TODAY()+30,"Due within 30 days: ","Next: ")))&amp;INDEX($C$8:$F$8,1,MATCH(MIN(C544:F544),C544:F544,0))&amp;" "&amp;TEXT(MIN(C544:F544),"dd mmm yyyy")))))</x:f>
      </x:c>
      <x:c r="I544" s="52"/>
      <x:c r="J544" t="str">
        <x:f>IF(AND(A544&lt;&gt;"",COUNTIFS(C544,"&gt;=36526",C544,"&lt;"&amp;TODAY())+COUNTIFS(D544,"&gt;=36526",D544,"&lt;"&amp;TODAY())+COUNTIFS(E544,"&gt;=36526",E544,"&lt;"&amp;TODAY())+COUNTIFS(F544,"&gt;=36526",F544,"&lt;"&amp;TODAY())&gt;0),O544,"")</x:f>
      </x:c>
      <x:c r="K544" t="str">
        <x:f>IF(AND(A544&lt;&gt;"",COUNTIFS(C544,"&gt;=36526",C544,TODAY())+COUNTIFS(D544,"&gt;=36526",D544,TODAY())+COUNTIFS(E544,"&gt;=36526",E544,TODAY())+COUNTIFS(F544,"&gt;=36526",F544,TODAY())&gt;0),P544,"")</x:f>
      </x:c>
      <x:c r="L544" t="str">
        <x:f>IF(AND(A544&lt;&gt;"",COUNTIFS(C544,"&gt;"&amp;TODAY(),C544,"&lt;="&amp;TODAY()+30)+COUNTIFS(D544,"&gt;"&amp;TODAY(),D544,"&lt;="&amp;TODAY()+30)+COUNTIFS(E544,"&gt;"&amp;TODAY(),E544,"&lt;="&amp;TODAY()+30)+COUNTIFS(F544,"&gt;"&amp;TODAY(),F544,"&lt;="&amp;TODAY()+30)&gt;0),Q544,"")</x:f>
      </x:c>
      <x:c r="M544" t="str">
        <x:f>IF(OR(LEFT(H544,15)="Missing dates; ",LEFT(H544,16)="Add N/A reason; ",H544="Add dates",H544="Add registration",H544="Check date format"),R544,"")</x:f>
      </x:c>
      <x:c r="N544" t="str">
        <x:f>IF(COUNTIFS(C544:F544,"Reviewed N/A")&gt;0,S544,"")</x:f>
      </x:c>
      <x:c r="O544" t="n">
        <x:f>O543+IF(AND(A544&lt;&gt;"",COUNTIFS(C544,"&gt;=36526",C544,"&lt;"&amp;TODAY())+COUNTIFS(D544,"&gt;=36526",D544,"&lt;"&amp;TODAY())+COUNTIFS(E544,"&gt;=36526",E544,"&lt;"&amp;TODAY())+COUNTIFS(F544,"&gt;=36526",F544,"&lt;"&amp;TODAY())&gt;0),1,0)</x:f>
        <x:v>0</x:v>
      </x:c>
      <x:c r="P544" t="n">
        <x:f>P543+IF(AND(A544&lt;&gt;"",COUNTIFS(C544,"&gt;=36526",C544,TODAY())+COUNTIFS(D544,"&gt;=36526",D544,TODAY())+COUNTIFS(E544,"&gt;=36526",E544,TODAY())+COUNTIFS(F544,"&gt;=36526",F544,TODAY())&gt;0),1,0)</x:f>
        <x:v>0</x:v>
      </x:c>
      <x:c r="Q544" t="n">
        <x:f>Q543+IF(AND(A544&lt;&gt;"",COUNTIFS(C544,"&gt;"&amp;TODAY(),C544,"&lt;="&amp;TODAY()+30)+COUNTIFS(D544,"&gt;"&amp;TODAY(),D544,"&lt;="&amp;TODAY()+30)+COUNTIFS(E544,"&gt;"&amp;TODAY(),E544,"&lt;="&amp;TODAY()+30)+COUNTIFS(F544,"&gt;"&amp;TODAY(),F544,"&lt;="&amp;TODAY()+30)&gt;0),1,0)</x:f>
        <x:v>0</x:v>
      </x:c>
      <x:c r="R544" t="n">
        <x:f>R543+IF(OR(LEFT(H544,15)="Missing dates; ",LEFT(H544,16)="Add N/A reason; ",H544="Add dates",H544="Add registration",H544="Check date format"),1,0)</x:f>
        <x:v>0</x:v>
      </x:c>
      <x:c r="S544" t="n">
        <x:f>S543+IF(COUNTIFS(C544:F544,"Reviewed N/A")&gt;0,1,0)</x:f>
        <x:v>0</x:v>
      </x:c>
    </x:row>
    <x:row r="545" ht="48" customHeight="1">
      <x:c r="A545" s="52"/>
      <x:c r="B545" s="52"/>
      <x:c r="C545" s="53"/>
      <x:c r="D545" s="53"/>
      <x:c r="E545" s="53"/>
      <x:c r="F545" s="53"/>
      <x:c r="G545" s="52"/>
      <x:c r="H545" s="21" t="str">
        <x:f>IF(COUNTA(A545:G545,I545)=0,"",IF(A545="","Add registration",IF(OR(COUNTA(C545:F545)&gt;COUNT(C545:F545)+COUNTIFS(C545:F545,"Reviewed N/A"),AND(COUNT(C545:F545)&gt;0,OR(MIN(C545:F545)&lt;36526,MAX(C545:F545)&gt;109574))),"Check date format",IF(AND(COUNTIFS(C545:F545,"Reviewed N/A")&gt;0,I545=""),"Add N/A reason; ","")&amp;IF(COUNT(C545:F545)=0,IF(COUNTIFS(C545:F545,"Reviewed N/A")=4,"No applicable dates recorded","Add dates"),IF(COUNT(C545:F545)+COUNTIFS(C545:F545,"Reviewed N/A")&lt;4,"Missing dates; ","")&amp;IF(MIN(C545:F545)&lt;TODAY(),"Overdue: ",IF(MIN(C545:F545)=TODAY(),"Due today: ",IF(MIN(C545:F545)&lt;=TODAY()+30,"Due within 30 days: ","Next: ")))&amp;INDEX($C$8:$F$8,1,MATCH(MIN(C545:F545),C545:F545,0))&amp;" "&amp;TEXT(MIN(C545:F545),"dd mmm yyyy")))))</x:f>
      </x:c>
      <x:c r="I545" s="52"/>
      <x:c r="J545" t="str">
        <x:f>IF(AND(A545&lt;&gt;"",COUNTIFS(C545,"&gt;=36526",C545,"&lt;"&amp;TODAY())+COUNTIFS(D545,"&gt;=36526",D545,"&lt;"&amp;TODAY())+COUNTIFS(E545,"&gt;=36526",E545,"&lt;"&amp;TODAY())+COUNTIFS(F545,"&gt;=36526",F545,"&lt;"&amp;TODAY())&gt;0),O545,"")</x:f>
      </x:c>
      <x:c r="K545" t="str">
        <x:f>IF(AND(A545&lt;&gt;"",COUNTIFS(C545,"&gt;=36526",C545,TODAY())+COUNTIFS(D545,"&gt;=36526",D545,TODAY())+COUNTIFS(E545,"&gt;=36526",E545,TODAY())+COUNTIFS(F545,"&gt;=36526",F545,TODAY())&gt;0),P545,"")</x:f>
      </x:c>
      <x:c r="L545" t="str">
        <x:f>IF(AND(A545&lt;&gt;"",COUNTIFS(C545,"&gt;"&amp;TODAY(),C545,"&lt;="&amp;TODAY()+30)+COUNTIFS(D545,"&gt;"&amp;TODAY(),D545,"&lt;="&amp;TODAY()+30)+COUNTIFS(E545,"&gt;"&amp;TODAY(),E545,"&lt;="&amp;TODAY()+30)+COUNTIFS(F545,"&gt;"&amp;TODAY(),F545,"&lt;="&amp;TODAY()+30)&gt;0),Q545,"")</x:f>
      </x:c>
      <x:c r="M545" t="str">
        <x:f>IF(OR(LEFT(H545,15)="Missing dates; ",LEFT(H545,16)="Add N/A reason; ",H545="Add dates",H545="Add registration",H545="Check date format"),R545,"")</x:f>
      </x:c>
      <x:c r="N545" t="str">
        <x:f>IF(COUNTIFS(C545:F545,"Reviewed N/A")&gt;0,S545,"")</x:f>
      </x:c>
      <x:c r="O545" t="n">
        <x:f>O544+IF(AND(A545&lt;&gt;"",COUNTIFS(C545,"&gt;=36526",C545,"&lt;"&amp;TODAY())+COUNTIFS(D545,"&gt;=36526",D545,"&lt;"&amp;TODAY())+COUNTIFS(E545,"&gt;=36526",E545,"&lt;"&amp;TODAY())+COUNTIFS(F545,"&gt;=36526",F545,"&lt;"&amp;TODAY())&gt;0),1,0)</x:f>
        <x:v>0</x:v>
      </x:c>
      <x:c r="P545" t="n">
        <x:f>P544+IF(AND(A545&lt;&gt;"",COUNTIFS(C545,"&gt;=36526",C545,TODAY())+COUNTIFS(D545,"&gt;=36526",D545,TODAY())+COUNTIFS(E545,"&gt;=36526",E545,TODAY())+COUNTIFS(F545,"&gt;=36526",F545,TODAY())&gt;0),1,0)</x:f>
        <x:v>0</x:v>
      </x:c>
      <x:c r="Q545" t="n">
        <x:f>Q544+IF(AND(A545&lt;&gt;"",COUNTIFS(C545,"&gt;"&amp;TODAY(),C545,"&lt;="&amp;TODAY()+30)+COUNTIFS(D545,"&gt;"&amp;TODAY(),D545,"&lt;="&amp;TODAY()+30)+COUNTIFS(E545,"&gt;"&amp;TODAY(),E545,"&lt;="&amp;TODAY()+30)+COUNTIFS(F545,"&gt;"&amp;TODAY(),F545,"&lt;="&amp;TODAY()+30)&gt;0),1,0)</x:f>
        <x:v>0</x:v>
      </x:c>
      <x:c r="R545" t="n">
        <x:f>R544+IF(OR(LEFT(H545,15)="Missing dates; ",LEFT(H545,16)="Add N/A reason; ",H545="Add dates",H545="Add registration",H545="Check date format"),1,0)</x:f>
        <x:v>0</x:v>
      </x:c>
      <x:c r="S545" t="n">
        <x:f>S544+IF(COUNTIFS(C545:F545,"Reviewed N/A")&gt;0,1,0)</x:f>
        <x:v>0</x:v>
      </x:c>
    </x:row>
    <x:row r="546" ht="48" customHeight="1">
      <x:c r="A546" s="52"/>
      <x:c r="B546" s="52"/>
      <x:c r="C546" s="53"/>
      <x:c r="D546" s="53"/>
      <x:c r="E546" s="53"/>
      <x:c r="F546" s="53"/>
      <x:c r="G546" s="52"/>
      <x:c r="H546" s="21" t="str">
        <x:f>IF(COUNTA(A546:G546,I546)=0,"",IF(A546="","Add registration",IF(OR(COUNTA(C546:F546)&gt;COUNT(C546:F546)+COUNTIFS(C546:F546,"Reviewed N/A"),AND(COUNT(C546:F546)&gt;0,OR(MIN(C546:F546)&lt;36526,MAX(C546:F546)&gt;109574))),"Check date format",IF(AND(COUNTIFS(C546:F546,"Reviewed N/A")&gt;0,I546=""),"Add N/A reason; ","")&amp;IF(COUNT(C546:F546)=0,IF(COUNTIFS(C546:F546,"Reviewed N/A")=4,"No applicable dates recorded","Add dates"),IF(COUNT(C546:F546)+COUNTIFS(C546:F546,"Reviewed N/A")&lt;4,"Missing dates; ","")&amp;IF(MIN(C546:F546)&lt;TODAY(),"Overdue: ",IF(MIN(C546:F546)=TODAY(),"Due today: ",IF(MIN(C546:F546)&lt;=TODAY()+30,"Due within 30 days: ","Next: ")))&amp;INDEX($C$8:$F$8,1,MATCH(MIN(C546:F546),C546:F546,0))&amp;" "&amp;TEXT(MIN(C546:F546),"dd mmm yyyy")))))</x:f>
      </x:c>
      <x:c r="I546" s="52"/>
      <x:c r="J546" t="str">
        <x:f>IF(AND(A546&lt;&gt;"",COUNTIFS(C546,"&gt;=36526",C546,"&lt;"&amp;TODAY())+COUNTIFS(D546,"&gt;=36526",D546,"&lt;"&amp;TODAY())+COUNTIFS(E546,"&gt;=36526",E546,"&lt;"&amp;TODAY())+COUNTIFS(F546,"&gt;=36526",F546,"&lt;"&amp;TODAY())&gt;0),O546,"")</x:f>
      </x:c>
      <x:c r="K546" t="str">
        <x:f>IF(AND(A546&lt;&gt;"",COUNTIFS(C546,"&gt;=36526",C546,TODAY())+COUNTIFS(D546,"&gt;=36526",D546,TODAY())+COUNTIFS(E546,"&gt;=36526",E546,TODAY())+COUNTIFS(F546,"&gt;=36526",F546,TODAY())&gt;0),P546,"")</x:f>
      </x:c>
      <x:c r="L546" t="str">
        <x:f>IF(AND(A546&lt;&gt;"",COUNTIFS(C546,"&gt;"&amp;TODAY(),C546,"&lt;="&amp;TODAY()+30)+COUNTIFS(D546,"&gt;"&amp;TODAY(),D546,"&lt;="&amp;TODAY()+30)+COUNTIFS(E546,"&gt;"&amp;TODAY(),E546,"&lt;="&amp;TODAY()+30)+COUNTIFS(F546,"&gt;"&amp;TODAY(),F546,"&lt;="&amp;TODAY()+30)&gt;0),Q546,"")</x:f>
      </x:c>
      <x:c r="M546" t="str">
        <x:f>IF(OR(LEFT(H546,15)="Missing dates; ",LEFT(H546,16)="Add N/A reason; ",H546="Add dates",H546="Add registration",H546="Check date format"),R546,"")</x:f>
      </x:c>
      <x:c r="N546" t="str">
        <x:f>IF(COUNTIFS(C546:F546,"Reviewed N/A")&gt;0,S546,"")</x:f>
      </x:c>
      <x:c r="O546" t="n">
        <x:f>O545+IF(AND(A546&lt;&gt;"",COUNTIFS(C546,"&gt;=36526",C546,"&lt;"&amp;TODAY())+COUNTIFS(D546,"&gt;=36526",D546,"&lt;"&amp;TODAY())+COUNTIFS(E546,"&gt;=36526",E546,"&lt;"&amp;TODAY())+COUNTIFS(F546,"&gt;=36526",F546,"&lt;"&amp;TODAY())&gt;0),1,0)</x:f>
        <x:v>0</x:v>
      </x:c>
      <x:c r="P546" t="n">
        <x:f>P545+IF(AND(A546&lt;&gt;"",COUNTIFS(C546,"&gt;=36526",C546,TODAY())+COUNTIFS(D546,"&gt;=36526",D546,TODAY())+COUNTIFS(E546,"&gt;=36526",E546,TODAY())+COUNTIFS(F546,"&gt;=36526",F546,TODAY())&gt;0),1,0)</x:f>
        <x:v>0</x:v>
      </x:c>
      <x:c r="Q546" t="n">
        <x:f>Q545+IF(AND(A546&lt;&gt;"",COUNTIFS(C546,"&gt;"&amp;TODAY(),C546,"&lt;="&amp;TODAY()+30)+COUNTIFS(D546,"&gt;"&amp;TODAY(),D546,"&lt;="&amp;TODAY()+30)+COUNTIFS(E546,"&gt;"&amp;TODAY(),E546,"&lt;="&amp;TODAY()+30)+COUNTIFS(F546,"&gt;"&amp;TODAY(),F546,"&lt;="&amp;TODAY()+30)&gt;0),1,0)</x:f>
        <x:v>0</x:v>
      </x:c>
      <x:c r="R546" t="n">
        <x:f>R545+IF(OR(LEFT(H546,15)="Missing dates; ",LEFT(H546,16)="Add N/A reason; ",H546="Add dates",H546="Add registration",H546="Check date format"),1,0)</x:f>
        <x:v>0</x:v>
      </x:c>
      <x:c r="S546" t="n">
        <x:f>S545+IF(COUNTIFS(C546:F546,"Reviewed N/A")&gt;0,1,0)</x:f>
        <x:v>0</x:v>
      </x:c>
    </x:row>
    <x:row r="547" ht="48" customHeight="1">
      <x:c r="A547" s="52"/>
      <x:c r="B547" s="52"/>
      <x:c r="C547" s="53"/>
      <x:c r="D547" s="53"/>
      <x:c r="E547" s="53"/>
      <x:c r="F547" s="53"/>
      <x:c r="G547" s="52"/>
      <x:c r="H547" s="21" t="str">
        <x:f>IF(COUNTA(A547:G547,I547)=0,"",IF(A547="","Add registration",IF(OR(COUNTA(C547:F547)&gt;COUNT(C547:F547)+COUNTIFS(C547:F547,"Reviewed N/A"),AND(COUNT(C547:F547)&gt;0,OR(MIN(C547:F547)&lt;36526,MAX(C547:F547)&gt;109574))),"Check date format",IF(AND(COUNTIFS(C547:F547,"Reviewed N/A")&gt;0,I547=""),"Add N/A reason; ","")&amp;IF(COUNT(C547:F547)=0,IF(COUNTIFS(C547:F547,"Reviewed N/A")=4,"No applicable dates recorded","Add dates"),IF(COUNT(C547:F547)+COUNTIFS(C547:F547,"Reviewed N/A")&lt;4,"Missing dates; ","")&amp;IF(MIN(C547:F547)&lt;TODAY(),"Overdue: ",IF(MIN(C547:F547)=TODAY(),"Due today: ",IF(MIN(C547:F547)&lt;=TODAY()+30,"Due within 30 days: ","Next: ")))&amp;INDEX($C$8:$F$8,1,MATCH(MIN(C547:F547),C547:F547,0))&amp;" "&amp;TEXT(MIN(C547:F547),"dd mmm yyyy")))))</x:f>
      </x:c>
      <x:c r="I547" s="52"/>
      <x:c r="J547" t="str">
        <x:f>IF(AND(A547&lt;&gt;"",COUNTIFS(C547,"&gt;=36526",C547,"&lt;"&amp;TODAY())+COUNTIFS(D547,"&gt;=36526",D547,"&lt;"&amp;TODAY())+COUNTIFS(E547,"&gt;=36526",E547,"&lt;"&amp;TODAY())+COUNTIFS(F547,"&gt;=36526",F547,"&lt;"&amp;TODAY())&gt;0),O547,"")</x:f>
      </x:c>
      <x:c r="K547" t="str">
        <x:f>IF(AND(A547&lt;&gt;"",COUNTIFS(C547,"&gt;=36526",C547,TODAY())+COUNTIFS(D547,"&gt;=36526",D547,TODAY())+COUNTIFS(E547,"&gt;=36526",E547,TODAY())+COUNTIFS(F547,"&gt;=36526",F547,TODAY())&gt;0),P547,"")</x:f>
      </x:c>
      <x:c r="L547" t="str">
        <x:f>IF(AND(A547&lt;&gt;"",COUNTIFS(C547,"&gt;"&amp;TODAY(),C547,"&lt;="&amp;TODAY()+30)+COUNTIFS(D547,"&gt;"&amp;TODAY(),D547,"&lt;="&amp;TODAY()+30)+COUNTIFS(E547,"&gt;"&amp;TODAY(),E547,"&lt;="&amp;TODAY()+30)+COUNTIFS(F547,"&gt;"&amp;TODAY(),F547,"&lt;="&amp;TODAY()+30)&gt;0),Q547,"")</x:f>
      </x:c>
      <x:c r="M547" t="str">
        <x:f>IF(OR(LEFT(H547,15)="Missing dates; ",LEFT(H547,16)="Add N/A reason; ",H547="Add dates",H547="Add registration",H547="Check date format"),R547,"")</x:f>
      </x:c>
      <x:c r="N547" t="str">
        <x:f>IF(COUNTIFS(C547:F547,"Reviewed N/A")&gt;0,S547,"")</x:f>
      </x:c>
      <x:c r="O547" t="n">
        <x:f>O546+IF(AND(A547&lt;&gt;"",COUNTIFS(C547,"&gt;=36526",C547,"&lt;"&amp;TODAY())+COUNTIFS(D547,"&gt;=36526",D547,"&lt;"&amp;TODAY())+COUNTIFS(E547,"&gt;=36526",E547,"&lt;"&amp;TODAY())+COUNTIFS(F547,"&gt;=36526",F547,"&lt;"&amp;TODAY())&gt;0),1,0)</x:f>
        <x:v>0</x:v>
      </x:c>
      <x:c r="P547" t="n">
        <x:f>P546+IF(AND(A547&lt;&gt;"",COUNTIFS(C547,"&gt;=36526",C547,TODAY())+COUNTIFS(D547,"&gt;=36526",D547,TODAY())+COUNTIFS(E547,"&gt;=36526",E547,TODAY())+COUNTIFS(F547,"&gt;=36526",F547,TODAY())&gt;0),1,0)</x:f>
        <x:v>0</x:v>
      </x:c>
      <x:c r="Q547" t="n">
        <x:f>Q546+IF(AND(A547&lt;&gt;"",COUNTIFS(C547,"&gt;"&amp;TODAY(),C547,"&lt;="&amp;TODAY()+30)+COUNTIFS(D547,"&gt;"&amp;TODAY(),D547,"&lt;="&amp;TODAY()+30)+COUNTIFS(E547,"&gt;"&amp;TODAY(),E547,"&lt;="&amp;TODAY()+30)+COUNTIFS(F547,"&gt;"&amp;TODAY(),F547,"&lt;="&amp;TODAY()+30)&gt;0),1,0)</x:f>
        <x:v>0</x:v>
      </x:c>
      <x:c r="R547" t="n">
        <x:f>R546+IF(OR(LEFT(H547,15)="Missing dates; ",LEFT(H547,16)="Add N/A reason; ",H547="Add dates",H547="Add registration",H547="Check date format"),1,0)</x:f>
        <x:v>0</x:v>
      </x:c>
      <x:c r="S547" t="n">
        <x:f>S546+IF(COUNTIFS(C547:F547,"Reviewed N/A")&gt;0,1,0)</x:f>
        <x:v>0</x:v>
      </x:c>
    </x:row>
    <x:row r="548" ht="48" customHeight="1">
      <x:c r="A548" s="52"/>
      <x:c r="B548" s="52"/>
      <x:c r="C548" s="53"/>
      <x:c r="D548" s="53"/>
      <x:c r="E548" s="53"/>
      <x:c r="F548" s="53"/>
      <x:c r="G548" s="52"/>
      <x:c r="H548" s="21" t="str">
        <x:f>IF(COUNTA(A548:G548,I548)=0,"",IF(A548="","Add registration",IF(OR(COUNTA(C548:F548)&gt;COUNT(C548:F548)+COUNTIFS(C548:F548,"Reviewed N/A"),AND(COUNT(C548:F548)&gt;0,OR(MIN(C548:F548)&lt;36526,MAX(C548:F548)&gt;109574))),"Check date format",IF(AND(COUNTIFS(C548:F548,"Reviewed N/A")&gt;0,I548=""),"Add N/A reason; ","")&amp;IF(COUNT(C548:F548)=0,IF(COUNTIFS(C548:F548,"Reviewed N/A")=4,"No applicable dates recorded","Add dates"),IF(COUNT(C548:F548)+COUNTIFS(C548:F548,"Reviewed N/A")&lt;4,"Missing dates; ","")&amp;IF(MIN(C548:F548)&lt;TODAY(),"Overdue: ",IF(MIN(C548:F548)=TODAY(),"Due today: ",IF(MIN(C548:F548)&lt;=TODAY()+30,"Due within 30 days: ","Next: ")))&amp;INDEX($C$8:$F$8,1,MATCH(MIN(C548:F548),C548:F548,0))&amp;" "&amp;TEXT(MIN(C548:F548),"dd mmm yyyy")))))</x:f>
      </x:c>
      <x:c r="I548" s="52"/>
      <x:c r="J548" t="str">
        <x:f>IF(AND(A548&lt;&gt;"",COUNTIFS(C548,"&gt;=36526",C548,"&lt;"&amp;TODAY())+COUNTIFS(D548,"&gt;=36526",D548,"&lt;"&amp;TODAY())+COUNTIFS(E548,"&gt;=36526",E548,"&lt;"&amp;TODAY())+COUNTIFS(F548,"&gt;=36526",F548,"&lt;"&amp;TODAY())&gt;0),O548,"")</x:f>
      </x:c>
      <x:c r="K548" t="str">
        <x:f>IF(AND(A548&lt;&gt;"",COUNTIFS(C548,"&gt;=36526",C548,TODAY())+COUNTIFS(D548,"&gt;=36526",D548,TODAY())+COUNTIFS(E548,"&gt;=36526",E548,TODAY())+COUNTIFS(F548,"&gt;=36526",F548,TODAY())&gt;0),P548,"")</x:f>
      </x:c>
      <x:c r="L548" t="str">
        <x:f>IF(AND(A548&lt;&gt;"",COUNTIFS(C548,"&gt;"&amp;TODAY(),C548,"&lt;="&amp;TODAY()+30)+COUNTIFS(D548,"&gt;"&amp;TODAY(),D548,"&lt;="&amp;TODAY()+30)+COUNTIFS(E548,"&gt;"&amp;TODAY(),E548,"&lt;="&amp;TODAY()+30)+COUNTIFS(F548,"&gt;"&amp;TODAY(),F548,"&lt;="&amp;TODAY()+30)&gt;0),Q548,"")</x:f>
      </x:c>
      <x:c r="M548" t="str">
        <x:f>IF(OR(LEFT(H548,15)="Missing dates; ",LEFT(H548,16)="Add N/A reason; ",H548="Add dates",H548="Add registration",H548="Check date format"),R548,"")</x:f>
      </x:c>
      <x:c r="N548" t="str">
        <x:f>IF(COUNTIFS(C548:F548,"Reviewed N/A")&gt;0,S548,"")</x:f>
      </x:c>
      <x:c r="O548" t="n">
        <x:f>O547+IF(AND(A548&lt;&gt;"",COUNTIFS(C548,"&gt;=36526",C548,"&lt;"&amp;TODAY())+COUNTIFS(D548,"&gt;=36526",D548,"&lt;"&amp;TODAY())+COUNTIFS(E548,"&gt;=36526",E548,"&lt;"&amp;TODAY())+COUNTIFS(F548,"&gt;=36526",F548,"&lt;"&amp;TODAY())&gt;0),1,0)</x:f>
        <x:v>0</x:v>
      </x:c>
      <x:c r="P548" t="n">
        <x:f>P547+IF(AND(A548&lt;&gt;"",COUNTIFS(C548,"&gt;=36526",C548,TODAY())+COUNTIFS(D548,"&gt;=36526",D548,TODAY())+COUNTIFS(E548,"&gt;=36526",E548,TODAY())+COUNTIFS(F548,"&gt;=36526",F548,TODAY())&gt;0),1,0)</x:f>
        <x:v>0</x:v>
      </x:c>
      <x:c r="Q548" t="n">
        <x:f>Q547+IF(AND(A548&lt;&gt;"",COUNTIFS(C548,"&gt;"&amp;TODAY(),C548,"&lt;="&amp;TODAY()+30)+COUNTIFS(D548,"&gt;"&amp;TODAY(),D548,"&lt;="&amp;TODAY()+30)+COUNTIFS(E548,"&gt;"&amp;TODAY(),E548,"&lt;="&amp;TODAY()+30)+COUNTIFS(F548,"&gt;"&amp;TODAY(),F548,"&lt;="&amp;TODAY()+30)&gt;0),1,0)</x:f>
        <x:v>0</x:v>
      </x:c>
      <x:c r="R548" t="n">
        <x:f>R547+IF(OR(LEFT(H548,15)="Missing dates; ",LEFT(H548,16)="Add N/A reason; ",H548="Add dates",H548="Add registration",H548="Check date format"),1,0)</x:f>
        <x:v>0</x:v>
      </x:c>
      <x:c r="S548" t="n">
        <x:f>S547+IF(COUNTIFS(C548:F548,"Reviewed N/A")&gt;0,1,0)</x:f>
        <x:v>0</x:v>
      </x:c>
    </x:row>
    <x:row r="549" ht="48" customHeight="1">
      <x:c r="A549" s="52"/>
      <x:c r="B549" s="52"/>
      <x:c r="C549" s="53"/>
      <x:c r="D549" s="53"/>
      <x:c r="E549" s="53"/>
      <x:c r="F549" s="53"/>
      <x:c r="G549" s="52"/>
      <x:c r="H549" s="21" t="str">
        <x:f>IF(COUNTA(A549:G549,I549)=0,"",IF(A549="","Add registration",IF(OR(COUNTA(C549:F549)&gt;COUNT(C549:F549)+COUNTIFS(C549:F549,"Reviewed N/A"),AND(COUNT(C549:F549)&gt;0,OR(MIN(C549:F549)&lt;36526,MAX(C549:F549)&gt;109574))),"Check date format",IF(AND(COUNTIFS(C549:F549,"Reviewed N/A")&gt;0,I549=""),"Add N/A reason; ","")&amp;IF(COUNT(C549:F549)=0,IF(COUNTIFS(C549:F549,"Reviewed N/A")=4,"No applicable dates recorded","Add dates"),IF(COUNT(C549:F549)+COUNTIFS(C549:F549,"Reviewed N/A")&lt;4,"Missing dates; ","")&amp;IF(MIN(C549:F549)&lt;TODAY(),"Overdue: ",IF(MIN(C549:F549)=TODAY(),"Due today: ",IF(MIN(C549:F549)&lt;=TODAY()+30,"Due within 30 days: ","Next: ")))&amp;INDEX($C$8:$F$8,1,MATCH(MIN(C549:F549),C549:F549,0))&amp;" "&amp;TEXT(MIN(C549:F549),"dd mmm yyyy")))))</x:f>
      </x:c>
      <x:c r="I549" s="52"/>
      <x:c r="J549" t="str">
        <x:f>IF(AND(A549&lt;&gt;"",COUNTIFS(C549,"&gt;=36526",C549,"&lt;"&amp;TODAY())+COUNTIFS(D549,"&gt;=36526",D549,"&lt;"&amp;TODAY())+COUNTIFS(E549,"&gt;=36526",E549,"&lt;"&amp;TODAY())+COUNTIFS(F549,"&gt;=36526",F549,"&lt;"&amp;TODAY())&gt;0),O549,"")</x:f>
      </x:c>
      <x:c r="K549" t="str">
        <x:f>IF(AND(A549&lt;&gt;"",COUNTIFS(C549,"&gt;=36526",C549,TODAY())+COUNTIFS(D549,"&gt;=36526",D549,TODAY())+COUNTIFS(E549,"&gt;=36526",E549,TODAY())+COUNTIFS(F549,"&gt;=36526",F549,TODAY())&gt;0),P549,"")</x:f>
      </x:c>
      <x:c r="L549" t="str">
        <x:f>IF(AND(A549&lt;&gt;"",COUNTIFS(C549,"&gt;"&amp;TODAY(),C549,"&lt;="&amp;TODAY()+30)+COUNTIFS(D549,"&gt;"&amp;TODAY(),D549,"&lt;="&amp;TODAY()+30)+COUNTIFS(E549,"&gt;"&amp;TODAY(),E549,"&lt;="&amp;TODAY()+30)+COUNTIFS(F549,"&gt;"&amp;TODAY(),F549,"&lt;="&amp;TODAY()+30)&gt;0),Q549,"")</x:f>
      </x:c>
      <x:c r="M549" t="str">
        <x:f>IF(OR(LEFT(H549,15)="Missing dates; ",LEFT(H549,16)="Add N/A reason; ",H549="Add dates",H549="Add registration",H549="Check date format"),R549,"")</x:f>
      </x:c>
      <x:c r="N549" t="str">
        <x:f>IF(COUNTIFS(C549:F549,"Reviewed N/A")&gt;0,S549,"")</x:f>
      </x:c>
      <x:c r="O549" t="n">
        <x:f>O548+IF(AND(A549&lt;&gt;"",COUNTIFS(C549,"&gt;=36526",C549,"&lt;"&amp;TODAY())+COUNTIFS(D549,"&gt;=36526",D549,"&lt;"&amp;TODAY())+COUNTIFS(E549,"&gt;=36526",E549,"&lt;"&amp;TODAY())+COUNTIFS(F549,"&gt;=36526",F549,"&lt;"&amp;TODAY())&gt;0),1,0)</x:f>
        <x:v>0</x:v>
      </x:c>
      <x:c r="P549" t="n">
        <x:f>P548+IF(AND(A549&lt;&gt;"",COUNTIFS(C549,"&gt;=36526",C549,TODAY())+COUNTIFS(D549,"&gt;=36526",D549,TODAY())+COUNTIFS(E549,"&gt;=36526",E549,TODAY())+COUNTIFS(F549,"&gt;=36526",F549,TODAY())&gt;0),1,0)</x:f>
        <x:v>0</x:v>
      </x:c>
      <x:c r="Q549" t="n">
        <x:f>Q548+IF(AND(A549&lt;&gt;"",COUNTIFS(C549,"&gt;"&amp;TODAY(),C549,"&lt;="&amp;TODAY()+30)+COUNTIFS(D549,"&gt;"&amp;TODAY(),D549,"&lt;="&amp;TODAY()+30)+COUNTIFS(E549,"&gt;"&amp;TODAY(),E549,"&lt;="&amp;TODAY()+30)+COUNTIFS(F549,"&gt;"&amp;TODAY(),F549,"&lt;="&amp;TODAY()+30)&gt;0),1,0)</x:f>
        <x:v>0</x:v>
      </x:c>
      <x:c r="R549" t="n">
        <x:f>R548+IF(OR(LEFT(H549,15)="Missing dates; ",LEFT(H549,16)="Add N/A reason; ",H549="Add dates",H549="Add registration",H549="Check date format"),1,0)</x:f>
        <x:v>0</x:v>
      </x:c>
      <x:c r="S549" t="n">
        <x:f>S548+IF(COUNTIFS(C549:F549,"Reviewed N/A")&gt;0,1,0)</x:f>
        <x:v>0</x:v>
      </x:c>
    </x:row>
    <x:row r="550" ht="48" customHeight="1">
      <x:c r="A550" s="52"/>
      <x:c r="B550" s="52"/>
      <x:c r="C550" s="53"/>
      <x:c r="D550" s="53"/>
      <x:c r="E550" s="53"/>
      <x:c r="F550" s="53"/>
      <x:c r="G550" s="52"/>
      <x:c r="H550" s="21" t="str">
        <x:f>IF(COUNTA(A550:G550,I550)=0,"",IF(A550="","Add registration",IF(OR(COUNTA(C550:F550)&gt;COUNT(C550:F550)+COUNTIFS(C550:F550,"Reviewed N/A"),AND(COUNT(C550:F550)&gt;0,OR(MIN(C550:F550)&lt;36526,MAX(C550:F550)&gt;109574))),"Check date format",IF(AND(COUNTIFS(C550:F550,"Reviewed N/A")&gt;0,I550=""),"Add N/A reason; ","")&amp;IF(COUNT(C550:F550)=0,IF(COUNTIFS(C550:F550,"Reviewed N/A")=4,"No applicable dates recorded","Add dates"),IF(COUNT(C550:F550)+COUNTIFS(C550:F550,"Reviewed N/A")&lt;4,"Missing dates; ","")&amp;IF(MIN(C550:F550)&lt;TODAY(),"Overdue: ",IF(MIN(C550:F550)=TODAY(),"Due today: ",IF(MIN(C550:F550)&lt;=TODAY()+30,"Due within 30 days: ","Next: ")))&amp;INDEX($C$8:$F$8,1,MATCH(MIN(C550:F550),C550:F550,0))&amp;" "&amp;TEXT(MIN(C550:F550),"dd mmm yyyy")))))</x:f>
      </x:c>
      <x:c r="I550" s="52"/>
      <x:c r="J550" t="str">
        <x:f>IF(AND(A550&lt;&gt;"",COUNTIFS(C550,"&gt;=36526",C550,"&lt;"&amp;TODAY())+COUNTIFS(D550,"&gt;=36526",D550,"&lt;"&amp;TODAY())+COUNTIFS(E550,"&gt;=36526",E550,"&lt;"&amp;TODAY())+COUNTIFS(F550,"&gt;=36526",F550,"&lt;"&amp;TODAY())&gt;0),O550,"")</x:f>
      </x:c>
      <x:c r="K550" t="str">
        <x:f>IF(AND(A550&lt;&gt;"",COUNTIFS(C550,"&gt;=36526",C550,TODAY())+COUNTIFS(D550,"&gt;=36526",D550,TODAY())+COUNTIFS(E550,"&gt;=36526",E550,TODAY())+COUNTIFS(F550,"&gt;=36526",F550,TODAY())&gt;0),P550,"")</x:f>
      </x:c>
      <x:c r="L550" t="str">
        <x:f>IF(AND(A550&lt;&gt;"",COUNTIFS(C550,"&gt;"&amp;TODAY(),C550,"&lt;="&amp;TODAY()+30)+COUNTIFS(D550,"&gt;"&amp;TODAY(),D550,"&lt;="&amp;TODAY()+30)+COUNTIFS(E550,"&gt;"&amp;TODAY(),E550,"&lt;="&amp;TODAY()+30)+COUNTIFS(F550,"&gt;"&amp;TODAY(),F550,"&lt;="&amp;TODAY()+30)&gt;0),Q550,"")</x:f>
      </x:c>
      <x:c r="M550" t="str">
        <x:f>IF(OR(LEFT(H550,15)="Missing dates; ",LEFT(H550,16)="Add N/A reason; ",H550="Add dates",H550="Add registration",H550="Check date format"),R550,"")</x:f>
      </x:c>
      <x:c r="N550" t="str">
        <x:f>IF(COUNTIFS(C550:F550,"Reviewed N/A")&gt;0,S550,"")</x:f>
      </x:c>
      <x:c r="O550" t="n">
        <x:f>O549+IF(AND(A550&lt;&gt;"",COUNTIFS(C550,"&gt;=36526",C550,"&lt;"&amp;TODAY())+COUNTIFS(D550,"&gt;=36526",D550,"&lt;"&amp;TODAY())+COUNTIFS(E550,"&gt;=36526",E550,"&lt;"&amp;TODAY())+COUNTIFS(F550,"&gt;=36526",F550,"&lt;"&amp;TODAY())&gt;0),1,0)</x:f>
        <x:v>0</x:v>
      </x:c>
      <x:c r="P550" t="n">
        <x:f>P549+IF(AND(A550&lt;&gt;"",COUNTIFS(C550,"&gt;=36526",C550,TODAY())+COUNTIFS(D550,"&gt;=36526",D550,TODAY())+COUNTIFS(E550,"&gt;=36526",E550,TODAY())+COUNTIFS(F550,"&gt;=36526",F550,TODAY())&gt;0),1,0)</x:f>
        <x:v>0</x:v>
      </x:c>
      <x:c r="Q550" t="n">
        <x:f>Q549+IF(AND(A550&lt;&gt;"",COUNTIFS(C550,"&gt;"&amp;TODAY(),C550,"&lt;="&amp;TODAY()+30)+COUNTIFS(D550,"&gt;"&amp;TODAY(),D550,"&lt;="&amp;TODAY()+30)+COUNTIFS(E550,"&gt;"&amp;TODAY(),E550,"&lt;="&amp;TODAY()+30)+COUNTIFS(F550,"&gt;"&amp;TODAY(),F550,"&lt;="&amp;TODAY()+30)&gt;0),1,0)</x:f>
        <x:v>0</x:v>
      </x:c>
      <x:c r="R550" t="n">
        <x:f>R549+IF(OR(LEFT(H550,15)="Missing dates; ",LEFT(H550,16)="Add N/A reason; ",H550="Add dates",H550="Add registration",H550="Check date format"),1,0)</x:f>
        <x:v>0</x:v>
      </x:c>
      <x:c r="S550" t="n">
        <x:f>S549+IF(COUNTIFS(C550:F550,"Reviewed N/A")&gt;0,1,0)</x:f>
        <x:v>0</x:v>
      </x:c>
    </x:row>
    <x:row r="551" ht="48" customHeight="1">
      <x:c r="A551" s="52"/>
      <x:c r="B551" s="52"/>
      <x:c r="C551" s="53"/>
      <x:c r="D551" s="53"/>
      <x:c r="E551" s="53"/>
      <x:c r="F551" s="53"/>
      <x:c r="G551" s="52"/>
      <x:c r="H551" s="21" t="str">
        <x:f>IF(COUNTA(A551:G551,I551)=0,"",IF(A551="","Add registration",IF(OR(COUNTA(C551:F551)&gt;COUNT(C551:F551)+COUNTIFS(C551:F551,"Reviewed N/A"),AND(COUNT(C551:F551)&gt;0,OR(MIN(C551:F551)&lt;36526,MAX(C551:F551)&gt;109574))),"Check date format",IF(AND(COUNTIFS(C551:F551,"Reviewed N/A")&gt;0,I551=""),"Add N/A reason; ","")&amp;IF(COUNT(C551:F551)=0,IF(COUNTIFS(C551:F551,"Reviewed N/A")=4,"No applicable dates recorded","Add dates"),IF(COUNT(C551:F551)+COUNTIFS(C551:F551,"Reviewed N/A")&lt;4,"Missing dates; ","")&amp;IF(MIN(C551:F551)&lt;TODAY(),"Overdue: ",IF(MIN(C551:F551)=TODAY(),"Due today: ",IF(MIN(C551:F551)&lt;=TODAY()+30,"Due within 30 days: ","Next: ")))&amp;INDEX($C$8:$F$8,1,MATCH(MIN(C551:F551),C551:F551,0))&amp;" "&amp;TEXT(MIN(C551:F551),"dd mmm yyyy")))))</x:f>
      </x:c>
      <x:c r="I551" s="52"/>
      <x:c r="J551" t="str">
        <x:f>IF(AND(A551&lt;&gt;"",COUNTIFS(C551,"&gt;=36526",C551,"&lt;"&amp;TODAY())+COUNTIFS(D551,"&gt;=36526",D551,"&lt;"&amp;TODAY())+COUNTIFS(E551,"&gt;=36526",E551,"&lt;"&amp;TODAY())+COUNTIFS(F551,"&gt;=36526",F551,"&lt;"&amp;TODAY())&gt;0),O551,"")</x:f>
      </x:c>
      <x:c r="K551" t="str">
        <x:f>IF(AND(A551&lt;&gt;"",COUNTIFS(C551,"&gt;=36526",C551,TODAY())+COUNTIFS(D551,"&gt;=36526",D551,TODAY())+COUNTIFS(E551,"&gt;=36526",E551,TODAY())+COUNTIFS(F551,"&gt;=36526",F551,TODAY())&gt;0),P551,"")</x:f>
      </x:c>
      <x:c r="L551" t="str">
        <x:f>IF(AND(A551&lt;&gt;"",COUNTIFS(C551,"&gt;"&amp;TODAY(),C551,"&lt;="&amp;TODAY()+30)+COUNTIFS(D551,"&gt;"&amp;TODAY(),D551,"&lt;="&amp;TODAY()+30)+COUNTIFS(E551,"&gt;"&amp;TODAY(),E551,"&lt;="&amp;TODAY()+30)+COUNTIFS(F551,"&gt;"&amp;TODAY(),F551,"&lt;="&amp;TODAY()+30)&gt;0),Q551,"")</x:f>
      </x:c>
      <x:c r="M551" t="str">
        <x:f>IF(OR(LEFT(H551,15)="Missing dates; ",LEFT(H551,16)="Add N/A reason; ",H551="Add dates",H551="Add registration",H551="Check date format"),R551,"")</x:f>
      </x:c>
      <x:c r="N551" t="str">
        <x:f>IF(COUNTIFS(C551:F551,"Reviewed N/A")&gt;0,S551,"")</x:f>
      </x:c>
      <x:c r="O551" t="n">
        <x:f>O550+IF(AND(A551&lt;&gt;"",COUNTIFS(C551,"&gt;=36526",C551,"&lt;"&amp;TODAY())+COUNTIFS(D551,"&gt;=36526",D551,"&lt;"&amp;TODAY())+COUNTIFS(E551,"&gt;=36526",E551,"&lt;"&amp;TODAY())+COUNTIFS(F551,"&gt;=36526",F551,"&lt;"&amp;TODAY())&gt;0),1,0)</x:f>
        <x:v>0</x:v>
      </x:c>
      <x:c r="P551" t="n">
        <x:f>P550+IF(AND(A551&lt;&gt;"",COUNTIFS(C551,"&gt;=36526",C551,TODAY())+COUNTIFS(D551,"&gt;=36526",D551,TODAY())+COUNTIFS(E551,"&gt;=36526",E551,TODAY())+COUNTIFS(F551,"&gt;=36526",F551,TODAY())&gt;0),1,0)</x:f>
        <x:v>0</x:v>
      </x:c>
      <x:c r="Q551" t="n">
        <x:f>Q550+IF(AND(A551&lt;&gt;"",COUNTIFS(C551,"&gt;"&amp;TODAY(),C551,"&lt;="&amp;TODAY()+30)+COUNTIFS(D551,"&gt;"&amp;TODAY(),D551,"&lt;="&amp;TODAY()+30)+COUNTIFS(E551,"&gt;"&amp;TODAY(),E551,"&lt;="&amp;TODAY()+30)+COUNTIFS(F551,"&gt;"&amp;TODAY(),F551,"&lt;="&amp;TODAY()+30)&gt;0),1,0)</x:f>
        <x:v>0</x:v>
      </x:c>
      <x:c r="R551" t="n">
        <x:f>R550+IF(OR(LEFT(H551,15)="Missing dates; ",LEFT(H551,16)="Add N/A reason; ",H551="Add dates",H551="Add registration",H551="Check date format"),1,0)</x:f>
        <x:v>0</x:v>
      </x:c>
      <x:c r="S551" t="n">
        <x:f>S550+IF(COUNTIFS(C551:F551,"Reviewed N/A")&gt;0,1,0)</x:f>
        <x:v>0</x:v>
      </x:c>
    </x:row>
    <x:row r="552" ht="48" customHeight="1">
      <x:c r="A552" s="52"/>
      <x:c r="B552" s="52"/>
      <x:c r="C552" s="53"/>
      <x:c r="D552" s="53"/>
      <x:c r="E552" s="53"/>
      <x:c r="F552" s="53"/>
      <x:c r="G552" s="52"/>
      <x:c r="H552" s="21" t="str">
        <x:f>IF(COUNTA(A552:G552,I552)=0,"",IF(A552="","Add registration",IF(OR(COUNTA(C552:F552)&gt;COUNT(C552:F552)+COUNTIFS(C552:F552,"Reviewed N/A"),AND(COUNT(C552:F552)&gt;0,OR(MIN(C552:F552)&lt;36526,MAX(C552:F552)&gt;109574))),"Check date format",IF(AND(COUNTIFS(C552:F552,"Reviewed N/A")&gt;0,I552=""),"Add N/A reason; ","")&amp;IF(COUNT(C552:F552)=0,IF(COUNTIFS(C552:F552,"Reviewed N/A")=4,"No applicable dates recorded","Add dates"),IF(COUNT(C552:F552)+COUNTIFS(C552:F552,"Reviewed N/A")&lt;4,"Missing dates; ","")&amp;IF(MIN(C552:F552)&lt;TODAY(),"Overdue: ",IF(MIN(C552:F552)=TODAY(),"Due today: ",IF(MIN(C552:F552)&lt;=TODAY()+30,"Due within 30 days: ","Next: ")))&amp;INDEX($C$8:$F$8,1,MATCH(MIN(C552:F552),C552:F552,0))&amp;" "&amp;TEXT(MIN(C552:F552),"dd mmm yyyy")))))</x:f>
      </x:c>
      <x:c r="I552" s="52"/>
      <x:c r="J552" t="str">
        <x:f>IF(AND(A552&lt;&gt;"",COUNTIFS(C552,"&gt;=36526",C552,"&lt;"&amp;TODAY())+COUNTIFS(D552,"&gt;=36526",D552,"&lt;"&amp;TODAY())+COUNTIFS(E552,"&gt;=36526",E552,"&lt;"&amp;TODAY())+COUNTIFS(F552,"&gt;=36526",F552,"&lt;"&amp;TODAY())&gt;0),O552,"")</x:f>
      </x:c>
      <x:c r="K552" t="str">
        <x:f>IF(AND(A552&lt;&gt;"",COUNTIFS(C552,"&gt;=36526",C552,TODAY())+COUNTIFS(D552,"&gt;=36526",D552,TODAY())+COUNTIFS(E552,"&gt;=36526",E552,TODAY())+COUNTIFS(F552,"&gt;=36526",F552,TODAY())&gt;0),P552,"")</x:f>
      </x:c>
      <x:c r="L552" t="str">
        <x:f>IF(AND(A552&lt;&gt;"",COUNTIFS(C552,"&gt;"&amp;TODAY(),C552,"&lt;="&amp;TODAY()+30)+COUNTIFS(D552,"&gt;"&amp;TODAY(),D552,"&lt;="&amp;TODAY()+30)+COUNTIFS(E552,"&gt;"&amp;TODAY(),E552,"&lt;="&amp;TODAY()+30)+COUNTIFS(F552,"&gt;"&amp;TODAY(),F552,"&lt;="&amp;TODAY()+30)&gt;0),Q552,"")</x:f>
      </x:c>
      <x:c r="M552" t="str">
        <x:f>IF(OR(LEFT(H552,15)="Missing dates; ",LEFT(H552,16)="Add N/A reason; ",H552="Add dates",H552="Add registration",H552="Check date format"),R552,"")</x:f>
      </x:c>
      <x:c r="N552" t="str">
        <x:f>IF(COUNTIFS(C552:F552,"Reviewed N/A")&gt;0,S552,"")</x:f>
      </x:c>
      <x:c r="O552" t="n">
        <x:f>O551+IF(AND(A552&lt;&gt;"",COUNTIFS(C552,"&gt;=36526",C552,"&lt;"&amp;TODAY())+COUNTIFS(D552,"&gt;=36526",D552,"&lt;"&amp;TODAY())+COUNTIFS(E552,"&gt;=36526",E552,"&lt;"&amp;TODAY())+COUNTIFS(F552,"&gt;=36526",F552,"&lt;"&amp;TODAY())&gt;0),1,0)</x:f>
        <x:v>0</x:v>
      </x:c>
      <x:c r="P552" t="n">
        <x:f>P551+IF(AND(A552&lt;&gt;"",COUNTIFS(C552,"&gt;=36526",C552,TODAY())+COUNTIFS(D552,"&gt;=36526",D552,TODAY())+COUNTIFS(E552,"&gt;=36526",E552,TODAY())+COUNTIFS(F552,"&gt;=36526",F552,TODAY())&gt;0),1,0)</x:f>
        <x:v>0</x:v>
      </x:c>
      <x:c r="Q552" t="n">
        <x:f>Q551+IF(AND(A552&lt;&gt;"",COUNTIFS(C552,"&gt;"&amp;TODAY(),C552,"&lt;="&amp;TODAY()+30)+COUNTIFS(D552,"&gt;"&amp;TODAY(),D552,"&lt;="&amp;TODAY()+30)+COUNTIFS(E552,"&gt;"&amp;TODAY(),E552,"&lt;="&amp;TODAY()+30)+COUNTIFS(F552,"&gt;"&amp;TODAY(),F552,"&lt;="&amp;TODAY()+30)&gt;0),1,0)</x:f>
        <x:v>0</x:v>
      </x:c>
      <x:c r="R552" t="n">
        <x:f>R551+IF(OR(LEFT(H552,15)="Missing dates; ",LEFT(H552,16)="Add N/A reason; ",H552="Add dates",H552="Add registration",H552="Check date format"),1,0)</x:f>
        <x:v>0</x:v>
      </x:c>
      <x:c r="S552" t="n">
        <x:f>S551+IF(COUNTIFS(C552:F552,"Reviewed N/A")&gt;0,1,0)</x:f>
        <x:v>0</x:v>
      </x:c>
    </x:row>
    <x:row r="553" ht="48" customHeight="1">
      <x:c r="A553" s="52"/>
      <x:c r="B553" s="52"/>
      <x:c r="C553" s="53"/>
      <x:c r="D553" s="53"/>
      <x:c r="E553" s="53"/>
      <x:c r="F553" s="53"/>
      <x:c r="G553" s="52"/>
      <x:c r="H553" s="21" t="str">
        <x:f>IF(COUNTA(A553:G553,I553)=0,"",IF(A553="","Add registration",IF(OR(COUNTA(C553:F553)&gt;COUNT(C553:F553)+COUNTIFS(C553:F553,"Reviewed N/A"),AND(COUNT(C553:F553)&gt;0,OR(MIN(C553:F553)&lt;36526,MAX(C553:F553)&gt;109574))),"Check date format",IF(AND(COUNTIFS(C553:F553,"Reviewed N/A")&gt;0,I553=""),"Add N/A reason; ","")&amp;IF(COUNT(C553:F553)=0,IF(COUNTIFS(C553:F553,"Reviewed N/A")=4,"No applicable dates recorded","Add dates"),IF(COUNT(C553:F553)+COUNTIFS(C553:F553,"Reviewed N/A")&lt;4,"Missing dates; ","")&amp;IF(MIN(C553:F553)&lt;TODAY(),"Overdue: ",IF(MIN(C553:F553)=TODAY(),"Due today: ",IF(MIN(C553:F553)&lt;=TODAY()+30,"Due within 30 days: ","Next: ")))&amp;INDEX($C$8:$F$8,1,MATCH(MIN(C553:F553),C553:F553,0))&amp;" "&amp;TEXT(MIN(C553:F553),"dd mmm yyyy")))))</x:f>
      </x:c>
      <x:c r="I553" s="52"/>
      <x:c r="J553" t="str">
        <x:f>IF(AND(A553&lt;&gt;"",COUNTIFS(C553,"&gt;=36526",C553,"&lt;"&amp;TODAY())+COUNTIFS(D553,"&gt;=36526",D553,"&lt;"&amp;TODAY())+COUNTIFS(E553,"&gt;=36526",E553,"&lt;"&amp;TODAY())+COUNTIFS(F553,"&gt;=36526",F553,"&lt;"&amp;TODAY())&gt;0),O553,"")</x:f>
      </x:c>
      <x:c r="K553" t="str">
        <x:f>IF(AND(A553&lt;&gt;"",COUNTIFS(C553,"&gt;=36526",C553,TODAY())+COUNTIFS(D553,"&gt;=36526",D553,TODAY())+COUNTIFS(E553,"&gt;=36526",E553,TODAY())+COUNTIFS(F553,"&gt;=36526",F553,TODAY())&gt;0),P553,"")</x:f>
      </x:c>
      <x:c r="L553" t="str">
        <x:f>IF(AND(A553&lt;&gt;"",COUNTIFS(C553,"&gt;"&amp;TODAY(),C553,"&lt;="&amp;TODAY()+30)+COUNTIFS(D553,"&gt;"&amp;TODAY(),D553,"&lt;="&amp;TODAY()+30)+COUNTIFS(E553,"&gt;"&amp;TODAY(),E553,"&lt;="&amp;TODAY()+30)+COUNTIFS(F553,"&gt;"&amp;TODAY(),F553,"&lt;="&amp;TODAY()+30)&gt;0),Q553,"")</x:f>
      </x:c>
      <x:c r="M553" t="str">
        <x:f>IF(OR(LEFT(H553,15)="Missing dates; ",LEFT(H553,16)="Add N/A reason; ",H553="Add dates",H553="Add registration",H553="Check date format"),R553,"")</x:f>
      </x:c>
      <x:c r="N553" t="str">
        <x:f>IF(COUNTIFS(C553:F553,"Reviewed N/A")&gt;0,S553,"")</x:f>
      </x:c>
      <x:c r="O553" t="n">
        <x:f>O552+IF(AND(A553&lt;&gt;"",COUNTIFS(C553,"&gt;=36526",C553,"&lt;"&amp;TODAY())+COUNTIFS(D553,"&gt;=36526",D553,"&lt;"&amp;TODAY())+COUNTIFS(E553,"&gt;=36526",E553,"&lt;"&amp;TODAY())+COUNTIFS(F553,"&gt;=36526",F553,"&lt;"&amp;TODAY())&gt;0),1,0)</x:f>
        <x:v>0</x:v>
      </x:c>
      <x:c r="P553" t="n">
        <x:f>P552+IF(AND(A553&lt;&gt;"",COUNTIFS(C553,"&gt;=36526",C553,TODAY())+COUNTIFS(D553,"&gt;=36526",D553,TODAY())+COUNTIFS(E553,"&gt;=36526",E553,TODAY())+COUNTIFS(F553,"&gt;=36526",F553,TODAY())&gt;0),1,0)</x:f>
        <x:v>0</x:v>
      </x:c>
      <x:c r="Q553" t="n">
        <x:f>Q552+IF(AND(A553&lt;&gt;"",COUNTIFS(C553,"&gt;"&amp;TODAY(),C553,"&lt;="&amp;TODAY()+30)+COUNTIFS(D553,"&gt;"&amp;TODAY(),D553,"&lt;="&amp;TODAY()+30)+COUNTIFS(E553,"&gt;"&amp;TODAY(),E553,"&lt;="&amp;TODAY()+30)+COUNTIFS(F553,"&gt;"&amp;TODAY(),F553,"&lt;="&amp;TODAY()+30)&gt;0),1,0)</x:f>
        <x:v>0</x:v>
      </x:c>
      <x:c r="R553" t="n">
        <x:f>R552+IF(OR(LEFT(H553,15)="Missing dates; ",LEFT(H553,16)="Add N/A reason; ",H553="Add dates",H553="Add registration",H553="Check date format"),1,0)</x:f>
        <x:v>0</x:v>
      </x:c>
      <x:c r="S553" t="n">
        <x:f>S552+IF(COUNTIFS(C553:F553,"Reviewed N/A")&gt;0,1,0)</x:f>
        <x:v>0</x:v>
      </x:c>
    </x:row>
    <x:row r="554" ht="48" customHeight="1">
      <x:c r="A554" s="52"/>
      <x:c r="B554" s="52"/>
      <x:c r="C554" s="53"/>
      <x:c r="D554" s="53"/>
      <x:c r="E554" s="53"/>
      <x:c r="F554" s="53"/>
      <x:c r="G554" s="52"/>
      <x:c r="H554" s="21" t="str">
        <x:f>IF(COUNTA(A554:G554,I554)=0,"",IF(A554="","Add registration",IF(OR(COUNTA(C554:F554)&gt;COUNT(C554:F554)+COUNTIFS(C554:F554,"Reviewed N/A"),AND(COUNT(C554:F554)&gt;0,OR(MIN(C554:F554)&lt;36526,MAX(C554:F554)&gt;109574))),"Check date format",IF(AND(COUNTIFS(C554:F554,"Reviewed N/A")&gt;0,I554=""),"Add N/A reason; ","")&amp;IF(COUNT(C554:F554)=0,IF(COUNTIFS(C554:F554,"Reviewed N/A")=4,"No applicable dates recorded","Add dates"),IF(COUNT(C554:F554)+COUNTIFS(C554:F554,"Reviewed N/A")&lt;4,"Missing dates; ","")&amp;IF(MIN(C554:F554)&lt;TODAY(),"Overdue: ",IF(MIN(C554:F554)=TODAY(),"Due today: ",IF(MIN(C554:F554)&lt;=TODAY()+30,"Due within 30 days: ","Next: ")))&amp;INDEX($C$8:$F$8,1,MATCH(MIN(C554:F554),C554:F554,0))&amp;" "&amp;TEXT(MIN(C554:F554),"dd mmm yyyy")))))</x:f>
      </x:c>
      <x:c r="I554" s="52"/>
      <x:c r="J554" t="str">
        <x:f>IF(AND(A554&lt;&gt;"",COUNTIFS(C554,"&gt;=36526",C554,"&lt;"&amp;TODAY())+COUNTIFS(D554,"&gt;=36526",D554,"&lt;"&amp;TODAY())+COUNTIFS(E554,"&gt;=36526",E554,"&lt;"&amp;TODAY())+COUNTIFS(F554,"&gt;=36526",F554,"&lt;"&amp;TODAY())&gt;0),O554,"")</x:f>
      </x:c>
      <x:c r="K554" t="str">
        <x:f>IF(AND(A554&lt;&gt;"",COUNTIFS(C554,"&gt;=36526",C554,TODAY())+COUNTIFS(D554,"&gt;=36526",D554,TODAY())+COUNTIFS(E554,"&gt;=36526",E554,TODAY())+COUNTIFS(F554,"&gt;=36526",F554,TODAY())&gt;0),P554,"")</x:f>
      </x:c>
      <x:c r="L554" t="str">
        <x:f>IF(AND(A554&lt;&gt;"",COUNTIFS(C554,"&gt;"&amp;TODAY(),C554,"&lt;="&amp;TODAY()+30)+COUNTIFS(D554,"&gt;"&amp;TODAY(),D554,"&lt;="&amp;TODAY()+30)+COUNTIFS(E554,"&gt;"&amp;TODAY(),E554,"&lt;="&amp;TODAY()+30)+COUNTIFS(F554,"&gt;"&amp;TODAY(),F554,"&lt;="&amp;TODAY()+30)&gt;0),Q554,"")</x:f>
      </x:c>
      <x:c r="M554" t="str">
        <x:f>IF(OR(LEFT(H554,15)="Missing dates; ",LEFT(H554,16)="Add N/A reason; ",H554="Add dates",H554="Add registration",H554="Check date format"),R554,"")</x:f>
      </x:c>
      <x:c r="N554" t="str">
        <x:f>IF(COUNTIFS(C554:F554,"Reviewed N/A")&gt;0,S554,"")</x:f>
      </x:c>
      <x:c r="O554" t="n">
        <x:f>O553+IF(AND(A554&lt;&gt;"",COUNTIFS(C554,"&gt;=36526",C554,"&lt;"&amp;TODAY())+COUNTIFS(D554,"&gt;=36526",D554,"&lt;"&amp;TODAY())+COUNTIFS(E554,"&gt;=36526",E554,"&lt;"&amp;TODAY())+COUNTIFS(F554,"&gt;=36526",F554,"&lt;"&amp;TODAY())&gt;0),1,0)</x:f>
        <x:v>0</x:v>
      </x:c>
      <x:c r="P554" t="n">
        <x:f>P553+IF(AND(A554&lt;&gt;"",COUNTIFS(C554,"&gt;=36526",C554,TODAY())+COUNTIFS(D554,"&gt;=36526",D554,TODAY())+COUNTIFS(E554,"&gt;=36526",E554,TODAY())+COUNTIFS(F554,"&gt;=36526",F554,TODAY())&gt;0),1,0)</x:f>
        <x:v>0</x:v>
      </x:c>
      <x:c r="Q554" t="n">
        <x:f>Q553+IF(AND(A554&lt;&gt;"",COUNTIFS(C554,"&gt;"&amp;TODAY(),C554,"&lt;="&amp;TODAY()+30)+COUNTIFS(D554,"&gt;"&amp;TODAY(),D554,"&lt;="&amp;TODAY()+30)+COUNTIFS(E554,"&gt;"&amp;TODAY(),E554,"&lt;="&amp;TODAY()+30)+COUNTIFS(F554,"&gt;"&amp;TODAY(),F554,"&lt;="&amp;TODAY()+30)&gt;0),1,0)</x:f>
        <x:v>0</x:v>
      </x:c>
      <x:c r="R554" t="n">
        <x:f>R553+IF(OR(LEFT(H554,15)="Missing dates; ",LEFT(H554,16)="Add N/A reason; ",H554="Add dates",H554="Add registration",H554="Check date format"),1,0)</x:f>
        <x:v>0</x:v>
      </x:c>
      <x:c r="S554" t="n">
        <x:f>S553+IF(COUNTIFS(C554:F554,"Reviewed N/A")&gt;0,1,0)</x:f>
        <x:v>0</x:v>
      </x:c>
    </x:row>
    <x:row r="555" ht="48" customHeight="1">
      <x:c r="A555" s="52"/>
      <x:c r="B555" s="52"/>
      <x:c r="C555" s="53"/>
      <x:c r="D555" s="53"/>
      <x:c r="E555" s="53"/>
      <x:c r="F555" s="53"/>
      <x:c r="G555" s="52"/>
      <x:c r="H555" s="21" t="str">
        <x:f>IF(COUNTA(A555:G555,I555)=0,"",IF(A555="","Add registration",IF(OR(COUNTA(C555:F555)&gt;COUNT(C555:F555)+COUNTIFS(C555:F555,"Reviewed N/A"),AND(COUNT(C555:F555)&gt;0,OR(MIN(C555:F555)&lt;36526,MAX(C555:F555)&gt;109574))),"Check date format",IF(AND(COUNTIFS(C555:F555,"Reviewed N/A")&gt;0,I555=""),"Add N/A reason; ","")&amp;IF(COUNT(C555:F555)=0,IF(COUNTIFS(C555:F555,"Reviewed N/A")=4,"No applicable dates recorded","Add dates"),IF(COUNT(C555:F555)+COUNTIFS(C555:F555,"Reviewed N/A")&lt;4,"Missing dates; ","")&amp;IF(MIN(C555:F555)&lt;TODAY(),"Overdue: ",IF(MIN(C555:F555)=TODAY(),"Due today: ",IF(MIN(C555:F555)&lt;=TODAY()+30,"Due within 30 days: ","Next: ")))&amp;INDEX($C$8:$F$8,1,MATCH(MIN(C555:F555),C555:F555,0))&amp;" "&amp;TEXT(MIN(C555:F555),"dd mmm yyyy")))))</x:f>
      </x:c>
      <x:c r="I555" s="52"/>
      <x:c r="J555" t="str">
        <x:f>IF(AND(A555&lt;&gt;"",COUNTIFS(C555,"&gt;=36526",C555,"&lt;"&amp;TODAY())+COUNTIFS(D555,"&gt;=36526",D555,"&lt;"&amp;TODAY())+COUNTIFS(E555,"&gt;=36526",E555,"&lt;"&amp;TODAY())+COUNTIFS(F555,"&gt;=36526",F555,"&lt;"&amp;TODAY())&gt;0),O555,"")</x:f>
      </x:c>
      <x:c r="K555" t="str">
        <x:f>IF(AND(A555&lt;&gt;"",COUNTIFS(C555,"&gt;=36526",C555,TODAY())+COUNTIFS(D555,"&gt;=36526",D555,TODAY())+COUNTIFS(E555,"&gt;=36526",E555,TODAY())+COUNTIFS(F555,"&gt;=36526",F555,TODAY())&gt;0),P555,"")</x:f>
      </x:c>
      <x:c r="L555" t="str">
        <x:f>IF(AND(A555&lt;&gt;"",COUNTIFS(C555,"&gt;"&amp;TODAY(),C555,"&lt;="&amp;TODAY()+30)+COUNTIFS(D555,"&gt;"&amp;TODAY(),D555,"&lt;="&amp;TODAY()+30)+COUNTIFS(E555,"&gt;"&amp;TODAY(),E555,"&lt;="&amp;TODAY()+30)+COUNTIFS(F555,"&gt;"&amp;TODAY(),F555,"&lt;="&amp;TODAY()+30)&gt;0),Q555,"")</x:f>
      </x:c>
      <x:c r="M555" t="str">
        <x:f>IF(OR(LEFT(H555,15)="Missing dates; ",LEFT(H555,16)="Add N/A reason; ",H555="Add dates",H555="Add registration",H555="Check date format"),R555,"")</x:f>
      </x:c>
      <x:c r="N555" t="str">
        <x:f>IF(COUNTIFS(C555:F555,"Reviewed N/A")&gt;0,S555,"")</x:f>
      </x:c>
      <x:c r="O555" t="n">
        <x:f>O554+IF(AND(A555&lt;&gt;"",COUNTIFS(C555,"&gt;=36526",C555,"&lt;"&amp;TODAY())+COUNTIFS(D555,"&gt;=36526",D555,"&lt;"&amp;TODAY())+COUNTIFS(E555,"&gt;=36526",E555,"&lt;"&amp;TODAY())+COUNTIFS(F555,"&gt;=36526",F555,"&lt;"&amp;TODAY())&gt;0),1,0)</x:f>
        <x:v>0</x:v>
      </x:c>
      <x:c r="P555" t="n">
        <x:f>P554+IF(AND(A555&lt;&gt;"",COUNTIFS(C555,"&gt;=36526",C555,TODAY())+COUNTIFS(D555,"&gt;=36526",D555,TODAY())+COUNTIFS(E555,"&gt;=36526",E555,TODAY())+COUNTIFS(F555,"&gt;=36526",F555,TODAY())&gt;0),1,0)</x:f>
        <x:v>0</x:v>
      </x:c>
      <x:c r="Q555" t="n">
        <x:f>Q554+IF(AND(A555&lt;&gt;"",COUNTIFS(C555,"&gt;"&amp;TODAY(),C555,"&lt;="&amp;TODAY()+30)+COUNTIFS(D555,"&gt;"&amp;TODAY(),D555,"&lt;="&amp;TODAY()+30)+COUNTIFS(E555,"&gt;"&amp;TODAY(),E555,"&lt;="&amp;TODAY()+30)+COUNTIFS(F555,"&gt;"&amp;TODAY(),F555,"&lt;="&amp;TODAY()+30)&gt;0),1,0)</x:f>
        <x:v>0</x:v>
      </x:c>
      <x:c r="R555" t="n">
        <x:f>R554+IF(OR(LEFT(H555,15)="Missing dates; ",LEFT(H555,16)="Add N/A reason; ",H555="Add dates",H555="Add registration",H555="Check date format"),1,0)</x:f>
        <x:v>0</x:v>
      </x:c>
      <x:c r="S555" t="n">
        <x:f>S554+IF(COUNTIFS(C555:F555,"Reviewed N/A")&gt;0,1,0)</x:f>
        <x:v>0</x:v>
      </x:c>
    </x:row>
    <x:row r="556" ht="48" customHeight="1">
      <x:c r="A556" s="52"/>
      <x:c r="B556" s="52"/>
      <x:c r="C556" s="53"/>
      <x:c r="D556" s="53"/>
      <x:c r="E556" s="53"/>
      <x:c r="F556" s="53"/>
      <x:c r="G556" s="52"/>
      <x:c r="H556" s="21" t="str">
        <x:f>IF(COUNTA(A556:G556,I556)=0,"",IF(A556="","Add registration",IF(OR(COUNTA(C556:F556)&gt;COUNT(C556:F556)+COUNTIFS(C556:F556,"Reviewed N/A"),AND(COUNT(C556:F556)&gt;0,OR(MIN(C556:F556)&lt;36526,MAX(C556:F556)&gt;109574))),"Check date format",IF(AND(COUNTIFS(C556:F556,"Reviewed N/A")&gt;0,I556=""),"Add N/A reason; ","")&amp;IF(COUNT(C556:F556)=0,IF(COUNTIFS(C556:F556,"Reviewed N/A")=4,"No applicable dates recorded","Add dates"),IF(COUNT(C556:F556)+COUNTIFS(C556:F556,"Reviewed N/A")&lt;4,"Missing dates; ","")&amp;IF(MIN(C556:F556)&lt;TODAY(),"Overdue: ",IF(MIN(C556:F556)=TODAY(),"Due today: ",IF(MIN(C556:F556)&lt;=TODAY()+30,"Due within 30 days: ","Next: ")))&amp;INDEX($C$8:$F$8,1,MATCH(MIN(C556:F556),C556:F556,0))&amp;" "&amp;TEXT(MIN(C556:F556),"dd mmm yyyy")))))</x:f>
      </x:c>
      <x:c r="I556" s="52"/>
      <x:c r="J556" t="str">
        <x:f>IF(AND(A556&lt;&gt;"",COUNTIFS(C556,"&gt;=36526",C556,"&lt;"&amp;TODAY())+COUNTIFS(D556,"&gt;=36526",D556,"&lt;"&amp;TODAY())+COUNTIFS(E556,"&gt;=36526",E556,"&lt;"&amp;TODAY())+COUNTIFS(F556,"&gt;=36526",F556,"&lt;"&amp;TODAY())&gt;0),O556,"")</x:f>
      </x:c>
      <x:c r="K556" t="str">
        <x:f>IF(AND(A556&lt;&gt;"",COUNTIFS(C556,"&gt;=36526",C556,TODAY())+COUNTIFS(D556,"&gt;=36526",D556,TODAY())+COUNTIFS(E556,"&gt;=36526",E556,TODAY())+COUNTIFS(F556,"&gt;=36526",F556,TODAY())&gt;0),P556,"")</x:f>
      </x:c>
      <x:c r="L556" t="str">
        <x:f>IF(AND(A556&lt;&gt;"",COUNTIFS(C556,"&gt;"&amp;TODAY(),C556,"&lt;="&amp;TODAY()+30)+COUNTIFS(D556,"&gt;"&amp;TODAY(),D556,"&lt;="&amp;TODAY()+30)+COUNTIFS(E556,"&gt;"&amp;TODAY(),E556,"&lt;="&amp;TODAY()+30)+COUNTIFS(F556,"&gt;"&amp;TODAY(),F556,"&lt;="&amp;TODAY()+30)&gt;0),Q556,"")</x:f>
      </x:c>
      <x:c r="M556" t="str">
        <x:f>IF(OR(LEFT(H556,15)="Missing dates; ",LEFT(H556,16)="Add N/A reason; ",H556="Add dates",H556="Add registration",H556="Check date format"),R556,"")</x:f>
      </x:c>
      <x:c r="N556" t="str">
        <x:f>IF(COUNTIFS(C556:F556,"Reviewed N/A")&gt;0,S556,"")</x:f>
      </x:c>
      <x:c r="O556" t="n">
        <x:f>O555+IF(AND(A556&lt;&gt;"",COUNTIFS(C556,"&gt;=36526",C556,"&lt;"&amp;TODAY())+COUNTIFS(D556,"&gt;=36526",D556,"&lt;"&amp;TODAY())+COUNTIFS(E556,"&gt;=36526",E556,"&lt;"&amp;TODAY())+COUNTIFS(F556,"&gt;=36526",F556,"&lt;"&amp;TODAY())&gt;0),1,0)</x:f>
        <x:v>0</x:v>
      </x:c>
      <x:c r="P556" t="n">
        <x:f>P555+IF(AND(A556&lt;&gt;"",COUNTIFS(C556,"&gt;=36526",C556,TODAY())+COUNTIFS(D556,"&gt;=36526",D556,TODAY())+COUNTIFS(E556,"&gt;=36526",E556,TODAY())+COUNTIFS(F556,"&gt;=36526",F556,TODAY())&gt;0),1,0)</x:f>
        <x:v>0</x:v>
      </x:c>
      <x:c r="Q556" t="n">
        <x:f>Q555+IF(AND(A556&lt;&gt;"",COUNTIFS(C556,"&gt;"&amp;TODAY(),C556,"&lt;="&amp;TODAY()+30)+COUNTIFS(D556,"&gt;"&amp;TODAY(),D556,"&lt;="&amp;TODAY()+30)+COUNTIFS(E556,"&gt;"&amp;TODAY(),E556,"&lt;="&amp;TODAY()+30)+COUNTIFS(F556,"&gt;"&amp;TODAY(),F556,"&lt;="&amp;TODAY()+30)&gt;0),1,0)</x:f>
        <x:v>0</x:v>
      </x:c>
      <x:c r="R556" t="n">
        <x:f>R555+IF(OR(LEFT(H556,15)="Missing dates; ",LEFT(H556,16)="Add N/A reason; ",H556="Add dates",H556="Add registration",H556="Check date format"),1,0)</x:f>
        <x:v>0</x:v>
      </x:c>
      <x:c r="S556" t="n">
        <x:f>S555+IF(COUNTIFS(C556:F556,"Reviewed N/A")&gt;0,1,0)</x:f>
        <x:v>0</x:v>
      </x:c>
    </x:row>
    <x:row r="557" ht="48" customHeight="1">
      <x:c r="A557" s="52"/>
      <x:c r="B557" s="52"/>
      <x:c r="C557" s="53"/>
      <x:c r="D557" s="53"/>
      <x:c r="E557" s="53"/>
      <x:c r="F557" s="53"/>
      <x:c r="G557" s="52"/>
      <x:c r="H557" s="21" t="str">
        <x:f>IF(COUNTA(A557:G557,I557)=0,"",IF(A557="","Add registration",IF(OR(COUNTA(C557:F557)&gt;COUNT(C557:F557)+COUNTIFS(C557:F557,"Reviewed N/A"),AND(COUNT(C557:F557)&gt;0,OR(MIN(C557:F557)&lt;36526,MAX(C557:F557)&gt;109574))),"Check date format",IF(AND(COUNTIFS(C557:F557,"Reviewed N/A")&gt;0,I557=""),"Add N/A reason; ","")&amp;IF(COUNT(C557:F557)=0,IF(COUNTIFS(C557:F557,"Reviewed N/A")=4,"No applicable dates recorded","Add dates"),IF(COUNT(C557:F557)+COUNTIFS(C557:F557,"Reviewed N/A")&lt;4,"Missing dates; ","")&amp;IF(MIN(C557:F557)&lt;TODAY(),"Overdue: ",IF(MIN(C557:F557)=TODAY(),"Due today: ",IF(MIN(C557:F557)&lt;=TODAY()+30,"Due within 30 days: ","Next: ")))&amp;INDEX($C$8:$F$8,1,MATCH(MIN(C557:F557),C557:F557,0))&amp;" "&amp;TEXT(MIN(C557:F557),"dd mmm yyyy")))))</x:f>
      </x:c>
      <x:c r="I557" s="52"/>
      <x:c r="J557" t="str">
        <x:f>IF(AND(A557&lt;&gt;"",COUNTIFS(C557,"&gt;=36526",C557,"&lt;"&amp;TODAY())+COUNTIFS(D557,"&gt;=36526",D557,"&lt;"&amp;TODAY())+COUNTIFS(E557,"&gt;=36526",E557,"&lt;"&amp;TODAY())+COUNTIFS(F557,"&gt;=36526",F557,"&lt;"&amp;TODAY())&gt;0),O557,"")</x:f>
      </x:c>
      <x:c r="K557" t="str">
        <x:f>IF(AND(A557&lt;&gt;"",COUNTIFS(C557,"&gt;=36526",C557,TODAY())+COUNTIFS(D557,"&gt;=36526",D557,TODAY())+COUNTIFS(E557,"&gt;=36526",E557,TODAY())+COUNTIFS(F557,"&gt;=36526",F557,TODAY())&gt;0),P557,"")</x:f>
      </x:c>
      <x:c r="L557" t="str">
        <x:f>IF(AND(A557&lt;&gt;"",COUNTIFS(C557,"&gt;"&amp;TODAY(),C557,"&lt;="&amp;TODAY()+30)+COUNTIFS(D557,"&gt;"&amp;TODAY(),D557,"&lt;="&amp;TODAY()+30)+COUNTIFS(E557,"&gt;"&amp;TODAY(),E557,"&lt;="&amp;TODAY()+30)+COUNTIFS(F557,"&gt;"&amp;TODAY(),F557,"&lt;="&amp;TODAY()+30)&gt;0),Q557,"")</x:f>
      </x:c>
      <x:c r="M557" t="str">
        <x:f>IF(OR(LEFT(H557,15)="Missing dates; ",LEFT(H557,16)="Add N/A reason; ",H557="Add dates",H557="Add registration",H557="Check date format"),R557,"")</x:f>
      </x:c>
      <x:c r="N557" t="str">
        <x:f>IF(COUNTIFS(C557:F557,"Reviewed N/A")&gt;0,S557,"")</x:f>
      </x:c>
      <x:c r="O557" t="n">
        <x:f>O556+IF(AND(A557&lt;&gt;"",COUNTIFS(C557,"&gt;=36526",C557,"&lt;"&amp;TODAY())+COUNTIFS(D557,"&gt;=36526",D557,"&lt;"&amp;TODAY())+COUNTIFS(E557,"&gt;=36526",E557,"&lt;"&amp;TODAY())+COUNTIFS(F557,"&gt;=36526",F557,"&lt;"&amp;TODAY())&gt;0),1,0)</x:f>
        <x:v>0</x:v>
      </x:c>
      <x:c r="P557" t="n">
        <x:f>P556+IF(AND(A557&lt;&gt;"",COUNTIFS(C557,"&gt;=36526",C557,TODAY())+COUNTIFS(D557,"&gt;=36526",D557,TODAY())+COUNTIFS(E557,"&gt;=36526",E557,TODAY())+COUNTIFS(F557,"&gt;=36526",F557,TODAY())&gt;0),1,0)</x:f>
        <x:v>0</x:v>
      </x:c>
      <x:c r="Q557" t="n">
        <x:f>Q556+IF(AND(A557&lt;&gt;"",COUNTIFS(C557,"&gt;"&amp;TODAY(),C557,"&lt;="&amp;TODAY()+30)+COUNTIFS(D557,"&gt;"&amp;TODAY(),D557,"&lt;="&amp;TODAY()+30)+COUNTIFS(E557,"&gt;"&amp;TODAY(),E557,"&lt;="&amp;TODAY()+30)+COUNTIFS(F557,"&gt;"&amp;TODAY(),F557,"&lt;="&amp;TODAY()+30)&gt;0),1,0)</x:f>
        <x:v>0</x:v>
      </x:c>
      <x:c r="R557" t="n">
        <x:f>R556+IF(OR(LEFT(H557,15)="Missing dates; ",LEFT(H557,16)="Add N/A reason; ",H557="Add dates",H557="Add registration",H557="Check date format"),1,0)</x:f>
        <x:v>0</x:v>
      </x:c>
      <x:c r="S557" t="n">
        <x:f>S556+IF(COUNTIFS(C557:F557,"Reviewed N/A")&gt;0,1,0)</x:f>
        <x:v>0</x:v>
      </x:c>
    </x:row>
    <x:row r="558" ht="48" customHeight="1">
      <x:c r="A558" s="52"/>
      <x:c r="B558" s="52"/>
      <x:c r="C558" s="53"/>
      <x:c r="D558" s="53"/>
      <x:c r="E558" s="53"/>
      <x:c r="F558" s="53"/>
      <x:c r="G558" s="52"/>
      <x:c r="H558" s="21" t="str">
        <x:f>IF(COUNTA(A558:G558,I558)=0,"",IF(A558="","Add registration",IF(OR(COUNTA(C558:F558)&gt;COUNT(C558:F558)+COUNTIFS(C558:F558,"Reviewed N/A"),AND(COUNT(C558:F558)&gt;0,OR(MIN(C558:F558)&lt;36526,MAX(C558:F558)&gt;109574))),"Check date format",IF(AND(COUNTIFS(C558:F558,"Reviewed N/A")&gt;0,I558=""),"Add N/A reason; ","")&amp;IF(COUNT(C558:F558)=0,IF(COUNTIFS(C558:F558,"Reviewed N/A")=4,"No applicable dates recorded","Add dates"),IF(COUNT(C558:F558)+COUNTIFS(C558:F558,"Reviewed N/A")&lt;4,"Missing dates; ","")&amp;IF(MIN(C558:F558)&lt;TODAY(),"Overdue: ",IF(MIN(C558:F558)=TODAY(),"Due today: ",IF(MIN(C558:F558)&lt;=TODAY()+30,"Due within 30 days: ","Next: ")))&amp;INDEX($C$8:$F$8,1,MATCH(MIN(C558:F558),C558:F558,0))&amp;" "&amp;TEXT(MIN(C558:F558),"dd mmm yyyy")))))</x:f>
      </x:c>
      <x:c r="I558" s="52"/>
      <x:c r="J558" t="str">
        <x:f>IF(AND(A558&lt;&gt;"",COUNTIFS(C558,"&gt;=36526",C558,"&lt;"&amp;TODAY())+COUNTIFS(D558,"&gt;=36526",D558,"&lt;"&amp;TODAY())+COUNTIFS(E558,"&gt;=36526",E558,"&lt;"&amp;TODAY())+COUNTIFS(F558,"&gt;=36526",F558,"&lt;"&amp;TODAY())&gt;0),O558,"")</x:f>
      </x:c>
      <x:c r="K558" t="str">
        <x:f>IF(AND(A558&lt;&gt;"",COUNTIFS(C558,"&gt;=36526",C558,TODAY())+COUNTIFS(D558,"&gt;=36526",D558,TODAY())+COUNTIFS(E558,"&gt;=36526",E558,TODAY())+COUNTIFS(F558,"&gt;=36526",F558,TODAY())&gt;0),P558,"")</x:f>
      </x:c>
      <x:c r="L558" t="str">
        <x:f>IF(AND(A558&lt;&gt;"",COUNTIFS(C558,"&gt;"&amp;TODAY(),C558,"&lt;="&amp;TODAY()+30)+COUNTIFS(D558,"&gt;"&amp;TODAY(),D558,"&lt;="&amp;TODAY()+30)+COUNTIFS(E558,"&gt;"&amp;TODAY(),E558,"&lt;="&amp;TODAY()+30)+COUNTIFS(F558,"&gt;"&amp;TODAY(),F558,"&lt;="&amp;TODAY()+30)&gt;0),Q558,"")</x:f>
      </x:c>
      <x:c r="M558" t="str">
        <x:f>IF(OR(LEFT(H558,15)="Missing dates; ",LEFT(H558,16)="Add N/A reason; ",H558="Add dates",H558="Add registration",H558="Check date format"),R558,"")</x:f>
      </x:c>
      <x:c r="N558" t="str">
        <x:f>IF(COUNTIFS(C558:F558,"Reviewed N/A")&gt;0,S558,"")</x:f>
      </x:c>
      <x:c r="O558" t="n">
        <x:f>O557+IF(AND(A558&lt;&gt;"",COUNTIFS(C558,"&gt;=36526",C558,"&lt;"&amp;TODAY())+COUNTIFS(D558,"&gt;=36526",D558,"&lt;"&amp;TODAY())+COUNTIFS(E558,"&gt;=36526",E558,"&lt;"&amp;TODAY())+COUNTIFS(F558,"&gt;=36526",F558,"&lt;"&amp;TODAY())&gt;0),1,0)</x:f>
        <x:v>0</x:v>
      </x:c>
      <x:c r="P558" t="n">
        <x:f>P557+IF(AND(A558&lt;&gt;"",COUNTIFS(C558,"&gt;=36526",C558,TODAY())+COUNTIFS(D558,"&gt;=36526",D558,TODAY())+COUNTIFS(E558,"&gt;=36526",E558,TODAY())+COUNTIFS(F558,"&gt;=36526",F558,TODAY())&gt;0),1,0)</x:f>
        <x:v>0</x:v>
      </x:c>
      <x:c r="Q558" t="n">
        <x:f>Q557+IF(AND(A558&lt;&gt;"",COUNTIFS(C558,"&gt;"&amp;TODAY(),C558,"&lt;="&amp;TODAY()+30)+COUNTIFS(D558,"&gt;"&amp;TODAY(),D558,"&lt;="&amp;TODAY()+30)+COUNTIFS(E558,"&gt;"&amp;TODAY(),E558,"&lt;="&amp;TODAY()+30)+COUNTIFS(F558,"&gt;"&amp;TODAY(),F558,"&lt;="&amp;TODAY()+30)&gt;0),1,0)</x:f>
        <x:v>0</x:v>
      </x:c>
      <x:c r="R558" t="n">
        <x:f>R557+IF(OR(LEFT(H558,15)="Missing dates; ",LEFT(H558,16)="Add N/A reason; ",H558="Add dates",H558="Add registration",H558="Check date format"),1,0)</x:f>
        <x:v>0</x:v>
      </x:c>
      <x:c r="S558" t="n">
        <x:f>S557+IF(COUNTIFS(C558:F558,"Reviewed N/A")&gt;0,1,0)</x:f>
        <x:v>0</x:v>
      </x:c>
    </x:row>
    <x:row r="559" ht="48" customHeight="1">
      <x:c r="A559" s="52"/>
      <x:c r="B559" s="52"/>
      <x:c r="C559" s="53"/>
      <x:c r="D559" s="53"/>
      <x:c r="E559" s="53"/>
      <x:c r="F559" s="53"/>
      <x:c r="G559" s="52"/>
      <x:c r="H559" s="21" t="str">
        <x:f>IF(COUNTA(A559:G559,I559)=0,"",IF(A559="","Add registration",IF(OR(COUNTA(C559:F559)&gt;COUNT(C559:F559)+COUNTIFS(C559:F559,"Reviewed N/A"),AND(COUNT(C559:F559)&gt;0,OR(MIN(C559:F559)&lt;36526,MAX(C559:F559)&gt;109574))),"Check date format",IF(AND(COUNTIFS(C559:F559,"Reviewed N/A")&gt;0,I559=""),"Add N/A reason; ","")&amp;IF(COUNT(C559:F559)=0,IF(COUNTIFS(C559:F559,"Reviewed N/A")=4,"No applicable dates recorded","Add dates"),IF(COUNT(C559:F559)+COUNTIFS(C559:F559,"Reviewed N/A")&lt;4,"Missing dates; ","")&amp;IF(MIN(C559:F559)&lt;TODAY(),"Overdue: ",IF(MIN(C559:F559)=TODAY(),"Due today: ",IF(MIN(C559:F559)&lt;=TODAY()+30,"Due within 30 days: ","Next: ")))&amp;INDEX($C$8:$F$8,1,MATCH(MIN(C559:F559),C559:F559,0))&amp;" "&amp;TEXT(MIN(C559:F559),"dd mmm yyyy")))))</x:f>
      </x:c>
      <x:c r="I559" s="52"/>
      <x:c r="J559" t="str">
        <x:f>IF(AND(A559&lt;&gt;"",COUNTIFS(C559,"&gt;=36526",C559,"&lt;"&amp;TODAY())+COUNTIFS(D559,"&gt;=36526",D559,"&lt;"&amp;TODAY())+COUNTIFS(E559,"&gt;=36526",E559,"&lt;"&amp;TODAY())+COUNTIFS(F559,"&gt;=36526",F559,"&lt;"&amp;TODAY())&gt;0),O559,"")</x:f>
      </x:c>
      <x:c r="K559" t="str">
        <x:f>IF(AND(A559&lt;&gt;"",COUNTIFS(C559,"&gt;=36526",C559,TODAY())+COUNTIFS(D559,"&gt;=36526",D559,TODAY())+COUNTIFS(E559,"&gt;=36526",E559,TODAY())+COUNTIFS(F559,"&gt;=36526",F559,TODAY())&gt;0),P559,"")</x:f>
      </x:c>
      <x:c r="L559" t="str">
        <x:f>IF(AND(A559&lt;&gt;"",COUNTIFS(C559,"&gt;"&amp;TODAY(),C559,"&lt;="&amp;TODAY()+30)+COUNTIFS(D559,"&gt;"&amp;TODAY(),D559,"&lt;="&amp;TODAY()+30)+COUNTIFS(E559,"&gt;"&amp;TODAY(),E559,"&lt;="&amp;TODAY()+30)+COUNTIFS(F559,"&gt;"&amp;TODAY(),F559,"&lt;="&amp;TODAY()+30)&gt;0),Q559,"")</x:f>
      </x:c>
      <x:c r="M559" t="str">
        <x:f>IF(OR(LEFT(H559,15)="Missing dates; ",LEFT(H559,16)="Add N/A reason; ",H559="Add dates",H559="Add registration",H559="Check date format"),R559,"")</x:f>
      </x:c>
      <x:c r="N559" t="str">
        <x:f>IF(COUNTIFS(C559:F559,"Reviewed N/A")&gt;0,S559,"")</x:f>
      </x:c>
      <x:c r="O559" t="n">
        <x:f>O558+IF(AND(A559&lt;&gt;"",COUNTIFS(C559,"&gt;=36526",C559,"&lt;"&amp;TODAY())+COUNTIFS(D559,"&gt;=36526",D559,"&lt;"&amp;TODAY())+COUNTIFS(E559,"&gt;=36526",E559,"&lt;"&amp;TODAY())+COUNTIFS(F559,"&gt;=36526",F559,"&lt;"&amp;TODAY())&gt;0),1,0)</x:f>
        <x:v>0</x:v>
      </x:c>
      <x:c r="P559" t="n">
        <x:f>P558+IF(AND(A559&lt;&gt;"",COUNTIFS(C559,"&gt;=36526",C559,TODAY())+COUNTIFS(D559,"&gt;=36526",D559,TODAY())+COUNTIFS(E559,"&gt;=36526",E559,TODAY())+COUNTIFS(F559,"&gt;=36526",F559,TODAY())&gt;0),1,0)</x:f>
        <x:v>0</x:v>
      </x:c>
      <x:c r="Q559" t="n">
        <x:f>Q558+IF(AND(A559&lt;&gt;"",COUNTIFS(C559,"&gt;"&amp;TODAY(),C559,"&lt;="&amp;TODAY()+30)+COUNTIFS(D559,"&gt;"&amp;TODAY(),D559,"&lt;="&amp;TODAY()+30)+COUNTIFS(E559,"&gt;"&amp;TODAY(),E559,"&lt;="&amp;TODAY()+30)+COUNTIFS(F559,"&gt;"&amp;TODAY(),F559,"&lt;="&amp;TODAY()+30)&gt;0),1,0)</x:f>
        <x:v>0</x:v>
      </x:c>
      <x:c r="R559" t="n">
        <x:f>R558+IF(OR(LEFT(H559,15)="Missing dates; ",LEFT(H559,16)="Add N/A reason; ",H559="Add dates",H559="Add registration",H559="Check date format"),1,0)</x:f>
        <x:v>0</x:v>
      </x:c>
      <x:c r="S559" t="n">
        <x:f>S558+IF(COUNTIFS(C559:F559,"Reviewed N/A")&gt;0,1,0)</x:f>
        <x:v>0</x:v>
      </x:c>
    </x:row>
    <x:row r="560" ht="48" customHeight="1">
      <x:c r="A560" s="52"/>
      <x:c r="B560" s="52"/>
      <x:c r="C560" s="53"/>
      <x:c r="D560" s="53"/>
      <x:c r="E560" s="53"/>
      <x:c r="F560" s="53"/>
      <x:c r="G560" s="52"/>
      <x:c r="H560" s="21" t="str">
        <x:f>IF(COUNTA(A560:G560,I560)=0,"",IF(A560="","Add registration",IF(OR(COUNTA(C560:F560)&gt;COUNT(C560:F560)+COUNTIFS(C560:F560,"Reviewed N/A"),AND(COUNT(C560:F560)&gt;0,OR(MIN(C560:F560)&lt;36526,MAX(C560:F560)&gt;109574))),"Check date format",IF(AND(COUNTIFS(C560:F560,"Reviewed N/A")&gt;0,I560=""),"Add N/A reason; ","")&amp;IF(COUNT(C560:F560)=0,IF(COUNTIFS(C560:F560,"Reviewed N/A")=4,"No applicable dates recorded","Add dates"),IF(COUNT(C560:F560)+COUNTIFS(C560:F560,"Reviewed N/A")&lt;4,"Missing dates; ","")&amp;IF(MIN(C560:F560)&lt;TODAY(),"Overdue: ",IF(MIN(C560:F560)=TODAY(),"Due today: ",IF(MIN(C560:F560)&lt;=TODAY()+30,"Due within 30 days: ","Next: ")))&amp;INDEX($C$8:$F$8,1,MATCH(MIN(C560:F560),C560:F560,0))&amp;" "&amp;TEXT(MIN(C560:F560),"dd mmm yyyy")))))</x:f>
      </x:c>
      <x:c r="I560" s="52"/>
      <x:c r="J560" t="str">
        <x:f>IF(AND(A560&lt;&gt;"",COUNTIFS(C560,"&gt;=36526",C560,"&lt;"&amp;TODAY())+COUNTIFS(D560,"&gt;=36526",D560,"&lt;"&amp;TODAY())+COUNTIFS(E560,"&gt;=36526",E560,"&lt;"&amp;TODAY())+COUNTIFS(F560,"&gt;=36526",F560,"&lt;"&amp;TODAY())&gt;0),O560,"")</x:f>
      </x:c>
      <x:c r="K560" t="str">
        <x:f>IF(AND(A560&lt;&gt;"",COUNTIFS(C560,"&gt;=36526",C560,TODAY())+COUNTIFS(D560,"&gt;=36526",D560,TODAY())+COUNTIFS(E560,"&gt;=36526",E560,TODAY())+COUNTIFS(F560,"&gt;=36526",F560,TODAY())&gt;0),P560,"")</x:f>
      </x:c>
      <x:c r="L560" t="str">
        <x:f>IF(AND(A560&lt;&gt;"",COUNTIFS(C560,"&gt;"&amp;TODAY(),C560,"&lt;="&amp;TODAY()+30)+COUNTIFS(D560,"&gt;"&amp;TODAY(),D560,"&lt;="&amp;TODAY()+30)+COUNTIFS(E560,"&gt;"&amp;TODAY(),E560,"&lt;="&amp;TODAY()+30)+COUNTIFS(F560,"&gt;"&amp;TODAY(),F560,"&lt;="&amp;TODAY()+30)&gt;0),Q560,"")</x:f>
      </x:c>
      <x:c r="M560" t="str">
        <x:f>IF(OR(LEFT(H560,15)="Missing dates; ",LEFT(H560,16)="Add N/A reason; ",H560="Add dates",H560="Add registration",H560="Check date format"),R560,"")</x:f>
      </x:c>
      <x:c r="N560" t="str">
        <x:f>IF(COUNTIFS(C560:F560,"Reviewed N/A")&gt;0,S560,"")</x:f>
      </x:c>
      <x:c r="O560" t="n">
        <x:f>O559+IF(AND(A560&lt;&gt;"",COUNTIFS(C560,"&gt;=36526",C560,"&lt;"&amp;TODAY())+COUNTIFS(D560,"&gt;=36526",D560,"&lt;"&amp;TODAY())+COUNTIFS(E560,"&gt;=36526",E560,"&lt;"&amp;TODAY())+COUNTIFS(F560,"&gt;=36526",F560,"&lt;"&amp;TODAY())&gt;0),1,0)</x:f>
        <x:v>0</x:v>
      </x:c>
      <x:c r="P560" t="n">
        <x:f>P559+IF(AND(A560&lt;&gt;"",COUNTIFS(C560,"&gt;=36526",C560,TODAY())+COUNTIFS(D560,"&gt;=36526",D560,TODAY())+COUNTIFS(E560,"&gt;=36526",E560,TODAY())+COUNTIFS(F560,"&gt;=36526",F560,TODAY())&gt;0),1,0)</x:f>
        <x:v>0</x:v>
      </x:c>
      <x:c r="Q560" t="n">
        <x:f>Q559+IF(AND(A560&lt;&gt;"",COUNTIFS(C560,"&gt;"&amp;TODAY(),C560,"&lt;="&amp;TODAY()+30)+COUNTIFS(D560,"&gt;"&amp;TODAY(),D560,"&lt;="&amp;TODAY()+30)+COUNTIFS(E560,"&gt;"&amp;TODAY(),E560,"&lt;="&amp;TODAY()+30)+COUNTIFS(F560,"&gt;"&amp;TODAY(),F560,"&lt;="&amp;TODAY()+30)&gt;0),1,0)</x:f>
        <x:v>0</x:v>
      </x:c>
      <x:c r="R560" t="n">
        <x:f>R559+IF(OR(LEFT(H560,15)="Missing dates; ",LEFT(H560,16)="Add N/A reason; ",H560="Add dates",H560="Add registration",H560="Check date format"),1,0)</x:f>
        <x:v>0</x:v>
      </x:c>
      <x:c r="S560" t="n">
        <x:f>S559+IF(COUNTIFS(C560:F560,"Reviewed N/A")&gt;0,1,0)</x:f>
        <x:v>0</x:v>
      </x:c>
    </x:row>
    <x:row r="561" ht="48" customHeight="1">
      <x:c r="A561" s="52"/>
      <x:c r="B561" s="52"/>
      <x:c r="C561" s="53"/>
      <x:c r="D561" s="53"/>
      <x:c r="E561" s="53"/>
      <x:c r="F561" s="53"/>
      <x:c r="G561" s="52"/>
      <x:c r="H561" s="21" t="str">
        <x:f>IF(COUNTA(A561:G561,I561)=0,"",IF(A561="","Add registration",IF(OR(COUNTA(C561:F561)&gt;COUNT(C561:F561)+COUNTIFS(C561:F561,"Reviewed N/A"),AND(COUNT(C561:F561)&gt;0,OR(MIN(C561:F561)&lt;36526,MAX(C561:F561)&gt;109574))),"Check date format",IF(AND(COUNTIFS(C561:F561,"Reviewed N/A")&gt;0,I561=""),"Add N/A reason; ","")&amp;IF(COUNT(C561:F561)=0,IF(COUNTIFS(C561:F561,"Reviewed N/A")=4,"No applicable dates recorded","Add dates"),IF(COUNT(C561:F561)+COUNTIFS(C561:F561,"Reviewed N/A")&lt;4,"Missing dates; ","")&amp;IF(MIN(C561:F561)&lt;TODAY(),"Overdue: ",IF(MIN(C561:F561)=TODAY(),"Due today: ",IF(MIN(C561:F561)&lt;=TODAY()+30,"Due within 30 days: ","Next: ")))&amp;INDEX($C$8:$F$8,1,MATCH(MIN(C561:F561),C561:F561,0))&amp;" "&amp;TEXT(MIN(C561:F561),"dd mmm yyyy")))))</x:f>
      </x:c>
      <x:c r="I561" s="52"/>
      <x:c r="J561" t="str">
        <x:f>IF(AND(A561&lt;&gt;"",COUNTIFS(C561,"&gt;=36526",C561,"&lt;"&amp;TODAY())+COUNTIFS(D561,"&gt;=36526",D561,"&lt;"&amp;TODAY())+COUNTIFS(E561,"&gt;=36526",E561,"&lt;"&amp;TODAY())+COUNTIFS(F561,"&gt;=36526",F561,"&lt;"&amp;TODAY())&gt;0),O561,"")</x:f>
      </x:c>
      <x:c r="K561" t="str">
        <x:f>IF(AND(A561&lt;&gt;"",COUNTIFS(C561,"&gt;=36526",C561,TODAY())+COUNTIFS(D561,"&gt;=36526",D561,TODAY())+COUNTIFS(E561,"&gt;=36526",E561,TODAY())+COUNTIFS(F561,"&gt;=36526",F561,TODAY())&gt;0),P561,"")</x:f>
      </x:c>
      <x:c r="L561" t="str">
        <x:f>IF(AND(A561&lt;&gt;"",COUNTIFS(C561,"&gt;"&amp;TODAY(),C561,"&lt;="&amp;TODAY()+30)+COUNTIFS(D561,"&gt;"&amp;TODAY(),D561,"&lt;="&amp;TODAY()+30)+COUNTIFS(E561,"&gt;"&amp;TODAY(),E561,"&lt;="&amp;TODAY()+30)+COUNTIFS(F561,"&gt;"&amp;TODAY(),F561,"&lt;="&amp;TODAY()+30)&gt;0),Q561,"")</x:f>
      </x:c>
      <x:c r="M561" t="str">
        <x:f>IF(OR(LEFT(H561,15)="Missing dates; ",LEFT(H561,16)="Add N/A reason; ",H561="Add dates",H561="Add registration",H561="Check date format"),R561,"")</x:f>
      </x:c>
      <x:c r="N561" t="str">
        <x:f>IF(COUNTIFS(C561:F561,"Reviewed N/A")&gt;0,S561,"")</x:f>
      </x:c>
      <x:c r="O561" t="n">
        <x:f>O560+IF(AND(A561&lt;&gt;"",COUNTIFS(C561,"&gt;=36526",C561,"&lt;"&amp;TODAY())+COUNTIFS(D561,"&gt;=36526",D561,"&lt;"&amp;TODAY())+COUNTIFS(E561,"&gt;=36526",E561,"&lt;"&amp;TODAY())+COUNTIFS(F561,"&gt;=36526",F561,"&lt;"&amp;TODAY())&gt;0),1,0)</x:f>
        <x:v>0</x:v>
      </x:c>
      <x:c r="P561" t="n">
        <x:f>P560+IF(AND(A561&lt;&gt;"",COUNTIFS(C561,"&gt;=36526",C561,TODAY())+COUNTIFS(D561,"&gt;=36526",D561,TODAY())+COUNTIFS(E561,"&gt;=36526",E561,TODAY())+COUNTIFS(F561,"&gt;=36526",F561,TODAY())&gt;0),1,0)</x:f>
        <x:v>0</x:v>
      </x:c>
      <x:c r="Q561" t="n">
        <x:f>Q560+IF(AND(A561&lt;&gt;"",COUNTIFS(C561,"&gt;"&amp;TODAY(),C561,"&lt;="&amp;TODAY()+30)+COUNTIFS(D561,"&gt;"&amp;TODAY(),D561,"&lt;="&amp;TODAY()+30)+COUNTIFS(E561,"&gt;"&amp;TODAY(),E561,"&lt;="&amp;TODAY()+30)+COUNTIFS(F561,"&gt;"&amp;TODAY(),F561,"&lt;="&amp;TODAY()+30)&gt;0),1,0)</x:f>
        <x:v>0</x:v>
      </x:c>
      <x:c r="R561" t="n">
        <x:f>R560+IF(OR(LEFT(H561,15)="Missing dates; ",LEFT(H561,16)="Add N/A reason; ",H561="Add dates",H561="Add registration",H561="Check date format"),1,0)</x:f>
        <x:v>0</x:v>
      </x:c>
      <x:c r="S561" t="n">
        <x:f>S560+IF(COUNTIFS(C561:F561,"Reviewed N/A")&gt;0,1,0)</x:f>
        <x:v>0</x:v>
      </x:c>
    </x:row>
    <x:row r="562" ht="48" customHeight="1">
      <x:c r="A562" s="52"/>
      <x:c r="B562" s="52"/>
      <x:c r="C562" s="53"/>
      <x:c r="D562" s="53"/>
      <x:c r="E562" s="53"/>
      <x:c r="F562" s="53"/>
      <x:c r="G562" s="52"/>
      <x:c r="H562" s="21" t="str">
        <x:f>IF(COUNTA(A562:G562,I562)=0,"",IF(A562="","Add registration",IF(OR(COUNTA(C562:F562)&gt;COUNT(C562:F562)+COUNTIFS(C562:F562,"Reviewed N/A"),AND(COUNT(C562:F562)&gt;0,OR(MIN(C562:F562)&lt;36526,MAX(C562:F562)&gt;109574))),"Check date format",IF(AND(COUNTIFS(C562:F562,"Reviewed N/A")&gt;0,I562=""),"Add N/A reason; ","")&amp;IF(COUNT(C562:F562)=0,IF(COUNTIFS(C562:F562,"Reviewed N/A")=4,"No applicable dates recorded","Add dates"),IF(COUNT(C562:F562)+COUNTIFS(C562:F562,"Reviewed N/A")&lt;4,"Missing dates; ","")&amp;IF(MIN(C562:F562)&lt;TODAY(),"Overdue: ",IF(MIN(C562:F562)=TODAY(),"Due today: ",IF(MIN(C562:F562)&lt;=TODAY()+30,"Due within 30 days: ","Next: ")))&amp;INDEX($C$8:$F$8,1,MATCH(MIN(C562:F562),C562:F562,0))&amp;" "&amp;TEXT(MIN(C562:F562),"dd mmm yyyy")))))</x:f>
      </x:c>
      <x:c r="I562" s="52"/>
      <x:c r="J562" t="str">
        <x:f>IF(AND(A562&lt;&gt;"",COUNTIFS(C562,"&gt;=36526",C562,"&lt;"&amp;TODAY())+COUNTIFS(D562,"&gt;=36526",D562,"&lt;"&amp;TODAY())+COUNTIFS(E562,"&gt;=36526",E562,"&lt;"&amp;TODAY())+COUNTIFS(F562,"&gt;=36526",F562,"&lt;"&amp;TODAY())&gt;0),O562,"")</x:f>
      </x:c>
      <x:c r="K562" t="str">
        <x:f>IF(AND(A562&lt;&gt;"",COUNTIFS(C562,"&gt;=36526",C562,TODAY())+COUNTIFS(D562,"&gt;=36526",D562,TODAY())+COUNTIFS(E562,"&gt;=36526",E562,TODAY())+COUNTIFS(F562,"&gt;=36526",F562,TODAY())&gt;0),P562,"")</x:f>
      </x:c>
      <x:c r="L562" t="str">
        <x:f>IF(AND(A562&lt;&gt;"",COUNTIFS(C562,"&gt;"&amp;TODAY(),C562,"&lt;="&amp;TODAY()+30)+COUNTIFS(D562,"&gt;"&amp;TODAY(),D562,"&lt;="&amp;TODAY()+30)+COUNTIFS(E562,"&gt;"&amp;TODAY(),E562,"&lt;="&amp;TODAY()+30)+COUNTIFS(F562,"&gt;"&amp;TODAY(),F562,"&lt;="&amp;TODAY()+30)&gt;0),Q562,"")</x:f>
      </x:c>
      <x:c r="M562" t="str">
        <x:f>IF(OR(LEFT(H562,15)="Missing dates; ",LEFT(H562,16)="Add N/A reason; ",H562="Add dates",H562="Add registration",H562="Check date format"),R562,"")</x:f>
      </x:c>
      <x:c r="N562" t="str">
        <x:f>IF(COUNTIFS(C562:F562,"Reviewed N/A")&gt;0,S562,"")</x:f>
      </x:c>
      <x:c r="O562" t="n">
        <x:f>O561+IF(AND(A562&lt;&gt;"",COUNTIFS(C562,"&gt;=36526",C562,"&lt;"&amp;TODAY())+COUNTIFS(D562,"&gt;=36526",D562,"&lt;"&amp;TODAY())+COUNTIFS(E562,"&gt;=36526",E562,"&lt;"&amp;TODAY())+COUNTIFS(F562,"&gt;=36526",F562,"&lt;"&amp;TODAY())&gt;0),1,0)</x:f>
        <x:v>0</x:v>
      </x:c>
      <x:c r="P562" t="n">
        <x:f>P561+IF(AND(A562&lt;&gt;"",COUNTIFS(C562,"&gt;=36526",C562,TODAY())+COUNTIFS(D562,"&gt;=36526",D562,TODAY())+COUNTIFS(E562,"&gt;=36526",E562,TODAY())+COUNTIFS(F562,"&gt;=36526",F562,TODAY())&gt;0),1,0)</x:f>
        <x:v>0</x:v>
      </x:c>
      <x:c r="Q562" t="n">
        <x:f>Q561+IF(AND(A562&lt;&gt;"",COUNTIFS(C562,"&gt;"&amp;TODAY(),C562,"&lt;="&amp;TODAY()+30)+COUNTIFS(D562,"&gt;"&amp;TODAY(),D562,"&lt;="&amp;TODAY()+30)+COUNTIFS(E562,"&gt;"&amp;TODAY(),E562,"&lt;="&amp;TODAY()+30)+COUNTIFS(F562,"&gt;"&amp;TODAY(),F562,"&lt;="&amp;TODAY()+30)&gt;0),1,0)</x:f>
        <x:v>0</x:v>
      </x:c>
      <x:c r="R562" t="n">
        <x:f>R561+IF(OR(LEFT(H562,15)="Missing dates; ",LEFT(H562,16)="Add N/A reason; ",H562="Add dates",H562="Add registration",H562="Check date format"),1,0)</x:f>
        <x:v>0</x:v>
      </x:c>
      <x:c r="S562" t="n">
        <x:f>S561+IF(COUNTIFS(C562:F562,"Reviewed N/A")&gt;0,1,0)</x:f>
        <x:v>0</x:v>
      </x:c>
    </x:row>
    <x:row r="563" ht="48" customHeight="1">
      <x:c r="A563" s="52"/>
      <x:c r="B563" s="52"/>
      <x:c r="C563" s="53"/>
      <x:c r="D563" s="53"/>
      <x:c r="E563" s="53"/>
      <x:c r="F563" s="53"/>
      <x:c r="G563" s="52"/>
      <x:c r="H563" s="21" t="str">
        <x:f>IF(COUNTA(A563:G563,I563)=0,"",IF(A563="","Add registration",IF(OR(COUNTA(C563:F563)&gt;COUNT(C563:F563)+COUNTIFS(C563:F563,"Reviewed N/A"),AND(COUNT(C563:F563)&gt;0,OR(MIN(C563:F563)&lt;36526,MAX(C563:F563)&gt;109574))),"Check date format",IF(AND(COUNTIFS(C563:F563,"Reviewed N/A")&gt;0,I563=""),"Add N/A reason; ","")&amp;IF(COUNT(C563:F563)=0,IF(COUNTIFS(C563:F563,"Reviewed N/A")=4,"No applicable dates recorded","Add dates"),IF(COUNT(C563:F563)+COUNTIFS(C563:F563,"Reviewed N/A")&lt;4,"Missing dates; ","")&amp;IF(MIN(C563:F563)&lt;TODAY(),"Overdue: ",IF(MIN(C563:F563)=TODAY(),"Due today: ",IF(MIN(C563:F563)&lt;=TODAY()+30,"Due within 30 days: ","Next: ")))&amp;INDEX($C$8:$F$8,1,MATCH(MIN(C563:F563),C563:F563,0))&amp;" "&amp;TEXT(MIN(C563:F563),"dd mmm yyyy")))))</x:f>
      </x:c>
      <x:c r="I563" s="52"/>
      <x:c r="J563" t="str">
        <x:f>IF(AND(A563&lt;&gt;"",COUNTIFS(C563,"&gt;=36526",C563,"&lt;"&amp;TODAY())+COUNTIFS(D563,"&gt;=36526",D563,"&lt;"&amp;TODAY())+COUNTIFS(E563,"&gt;=36526",E563,"&lt;"&amp;TODAY())+COUNTIFS(F563,"&gt;=36526",F563,"&lt;"&amp;TODAY())&gt;0),O563,"")</x:f>
      </x:c>
      <x:c r="K563" t="str">
        <x:f>IF(AND(A563&lt;&gt;"",COUNTIFS(C563,"&gt;=36526",C563,TODAY())+COUNTIFS(D563,"&gt;=36526",D563,TODAY())+COUNTIFS(E563,"&gt;=36526",E563,TODAY())+COUNTIFS(F563,"&gt;=36526",F563,TODAY())&gt;0),P563,"")</x:f>
      </x:c>
      <x:c r="L563" t="str">
        <x:f>IF(AND(A563&lt;&gt;"",COUNTIFS(C563,"&gt;"&amp;TODAY(),C563,"&lt;="&amp;TODAY()+30)+COUNTIFS(D563,"&gt;"&amp;TODAY(),D563,"&lt;="&amp;TODAY()+30)+COUNTIFS(E563,"&gt;"&amp;TODAY(),E563,"&lt;="&amp;TODAY()+30)+COUNTIFS(F563,"&gt;"&amp;TODAY(),F563,"&lt;="&amp;TODAY()+30)&gt;0),Q563,"")</x:f>
      </x:c>
      <x:c r="M563" t="str">
        <x:f>IF(OR(LEFT(H563,15)="Missing dates; ",LEFT(H563,16)="Add N/A reason; ",H563="Add dates",H563="Add registration",H563="Check date format"),R563,"")</x:f>
      </x:c>
      <x:c r="N563" t="str">
        <x:f>IF(COUNTIFS(C563:F563,"Reviewed N/A")&gt;0,S563,"")</x:f>
      </x:c>
      <x:c r="O563" t="n">
        <x:f>O562+IF(AND(A563&lt;&gt;"",COUNTIFS(C563,"&gt;=36526",C563,"&lt;"&amp;TODAY())+COUNTIFS(D563,"&gt;=36526",D563,"&lt;"&amp;TODAY())+COUNTIFS(E563,"&gt;=36526",E563,"&lt;"&amp;TODAY())+COUNTIFS(F563,"&gt;=36526",F563,"&lt;"&amp;TODAY())&gt;0),1,0)</x:f>
        <x:v>0</x:v>
      </x:c>
      <x:c r="P563" t="n">
        <x:f>P562+IF(AND(A563&lt;&gt;"",COUNTIFS(C563,"&gt;=36526",C563,TODAY())+COUNTIFS(D563,"&gt;=36526",D563,TODAY())+COUNTIFS(E563,"&gt;=36526",E563,TODAY())+COUNTIFS(F563,"&gt;=36526",F563,TODAY())&gt;0),1,0)</x:f>
        <x:v>0</x:v>
      </x:c>
      <x:c r="Q563" t="n">
        <x:f>Q562+IF(AND(A563&lt;&gt;"",COUNTIFS(C563,"&gt;"&amp;TODAY(),C563,"&lt;="&amp;TODAY()+30)+COUNTIFS(D563,"&gt;"&amp;TODAY(),D563,"&lt;="&amp;TODAY()+30)+COUNTIFS(E563,"&gt;"&amp;TODAY(),E563,"&lt;="&amp;TODAY()+30)+COUNTIFS(F563,"&gt;"&amp;TODAY(),F563,"&lt;="&amp;TODAY()+30)&gt;0),1,0)</x:f>
        <x:v>0</x:v>
      </x:c>
      <x:c r="R563" t="n">
        <x:f>R562+IF(OR(LEFT(H563,15)="Missing dates; ",LEFT(H563,16)="Add N/A reason; ",H563="Add dates",H563="Add registration",H563="Check date format"),1,0)</x:f>
        <x:v>0</x:v>
      </x:c>
      <x:c r="S563" t="n">
        <x:f>S562+IF(COUNTIFS(C563:F563,"Reviewed N/A")&gt;0,1,0)</x:f>
        <x:v>0</x:v>
      </x:c>
    </x:row>
    <x:row r="564" ht="48" customHeight="1">
      <x:c r="A564" s="52"/>
      <x:c r="B564" s="52"/>
      <x:c r="C564" s="53"/>
      <x:c r="D564" s="53"/>
      <x:c r="E564" s="53"/>
      <x:c r="F564" s="53"/>
      <x:c r="G564" s="52"/>
      <x:c r="H564" s="21" t="str">
        <x:f>IF(COUNTA(A564:G564,I564)=0,"",IF(A564="","Add registration",IF(OR(COUNTA(C564:F564)&gt;COUNT(C564:F564)+COUNTIFS(C564:F564,"Reviewed N/A"),AND(COUNT(C564:F564)&gt;0,OR(MIN(C564:F564)&lt;36526,MAX(C564:F564)&gt;109574))),"Check date format",IF(AND(COUNTIFS(C564:F564,"Reviewed N/A")&gt;0,I564=""),"Add N/A reason; ","")&amp;IF(COUNT(C564:F564)=0,IF(COUNTIFS(C564:F564,"Reviewed N/A")=4,"No applicable dates recorded","Add dates"),IF(COUNT(C564:F564)+COUNTIFS(C564:F564,"Reviewed N/A")&lt;4,"Missing dates; ","")&amp;IF(MIN(C564:F564)&lt;TODAY(),"Overdue: ",IF(MIN(C564:F564)=TODAY(),"Due today: ",IF(MIN(C564:F564)&lt;=TODAY()+30,"Due within 30 days: ","Next: ")))&amp;INDEX($C$8:$F$8,1,MATCH(MIN(C564:F564),C564:F564,0))&amp;" "&amp;TEXT(MIN(C564:F564),"dd mmm yyyy")))))</x:f>
      </x:c>
      <x:c r="I564" s="52"/>
      <x:c r="J564" t="str">
        <x:f>IF(AND(A564&lt;&gt;"",COUNTIFS(C564,"&gt;=36526",C564,"&lt;"&amp;TODAY())+COUNTIFS(D564,"&gt;=36526",D564,"&lt;"&amp;TODAY())+COUNTIFS(E564,"&gt;=36526",E564,"&lt;"&amp;TODAY())+COUNTIFS(F564,"&gt;=36526",F564,"&lt;"&amp;TODAY())&gt;0),O564,"")</x:f>
      </x:c>
      <x:c r="K564" t="str">
        <x:f>IF(AND(A564&lt;&gt;"",COUNTIFS(C564,"&gt;=36526",C564,TODAY())+COUNTIFS(D564,"&gt;=36526",D564,TODAY())+COUNTIFS(E564,"&gt;=36526",E564,TODAY())+COUNTIFS(F564,"&gt;=36526",F564,TODAY())&gt;0),P564,"")</x:f>
      </x:c>
      <x:c r="L564" t="str">
        <x:f>IF(AND(A564&lt;&gt;"",COUNTIFS(C564,"&gt;"&amp;TODAY(),C564,"&lt;="&amp;TODAY()+30)+COUNTIFS(D564,"&gt;"&amp;TODAY(),D564,"&lt;="&amp;TODAY()+30)+COUNTIFS(E564,"&gt;"&amp;TODAY(),E564,"&lt;="&amp;TODAY()+30)+COUNTIFS(F564,"&gt;"&amp;TODAY(),F564,"&lt;="&amp;TODAY()+30)&gt;0),Q564,"")</x:f>
      </x:c>
      <x:c r="M564" t="str">
        <x:f>IF(OR(LEFT(H564,15)="Missing dates; ",LEFT(H564,16)="Add N/A reason; ",H564="Add dates",H564="Add registration",H564="Check date format"),R564,"")</x:f>
      </x:c>
      <x:c r="N564" t="str">
        <x:f>IF(COUNTIFS(C564:F564,"Reviewed N/A")&gt;0,S564,"")</x:f>
      </x:c>
      <x:c r="O564" t="n">
        <x:f>O563+IF(AND(A564&lt;&gt;"",COUNTIFS(C564,"&gt;=36526",C564,"&lt;"&amp;TODAY())+COUNTIFS(D564,"&gt;=36526",D564,"&lt;"&amp;TODAY())+COUNTIFS(E564,"&gt;=36526",E564,"&lt;"&amp;TODAY())+COUNTIFS(F564,"&gt;=36526",F564,"&lt;"&amp;TODAY())&gt;0),1,0)</x:f>
        <x:v>0</x:v>
      </x:c>
      <x:c r="P564" t="n">
        <x:f>P563+IF(AND(A564&lt;&gt;"",COUNTIFS(C564,"&gt;=36526",C564,TODAY())+COUNTIFS(D564,"&gt;=36526",D564,TODAY())+COUNTIFS(E564,"&gt;=36526",E564,TODAY())+COUNTIFS(F564,"&gt;=36526",F564,TODAY())&gt;0),1,0)</x:f>
        <x:v>0</x:v>
      </x:c>
      <x:c r="Q564" t="n">
        <x:f>Q563+IF(AND(A564&lt;&gt;"",COUNTIFS(C564,"&gt;"&amp;TODAY(),C564,"&lt;="&amp;TODAY()+30)+COUNTIFS(D564,"&gt;"&amp;TODAY(),D564,"&lt;="&amp;TODAY()+30)+COUNTIFS(E564,"&gt;"&amp;TODAY(),E564,"&lt;="&amp;TODAY()+30)+COUNTIFS(F564,"&gt;"&amp;TODAY(),F564,"&lt;="&amp;TODAY()+30)&gt;0),1,0)</x:f>
        <x:v>0</x:v>
      </x:c>
      <x:c r="R564" t="n">
        <x:f>R563+IF(OR(LEFT(H564,15)="Missing dates; ",LEFT(H564,16)="Add N/A reason; ",H564="Add dates",H564="Add registration",H564="Check date format"),1,0)</x:f>
        <x:v>0</x:v>
      </x:c>
      <x:c r="S564" t="n">
        <x:f>S563+IF(COUNTIFS(C564:F564,"Reviewed N/A")&gt;0,1,0)</x:f>
        <x:v>0</x:v>
      </x:c>
    </x:row>
    <x:row r="565" ht="48" customHeight="1">
      <x:c r="A565" s="52"/>
      <x:c r="B565" s="52"/>
      <x:c r="C565" s="53"/>
      <x:c r="D565" s="53"/>
      <x:c r="E565" s="53"/>
      <x:c r="F565" s="53"/>
      <x:c r="G565" s="52"/>
      <x:c r="H565" s="21" t="str">
        <x:f>IF(COUNTA(A565:G565,I565)=0,"",IF(A565="","Add registration",IF(OR(COUNTA(C565:F565)&gt;COUNT(C565:F565)+COUNTIFS(C565:F565,"Reviewed N/A"),AND(COUNT(C565:F565)&gt;0,OR(MIN(C565:F565)&lt;36526,MAX(C565:F565)&gt;109574))),"Check date format",IF(AND(COUNTIFS(C565:F565,"Reviewed N/A")&gt;0,I565=""),"Add N/A reason; ","")&amp;IF(COUNT(C565:F565)=0,IF(COUNTIFS(C565:F565,"Reviewed N/A")=4,"No applicable dates recorded","Add dates"),IF(COUNT(C565:F565)+COUNTIFS(C565:F565,"Reviewed N/A")&lt;4,"Missing dates; ","")&amp;IF(MIN(C565:F565)&lt;TODAY(),"Overdue: ",IF(MIN(C565:F565)=TODAY(),"Due today: ",IF(MIN(C565:F565)&lt;=TODAY()+30,"Due within 30 days: ","Next: ")))&amp;INDEX($C$8:$F$8,1,MATCH(MIN(C565:F565),C565:F565,0))&amp;" "&amp;TEXT(MIN(C565:F565),"dd mmm yyyy")))))</x:f>
      </x:c>
      <x:c r="I565" s="52"/>
      <x:c r="J565" t="str">
        <x:f>IF(AND(A565&lt;&gt;"",COUNTIFS(C565,"&gt;=36526",C565,"&lt;"&amp;TODAY())+COUNTIFS(D565,"&gt;=36526",D565,"&lt;"&amp;TODAY())+COUNTIFS(E565,"&gt;=36526",E565,"&lt;"&amp;TODAY())+COUNTIFS(F565,"&gt;=36526",F565,"&lt;"&amp;TODAY())&gt;0),O565,"")</x:f>
      </x:c>
      <x:c r="K565" t="str">
        <x:f>IF(AND(A565&lt;&gt;"",COUNTIFS(C565,"&gt;=36526",C565,TODAY())+COUNTIFS(D565,"&gt;=36526",D565,TODAY())+COUNTIFS(E565,"&gt;=36526",E565,TODAY())+COUNTIFS(F565,"&gt;=36526",F565,TODAY())&gt;0),P565,"")</x:f>
      </x:c>
      <x:c r="L565" t="str">
        <x:f>IF(AND(A565&lt;&gt;"",COUNTIFS(C565,"&gt;"&amp;TODAY(),C565,"&lt;="&amp;TODAY()+30)+COUNTIFS(D565,"&gt;"&amp;TODAY(),D565,"&lt;="&amp;TODAY()+30)+COUNTIFS(E565,"&gt;"&amp;TODAY(),E565,"&lt;="&amp;TODAY()+30)+COUNTIFS(F565,"&gt;"&amp;TODAY(),F565,"&lt;="&amp;TODAY()+30)&gt;0),Q565,"")</x:f>
      </x:c>
      <x:c r="M565" t="str">
        <x:f>IF(OR(LEFT(H565,15)="Missing dates; ",LEFT(H565,16)="Add N/A reason; ",H565="Add dates",H565="Add registration",H565="Check date format"),R565,"")</x:f>
      </x:c>
      <x:c r="N565" t="str">
        <x:f>IF(COUNTIFS(C565:F565,"Reviewed N/A")&gt;0,S565,"")</x:f>
      </x:c>
      <x:c r="O565" t="n">
        <x:f>O564+IF(AND(A565&lt;&gt;"",COUNTIFS(C565,"&gt;=36526",C565,"&lt;"&amp;TODAY())+COUNTIFS(D565,"&gt;=36526",D565,"&lt;"&amp;TODAY())+COUNTIFS(E565,"&gt;=36526",E565,"&lt;"&amp;TODAY())+COUNTIFS(F565,"&gt;=36526",F565,"&lt;"&amp;TODAY())&gt;0),1,0)</x:f>
        <x:v>0</x:v>
      </x:c>
      <x:c r="P565" t="n">
        <x:f>P564+IF(AND(A565&lt;&gt;"",COUNTIFS(C565,"&gt;=36526",C565,TODAY())+COUNTIFS(D565,"&gt;=36526",D565,TODAY())+COUNTIFS(E565,"&gt;=36526",E565,TODAY())+COUNTIFS(F565,"&gt;=36526",F565,TODAY())&gt;0),1,0)</x:f>
        <x:v>0</x:v>
      </x:c>
      <x:c r="Q565" t="n">
        <x:f>Q564+IF(AND(A565&lt;&gt;"",COUNTIFS(C565,"&gt;"&amp;TODAY(),C565,"&lt;="&amp;TODAY()+30)+COUNTIFS(D565,"&gt;"&amp;TODAY(),D565,"&lt;="&amp;TODAY()+30)+COUNTIFS(E565,"&gt;"&amp;TODAY(),E565,"&lt;="&amp;TODAY()+30)+COUNTIFS(F565,"&gt;"&amp;TODAY(),F565,"&lt;="&amp;TODAY()+30)&gt;0),1,0)</x:f>
        <x:v>0</x:v>
      </x:c>
      <x:c r="R565" t="n">
        <x:f>R564+IF(OR(LEFT(H565,15)="Missing dates; ",LEFT(H565,16)="Add N/A reason; ",H565="Add dates",H565="Add registration",H565="Check date format"),1,0)</x:f>
        <x:v>0</x:v>
      </x:c>
      <x:c r="S565" t="n">
        <x:f>S564+IF(COUNTIFS(C565:F565,"Reviewed N/A")&gt;0,1,0)</x:f>
        <x:v>0</x:v>
      </x:c>
    </x:row>
    <x:row r="566" ht="48" customHeight="1">
      <x:c r="A566" s="52"/>
      <x:c r="B566" s="52"/>
      <x:c r="C566" s="53"/>
      <x:c r="D566" s="53"/>
      <x:c r="E566" s="53"/>
      <x:c r="F566" s="53"/>
      <x:c r="G566" s="52"/>
      <x:c r="H566" s="21" t="str">
        <x:f>IF(COUNTA(A566:G566,I566)=0,"",IF(A566="","Add registration",IF(OR(COUNTA(C566:F566)&gt;COUNT(C566:F566)+COUNTIFS(C566:F566,"Reviewed N/A"),AND(COUNT(C566:F566)&gt;0,OR(MIN(C566:F566)&lt;36526,MAX(C566:F566)&gt;109574))),"Check date format",IF(AND(COUNTIFS(C566:F566,"Reviewed N/A")&gt;0,I566=""),"Add N/A reason; ","")&amp;IF(COUNT(C566:F566)=0,IF(COUNTIFS(C566:F566,"Reviewed N/A")=4,"No applicable dates recorded","Add dates"),IF(COUNT(C566:F566)+COUNTIFS(C566:F566,"Reviewed N/A")&lt;4,"Missing dates; ","")&amp;IF(MIN(C566:F566)&lt;TODAY(),"Overdue: ",IF(MIN(C566:F566)=TODAY(),"Due today: ",IF(MIN(C566:F566)&lt;=TODAY()+30,"Due within 30 days: ","Next: ")))&amp;INDEX($C$8:$F$8,1,MATCH(MIN(C566:F566),C566:F566,0))&amp;" "&amp;TEXT(MIN(C566:F566),"dd mmm yyyy")))))</x:f>
      </x:c>
      <x:c r="I566" s="52"/>
      <x:c r="J566" t="str">
        <x:f>IF(AND(A566&lt;&gt;"",COUNTIFS(C566,"&gt;=36526",C566,"&lt;"&amp;TODAY())+COUNTIFS(D566,"&gt;=36526",D566,"&lt;"&amp;TODAY())+COUNTIFS(E566,"&gt;=36526",E566,"&lt;"&amp;TODAY())+COUNTIFS(F566,"&gt;=36526",F566,"&lt;"&amp;TODAY())&gt;0),O566,"")</x:f>
      </x:c>
      <x:c r="K566" t="str">
        <x:f>IF(AND(A566&lt;&gt;"",COUNTIFS(C566,"&gt;=36526",C566,TODAY())+COUNTIFS(D566,"&gt;=36526",D566,TODAY())+COUNTIFS(E566,"&gt;=36526",E566,TODAY())+COUNTIFS(F566,"&gt;=36526",F566,TODAY())&gt;0),P566,"")</x:f>
      </x:c>
      <x:c r="L566" t="str">
        <x:f>IF(AND(A566&lt;&gt;"",COUNTIFS(C566,"&gt;"&amp;TODAY(),C566,"&lt;="&amp;TODAY()+30)+COUNTIFS(D566,"&gt;"&amp;TODAY(),D566,"&lt;="&amp;TODAY()+30)+COUNTIFS(E566,"&gt;"&amp;TODAY(),E566,"&lt;="&amp;TODAY()+30)+COUNTIFS(F566,"&gt;"&amp;TODAY(),F566,"&lt;="&amp;TODAY()+30)&gt;0),Q566,"")</x:f>
      </x:c>
      <x:c r="M566" t="str">
        <x:f>IF(OR(LEFT(H566,15)="Missing dates; ",LEFT(H566,16)="Add N/A reason; ",H566="Add dates",H566="Add registration",H566="Check date format"),R566,"")</x:f>
      </x:c>
      <x:c r="N566" t="str">
        <x:f>IF(COUNTIFS(C566:F566,"Reviewed N/A")&gt;0,S566,"")</x:f>
      </x:c>
      <x:c r="O566" t="n">
        <x:f>O565+IF(AND(A566&lt;&gt;"",COUNTIFS(C566,"&gt;=36526",C566,"&lt;"&amp;TODAY())+COUNTIFS(D566,"&gt;=36526",D566,"&lt;"&amp;TODAY())+COUNTIFS(E566,"&gt;=36526",E566,"&lt;"&amp;TODAY())+COUNTIFS(F566,"&gt;=36526",F566,"&lt;"&amp;TODAY())&gt;0),1,0)</x:f>
        <x:v>0</x:v>
      </x:c>
      <x:c r="P566" t="n">
        <x:f>P565+IF(AND(A566&lt;&gt;"",COUNTIFS(C566,"&gt;=36526",C566,TODAY())+COUNTIFS(D566,"&gt;=36526",D566,TODAY())+COUNTIFS(E566,"&gt;=36526",E566,TODAY())+COUNTIFS(F566,"&gt;=36526",F566,TODAY())&gt;0),1,0)</x:f>
        <x:v>0</x:v>
      </x:c>
      <x:c r="Q566" t="n">
        <x:f>Q565+IF(AND(A566&lt;&gt;"",COUNTIFS(C566,"&gt;"&amp;TODAY(),C566,"&lt;="&amp;TODAY()+30)+COUNTIFS(D566,"&gt;"&amp;TODAY(),D566,"&lt;="&amp;TODAY()+30)+COUNTIFS(E566,"&gt;"&amp;TODAY(),E566,"&lt;="&amp;TODAY()+30)+COUNTIFS(F566,"&gt;"&amp;TODAY(),F566,"&lt;="&amp;TODAY()+30)&gt;0),1,0)</x:f>
        <x:v>0</x:v>
      </x:c>
      <x:c r="R566" t="n">
        <x:f>R565+IF(OR(LEFT(H566,15)="Missing dates; ",LEFT(H566,16)="Add N/A reason; ",H566="Add dates",H566="Add registration",H566="Check date format"),1,0)</x:f>
        <x:v>0</x:v>
      </x:c>
      <x:c r="S566" t="n">
        <x:f>S565+IF(COUNTIFS(C566:F566,"Reviewed N/A")&gt;0,1,0)</x:f>
        <x:v>0</x:v>
      </x:c>
    </x:row>
    <x:row r="567" ht="48" customHeight="1">
      <x:c r="A567" s="52"/>
      <x:c r="B567" s="52"/>
      <x:c r="C567" s="53"/>
      <x:c r="D567" s="53"/>
      <x:c r="E567" s="53"/>
      <x:c r="F567" s="53"/>
      <x:c r="G567" s="52"/>
      <x:c r="H567" s="21" t="str">
        <x:f>IF(COUNTA(A567:G567,I567)=0,"",IF(A567="","Add registration",IF(OR(COUNTA(C567:F567)&gt;COUNT(C567:F567)+COUNTIFS(C567:F567,"Reviewed N/A"),AND(COUNT(C567:F567)&gt;0,OR(MIN(C567:F567)&lt;36526,MAX(C567:F567)&gt;109574))),"Check date format",IF(AND(COUNTIFS(C567:F567,"Reviewed N/A")&gt;0,I567=""),"Add N/A reason; ","")&amp;IF(COUNT(C567:F567)=0,IF(COUNTIFS(C567:F567,"Reviewed N/A")=4,"No applicable dates recorded","Add dates"),IF(COUNT(C567:F567)+COUNTIFS(C567:F567,"Reviewed N/A")&lt;4,"Missing dates; ","")&amp;IF(MIN(C567:F567)&lt;TODAY(),"Overdue: ",IF(MIN(C567:F567)=TODAY(),"Due today: ",IF(MIN(C567:F567)&lt;=TODAY()+30,"Due within 30 days: ","Next: ")))&amp;INDEX($C$8:$F$8,1,MATCH(MIN(C567:F567),C567:F567,0))&amp;" "&amp;TEXT(MIN(C567:F567),"dd mmm yyyy")))))</x:f>
      </x:c>
      <x:c r="I567" s="52"/>
      <x:c r="J567" t="str">
        <x:f>IF(AND(A567&lt;&gt;"",COUNTIFS(C567,"&gt;=36526",C567,"&lt;"&amp;TODAY())+COUNTIFS(D567,"&gt;=36526",D567,"&lt;"&amp;TODAY())+COUNTIFS(E567,"&gt;=36526",E567,"&lt;"&amp;TODAY())+COUNTIFS(F567,"&gt;=36526",F567,"&lt;"&amp;TODAY())&gt;0),O567,"")</x:f>
      </x:c>
      <x:c r="K567" t="str">
        <x:f>IF(AND(A567&lt;&gt;"",COUNTIFS(C567,"&gt;=36526",C567,TODAY())+COUNTIFS(D567,"&gt;=36526",D567,TODAY())+COUNTIFS(E567,"&gt;=36526",E567,TODAY())+COUNTIFS(F567,"&gt;=36526",F567,TODAY())&gt;0),P567,"")</x:f>
      </x:c>
      <x:c r="L567" t="str">
        <x:f>IF(AND(A567&lt;&gt;"",COUNTIFS(C567,"&gt;"&amp;TODAY(),C567,"&lt;="&amp;TODAY()+30)+COUNTIFS(D567,"&gt;"&amp;TODAY(),D567,"&lt;="&amp;TODAY()+30)+COUNTIFS(E567,"&gt;"&amp;TODAY(),E567,"&lt;="&amp;TODAY()+30)+COUNTIFS(F567,"&gt;"&amp;TODAY(),F567,"&lt;="&amp;TODAY()+30)&gt;0),Q567,"")</x:f>
      </x:c>
      <x:c r="M567" t="str">
        <x:f>IF(OR(LEFT(H567,15)="Missing dates; ",LEFT(H567,16)="Add N/A reason; ",H567="Add dates",H567="Add registration",H567="Check date format"),R567,"")</x:f>
      </x:c>
      <x:c r="N567" t="str">
        <x:f>IF(COUNTIFS(C567:F567,"Reviewed N/A")&gt;0,S567,"")</x:f>
      </x:c>
      <x:c r="O567" t="n">
        <x:f>O566+IF(AND(A567&lt;&gt;"",COUNTIFS(C567,"&gt;=36526",C567,"&lt;"&amp;TODAY())+COUNTIFS(D567,"&gt;=36526",D567,"&lt;"&amp;TODAY())+COUNTIFS(E567,"&gt;=36526",E567,"&lt;"&amp;TODAY())+COUNTIFS(F567,"&gt;=36526",F567,"&lt;"&amp;TODAY())&gt;0),1,0)</x:f>
        <x:v>0</x:v>
      </x:c>
      <x:c r="P567" t="n">
        <x:f>P566+IF(AND(A567&lt;&gt;"",COUNTIFS(C567,"&gt;=36526",C567,TODAY())+COUNTIFS(D567,"&gt;=36526",D567,TODAY())+COUNTIFS(E567,"&gt;=36526",E567,TODAY())+COUNTIFS(F567,"&gt;=36526",F567,TODAY())&gt;0),1,0)</x:f>
        <x:v>0</x:v>
      </x:c>
      <x:c r="Q567" t="n">
        <x:f>Q566+IF(AND(A567&lt;&gt;"",COUNTIFS(C567,"&gt;"&amp;TODAY(),C567,"&lt;="&amp;TODAY()+30)+COUNTIFS(D567,"&gt;"&amp;TODAY(),D567,"&lt;="&amp;TODAY()+30)+COUNTIFS(E567,"&gt;"&amp;TODAY(),E567,"&lt;="&amp;TODAY()+30)+COUNTIFS(F567,"&gt;"&amp;TODAY(),F567,"&lt;="&amp;TODAY()+30)&gt;0),1,0)</x:f>
        <x:v>0</x:v>
      </x:c>
      <x:c r="R567" t="n">
        <x:f>R566+IF(OR(LEFT(H567,15)="Missing dates; ",LEFT(H567,16)="Add N/A reason; ",H567="Add dates",H567="Add registration",H567="Check date format"),1,0)</x:f>
        <x:v>0</x:v>
      </x:c>
      <x:c r="S567" t="n">
        <x:f>S566+IF(COUNTIFS(C567:F567,"Reviewed N/A")&gt;0,1,0)</x:f>
        <x:v>0</x:v>
      </x:c>
    </x:row>
    <x:row r="568" ht="48" customHeight="1">
      <x:c r="A568" s="52"/>
      <x:c r="B568" s="52"/>
      <x:c r="C568" s="53"/>
      <x:c r="D568" s="53"/>
      <x:c r="E568" s="53"/>
      <x:c r="F568" s="53"/>
      <x:c r="G568" s="52"/>
      <x:c r="H568" s="21" t="str">
        <x:f>IF(COUNTA(A568:G568,I568)=0,"",IF(A568="","Add registration",IF(OR(COUNTA(C568:F568)&gt;COUNT(C568:F568)+COUNTIFS(C568:F568,"Reviewed N/A"),AND(COUNT(C568:F568)&gt;0,OR(MIN(C568:F568)&lt;36526,MAX(C568:F568)&gt;109574))),"Check date format",IF(AND(COUNTIFS(C568:F568,"Reviewed N/A")&gt;0,I568=""),"Add N/A reason; ","")&amp;IF(COUNT(C568:F568)=0,IF(COUNTIFS(C568:F568,"Reviewed N/A")=4,"No applicable dates recorded","Add dates"),IF(COUNT(C568:F568)+COUNTIFS(C568:F568,"Reviewed N/A")&lt;4,"Missing dates; ","")&amp;IF(MIN(C568:F568)&lt;TODAY(),"Overdue: ",IF(MIN(C568:F568)=TODAY(),"Due today: ",IF(MIN(C568:F568)&lt;=TODAY()+30,"Due within 30 days: ","Next: ")))&amp;INDEX($C$8:$F$8,1,MATCH(MIN(C568:F568),C568:F568,0))&amp;" "&amp;TEXT(MIN(C568:F568),"dd mmm yyyy")))))</x:f>
      </x:c>
      <x:c r="I568" s="52"/>
      <x:c r="J568" t="str">
        <x:f>IF(AND(A568&lt;&gt;"",COUNTIFS(C568,"&gt;=36526",C568,"&lt;"&amp;TODAY())+COUNTIFS(D568,"&gt;=36526",D568,"&lt;"&amp;TODAY())+COUNTIFS(E568,"&gt;=36526",E568,"&lt;"&amp;TODAY())+COUNTIFS(F568,"&gt;=36526",F568,"&lt;"&amp;TODAY())&gt;0),O568,"")</x:f>
      </x:c>
      <x:c r="K568" t="str">
        <x:f>IF(AND(A568&lt;&gt;"",COUNTIFS(C568,"&gt;=36526",C568,TODAY())+COUNTIFS(D568,"&gt;=36526",D568,TODAY())+COUNTIFS(E568,"&gt;=36526",E568,TODAY())+COUNTIFS(F568,"&gt;=36526",F568,TODAY())&gt;0),P568,"")</x:f>
      </x:c>
      <x:c r="L568" t="str">
        <x:f>IF(AND(A568&lt;&gt;"",COUNTIFS(C568,"&gt;"&amp;TODAY(),C568,"&lt;="&amp;TODAY()+30)+COUNTIFS(D568,"&gt;"&amp;TODAY(),D568,"&lt;="&amp;TODAY()+30)+COUNTIFS(E568,"&gt;"&amp;TODAY(),E568,"&lt;="&amp;TODAY()+30)+COUNTIFS(F568,"&gt;"&amp;TODAY(),F568,"&lt;="&amp;TODAY()+30)&gt;0),Q568,"")</x:f>
      </x:c>
      <x:c r="M568" t="str">
        <x:f>IF(OR(LEFT(H568,15)="Missing dates; ",LEFT(H568,16)="Add N/A reason; ",H568="Add dates",H568="Add registration",H568="Check date format"),R568,"")</x:f>
      </x:c>
      <x:c r="N568" t="str">
        <x:f>IF(COUNTIFS(C568:F568,"Reviewed N/A")&gt;0,S568,"")</x:f>
      </x:c>
      <x:c r="O568" t="n">
        <x:f>O567+IF(AND(A568&lt;&gt;"",COUNTIFS(C568,"&gt;=36526",C568,"&lt;"&amp;TODAY())+COUNTIFS(D568,"&gt;=36526",D568,"&lt;"&amp;TODAY())+COUNTIFS(E568,"&gt;=36526",E568,"&lt;"&amp;TODAY())+COUNTIFS(F568,"&gt;=36526",F568,"&lt;"&amp;TODAY())&gt;0),1,0)</x:f>
        <x:v>0</x:v>
      </x:c>
      <x:c r="P568" t="n">
        <x:f>P567+IF(AND(A568&lt;&gt;"",COUNTIFS(C568,"&gt;=36526",C568,TODAY())+COUNTIFS(D568,"&gt;=36526",D568,TODAY())+COUNTIFS(E568,"&gt;=36526",E568,TODAY())+COUNTIFS(F568,"&gt;=36526",F568,TODAY())&gt;0),1,0)</x:f>
        <x:v>0</x:v>
      </x:c>
      <x:c r="Q568" t="n">
        <x:f>Q567+IF(AND(A568&lt;&gt;"",COUNTIFS(C568,"&gt;"&amp;TODAY(),C568,"&lt;="&amp;TODAY()+30)+COUNTIFS(D568,"&gt;"&amp;TODAY(),D568,"&lt;="&amp;TODAY()+30)+COUNTIFS(E568,"&gt;"&amp;TODAY(),E568,"&lt;="&amp;TODAY()+30)+COUNTIFS(F568,"&gt;"&amp;TODAY(),F568,"&lt;="&amp;TODAY()+30)&gt;0),1,0)</x:f>
        <x:v>0</x:v>
      </x:c>
      <x:c r="R568" t="n">
        <x:f>R567+IF(OR(LEFT(H568,15)="Missing dates; ",LEFT(H568,16)="Add N/A reason; ",H568="Add dates",H568="Add registration",H568="Check date format"),1,0)</x:f>
        <x:v>0</x:v>
      </x:c>
      <x:c r="S568" t="n">
        <x:f>S567+IF(COUNTIFS(C568:F568,"Reviewed N/A")&gt;0,1,0)</x:f>
        <x:v>0</x:v>
      </x:c>
    </x:row>
    <x:row r="569" ht="48" customHeight="1">
      <x:c r="A569" s="52"/>
      <x:c r="B569" s="52"/>
      <x:c r="C569" s="53"/>
      <x:c r="D569" s="53"/>
      <x:c r="E569" s="53"/>
      <x:c r="F569" s="53"/>
      <x:c r="G569" s="52"/>
      <x:c r="H569" s="21" t="str">
        <x:f>IF(COUNTA(A569:G569,I569)=0,"",IF(A569="","Add registration",IF(OR(COUNTA(C569:F569)&gt;COUNT(C569:F569)+COUNTIFS(C569:F569,"Reviewed N/A"),AND(COUNT(C569:F569)&gt;0,OR(MIN(C569:F569)&lt;36526,MAX(C569:F569)&gt;109574))),"Check date format",IF(AND(COUNTIFS(C569:F569,"Reviewed N/A")&gt;0,I569=""),"Add N/A reason; ","")&amp;IF(COUNT(C569:F569)=0,IF(COUNTIFS(C569:F569,"Reviewed N/A")=4,"No applicable dates recorded","Add dates"),IF(COUNT(C569:F569)+COUNTIFS(C569:F569,"Reviewed N/A")&lt;4,"Missing dates; ","")&amp;IF(MIN(C569:F569)&lt;TODAY(),"Overdue: ",IF(MIN(C569:F569)=TODAY(),"Due today: ",IF(MIN(C569:F569)&lt;=TODAY()+30,"Due within 30 days: ","Next: ")))&amp;INDEX($C$8:$F$8,1,MATCH(MIN(C569:F569),C569:F569,0))&amp;" "&amp;TEXT(MIN(C569:F569),"dd mmm yyyy")))))</x:f>
      </x:c>
      <x:c r="I569" s="52"/>
      <x:c r="J569" t="str">
        <x:f>IF(AND(A569&lt;&gt;"",COUNTIFS(C569,"&gt;=36526",C569,"&lt;"&amp;TODAY())+COUNTIFS(D569,"&gt;=36526",D569,"&lt;"&amp;TODAY())+COUNTIFS(E569,"&gt;=36526",E569,"&lt;"&amp;TODAY())+COUNTIFS(F569,"&gt;=36526",F569,"&lt;"&amp;TODAY())&gt;0),O569,"")</x:f>
      </x:c>
      <x:c r="K569" t="str">
        <x:f>IF(AND(A569&lt;&gt;"",COUNTIFS(C569,"&gt;=36526",C569,TODAY())+COUNTIFS(D569,"&gt;=36526",D569,TODAY())+COUNTIFS(E569,"&gt;=36526",E569,TODAY())+COUNTIFS(F569,"&gt;=36526",F569,TODAY())&gt;0),P569,"")</x:f>
      </x:c>
      <x:c r="L569" t="str">
        <x:f>IF(AND(A569&lt;&gt;"",COUNTIFS(C569,"&gt;"&amp;TODAY(),C569,"&lt;="&amp;TODAY()+30)+COUNTIFS(D569,"&gt;"&amp;TODAY(),D569,"&lt;="&amp;TODAY()+30)+COUNTIFS(E569,"&gt;"&amp;TODAY(),E569,"&lt;="&amp;TODAY()+30)+COUNTIFS(F569,"&gt;"&amp;TODAY(),F569,"&lt;="&amp;TODAY()+30)&gt;0),Q569,"")</x:f>
      </x:c>
      <x:c r="M569" t="str">
        <x:f>IF(OR(LEFT(H569,15)="Missing dates; ",LEFT(H569,16)="Add N/A reason; ",H569="Add dates",H569="Add registration",H569="Check date format"),R569,"")</x:f>
      </x:c>
      <x:c r="N569" t="str">
        <x:f>IF(COUNTIFS(C569:F569,"Reviewed N/A")&gt;0,S569,"")</x:f>
      </x:c>
      <x:c r="O569" t="n">
        <x:f>O568+IF(AND(A569&lt;&gt;"",COUNTIFS(C569,"&gt;=36526",C569,"&lt;"&amp;TODAY())+COUNTIFS(D569,"&gt;=36526",D569,"&lt;"&amp;TODAY())+COUNTIFS(E569,"&gt;=36526",E569,"&lt;"&amp;TODAY())+COUNTIFS(F569,"&gt;=36526",F569,"&lt;"&amp;TODAY())&gt;0),1,0)</x:f>
        <x:v>0</x:v>
      </x:c>
      <x:c r="P569" t="n">
        <x:f>P568+IF(AND(A569&lt;&gt;"",COUNTIFS(C569,"&gt;=36526",C569,TODAY())+COUNTIFS(D569,"&gt;=36526",D569,TODAY())+COUNTIFS(E569,"&gt;=36526",E569,TODAY())+COUNTIFS(F569,"&gt;=36526",F569,TODAY())&gt;0),1,0)</x:f>
        <x:v>0</x:v>
      </x:c>
      <x:c r="Q569" t="n">
        <x:f>Q568+IF(AND(A569&lt;&gt;"",COUNTIFS(C569,"&gt;"&amp;TODAY(),C569,"&lt;="&amp;TODAY()+30)+COUNTIFS(D569,"&gt;"&amp;TODAY(),D569,"&lt;="&amp;TODAY()+30)+COUNTIFS(E569,"&gt;"&amp;TODAY(),E569,"&lt;="&amp;TODAY()+30)+COUNTIFS(F569,"&gt;"&amp;TODAY(),F569,"&lt;="&amp;TODAY()+30)&gt;0),1,0)</x:f>
        <x:v>0</x:v>
      </x:c>
      <x:c r="R569" t="n">
        <x:f>R568+IF(OR(LEFT(H569,15)="Missing dates; ",LEFT(H569,16)="Add N/A reason; ",H569="Add dates",H569="Add registration",H569="Check date format"),1,0)</x:f>
        <x:v>0</x:v>
      </x:c>
      <x:c r="S569" t="n">
        <x:f>S568+IF(COUNTIFS(C569:F569,"Reviewed N/A")&gt;0,1,0)</x:f>
        <x:v>0</x:v>
      </x:c>
    </x:row>
    <x:row r="570" ht="48" customHeight="1">
      <x:c r="A570" s="52"/>
      <x:c r="B570" s="52"/>
      <x:c r="C570" s="53"/>
      <x:c r="D570" s="53"/>
      <x:c r="E570" s="53"/>
      <x:c r="F570" s="53"/>
      <x:c r="G570" s="52"/>
      <x:c r="H570" s="21" t="str">
        <x:f>IF(COUNTA(A570:G570,I570)=0,"",IF(A570="","Add registration",IF(OR(COUNTA(C570:F570)&gt;COUNT(C570:F570)+COUNTIFS(C570:F570,"Reviewed N/A"),AND(COUNT(C570:F570)&gt;0,OR(MIN(C570:F570)&lt;36526,MAX(C570:F570)&gt;109574))),"Check date format",IF(AND(COUNTIFS(C570:F570,"Reviewed N/A")&gt;0,I570=""),"Add N/A reason; ","")&amp;IF(COUNT(C570:F570)=0,IF(COUNTIFS(C570:F570,"Reviewed N/A")=4,"No applicable dates recorded","Add dates"),IF(COUNT(C570:F570)+COUNTIFS(C570:F570,"Reviewed N/A")&lt;4,"Missing dates; ","")&amp;IF(MIN(C570:F570)&lt;TODAY(),"Overdue: ",IF(MIN(C570:F570)=TODAY(),"Due today: ",IF(MIN(C570:F570)&lt;=TODAY()+30,"Due within 30 days: ","Next: ")))&amp;INDEX($C$8:$F$8,1,MATCH(MIN(C570:F570),C570:F570,0))&amp;" "&amp;TEXT(MIN(C570:F570),"dd mmm yyyy")))))</x:f>
      </x:c>
      <x:c r="I570" s="52"/>
      <x:c r="J570" t="str">
        <x:f>IF(AND(A570&lt;&gt;"",COUNTIFS(C570,"&gt;=36526",C570,"&lt;"&amp;TODAY())+COUNTIFS(D570,"&gt;=36526",D570,"&lt;"&amp;TODAY())+COUNTIFS(E570,"&gt;=36526",E570,"&lt;"&amp;TODAY())+COUNTIFS(F570,"&gt;=36526",F570,"&lt;"&amp;TODAY())&gt;0),O570,"")</x:f>
      </x:c>
      <x:c r="K570" t="str">
        <x:f>IF(AND(A570&lt;&gt;"",COUNTIFS(C570,"&gt;=36526",C570,TODAY())+COUNTIFS(D570,"&gt;=36526",D570,TODAY())+COUNTIFS(E570,"&gt;=36526",E570,TODAY())+COUNTIFS(F570,"&gt;=36526",F570,TODAY())&gt;0),P570,"")</x:f>
      </x:c>
      <x:c r="L570" t="str">
        <x:f>IF(AND(A570&lt;&gt;"",COUNTIFS(C570,"&gt;"&amp;TODAY(),C570,"&lt;="&amp;TODAY()+30)+COUNTIFS(D570,"&gt;"&amp;TODAY(),D570,"&lt;="&amp;TODAY()+30)+COUNTIFS(E570,"&gt;"&amp;TODAY(),E570,"&lt;="&amp;TODAY()+30)+COUNTIFS(F570,"&gt;"&amp;TODAY(),F570,"&lt;="&amp;TODAY()+30)&gt;0),Q570,"")</x:f>
      </x:c>
      <x:c r="M570" t="str">
        <x:f>IF(OR(LEFT(H570,15)="Missing dates; ",LEFT(H570,16)="Add N/A reason; ",H570="Add dates",H570="Add registration",H570="Check date format"),R570,"")</x:f>
      </x:c>
      <x:c r="N570" t="str">
        <x:f>IF(COUNTIFS(C570:F570,"Reviewed N/A")&gt;0,S570,"")</x:f>
      </x:c>
      <x:c r="O570" t="n">
        <x:f>O569+IF(AND(A570&lt;&gt;"",COUNTIFS(C570,"&gt;=36526",C570,"&lt;"&amp;TODAY())+COUNTIFS(D570,"&gt;=36526",D570,"&lt;"&amp;TODAY())+COUNTIFS(E570,"&gt;=36526",E570,"&lt;"&amp;TODAY())+COUNTIFS(F570,"&gt;=36526",F570,"&lt;"&amp;TODAY())&gt;0),1,0)</x:f>
        <x:v>0</x:v>
      </x:c>
      <x:c r="P570" t="n">
        <x:f>P569+IF(AND(A570&lt;&gt;"",COUNTIFS(C570,"&gt;=36526",C570,TODAY())+COUNTIFS(D570,"&gt;=36526",D570,TODAY())+COUNTIFS(E570,"&gt;=36526",E570,TODAY())+COUNTIFS(F570,"&gt;=36526",F570,TODAY())&gt;0),1,0)</x:f>
        <x:v>0</x:v>
      </x:c>
      <x:c r="Q570" t="n">
        <x:f>Q569+IF(AND(A570&lt;&gt;"",COUNTIFS(C570,"&gt;"&amp;TODAY(),C570,"&lt;="&amp;TODAY()+30)+COUNTIFS(D570,"&gt;"&amp;TODAY(),D570,"&lt;="&amp;TODAY()+30)+COUNTIFS(E570,"&gt;"&amp;TODAY(),E570,"&lt;="&amp;TODAY()+30)+COUNTIFS(F570,"&gt;"&amp;TODAY(),F570,"&lt;="&amp;TODAY()+30)&gt;0),1,0)</x:f>
        <x:v>0</x:v>
      </x:c>
      <x:c r="R570" t="n">
        <x:f>R569+IF(OR(LEFT(H570,15)="Missing dates; ",LEFT(H570,16)="Add N/A reason; ",H570="Add dates",H570="Add registration",H570="Check date format"),1,0)</x:f>
        <x:v>0</x:v>
      </x:c>
      <x:c r="S570" t="n">
        <x:f>S569+IF(COUNTIFS(C570:F570,"Reviewed N/A")&gt;0,1,0)</x:f>
        <x:v>0</x:v>
      </x:c>
    </x:row>
    <x:row r="571" ht="48" customHeight="1">
      <x:c r="A571" s="52"/>
      <x:c r="B571" s="52"/>
      <x:c r="C571" s="53"/>
      <x:c r="D571" s="53"/>
      <x:c r="E571" s="53"/>
      <x:c r="F571" s="53"/>
      <x:c r="G571" s="52"/>
      <x:c r="H571" s="21" t="str">
        <x:f>IF(COUNTA(A571:G571,I571)=0,"",IF(A571="","Add registration",IF(OR(COUNTA(C571:F571)&gt;COUNT(C571:F571)+COUNTIFS(C571:F571,"Reviewed N/A"),AND(COUNT(C571:F571)&gt;0,OR(MIN(C571:F571)&lt;36526,MAX(C571:F571)&gt;109574))),"Check date format",IF(AND(COUNTIFS(C571:F571,"Reviewed N/A")&gt;0,I571=""),"Add N/A reason; ","")&amp;IF(COUNT(C571:F571)=0,IF(COUNTIFS(C571:F571,"Reviewed N/A")=4,"No applicable dates recorded","Add dates"),IF(COUNT(C571:F571)+COUNTIFS(C571:F571,"Reviewed N/A")&lt;4,"Missing dates; ","")&amp;IF(MIN(C571:F571)&lt;TODAY(),"Overdue: ",IF(MIN(C571:F571)=TODAY(),"Due today: ",IF(MIN(C571:F571)&lt;=TODAY()+30,"Due within 30 days: ","Next: ")))&amp;INDEX($C$8:$F$8,1,MATCH(MIN(C571:F571),C571:F571,0))&amp;" "&amp;TEXT(MIN(C571:F571),"dd mmm yyyy")))))</x:f>
      </x:c>
      <x:c r="I571" s="52"/>
      <x:c r="J571" t="str">
        <x:f>IF(AND(A571&lt;&gt;"",COUNTIFS(C571,"&gt;=36526",C571,"&lt;"&amp;TODAY())+COUNTIFS(D571,"&gt;=36526",D571,"&lt;"&amp;TODAY())+COUNTIFS(E571,"&gt;=36526",E571,"&lt;"&amp;TODAY())+COUNTIFS(F571,"&gt;=36526",F571,"&lt;"&amp;TODAY())&gt;0),O571,"")</x:f>
      </x:c>
      <x:c r="K571" t="str">
        <x:f>IF(AND(A571&lt;&gt;"",COUNTIFS(C571,"&gt;=36526",C571,TODAY())+COUNTIFS(D571,"&gt;=36526",D571,TODAY())+COUNTIFS(E571,"&gt;=36526",E571,TODAY())+COUNTIFS(F571,"&gt;=36526",F571,TODAY())&gt;0),P571,"")</x:f>
      </x:c>
      <x:c r="L571" t="str">
        <x:f>IF(AND(A571&lt;&gt;"",COUNTIFS(C571,"&gt;"&amp;TODAY(),C571,"&lt;="&amp;TODAY()+30)+COUNTIFS(D571,"&gt;"&amp;TODAY(),D571,"&lt;="&amp;TODAY()+30)+COUNTIFS(E571,"&gt;"&amp;TODAY(),E571,"&lt;="&amp;TODAY()+30)+COUNTIFS(F571,"&gt;"&amp;TODAY(),F571,"&lt;="&amp;TODAY()+30)&gt;0),Q571,"")</x:f>
      </x:c>
      <x:c r="M571" t="str">
        <x:f>IF(OR(LEFT(H571,15)="Missing dates; ",LEFT(H571,16)="Add N/A reason; ",H571="Add dates",H571="Add registration",H571="Check date format"),R571,"")</x:f>
      </x:c>
      <x:c r="N571" t="str">
        <x:f>IF(COUNTIFS(C571:F571,"Reviewed N/A")&gt;0,S571,"")</x:f>
      </x:c>
      <x:c r="O571" t="n">
        <x:f>O570+IF(AND(A571&lt;&gt;"",COUNTIFS(C571,"&gt;=36526",C571,"&lt;"&amp;TODAY())+COUNTIFS(D571,"&gt;=36526",D571,"&lt;"&amp;TODAY())+COUNTIFS(E571,"&gt;=36526",E571,"&lt;"&amp;TODAY())+COUNTIFS(F571,"&gt;=36526",F571,"&lt;"&amp;TODAY())&gt;0),1,0)</x:f>
        <x:v>0</x:v>
      </x:c>
      <x:c r="P571" t="n">
        <x:f>P570+IF(AND(A571&lt;&gt;"",COUNTIFS(C571,"&gt;=36526",C571,TODAY())+COUNTIFS(D571,"&gt;=36526",D571,TODAY())+COUNTIFS(E571,"&gt;=36526",E571,TODAY())+COUNTIFS(F571,"&gt;=36526",F571,TODAY())&gt;0),1,0)</x:f>
        <x:v>0</x:v>
      </x:c>
      <x:c r="Q571" t="n">
        <x:f>Q570+IF(AND(A571&lt;&gt;"",COUNTIFS(C571,"&gt;"&amp;TODAY(),C571,"&lt;="&amp;TODAY()+30)+COUNTIFS(D571,"&gt;"&amp;TODAY(),D571,"&lt;="&amp;TODAY()+30)+COUNTIFS(E571,"&gt;"&amp;TODAY(),E571,"&lt;="&amp;TODAY()+30)+COUNTIFS(F571,"&gt;"&amp;TODAY(),F571,"&lt;="&amp;TODAY()+30)&gt;0),1,0)</x:f>
        <x:v>0</x:v>
      </x:c>
      <x:c r="R571" t="n">
        <x:f>R570+IF(OR(LEFT(H571,15)="Missing dates; ",LEFT(H571,16)="Add N/A reason; ",H571="Add dates",H571="Add registration",H571="Check date format"),1,0)</x:f>
        <x:v>0</x:v>
      </x:c>
      <x:c r="S571" t="n">
        <x:f>S570+IF(COUNTIFS(C571:F571,"Reviewed N/A")&gt;0,1,0)</x:f>
        <x:v>0</x:v>
      </x:c>
    </x:row>
    <x:row r="572" ht="48" customHeight="1">
      <x:c r="A572" s="52"/>
      <x:c r="B572" s="52"/>
      <x:c r="C572" s="53"/>
      <x:c r="D572" s="53"/>
      <x:c r="E572" s="53"/>
      <x:c r="F572" s="53"/>
      <x:c r="G572" s="52"/>
      <x:c r="H572" s="21" t="str">
        <x:f>IF(COUNTA(A572:G572,I572)=0,"",IF(A572="","Add registration",IF(OR(COUNTA(C572:F572)&gt;COUNT(C572:F572)+COUNTIFS(C572:F572,"Reviewed N/A"),AND(COUNT(C572:F572)&gt;0,OR(MIN(C572:F572)&lt;36526,MAX(C572:F572)&gt;109574))),"Check date format",IF(AND(COUNTIFS(C572:F572,"Reviewed N/A")&gt;0,I572=""),"Add N/A reason; ","")&amp;IF(COUNT(C572:F572)=0,IF(COUNTIFS(C572:F572,"Reviewed N/A")=4,"No applicable dates recorded","Add dates"),IF(COUNT(C572:F572)+COUNTIFS(C572:F572,"Reviewed N/A")&lt;4,"Missing dates; ","")&amp;IF(MIN(C572:F572)&lt;TODAY(),"Overdue: ",IF(MIN(C572:F572)=TODAY(),"Due today: ",IF(MIN(C572:F572)&lt;=TODAY()+30,"Due within 30 days: ","Next: ")))&amp;INDEX($C$8:$F$8,1,MATCH(MIN(C572:F572),C572:F572,0))&amp;" "&amp;TEXT(MIN(C572:F572),"dd mmm yyyy")))))</x:f>
      </x:c>
      <x:c r="I572" s="52"/>
      <x:c r="J572" t="str">
        <x:f>IF(AND(A572&lt;&gt;"",COUNTIFS(C572,"&gt;=36526",C572,"&lt;"&amp;TODAY())+COUNTIFS(D572,"&gt;=36526",D572,"&lt;"&amp;TODAY())+COUNTIFS(E572,"&gt;=36526",E572,"&lt;"&amp;TODAY())+COUNTIFS(F572,"&gt;=36526",F572,"&lt;"&amp;TODAY())&gt;0),O572,"")</x:f>
      </x:c>
      <x:c r="K572" t="str">
        <x:f>IF(AND(A572&lt;&gt;"",COUNTIFS(C572,"&gt;=36526",C572,TODAY())+COUNTIFS(D572,"&gt;=36526",D572,TODAY())+COUNTIFS(E572,"&gt;=36526",E572,TODAY())+COUNTIFS(F572,"&gt;=36526",F572,TODAY())&gt;0),P572,"")</x:f>
      </x:c>
      <x:c r="L572" t="str">
        <x:f>IF(AND(A572&lt;&gt;"",COUNTIFS(C572,"&gt;"&amp;TODAY(),C572,"&lt;="&amp;TODAY()+30)+COUNTIFS(D572,"&gt;"&amp;TODAY(),D572,"&lt;="&amp;TODAY()+30)+COUNTIFS(E572,"&gt;"&amp;TODAY(),E572,"&lt;="&amp;TODAY()+30)+COUNTIFS(F572,"&gt;"&amp;TODAY(),F572,"&lt;="&amp;TODAY()+30)&gt;0),Q572,"")</x:f>
      </x:c>
      <x:c r="M572" t="str">
        <x:f>IF(OR(LEFT(H572,15)="Missing dates; ",LEFT(H572,16)="Add N/A reason; ",H572="Add dates",H572="Add registration",H572="Check date format"),R572,"")</x:f>
      </x:c>
      <x:c r="N572" t="str">
        <x:f>IF(COUNTIFS(C572:F572,"Reviewed N/A")&gt;0,S572,"")</x:f>
      </x:c>
      <x:c r="O572" t="n">
        <x:f>O571+IF(AND(A572&lt;&gt;"",COUNTIFS(C572,"&gt;=36526",C572,"&lt;"&amp;TODAY())+COUNTIFS(D572,"&gt;=36526",D572,"&lt;"&amp;TODAY())+COUNTIFS(E572,"&gt;=36526",E572,"&lt;"&amp;TODAY())+COUNTIFS(F572,"&gt;=36526",F572,"&lt;"&amp;TODAY())&gt;0),1,0)</x:f>
        <x:v>0</x:v>
      </x:c>
      <x:c r="P572" t="n">
        <x:f>P571+IF(AND(A572&lt;&gt;"",COUNTIFS(C572,"&gt;=36526",C572,TODAY())+COUNTIFS(D572,"&gt;=36526",D572,TODAY())+COUNTIFS(E572,"&gt;=36526",E572,TODAY())+COUNTIFS(F572,"&gt;=36526",F572,TODAY())&gt;0),1,0)</x:f>
        <x:v>0</x:v>
      </x:c>
      <x:c r="Q572" t="n">
        <x:f>Q571+IF(AND(A572&lt;&gt;"",COUNTIFS(C572,"&gt;"&amp;TODAY(),C572,"&lt;="&amp;TODAY()+30)+COUNTIFS(D572,"&gt;"&amp;TODAY(),D572,"&lt;="&amp;TODAY()+30)+COUNTIFS(E572,"&gt;"&amp;TODAY(),E572,"&lt;="&amp;TODAY()+30)+COUNTIFS(F572,"&gt;"&amp;TODAY(),F572,"&lt;="&amp;TODAY()+30)&gt;0),1,0)</x:f>
        <x:v>0</x:v>
      </x:c>
      <x:c r="R572" t="n">
        <x:f>R571+IF(OR(LEFT(H572,15)="Missing dates; ",LEFT(H572,16)="Add N/A reason; ",H572="Add dates",H572="Add registration",H572="Check date format"),1,0)</x:f>
        <x:v>0</x:v>
      </x:c>
      <x:c r="S572" t="n">
        <x:f>S571+IF(COUNTIFS(C572:F572,"Reviewed N/A")&gt;0,1,0)</x:f>
        <x:v>0</x:v>
      </x:c>
    </x:row>
    <x:row r="573" ht="48" customHeight="1">
      <x:c r="A573" s="52"/>
      <x:c r="B573" s="52"/>
      <x:c r="C573" s="53"/>
      <x:c r="D573" s="53"/>
      <x:c r="E573" s="53"/>
      <x:c r="F573" s="53"/>
      <x:c r="G573" s="52"/>
      <x:c r="H573" s="21" t="str">
        <x:f>IF(COUNTA(A573:G573,I573)=0,"",IF(A573="","Add registration",IF(OR(COUNTA(C573:F573)&gt;COUNT(C573:F573)+COUNTIFS(C573:F573,"Reviewed N/A"),AND(COUNT(C573:F573)&gt;0,OR(MIN(C573:F573)&lt;36526,MAX(C573:F573)&gt;109574))),"Check date format",IF(AND(COUNTIFS(C573:F573,"Reviewed N/A")&gt;0,I573=""),"Add N/A reason; ","")&amp;IF(COUNT(C573:F573)=0,IF(COUNTIFS(C573:F573,"Reviewed N/A")=4,"No applicable dates recorded","Add dates"),IF(COUNT(C573:F573)+COUNTIFS(C573:F573,"Reviewed N/A")&lt;4,"Missing dates; ","")&amp;IF(MIN(C573:F573)&lt;TODAY(),"Overdue: ",IF(MIN(C573:F573)=TODAY(),"Due today: ",IF(MIN(C573:F573)&lt;=TODAY()+30,"Due within 30 days: ","Next: ")))&amp;INDEX($C$8:$F$8,1,MATCH(MIN(C573:F573),C573:F573,0))&amp;" "&amp;TEXT(MIN(C573:F573),"dd mmm yyyy")))))</x:f>
      </x:c>
      <x:c r="I573" s="52"/>
      <x:c r="J573" t="str">
        <x:f>IF(AND(A573&lt;&gt;"",COUNTIFS(C573,"&gt;=36526",C573,"&lt;"&amp;TODAY())+COUNTIFS(D573,"&gt;=36526",D573,"&lt;"&amp;TODAY())+COUNTIFS(E573,"&gt;=36526",E573,"&lt;"&amp;TODAY())+COUNTIFS(F573,"&gt;=36526",F573,"&lt;"&amp;TODAY())&gt;0),O573,"")</x:f>
      </x:c>
      <x:c r="K573" t="str">
        <x:f>IF(AND(A573&lt;&gt;"",COUNTIFS(C573,"&gt;=36526",C573,TODAY())+COUNTIFS(D573,"&gt;=36526",D573,TODAY())+COUNTIFS(E573,"&gt;=36526",E573,TODAY())+COUNTIFS(F573,"&gt;=36526",F573,TODAY())&gt;0),P573,"")</x:f>
      </x:c>
      <x:c r="L573" t="str">
        <x:f>IF(AND(A573&lt;&gt;"",COUNTIFS(C573,"&gt;"&amp;TODAY(),C573,"&lt;="&amp;TODAY()+30)+COUNTIFS(D573,"&gt;"&amp;TODAY(),D573,"&lt;="&amp;TODAY()+30)+COUNTIFS(E573,"&gt;"&amp;TODAY(),E573,"&lt;="&amp;TODAY()+30)+COUNTIFS(F573,"&gt;"&amp;TODAY(),F573,"&lt;="&amp;TODAY()+30)&gt;0),Q573,"")</x:f>
      </x:c>
      <x:c r="M573" t="str">
        <x:f>IF(OR(LEFT(H573,15)="Missing dates; ",LEFT(H573,16)="Add N/A reason; ",H573="Add dates",H573="Add registration",H573="Check date format"),R573,"")</x:f>
      </x:c>
      <x:c r="N573" t="str">
        <x:f>IF(COUNTIFS(C573:F573,"Reviewed N/A")&gt;0,S573,"")</x:f>
      </x:c>
      <x:c r="O573" t="n">
        <x:f>O572+IF(AND(A573&lt;&gt;"",COUNTIFS(C573,"&gt;=36526",C573,"&lt;"&amp;TODAY())+COUNTIFS(D573,"&gt;=36526",D573,"&lt;"&amp;TODAY())+COUNTIFS(E573,"&gt;=36526",E573,"&lt;"&amp;TODAY())+COUNTIFS(F573,"&gt;=36526",F573,"&lt;"&amp;TODAY())&gt;0),1,0)</x:f>
        <x:v>0</x:v>
      </x:c>
      <x:c r="P573" t="n">
        <x:f>P572+IF(AND(A573&lt;&gt;"",COUNTIFS(C573,"&gt;=36526",C573,TODAY())+COUNTIFS(D573,"&gt;=36526",D573,TODAY())+COUNTIFS(E573,"&gt;=36526",E573,TODAY())+COUNTIFS(F573,"&gt;=36526",F573,TODAY())&gt;0),1,0)</x:f>
        <x:v>0</x:v>
      </x:c>
      <x:c r="Q573" t="n">
        <x:f>Q572+IF(AND(A573&lt;&gt;"",COUNTIFS(C573,"&gt;"&amp;TODAY(),C573,"&lt;="&amp;TODAY()+30)+COUNTIFS(D573,"&gt;"&amp;TODAY(),D573,"&lt;="&amp;TODAY()+30)+COUNTIFS(E573,"&gt;"&amp;TODAY(),E573,"&lt;="&amp;TODAY()+30)+COUNTIFS(F573,"&gt;"&amp;TODAY(),F573,"&lt;="&amp;TODAY()+30)&gt;0),1,0)</x:f>
        <x:v>0</x:v>
      </x:c>
      <x:c r="R573" t="n">
        <x:f>R572+IF(OR(LEFT(H573,15)="Missing dates; ",LEFT(H573,16)="Add N/A reason; ",H573="Add dates",H573="Add registration",H573="Check date format"),1,0)</x:f>
        <x:v>0</x:v>
      </x:c>
      <x:c r="S573" t="n">
        <x:f>S572+IF(COUNTIFS(C573:F573,"Reviewed N/A")&gt;0,1,0)</x:f>
        <x:v>0</x:v>
      </x:c>
    </x:row>
    <x:row r="574" ht="48" customHeight="1">
      <x:c r="A574" s="52"/>
      <x:c r="B574" s="52"/>
      <x:c r="C574" s="53"/>
      <x:c r="D574" s="53"/>
      <x:c r="E574" s="53"/>
      <x:c r="F574" s="53"/>
      <x:c r="G574" s="52"/>
      <x:c r="H574" s="21" t="str">
        <x:f>IF(COUNTA(A574:G574,I574)=0,"",IF(A574="","Add registration",IF(OR(COUNTA(C574:F574)&gt;COUNT(C574:F574)+COUNTIFS(C574:F574,"Reviewed N/A"),AND(COUNT(C574:F574)&gt;0,OR(MIN(C574:F574)&lt;36526,MAX(C574:F574)&gt;109574))),"Check date format",IF(AND(COUNTIFS(C574:F574,"Reviewed N/A")&gt;0,I574=""),"Add N/A reason; ","")&amp;IF(COUNT(C574:F574)=0,IF(COUNTIFS(C574:F574,"Reviewed N/A")=4,"No applicable dates recorded","Add dates"),IF(COUNT(C574:F574)+COUNTIFS(C574:F574,"Reviewed N/A")&lt;4,"Missing dates; ","")&amp;IF(MIN(C574:F574)&lt;TODAY(),"Overdue: ",IF(MIN(C574:F574)=TODAY(),"Due today: ",IF(MIN(C574:F574)&lt;=TODAY()+30,"Due within 30 days: ","Next: ")))&amp;INDEX($C$8:$F$8,1,MATCH(MIN(C574:F574),C574:F574,0))&amp;" "&amp;TEXT(MIN(C574:F574),"dd mmm yyyy")))))</x:f>
      </x:c>
      <x:c r="I574" s="52"/>
      <x:c r="J574" t="str">
        <x:f>IF(AND(A574&lt;&gt;"",COUNTIFS(C574,"&gt;=36526",C574,"&lt;"&amp;TODAY())+COUNTIFS(D574,"&gt;=36526",D574,"&lt;"&amp;TODAY())+COUNTIFS(E574,"&gt;=36526",E574,"&lt;"&amp;TODAY())+COUNTIFS(F574,"&gt;=36526",F574,"&lt;"&amp;TODAY())&gt;0),O574,"")</x:f>
      </x:c>
      <x:c r="K574" t="str">
        <x:f>IF(AND(A574&lt;&gt;"",COUNTIFS(C574,"&gt;=36526",C574,TODAY())+COUNTIFS(D574,"&gt;=36526",D574,TODAY())+COUNTIFS(E574,"&gt;=36526",E574,TODAY())+COUNTIFS(F574,"&gt;=36526",F574,TODAY())&gt;0),P574,"")</x:f>
      </x:c>
      <x:c r="L574" t="str">
        <x:f>IF(AND(A574&lt;&gt;"",COUNTIFS(C574,"&gt;"&amp;TODAY(),C574,"&lt;="&amp;TODAY()+30)+COUNTIFS(D574,"&gt;"&amp;TODAY(),D574,"&lt;="&amp;TODAY()+30)+COUNTIFS(E574,"&gt;"&amp;TODAY(),E574,"&lt;="&amp;TODAY()+30)+COUNTIFS(F574,"&gt;"&amp;TODAY(),F574,"&lt;="&amp;TODAY()+30)&gt;0),Q574,"")</x:f>
      </x:c>
      <x:c r="M574" t="str">
        <x:f>IF(OR(LEFT(H574,15)="Missing dates; ",LEFT(H574,16)="Add N/A reason; ",H574="Add dates",H574="Add registration",H574="Check date format"),R574,"")</x:f>
      </x:c>
      <x:c r="N574" t="str">
        <x:f>IF(COUNTIFS(C574:F574,"Reviewed N/A")&gt;0,S574,"")</x:f>
      </x:c>
      <x:c r="O574" t="n">
        <x:f>O573+IF(AND(A574&lt;&gt;"",COUNTIFS(C574,"&gt;=36526",C574,"&lt;"&amp;TODAY())+COUNTIFS(D574,"&gt;=36526",D574,"&lt;"&amp;TODAY())+COUNTIFS(E574,"&gt;=36526",E574,"&lt;"&amp;TODAY())+COUNTIFS(F574,"&gt;=36526",F574,"&lt;"&amp;TODAY())&gt;0),1,0)</x:f>
        <x:v>0</x:v>
      </x:c>
      <x:c r="P574" t="n">
        <x:f>P573+IF(AND(A574&lt;&gt;"",COUNTIFS(C574,"&gt;=36526",C574,TODAY())+COUNTIFS(D574,"&gt;=36526",D574,TODAY())+COUNTIFS(E574,"&gt;=36526",E574,TODAY())+COUNTIFS(F574,"&gt;=36526",F574,TODAY())&gt;0),1,0)</x:f>
        <x:v>0</x:v>
      </x:c>
      <x:c r="Q574" t="n">
        <x:f>Q573+IF(AND(A574&lt;&gt;"",COUNTIFS(C574,"&gt;"&amp;TODAY(),C574,"&lt;="&amp;TODAY()+30)+COUNTIFS(D574,"&gt;"&amp;TODAY(),D574,"&lt;="&amp;TODAY()+30)+COUNTIFS(E574,"&gt;"&amp;TODAY(),E574,"&lt;="&amp;TODAY()+30)+COUNTIFS(F574,"&gt;"&amp;TODAY(),F574,"&lt;="&amp;TODAY()+30)&gt;0),1,0)</x:f>
        <x:v>0</x:v>
      </x:c>
      <x:c r="R574" t="n">
        <x:f>R573+IF(OR(LEFT(H574,15)="Missing dates; ",LEFT(H574,16)="Add N/A reason; ",H574="Add dates",H574="Add registration",H574="Check date format"),1,0)</x:f>
        <x:v>0</x:v>
      </x:c>
      <x:c r="S574" t="n">
        <x:f>S573+IF(COUNTIFS(C574:F574,"Reviewed N/A")&gt;0,1,0)</x:f>
        <x:v>0</x:v>
      </x:c>
    </x:row>
    <x:row r="575" ht="48" customHeight="1">
      <x:c r="A575" s="52"/>
      <x:c r="B575" s="52"/>
      <x:c r="C575" s="53"/>
      <x:c r="D575" s="53"/>
      <x:c r="E575" s="53"/>
      <x:c r="F575" s="53"/>
      <x:c r="G575" s="52"/>
      <x:c r="H575" s="21" t="str">
        <x:f>IF(COUNTA(A575:G575,I575)=0,"",IF(A575="","Add registration",IF(OR(COUNTA(C575:F575)&gt;COUNT(C575:F575)+COUNTIFS(C575:F575,"Reviewed N/A"),AND(COUNT(C575:F575)&gt;0,OR(MIN(C575:F575)&lt;36526,MAX(C575:F575)&gt;109574))),"Check date format",IF(AND(COUNTIFS(C575:F575,"Reviewed N/A")&gt;0,I575=""),"Add N/A reason; ","")&amp;IF(COUNT(C575:F575)=0,IF(COUNTIFS(C575:F575,"Reviewed N/A")=4,"No applicable dates recorded","Add dates"),IF(COUNT(C575:F575)+COUNTIFS(C575:F575,"Reviewed N/A")&lt;4,"Missing dates; ","")&amp;IF(MIN(C575:F575)&lt;TODAY(),"Overdue: ",IF(MIN(C575:F575)=TODAY(),"Due today: ",IF(MIN(C575:F575)&lt;=TODAY()+30,"Due within 30 days: ","Next: ")))&amp;INDEX($C$8:$F$8,1,MATCH(MIN(C575:F575),C575:F575,0))&amp;" "&amp;TEXT(MIN(C575:F575),"dd mmm yyyy")))))</x:f>
      </x:c>
      <x:c r="I575" s="52"/>
      <x:c r="J575" t="str">
        <x:f>IF(AND(A575&lt;&gt;"",COUNTIFS(C575,"&gt;=36526",C575,"&lt;"&amp;TODAY())+COUNTIFS(D575,"&gt;=36526",D575,"&lt;"&amp;TODAY())+COUNTIFS(E575,"&gt;=36526",E575,"&lt;"&amp;TODAY())+COUNTIFS(F575,"&gt;=36526",F575,"&lt;"&amp;TODAY())&gt;0),O575,"")</x:f>
      </x:c>
      <x:c r="K575" t="str">
        <x:f>IF(AND(A575&lt;&gt;"",COUNTIFS(C575,"&gt;=36526",C575,TODAY())+COUNTIFS(D575,"&gt;=36526",D575,TODAY())+COUNTIFS(E575,"&gt;=36526",E575,TODAY())+COUNTIFS(F575,"&gt;=36526",F575,TODAY())&gt;0),P575,"")</x:f>
      </x:c>
      <x:c r="L575" t="str">
        <x:f>IF(AND(A575&lt;&gt;"",COUNTIFS(C575,"&gt;"&amp;TODAY(),C575,"&lt;="&amp;TODAY()+30)+COUNTIFS(D575,"&gt;"&amp;TODAY(),D575,"&lt;="&amp;TODAY()+30)+COUNTIFS(E575,"&gt;"&amp;TODAY(),E575,"&lt;="&amp;TODAY()+30)+COUNTIFS(F575,"&gt;"&amp;TODAY(),F575,"&lt;="&amp;TODAY()+30)&gt;0),Q575,"")</x:f>
      </x:c>
      <x:c r="M575" t="str">
        <x:f>IF(OR(LEFT(H575,15)="Missing dates; ",LEFT(H575,16)="Add N/A reason; ",H575="Add dates",H575="Add registration",H575="Check date format"),R575,"")</x:f>
      </x:c>
      <x:c r="N575" t="str">
        <x:f>IF(COUNTIFS(C575:F575,"Reviewed N/A")&gt;0,S575,"")</x:f>
      </x:c>
      <x:c r="O575" t="n">
        <x:f>O574+IF(AND(A575&lt;&gt;"",COUNTIFS(C575,"&gt;=36526",C575,"&lt;"&amp;TODAY())+COUNTIFS(D575,"&gt;=36526",D575,"&lt;"&amp;TODAY())+COUNTIFS(E575,"&gt;=36526",E575,"&lt;"&amp;TODAY())+COUNTIFS(F575,"&gt;=36526",F575,"&lt;"&amp;TODAY())&gt;0),1,0)</x:f>
        <x:v>0</x:v>
      </x:c>
      <x:c r="P575" t="n">
        <x:f>P574+IF(AND(A575&lt;&gt;"",COUNTIFS(C575,"&gt;=36526",C575,TODAY())+COUNTIFS(D575,"&gt;=36526",D575,TODAY())+COUNTIFS(E575,"&gt;=36526",E575,TODAY())+COUNTIFS(F575,"&gt;=36526",F575,TODAY())&gt;0),1,0)</x:f>
        <x:v>0</x:v>
      </x:c>
      <x:c r="Q575" t="n">
        <x:f>Q574+IF(AND(A575&lt;&gt;"",COUNTIFS(C575,"&gt;"&amp;TODAY(),C575,"&lt;="&amp;TODAY()+30)+COUNTIFS(D575,"&gt;"&amp;TODAY(),D575,"&lt;="&amp;TODAY()+30)+COUNTIFS(E575,"&gt;"&amp;TODAY(),E575,"&lt;="&amp;TODAY()+30)+COUNTIFS(F575,"&gt;"&amp;TODAY(),F575,"&lt;="&amp;TODAY()+30)&gt;0),1,0)</x:f>
        <x:v>0</x:v>
      </x:c>
      <x:c r="R575" t="n">
        <x:f>R574+IF(OR(LEFT(H575,15)="Missing dates; ",LEFT(H575,16)="Add N/A reason; ",H575="Add dates",H575="Add registration",H575="Check date format"),1,0)</x:f>
        <x:v>0</x:v>
      </x:c>
      <x:c r="S575" t="n">
        <x:f>S574+IF(COUNTIFS(C575:F575,"Reviewed N/A")&gt;0,1,0)</x:f>
        <x:v>0</x:v>
      </x:c>
    </x:row>
    <x:row r="576" ht="48" customHeight="1">
      <x:c r="A576" s="52"/>
      <x:c r="B576" s="52"/>
      <x:c r="C576" s="53"/>
      <x:c r="D576" s="53"/>
      <x:c r="E576" s="53"/>
      <x:c r="F576" s="53"/>
      <x:c r="G576" s="52"/>
      <x:c r="H576" s="21" t="str">
        <x:f>IF(COUNTA(A576:G576,I576)=0,"",IF(A576="","Add registration",IF(OR(COUNTA(C576:F576)&gt;COUNT(C576:F576)+COUNTIFS(C576:F576,"Reviewed N/A"),AND(COUNT(C576:F576)&gt;0,OR(MIN(C576:F576)&lt;36526,MAX(C576:F576)&gt;109574))),"Check date format",IF(AND(COUNTIFS(C576:F576,"Reviewed N/A")&gt;0,I576=""),"Add N/A reason; ","")&amp;IF(COUNT(C576:F576)=0,IF(COUNTIFS(C576:F576,"Reviewed N/A")=4,"No applicable dates recorded","Add dates"),IF(COUNT(C576:F576)+COUNTIFS(C576:F576,"Reviewed N/A")&lt;4,"Missing dates; ","")&amp;IF(MIN(C576:F576)&lt;TODAY(),"Overdue: ",IF(MIN(C576:F576)=TODAY(),"Due today: ",IF(MIN(C576:F576)&lt;=TODAY()+30,"Due within 30 days: ","Next: ")))&amp;INDEX($C$8:$F$8,1,MATCH(MIN(C576:F576),C576:F576,0))&amp;" "&amp;TEXT(MIN(C576:F576),"dd mmm yyyy")))))</x:f>
      </x:c>
      <x:c r="I576" s="52"/>
      <x:c r="J576" t="str">
        <x:f>IF(AND(A576&lt;&gt;"",COUNTIFS(C576,"&gt;=36526",C576,"&lt;"&amp;TODAY())+COUNTIFS(D576,"&gt;=36526",D576,"&lt;"&amp;TODAY())+COUNTIFS(E576,"&gt;=36526",E576,"&lt;"&amp;TODAY())+COUNTIFS(F576,"&gt;=36526",F576,"&lt;"&amp;TODAY())&gt;0),O576,"")</x:f>
      </x:c>
      <x:c r="K576" t="str">
        <x:f>IF(AND(A576&lt;&gt;"",COUNTIFS(C576,"&gt;=36526",C576,TODAY())+COUNTIFS(D576,"&gt;=36526",D576,TODAY())+COUNTIFS(E576,"&gt;=36526",E576,TODAY())+COUNTIFS(F576,"&gt;=36526",F576,TODAY())&gt;0),P576,"")</x:f>
      </x:c>
      <x:c r="L576" t="str">
        <x:f>IF(AND(A576&lt;&gt;"",COUNTIFS(C576,"&gt;"&amp;TODAY(),C576,"&lt;="&amp;TODAY()+30)+COUNTIFS(D576,"&gt;"&amp;TODAY(),D576,"&lt;="&amp;TODAY()+30)+COUNTIFS(E576,"&gt;"&amp;TODAY(),E576,"&lt;="&amp;TODAY()+30)+COUNTIFS(F576,"&gt;"&amp;TODAY(),F576,"&lt;="&amp;TODAY()+30)&gt;0),Q576,"")</x:f>
      </x:c>
      <x:c r="M576" t="str">
        <x:f>IF(OR(LEFT(H576,15)="Missing dates; ",LEFT(H576,16)="Add N/A reason; ",H576="Add dates",H576="Add registration",H576="Check date format"),R576,"")</x:f>
      </x:c>
      <x:c r="N576" t="str">
        <x:f>IF(COUNTIFS(C576:F576,"Reviewed N/A")&gt;0,S576,"")</x:f>
      </x:c>
      <x:c r="O576" t="n">
        <x:f>O575+IF(AND(A576&lt;&gt;"",COUNTIFS(C576,"&gt;=36526",C576,"&lt;"&amp;TODAY())+COUNTIFS(D576,"&gt;=36526",D576,"&lt;"&amp;TODAY())+COUNTIFS(E576,"&gt;=36526",E576,"&lt;"&amp;TODAY())+COUNTIFS(F576,"&gt;=36526",F576,"&lt;"&amp;TODAY())&gt;0),1,0)</x:f>
        <x:v>0</x:v>
      </x:c>
      <x:c r="P576" t="n">
        <x:f>P575+IF(AND(A576&lt;&gt;"",COUNTIFS(C576,"&gt;=36526",C576,TODAY())+COUNTIFS(D576,"&gt;=36526",D576,TODAY())+COUNTIFS(E576,"&gt;=36526",E576,TODAY())+COUNTIFS(F576,"&gt;=36526",F576,TODAY())&gt;0),1,0)</x:f>
        <x:v>0</x:v>
      </x:c>
      <x:c r="Q576" t="n">
        <x:f>Q575+IF(AND(A576&lt;&gt;"",COUNTIFS(C576,"&gt;"&amp;TODAY(),C576,"&lt;="&amp;TODAY()+30)+COUNTIFS(D576,"&gt;"&amp;TODAY(),D576,"&lt;="&amp;TODAY()+30)+COUNTIFS(E576,"&gt;"&amp;TODAY(),E576,"&lt;="&amp;TODAY()+30)+COUNTIFS(F576,"&gt;"&amp;TODAY(),F576,"&lt;="&amp;TODAY()+30)&gt;0),1,0)</x:f>
        <x:v>0</x:v>
      </x:c>
      <x:c r="R576" t="n">
        <x:f>R575+IF(OR(LEFT(H576,15)="Missing dates; ",LEFT(H576,16)="Add N/A reason; ",H576="Add dates",H576="Add registration",H576="Check date format"),1,0)</x:f>
        <x:v>0</x:v>
      </x:c>
      <x:c r="S576" t="n">
        <x:f>S575+IF(COUNTIFS(C576:F576,"Reviewed N/A")&gt;0,1,0)</x:f>
        <x:v>0</x:v>
      </x:c>
    </x:row>
    <x:row r="577" ht="48" customHeight="1">
      <x:c r="A577" s="52"/>
      <x:c r="B577" s="52"/>
      <x:c r="C577" s="53"/>
      <x:c r="D577" s="53"/>
      <x:c r="E577" s="53"/>
      <x:c r="F577" s="53"/>
      <x:c r="G577" s="52"/>
      <x:c r="H577" s="21" t="str">
        <x:f>IF(COUNTA(A577:G577,I577)=0,"",IF(A577="","Add registration",IF(OR(COUNTA(C577:F577)&gt;COUNT(C577:F577)+COUNTIFS(C577:F577,"Reviewed N/A"),AND(COUNT(C577:F577)&gt;0,OR(MIN(C577:F577)&lt;36526,MAX(C577:F577)&gt;109574))),"Check date format",IF(AND(COUNTIFS(C577:F577,"Reviewed N/A")&gt;0,I577=""),"Add N/A reason; ","")&amp;IF(COUNT(C577:F577)=0,IF(COUNTIFS(C577:F577,"Reviewed N/A")=4,"No applicable dates recorded","Add dates"),IF(COUNT(C577:F577)+COUNTIFS(C577:F577,"Reviewed N/A")&lt;4,"Missing dates; ","")&amp;IF(MIN(C577:F577)&lt;TODAY(),"Overdue: ",IF(MIN(C577:F577)=TODAY(),"Due today: ",IF(MIN(C577:F577)&lt;=TODAY()+30,"Due within 30 days: ","Next: ")))&amp;INDEX($C$8:$F$8,1,MATCH(MIN(C577:F577),C577:F577,0))&amp;" "&amp;TEXT(MIN(C577:F577),"dd mmm yyyy")))))</x:f>
      </x:c>
      <x:c r="I577" s="52"/>
      <x:c r="J577" t="str">
        <x:f>IF(AND(A577&lt;&gt;"",COUNTIFS(C577,"&gt;=36526",C577,"&lt;"&amp;TODAY())+COUNTIFS(D577,"&gt;=36526",D577,"&lt;"&amp;TODAY())+COUNTIFS(E577,"&gt;=36526",E577,"&lt;"&amp;TODAY())+COUNTIFS(F577,"&gt;=36526",F577,"&lt;"&amp;TODAY())&gt;0),O577,"")</x:f>
      </x:c>
      <x:c r="K577" t="str">
        <x:f>IF(AND(A577&lt;&gt;"",COUNTIFS(C577,"&gt;=36526",C577,TODAY())+COUNTIFS(D577,"&gt;=36526",D577,TODAY())+COUNTIFS(E577,"&gt;=36526",E577,TODAY())+COUNTIFS(F577,"&gt;=36526",F577,TODAY())&gt;0),P577,"")</x:f>
      </x:c>
      <x:c r="L577" t="str">
        <x:f>IF(AND(A577&lt;&gt;"",COUNTIFS(C577,"&gt;"&amp;TODAY(),C577,"&lt;="&amp;TODAY()+30)+COUNTIFS(D577,"&gt;"&amp;TODAY(),D577,"&lt;="&amp;TODAY()+30)+COUNTIFS(E577,"&gt;"&amp;TODAY(),E577,"&lt;="&amp;TODAY()+30)+COUNTIFS(F577,"&gt;"&amp;TODAY(),F577,"&lt;="&amp;TODAY()+30)&gt;0),Q577,"")</x:f>
      </x:c>
      <x:c r="M577" t="str">
        <x:f>IF(OR(LEFT(H577,15)="Missing dates; ",LEFT(H577,16)="Add N/A reason; ",H577="Add dates",H577="Add registration",H577="Check date format"),R577,"")</x:f>
      </x:c>
      <x:c r="N577" t="str">
        <x:f>IF(COUNTIFS(C577:F577,"Reviewed N/A")&gt;0,S577,"")</x:f>
      </x:c>
      <x:c r="O577" t="n">
        <x:f>O576+IF(AND(A577&lt;&gt;"",COUNTIFS(C577,"&gt;=36526",C577,"&lt;"&amp;TODAY())+COUNTIFS(D577,"&gt;=36526",D577,"&lt;"&amp;TODAY())+COUNTIFS(E577,"&gt;=36526",E577,"&lt;"&amp;TODAY())+COUNTIFS(F577,"&gt;=36526",F577,"&lt;"&amp;TODAY())&gt;0),1,0)</x:f>
        <x:v>0</x:v>
      </x:c>
      <x:c r="P577" t="n">
        <x:f>P576+IF(AND(A577&lt;&gt;"",COUNTIFS(C577,"&gt;=36526",C577,TODAY())+COUNTIFS(D577,"&gt;=36526",D577,TODAY())+COUNTIFS(E577,"&gt;=36526",E577,TODAY())+COUNTIFS(F577,"&gt;=36526",F577,TODAY())&gt;0),1,0)</x:f>
        <x:v>0</x:v>
      </x:c>
      <x:c r="Q577" t="n">
        <x:f>Q576+IF(AND(A577&lt;&gt;"",COUNTIFS(C577,"&gt;"&amp;TODAY(),C577,"&lt;="&amp;TODAY()+30)+COUNTIFS(D577,"&gt;"&amp;TODAY(),D577,"&lt;="&amp;TODAY()+30)+COUNTIFS(E577,"&gt;"&amp;TODAY(),E577,"&lt;="&amp;TODAY()+30)+COUNTIFS(F577,"&gt;"&amp;TODAY(),F577,"&lt;="&amp;TODAY()+30)&gt;0),1,0)</x:f>
        <x:v>0</x:v>
      </x:c>
      <x:c r="R577" t="n">
        <x:f>R576+IF(OR(LEFT(H577,15)="Missing dates; ",LEFT(H577,16)="Add N/A reason; ",H577="Add dates",H577="Add registration",H577="Check date format"),1,0)</x:f>
        <x:v>0</x:v>
      </x:c>
      <x:c r="S577" t="n">
        <x:f>S576+IF(COUNTIFS(C577:F577,"Reviewed N/A")&gt;0,1,0)</x:f>
        <x:v>0</x:v>
      </x:c>
    </x:row>
    <x:row r="578" ht="48" customHeight="1">
      <x:c r="A578" s="52"/>
      <x:c r="B578" s="52"/>
      <x:c r="C578" s="53"/>
      <x:c r="D578" s="53"/>
      <x:c r="E578" s="53"/>
      <x:c r="F578" s="53"/>
      <x:c r="G578" s="52"/>
      <x:c r="H578" s="21" t="str">
        <x:f>IF(COUNTA(A578:G578,I578)=0,"",IF(A578="","Add registration",IF(OR(COUNTA(C578:F578)&gt;COUNT(C578:F578)+COUNTIFS(C578:F578,"Reviewed N/A"),AND(COUNT(C578:F578)&gt;0,OR(MIN(C578:F578)&lt;36526,MAX(C578:F578)&gt;109574))),"Check date format",IF(AND(COUNTIFS(C578:F578,"Reviewed N/A")&gt;0,I578=""),"Add N/A reason; ","")&amp;IF(COUNT(C578:F578)=0,IF(COUNTIFS(C578:F578,"Reviewed N/A")=4,"No applicable dates recorded","Add dates"),IF(COUNT(C578:F578)+COUNTIFS(C578:F578,"Reviewed N/A")&lt;4,"Missing dates; ","")&amp;IF(MIN(C578:F578)&lt;TODAY(),"Overdue: ",IF(MIN(C578:F578)=TODAY(),"Due today: ",IF(MIN(C578:F578)&lt;=TODAY()+30,"Due within 30 days: ","Next: ")))&amp;INDEX($C$8:$F$8,1,MATCH(MIN(C578:F578),C578:F578,0))&amp;" "&amp;TEXT(MIN(C578:F578),"dd mmm yyyy")))))</x:f>
      </x:c>
      <x:c r="I578" s="52"/>
      <x:c r="J578" t="str">
        <x:f>IF(AND(A578&lt;&gt;"",COUNTIFS(C578,"&gt;=36526",C578,"&lt;"&amp;TODAY())+COUNTIFS(D578,"&gt;=36526",D578,"&lt;"&amp;TODAY())+COUNTIFS(E578,"&gt;=36526",E578,"&lt;"&amp;TODAY())+COUNTIFS(F578,"&gt;=36526",F578,"&lt;"&amp;TODAY())&gt;0),O578,"")</x:f>
      </x:c>
      <x:c r="K578" t="str">
        <x:f>IF(AND(A578&lt;&gt;"",COUNTIFS(C578,"&gt;=36526",C578,TODAY())+COUNTIFS(D578,"&gt;=36526",D578,TODAY())+COUNTIFS(E578,"&gt;=36526",E578,TODAY())+COUNTIFS(F578,"&gt;=36526",F578,TODAY())&gt;0),P578,"")</x:f>
      </x:c>
      <x:c r="L578" t="str">
        <x:f>IF(AND(A578&lt;&gt;"",COUNTIFS(C578,"&gt;"&amp;TODAY(),C578,"&lt;="&amp;TODAY()+30)+COUNTIFS(D578,"&gt;"&amp;TODAY(),D578,"&lt;="&amp;TODAY()+30)+COUNTIFS(E578,"&gt;"&amp;TODAY(),E578,"&lt;="&amp;TODAY()+30)+COUNTIFS(F578,"&gt;"&amp;TODAY(),F578,"&lt;="&amp;TODAY()+30)&gt;0),Q578,"")</x:f>
      </x:c>
      <x:c r="M578" t="str">
        <x:f>IF(OR(LEFT(H578,15)="Missing dates; ",LEFT(H578,16)="Add N/A reason; ",H578="Add dates",H578="Add registration",H578="Check date format"),R578,"")</x:f>
      </x:c>
      <x:c r="N578" t="str">
        <x:f>IF(COUNTIFS(C578:F578,"Reviewed N/A")&gt;0,S578,"")</x:f>
      </x:c>
      <x:c r="O578" t="n">
        <x:f>O577+IF(AND(A578&lt;&gt;"",COUNTIFS(C578,"&gt;=36526",C578,"&lt;"&amp;TODAY())+COUNTIFS(D578,"&gt;=36526",D578,"&lt;"&amp;TODAY())+COUNTIFS(E578,"&gt;=36526",E578,"&lt;"&amp;TODAY())+COUNTIFS(F578,"&gt;=36526",F578,"&lt;"&amp;TODAY())&gt;0),1,0)</x:f>
        <x:v>0</x:v>
      </x:c>
      <x:c r="P578" t="n">
        <x:f>P577+IF(AND(A578&lt;&gt;"",COUNTIFS(C578,"&gt;=36526",C578,TODAY())+COUNTIFS(D578,"&gt;=36526",D578,TODAY())+COUNTIFS(E578,"&gt;=36526",E578,TODAY())+COUNTIFS(F578,"&gt;=36526",F578,TODAY())&gt;0),1,0)</x:f>
        <x:v>0</x:v>
      </x:c>
      <x:c r="Q578" t="n">
        <x:f>Q577+IF(AND(A578&lt;&gt;"",COUNTIFS(C578,"&gt;"&amp;TODAY(),C578,"&lt;="&amp;TODAY()+30)+COUNTIFS(D578,"&gt;"&amp;TODAY(),D578,"&lt;="&amp;TODAY()+30)+COUNTIFS(E578,"&gt;"&amp;TODAY(),E578,"&lt;="&amp;TODAY()+30)+COUNTIFS(F578,"&gt;"&amp;TODAY(),F578,"&lt;="&amp;TODAY()+30)&gt;0),1,0)</x:f>
        <x:v>0</x:v>
      </x:c>
      <x:c r="R578" t="n">
        <x:f>R577+IF(OR(LEFT(H578,15)="Missing dates; ",LEFT(H578,16)="Add N/A reason; ",H578="Add dates",H578="Add registration",H578="Check date format"),1,0)</x:f>
        <x:v>0</x:v>
      </x:c>
      <x:c r="S578" t="n">
        <x:f>S577+IF(COUNTIFS(C578:F578,"Reviewed N/A")&gt;0,1,0)</x:f>
        <x:v>0</x:v>
      </x:c>
    </x:row>
    <x:row r="579" ht="48" customHeight="1">
      <x:c r="A579" s="52"/>
      <x:c r="B579" s="52"/>
      <x:c r="C579" s="53"/>
      <x:c r="D579" s="53"/>
      <x:c r="E579" s="53"/>
      <x:c r="F579" s="53"/>
      <x:c r="G579" s="52"/>
      <x:c r="H579" s="21" t="str">
        <x:f>IF(COUNTA(A579:G579,I579)=0,"",IF(A579="","Add registration",IF(OR(COUNTA(C579:F579)&gt;COUNT(C579:F579)+COUNTIFS(C579:F579,"Reviewed N/A"),AND(COUNT(C579:F579)&gt;0,OR(MIN(C579:F579)&lt;36526,MAX(C579:F579)&gt;109574))),"Check date format",IF(AND(COUNTIFS(C579:F579,"Reviewed N/A")&gt;0,I579=""),"Add N/A reason; ","")&amp;IF(COUNT(C579:F579)=0,IF(COUNTIFS(C579:F579,"Reviewed N/A")=4,"No applicable dates recorded","Add dates"),IF(COUNT(C579:F579)+COUNTIFS(C579:F579,"Reviewed N/A")&lt;4,"Missing dates; ","")&amp;IF(MIN(C579:F579)&lt;TODAY(),"Overdue: ",IF(MIN(C579:F579)=TODAY(),"Due today: ",IF(MIN(C579:F579)&lt;=TODAY()+30,"Due within 30 days: ","Next: ")))&amp;INDEX($C$8:$F$8,1,MATCH(MIN(C579:F579),C579:F579,0))&amp;" "&amp;TEXT(MIN(C579:F579),"dd mmm yyyy")))))</x:f>
      </x:c>
      <x:c r="I579" s="52"/>
      <x:c r="J579" t="str">
        <x:f>IF(AND(A579&lt;&gt;"",COUNTIFS(C579,"&gt;=36526",C579,"&lt;"&amp;TODAY())+COUNTIFS(D579,"&gt;=36526",D579,"&lt;"&amp;TODAY())+COUNTIFS(E579,"&gt;=36526",E579,"&lt;"&amp;TODAY())+COUNTIFS(F579,"&gt;=36526",F579,"&lt;"&amp;TODAY())&gt;0),O579,"")</x:f>
      </x:c>
      <x:c r="K579" t="str">
        <x:f>IF(AND(A579&lt;&gt;"",COUNTIFS(C579,"&gt;=36526",C579,TODAY())+COUNTIFS(D579,"&gt;=36526",D579,TODAY())+COUNTIFS(E579,"&gt;=36526",E579,TODAY())+COUNTIFS(F579,"&gt;=36526",F579,TODAY())&gt;0),P579,"")</x:f>
      </x:c>
      <x:c r="L579" t="str">
        <x:f>IF(AND(A579&lt;&gt;"",COUNTIFS(C579,"&gt;"&amp;TODAY(),C579,"&lt;="&amp;TODAY()+30)+COUNTIFS(D579,"&gt;"&amp;TODAY(),D579,"&lt;="&amp;TODAY()+30)+COUNTIFS(E579,"&gt;"&amp;TODAY(),E579,"&lt;="&amp;TODAY()+30)+COUNTIFS(F579,"&gt;"&amp;TODAY(),F579,"&lt;="&amp;TODAY()+30)&gt;0),Q579,"")</x:f>
      </x:c>
      <x:c r="M579" t="str">
        <x:f>IF(OR(LEFT(H579,15)="Missing dates; ",LEFT(H579,16)="Add N/A reason; ",H579="Add dates",H579="Add registration",H579="Check date format"),R579,"")</x:f>
      </x:c>
      <x:c r="N579" t="str">
        <x:f>IF(COUNTIFS(C579:F579,"Reviewed N/A")&gt;0,S579,"")</x:f>
      </x:c>
      <x:c r="O579" t="n">
        <x:f>O578+IF(AND(A579&lt;&gt;"",COUNTIFS(C579,"&gt;=36526",C579,"&lt;"&amp;TODAY())+COUNTIFS(D579,"&gt;=36526",D579,"&lt;"&amp;TODAY())+COUNTIFS(E579,"&gt;=36526",E579,"&lt;"&amp;TODAY())+COUNTIFS(F579,"&gt;=36526",F579,"&lt;"&amp;TODAY())&gt;0),1,0)</x:f>
        <x:v>0</x:v>
      </x:c>
      <x:c r="P579" t="n">
        <x:f>P578+IF(AND(A579&lt;&gt;"",COUNTIFS(C579,"&gt;=36526",C579,TODAY())+COUNTIFS(D579,"&gt;=36526",D579,TODAY())+COUNTIFS(E579,"&gt;=36526",E579,TODAY())+COUNTIFS(F579,"&gt;=36526",F579,TODAY())&gt;0),1,0)</x:f>
        <x:v>0</x:v>
      </x:c>
      <x:c r="Q579" t="n">
        <x:f>Q578+IF(AND(A579&lt;&gt;"",COUNTIFS(C579,"&gt;"&amp;TODAY(),C579,"&lt;="&amp;TODAY()+30)+COUNTIFS(D579,"&gt;"&amp;TODAY(),D579,"&lt;="&amp;TODAY()+30)+COUNTIFS(E579,"&gt;"&amp;TODAY(),E579,"&lt;="&amp;TODAY()+30)+COUNTIFS(F579,"&gt;"&amp;TODAY(),F579,"&lt;="&amp;TODAY()+30)&gt;0),1,0)</x:f>
        <x:v>0</x:v>
      </x:c>
      <x:c r="R579" t="n">
        <x:f>R578+IF(OR(LEFT(H579,15)="Missing dates; ",LEFT(H579,16)="Add N/A reason; ",H579="Add dates",H579="Add registration",H579="Check date format"),1,0)</x:f>
        <x:v>0</x:v>
      </x:c>
      <x:c r="S579" t="n">
        <x:f>S578+IF(COUNTIFS(C579:F579,"Reviewed N/A")&gt;0,1,0)</x:f>
        <x:v>0</x:v>
      </x:c>
    </x:row>
    <x:row r="580" ht="48" customHeight="1">
      <x:c r="A580" s="52"/>
      <x:c r="B580" s="52"/>
      <x:c r="C580" s="53"/>
      <x:c r="D580" s="53"/>
      <x:c r="E580" s="53"/>
      <x:c r="F580" s="53"/>
      <x:c r="G580" s="52"/>
      <x:c r="H580" s="21" t="str">
        <x:f>IF(COUNTA(A580:G580,I580)=0,"",IF(A580="","Add registration",IF(OR(COUNTA(C580:F580)&gt;COUNT(C580:F580)+COUNTIFS(C580:F580,"Reviewed N/A"),AND(COUNT(C580:F580)&gt;0,OR(MIN(C580:F580)&lt;36526,MAX(C580:F580)&gt;109574))),"Check date format",IF(AND(COUNTIFS(C580:F580,"Reviewed N/A")&gt;0,I580=""),"Add N/A reason; ","")&amp;IF(COUNT(C580:F580)=0,IF(COUNTIFS(C580:F580,"Reviewed N/A")=4,"No applicable dates recorded","Add dates"),IF(COUNT(C580:F580)+COUNTIFS(C580:F580,"Reviewed N/A")&lt;4,"Missing dates; ","")&amp;IF(MIN(C580:F580)&lt;TODAY(),"Overdue: ",IF(MIN(C580:F580)=TODAY(),"Due today: ",IF(MIN(C580:F580)&lt;=TODAY()+30,"Due within 30 days: ","Next: ")))&amp;INDEX($C$8:$F$8,1,MATCH(MIN(C580:F580),C580:F580,0))&amp;" "&amp;TEXT(MIN(C580:F580),"dd mmm yyyy")))))</x:f>
      </x:c>
      <x:c r="I580" s="52"/>
      <x:c r="J580" t="str">
        <x:f>IF(AND(A580&lt;&gt;"",COUNTIFS(C580,"&gt;=36526",C580,"&lt;"&amp;TODAY())+COUNTIFS(D580,"&gt;=36526",D580,"&lt;"&amp;TODAY())+COUNTIFS(E580,"&gt;=36526",E580,"&lt;"&amp;TODAY())+COUNTIFS(F580,"&gt;=36526",F580,"&lt;"&amp;TODAY())&gt;0),O580,"")</x:f>
      </x:c>
      <x:c r="K580" t="str">
        <x:f>IF(AND(A580&lt;&gt;"",COUNTIFS(C580,"&gt;=36526",C580,TODAY())+COUNTIFS(D580,"&gt;=36526",D580,TODAY())+COUNTIFS(E580,"&gt;=36526",E580,TODAY())+COUNTIFS(F580,"&gt;=36526",F580,TODAY())&gt;0),P580,"")</x:f>
      </x:c>
      <x:c r="L580" t="str">
        <x:f>IF(AND(A580&lt;&gt;"",COUNTIFS(C580,"&gt;"&amp;TODAY(),C580,"&lt;="&amp;TODAY()+30)+COUNTIFS(D580,"&gt;"&amp;TODAY(),D580,"&lt;="&amp;TODAY()+30)+COUNTIFS(E580,"&gt;"&amp;TODAY(),E580,"&lt;="&amp;TODAY()+30)+COUNTIFS(F580,"&gt;"&amp;TODAY(),F580,"&lt;="&amp;TODAY()+30)&gt;0),Q580,"")</x:f>
      </x:c>
      <x:c r="M580" t="str">
        <x:f>IF(OR(LEFT(H580,15)="Missing dates; ",LEFT(H580,16)="Add N/A reason; ",H580="Add dates",H580="Add registration",H580="Check date format"),R580,"")</x:f>
      </x:c>
      <x:c r="N580" t="str">
        <x:f>IF(COUNTIFS(C580:F580,"Reviewed N/A")&gt;0,S580,"")</x:f>
      </x:c>
      <x:c r="O580" t="n">
        <x:f>O579+IF(AND(A580&lt;&gt;"",COUNTIFS(C580,"&gt;=36526",C580,"&lt;"&amp;TODAY())+COUNTIFS(D580,"&gt;=36526",D580,"&lt;"&amp;TODAY())+COUNTIFS(E580,"&gt;=36526",E580,"&lt;"&amp;TODAY())+COUNTIFS(F580,"&gt;=36526",F580,"&lt;"&amp;TODAY())&gt;0),1,0)</x:f>
        <x:v>0</x:v>
      </x:c>
      <x:c r="P580" t="n">
        <x:f>P579+IF(AND(A580&lt;&gt;"",COUNTIFS(C580,"&gt;=36526",C580,TODAY())+COUNTIFS(D580,"&gt;=36526",D580,TODAY())+COUNTIFS(E580,"&gt;=36526",E580,TODAY())+COUNTIFS(F580,"&gt;=36526",F580,TODAY())&gt;0),1,0)</x:f>
        <x:v>0</x:v>
      </x:c>
      <x:c r="Q580" t="n">
        <x:f>Q579+IF(AND(A580&lt;&gt;"",COUNTIFS(C580,"&gt;"&amp;TODAY(),C580,"&lt;="&amp;TODAY()+30)+COUNTIFS(D580,"&gt;"&amp;TODAY(),D580,"&lt;="&amp;TODAY()+30)+COUNTIFS(E580,"&gt;"&amp;TODAY(),E580,"&lt;="&amp;TODAY()+30)+COUNTIFS(F580,"&gt;"&amp;TODAY(),F580,"&lt;="&amp;TODAY()+30)&gt;0),1,0)</x:f>
        <x:v>0</x:v>
      </x:c>
      <x:c r="R580" t="n">
        <x:f>R579+IF(OR(LEFT(H580,15)="Missing dates; ",LEFT(H580,16)="Add N/A reason; ",H580="Add dates",H580="Add registration",H580="Check date format"),1,0)</x:f>
        <x:v>0</x:v>
      </x:c>
      <x:c r="S580" t="n">
        <x:f>S579+IF(COUNTIFS(C580:F580,"Reviewed N/A")&gt;0,1,0)</x:f>
        <x:v>0</x:v>
      </x:c>
    </x:row>
    <x:row r="581" ht="48" customHeight="1">
      <x:c r="A581" s="52"/>
      <x:c r="B581" s="52"/>
      <x:c r="C581" s="53"/>
      <x:c r="D581" s="53"/>
      <x:c r="E581" s="53"/>
      <x:c r="F581" s="53"/>
      <x:c r="G581" s="52"/>
      <x:c r="H581" s="21" t="str">
        <x:f>IF(COUNTA(A581:G581,I581)=0,"",IF(A581="","Add registration",IF(OR(COUNTA(C581:F581)&gt;COUNT(C581:F581)+COUNTIFS(C581:F581,"Reviewed N/A"),AND(COUNT(C581:F581)&gt;0,OR(MIN(C581:F581)&lt;36526,MAX(C581:F581)&gt;109574))),"Check date format",IF(AND(COUNTIFS(C581:F581,"Reviewed N/A")&gt;0,I581=""),"Add N/A reason; ","")&amp;IF(COUNT(C581:F581)=0,IF(COUNTIFS(C581:F581,"Reviewed N/A")=4,"No applicable dates recorded","Add dates"),IF(COUNT(C581:F581)+COUNTIFS(C581:F581,"Reviewed N/A")&lt;4,"Missing dates; ","")&amp;IF(MIN(C581:F581)&lt;TODAY(),"Overdue: ",IF(MIN(C581:F581)=TODAY(),"Due today: ",IF(MIN(C581:F581)&lt;=TODAY()+30,"Due within 30 days: ","Next: ")))&amp;INDEX($C$8:$F$8,1,MATCH(MIN(C581:F581),C581:F581,0))&amp;" "&amp;TEXT(MIN(C581:F581),"dd mmm yyyy")))))</x:f>
      </x:c>
      <x:c r="I581" s="52"/>
      <x:c r="J581" t="str">
        <x:f>IF(AND(A581&lt;&gt;"",COUNTIFS(C581,"&gt;=36526",C581,"&lt;"&amp;TODAY())+COUNTIFS(D581,"&gt;=36526",D581,"&lt;"&amp;TODAY())+COUNTIFS(E581,"&gt;=36526",E581,"&lt;"&amp;TODAY())+COUNTIFS(F581,"&gt;=36526",F581,"&lt;"&amp;TODAY())&gt;0),O581,"")</x:f>
      </x:c>
      <x:c r="K581" t="str">
        <x:f>IF(AND(A581&lt;&gt;"",COUNTIFS(C581,"&gt;=36526",C581,TODAY())+COUNTIFS(D581,"&gt;=36526",D581,TODAY())+COUNTIFS(E581,"&gt;=36526",E581,TODAY())+COUNTIFS(F581,"&gt;=36526",F581,TODAY())&gt;0),P581,"")</x:f>
      </x:c>
      <x:c r="L581" t="str">
        <x:f>IF(AND(A581&lt;&gt;"",COUNTIFS(C581,"&gt;"&amp;TODAY(),C581,"&lt;="&amp;TODAY()+30)+COUNTIFS(D581,"&gt;"&amp;TODAY(),D581,"&lt;="&amp;TODAY()+30)+COUNTIFS(E581,"&gt;"&amp;TODAY(),E581,"&lt;="&amp;TODAY()+30)+COUNTIFS(F581,"&gt;"&amp;TODAY(),F581,"&lt;="&amp;TODAY()+30)&gt;0),Q581,"")</x:f>
      </x:c>
      <x:c r="M581" t="str">
        <x:f>IF(OR(LEFT(H581,15)="Missing dates; ",LEFT(H581,16)="Add N/A reason; ",H581="Add dates",H581="Add registration",H581="Check date format"),R581,"")</x:f>
      </x:c>
      <x:c r="N581" t="str">
        <x:f>IF(COUNTIFS(C581:F581,"Reviewed N/A")&gt;0,S581,"")</x:f>
      </x:c>
      <x:c r="O581" t="n">
        <x:f>O580+IF(AND(A581&lt;&gt;"",COUNTIFS(C581,"&gt;=36526",C581,"&lt;"&amp;TODAY())+COUNTIFS(D581,"&gt;=36526",D581,"&lt;"&amp;TODAY())+COUNTIFS(E581,"&gt;=36526",E581,"&lt;"&amp;TODAY())+COUNTIFS(F581,"&gt;=36526",F581,"&lt;"&amp;TODAY())&gt;0),1,0)</x:f>
        <x:v>0</x:v>
      </x:c>
      <x:c r="P581" t="n">
        <x:f>P580+IF(AND(A581&lt;&gt;"",COUNTIFS(C581,"&gt;=36526",C581,TODAY())+COUNTIFS(D581,"&gt;=36526",D581,TODAY())+COUNTIFS(E581,"&gt;=36526",E581,TODAY())+COUNTIFS(F581,"&gt;=36526",F581,TODAY())&gt;0),1,0)</x:f>
        <x:v>0</x:v>
      </x:c>
      <x:c r="Q581" t="n">
        <x:f>Q580+IF(AND(A581&lt;&gt;"",COUNTIFS(C581,"&gt;"&amp;TODAY(),C581,"&lt;="&amp;TODAY()+30)+COUNTIFS(D581,"&gt;"&amp;TODAY(),D581,"&lt;="&amp;TODAY()+30)+COUNTIFS(E581,"&gt;"&amp;TODAY(),E581,"&lt;="&amp;TODAY()+30)+COUNTIFS(F581,"&gt;"&amp;TODAY(),F581,"&lt;="&amp;TODAY()+30)&gt;0),1,0)</x:f>
        <x:v>0</x:v>
      </x:c>
      <x:c r="R581" t="n">
        <x:f>R580+IF(OR(LEFT(H581,15)="Missing dates; ",LEFT(H581,16)="Add N/A reason; ",H581="Add dates",H581="Add registration",H581="Check date format"),1,0)</x:f>
        <x:v>0</x:v>
      </x:c>
      <x:c r="S581" t="n">
        <x:f>S580+IF(COUNTIFS(C581:F581,"Reviewed N/A")&gt;0,1,0)</x:f>
        <x:v>0</x:v>
      </x:c>
    </x:row>
    <x:row r="582" ht="48" customHeight="1">
      <x:c r="A582" s="52"/>
      <x:c r="B582" s="52"/>
      <x:c r="C582" s="53"/>
      <x:c r="D582" s="53"/>
      <x:c r="E582" s="53"/>
      <x:c r="F582" s="53"/>
      <x:c r="G582" s="52"/>
      <x:c r="H582" s="21" t="str">
        <x:f>IF(COUNTA(A582:G582,I582)=0,"",IF(A582="","Add registration",IF(OR(COUNTA(C582:F582)&gt;COUNT(C582:F582)+COUNTIFS(C582:F582,"Reviewed N/A"),AND(COUNT(C582:F582)&gt;0,OR(MIN(C582:F582)&lt;36526,MAX(C582:F582)&gt;109574))),"Check date format",IF(AND(COUNTIFS(C582:F582,"Reviewed N/A")&gt;0,I582=""),"Add N/A reason; ","")&amp;IF(COUNT(C582:F582)=0,IF(COUNTIFS(C582:F582,"Reviewed N/A")=4,"No applicable dates recorded","Add dates"),IF(COUNT(C582:F582)+COUNTIFS(C582:F582,"Reviewed N/A")&lt;4,"Missing dates; ","")&amp;IF(MIN(C582:F582)&lt;TODAY(),"Overdue: ",IF(MIN(C582:F582)=TODAY(),"Due today: ",IF(MIN(C582:F582)&lt;=TODAY()+30,"Due within 30 days: ","Next: ")))&amp;INDEX($C$8:$F$8,1,MATCH(MIN(C582:F582),C582:F582,0))&amp;" "&amp;TEXT(MIN(C582:F582),"dd mmm yyyy")))))</x:f>
      </x:c>
      <x:c r="I582" s="52"/>
      <x:c r="J582" t="str">
        <x:f>IF(AND(A582&lt;&gt;"",COUNTIFS(C582,"&gt;=36526",C582,"&lt;"&amp;TODAY())+COUNTIFS(D582,"&gt;=36526",D582,"&lt;"&amp;TODAY())+COUNTIFS(E582,"&gt;=36526",E582,"&lt;"&amp;TODAY())+COUNTIFS(F582,"&gt;=36526",F582,"&lt;"&amp;TODAY())&gt;0),O582,"")</x:f>
      </x:c>
      <x:c r="K582" t="str">
        <x:f>IF(AND(A582&lt;&gt;"",COUNTIFS(C582,"&gt;=36526",C582,TODAY())+COUNTIFS(D582,"&gt;=36526",D582,TODAY())+COUNTIFS(E582,"&gt;=36526",E582,TODAY())+COUNTIFS(F582,"&gt;=36526",F582,TODAY())&gt;0),P582,"")</x:f>
      </x:c>
      <x:c r="L582" t="str">
        <x:f>IF(AND(A582&lt;&gt;"",COUNTIFS(C582,"&gt;"&amp;TODAY(),C582,"&lt;="&amp;TODAY()+30)+COUNTIFS(D582,"&gt;"&amp;TODAY(),D582,"&lt;="&amp;TODAY()+30)+COUNTIFS(E582,"&gt;"&amp;TODAY(),E582,"&lt;="&amp;TODAY()+30)+COUNTIFS(F582,"&gt;"&amp;TODAY(),F582,"&lt;="&amp;TODAY()+30)&gt;0),Q582,"")</x:f>
      </x:c>
      <x:c r="M582" t="str">
        <x:f>IF(OR(LEFT(H582,15)="Missing dates; ",LEFT(H582,16)="Add N/A reason; ",H582="Add dates",H582="Add registration",H582="Check date format"),R582,"")</x:f>
      </x:c>
      <x:c r="N582" t="str">
        <x:f>IF(COUNTIFS(C582:F582,"Reviewed N/A")&gt;0,S582,"")</x:f>
      </x:c>
      <x:c r="O582" t="n">
        <x:f>O581+IF(AND(A582&lt;&gt;"",COUNTIFS(C582,"&gt;=36526",C582,"&lt;"&amp;TODAY())+COUNTIFS(D582,"&gt;=36526",D582,"&lt;"&amp;TODAY())+COUNTIFS(E582,"&gt;=36526",E582,"&lt;"&amp;TODAY())+COUNTIFS(F582,"&gt;=36526",F582,"&lt;"&amp;TODAY())&gt;0),1,0)</x:f>
        <x:v>0</x:v>
      </x:c>
      <x:c r="P582" t="n">
        <x:f>P581+IF(AND(A582&lt;&gt;"",COUNTIFS(C582,"&gt;=36526",C582,TODAY())+COUNTIFS(D582,"&gt;=36526",D582,TODAY())+COUNTIFS(E582,"&gt;=36526",E582,TODAY())+COUNTIFS(F582,"&gt;=36526",F582,TODAY())&gt;0),1,0)</x:f>
        <x:v>0</x:v>
      </x:c>
      <x:c r="Q582" t="n">
        <x:f>Q581+IF(AND(A582&lt;&gt;"",COUNTIFS(C582,"&gt;"&amp;TODAY(),C582,"&lt;="&amp;TODAY()+30)+COUNTIFS(D582,"&gt;"&amp;TODAY(),D582,"&lt;="&amp;TODAY()+30)+COUNTIFS(E582,"&gt;"&amp;TODAY(),E582,"&lt;="&amp;TODAY()+30)+COUNTIFS(F582,"&gt;"&amp;TODAY(),F582,"&lt;="&amp;TODAY()+30)&gt;0),1,0)</x:f>
        <x:v>0</x:v>
      </x:c>
      <x:c r="R582" t="n">
        <x:f>R581+IF(OR(LEFT(H582,15)="Missing dates; ",LEFT(H582,16)="Add N/A reason; ",H582="Add dates",H582="Add registration",H582="Check date format"),1,0)</x:f>
        <x:v>0</x:v>
      </x:c>
      <x:c r="S582" t="n">
        <x:f>S581+IF(COUNTIFS(C582:F582,"Reviewed N/A")&gt;0,1,0)</x:f>
        <x:v>0</x:v>
      </x:c>
    </x:row>
    <x:row r="583" ht="48" customHeight="1">
      <x:c r="A583" s="52"/>
      <x:c r="B583" s="52"/>
      <x:c r="C583" s="53"/>
      <x:c r="D583" s="53"/>
      <x:c r="E583" s="53"/>
      <x:c r="F583" s="53"/>
      <x:c r="G583" s="52"/>
      <x:c r="H583" s="21" t="str">
        <x:f>IF(COUNTA(A583:G583,I583)=0,"",IF(A583="","Add registration",IF(OR(COUNTA(C583:F583)&gt;COUNT(C583:F583)+COUNTIFS(C583:F583,"Reviewed N/A"),AND(COUNT(C583:F583)&gt;0,OR(MIN(C583:F583)&lt;36526,MAX(C583:F583)&gt;109574))),"Check date format",IF(AND(COUNTIFS(C583:F583,"Reviewed N/A")&gt;0,I583=""),"Add N/A reason; ","")&amp;IF(COUNT(C583:F583)=0,IF(COUNTIFS(C583:F583,"Reviewed N/A")=4,"No applicable dates recorded","Add dates"),IF(COUNT(C583:F583)+COUNTIFS(C583:F583,"Reviewed N/A")&lt;4,"Missing dates; ","")&amp;IF(MIN(C583:F583)&lt;TODAY(),"Overdue: ",IF(MIN(C583:F583)=TODAY(),"Due today: ",IF(MIN(C583:F583)&lt;=TODAY()+30,"Due within 30 days: ","Next: ")))&amp;INDEX($C$8:$F$8,1,MATCH(MIN(C583:F583),C583:F583,0))&amp;" "&amp;TEXT(MIN(C583:F583),"dd mmm yyyy")))))</x:f>
      </x:c>
      <x:c r="I583" s="52"/>
      <x:c r="J583" t="str">
        <x:f>IF(AND(A583&lt;&gt;"",COUNTIFS(C583,"&gt;=36526",C583,"&lt;"&amp;TODAY())+COUNTIFS(D583,"&gt;=36526",D583,"&lt;"&amp;TODAY())+COUNTIFS(E583,"&gt;=36526",E583,"&lt;"&amp;TODAY())+COUNTIFS(F583,"&gt;=36526",F583,"&lt;"&amp;TODAY())&gt;0),O583,"")</x:f>
      </x:c>
      <x:c r="K583" t="str">
        <x:f>IF(AND(A583&lt;&gt;"",COUNTIFS(C583,"&gt;=36526",C583,TODAY())+COUNTIFS(D583,"&gt;=36526",D583,TODAY())+COUNTIFS(E583,"&gt;=36526",E583,TODAY())+COUNTIFS(F583,"&gt;=36526",F583,TODAY())&gt;0),P583,"")</x:f>
      </x:c>
      <x:c r="L583" t="str">
        <x:f>IF(AND(A583&lt;&gt;"",COUNTIFS(C583,"&gt;"&amp;TODAY(),C583,"&lt;="&amp;TODAY()+30)+COUNTIFS(D583,"&gt;"&amp;TODAY(),D583,"&lt;="&amp;TODAY()+30)+COUNTIFS(E583,"&gt;"&amp;TODAY(),E583,"&lt;="&amp;TODAY()+30)+COUNTIFS(F583,"&gt;"&amp;TODAY(),F583,"&lt;="&amp;TODAY()+30)&gt;0),Q583,"")</x:f>
      </x:c>
      <x:c r="M583" t="str">
        <x:f>IF(OR(LEFT(H583,15)="Missing dates; ",LEFT(H583,16)="Add N/A reason; ",H583="Add dates",H583="Add registration",H583="Check date format"),R583,"")</x:f>
      </x:c>
      <x:c r="N583" t="str">
        <x:f>IF(COUNTIFS(C583:F583,"Reviewed N/A")&gt;0,S583,"")</x:f>
      </x:c>
      <x:c r="O583" t="n">
        <x:f>O582+IF(AND(A583&lt;&gt;"",COUNTIFS(C583,"&gt;=36526",C583,"&lt;"&amp;TODAY())+COUNTIFS(D583,"&gt;=36526",D583,"&lt;"&amp;TODAY())+COUNTIFS(E583,"&gt;=36526",E583,"&lt;"&amp;TODAY())+COUNTIFS(F583,"&gt;=36526",F583,"&lt;"&amp;TODAY())&gt;0),1,0)</x:f>
        <x:v>0</x:v>
      </x:c>
      <x:c r="P583" t="n">
        <x:f>P582+IF(AND(A583&lt;&gt;"",COUNTIFS(C583,"&gt;=36526",C583,TODAY())+COUNTIFS(D583,"&gt;=36526",D583,TODAY())+COUNTIFS(E583,"&gt;=36526",E583,TODAY())+COUNTIFS(F583,"&gt;=36526",F583,TODAY())&gt;0),1,0)</x:f>
        <x:v>0</x:v>
      </x:c>
      <x:c r="Q583" t="n">
        <x:f>Q582+IF(AND(A583&lt;&gt;"",COUNTIFS(C583,"&gt;"&amp;TODAY(),C583,"&lt;="&amp;TODAY()+30)+COUNTIFS(D583,"&gt;"&amp;TODAY(),D583,"&lt;="&amp;TODAY()+30)+COUNTIFS(E583,"&gt;"&amp;TODAY(),E583,"&lt;="&amp;TODAY()+30)+COUNTIFS(F583,"&gt;"&amp;TODAY(),F583,"&lt;="&amp;TODAY()+30)&gt;0),1,0)</x:f>
        <x:v>0</x:v>
      </x:c>
      <x:c r="R583" t="n">
        <x:f>R582+IF(OR(LEFT(H583,15)="Missing dates; ",LEFT(H583,16)="Add N/A reason; ",H583="Add dates",H583="Add registration",H583="Check date format"),1,0)</x:f>
        <x:v>0</x:v>
      </x:c>
      <x:c r="S583" t="n">
        <x:f>S582+IF(COUNTIFS(C583:F583,"Reviewed N/A")&gt;0,1,0)</x:f>
        <x:v>0</x:v>
      </x:c>
    </x:row>
    <x:row r="584" ht="48" customHeight="1">
      <x:c r="A584" s="52"/>
      <x:c r="B584" s="52"/>
      <x:c r="C584" s="53"/>
      <x:c r="D584" s="53"/>
      <x:c r="E584" s="53"/>
      <x:c r="F584" s="53"/>
      <x:c r="G584" s="52"/>
      <x:c r="H584" s="21" t="str">
        <x:f>IF(COUNTA(A584:G584,I584)=0,"",IF(A584="","Add registration",IF(OR(COUNTA(C584:F584)&gt;COUNT(C584:F584)+COUNTIFS(C584:F584,"Reviewed N/A"),AND(COUNT(C584:F584)&gt;0,OR(MIN(C584:F584)&lt;36526,MAX(C584:F584)&gt;109574))),"Check date format",IF(AND(COUNTIFS(C584:F584,"Reviewed N/A")&gt;0,I584=""),"Add N/A reason; ","")&amp;IF(COUNT(C584:F584)=0,IF(COUNTIFS(C584:F584,"Reviewed N/A")=4,"No applicable dates recorded","Add dates"),IF(COUNT(C584:F584)+COUNTIFS(C584:F584,"Reviewed N/A")&lt;4,"Missing dates; ","")&amp;IF(MIN(C584:F584)&lt;TODAY(),"Overdue: ",IF(MIN(C584:F584)=TODAY(),"Due today: ",IF(MIN(C584:F584)&lt;=TODAY()+30,"Due within 30 days: ","Next: ")))&amp;INDEX($C$8:$F$8,1,MATCH(MIN(C584:F584),C584:F584,0))&amp;" "&amp;TEXT(MIN(C584:F584),"dd mmm yyyy")))))</x:f>
      </x:c>
      <x:c r="I584" s="52"/>
      <x:c r="J584" t="str">
        <x:f>IF(AND(A584&lt;&gt;"",COUNTIFS(C584,"&gt;=36526",C584,"&lt;"&amp;TODAY())+COUNTIFS(D584,"&gt;=36526",D584,"&lt;"&amp;TODAY())+COUNTIFS(E584,"&gt;=36526",E584,"&lt;"&amp;TODAY())+COUNTIFS(F584,"&gt;=36526",F584,"&lt;"&amp;TODAY())&gt;0),O584,"")</x:f>
      </x:c>
      <x:c r="K584" t="str">
        <x:f>IF(AND(A584&lt;&gt;"",COUNTIFS(C584,"&gt;=36526",C584,TODAY())+COUNTIFS(D584,"&gt;=36526",D584,TODAY())+COUNTIFS(E584,"&gt;=36526",E584,TODAY())+COUNTIFS(F584,"&gt;=36526",F584,TODAY())&gt;0),P584,"")</x:f>
      </x:c>
      <x:c r="L584" t="str">
        <x:f>IF(AND(A584&lt;&gt;"",COUNTIFS(C584,"&gt;"&amp;TODAY(),C584,"&lt;="&amp;TODAY()+30)+COUNTIFS(D584,"&gt;"&amp;TODAY(),D584,"&lt;="&amp;TODAY()+30)+COUNTIFS(E584,"&gt;"&amp;TODAY(),E584,"&lt;="&amp;TODAY()+30)+COUNTIFS(F584,"&gt;"&amp;TODAY(),F584,"&lt;="&amp;TODAY()+30)&gt;0),Q584,"")</x:f>
      </x:c>
      <x:c r="M584" t="str">
        <x:f>IF(OR(LEFT(H584,15)="Missing dates; ",LEFT(H584,16)="Add N/A reason; ",H584="Add dates",H584="Add registration",H584="Check date format"),R584,"")</x:f>
      </x:c>
      <x:c r="N584" t="str">
        <x:f>IF(COUNTIFS(C584:F584,"Reviewed N/A")&gt;0,S584,"")</x:f>
      </x:c>
      <x:c r="O584" t="n">
        <x:f>O583+IF(AND(A584&lt;&gt;"",COUNTIFS(C584,"&gt;=36526",C584,"&lt;"&amp;TODAY())+COUNTIFS(D584,"&gt;=36526",D584,"&lt;"&amp;TODAY())+COUNTIFS(E584,"&gt;=36526",E584,"&lt;"&amp;TODAY())+COUNTIFS(F584,"&gt;=36526",F584,"&lt;"&amp;TODAY())&gt;0),1,0)</x:f>
        <x:v>0</x:v>
      </x:c>
      <x:c r="P584" t="n">
        <x:f>P583+IF(AND(A584&lt;&gt;"",COUNTIFS(C584,"&gt;=36526",C584,TODAY())+COUNTIFS(D584,"&gt;=36526",D584,TODAY())+COUNTIFS(E584,"&gt;=36526",E584,TODAY())+COUNTIFS(F584,"&gt;=36526",F584,TODAY())&gt;0),1,0)</x:f>
        <x:v>0</x:v>
      </x:c>
      <x:c r="Q584" t="n">
        <x:f>Q583+IF(AND(A584&lt;&gt;"",COUNTIFS(C584,"&gt;"&amp;TODAY(),C584,"&lt;="&amp;TODAY()+30)+COUNTIFS(D584,"&gt;"&amp;TODAY(),D584,"&lt;="&amp;TODAY()+30)+COUNTIFS(E584,"&gt;"&amp;TODAY(),E584,"&lt;="&amp;TODAY()+30)+COUNTIFS(F584,"&gt;"&amp;TODAY(),F584,"&lt;="&amp;TODAY()+30)&gt;0),1,0)</x:f>
        <x:v>0</x:v>
      </x:c>
      <x:c r="R584" t="n">
        <x:f>R583+IF(OR(LEFT(H584,15)="Missing dates; ",LEFT(H584,16)="Add N/A reason; ",H584="Add dates",H584="Add registration",H584="Check date format"),1,0)</x:f>
        <x:v>0</x:v>
      </x:c>
      <x:c r="S584" t="n">
        <x:f>S583+IF(COUNTIFS(C584:F584,"Reviewed N/A")&gt;0,1,0)</x:f>
        <x:v>0</x:v>
      </x:c>
    </x:row>
    <x:row r="585" ht="48" customHeight="1">
      <x:c r="A585" s="52"/>
      <x:c r="B585" s="52"/>
      <x:c r="C585" s="53"/>
      <x:c r="D585" s="53"/>
      <x:c r="E585" s="53"/>
      <x:c r="F585" s="53"/>
      <x:c r="G585" s="52"/>
      <x:c r="H585" s="21" t="str">
        <x:f>IF(COUNTA(A585:G585,I585)=0,"",IF(A585="","Add registration",IF(OR(COUNTA(C585:F585)&gt;COUNT(C585:F585)+COUNTIFS(C585:F585,"Reviewed N/A"),AND(COUNT(C585:F585)&gt;0,OR(MIN(C585:F585)&lt;36526,MAX(C585:F585)&gt;109574))),"Check date format",IF(AND(COUNTIFS(C585:F585,"Reviewed N/A")&gt;0,I585=""),"Add N/A reason; ","")&amp;IF(COUNT(C585:F585)=0,IF(COUNTIFS(C585:F585,"Reviewed N/A")=4,"No applicable dates recorded","Add dates"),IF(COUNT(C585:F585)+COUNTIFS(C585:F585,"Reviewed N/A")&lt;4,"Missing dates; ","")&amp;IF(MIN(C585:F585)&lt;TODAY(),"Overdue: ",IF(MIN(C585:F585)=TODAY(),"Due today: ",IF(MIN(C585:F585)&lt;=TODAY()+30,"Due within 30 days: ","Next: ")))&amp;INDEX($C$8:$F$8,1,MATCH(MIN(C585:F585),C585:F585,0))&amp;" "&amp;TEXT(MIN(C585:F585),"dd mmm yyyy")))))</x:f>
      </x:c>
      <x:c r="I585" s="52"/>
      <x:c r="J585" t="str">
        <x:f>IF(AND(A585&lt;&gt;"",COUNTIFS(C585,"&gt;=36526",C585,"&lt;"&amp;TODAY())+COUNTIFS(D585,"&gt;=36526",D585,"&lt;"&amp;TODAY())+COUNTIFS(E585,"&gt;=36526",E585,"&lt;"&amp;TODAY())+COUNTIFS(F585,"&gt;=36526",F585,"&lt;"&amp;TODAY())&gt;0),O585,"")</x:f>
      </x:c>
      <x:c r="K585" t="str">
        <x:f>IF(AND(A585&lt;&gt;"",COUNTIFS(C585,"&gt;=36526",C585,TODAY())+COUNTIFS(D585,"&gt;=36526",D585,TODAY())+COUNTIFS(E585,"&gt;=36526",E585,TODAY())+COUNTIFS(F585,"&gt;=36526",F585,TODAY())&gt;0),P585,"")</x:f>
      </x:c>
      <x:c r="L585" t="str">
        <x:f>IF(AND(A585&lt;&gt;"",COUNTIFS(C585,"&gt;"&amp;TODAY(),C585,"&lt;="&amp;TODAY()+30)+COUNTIFS(D585,"&gt;"&amp;TODAY(),D585,"&lt;="&amp;TODAY()+30)+COUNTIFS(E585,"&gt;"&amp;TODAY(),E585,"&lt;="&amp;TODAY()+30)+COUNTIFS(F585,"&gt;"&amp;TODAY(),F585,"&lt;="&amp;TODAY()+30)&gt;0),Q585,"")</x:f>
      </x:c>
      <x:c r="M585" t="str">
        <x:f>IF(OR(LEFT(H585,15)="Missing dates; ",LEFT(H585,16)="Add N/A reason; ",H585="Add dates",H585="Add registration",H585="Check date format"),R585,"")</x:f>
      </x:c>
      <x:c r="N585" t="str">
        <x:f>IF(COUNTIFS(C585:F585,"Reviewed N/A")&gt;0,S585,"")</x:f>
      </x:c>
      <x:c r="O585" t="n">
        <x:f>O584+IF(AND(A585&lt;&gt;"",COUNTIFS(C585,"&gt;=36526",C585,"&lt;"&amp;TODAY())+COUNTIFS(D585,"&gt;=36526",D585,"&lt;"&amp;TODAY())+COUNTIFS(E585,"&gt;=36526",E585,"&lt;"&amp;TODAY())+COUNTIFS(F585,"&gt;=36526",F585,"&lt;"&amp;TODAY())&gt;0),1,0)</x:f>
        <x:v>0</x:v>
      </x:c>
      <x:c r="P585" t="n">
        <x:f>P584+IF(AND(A585&lt;&gt;"",COUNTIFS(C585,"&gt;=36526",C585,TODAY())+COUNTIFS(D585,"&gt;=36526",D585,TODAY())+COUNTIFS(E585,"&gt;=36526",E585,TODAY())+COUNTIFS(F585,"&gt;=36526",F585,TODAY())&gt;0),1,0)</x:f>
        <x:v>0</x:v>
      </x:c>
      <x:c r="Q585" t="n">
        <x:f>Q584+IF(AND(A585&lt;&gt;"",COUNTIFS(C585,"&gt;"&amp;TODAY(),C585,"&lt;="&amp;TODAY()+30)+COUNTIFS(D585,"&gt;"&amp;TODAY(),D585,"&lt;="&amp;TODAY()+30)+COUNTIFS(E585,"&gt;"&amp;TODAY(),E585,"&lt;="&amp;TODAY()+30)+COUNTIFS(F585,"&gt;"&amp;TODAY(),F585,"&lt;="&amp;TODAY()+30)&gt;0),1,0)</x:f>
        <x:v>0</x:v>
      </x:c>
      <x:c r="R585" t="n">
        <x:f>R584+IF(OR(LEFT(H585,15)="Missing dates; ",LEFT(H585,16)="Add N/A reason; ",H585="Add dates",H585="Add registration",H585="Check date format"),1,0)</x:f>
        <x:v>0</x:v>
      </x:c>
      <x:c r="S585" t="n">
        <x:f>S584+IF(COUNTIFS(C585:F585,"Reviewed N/A")&gt;0,1,0)</x:f>
        <x:v>0</x:v>
      </x:c>
    </x:row>
    <x:row r="586" ht="48" customHeight="1">
      <x:c r="A586" s="52"/>
      <x:c r="B586" s="52"/>
      <x:c r="C586" s="53"/>
      <x:c r="D586" s="53"/>
      <x:c r="E586" s="53"/>
      <x:c r="F586" s="53"/>
      <x:c r="G586" s="52"/>
      <x:c r="H586" s="21" t="str">
        <x:f>IF(COUNTA(A586:G586,I586)=0,"",IF(A586="","Add registration",IF(OR(COUNTA(C586:F586)&gt;COUNT(C586:F586)+COUNTIFS(C586:F586,"Reviewed N/A"),AND(COUNT(C586:F586)&gt;0,OR(MIN(C586:F586)&lt;36526,MAX(C586:F586)&gt;109574))),"Check date format",IF(AND(COUNTIFS(C586:F586,"Reviewed N/A")&gt;0,I586=""),"Add N/A reason; ","")&amp;IF(COUNT(C586:F586)=0,IF(COUNTIFS(C586:F586,"Reviewed N/A")=4,"No applicable dates recorded","Add dates"),IF(COUNT(C586:F586)+COUNTIFS(C586:F586,"Reviewed N/A")&lt;4,"Missing dates; ","")&amp;IF(MIN(C586:F586)&lt;TODAY(),"Overdue: ",IF(MIN(C586:F586)=TODAY(),"Due today: ",IF(MIN(C586:F586)&lt;=TODAY()+30,"Due within 30 days: ","Next: ")))&amp;INDEX($C$8:$F$8,1,MATCH(MIN(C586:F586),C586:F586,0))&amp;" "&amp;TEXT(MIN(C586:F586),"dd mmm yyyy")))))</x:f>
      </x:c>
      <x:c r="I586" s="52"/>
      <x:c r="J586" t="str">
        <x:f>IF(AND(A586&lt;&gt;"",COUNTIFS(C586,"&gt;=36526",C586,"&lt;"&amp;TODAY())+COUNTIFS(D586,"&gt;=36526",D586,"&lt;"&amp;TODAY())+COUNTIFS(E586,"&gt;=36526",E586,"&lt;"&amp;TODAY())+COUNTIFS(F586,"&gt;=36526",F586,"&lt;"&amp;TODAY())&gt;0),O586,"")</x:f>
      </x:c>
      <x:c r="K586" t="str">
        <x:f>IF(AND(A586&lt;&gt;"",COUNTIFS(C586,"&gt;=36526",C586,TODAY())+COUNTIFS(D586,"&gt;=36526",D586,TODAY())+COUNTIFS(E586,"&gt;=36526",E586,TODAY())+COUNTIFS(F586,"&gt;=36526",F586,TODAY())&gt;0),P586,"")</x:f>
      </x:c>
      <x:c r="L586" t="str">
        <x:f>IF(AND(A586&lt;&gt;"",COUNTIFS(C586,"&gt;"&amp;TODAY(),C586,"&lt;="&amp;TODAY()+30)+COUNTIFS(D586,"&gt;"&amp;TODAY(),D586,"&lt;="&amp;TODAY()+30)+COUNTIFS(E586,"&gt;"&amp;TODAY(),E586,"&lt;="&amp;TODAY()+30)+COUNTIFS(F586,"&gt;"&amp;TODAY(),F586,"&lt;="&amp;TODAY()+30)&gt;0),Q586,"")</x:f>
      </x:c>
      <x:c r="M586" t="str">
        <x:f>IF(OR(LEFT(H586,15)="Missing dates; ",LEFT(H586,16)="Add N/A reason; ",H586="Add dates",H586="Add registration",H586="Check date format"),R586,"")</x:f>
      </x:c>
      <x:c r="N586" t="str">
        <x:f>IF(COUNTIFS(C586:F586,"Reviewed N/A")&gt;0,S586,"")</x:f>
      </x:c>
      <x:c r="O586" t="n">
        <x:f>O585+IF(AND(A586&lt;&gt;"",COUNTIFS(C586,"&gt;=36526",C586,"&lt;"&amp;TODAY())+COUNTIFS(D586,"&gt;=36526",D586,"&lt;"&amp;TODAY())+COUNTIFS(E586,"&gt;=36526",E586,"&lt;"&amp;TODAY())+COUNTIFS(F586,"&gt;=36526",F586,"&lt;"&amp;TODAY())&gt;0),1,0)</x:f>
        <x:v>0</x:v>
      </x:c>
      <x:c r="P586" t="n">
        <x:f>P585+IF(AND(A586&lt;&gt;"",COUNTIFS(C586,"&gt;=36526",C586,TODAY())+COUNTIFS(D586,"&gt;=36526",D586,TODAY())+COUNTIFS(E586,"&gt;=36526",E586,TODAY())+COUNTIFS(F586,"&gt;=36526",F586,TODAY())&gt;0),1,0)</x:f>
        <x:v>0</x:v>
      </x:c>
      <x:c r="Q586" t="n">
        <x:f>Q585+IF(AND(A586&lt;&gt;"",COUNTIFS(C586,"&gt;"&amp;TODAY(),C586,"&lt;="&amp;TODAY()+30)+COUNTIFS(D586,"&gt;"&amp;TODAY(),D586,"&lt;="&amp;TODAY()+30)+COUNTIFS(E586,"&gt;"&amp;TODAY(),E586,"&lt;="&amp;TODAY()+30)+COUNTIFS(F586,"&gt;"&amp;TODAY(),F586,"&lt;="&amp;TODAY()+30)&gt;0),1,0)</x:f>
        <x:v>0</x:v>
      </x:c>
      <x:c r="R586" t="n">
        <x:f>R585+IF(OR(LEFT(H586,15)="Missing dates; ",LEFT(H586,16)="Add N/A reason; ",H586="Add dates",H586="Add registration",H586="Check date format"),1,0)</x:f>
        <x:v>0</x:v>
      </x:c>
      <x:c r="S586" t="n">
        <x:f>S585+IF(COUNTIFS(C586:F586,"Reviewed N/A")&gt;0,1,0)</x:f>
        <x:v>0</x:v>
      </x:c>
    </x:row>
    <x:row r="587" ht="48" customHeight="1">
      <x:c r="A587" s="52"/>
      <x:c r="B587" s="52"/>
      <x:c r="C587" s="53"/>
      <x:c r="D587" s="53"/>
      <x:c r="E587" s="53"/>
      <x:c r="F587" s="53"/>
      <x:c r="G587" s="52"/>
      <x:c r="H587" s="21" t="str">
        <x:f>IF(COUNTA(A587:G587,I587)=0,"",IF(A587="","Add registration",IF(OR(COUNTA(C587:F587)&gt;COUNT(C587:F587)+COUNTIFS(C587:F587,"Reviewed N/A"),AND(COUNT(C587:F587)&gt;0,OR(MIN(C587:F587)&lt;36526,MAX(C587:F587)&gt;109574))),"Check date format",IF(AND(COUNTIFS(C587:F587,"Reviewed N/A")&gt;0,I587=""),"Add N/A reason; ","")&amp;IF(COUNT(C587:F587)=0,IF(COUNTIFS(C587:F587,"Reviewed N/A")=4,"No applicable dates recorded","Add dates"),IF(COUNT(C587:F587)+COUNTIFS(C587:F587,"Reviewed N/A")&lt;4,"Missing dates; ","")&amp;IF(MIN(C587:F587)&lt;TODAY(),"Overdue: ",IF(MIN(C587:F587)=TODAY(),"Due today: ",IF(MIN(C587:F587)&lt;=TODAY()+30,"Due within 30 days: ","Next: ")))&amp;INDEX($C$8:$F$8,1,MATCH(MIN(C587:F587),C587:F587,0))&amp;" "&amp;TEXT(MIN(C587:F587),"dd mmm yyyy")))))</x:f>
      </x:c>
      <x:c r="I587" s="52"/>
      <x:c r="J587" t="str">
        <x:f>IF(AND(A587&lt;&gt;"",COUNTIFS(C587,"&gt;=36526",C587,"&lt;"&amp;TODAY())+COUNTIFS(D587,"&gt;=36526",D587,"&lt;"&amp;TODAY())+COUNTIFS(E587,"&gt;=36526",E587,"&lt;"&amp;TODAY())+COUNTIFS(F587,"&gt;=36526",F587,"&lt;"&amp;TODAY())&gt;0),O587,"")</x:f>
      </x:c>
      <x:c r="K587" t="str">
        <x:f>IF(AND(A587&lt;&gt;"",COUNTIFS(C587,"&gt;=36526",C587,TODAY())+COUNTIFS(D587,"&gt;=36526",D587,TODAY())+COUNTIFS(E587,"&gt;=36526",E587,TODAY())+COUNTIFS(F587,"&gt;=36526",F587,TODAY())&gt;0),P587,"")</x:f>
      </x:c>
      <x:c r="L587" t="str">
        <x:f>IF(AND(A587&lt;&gt;"",COUNTIFS(C587,"&gt;"&amp;TODAY(),C587,"&lt;="&amp;TODAY()+30)+COUNTIFS(D587,"&gt;"&amp;TODAY(),D587,"&lt;="&amp;TODAY()+30)+COUNTIFS(E587,"&gt;"&amp;TODAY(),E587,"&lt;="&amp;TODAY()+30)+COUNTIFS(F587,"&gt;"&amp;TODAY(),F587,"&lt;="&amp;TODAY()+30)&gt;0),Q587,"")</x:f>
      </x:c>
      <x:c r="M587" t="str">
        <x:f>IF(OR(LEFT(H587,15)="Missing dates; ",LEFT(H587,16)="Add N/A reason; ",H587="Add dates",H587="Add registration",H587="Check date format"),R587,"")</x:f>
      </x:c>
      <x:c r="N587" t="str">
        <x:f>IF(COUNTIFS(C587:F587,"Reviewed N/A")&gt;0,S587,"")</x:f>
      </x:c>
      <x:c r="O587" t="n">
        <x:f>O586+IF(AND(A587&lt;&gt;"",COUNTIFS(C587,"&gt;=36526",C587,"&lt;"&amp;TODAY())+COUNTIFS(D587,"&gt;=36526",D587,"&lt;"&amp;TODAY())+COUNTIFS(E587,"&gt;=36526",E587,"&lt;"&amp;TODAY())+COUNTIFS(F587,"&gt;=36526",F587,"&lt;"&amp;TODAY())&gt;0),1,0)</x:f>
        <x:v>0</x:v>
      </x:c>
      <x:c r="P587" t="n">
        <x:f>P586+IF(AND(A587&lt;&gt;"",COUNTIFS(C587,"&gt;=36526",C587,TODAY())+COUNTIFS(D587,"&gt;=36526",D587,TODAY())+COUNTIFS(E587,"&gt;=36526",E587,TODAY())+COUNTIFS(F587,"&gt;=36526",F587,TODAY())&gt;0),1,0)</x:f>
        <x:v>0</x:v>
      </x:c>
      <x:c r="Q587" t="n">
        <x:f>Q586+IF(AND(A587&lt;&gt;"",COUNTIFS(C587,"&gt;"&amp;TODAY(),C587,"&lt;="&amp;TODAY()+30)+COUNTIFS(D587,"&gt;"&amp;TODAY(),D587,"&lt;="&amp;TODAY()+30)+COUNTIFS(E587,"&gt;"&amp;TODAY(),E587,"&lt;="&amp;TODAY()+30)+COUNTIFS(F587,"&gt;"&amp;TODAY(),F587,"&lt;="&amp;TODAY()+30)&gt;0),1,0)</x:f>
        <x:v>0</x:v>
      </x:c>
      <x:c r="R587" t="n">
        <x:f>R586+IF(OR(LEFT(H587,15)="Missing dates; ",LEFT(H587,16)="Add N/A reason; ",H587="Add dates",H587="Add registration",H587="Check date format"),1,0)</x:f>
        <x:v>0</x:v>
      </x:c>
      <x:c r="S587" t="n">
        <x:f>S586+IF(COUNTIFS(C587:F587,"Reviewed N/A")&gt;0,1,0)</x:f>
        <x:v>0</x:v>
      </x:c>
    </x:row>
    <x:row r="588" ht="48" customHeight="1">
      <x:c r="A588" s="52"/>
      <x:c r="B588" s="52"/>
      <x:c r="C588" s="53"/>
      <x:c r="D588" s="53"/>
      <x:c r="E588" s="53"/>
      <x:c r="F588" s="53"/>
      <x:c r="G588" s="52"/>
      <x:c r="H588" s="21" t="str">
        <x:f>IF(COUNTA(A588:G588,I588)=0,"",IF(A588="","Add registration",IF(OR(COUNTA(C588:F588)&gt;COUNT(C588:F588)+COUNTIFS(C588:F588,"Reviewed N/A"),AND(COUNT(C588:F588)&gt;0,OR(MIN(C588:F588)&lt;36526,MAX(C588:F588)&gt;109574))),"Check date format",IF(AND(COUNTIFS(C588:F588,"Reviewed N/A")&gt;0,I588=""),"Add N/A reason; ","")&amp;IF(COUNT(C588:F588)=0,IF(COUNTIFS(C588:F588,"Reviewed N/A")=4,"No applicable dates recorded","Add dates"),IF(COUNT(C588:F588)+COUNTIFS(C588:F588,"Reviewed N/A")&lt;4,"Missing dates; ","")&amp;IF(MIN(C588:F588)&lt;TODAY(),"Overdue: ",IF(MIN(C588:F588)=TODAY(),"Due today: ",IF(MIN(C588:F588)&lt;=TODAY()+30,"Due within 30 days: ","Next: ")))&amp;INDEX($C$8:$F$8,1,MATCH(MIN(C588:F588),C588:F588,0))&amp;" "&amp;TEXT(MIN(C588:F588),"dd mmm yyyy")))))</x:f>
      </x:c>
      <x:c r="I588" s="52"/>
      <x:c r="J588" t="str">
        <x:f>IF(AND(A588&lt;&gt;"",COUNTIFS(C588,"&gt;=36526",C588,"&lt;"&amp;TODAY())+COUNTIFS(D588,"&gt;=36526",D588,"&lt;"&amp;TODAY())+COUNTIFS(E588,"&gt;=36526",E588,"&lt;"&amp;TODAY())+COUNTIFS(F588,"&gt;=36526",F588,"&lt;"&amp;TODAY())&gt;0),O588,"")</x:f>
      </x:c>
      <x:c r="K588" t="str">
        <x:f>IF(AND(A588&lt;&gt;"",COUNTIFS(C588,"&gt;=36526",C588,TODAY())+COUNTIFS(D588,"&gt;=36526",D588,TODAY())+COUNTIFS(E588,"&gt;=36526",E588,TODAY())+COUNTIFS(F588,"&gt;=36526",F588,TODAY())&gt;0),P588,"")</x:f>
      </x:c>
      <x:c r="L588" t="str">
        <x:f>IF(AND(A588&lt;&gt;"",COUNTIFS(C588,"&gt;"&amp;TODAY(),C588,"&lt;="&amp;TODAY()+30)+COUNTIFS(D588,"&gt;"&amp;TODAY(),D588,"&lt;="&amp;TODAY()+30)+COUNTIFS(E588,"&gt;"&amp;TODAY(),E588,"&lt;="&amp;TODAY()+30)+COUNTIFS(F588,"&gt;"&amp;TODAY(),F588,"&lt;="&amp;TODAY()+30)&gt;0),Q588,"")</x:f>
      </x:c>
      <x:c r="M588" t="str">
        <x:f>IF(OR(LEFT(H588,15)="Missing dates; ",LEFT(H588,16)="Add N/A reason; ",H588="Add dates",H588="Add registration",H588="Check date format"),R588,"")</x:f>
      </x:c>
      <x:c r="N588" t="str">
        <x:f>IF(COUNTIFS(C588:F588,"Reviewed N/A")&gt;0,S588,"")</x:f>
      </x:c>
      <x:c r="O588" t="n">
        <x:f>O587+IF(AND(A588&lt;&gt;"",COUNTIFS(C588,"&gt;=36526",C588,"&lt;"&amp;TODAY())+COUNTIFS(D588,"&gt;=36526",D588,"&lt;"&amp;TODAY())+COUNTIFS(E588,"&gt;=36526",E588,"&lt;"&amp;TODAY())+COUNTIFS(F588,"&gt;=36526",F588,"&lt;"&amp;TODAY())&gt;0),1,0)</x:f>
        <x:v>0</x:v>
      </x:c>
      <x:c r="P588" t="n">
        <x:f>P587+IF(AND(A588&lt;&gt;"",COUNTIFS(C588,"&gt;=36526",C588,TODAY())+COUNTIFS(D588,"&gt;=36526",D588,TODAY())+COUNTIFS(E588,"&gt;=36526",E588,TODAY())+COUNTIFS(F588,"&gt;=36526",F588,TODAY())&gt;0),1,0)</x:f>
        <x:v>0</x:v>
      </x:c>
      <x:c r="Q588" t="n">
        <x:f>Q587+IF(AND(A588&lt;&gt;"",COUNTIFS(C588,"&gt;"&amp;TODAY(),C588,"&lt;="&amp;TODAY()+30)+COUNTIFS(D588,"&gt;"&amp;TODAY(),D588,"&lt;="&amp;TODAY()+30)+COUNTIFS(E588,"&gt;"&amp;TODAY(),E588,"&lt;="&amp;TODAY()+30)+COUNTIFS(F588,"&gt;"&amp;TODAY(),F588,"&lt;="&amp;TODAY()+30)&gt;0),1,0)</x:f>
        <x:v>0</x:v>
      </x:c>
      <x:c r="R588" t="n">
        <x:f>R587+IF(OR(LEFT(H588,15)="Missing dates; ",LEFT(H588,16)="Add N/A reason; ",H588="Add dates",H588="Add registration",H588="Check date format"),1,0)</x:f>
        <x:v>0</x:v>
      </x:c>
      <x:c r="S588" t="n">
        <x:f>S587+IF(COUNTIFS(C588:F588,"Reviewed N/A")&gt;0,1,0)</x:f>
        <x:v>0</x:v>
      </x:c>
    </x:row>
    <x:row r="589" ht="48" customHeight="1">
      <x:c r="A589" s="52"/>
      <x:c r="B589" s="52"/>
      <x:c r="C589" s="53"/>
      <x:c r="D589" s="53"/>
      <x:c r="E589" s="53"/>
      <x:c r="F589" s="53"/>
      <x:c r="G589" s="52"/>
      <x:c r="H589" s="21" t="str">
        <x:f>IF(COUNTA(A589:G589,I589)=0,"",IF(A589="","Add registration",IF(OR(COUNTA(C589:F589)&gt;COUNT(C589:F589)+COUNTIFS(C589:F589,"Reviewed N/A"),AND(COUNT(C589:F589)&gt;0,OR(MIN(C589:F589)&lt;36526,MAX(C589:F589)&gt;109574))),"Check date format",IF(AND(COUNTIFS(C589:F589,"Reviewed N/A")&gt;0,I589=""),"Add N/A reason; ","")&amp;IF(COUNT(C589:F589)=0,IF(COUNTIFS(C589:F589,"Reviewed N/A")=4,"No applicable dates recorded","Add dates"),IF(COUNT(C589:F589)+COUNTIFS(C589:F589,"Reviewed N/A")&lt;4,"Missing dates; ","")&amp;IF(MIN(C589:F589)&lt;TODAY(),"Overdue: ",IF(MIN(C589:F589)=TODAY(),"Due today: ",IF(MIN(C589:F589)&lt;=TODAY()+30,"Due within 30 days: ","Next: ")))&amp;INDEX($C$8:$F$8,1,MATCH(MIN(C589:F589),C589:F589,0))&amp;" "&amp;TEXT(MIN(C589:F589),"dd mmm yyyy")))))</x:f>
      </x:c>
      <x:c r="I589" s="52"/>
      <x:c r="J589" t="str">
        <x:f>IF(AND(A589&lt;&gt;"",COUNTIFS(C589,"&gt;=36526",C589,"&lt;"&amp;TODAY())+COUNTIFS(D589,"&gt;=36526",D589,"&lt;"&amp;TODAY())+COUNTIFS(E589,"&gt;=36526",E589,"&lt;"&amp;TODAY())+COUNTIFS(F589,"&gt;=36526",F589,"&lt;"&amp;TODAY())&gt;0),O589,"")</x:f>
      </x:c>
      <x:c r="K589" t="str">
        <x:f>IF(AND(A589&lt;&gt;"",COUNTIFS(C589,"&gt;=36526",C589,TODAY())+COUNTIFS(D589,"&gt;=36526",D589,TODAY())+COUNTIFS(E589,"&gt;=36526",E589,TODAY())+COUNTIFS(F589,"&gt;=36526",F589,TODAY())&gt;0),P589,"")</x:f>
      </x:c>
      <x:c r="L589" t="str">
        <x:f>IF(AND(A589&lt;&gt;"",COUNTIFS(C589,"&gt;"&amp;TODAY(),C589,"&lt;="&amp;TODAY()+30)+COUNTIFS(D589,"&gt;"&amp;TODAY(),D589,"&lt;="&amp;TODAY()+30)+COUNTIFS(E589,"&gt;"&amp;TODAY(),E589,"&lt;="&amp;TODAY()+30)+COUNTIFS(F589,"&gt;"&amp;TODAY(),F589,"&lt;="&amp;TODAY()+30)&gt;0),Q589,"")</x:f>
      </x:c>
      <x:c r="M589" t="str">
        <x:f>IF(OR(LEFT(H589,15)="Missing dates; ",LEFT(H589,16)="Add N/A reason; ",H589="Add dates",H589="Add registration",H589="Check date format"),R589,"")</x:f>
      </x:c>
      <x:c r="N589" t="str">
        <x:f>IF(COUNTIFS(C589:F589,"Reviewed N/A")&gt;0,S589,"")</x:f>
      </x:c>
      <x:c r="O589" t="n">
        <x:f>O588+IF(AND(A589&lt;&gt;"",COUNTIFS(C589,"&gt;=36526",C589,"&lt;"&amp;TODAY())+COUNTIFS(D589,"&gt;=36526",D589,"&lt;"&amp;TODAY())+COUNTIFS(E589,"&gt;=36526",E589,"&lt;"&amp;TODAY())+COUNTIFS(F589,"&gt;=36526",F589,"&lt;"&amp;TODAY())&gt;0),1,0)</x:f>
        <x:v>0</x:v>
      </x:c>
      <x:c r="P589" t="n">
        <x:f>P588+IF(AND(A589&lt;&gt;"",COUNTIFS(C589,"&gt;=36526",C589,TODAY())+COUNTIFS(D589,"&gt;=36526",D589,TODAY())+COUNTIFS(E589,"&gt;=36526",E589,TODAY())+COUNTIFS(F589,"&gt;=36526",F589,TODAY())&gt;0),1,0)</x:f>
        <x:v>0</x:v>
      </x:c>
      <x:c r="Q589" t="n">
        <x:f>Q588+IF(AND(A589&lt;&gt;"",COUNTIFS(C589,"&gt;"&amp;TODAY(),C589,"&lt;="&amp;TODAY()+30)+COUNTIFS(D589,"&gt;"&amp;TODAY(),D589,"&lt;="&amp;TODAY()+30)+COUNTIFS(E589,"&gt;"&amp;TODAY(),E589,"&lt;="&amp;TODAY()+30)+COUNTIFS(F589,"&gt;"&amp;TODAY(),F589,"&lt;="&amp;TODAY()+30)&gt;0),1,0)</x:f>
        <x:v>0</x:v>
      </x:c>
      <x:c r="R589" t="n">
        <x:f>R588+IF(OR(LEFT(H589,15)="Missing dates; ",LEFT(H589,16)="Add N/A reason; ",H589="Add dates",H589="Add registration",H589="Check date format"),1,0)</x:f>
        <x:v>0</x:v>
      </x:c>
      <x:c r="S589" t="n">
        <x:f>S588+IF(COUNTIFS(C589:F589,"Reviewed N/A")&gt;0,1,0)</x:f>
        <x:v>0</x:v>
      </x:c>
    </x:row>
    <x:row r="590" ht="48" customHeight="1">
      <x:c r="A590" s="52"/>
      <x:c r="B590" s="52"/>
      <x:c r="C590" s="53"/>
      <x:c r="D590" s="53"/>
      <x:c r="E590" s="53"/>
      <x:c r="F590" s="53"/>
      <x:c r="G590" s="52"/>
      <x:c r="H590" s="21" t="str">
        <x:f>IF(COUNTA(A590:G590,I590)=0,"",IF(A590="","Add registration",IF(OR(COUNTA(C590:F590)&gt;COUNT(C590:F590)+COUNTIFS(C590:F590,"Reviewed N/A"),AND(COUNT(C590:F590)&gt;0,OR(MIN(C590:F590)&lt;36526,MAX(C590:F590)&gt;109574))),"Check date format",IF(AND(COUNTIFS(C590:F590,"Reviewed N/A")&gt;0,I590=""),"Add N/A reason; ","")&amp;IF(COUNT(C590:F590)=0,IF(COUNTIFS(C590:F590,"Reviewed N/A")=4,"No applicable dates recorded","Add dates"),IF(COUNT(C590:F590)+COUNTIFS(C590:F590,"Reviewed N/A")&lt;4,"Missing dates; ","")&amp;IF(MIN(C590:F590)&lt;TODAY(),"Overdue: ",IF(MIN(C590:F590)=TODAY(),"Due today: ",IF(MIN(C590:F590)&lt;=TODAY()+30,"Due within 30 days: ","Next: ")))&amp;INDEX($C$8:$F$8,1,MATCH(MIN(C590:F590),C590:F590,0))&amp;" "&amp;TEXT(MIN(C590:F590),"dd mmm yyyy")))))</x:f>
      </x:c>
      <x:c r="I590" s="52"/>
      <x:c r="J590" t="str">
        <x:f>IF(AND(A590&lt;&gt;"",COUNTIFS(C590,"&gt;=36526",C590,"&lt;"&amp;TODAY())+COUNTIFS(D590,"&gt;=36526",D590,"&lt;"&amp;TODAY())+COUNTIFS(E590,"&gt;=36526",E590,"&lt;"&amp;TODAY())+COUNTIFS(F590,"&gt;=36526",F590,"&lt;"&amp;TODAY())&gt;0),O590,"")</x:f>
      </x:c>
      <x:c r="K590" t="str">
        <x:f>IF(AND(A590&lt;&gt;"",COUNTIFS(C590,"&gt;=36526",C590,TODAY())+COUNTIFS(D590,"&gt;=36526",D590,TODAY())+COUNTIFS(E590,"&gt;=36526",E590,TODAY())+COUNTIFS(F590,"&gt;=36526",F590,TODAY())&gt;0),P590,"")</x:f>
      </x:c>
      <x:c r="L590" t="str">
        <x:f>IF(AND(A590&lt;&gt;"",COUNTIFS(C590,"&gt;"&amp;TODAY(),C590,"&lt;="&amp;TODAY()+30)+COUNTIFS(D590,"&gt;"&amp;TODAY(),D590,"&lt;="&amp;TODAY()+30)+COUNTIFS(E590,"&gt;"&amp;TODAY(),E590,"&lt;="&amp;TODAY()+30)+COUNTIFS(F590,"&gt;"&amp;TODAY(),F590,"&lt;="&amp;TODAY()+30)&gt;0),Q590,"")</x:f>
      </x:c>
      <x:c r="M590" t="str">
        <x:f>IF(OR(LEFT(H590,15)="Missing dates; ",LEFT(H590,16)="Add N/A reason; ",H590="Add dates",H590="Add registration",H590="Check date format"),R590,"")</x:f>
      </x:c>
      <x:c r="N590" t="str">
        <x:f>IF(COUNTIFS(C590:F590,"Reviewed N/A")&gt;0,S590,"")</x:f>
      </x:c>
      <x:c r="O590" t="n">
        <x:f>O589+IF(AND(A590&lt;&gt;"",COUNTIFS(C590,"&gt;=36526",C590,"&lt;"&amp;TODAY())+COUNTIFS(D590,"&gt;=36526",D590,"&lt;"&amp;TODAY())+COUNTIFS(E590,"&gt;=36526",E590,"&lt;"&amp;TODAY())+COUNTIFS(F590,"&gt;=36526",F590,"&lt;"&amp;TODAY())&gt;0),1,0)</x:f>
        <x:v>0</x:v>
      </x:c>
      <x:c r="P590" t="n">
        <x:f>P589+IF(AND(A590&lt;&gt;"",COUNTIFS(C590,"&gt;=36526",C590,TODAY())+COUNTIFS(D590,"&gt;=36526",D590,TODAY())+COUNTIFS(E590,"&gt;=36526",E590,TODAY())+COUNTIFS(F590,"&gt;=36526",F590,TODAY())&gt;0),1,0)</x:f>
        <x:v>0</x:v>
      </x:c>
      <x:c r="Q590" t="n">
        <x:f>Q589+IF(AND(A590&lt;&gt;"",COUNTIFS(C590,"&gt;"&amp;TODAY(),C590,"&lt;="&amp;TODAY()+30)+COUNTIFS(D590,"&gt;"&amp;TODAY(),D590,"&lt;="&amp;TODAY()+30)+COUNTIFS(E590,"&gt;"&amp;TODAY(),E590,"&lt;="&amp;TODAY()+30)+COUNTIFS(F590,"&gt;"&amp;TODAY(),F590,"&lt;="&amp;TODAY()+30)&gt;0),1,0)</x:f>
        <x:v>0</x:v>
      </x:c>
      <x:c r="R590" t="n">
        <x:f>R589+IF(OR(LEFT(H590,15)="Missing dates; ",LEFT(H590,16)="Add N/A reason; ",H590="Add dates",H590="Add registration",H590="Check date format"),1,0)</x:f>
        <x:v>0</x:v>
      </x:c>
      <x:c r="S590" t="n">
        <x:f>S589+IF(COUNTIFS(C590:F590,"Reviewed N/A")&gt;0,1,0)</x:f>
        <x:v>0</x:v>
      </x:c>
    </x:row>
    <x:row r="591" ht="48" customHeight="1">
      <x:c r="A591" s="52"/>
      <x:c r="B591" s="52"/>
      <x:c r="C591" s="53"/>
      <x:c r="D591" s="53"/>
      <x:c r="E591" s="53"/>
      <x:c r="F591" s="53"/>
      <x:c r="G591" s="52"/>
      <x:c r="H591" s="21" t="str">
        <x:f>IF(COUNTA(A591:G591,I591)=0,"",IF(A591="","Add registration",IF(OR(COUNTA(C591:F591)&gt;COUNT(C591:F591)+COUNTIFS(C591:F591,"Reviewed N/A"),AND(COUNT(C591:F591)&gt;0,OR(MIN(C591:F591)&lt;36526,MAX(C591:F591)&gt;109574))),"Check date format",IF(AND(COUNTIFS(C591:F591,"Reviewed N/A")&gt;0,I591=""),"Add N/A reason; ","")&amp;IF(COUNT(C591:F591)=0,IF(COUNTIFS(C591:F591,"Reviewed N/A")=4,"No applicable dates recorded","Add dates"),IF(COUNT(C591:F591)+COUNTIFS(C591:F591,"Reviewed N/A")&lt;4,"Missing dates; ","")&amp;IF(MIN(C591:F591)&lt;TODAY(),"Overdue: ",IF(MIN(C591:F591)=TODAY(),"Due today: ",IF(MIN(C591:F591)&lt;=TODAY()+30,"Due within 30 days: ","Next: ")))&amp;INDEX($C$8:$F$8,1,MATCH(MIN(C591:F591),C591:F591,0))&amp;" "&amp;TEXT(MIN(C591:F591),"dd mmm yyyy")))))</x:f>
      </x:c>
      <x:c r="I591" s="52"/>
      <x:c r="J591" t="str">
        <x:f>IF(AND(A591&lt;&gt;"",COUNTIFS(C591,"&gt;=36526",C591,"&lt;"&amp;TODAY())+COUNTIFS(D591,"&gt;=36526",D591,"&lt;"&amp;TODAY())+COUNTIFS(E591,"&gt;=36526",E591,"&lt;"&amp;TODAY())+COUNTIFS(F591,"&gt;=36526",F591,"&lt;"&amp;TODAY())&gt;0),O591,"")</x:f>
      </x:c>
      <x:c r="K591" t="str">
        <x:f>IF(AND(A591&lt;&gt;"",COUNTIFS(C591,"&gt;=36526",C591,TODAY())+COUNTIFS(D591,"&gt;=36526",D591,TODAY())+COUNTIFS(E591,"&gt;=36526",E591,TODAY())+COUNTIFS(F591,"&gt;=36526",F591,TODAY())&gt;0),P591,"")</x:f>
      </x:c>
      <x:c r="L591" t="str">
        <x:f>IF(AND(A591&lt;&gt;"",COUNTIFS(C591,"&gt;"&amp;TODAY(),C591,"&lt;="&amp;TODAY()+30)+COUNTIFS(D591,"&gt;"&amp;TODAY(),D591,"&lt;="&amp;TODAY()+30)+COUNTIFS(E591,"&gt;"&amp;TODAY(),E591,"&lt;="&amp;TODAY()+30)+COUNTIFS(F591,"&gt;"&amp;TODAY(),F591,"&lt;="&amp;TODAY()+30)&gt;0),Q591,"")</x:f>
      </x:c>
      <x:c r="M591" t="str">
        <x:f>IF(OR(LEFT(H591,15)="Missing dates; ",LEFT(H591,16)="Add N/A reason; ",H591="Add dates",H591="Add registration",H591="Check date format"),R591,"")</x:f>
      </x:c>
      <x:c r="N591" t="str">
        <x:f>IF(COUNTIFS(C591:F591,"Reviewed N/A")&gt;0,S591,"")</x:f>
      </x:c>
      <x:c r="O591" t="n">
        <x:f>O590+IF(AND(A591&lt;&gt;"",COUNTIFS(C591,"&gt;=36526",C591,"&lt;"&amp;TODAY())+COUNTIFS(D591,"&gt;=36526",D591,"&lt;"&amp;TODAY())+COUNTIFS(E591,"&gt;=36526",E591,"&lt;"&amp;TODAY())+COUNTIFS(F591,"&gt;=36526",F591,"&lt;"&amp;TODAY())&gt;0),1,0)</x:f>
        <x:v>0</x:v>
      </x:c>
      <x:c r="P591" t="n">
        <x:f>P590+IF(AND(A591&lt;&gt;"",COUNTIFS(C591,"&gt;=36526",C591,TODAY())+COUNTIFS(D591,"&gt;=36526",D591,TODAY())+COUNTIFS(E591,"&gt;=36526",E591,TODAY())+COUNTIFS(F591,"&gt;=36526",F591,TODAY())&gt;0),1,0)</x:f>
        <x:v>0</x:v>
      </x:c>
      <x:c r="Q591" t="n">
        <x:f>Q590+IF(AND(A591&lt;&gt;"",COUNTIFS(C591,"&gt;"&amp;TODAY(),C591,"&lt;="&amp;TODAY()+30)+COUNTIFS(D591,"&gt;"&amp;TODAY(),D591,"&lt;="&amp;TODAY()+30)+COUNTIFS(E591,"&gt;"&amp;TODAY(),E591,"&lt;="&amp;TODAY()+30)+COUNTIFS(F591,"&gt;"&amp;TODAY(),F591,"&lt;="&amp;TODAY()+30)&gt;0),1,0)</x:f>
        <x:v>0</x:v>
      </x:c>
      <x:c r="R591" t="n">
        <x:f>R590+IF(OR(LEFT(H591,15)="Missing dates; ",LEFT(H591,16)="Add N/A reason; ",H591="Add dates",H591="Add registration",H591="Check date format"),1,0)</x:f>
        <x:v>0</x:v>
      </x:c>
      <x:c r="S591" t="n">
        <x:f>S590+IF(COUNTIFS(C591:F591,"Reviewed N/A")&gt;0,1,0)</x:f>
        <x:v>0</x:v>
      </x:c>
    </x:row>
    <x:row r="592" ht="48" customHeight="1">
      <x:c r="A592" s="52"/>
      <x:c r="B592" s="52"/>
      <x:c r="C592" s="53"/>
      <x:c r="D592" s="53"/>
      <x:c r="E592" s="53"/>
      <x:c r="F592" s="53"/>
      <x:c r="G592" s="52"/>
      <x:c r="H592" s="21" t="str">
        <x:f>IF(COUNTA(A592:G592,I592)=0,"",IF(A592="","Add registration",IF(OR(COUNTA(C592:F592)&gt;COUNT(C592:F592)+COUNTIFS(C592:F592,"Reviewed N/A"),AND(COUNT(C592:F592)&gt;0,OR(MIN(C592:F592)&lt;36526,MAX(C592:F592)&gt;109574))),"Check date format",IF(AND(COUNTIFS(C592:F592,"Reviewed N/A")&gt;0,I592=""),"Add N/A reason; ","")&amp;IF(COUNT(C592:F592)=0,IF(COUNTIFS(C592:F592,"Reviewed N/A")=4,"No applicable dates recorded","Add dates"),IF(COUNT(C592:F592)+COUNTIFS(C592:F592,"Reviewed N/A")&lt;4,"Missing dates; ","")&amp;IF(MIN(C592:F592)&lt;TODAY(),"Overdue: ",IF(MIN(C592:F592)=TODAY(),"Due today: ",IF(MIN(C592:F592)&lt;=TODAY()+30,"Due within 30 days: ","Next: ")))&amp;INDEX($C$8:$F$8,1,MATCH(MIN(C592:F592),C592:F592,0))&amp;" "&amp;TEXT(MIN(C592:F592),"dd mmm yyyy")))))</x:f>
      </x:c>
      <x:c r="I592" s="52"/>
      <x:c r="J592" t="str">
        <x:f>IF(AND(A592&lt;&gt;"",COUNTIFS(C592,"&gt;=36526",C592,"&lt;"&amp;TODAY())+COUNTIFS(D592,"&gt;=36526",D592,"&lt;"&amp;TODAY())+COUNTIFS(E592,"&gt;=36526",E592,"&lt;"&amp;TODAY())+COUNTIFS(F592,"&gt;=36526",F592,"&lt;"&amp;TODAY())&gt;0),O592,"")</x:f>
      </x:c>
      <x:c r="K592" t="str">
        <x:f>IF(AND(A592&lt;&gt;"",COUNTIFS(C592,"&gt;=36526",C592,TODAY())+COUNTIFS(D592,"&gt;=36526",D592,TODAY())+COUNTIFS(E592,"&gt;=36526",E592,TODAY())+COUNTIFS(F592,"&gt;=36526",F592,TODAY())&gt;0),P592,"")</x:f>
      </x:c>
      <x:c r="L592" t="str">
        <x:f>IF(AND(A592&lt;&gt;"",COUNTIFS(C592,"&gt;"&amp;TODAY(),C592,"&lt;="&amp;TODAY()+30)+COUNTIFS(D592,"&gt;"&amp;TODAY(),D592,"&lt;="&amp;TODAY()+30)+COUNTIFS(E592,"&gt;"&amp;TODAY(),E592,"&lt;="&amp;TODAY()+30)+COUNTIFS(F592,"&gt;"&amp;TODAY(),F592,"&lt;="&amp;TODAY()+30)&gt;0),Q592,"")</x:f>
      </x:c>
      <x:c r="M592" t="str">
        <x:f>IF(OR(LEFT(H592,15)="Missing dates; ",LEFT(H592,16)="Add N/A reason; ",H592="Add dates",H592="Add registration",H592="Check date format"),R592,"")</x:f>
      </x:c>
      <x:c r="N592" t="str">
        <x:f>IF(COUNTIFS(C592:F592,"Reviewed N/A")&gt;0,S592,"")</x:f>
      </x:c>
      <x:c r="O592" t="n">
        <x:f>O591+IF(AND(A592&lt;&gt;"",COUNTIFS(C592,"&gt;=36526",C592,"&lt;"&amp;TODAY())+COUNTIFS(D592,"&gt;=36526",D592,"&lt;"&amp;TODAY())+COUNTIFS(E592,"&gt;=36526",E592,"&lt;"&amp;TODAY())+COUNTIFS(F592,"&gt;=36526",F592,"&lt;"&amp;TODAY())&gt;0),1,0)</x:f>
        <x:v>0</x:v>
      </x:c>
      <x:c r="P592" t="n">
        <x:f>P591+IF(AND(A592&lt;&gt;"",COUNTIFS(C592,"&gt;=36526",C592,TODAY())+COUNTIFS(D592,"&gt;=36526",D592,TODAY())+COUNTIFS(E592,"&gt;=36526",E592,TODAY())+COUNTIFS(F592,"&gt;=36526",F592,TODAY())&gt;0),1,0)</x:f>
        <x:v>0</x:v>
      </x:c>
      <x:c r="Q592" t="n">
        <x:f>Q591+IF(AND(A592&lt;&gt;"",COUNTIFS(C592,"&gt;"&amp;TODAY(),C592,"&lt;="&amp;TODAY()+30)+COUNTIFS(D592,"&gt;"&amp;TODAY(),D592,"&lt;="&amp;TODAY()+30)+COUNTIFS(E592,"&gt;"&amp;TODAY(),E592,"&lt;="&amp;TODAY()+30)+COUNTIFS(F592,"&gt;"&amp;TODAY(),F592,"&lt;="&amp;TODAY()+30)&gt;0),1,0)</x:f>
        <x:v>0</x:v>
      </x:c>
      <x:c r="R592" t="n">
        <x:f>R591+IF(OR(LEFT(H592,15)="Missing dates; ",LEFT(H592,16)="Add N/A reason; ",H592="Add dates",H592="Add registration",H592="Check date format"),1,0)</x:f>
        <x:v>0</x:v>
      </x:c>
      <x:c r="S592" t="n">
        <x:f>S591+IF(COUNTIFS(C592:F592,"Reviewed N/A")&gt;0,1,0)</x:f>
        <x:v>0</x:v>
      </x:c>
    </x:row>
    <x:row r="593" ht="48" customHeight="1">
      <x:c r="A593" s="52"/>
      <x:c r="B593" s="52"/>
      <x:c r="C593" s="53"/>
      <x:c r="D593" s="53"/>
      <x:c r="E593" s="53"/>
      <x:c r="F593" s="53"/>
      <x:c r="G593" s="52"/>
      <x:c r="H593" s="21" t="str">
        <x:f>IF(COUNTA(A593:G593,I593)=0,"",IF(A593="","Add registration",IF(OR(COUNTA(C593:F593)&gt;COUNT(C593:F593)+COUNTIFS(C593:F593,"Reviewed N/A"),AND(COUNT(C593:F593)&gt;0,OR(MIN(C593:F593)&lt;36526,MAX(C593:F593)&gt;109574))),"Check date format",IF(AND(COUNTIFS(C593:F593,"Reviewed N/A")&gt;0,I593=""),"Add N/A reason; ","")&amp;IF(COUNT(C593:F593)=0,IF(COUNTIFS(C593:F593,"Reviewed N/A")=4,"No applicable dates recorded","Add dates"),IF(COUNT(C593:F593)+COUNTIFS(C593:F593,"Reviewed N/A")&lt;4,"Missing dates; ","")&amp;IF(MIN(C593:F593)&lt;TODAY(),"Overdue: ",IF(MIN(C593:F593)=TODAY(),"Due today: ",IF(MIN(C593:F593)&lt;=TODAY()+30,"Due within 30 days: ","Next: ")))&amp;INDEX($C$8:$F$8,1,MATCH(MIN(C593:F593),C593:F593,0))&amp;" "&amp;TEXT(MIN(C593:F593),"dd mmm yyyy")))))</x:f>
      </x:c>
      <x:c r="I593" s="52"/>
      <x:c r="J593" t="str">
        <x:f>IF(AND(A593&lt;&gt;"",COUNTIFS(C593,"&gt;=36526",C593,"&lt;"&amp;TODAY())+COUNTIFS(D593,"&gt;=36526",D593,"&lt;"&amp;TODAY())+COUNTIFS(E593,"&gt;=36526",E593,"&lt;"&amp;TODAY())+COUNTIFS(F593,"&gt;=36526",F593,"&lt;"&amp;TODAY())&gt;0),O593,"")</x:f>
      </x:c>
      <x:c r="K593" t="str">
        <x:f>IF(AND(A593&lt;&gt;"",COUNTIFS(C593,"&gt;=36526",C593,TODAY())+COUNTIFS(D593,"&gt;=36526",D593,TODAY())+COUNTIFS(E593,"&gt;=36526",E593,TODAY())+COUNTIFS(F593,"&gt;=36526",F593,TODAY())&gt;0),P593,"")</x:f>
      </x:c>
      <x:c r="L593" t="str">
        <x:f>IF(AND(A593&lt;&gt;"",COUNTIFS(C593,"&gt;"&amp;TODAY(),C593,"&lt;="&amp;TODAY()+30)+COUNTIFS(D593,"&gt;"&amp;TODAY(),D593,"&lt;="&amp;TODAY()+30)+COUNTIFS(E593,"&gt;"&amp;TODAY(),E593,"&lt;="&amp;TODAY()+30)+COUNTIFS(F593,"&gt;"&amp;TODAY(),F593,"&lt;="&amp;TODAY()+30)&gt;0),Q593,"")</x:f>
      </x:c>
      <x:c r="M593" t="str">
        <x:f>IF(OR(LEFT(H593,15)="Missing dates; ",LEFT(H593,16)="Add N/A reason; ",H593="Add dates",H593="Add registration",H593="Check date format"),R593,"")</x:f>
      </x:c>
      <x:c r="N593" t="str">
        <x:f>IF(COUNTIFS(C593:F593,"Reviewed N/A")&gt;0,S593,"")</x:f>
      </x:c>
      <x:c r="O593" t="n">
        <x:f>O592+IF(AND(A593&lt;&gt;"",COUNTIFS(C593,"&gt;=36526",C593,"&lt;"&amp;TODAY())+COUNTIFS(D593,"&gt;=36526",D593,"&lt;"&amp;TODAY())+COUNTIFS(E593,"&gt;=36526",E593,"&lt;"&amp;TODAY())+COUNTIFS(F593,"&gt;=36526",F593,"&lt;"&amp;TODAY())&gt;0),1,0)</x:f>
        <x:v>0</x:v>
      </x:c>
      <x:c r="P593" t="n">
        <x:f>P592+IF(AND(A593&lt;&gt;"",COUNTIFS(C593,"&gt;=36526",C593,TODAY())+COUNTIFS(D593,"&gt;=36526",D593,TODAY())+COUNTIFS(E593,"&gt;=36526",E593,TODAY())+COUNTIFS(F593,"&gt;=36526",F593,TODAY())&gt;0),1,0)</x:f>
        <x:v>0</x:v>
      </x:c>
      <x:c r="Q593" t="n">
        <x:f>Q592+IF(AND(A593&lt;&gt;"",COUNTIFS(C593,"&gt;"&amp;TODAY(),C593,"&lt;="&amp;TODAY()+30)+COUNTIFS(D593,"&gt;"&amp;TODAY(),D593,"&lt;="&amp;TODAY()+30)+COUNTIFS(E593,"&gt;"&amp;TODAY(),E593,"&lt;="&amp;TODAY()+30)+COUNTIFS(F593,"&gt;"&amp;TODAY(),F593,"&lt;="&amp;TODAY()+30)&gt;0),1,0)</x:f>
        <x:v>0</x:v>
      </x:c>
      <x:c r="R593" t="n">
        <x:f>R592+IF(OR(LEFT(H593,15)="Missing dates; ",LEFT(H593,16)="Add N/A reason; ",H593="Add dates",H593="Add registration",H593="Check date format"),1,0)</x:f>
        <x:v>0</x:v>
      </x:c>
      <x:c r="S593" t="n">
        <x:f>S592+IF(COUNTIFS(C593:F593,"Reviewed N/A")&gt;0,1,0)</x:f>
        <x:v>0</x:v>
      </x:c>
    </x:row>
    <x:row r="594" ht="48" customHeight="1">
      <x:c r="A594" s="52"/>
      <x:c r="B594" s="52"/>
      <x:c r="C594" s="53"/>
      <x:c r="D594" s="53"/>
      <x:c r="E594" s="53"/>
      <x:c r="F594" s="53"/>
      <x:c r="G594" s="52"/>
      <x:c r="H594" s="21" t="str">
        <x:f>IF(COUNTA(A594:G594,I594)=0,"",IF(A594="","Add registration",IF(OR(COUNTA(C594:F594)&gt;COUNT(C594:F594)+COUNTIFS(C594:F594,"Reviewed N/A"),AND(COUNT(C594:F594)&gt;0,OR(MIN(C594:F594)&lt;36526,MAX(C594:F594)&gt;109574))),"Check date format",IF(AND(COUNTIFS(C594:F594,"Reviewed N/A")&gt;0,I594=""),"Add N/A reason; ","")&amp;IF(COUNT(C594:F594)=0,IF(COUNTIFS(C594:F594,"Reviewed N/A")=4,"No applicable dates recorded","Add dates"),IF(COUNT(C594:F594)+COUNTIFS(C594:F594,"Reviewed N/A")&lt;4,"Missing dates; ","")&amp;IF(MIN(C594:F594)&lt;TODAY(),"Overdue: ",IF(MIN(C594:F594)=TODAY(),"Due today: ",IF(MIN(C594:F594)&lt;=TODAY()+30,"Due within 30 days: ","Next: ")))&amp;INDEX($C$8:$F$8,1,MATCH(MIN(C594:F594),C594:F594,0))&amp;" "&amp;TEXT(MIN(C594:F594),"dd mmm yyyy")))))</x:f>
      </x:c>
      <x:c r="I594" s="52"/>
      <x:c r="J594" t="str">
        <x:f>IF(AND(A594&lt;&gt;"",COUNTIFS(C594,"&gt;=36526",C594,"&lt;"&amp;TODAY())+COUNTIFS(D594,"&gt;=36526",D594,"&lt;"&amp;TODAY())+COUNTIFS(E594,"&gt;=36526",E594,"&lt;"&amp;TODAY())+COUNTIFS(F594,"&gt;=36526",F594,"&lt;"&amp;TODAY())&gt;0),O594,"")</x:f>
      </x:c>
      <x:c r="K594" t="str">
        <x:f>IF(AND(A594&lt;&gt;"",COUNTIFS(C594,"&gt;=36526",C594,TODAY())+COUNTIFS(D594,"&gt;=36526",D594,TODAY())+COUNTIFS(E594,"&gt;=36526",E594,TODAY())+COUNTIFS(F594,"&gt;=36526",F594,TODAY())&gt;0),P594,"")</x:f>
      </x:c>
      <x:c r="L594" t="str">
        <x:f>IF(AND(A594&lt;&gt;"",COUNTIFS(C594,"&gt;"&amp;TODAY(),C594,"&lt;="&amp;TODAY()+30)+COUNTIFS(D594,"&gt;"&amp;TODAY(),D594,"&lt;="&amp;TODAY()+30)+COUNTIFS(E594,"&gt;"&amp;TODAY(),E594,"&lt;="&amp;TODAY()+30)+COUNTIFS(F594,"&gt;"&amp;TODAY(),F594,"&lt;="&amp;TODAY()+30)&gt;0),Q594,"")</x:f>
      </x:c>
      <x:c r="M594" t="str">
        <x:f>IF(OR(LEFT(H594,15)="Missing dates; ",LEFT(H594,16)="Add N/A reason; ",H594="Add dates",H594="Add registration",H594="Check date format"),R594,"")</x:f>
      </x:c>
      <x:c r="N594" t="str">
        <x:f>IF(COUNTIFS(C594:F594,"Reviewed N/A")&gt;0,S594,"")</x:f>
      </x:c>
      <x:c r="O594" t="n">
        <x:f>O593+IF(AND(A594&lt;&gt;"",COUNTIFS(C594,"&gt;=36526",C594,"&lt;"&amp;TODAY())+COUNTIFS(D594,"&gt;=36526",D594,"&lt;"&amp;TODAY())+COUNTIFS(E594,"&gt;=36526",E594,"&lt;"&amp;TODAY())+COUNTIFS(F594,"&gt;=36526",F594,"&lt;"&amp;TODAY())&gt;0),1,0)</x:f>
        <x:v>0</x:v>
      </x:c>
      <x:c r="P594" t="n">
        <x:f>P593+IF(AND(A594&lt;&gt;"",COUNTIFS(C594,"&gt;=36526",C594,TODAY())+COUNTIFS(D594,"&gt;=36526",D594,TODAY())+COUNTIFS(E594,"&gt;=36526",E594,TODAY())+COUNTIFS(F594,"&gt;=36526",F594,TODAY())&gt;0),1,0)</x:f>
        <x:v>0</x:v>
      </x:c>
      <x:c r="Q594" t="n">
        <x:f>Q593+IF(AND(A594&lt;&gt;"",COUNTIFS(C594,"&gt;"&amp;TODAY(),C594,"&lt;="&amp;TODAY()+30)+COUNTIFS(D594,"&gt;"&amp;TODAY(),D594,"&lt;="&amp;TODAY()+30)+COUNTIFS(E594,"&gt;"&amp;TODAY(),E594,"&lt;="&amp;TODAY()+30)+COUNTIFS(F594,"&gt;"&amp;TODAY(),F594,"&lt;="&amp;TODAY()+30)&gt;0),1,0)</x:f>
        <x:v>0</x:v>
      </x:c>
      <x:c r="R594" t="n">
        <x:f>R593+IF(OR(LEFT(H594,15)="Missing dates; ",LEFT(H594,16)="Add N/A reason; ",H594="Add dates",H594="Add registration",H594="Check date format"),1,0)</x:f>
        <x:v>0</x:v>
      </x:c>
      <x:c r="S594" t="n">
        <x:f>S593+IF(COUNTIFS(C594:F594,"Reviewed N/A")&gt;0,1,0)</x:f>
        <x:v>0</x:v>
      </x:c>
    </x:row>
    <x:row r="595" ht="48" customHeight="1">
      <x:c r="A595" s="52"/>
      <x:c r="B595" s="52"/>
      <x:c r="C595" s="53"/>
      <x:c r="D595" s="53"/>
      <x:c r="E595" s="53"/>
      <x:c r="F595" s="53"/>
      <x:c r="G595" s="52"/>
      <x:c r="H595" s="21" t="str">
        <x:f>IF(COUNTA(A595:G595,I595)=0,"",IF(A595="","Add registration",IF(OR(COUNTA(C595:F595)&gt;COUNT(C595:F595)+COUNTIFS(C595:F595,"Reviewed N/A"),AND(COUNT(C595:F595)&gt;0,OR(MIN(C595:F595)&lt;36526,MAX(C595:F595)&gt;109574))),"Check date format",IF(AND(COUNTIFS(C595:F595,"Reviewed N/A")&gt;0,I595=""),"Add N/A reason; ","")&amp;IF(COUNT(C595:F595)=0,IF(COUNTIFS(C595:F595,"Reviewed N/A")=4,"No applicable dates recorded","Add dates"),IF(COUNT(C595:F595)+COUNTIFS(C595:F595,"Reviewed N/A")&lt;4,"Missing dates; ","")&amp;IF(MIN(C595:F595)&lt;TODAY(),"Overdue: ",IF(MIN(C595:F595)=TODAY(),"Due today: ",IF(MIN(C595:F595)&lt;=TODAY()+30,"Due within 30 days: ","Next: ")))&amp;INDEX($C$8:$F$8,1,MATCH(MIN(C595:F595),C595:F595,0))&amp;" "&amp;TEXT(MIN(C595:F595),"dd mmm yyyy")))))</x:f>
      </x:c>
      <x:c r="I595" s="52"/>
      <x:c r="J595" t="str">
        <x:f>IF(AND(A595&lt;&gt;"",COUNTIFS(C595,"&gt;=36526",C595,"&lt;"&amp;TODAY())+COUNTIFS(D595,"&gt;=36526",D595,"&lt;"&amp;TODAY())+COUNTIFS(E595,"&gt;=36526",E595,"&lt;"&amp;TODAY())+COUNTIFS(F595,"&gt;=36526",F595,"&lt;"&amp;TODAY())&gt;0),O595,"")</x:f>
      </x:c>
      <x:c r="K595" t="str">
        <x:f>IF(AND(A595&lt;&gt;"",COUNTIFS(C595,"&gt;=36526",C595,TODAY())+COUNTIFS(D595,"&gt;=36526",D595,TODAY())+COUNTIFS(E595,"&gt;=36526",E595,TODAY())+COUNTIFS(F595,"&gt;=36526",F595,TODAY())&gt;0),P595,"")</x:f>
      </x:c>
      <x:c r="L595" t="str">
        <x:f>IF(AND(A595&lt;&gt;"",COUNTIFS(C595,"&gt;"&amp;TODAY(),C595,"&lt;="&amp;TODAY()+30)+COUNTIFS(D595,"&gt;"&amp;TODAY(),D595,"&lt;="&amp;TODAY()+30)+COUNTIFS(E595,"&gt;"&amp;TODAY(),E595,"&lt;="&amp;TODAY()+30)+COUNTIFS(F595,"&gt;"&amp;TODAY(),F595,"&lt;="&amp;TODAY()+30)&gt;0),Q595,"")</x:f>
      </x:c>
      <x:c r="M595" t="str">
        <x:f>IF(OR(LEFT(H595,15)="Missing dates; ",LEFT(H595,16)="Add N/A reason; ",H595="Add dates",H595="Add registration",H595="Check date format"),R595,"")</x:f>
      </x:c>
      <x:c r="N595" t="str">
        <x:f>IF(COUNTIFS(C595:F595,"Reviewed N/A")&gt;0,S595,"")</x:f>
      </x:c>
      <x:c r="O595" t="n">
        <x:f>O594+IF(AND(A595&lt;&gt;"",COUNTIFS(C595,"&gt;=36526",C595,"&lt;"&amp;TODAY())+COUNTIFS(D595,"&gt;=36526",D595,"&lt;"&amp;TODAY())+COUNTIFS(E595,"&gt;=36526",E595,"&lt;"&amp;TODAY())+COUNTIFS(F595,"&gt;=36526",F595,"&lt;"&amp;TODAY())&gt;0),1,0)</x:f>
        <x:v>0</x:v>
      </x:c>
      <x:c r="P595" t="n">
        <x:f>P594+IF(AND(A595&lt;&gt;"",COUNTIFS(C595,"&gt;=36526",C595,TODAY())+COUNTIFS(D595,"&gt;=36526",D595,TODAY())+COUNTIFS(E595,"&gt;=36526",E595,TODAY())+COUNTIFS(F595,"&gt;=36526",F595,TODAY())&gt;0),1,0)</x:f>
        <x:v>0</x:v>
      </x:c>
      <x:c r="Q595" t="n">
        <x:f>Q594+IF(AND(A595&lt;&gt;"",COUNTIFS(C595,"&gt;"&amp;TODAY(),C595,"&lt;="&amp;TODAY()+30)+COUNTIFS(D595,"&gt;"&amp;TODAY(),D595,"&lt;="&amp;TODAY()+30)+COUNTIFS(E595,"&gt;"&amp;TODAY(),E595,"&lt;="&amp;TODAY()+30)+COUNTIFS(F595,"&gt;"&amp;TODAY(),F595,"&lt;="&amp;TODAY()+30)&gt;0),1,0)</x:f>
        <x:v>0</x:v>
      </x:c>
      <x:c r="R595" t="n">
        <x:f>R594+IF(OR(LEFT(H595,15)="Missing dates; ",LEFT(H595,16)="Add N/A reason; ",H595="Add dates",H595="Add registration",H595="Check date format"),1,0)</x:f>
        <x:v>0</x:v>
      </x:c>
      <x:c r="S595" t="n">
        <x:f>S594+IF(COUNTIFS(C595:F595,"Reviewed N/A")&gt;0,1,0)</x:f>
        <x:v>0</x:v>
      </x:c>
    </x:row>
    <x:row r="596" ht="48" customHeight="1">
      <x:c r="A596" s="52"/>
      <x:c r="B596" s="52"/>
      <x:c r="C596" s="53"/>
      <x:c r="D596" s="53"/>
      <x:c r="E596" s="53"/>
      <x:c r="F596" s="53"/>
      <x:c r="G596" s="52"/>
      <x:c r="H596" s="21" t="str">
        <x:f>IF(COUNTA(A596:G596,I596)=0,"",IF(A596="","Add registration",IF(OR(COUNTA(C596:F596)&gt;COUNT(C596:F596)+COUNTIFS(C596:F596,"Reviewed N/A"),AND(COUNT(C596:F596)&gt;0,OR(MIN(C596:F596)&lt;36526,MAX(C596:F596)&gt;109574))),"Check date format",IF(AND(COUNTIFS(C596:F596,"Reviewed N/A")&gt;0,I596=""),"Add N/A reason; ","")&amp;IF(COUNT(C596:F596)=0,IF(COUNTIFS(C596:F596,"Reviewed N/A")=4,"No applicable dates recorded","Add dates"),IF(COUNT(C596:F596)+COUNTIFS(C596:F596,"Reviewed N/A")&lt;4,"Missing dates; ","")&amp;IF(MIN(C596:F596)&lt;TODAY(),"Overdue: ",IF(MIN(C596:F596)=TODAY(),"Due today: ",IF(MIN(C596:F596)&lt;=TODAY()+30,"Due within 30 days: ","Next: ")))&amp;INDEX($C$8:$F$8,1,MATCH(MIN(C596:F596),C596:F596,0))&amp;" "&amp;TEXT(MIN(C596:F596),"dd mmm yyyy")))))</x:f>
      </x:c>
      <x:c r="I596" s="52"/>
      <x:c r="J596" t="str">
        <x:f>IF(AND(A596&lt;&gt;"",COUNTIFS(C596,"&gt;=36526",C596,"&lt;"&amp;TODAY())+COUNTIFS(D596,"&gt;=36526",D596,"&lt;"&amp;TODAY())+COUNTIFS(E596,"&gt;=36526",E596,"&lt;"&amp;TODAY())+COUNTIFS(F596,"&gt;=36526",F596,"&lt;"&amp;TODAY())&gt;0),O596,"")</x:f>
      </x:c>
      <x:c r="K596" t="str">
        <x:f>IF(AND(A596&lt;&gt;"",COUNTIFS(C596,"&gt;=36526",C596,TODAY())+COUNTIFS(D596,"&gt;=36526",D596,TODAY())+COUNTIFS(E596,"&gt;=36526",E596,TODAY())+COUNTIFS(F596,"&gt;=36526",F596,TODAY())&gt;0),P596,"")</x:f>
      </x:c>
      <x:c r="L596" t="str">
        <x:f>IF(AND(A596&lt;&gt;"",COUNTIFS(C596,"&gt;"&amp;TODAY(),C596,"&lt;="&amp;TODAY()+30)+COUNTIFS(D596,"&gt;"&amp;TODAY(),D596,"&lt;="&amp;TODAY()+30)+COUNTIFS(E596,"&gt;"&amp;TODAY(),E596,"&lt;="&amp;TODAY()+30)+COUNTIFS(F596,"&gt;"&amp;TODAY(),F596,"&lt;="&amp;TODAY()+30)&gt;0),Q596,"")</x:f>
      </x:c>
      <x:c r="M596" t="str">
        <x:f>IF(OR(LEFT(H596,15)="Missing dates; ",LEFT(H596,16)="Add N/A reason; ",H596="Add dates",H596="Add registration",H596="Check date format"),R596,"")</x:f>
      </x:c>
      <x:c r="N596" t="str">
        <x:f>IF(COUNTIFS(C596:F596,"Reviewed N/A")&gt;0,S596,"")</x:f>
      </x:c>
      <x:c r="O596" t="n">
        <x:f>O595+IF(AND(A596&lt;&gt;"",COUNTIFS(C596,"&gt;=36526",C596,"&lt;"&amp;TODAY())+COUNTIFS(D596,"&gt;=36526",D596,"&lt;"&amp;TODAY())+COUNTIFS(E596,"&gt;=36526",E596,"&lt;"&amp;TODAY())+COUNTIFS(F596,"&gt;=36526",F596,"&lt;"&amp;TODAY())&gt;0),1,0)</x:f>
        <x:v>0</x:v>
      </x:c>
      <x:c r="P596" t="n">
        <x:f>P595+IF(AND(A596&lt;&gt;"",COUNTIFS(C596,"&gt;=36526",C596,TODAY())+COUNTIFS(D596,"&gt;=36526",D596,TODAY())+COUNTIFS(E596,"&gt;=36526",E596,TODAY())+COUNTIFS(F596,"&gt;=36526",F596,TODAY())&gt;0),1,0)</x:f>
        <x:v>0</x:v>
      </x:c>
      <x:c r="Q596" t="n">
        <x:f>Q595+IF(AND(A596&lt;&gt;"",COUNTIFS(C596,"&gt;"&amp;TODAY(),C596,"&lt;="&amp;TODAY()+30)+COUNTIFS(D596,"&gt;"&amp;TODAY(),D596,"&lt;="&amp;TODAY()+30)+COUNTIFS(E596,"&gt;"&amp;TODAY(),E596,"&lt;="&amp;TODAY()+30)+COUNTIFS(F596,"&gt;"&amp;TODAY(),F596,"&lt;="&amp;TODAY()+30)&gt;0),1,0)</x:f>
        <x:v>0</x:v>
      </x:c>
      <x:c r="R596" t="n">
        <x:f>R595+IF(OR(LEFT(H596,15)="Missing dates; ",LEFT(H596,16)="Add N/A reason; ",H596="Add dates",H596="Add registration",H596="Check date format"),1,0)</x:f>
        <x:v>0</x:v>
      </x:c>
      <x:c r="S596" t="n">
        <x:f>S595+IF(COUNTIFS(C596:F596,"Reviewed N/A")&gt;0,1,0)</x:f>
        <x:v>0</x:v>
      </x:c>
    </x:row>
    <x:row r="597" ht="48" customHeight="1">
      <x:c r="A597" s="52"/>
      <x:c r="B597" s="52"/>
      <x:c r="C597" s="53"/>
      <x:c r="D597" s="53"/>
      <x:c r="E597" s="53"/>
      <x:c r="F597" s="53"/>
      <x:c r="G597" s="52"/>
      <x:c r="H597" s="21" t="str">
        <x:f>IF(COUNTA(A597:G597,I597)=0,"",IF(A597="","Add registration",IF(OR(COUNTA(C597:F597)&gt;COUNT(C597:F597)+COUNTIFS(C597:F597,"Reviewed N/A"),AND(COUNT(C597:F597)&gt;0,OR(MIN(C597:F597)&lt;36526,MAX(C597:F597)&gt;109574))),"Check date format",IF(AND(COUNTIFS(C597:F597,"Reviewed N/A")&gt;0,I597=""),"Add N/A reason; ","")&amp;IF(COUNT(C597:F597)=0,IF(COUNTIFS(C597:F597,"Reviewed N/A")=4,"No applicable dates recorded","Add dates"),IF(COUNT(C597:F597)+COUNTIFS(C597:F597,"Reviewed N/A")&lt;4,"Missing dates; ","")&amp;IF(MIN(C597:F597)&lt;TODAY(),"Overdue: ",IF(MIN(C597:F597)=TODAY(),"Due today: ",IF(MIN(C597:F597)&lt;=TODAY()+30,"Due within 30 days: ","Next: ")))&amp;INDEX($C$8:$F$8,1,MATCH(MIN(C597:F597),C597:F597,0))&amp;" "&amp;TEXT(MIN(C597:F597),"dd mmm yyyy")))))</x:f>
      </x:c>
      <x:c r="I597" s="52"/>
      <x:c r="J597" t="str">
        <x:f>IF(AND(A597&lt;&gt;"",COUNTIFS(C597,"&gt;=36526",C597,"&lt;"&amp;TODAY())+COUNTIFS(D597,"&gt;=36526",D597,"&lt;"&amp;TODAY())+COUNTIFS(E597,"&gt;=36526",E597,"&lt;"&amp;TODAY())+COUNTIFS(F597,"&gt;=36526",F597,"&lt;"&amp;TODAY())&gt;0),O597,"")</x:f>
      </x:c>
      <x:c r="K597" t="str">
        <x:f>IF(AND(A597&lt;&gt;"",COUNTIFS(C597,"&gt;=36526",C597,TODAY())+COUNTIFS(D597,"&gt;=36526",D597,TODAY())+COUNTIFS(E597,"&gt;=36526",E597,TODAY())+COUNTIFS(F597,"&gt;=36526",F597,TODAY())&gt;0),P597,"")</x:f>
      </x:c>
      <x:c r="L597" t="str">
        <x:f>IF(AND(A597&lt;&gt;"",COUNTIFS(C597,"&gt;"&amp;TODAY(),C597,"&lt;="&amp;TODAY()+30)+COUNTIFS(D597,"&gt;"&amp;TODAY(),D597,"&lt;="&amp;TODAY()+30)+COUNTIFS(E597,"&gt;"&amp;TODAY(),E597,"&lt;="&amp;TODAY()+30)+COUNTIFS(F597,"&gt;"&amp;TODAY(),F597,"&lt;="&amp;TODAY()+30)&gt;0),Q597,"")</x:f>
      </x:c>
      <x:c r="M597" t="str">
        <x:f>IF(OR(LEFT(H597,15)="Missing dates; ",LEFT(H597,16)="Add N/A reason; ",H597="Add dates",H597="Add registration",H597="Check date format"),R597,"")</x:f>
      </x:c>
      <x:c r="N597" t="str">
        <x:f>IF(COUNTIFS(C597:F597,"Reviewed N/A")&gt;0,S597,"")</x:f>
      </x:c>
      <x:c r="O597" t="n">
        <x:f>O596+IF(AND(A597&lt;&gt;"",COUNTIFS(C597,"&gt;=36526",C597,"&lt;"&amp;TODAY())+COUNTIFS(D597,"&gt;=36526",D597,"&lt;"&amp;TODAY())+COUNTIFS(E597,"&gt;=36526",E597,"&lt;"&amp;TODAY())+COUNTIFS(F597,"&gt;=36526",F597,"&lt;"&amp;TODAY())&gt;0),1,0)</x:f>
        <x:v>0</x:v>
      </x:c>
      <x:c r="P597" t="n">
        <x:f>P596+IF(AND(A597&lt;&gt;"",COUNTIFS(C597,"&gt;=36526",C597,TODAY())+COUNTIFS(D597,"&gt;=36526",D597,TODAY())+COUNTIFS(E597,"&gt;=36526",E597,TODAY())+COUNTIFS(F597,"&gt;=36526",F597,TODAY())&gt;0),1,0)</x:f>
        <x:v>0</x:v>
      </x:c>
      <x:c r="Q597" t="n">
        <x:f>Q596+IF(AND(A597&lt;&gt;"",COUNTIFS(C597,"&gt;"&amp;TODAY(),C597,"&lt;="&amp;TODAY()+30)+COUNTIFS(D597,"&gt;"&amp;TODAY(),D597,"&lt;="&amp;TODAY()+30)+COUNTIFS(E597,"&gt;"&amp;TODAY(),E597,"&lt;="&amp;TODAY()+30)+COUNTIFS(F597,"&gt;"&amp;TODAY(),F597,"&lt;="&amp;TODAY()+30)&gt;0),1,0)</x:f>
        <x:v>0</x:v>
      </x:c>
      <x:c r="R597" t="n">
        <x:f>R596+IF(OR(LEFT(H597,15)="Missing dates; ",LEFT(H597,16)="Add N/A reason; ",H597="Add dates",H597="Add registration",H597="Check date format"),1,0)</x:f>
        <x:v>0</x:v>
      </x:c>
      <x:c r="S597" t="n">
        <x:f>S596+IF(COUNTIFS(C597:F597,"Reviewed N/A")&gt;0,1,0)</x:f>
        <x:v>0</x:v>
      </x:c>
    </x:row>
    <x:row r="598" ht="48" customHeight="1">
      <x:c r="A598" s="52"/>
      <x:c r="B598" s="52"/>
      <x:c r="C598" s="53"/>
      <x:c r="D598" s="53"/>
      <x:c r="E598" s="53"/>
      <x:c r="F598" s="53"/>
      <x:c r="G598" s="52"/>
      <x:c r="H598" s="21" t="str">
        <x:f>IF(COUNTA(A598:G598,I598)=0,"",IF(A598="","Add registration",IF(OR(COUNTA(C598:F598)&gt;COUNT(C598:F598)+COUNTIFS(C598:F598,"Reviewed N/A"),AND(COUNT(C598:F598)&gt;0,OR(MIN(C598:F598)&lt;36526,MAX(C598:F598)&gt;109574))),"Check date format",IF(AND(COUNTIFS(C598:F598,"Reviewed N/A")&gt;0,I598=""),"Add N/A reason; ","")&amp;IF(COUNT(C598:F598)=0,IF(COUNTIFS(C598:F598,"Reviewed N/A")=4,"No applicable dates recorded","Add dates"),IF(COUNT(C598:F598)+COUNTIFS(C598:F598,"Reviewed N/A")&lt;4,"Missing dates; ","")&amp;IF(MIN(C598:F598)&lt;TODAY(),"Overdue: ",IF(MIN(C598:F598)=TODAY(),"Due today: ",IF(MIN(C598:F598)&lt;=TODAY()+30,"Due within 30 days: ","Next: ")))&amp;INDEX($C$8:$F$8,1,MATCH(MIN(C598:F598),C598:F598,0))&amp;" "&amp;TEXT(MIN(C598:F598),"dd mmm yyyy")))))</x:f>
      </x:c>
      <x:c r="I598" s="52"/>
      <x:c r="J598" t="str">
        <x:f>IF(AND(A598&lt;&gt;"",COUNTIFS(C598,"&gt;=36526",C598,"&lt;"&amp;TODAY())+COUNTIFS(D598,"&gt;=36526",D598,"&lt;"&amp;TODAY())+COUNTIFS(E598,"&gt;=36526",E598,"&lt;"&amp;TODAY())+COUNTIFS(F598,"&gt;=36526",F598,"&lt;"&amp;TODAY())&gt;0),O598,"")</x:f>
      </x:c>
      <x:c r="K598" t="str">
        <x:f>IF(AND(A598&lt;&gt;"",COUNTIFS(C598,"&gt;=36526",C598,TODAY())+COUNTIFS(D598,"&gt;=36526",D598,TODAY())+COUNTIFS(E598,"&gt;=36526",E598,TODAY())+COUNTIFS(F598,"&gt;=36526",F598,TODAY())&gt;0),P598,"")</x:f>
      </x:c>
      <x:c r="L598" t="str">
        <x:f>IF(AND(A598&lt;&gt;"",COUNTIFS(C598,"&gt;"&amp;TODAY(),C598,"&lt;="&amp;TODAY()+30)+COUNTIFS(D598,"&gt;"&amp;TODAY(),D598,"&lt;="&amp;TODAY()+30)+COUNTIFS(E598,"&gt;"&amp;TODAY(),E598,"&lt;="&amp;TODAY()+30)+COUNTIFS(F598,"&gt;"&amp;TODAY(),F598,"&lt;="&amp;TODAY()+30)&gt;0),Q598,"")</x:f>
      </x:c>
      <x:c r="M598" t="str">
        <x:f>IF(OR(LEFT(H598,15)="Missing dates; ",LEFT(H598,16)="Add N/A reason; ",H598="Add dates",H598="Add registration",H598="Check date format"),R598,"")</x:f>
      </x:c>
      <x:c r="N598" t="str">
        <x:f>IF(COUNTIFS(C598:F598,"Reviewed N/A")&gt;0,S598,"")</x:f>
      </x:c>
      <x:c r="O598" t="n">
        <x:f>O597+IF(AND(A598&lt;&gt;"",COUNTIFS(C598,"&gt;=36526",C598,"&lt;"&amp;TODAY())+COUNTIFS(D598,"&gt;=36526",D598,"&lt;"&amp;TODAY())+COUNTIFS(E598,"&gt;=36526",E598,"&lt;"&amp;TODAY())+COUNTIFS(F598,"&gt;=36526",F598,"&lt;"&amp;TODAY())&gt;0),1,0)</x:f>
        <x:v>0</x:v>
      </x:c>
      <x:c r="P598" t="n">
        <x:f>P597+IF(AND(A598&lt;&gt;"",COUNTIFS(C598,"&gt;=36526",C598,TODAY())+COUNTIFS(D598,"&gt;=36526",D598,TODAY())+COUNTIFS(E598,"&gt;=36526",E598,TODAY())+COUNTIFS(F598,"&gt;=36526",F598,TODAY())&gt;0),1,0)</x:f>
        <x:v>0</x:v>
      </x:c>
      <x:c r="Q598" t="n">
        <x:f>Q597+IF(AND(A598&lt;&gt;"",COUNTIFS(C598,"&gt;"&amp;TODAY(),C598,"&lt;="&amp;TODAY()+30)+COUNTIFS(D598,"&gt;"&amp;TODAY(),D598,"&lt;="&amp;TODAY()+30)+COUNTIFS(E598,"&gt;"&amp;TODAY(),E598,"&lt;="&amp;TODAY()+30)+COUNTIFS(F598,"&gt;"&amp;TODAY(),F598,"&lt;="&amp;TODAY()+30)&gt;0),1,0)</x:f>
        <x:v>0</x:v>
      </x:c>
      <x:c r="R598" t="n">
        <x:f>R597+IF(OR(LEFT(H598,15)="Missing dates; ",LEFT(H598,16)="Add N/A reason; ",H598="Add dates",H598="Add registration",H598="Check date format"),1,0)</x:f>
        <x:v>0</x:v>
      </x:c>
      <x:c r="S598" t="n">
        <x:f>S597+IF(COUNTIFS(C598:F598,"Reviewed N/A")&gt;0,1,0)</x:f>
        <x:v>0</x:v>
      </x:c>
    </x:row>
    <x:row r="599" ht="48" customHeight="1">
      <x:c r="A599" s="52"/>
      <x:c r="B599" s="52"/>
      <x:c r="C599" s="53"/>
      <x:c r="D599" s="53"/>
      <x:c r="E599" s="53"/>
      <x:c r="F599" s="53"/>
      <x:c r="G599" s="52"/>
      <x:c r="H599" s="21" t="str">
        <x:f>IF(COUNTA(A599:G599,I599)=0,"",IF(A599="","Add registration",IF(OR(COUNTA(C599:F599)&gt;COUNT(C599:F599)+COUNTIFS(C599:F599,"Reviewed N/A"),AND(COUNT(C599:F599)&gt;0,OR(MIN(C599:F599)&lt;36526,MAX(C599:F599)&gt;109574))),"Check date format",IF(AND(COUNTIFS(C599:F599,"Reviewed N/A")&gt;0,I599=""),"Add N/A reason; ","")&amp;IF(COUNT(C599:F599)=0,IF(COUNTIFS(C599:F599,"Reviewed N/A")=4,"No applicable dates recorded","Add dates"),IF(COUNT(C599:F599)+COUNTIFS(C599:F599,"Reviewed N/A")&lt;4,"Missing dates; ","")&amp;IF(MIN(C599:F599)&lt;TODAY(),"Overdue: ",IF(MIN(C599:F599)=TODAY(),"Due today: ",IF(MIN(C599:F599)&lt;=TODAY()+30,"Due within 30 days: ","Next: ")))&amp;INDEX($C$8:$F$8,1,MATCH(MIN(C599:F599),C599:F599,0))&amp;" "&amp;TEXT(MIN(C599:F599),"dd mmm yyyy")))))</x:f>
      </x:c>
      <x:c r="I599" s="52"/>
      <x:c r="J599" t="str">
        <x:f>IF(AND(A599&lt;&gt;"",COUNTIFS(C599,"&gt;=36526",C599,"&lt;"&amp;TODAY())+COUNTIFS(D599,"&gt;=36526",D599,"&lt;"&amp;TODAY())+COUNTIFS(E599,"&gt;=36526",E599,"&lt;"&amp;TODAY())+COUNTIFS(F599,"&gt;=36526",F599,"&lt;"&amp;TODAY())&gt;0),O599,"")</x:f>
      </x:c>
      <x:c r="K599" t="str">
        <x:f>IF(AND(A599&lt;&gt;"",COUNTIFS(C599,"&gt;=36526",C599,TODAY())+COUNTIFS(D599,"&gt;=36526",D599,TODAY())+COUNTIFS(E599,"&gt;=36526",E599,TODAY())+COUNTIFS(F599,"&gt;=36526",F599,TODAY())&gt;0),P599,"")</x:f>
      </x:c>
      <x:c r="L599" t="str">
        <x:f>IF(AND(A599&lt;&gt;"",COUNTIFS(C599,"&gt;"&amp;TODAY(),C599,"&lt;="&amp;TODAY()+30)+COUNTIFS(D599,"&gt;"&amp;TODAY(),D599,"&lt;="&amp;TODAY()+30)+COUNTIFS(E599,"&gt;"&amp;TODAY(),E599,"&lt;="&amp;TODAY()+30)+COUNTIFS(F599,"&gt;"&amp;TODAY(),F599,"&lt;="&amp;TODAY()+30)&gt;0),Q599,"")</x:f>
      </x:c>
      <x:c r="M599" t="str">
        <x:f>IF(OR(LEFT(H599,15)="Missing dates; ",LEFT(H599,16)="Add N/A reason; ",H599="Add dates",H599="Add registration",H599="Check date format"),R599,"")</x:f>
      </x:c>
      <x:c r="N599" t="str">
        <x:f>IF(COUNTIFS(C599:F599,"Reviewed N/A")&gt;0,S599,"")</x:f>
      </x:c>
      <x:c r="O599" t="n">
        <x:f>O598+IF(AND(A599&lt;&gt;"",COUNTIFS(C599,"&gt;=36526",C599,"&lt;"&amp;TODAY())+COUNTIFS(D599,"&gt;=36526",D599,"&lt;"&amp;TODAY())+COUNTIFS(E599,"&gt;=36526",E599,"&lt;"&amp;TODAY())+COUNTIFS(F599,"&gt;=36526",F599,"&lt;"&amp;TODAY())&gt;0),1,0)</x:f>
        <x:v>0</x:v>
      </x:c>
      <x:c r="P599" t="n">
        <x:f>P598+IF(AND(A599&lt;&gt;"",COUNTIFS(C599,"&gt;=36526",C599,TODAY())+COUNTIFS(D599,"&gt;=36526",D599,TODAY())+COUNTIFS(E599,"&gt;=36526",E599,TODAY())+COUNTIFS(F599,"&gt;=36526",F599,TODAY())&gt;0),1,0)</x:f>
        <x:v>0</x:v>
      </x:c>
      <x:c r="Q599" t="n">
        <x:f>Q598+IF(AND(A599&lt;&gt;"",COUNTIFS(C599,"&gt;"&amp;TODAY(),C599,"&lt;="&amp;TODAY()+30)+COUNTIFS(D599,"&gt;"&amp;TODAY(),D599,"&lt;="&amp;TODAY()+30)+COUNTIFS(E599,"&gt;"&amp;TODAY(),E599,"&lt;="&amp;TODAY()+30)+COUNTIFS(F599,"&gt;"&amp;TODAY(),F599,"&lt;="&amp;TODAY()+30)&gt;0),1,0)</x:f>
        <x:v>0</x:v>
      </x:c>
      <x:c r="R599" t="n">
        <x:f>R598+IF(OR(LEFT(H599,15)="Missing dates; ",LEFT(H599,16)="Add N/A reason; ",H599="Add dates",H599="Add registration",H599="Check date format"),1,0)</x:f>
        <x:v>0</x:v>
      </x:c>
      <x:c r="S599" t="n">
        <x:f>S598+IF(COUNTIFS(C599:F599,"Reviewed N/A")&gt;0,1,0)</x:f>
        <x:v>0</x:v>
      </x:c>
    </x:row>
    <x:row r="600" ht="48" customHeight="1">
      <x:c r="A600" s="52"/>
      <x:c r="B600" s="52"/>
      <x:c r="C600" s="53"/>
      <x:c r="D600" s="53"/>
      <x:c r="E600" s="53"/>
      <x:c r="F600" s="53"/>
      <x:c r="G600" s="52"/>
      <x:c r="H600" s="21" t="str">
        <x:f>IF(COUNTA(A600:G600,I600)=0,"",IF(A600="","Add registration",IF(OR(COUNTA(C600:F600)&gt;COUNT(C600:F600)+COUNTIFS(C600:F600,"Reviewed N/A"),AND(COUNT(C600:F600)&gt;0,OR(MIN(C600:F600)&lt;36526,MAX(C600:F600)&gt;109574))),"Check date format",IF(AND(COUNTIFS(C600:F600,"Reviewed N/A")&gt;0,I600=""),"Add N/A reason; ","")&amp;IF(COUNT(C600:F600)=0,IF(COUNTIFS(C600:F600,"Reviewed N/A")=4,"No applicable dates recorded","Add dates"),IF(COUNT(C600:F600)+COUNTIFS(C600:F600,"Reviewed N/A")&lt;4,"Missing dates; ","")&amp;IF(MIN(C600:F600)&lt;TODAY(),"Overdue: ",IF(MIN(C600:F600)=TODAY(),"Due today: ",IF(MIN(C600:F600)&lt;=TODAY()+30,"Due within 30 days: ","Next: ")))&amp;INDEX($C$8:$F$8,1,MATCH(MIN(C600:F600),C600:F600,0))&amp;" "&amp;TEXT(MIN(C600:F600),"dd mmm yyyy")))))</x:f>
      </x:c>
      <x:c r="I600" s="52"/>
      <x:c r="J600" t="str">
        <x:f>IF(AND(A600&lt;&gt;"",COUNTIFS(C600,"&gt;=36526",C600,"&lt;"&amp;TODAY())+COUNTIFS(D600,"&gt;=36526",D600,"&lt;"&amp;TODAY())+COUNTIFS(E600,"&gt;=36526",E600,"&lt;"&amp;TODAY())+COUNTIFS(F600,"&gt;=36526",F600,"&lt;"&amp;TODAY())&gt;0),O600,"")</x:f>
      </x:c>
      <x:c r="K600" t="str">
        <x:f>IF(AND(A600&lt;&gt;"",COUNTIFS(C600,"&gt;=36526",C600,TODAY())+COUNTIFS(D600,"&gt;=36526",D600,TODAY())+COUNTIFS(E600,"&gt;=36526",E600,TODAY())+COUNTIFS(F600,"&gt;=36526",F600,TODAY())&gt;0),P600,"")</x:f>
      </x:c>
      <x:c r="L600" t="str">
        <x:f>IF(AND(A600&lt;&gt;"",COUNTIFS(C600,"&gt;"&amp;TODAY(),C600,"&lt;="&amp;TODAY()+30)+COUNTIFS(D600,"&gt;"&amp;TODAY(),D600,"&lt;="&amp;TODAY()+30)+COUNTIFS(E600,"&gt;"&amp;TODAY(),E600,"&lt;="&amp;TODAY()+30)+COUNTIFS(F600,"&gt;"&amp;TODAY(),F600,"&lt;="&amp;TODAY()+30)&gt;0),Q600,"")</x:f>
      </x:c>
      <x:c r="M600" t="str">
        <x:f>IF(OR(LEFT(H600,15)="Missing dates; ",LEFT(H600,16)="Add N/A reason; ",H600="Add dates",H600="Add registration",H600="Check date format"),R600,"")</x:f>
      </x:c>
      <x:c r="N600" t="str">
        <x:f>IF(COUNTIFS(C600:F600,"Reviewed N/A")&gt;0,S600,"")</x:f>
      </x:c>
      <x:c r="O600" t="n">
        <x:f>O599+IF(AND(A600&lt;&gt;"",COUNTIFS(C600,"&gt;=36526",C600,"&lt;"&amp;TODAY())+COUNTIFS(D600,"&gt;=36526",D600,"&lt;"&amp;TODAY())+COUNTIFS(E600,"&gt;=36526",E600,"&lt;"&amp;TODAY())+COUNTIFS(F600,"&gt;=36526",F600,"&lt;"&amp;TODAY())&gt;0),1,0)</x:f>
        <x:v>0</x:v>
      </x:c>
      <x:c r="P600" t="n">
        <x:f>P599+IF(AND(A600&lt;&gt;"",COUNTIFS(C600,"&gt;=36526",C600,TODAY())+COUNTIFS(D600,"&gt;=36526",D600,TODAY())+COUNTIFS(E600,"&gt;=36526",E600,TODAY())+COUNTIFS(F600,"&gt;=36526",F600,TODAY())&gt;0),1,0)</x:f>
        <x:v>0</x:v>
      </x:c>
      <x:c r="Q600" t="n">
        <x:f>Q599+IF(AND(A600&lt;&gt;"",COUNTIFS(C600,"&gt;"&amp;TODAY(),C600,"&lt;="&amp;TODAY()+30)+COUNTIFS(D600,"&gt;"&amp;TODAY(),D600,"&lt;="&amp;TODAY()+30)+COUNTIFS(E600,"&gt;"&amp;TODAY(),E600,"&lt;="&amp;TODAY()+30)+COUNTIFS(F600,"&gt;"&amp;TODAY(),F600,"&lt;="&amp;TODAY()+30)&gt;0),1,0)</x:f>
        <x:v>0</x:v>
      </x:c>
      <x:c r="R600" t="n">
        <x:f>R599+IF(OR(LEFT(H600,15)="Missing dates; ",LEFT(H600,16)="Add N/A reason; ",H600="Add dates",H600="Add registration",H600="Check date format"),1,0)</x:f>
        <x:v>0</x:v>
      </x:c>
      <x:c r="S600" t="n">
        <x:f>S599+IF(COUNTIFS(C600:F600,"Reviewed N/A")&gt;0,1,0)</x:f>
        <x:v>0</x:v>
      </x:c>
    </x:row>
    <x:row r="601" ht="48" customHeight="1">
      <x:c r="A601" s="52"/>
      <x:c r="B601" s="52"/>
      <x:c r="C601" s="53"/>
      <x:c r="D601" s="53"/>
      <x:c r="E601" s="53"/>
      <x:c r="F601" s="53"/>
      <x:c r="G601" s="52"/>
      <x:c r="H601" s="21" t="str">
        <x:f>IF(COUNTA(A601:G601,I601)=0,"",IF(A601="","Add registration",IF(OR(COUNTA(C601:F601)&gt;COUNT(C601:F601)+COUNTIFS(C601:F601,"Reviewed N/A"),AND(COUNT(C601:F601)&gt;0,OR(MIN(C601:F601)&lt;36526,MAX(C601:F601)&gt;109574))),"Check date format",IF(AND(COUNTIFS(C601:F601,"Reviewed N/A")&gt;0,I601=""),"Add N/A reason; ","")&amp;IF(COUNT(C601:F601)=0,IF(COUNTIFS(C601:F601,"Reviewed N/A")=4,"No applicable dates recorded","Add dates"),IF(COUNT(C601:F601)+COUNTIFS(C601:F601,"Reviewed N/A")&lt;4,"Missing dates; ","")&amp;IF(MIN(C601:F601)&lt;TODAY(),"Overdue: ",IF(MIN(C601:F601)=TODAY(),"Due today: ",IF(MIN(C601:F601)&lt;=TODAY()+30,"Due within 30 days: ","Next: ")))&amp;INDEX($C$8:$F$8,1,MATCH(MIN(C601:F601),C601:F601,0))&amp;" "&amp;TEXT(MIN(C601:F601),"dd mmm yyyy")))))</x:f>
      </x:c>
      <x:c r="I601" s="52"/>
      <x:c r="J601" t="str">
        <x:f>IF(AND(A601&lt;&gt;"",COUNTIFS(C601,"&gt;=36526",C601,"&lt;"&amp;TODAY())+COUNTIFS(D601,"&gt;=36526",D601,"&lt;"&amp;TODAY())+COUNTIFS(E601,"&gt;=36526",E601,"&lt;"&amp;TODAY())+COUNTIFS(F601,"&gt;=36526",F601,"&lt;"&amp;TODAY())&gt;0),O601,"")</x:f>
      </x:c>
      <x:c r="K601" t="str">
        <x:f>IF(AND(A601&lt;&gt;"",COUNTIFS(C601,"&gt;=36526",C601,TODAY())+COUNTIFS(D601,"&gt;=36526",D601,TODAY())+COUNTIFS(E601,"&gt;=36526",E601,TODAY())+COUNTIFS(F601,"&gt;=36526",F601,TODAY())&gt;0),P601,"")</x:f>
      </x:c>
      <x:c r="L601" t="str">
        <x:f>IF(AND(A601&lt;&gt;"",COUNTIFS(C601,"&gt;"&amp;TODAY(),C601,"&lt;="&amp;TODAY()+30)+COUNTIFS(D601,"&gt;"&amp;TODAY(),D601,"&lt;="&amp;TODAY()+30)+COUNTIFS(E601,"&gt;"&amp;TODAY(),E601,"&lt;="&amp;TODAY()+30)+COUNTIFS(F601,"&gt;"&amp;TODAY(),F601,"&lt;="&amp;TODAY()+30)&gt;0),Q601,"")</x:f>
      </x:c>
      <x:c r="M601" t="str">
        <x:f>IF(OR(LEFT(H601,15)="Missing dates; ",LEFT(H601,16)="Add N/A reason; ",H601="Add dates",H601="Add registration",H601="Check date format"),R601,"")</x:f>
      </x:c>
      <x:c r="N601" t="str">
        <x:f>IF(COUNTIFS(C601:F601,"Reviewed N/A")&gt;0,S601,"")</x:f>
      </x:c>
      <x:c r="O601" t="n">
        <x:f>O600+IF(AND(A601&lt;&gt;"",COUNTIFS(C601,"&gt;=36526",C601,"&lt;"&amp;TODAY())+COUNTIFS(D601,"&gt;=36526",D601,"&lt;"&amp;TODAY())+COUNTIFS(E601,"&gt;=36526",E601,"&lt;"&amp;TODAY())+COUNTIFS(F601,"&gt;=36526",F601,"&lt;"&amp;TODAY())&gt;0),1,0)</x:f>
        <x:v>0</x:v>
      </x:c>
      <x:c r="P601" t="n">
        <x:f>P600+IF(AND(A601&lt;&gt;"",COUNTIFS(C601,"&gt;=36526",C601,TODAY())+COUNTIFS(D601,"&gt;=36526",D601,TODAY())+COUNTIFS(E601,"&gt;=36526",E601,TODAY())+COUNTIFS(F601,"&gt;=36526",F601,TODAY())&gt;0),1,0)</x:f>
        <x:v>0</x:v>
      </x:c>
      <x:c r="Q601" t="n">
        <x:f>Q600+IF(AND(A601&lt;&gt;"",COUNTIFS(C601,"&gt;"&amp;TODAY(),C601,"&lt;="&amp;TODAY()+30)+COUNTIFS(D601,"&gt;"&amp;TODAY(),D601,"&lt;="&amp;TODAY()+30)+COUNTIFS(E601,"&gt;"&amp;TODAY(),E601,"&lt;="&amp;TODAY()+30)+COUNTIFS(F601,"&gt;"&amp;TODAY(),F601,"&lt;="&amp;TODAY()+30)&gt;0),1,0)</x:f>
        <x:v>0</x:v>
      </x:c>
      <x:c r="R601" t="n">
        <x:f>R600+IF(OR(LEFT(H601,15)="Missing dates; ",LEFT(H601,16)="Add N/A reason; ",H601="Add dates",H601="Add registration",H601="Check date format"),1,0)</x:f>
        <x:v>0</x:v>
      </x:c>
      <x:c r="S601" t="n">
        <x:f>S600+IF(COUNTIFS(C601:F601,"Reviewed N/A")&gt;0,1,0)</x:f>
        <x:v>0</x:v>
      </x:c>
    </x:row>
    <x:row r="602" ht="48" customHeight="1">
      <x:c r="A602" s="52"/>
      <x:c r="B602" s="52"/>
      <x:c r="C602" s="53"/>
      <x:c r="D602" s="53"/>
      <x:c r="E602" s="53"/>
      <x:c r="F602" s="53"/>
      <x:c r="G602" s="52"/>
      <x:c r="H602" s="21" t="str">
        <x:f>IF(COUNTA(A602:G602,I602)=0,"",IF(A602="","Add registration",IF(OR(COUNTA(C602:F602)&gt;COUNT(C602:F602)+COUNTIFS(C602:F602,"Reviewed N/A"),AND(COUNT(C602:F602)&gt;0,OR(MIN(C602:F602)&lt;36526,MAX(C602:F602)&gt;109574))),"Check date format",IF(AND(COUNTIFS(C602:F602,"Reviewed N/A")&gt;0,I602=""),"Add N/A reason; ","")&amp;IF(COUNT(C602:F602)=0,IF(COUNTIFS(C602:F602,"Reviewed N/A")=4,"No applicable dates recorded","Add dates"),IF(COUNT(C602:F602)+COUNTIFS(C602:F602,"Reviewed N/A")&lt;4,"Missing dates; ","")&amp;IF(MIN(C602:F602)&lt;TODAY(),"Overdue: ",IF(MIN(C602:F602)=TODAY(),"Due today: ",IF(MIN(C602:F602)&lt;=TODAY()+30,"Due within 30 days: ","Next: ")))&amp;INDEX($C$8:$F$8,1,MATCH(MIN(C602:F602),C602:F602,0))&amp;" "&amp;TEXT(MIN(C602:F602),"dd mmm yyyy")))))</x:f>
      </x:c>
      <x:c r="I602" s="52"/>
      <x:c r="J602" t="str">
        <x:f>IF(AND(A602&lt;&gt;"",COUNTIFS(C602,"&gt;=36526",C602,"&lt;"&amp;TODAY())+COUNTIFS(D602,"&gt;=36526",D602,"&lt;"&amp;TODAY())+COUNTIFS(E602,"&gt;=36526",E602,"&lt;"&amp;TODAY())+COUNTIFS(F602,"&gt;=36526",F602,"&lt;"&amp;TODAY())&gt;0),O602,"")</x:f>
      </x:c>
      <x:c r="K602" t="str">
        <x:f>IF(AND(A602&lt;&gt;"",COUNTIFS(C602,"&gt;=36526",C602,TODAY())+COUNTIFS(D602,"&gt;=36526",D602,TODAY())+COUNTIFS(E602,"&gt;=36526",E602,TODAY())+COUNTIFS(F602,"&gt;=36526",F602,TODAY())&gt;0),P602,"")</x:f>
      </x:c>
      <x:c r="L602" t="str">
        <x:f>IF(AND(A602&lt;&gt;"",COUNTIFS(C602,"&gt;"&amp;TODAY(),C602,"&lt;="&amp;TODAY()+30)+COUNTIFS(D602,"&gt;"&amp;TODAY(),D602,"&lt;="&amp;TODAY()+30)+COUNTIFS(E602,"&gt;"&amp;TODAY(),E602,"&lt;="&amp;TODAY()+30)+COUNTIFS(F602,"&gt;"&amp;TODAY(),F602,"&lt;="&amp;TODAY()+30)&gt;0),Q602,"")</x:f>
      </x:c>
      <x:c r="M602" t="str">
        <x:f>IF(OR(LEFT(H602,15)="Missing dates; ",LEFT(H602,16)="Add N/A reason; ",H602="Add dates",H602="Add registration",H602="Check date format"),R602,"")</x:f>
      </x:c>
      <x:c r="N602" t="str">
        <x:f>IF(COUNTIFS(C602:F602,"Reviewed N/A")&gt;0,S602,"")</x:f>
      </x:c>
      <x:c r="O602" t="n">
        <x:f>O601+IF(AND(A602&lt;&gt;"",COUNTIFS(C602,"&gt;=36526",C602,"&lt;"&amp;TODAY())+COUNTIFS(D602,"&gt;=36526",D602,"&lt;"&amp;TODAY())+COUNTIFS(E602,"&gt;=36526",E602,"&lt;"&amp;TODAY())+COUNTIFS(F602,"&gt;=36526",F602,"&lt;"&amp;TODAY())&gt;0),1,0)</x:f>
        <x:v>0</x:v>
      </x:c>
      <x:c r="P602" t="n">
        <x:f>P601+IF(AND(A602&lt;&gt;"",COUNTIFS(C602,"&gt;=36526",C602,TODAY())+COUNTIFS(D602,"&gt;=36526",D602,TODAY())+COUNTIFS(E602,"&gt;=36526",E602,TODAY())+COUNTIFS(F602,"&gt;=36526",F602,TODAY())&gt;0),1,0)</x:f>
        <x:v>0</x:v>
      </x:c>
      <x:c r="Q602" t="n">
        <x:f>Q601+IF(AND(A602&lt;&gt;"",COUNTIFS(C602,"&gt;"&amp;TODAY(),C602,"&lt;="&amp;TODAY()+30)+COUNTIFS(D602,"&gt;"&amp;TODAY(),D602,"&lt;="&amp;TODAY()+30)+COUNTIFS(E602,"&gt;"&amp;TODAY(),E602,"&lt;="&amp;TODAY()+30)+COUNTIFS(F602,"&gt;"&amp;TODAY(),F602,"&lt;="&amp;TODAY()+30)&gt;0),1,0)</x:f>
        <x:v>0</x:v>
      </x:c>
      <x:c r="R602" t="n">
        <x:f>R601+IF(OR(LEFT(H602,15)="Missing dates; ",LEFT(H602,16)="Add N/A reason; ",H602="Add dates",H602="Add registration",H602="Check date format"),1,0)</x:f>
        <x:v>0</x:v>
      </x:c>
      <x:c r="S602" t="n">
        <x:f>S601+IF(COUNTIFS(C602:F602,"Reviewed N/A")&gt;0,1,0)</x:f>
        <x:v>0</x:v>
      </x:c>
    </x:row>
    <x:row r="603" ht="48" customHeight="1">
      <x:c r="A603" s="52"/>
      <x:c r="B603" s="52"/>
      <x:c r="C603" s="53"/>
      <x:c r="D603" s="53"/>
      <x:c r="E603" s="53"/>
      <x:c r="F603" s="53"/>
      <x:c r="G603" s="52"/>
      <x:c r="H603" s="21" t="str">
        <x:f>IF(COUNTA(A603:G603,I603)=0,"",IF(A603="","Add registration",IF(OR(COUNTA(C603:F603)&gt;COUNT(C603:F603)+COUNTIFS(C603:F603,"Reviewed N/A"),AND(COUNT(C603:F603)&gt;0,OR(MIN(C603:F603)&lt;36526,MAX(C603:F603)&gt;109574))),"Check date format",IF(AND(COUNTIFS(C603:F603,"Reviewed N/A")&gt;0,I603=""),"Add N/A reason; ","")&amp;IF(COUNT(C603:F603)=0,IF(COUNTIFS(C603:F603,"Reviewed N/A")=4,"No applicable dates recorded","Add dates"),IF(COUNT(C603:F603)+COUNTIFS(C603:F603,"Reviewed N/A")&lt;4,"Missing dates; ","")&amp;IF(MIN(C603:F603)&lt;TODAY(),"Overdue: ",IF(MIN(C603:F603)=TODAY(),"Due today: ",IF(MIN(C603:F603)&lt;=TODAY()+30,"Due within 30 days: ","Next: ")))&amp;INDEX($C$8:$F$8,1,MATCH(MIN(C603:F603),C603:F603,0))&amp;" "&amp;TEXT(MIN(C603:F603),"dd mmm yyyy")))))</x:f>
      </x:c>
      <x:c r="I603" s="52"/>
      <x:c r="J603" t="str">
        <x:f>IF(AND(A603&lt;&gt;"",COUNTIFS(C603,"&gt;=36526",C603,"&lt;"&amp;TODAY())+COUNTIFS(D603,"&gt;=36526",D603,"&lt;"&amp;TODAY())+COUNTIFS(E603,"&gt;=36526",E603,"&lt;"&amp;TODAY())+COUNTIFS(F603,"&gt;=36526",F603,"&lt;"&amp;TODAY())&gt;0),O603,"")</x:f>
      </x:c>
      <x:c r="K603" t="str">
        <x:f>IF(AND(A603&lt;&gt;"",COUNTIFS(C603,"&gt;=36526",C603,TODAY())+COUNTIFS(D603,"&gt;=36526",D603,TODAY())+COUNTIFS(E603,"&gt;=36526",E603,TODAY())+COUNTIFS(F603,"&gt;=36526",F603,TODAY())&gt;0),P603,"")</x:f>
      </x:c>
      <x:c r="L603" t="str">
        <x:f>IF(AND(A603&lt;&gt;"",COUNTIFS(C603,"&gt;"&amp;TODAY(),C603,"&lt;="&amp;TODAY()+30)+COUNTIFS(D603,"&gt;"&amp;TODAY(),D603,"&lt;="&amp;TODAY()+30)+COUNTIFS(E603,"&gt;"&amp;TODAY(),E603,"&lt;="&amp;TODAY()+30)+COUNTIFS(F603,"&gt;"&amp;TODAY(),F603,"&lt;="&amp;TODAY()+30)&gt;0),Q603,"")</x:f>
      </x:c>
      <x:c r="M603" t="str">
        <x:f>IF(OR(LEFT(H603,15)="Missing dates; ",LEFT(H603,16)="Add N/A reason; ",H603="Add dates",H603="Add registration",H603="Check date format"),R603,"")</x:f>
      </x:c>
      <x:c r="N603" t="str">
        <x:f>IF(COUNTIFS(C603:F603,"Reviewed N/A")&gt;0,S603,"")</x:f>
      </x:c>
      <x:c r="O603" t="n">
        <x:f>O602+IF(AND(A603&lt;&gt;"",COUNTIFS(C603,"&gt;=36526",C603,"&lt;"&amp;TODAY())+COUNTIFS(D603,"&gt;=36526",D603,"&lt;"&amp;TODAY())+COUNTIFS(E603,"&gt;=36526",E603,"&lt;"&amp;TODAY())+COUNTIFS(F603,"&gt;=36526",F603,"&lt;"&amp;TODAY())&gt;0),1,0)</x:f>
        <x:v>0</x:v>
      </x:c>
      <x:c r="P603" t="n">
        <x:f>P602+IF(AND(A603&lt;&gt;"",COUNTIFS(C603,"&gt;=36526",C603,TODAY())+COUNTIFS(D603,"&gt;=36526",D603,TODAY())+COUNTIFS(E603,"&gt;=36526",E603,TODAY())+COUNTIFS(F603,"&gt;=36526",F603,TODAY())&gt;0),1,0)</x:f>
        <x:v>0</x:v>
      </x:c>
      <x:c r="Q603" t="n">
        <x:f>Q602+IF(AND(A603&lt;&gt;"",COUNTIFS(C603,"&gt;"&amp;TODAY(),C603,"&lt;="&amp;TODAY()+30)+COUNTIFS(D603,"&gt;"&amp;TODAY(),D603,"&lt;="&amp;TODAY()+30)+COUNTIFS(E603,"&gt;"&amp;TODAY(),E603,"&lt;="&amp;TODAY()+30)+COUNTIFS(F603,"&gt;"&amp;TODAY(),F603,"&lt;="&amp;TODAY()+30)&gt;0),1,0)</x:f>
        <x:v>0</x:v>
      </x:c>
      <x:c r="R603" t="n">
        <x:f>R602+IF(OR(LEFT(H603,15)="Missing dates; ",LEFT(H603,16)="Add N/A reason; ",H603="Add dates",H603="Add registration",H603="Check date format"),1,0)</x:f>
        <x:v>0</x:v>
      </x:c>
      <x:c r="S603" t="n">
        <x:f>S602+IF(COUNTIFS(C603:F603,"Reviewed N/A")&gt;0,1,0)</x:f>
        <x:v>0</x:v>
      </x:c>
    </x:row>
    <x:row r="604" ht="48" customHeight="1">
      <x:c r="A604" s="52"/>
      <x:c r="B604" s="52"/>
      <x:c r="C604" s="53"/>
      <x:c r="D604" s="53"/>
      <x:c r="E604" s="53"/>
      <x:c r="F604" s="53"/>
      <x:c r="G604" s="52"/>
      <x:c r="H604" s="21" t="str">
        <x:f>IF(COUNTA(A604:G604,I604)=0,"",IF(A604="","Add registration",IF(OR(COUNTA(C604:F604)&gt;COUNT(C604:F604)+COUNTIFS(C604:F604,"Reviewed N/A"),AND(COUNT(C604:F604)&gt;0,OR(MIN(C604:F604)&lt;36526,MAX(C604:F604)&gt;109574))),"Check date format",IF(AND(COUNTIFS(C604:F604,"Reviewed N/A")&gt;0,I604=""),"Add N/A reason; ","")&amp;IF(COUNT(C604:F604)=0,IF(COUNTIFS(C604:F604,"Reviewed N/A")=4,"No applicable dates recorded","Add dates"),IF(COUNT(C604:F604)+COUNTIFS(C604:F604,"Reviewed N/A")&lt;4,"Missing dates; ","")&amp;IF(MIN(C604:F604)&lt;TODAY(),"Overdue: ",IF(MIN(C604:F604)=TODAY(),"Due today: ",IF(MIN(C604:F604)&lt;=TODAY()+30,"Due within 30 days: ","Next: ")))&amp;INDEX($C$8:$F$8,1,MATCH(MIN(C604:F604),C604:F604,0))&amp;" "&amp;TEXT(MIN(C604:F604),"dd mmm yyyy")))))</x:f>
      </x:c>
      <x:c r="I604" s="52"/>
      <x:c r="J604" t="str">
        <x:f>IF(AND(A604&lt;&gt;"",COUNTIFS(C604,"&gt;=36526",C604,"&lt;"&amp;TODAY())+COUNTIFS(D604,"&gt;=36526",D604,"&lt;"&amp;TODAY())+COUNTIFS(E604,"&gt;=36526",E604,"&lt;"&amp;TODAY())+COUNTIFS(F604,"&gt;=36526",F604,"&lt;"&amp;TODAY())&gt;0),O604,"")</x:f>
      </x:c>
      <x:c r="K604" t="str">
        <x:f>IF(AND(A604&lt;&gt;"",COUNTIFS(C604,"&gt;=36526",C604,TODAY())+COUNTIFS(D604,"&gt;=36526",D604,TODAY())+COUNTIFS(E604,"&gt;=36526",E604,TODAY())+COUNTIFS(F604,"&gt;=36526",F604,TODAY())&gt;0),P604,"")</x:f>
      </x:c>
      <x:c r="L604" t="str">
        <x:f>IF(AND(A604&lt;&gt;"",COUNTIFS(C604,"&gt;"&amp;TODAY(),C604,"&lt;="&amp;TODAY()+30)+COUNTIFS(D604,"&gt;"&amp;TODAY(),D604,"&lt;="&amp;TODAY()+30)+COUNTIFS(E604,"&gt;"&amp;TODAY(),E604,"&lt;="&amp;TODAY()+30)+COUNTIFS(F604,"&gt;"&amp;TODAY(),F604,"&lt;="&amp;TODAY()+30)&gt;0),Q604,"")</x:f>
      </x:c>
      <x:c r="M604" t="str">
        <x:f>IF(OR(LEFT(H604,15)="Missing dates; ",LEFT(H604,16)="Add N/A reason; ",H604="Add dates",H604="Add registration",H604="Check date format"),R604,"")</x:f>
      </x:c>
      <x:c r="N604" t="str">
        <x:f>IF(COUNTIFS(C604:F604,"Reviewed N/A")&gt;0,S604,"")</x:f>
      </x:c>
      <x:c r="O604" t="n">
        <x:f>O603+IF(AND(A604&lt;&gt;"",COUNTIFS(C604,"&gt;=36526",C604,"&lt;"&amp;TODAY())+COUNTIFS(D604,"&gt;=36526",D604,"&lt;"&amp;TODAY())+COUNTIFS(E604,"&gt;=36526",E604,"&lt;"&amp;TODAY())+COUNTIFS(F604,"&gt;=36526",F604,"&lt;"&amp;TODAY())&gt;0),1,0)</x:f>
        <x:v>0</x:v>
      </x:c>
      <x:c r="P604" t="n">
        <x:f>P603+IF(AND(A604&lt;&gt;"",COUNTIFS(C604,"&gt;=36526",C604,TODAY())+COUNTIFS(D604,"&gt;=36526",D604,TODAY())+COUNTIFS(E604,"&gt;=36526",E604,TODAY())+COUNTIFS(F604,"&gt;=36526",F604,TODAY())&gt;0),1,0)</x:f>
        <x:v>0</x:v>
      </x:c>
      <x:c r="Q604" t="n">
        <x:f>Q603+IF(AND(A604&lt;&gt;"",COUNTIFS(C604,"&gt;"&amp;TODAY(),C604,"&lt;="&amp;TODAY()+30)+COUNTIFS(D604,"&gt;"&amp;TODAY(),D604,"&lt;="&amp;TODAY()+30)+COUNTIFS(E604,"&gt;"&amp;TODAY(),E604,"&lt;="&amp;TODAY()+30)+COUNTIFS(F604,"&gt;"&amp;TODAY(),F604,"&lt;="&amp;TODAY()+30)&gt;0),1,0)</x:f>
        <x:v>0</x:v>
      </x:c>
      <x:c r="R604" t="n">
        <x:f>R603+IF(OR(LEFT(H604,15)="Missing dates; ",LEFT(H604,16)="Add N/A reason; ",H604="Add dates",H604="Add registration",H604="Check date format"),1,0)</x:f>
        <x:v>0</x:v>
      </x:c>
      <x:c r="S604" t="n">
        <x:f>S603+IF(COUNTIFS(C604:F604,"Reviewed N/A")&gt;0,1,0)</x:f>
        <x:v>0</x:v>
      </x:c>
    </x:row>
    <x:row r="605" ht="48" customHeight="1">
      <x:c r="A605" s="52"/>
      <x:c r="B605" s="52"/>
      <x:c r="C605" s="53"/>
      <x:c r="D605" s="53"/>
      <x:c r="E605" s="53"/>
      <x:c r="F605" s="53"/>
      <x:c r="G605" s="52"/>
      <x:c r="H605" s="21" t="str">
        <x:f>IF(COUNTA(A605:G605,I605)=0,"",IF(A605="","Add registration",IF(OR(COUNTA(C605:F605)&gt;COUNT(C605:F605)+COUNTIFS(C605:F605,"Reviewed N/A"),AND(COUNT(C605:F605)&gt;0,OR(MIN(C605:F605)&lt;36526,MAX(C605:F605)&gt;109574))),"Check date format",IF(AND(COUNTIFS(C605:F605,"Reviewed N/A")&gt;0,I605=""),"Add N/A reason; ","")&amp;IF(COUNT(C605:F605)=0,IF(COUNTIFS(C605:F605,"Reviewed N/A")=4,"No applicable dates recorded","Add dates"),IF(COUNT(C605:F605)+COUNTIFS(C605:F605,"Reviewed N/A")&lt;4,"Missing dates; ","")&amp;IF(MIN(C605:F605)&lt;TODAY(),"Overdue: ",IF(MIN(C605:F605)=TODAY(),"Due today: ",IF(MIN(C605:F605)&lt;=TODAY()+30,"Due within 30 days: ","Next: ")))&amp;INDEX($C$8:$F$8,1,MATCH(MIN(C605:F605),C605:F605,0))&amp;" "&amp;TEXT(MIN(C605:F605),"dd mmm yyyy")))))</x:f>
      </x:c>
      <x:c r="I605" s="52"/>
      <x:c r="J605" t="str">
        <x:f>IF(AND(A605&lt;&gt;"",COUNTIFS(C605,"&gt;=36526",C605,"&lt;"&amp;TODAY())+COUNTIFS(D605,"&gt;=36526",D605,"&lt;"&amp;TODAY())+COUNTIFS(E605,"&gt;=36526",E605,"&lt;"&amp;TODAY())+COUNTIFS(F605,"&gt;=36526",F605,"&lt;"&amp;TODAY())&gt;0),O605,"")</x:f>
      </x:c>
      <x:c r="K605" t="str">
        <x:f>IF(AND(A605&lt;&gt;"",COUNTIFS(C605,"&gt;=36526",C605,TODAY())+COUNTIFS(D605,"&gt;=36526",D605,TODAY())+COUNTIFS(E605,"&gt;=36526",E605,TODAY())+COUNTIFS(F605,"&gt;=36526",F605,TODAY())&gt;0),P605,"")</x:f>
      </x:c>
      <x:c r="L605" t="str">
        <x:f>IF(AND(A605&lt;&gt;"",COUNTIFS(C605,"&gt;"&amp;TODAY(),C605,"&lt;="&amp;TODAY()+30)+COUNTIFS(D605,"&gt;"&amp;TODAY(),D605,"&lt;="&amp;TODAY()+30)+COUNTIFS(E605,"&gt;"&amp;TODAY(),E605,"&lt;="&amp;TODAY()+30)+COUNTIFS(F605,"&gt;"&amp;TODAY(),F605,"&lt;="&amp;TODAY()+30)&gt;0),Q605,"")</x:f>
      </x:c>
      <x:c r="M605" t="str">
        <x:f>IF(OR(LEFT(H605,15)="Missing dates; ",LEFT(H605,16)="Add N/A reason; ",H605="Add dates",H605="Add registration",H605="Check date format"),R605,"")</x:f>
      </x:c>
      <x:c r="N605" t="str">
        <x:f>IF(COUNTIFS(C605:F605,"Reviewed N/A")&gt;0,S605,"")</x:f>
      </x:c>
      <x:c r="O605" t="n">
        <x:f>O604+IF(AND(A605&lt;&gt;"",COUNTIFS(C605,"&gt;=36526",C605,"&lt;"&amp;TODAY())+COUNTIFS(D605,"&gt;=36526",D605,"&lt;"&amp;TODAY())+COUNTIFS(E605,"&gt;=36526",E605,"&lt;"&amp;TODAY())+COUNTIFS(F605,"&gt;=36526",F605,"&lt;"&amp;TODAY())&gt;0),1,0)</x:f>
        <x:v>0</x:v>
      </x:c>
      <x:c r="P605" t="n">
        <x:f>P604+IF(AND(A605&lt;&gt;"",COUNTIFS(C605,"&gt;=36526",C605,TODAY())+COUNTIFS(D605,"&gt;=36526",D605,TODAY())+COUNTIFS(E605,"&gt;=36526",E605,TODAY())+COUNTIFS(F605,"&gt;=36526",F605,TODAY())&gt;0),1,0)</x:f>
        <x:v>0</x:v>
      </x:c>
      <x:c r="Q605" t="n">
        <x:f>Q604+IF(AND(A605&lt;&gt;"",COUNTIFS(C605,"&gt;"&amp;TODAY(),C605,"&lt;="&amp;TODAY()+30)+COUNTIFS(D605,"&gt;"&amp;TODAY(),D605,"&lt;="&amp;TODAY()+30)+COUNTIFS(E605,"&gt;"&amp;TODAY(),E605,"&lt;="&amp;TODAY()+30)+COUNTIFS(F605,"&gt;"&amp;TODAY(),F605,"&lt;="&amp;TODAY()+30)&gt;0),1,0)</x:f>
        <x:v>0</x:v>
      </x:c>
      <x:c r="R605" t="n">
        <x:f>R604+IF(OR(LEFT(H605,15)="Missing dates; ",LEFT(H605,16)="Add N/A reason; ",H605="Add dates",H605="Add registration",H605="Check date format"),1,0)</x:f>
        <x:v>0</x:v>
      </x:c>
      <x:c r="S605" t="n">
        <x:f>S604+IF(COUNTIFS(C605:F605,"Reviewed N/A")&gt;0,1,0)</x:f>
        <x:v>0</x:v>
      </x:c>
    </x:row>
    <x:row r="606" ht="48" customHeight="1">
      <x:c r="A606" s="52"/>
      <x:c r="B606" s="52"/>
      <x:c r="C606" s="53"/>
      <x:c r="D606" s="53"/>
      <x:c r="E606" s="53"/>
      <x:c r="F606" s="53"/>
      <x:c r="G606" s="52"/>
      <x:c r="H606" s="21" t="str">
        <x:f>IF(COUNTA(A606:G606,I606)=0,"",IF(A606="","Add registration",IF(OR(COUNTA(C606:F606)&gt;COUNT(C606:F606)+COUNTIFS(C606:F606,"Reviewed N/A"),AND(COUNT(C606:F606)&gt;0,OR(MIN(C606:F606)&lt;36526,MAX(C606:F606)&gt;109574))),"Check date format",IF(AND(COUNTIFS(C606:F606,"Reviewed N/A")&gt;0,I606=""),"Add N/A reason; ","")&amp;IF(COUNT(C606:F606)=0,IF(COUNTIFS(C606:F606,"Reviewed N/A")=4,"No applicable dates recorded","Add dates"),IF(COUNT(C606:F606)+COUNTIFS(C606:F606,"Reviewed N/A")&lt;4,"Missing dates; ","")&amp;IF(MIN(C606:F606)&lt;TODAY(),"Overdue: ",IF(MIN(C606:F606)=TODAY(),"Due today: ",IF(MIN(C606:F606)&lt;=TODAY()+30,"Due within 30 days: ","Next: ")))&amp;INDEX($C$8:$F$8,1,MATCH(MIN(C606:F606),C606:F606,0))&amp;" "&amp;TEXT(MIN(C606:F606),"dd mmm yyyy")))))</x:f>
      </x:c>
      <x:c r="I606" s="52"/>
      <x:c r="J606" t="str">
        <x:f>IF(AND(A606&lt;&gt;"",COUNTIFS(C606,"&gt;=36526",C606,"&lt;"&amp;TODAY())+COUNTIFS(D606,"&gt;=36526",D606,"&lt;"&amp;TODAY())+COUNTIFS(E606,"&gt;=36526",E606,"&lt;"&amp;TODAY())+COUNTIFS(F606,"&gt;=36526",F606,"&lt;"&amp;TODAY())&gt;0),O606,"")</x:f>
      </x:c>
      <x:c r="K606" t="str">
        <x:f>IF(AND(A606&lt;&gt;"",COUNTIFS(C606,"&gt;=36526",C606,TODAY())+COUNTIFS(D606,"&gt;=36526",D606,TODAY())+COUNTIFS(E606,"&gt;=36526",E606,TODAY())+COUNTIFS(F606,"&gt;=36526",F606,TODAY())&gt;0),P606,"")</x:f>
      </x:c>
      <x:c r="L606" t="str">
        <x:f>IF(AND(A606&lt;&gt;"",COUNTIFS(C606,"&gt;"&amp;TODAY(),C606,"&lt;="&amp;TODAY()+30)+COUNTIFS(D606,"&gt;"&amp;TODAY(),D606,"&lt;="&amp;TODAY()+30)+COUNTIFS(E606,"&gt;"&amp;TODAY(),E606,"&lt;="&amp;TODAY()+30)+COUNTIFS(F606,"&gt;"&amp;TODAY(),F606,"&lt;="&amp;TODAY()+30)&gt;0),Q606,"")</x:f>
      </x:c>
      <x:c r="M606" t="str">
        <x:f>IF(OR(LEFT(H606,15)="Missing dates; ",LEFT(H606,16)="Add N/A reason; ",H606="Add dates",H606="Add registration",H606="Check date format"),R606,"")</x:f>
      </x:c>
      <x:c r="N606" t="str">
        <x:f>IF(COUNTIFS(C606:F606,"Reviewed N/A")&gt;0,S606,"")</x:f>
      </x:c>
      <x:c r="O606" t="n">
        <x:f>O605+IF(AND(A606&lt;&gt;"",COUNTIFS(C606,"&gt;=36526",C606,"&lt;"&amp;TODAY())+COUNTIFS(D606,"&gt;=36526",D606,"&lt;"&amp;TODAY())+COUNTIFS(E606,"&gt;=36526",E606,"&lt;"&amp;TODAY())+COUNTIFS(F606,"&gt;=36526",F606,"&lt;"&amp;TODAY())&gt;0),1,0)</x:f>
        <x:v>0</x:v>
      </x:c>
      <x:c r="P606" t="n">
        <x:f>P605+IF(AND(A606&lt;&gt;"",COUNTIFS(C606,"&gt;=36526",C606,TODAY())+COUNTIFS(D606,"&gt;=36526",D606,TODAY())+COUNTIFS(E606,"&gt;=36526",E606,TODAY())+COUNTIFS(F606,"&gt;=36526",F606,TODAY())&gt;0),1,0)</x:f>
        <x:v>0</x:v>
      </x:c>
      <x:c r="Q606" t="n">
        <x:f>Q605+IF(AND(A606&lt;&gt;"",COUNTIFS(C606,"&gt;"&amp;TODAY(),C606,"&lt;="&amp;TODAY()+30)+COUNTIFS(D606,"&gt;"&amp;TODAY(),D606,"&lt;="&amp;TODAY()+30)+COUNTIFS(E606,"&gt;"&amp;TODAY(),E606,"&lt;="&amp;TODAY()+30)+COUNTIFS(F606,"&gt;"&amp;TODAY(),F606,"&lt;="&amp;TODAY()+30)&gt;0),1,0)</x:f>
        <x:v>0</x:v>
      </x:c>
      <x:c r="R606" t="n">
        <x:f>R605+IF(OR(LEFT(H606,15)="Missing dates; ",LEFT(H606,16)="Add N/A reason; ",H606="Add dates",H606="Add registration",H606="Check date format"),1,0)</x:f>
        <x:v>0</x:v>
      </x:c>
      <x:c r="S606" t="n">
        <x:f>S605+IF(COUNTIFS(C606:F606,"Reviewed N/A")&gt;0,1,0)</x:f>
        <x:v>0</x:v>
      </x:c>
    </x:row>
    <x:row r="607" ht="48" customHeight="1">
      <x:c r="A607" s="52"/>
      <x:c r="B607" s="52"/>
      <x:c r="C607" s="53"/>
      <x:c r="D607" s="53"/>
      <x:c r="E607" s="53"/>
      <x:c r="F607" s="53"/>
      <x:c r="G607" s="52"/>
      <x:c r="H607" s="21" t="str">
        <x:f>IF(COUNTA(A607:G607,I607)=0,"",IF(A607="","Add registration",IF(OR(COUNTA(C607:F607)&gt;COUNT(C607:F607)+COUNTIFS(C607:F607,"Reviewed N/A"),AND(COUNT(C607:F607)&gt;0,OR(MIN(C607:F607)&lt;36526,MAX(C607:F607)&gt;109574))),"Check date format",IF(AND(COUNTIFS(C607:F607,"Reviewed N/A")&gt;0,I607=""),"Add N/A reason; ","")&amp;IF(COUNT(C607:F607)=0,IF(COUNTIFS(C607:F607,"Reviewed N/A")=4,"No applicable dates recorded","Add dates"),IF(COUNT(C607:F607)+COUNTIFS(C607:F607,"Reviewed N/A")&lt;4,"Missing dates; ","")&amp;IF(MIN(C607:F607)&lt;TODAY(),"Overdue: ",IF(MIN(C607:F607)=TODAY(),"Due today: ",IF(MIN(C607:F607)&lt;=TODAY()+30,"Due within 30 days: ","Next: ")))&amp;INDEX($C$8:$F$8,1,MATCH(MIN(C607:F607),C607:F607,0))&amp;" "&amp;TEXT(MIN(C607:F607),"dd mmm yyyy")))))</x:f>
      </x:c>
      <x:c r="I607" s="52"/>
      <x:c r="J607" t="str">
        <x:f>IF(AND(A607&lt;&gt;"",COUNTIFS(C607,"&gt;=36526",C607,"&lt;"&amp;TODAY())+COUNTIFS(D607,"&gt;=36526",D607,"&lt;"&amp;TODAY())+COUNTIFS(E607,"&gt;=36526",E607,"&lt;"&amp;TODAY())+COUNTIFS(F607,"&gt;=36526",F607,"&lt;"&amp;TODAY())&gt;0),O607,"")</x:f>
      </x:c>
      <x:c r="K607" t="str">
        <x:f>IF(AND(A607&lt;&gt;"",COUNTIFS(C607,"&gt;=36526",C607,TODAY())+COUNTIFS(D607,"&gt;=36526",D607,TODAY())+COUNTIFS(E607,"&gt;=36526",E607,TODAY())+COUNTIFS(F607,"&gt;=36526",F607,TODAY())&gt;0),P607,"")</x:f>
      </x:c>
      <x:c r="L607" t="str">
        <x:f>IF(AND(A607&lt;&gt;"",COUNTIFS(C607,"&gt;"&amp;TODAY(),C607,"&lt;="&amp;TODAY()+30)+COUNTIFS(D607,"&gt;"&amp;TODAY(),D607,"&lt;="&amp;TODAY()+30)+COUNTIFS(E607,"&gt;"&amp;TODAY(),E607,"&lt;="&amp;TODAY()+30)+COUNTIFS(F607,"&gt;"&amp;TODAY(),F607,"&lt;="&amp;TODAY()+30)&gt;0),Q607,"")</x:f>
      </x:c>
      <x:c r="M607" t="str">
        <x:f>IF(OR(LEFT(H607,15)="Missing dates; ",LEFT(H607,16)="Add N/A reason; ",H607="Add dates",H607="Add registration",H607="Check date format"),R607,"")</x:f>
      </x:c>
      <x:c r="N607" t="str">
        <x:f>IF(COUNTIFS(C607:F607,"Reviewed N/A")&gt;0,S607,"")</x:f>
      </x:c>
      <x:c r="O607" t="n">
        <x:f>O606+IF(AND(A607&lt;&gt;"",COUNTIFS(C607,"&gt;=36526",C607,"&lt;"&amp;TODAY())+COUNTIFS(D607,"&gt;=36526",D607,"&lt;"&amp;TODAY())+COUNTIFS(E607,"&gt;=36526",E607,"&lt;"&amp;TODAY())+COUNTIFS(F607,"&gt;=36526",F607,"&lt;"&amp;TODAY())&gt;0),1,0)</x:f>
        <x:v>0</x:v>
      </x:c>
      <x:c r="P607" t="n">
        <x:f>P606+IF(AND(A607&lt;&gt;"",COUNTIFS(C607,"&gt;=36526",C607,TODAY())+COUNTIFS(D607,"&gt;=36526",D607,TODAY())+COUNTIFS(E607,"&gt;=36526",E607,TODAY())+COUNTIFS(F607,"&gt;=36526",F607,TODAY())&gt;0),1,0)</x:f>
        <x:v>0</x:v>
      </x:c>
      <x:c r="Q607" t="n">
        <x:f>Q606+IF(AND(A607&lt;&gt;"",COUNTIFS(C607,"&gt;"&amp;TODAY(),C607,"&lt;="&amp;TODAY()+30)+COUNTIFS(D607,"&gt;"&amp;TODAY(),D607,"&lt;="&amp;TODAY()+30)+COUNTIFS(E607,"&gt;"&amp;TODAY(),E607,"&lt;="&amp;TODAY()+30)+COUNTIFS(F607,"&gt;"&amp;TODAY(),F607,"&lt;="&amp;TODAY()+30)&gt;0),1,0)</x:f>
        <x:v>0</x:v>
      </x:c>
      <x:c r="R607" t="n">
        <x:f>R606+IF(OR(LEFT(H607,15)="Missing dates; ",LEFT(H607,16)="Add N/A reason; ",H607="Add dates",H607="Add registration",H607="Check date format"),1,0)</x:f>
        <x:v>0</x:v>
      </x:c>
      <x:c r="S607" t="n">
        <x:f>S606+IF(COUNTIFS(C607:F607,"Reviewed N/A")&gt;0,1,0)</x:f>
        <x:v>0</x:v>
      </x:c>
    </x:row>
    <x:row r="608" ht="48" customHeight="1">
      <x:c r="A608" s="52"/>
      <x:c r="B608" s="52"/>
      <x:c r="C608" s="53"/>
      <x:c r="D608" s="53"/>
      <x:c r="E608" s="53"/>
      <x:c r="F608" s="53"/>
      <x:c r="G608" s="52"/>
      <x:c r="H608" s="21" t="str">
        <x:f>IF(COUNTA(A608:G608,I608)=0,"",IF(A608="","Add registration",IF(OR(COUNTA(C608:F608)&gt;COUNT(C608:F608)+COUNTIFS(C608:F608,"Reviewed N/A"),AND(COUNT(C608:F608)&gt;0,OR(MIN(C608:F608)&lt;36526,MAX(C608:F608)&gt;109574))),"Check date format",IF(AND(COUNTIFS(C608:F608,"Reviewed N/A")&gt;0,I608=""),"Add N/A reason; ","")&amp;IF(COUNT(C608:F608)=0,IF(COUNTIFS(C608:F608,"Reviewed N/A")=4,"No applicable dates recorded","Add dates"),IF(COUNT(C608:F608)+COUNTIFS(C608:F608,"Reviewed N/A")&lt;4,"Missing dates; ","")&amp;IF(MIN(C608:F608)&lt;TODAY(),"Overdue: ",IF(MIN(C608:F608)=TODAY(),"Due today: ",IF(MIN(C608:F608)&lt;=TODAY()+30,"Due within 30 days: ","Next: ")))&amp;INDEX($C$8:$F$8,1,MATCH(MIN(C608:F608),C608:F608,0))&amp;" "&amp;TEXT(MIN(C608:F608),"dd mmm yyyy")))))</x:f>
      </x:c>
      <x:c r="I608" s="52"/>
      <x:c r="J608" t="str">
        <x:f>IF(AND(A608&lt;&gt;"",COUNTIFS(C608,"&gt;=36526",C608,"&lt;"&amp;TODAY())+COUNTIFS(D608,"&gt;=36526",D608,"&lt;"&amp;TODAY())+COUNTIFS(E608,"&gt;=36526",E608,"&lt;"&amp;TODAY())+COUNTIFS(F608,"&gt;=36526",F608,"&lt;"&amp;TODAY())&gt;0),O608,"")</x:f>
      </x:c>
      <x:c r="K608" t="str">
        <x:f>IF(AND(A608&lt;&gt;"",COUNTIFS(C608,"&gt;=36526",C608,TODAY())+COUNTIFS(D608,"&gt;=36526",D608,TODAY())+COUNTIFS(E608,"&gt;=36526",E608,TODAY())+COUNTIFS(F608,"&gt;=36526",F608,TODAY())&gt;0),P608,"")</x:f>
      </x:c>
      <x:c r="L608" t="str">
        <x:f>IF(AND(A608&lt;&gt;"",COUNTIFS(C608,"&gt;"&amp;TODAY(),C608,"&lt;="&amp;TODAY()+30)+COUNTIFS(D608,"&gt;"&amp;TODAY(),D608,"&lt;="&amp;TODAY()+30)+COUNTIFS(E608,"&gt;"&amp;TODAY(),E608,"&lt;="&amp;TODAY()+30)+COUNTIFS(F608,"&gt;"&amp;TODAY(),F608,"&lt;="&amp;TODAY()+30)&gt;0),Q608,"")</x:f>
      </x:c>
      <x:c r="M608" t="str">
        <x:f>IF(OR(LEFT(H608,15)="Missing dates; ",LEFT(H608,16)="Add N/A reason; ",H608="Add dates",H608="Add registration",H608="Check date format"),R608,"")</x:f>
      </x:c>
      <x:c r="N608" t="str">
        <x:f>IF(COUNTIFS(C608:F608,"Reviewed N/A")&gt;0,S608,"")</x:f>
      </x:c>
      <x:c r="O608" t="n">
        <x:f>O607+IF(AND(A608&lt;&gt;"",COUNTIFS(C608,"&gt;=36526",C608,"&lt;"&amp;TODAY())+COUNTIFS(D608,"&gt;=36526",D608,"&lt;"&amp;TODAY())+COUNTIFS(E608,"&gt;=36526",E608,"&lt;"&amp;TODAY())+COUNTIFS(F608,"&gt;=36526",F608,"&lt;"&amp;TODAY())&gt;0),1,0)</x:f>
        <x:v>0</x:v>
      </x:c>
      <x:c r="P608" t="n">
        <x:f>P607+IF(AND(A608&lt;&gt;"",COUNTIFS(C608,"&gt;=36526",C608,TODAY())+COUNTIFS(D608,"&gt;=36526",D608,TODAY())+COUNTIFS(E608,"&gt;=36526",E608,TODAY())+COUNTIFS(F608,"&gt;=36526",F608,TODAY())&gt;0),1,0)</x:f>
        <x:v>0</x:v>
      </x:c>
      <x:c r="Q608" t="n">
        <x:f>Q607+IF(AND(A608&lt;&gt;"",COUNTIFS(C608,"&gt;"&amp;TODAY(),C608,"&lt;="&amp;TODAY()+30)+COUNTIFS(D608,"&gt;"&amp;TODAY(),D608,"&lt;="&amp;TODAY()+30)+COUNTIFS(E608,"&gt;"&amp;TODAY(),E608,"&lt;="&amp;TODAY()+30)+COUNTIFS(F608,"&gt;"&amp;TODAY(),F608,"&lt;="&amp;TODAY()+30)&gt;0),1,0)</x:f>
        <x:v>0</x:v>
      </x:c>
      <x:c r="R608" t="n">
        <x:f>R607+IF(OR(LEFT(H608,15)="Missing dates; ",LEFT(H608,16)="Add N/A reason; ",H608="Add dates",H608="Add registration",H608="Check date format"),1,0)</x:f>
        <x:v>0</x:v>
      </x:c>
      <x:c r="S608" t="n">
        <x:f>S607+IF(COUNTIFS(C608:F608,"Reviewed N/A")&gt;0,1,0)</x:f>
        <x:v>0</x:v>
      </x:c>
    </x:row>
    <x:row r="609" ht="48" customHeight="1">
      <x:c r="A609" s="52"/>
      <x:c r="B609" s="52"/>
      <x:c r="C609" s="53"/>
      <x:c r="D609" s="53"/>
      <x:c r="E609" s="53"/>
      <x:c r="F609" s="53"/>
      <x:c r="G609" s="52"/>
      <x:c r="H609" s="21" t="str">
        <x:f>IF(COUNTA(A609:G609,I609)=0,"",IF(A609="","Add registration",IF(OR(COUNTA(C609:F609)&gt;COUNT(C609:F609)+COUNTIFS(C609:F609,"Reviewed N/A"),AND(COUNT(C609:F609)&gt;0,OR(MIN(C609:F609)&lt;36526,MAX(C609:F609)&gt;109574))),"Check date format",IF(AND(COUNTIFS(C609:F609,"Reviewed N/A")&gt;0,I609=""),"Add N/A reason; ","")&amp;IF(COUNT(C609:F609)=0,IF(COUNTIFS(C609:F609,"Reviewed N/A")=4,"No applicable dates recorded","Add dates"),IF(COUNT(C609:F609)+COUNTIFS(C609:F609,"Reviewed N/A")&lt;4,"Missing dates; ","")&amp;IF(MIN(C609:F609)&lt;TODAY(),"Overdue: ",IF(MIN(C609:F609)=TODAY(),"Due today: ",IF(MIN(C609:F609)&lt;=TODAY()+30,"Due within 30 days: ","Next: ")))&amp;INDEX($C$8:$F$8,1,MATCH(MIN(C609:F609),C609:F609,0))&amp;" "&amp;TEXT(MIN(C609:F609),"dd mmm yyyy")))))</x:f>
      </x:c>
      <x:c r="I609" s="52"/>
      <x:c r="J609" t="str">
        <x:f>IF(AND(A609&lt;&gt;"",COUNTIFS(C609,"&gt;=36526",C609,"&lt;"&amp;TODAY())+COUNTIFS(D609,"&gt;=36526",D609,"&lt;"&amp;TODAY())+COUNTIFS(E609,"&gt;=36526",E609,"&lt;"&amp;TODAY())+COUNTIFS(F609,"&gt;=36526",F609,"&lt;"&amp;TODAY())&gt;0),O609,"")</x:f>
      </x:c>
      <x:c r="K609" t="str">
        <x:f>IF(AND(A609&lt;&gt;"",COUNTIFS(C609,"&gt;=36526",C609,TODAY())+COUNTIFS(D609,"&gt;=36526",D609,TODAY())+COUNTIFS(E609,"&gt;=36526",E609,TODAY())+COUNTIFS(F609,"&gt;=36526",F609,TODAY())&gt;0),P609,"")</x:f>
      </x:c>
      <x:c r="L609" t="str">
        <x:f>IF(AND(A609&lt;&gt;"",COUNTIFS(C609,"&gt;"&amp;TODAY(),C609,"&lt;="&amp;TODAY()+30)+COUNTIFS(D609,"&gt;"&amp;TODAY(),D609,"&lt;="&amp;TODAY()+30)+COUNTIFS(E609,"&gt;"&amp;TODAY(),E609,"&lt;="&amp;TODAY()+30)+COUNTIFS(F609,"&gt;"&amp;TODAY(),F609,"&lt;="&amp;TODAY()+30)&gt;0),Q609,"")</x:f>
      </x:c>
      <x:c r="M609" t="str">
        <x:f>IF(OR(LEFT(H609,15)="Missing dates; ",LEFT(H609,16)="Add N/A reason; ",H609="Add dates",H609="Add registration",H609="Check date format"),R609,"")</x:f>
      </x:c>
      <x:c r="N609" t="str">
        <x:f>IF(COUNTIFS(C609:F609,"Reviewed N/A")&gt;0,S609,"")</x:f>
      </x:c>
      <x:c r="O609" t="n">
        <x:f>O608+IF(AND(A609&lt;&gt;"",COUNTIFS(C609,"&gt;=36526",C609,"&lt;"&amp;TODAY())+COUNTIFS(D609,"&gt;=36526",D609,"&lt;"&amp;TODAY())+COUNTIFS(E609,"&gt;=36526",E609,"&lt;"&amp;TODAY())+COUNTIFS(F609,"&gt;=36526",F609,"&lt;"&amp;TODAY())&gt;0),1,0)</x:f>
        <x:v>0</x:v>
      </x:c>
      <x:c r="P609" t="n">
        <x:f>P608+IF(AND(A609&lt;&gt;"",COUNTIFS(C609,"&gt;=36526",C609,TODAY())+COUNTIFS(D609,"&gt;=36526",D609,TODAY())+COUNTIFS(E609,"&gt;=36526",E609,TODAY())+COUNTIFS(F609,"&gt;=36526",F609,TODAY())&gt;0),1,0)</x:f>
        <x:v>0</x:v>
      </x:c>
      <x:c r="Q609" t="n">
        <x:f>Q608+IF(AND(A609&lt;&gt;"",COUNTIFS(C609,"&gt;"&amp;TODAY(),C609,"&lt;="&amp;TODAY()+30)+COUNTIFS(D609,"&gt;"&amp;TODAY(),D609,"&lt;="&amp;TODAY()+30)+COUNTIFS(E609,"&gt;"&amp;TODAY(),E609,"&lt;="&amp;TODAY()+30)+COUNTIFS(F609,"&gt;"&amp;TODAY(),F609,"&lt;="&amp;TODAY()+30)&gt;0),1,0)</x:f>
        <x:v>0</x:v>
      </x:c>
      <x:c r="R609" t="n">
        <x:f>R608+IF(OR(LEFT(H609,15)="Missing dates; ",LEFT(H609,16)="Add N/A reason; ",H609="Add dates",H609="Add registration",H609="Check date format"),1,0)</x:f>
        <x:v>0</x:v>
      </x:c>
      <x:c r="S609" t="n">
        <x:f>S608+IF(COUNTIFS(C609:F609,"Reviewed N/A")&gt;0,1,0)</x:f>
        <x:v>0</x:v>
      </x:c>
    </x:row>
    <x:row r="610" ht="48" customHeight="1">
      <x:c r="A610" s="52"/>
      <x:c r="B610" s="52"/>
      <x:c r="C610" s="53"/>
      <x:c r="D610" s="53"/>
      <x:c r="E610" s="53"/>
      <x:c r="F610" s="53"/>
      <x:c r="G610" s="52"/>
      <x:c r="H610" s="21" t="str">
        <x:f>IF(COUNTA(A610:G610,I610)=0,"",IF(A610="","Add registration",IF(OR(COUNTA(C610:F610)&gt;COUNT(C610:F610)+COUNTIFS(C610:F610,"Reviewed N/A"),AND(COUNT(C610:F610)&gt;0,OR(MIN(C610:F610)&lt;36526,MAX(C610:F610)&gt;109574))),"Check date format",IF(AND(COUNTIFS(C610:F610,"Reviewed N/A")&gt;0,I610=""),"Add N/A reason; ","")&amp;IF(COUNT(C610:F610)=0,IF(COUNTIFS(C610:F610,"Reviewed N/A")=4,"No applicable dates recorded","Add dates"),IF(COUNT(C610:F610)+COUNTIFS(C610:F610,"Reviewed N/A")&lt;4,"Missing dates; ","")&amp;IF(MIN(C610:F610)&lt;TODAY(),"Overdue: ",IF(MIN(C610:F610)=TODAY(),"Due today: ",IF(MIN(C610:F610)&lt;=TODAY()+30,"Due within 30 days: ","Next: ")))&amp;INDEX($C$8:$F$8,1,MATCH(MIN(C610:F610),C610:F610,0))&amp;" "&amp;TEXT(MIN(C610:F610),"dd mmm yyyy")))))</x:f>
      </x:c>
      <x:c r="I610" s="52"/>
      <x:c r="J610" t="str">
        <x:f>IF(AND(A610&lt;&gt;"",COUNTIFS(C610,"&gt;=36526",C610,"&lt;"&amp;TODAY())+COUNTIFS(D610,"&gt;=36526",D610,"&lt;"&amp;TODAY())+COUNTIFS(E610,"&gt;=36526",E610,"&lt;"&amp;TODAY())+COUNTIFS(F610,"&gt;=36526",F610,"&lt;"&amp;TODAY())&gt;0),O610,"")</x:f>
      </x:c>
      <x:c r="K610" t="str">
        <x:f>IF(AND(A610&lt;&gt;"",COUNTIFS(C610,"&gt;=36526",C610,TODAY())+COUNTIFS(D610,"&gt;=36526",D610,TODAY())+COUNTIFS(E610,"&gt;=36526",E610,TODAY())+COUNTIFS(F610,"&gt;=36526",F610,TODAY())&gt;0),P610,"")</x:f>
      </x:c>
      <x:c r="L610" t="str">
        <x:f>IF(AND(A610&lt;&gt;"",COUNTIFS(C610,"&gt;"&amp;TODAY(),C610,"&lt;="&amp;TODAY()+30)+COUNTIFS(D610,"&gt;"&amp;TODAY(),D610,"&lt;="&amp;TODAY()+30)+COUNTIFS(E610,"&gt;"&amp;TODAY(),E610,"&lt;="&amp;TODAY()+30)+COUNTIFS(F610,"&gt;"&amp;TODAY(),F610,"&lt;="&amp;TODAY()+30)&gt;0),Q610,"")</x:f>
      </x:c>
      <x:c r="M610" t="str">
        <x:f>IF(OR(LEFT(H610,15)="Missing dates; ",LEFT(H610,16)="Add N/A reason; ",H610="Add dates",H610="Add registration",H610="Check date format"),R610,"")</x:f>
      </x:c>
      <x:c r="N610" t="str">
        <x:f>IF(COUNTIFS(C610:F610,"Reviewed N/A")&gt;0,S610,"")</x:f>
      </x:c>
      <x:c r="O610" t="n">
        <x:f>O609+IF(AND(A610&lt;&gt;"",COUNTIFS(C610,"&gt;=36526",C610,"&lt;"&amp;TODAY())+COUNTIFS(D610,"&gt;=36526",D610,"&lt;"&amp;TODAY())+COUNTIFS(E610,"&gt;=36526",E610,"&lt;"&amp;TODAY())+COUNTIFS(F610,"&gt;=36526",F610,"&lt;"&amp;TODAY())&gt;0),1,0)</x:f>
        <x:v>0</x:v>
      </x:c>
      <x:c r="P610" t="n">
        <x:f>P609+IF(AND(A610&lt;&gt;"",COUNTIFS(C610,"&gt;=36526",C610,TODAY())+COUNTIFS(D610,"&gt;=36526",D610,TODAY())+COUNTIFS(E610,"&gt;=36526",E610,TODAY())+COUNTIFS(F610,"&gt;=36526",F610,TODAY())&gt;0),1,0)</x:f>
        <x:v>0</x:v>
      </x:c>
      <x:c r="Q610" t="n">
        <x:f>Q609+IF(AND(A610&lt;&gt;"",COUNTIFS(C610,"&gt;"&amp;TODAY(),C610,"&lt;="&amp;TODAY()+30)+COUNTIFS(D610,"&gt;"&amp;TODAY(),D610,"&lt;="&amp;TODAY()+30)+COUNTIFS(E610,"&gt;"&amp;TODAY(),E610,"&lt;="&amp;TODAY()+30)+COUNTIFS(F610,"&gt;"&amp;TODAY(),F610,"&lt;="&amp;TODAY()+30)&gt;0),1,0)</x:f>
        <x:v>0</x:v>
      </x:c>
      <x:c r="R610" t="n">
        <x:f>R609+IF(OR(LEFT(H610,15)="Missing dates; ",LEFT(H610,16)="Add N/A reason; ",H610="Add dates",H610="Add registration",H610="Check date format"),1,0)</x:f>
        <x:v>0</x:v>
      </x:c>
      <x:c r="S610" t="n">
        <x:f>S609+IF(COUNTIFS(C610:F610,"Reviewed N/A")&gt;0,1,0)</x:f>
        <x:v>0</x:v>
      </x:c>
    </x:row>
    <x:row r="611" ht="48" customHeight="1">
      <x:c r="A611" s="52"/>
      <x:c r="B611" s="52"/>
      <x:c r="C611" s="53"/>
      <x:c r="D611" s="53"/>
      <x:c r="E611" s="53"/>
      <x:c r="F611" s="53"/>
      <x:c r="G611" s="52"/>
      <x:c r="H611" s="21" t="str">
        <x:f>IF(COUNTA(A611:G611,I611)=0,"",IF(A611="","Add registration",IF(OR(COUNTA(C611:F611)&gt;COUNT(C611:F611)+COUNTIFS(C611:F611,"Reviewed N/A"),AND(COUNT(C611:F611)&gt;0,OR(MIN(C611:F611)&lt;36526,MAX(C611:F611)&gt;109574))),"Check date format",IF(AND(COUNTIFS(C611:F611,"Reviewed N/A")&gt;0,I611=""),"Add N/A reason; ","")&amp;IF(COUNT(C611:F611)=0,IF(COUNTIFS(C611:F611,"Reviewed N/A")=4,"No applicable dates recorded","Add dates"),IF(COUNT(C611:F611)+COUNTIFS(C611:F611,"Reviewed N/A")&lt;4,"Missing dates; ","")&amp;IF(MIN(C611:F611)&lt;TODAY(),"Overdue: ",IF(MIN(C611:F611)=TODAY(),"Due today: ",IF(MIN(C611:F611)&lt;=TODAY()+30,"Due within 30 days: ","Next: ")))&amp;INDEX($C$8:$F$8,1,MATCH(MIN(C611:F611),C611:F611,0))&amp;" "&amp;TEXT(MIN(C611:F611),"dd mmm yyyy")))))</x:f>
      </x:c>
      <x:c r="I611" s="52"/>
      <x:c r="J611" t="str">
        <x:f>IF(AND(A611&lt;&gt;"",COUNTIFS(C611,"&gt;=36526",C611,"&lt;"&amp;TODAY())+COUNTIFS(D611,"&gt;=36526",D611,"&lt;"&amp;TODAY())+COUNTIFS(E611,"&gt;=36526",E611,"&lt;"&amp;TODAY())+COUNTIFS(F611,"&gt;=36526",F611,"&lt;"&amp;TODAY())&gt;0),O611,"")</x:f>
      </x:c>
      <x:c r="K611" t="str">
        <x:f>IF(AND(A611&lt;&gt;"",COUNTIFS(C611,"&gt;=36526",C611,TODAY())+COUNTIFS(D611,"&gt;=36526",D611,TODAY())+COUNTIFS(E611,"&gt;=36526",E611,TODAY())+COUNTIFS(F611,"&gt;=36526",F611,TODAY())&gt;0),P611,"")</x:f>
      </x:c>
      <x:c r="L611" t="str">
        <x:f>IF(AND(A611&lt;&gt;"",COUNTIFS(C611,"&gt;"&amp;TODAY(),C611,"&lt;="&amp;TODAY()+30)+COUNTIFS(D611,"&gt;"&amp;TODAY(),D611,"&lt;="&amp;TODAY()+30)+COUNTIFS(E611,"&gt;"&amp;TODAY(),E611,"&lt;="&amp;TODAY()+30)+COUNTIFS(F611,"&gt;"&amp;TODAY(),F611,"&lt;="&amp;TODAY()+30)&gt;0),Q611,"")</x:f>
      </x:c>
      <x:c r="M611" t="str">
        <x:f>IF(OR(LEFT(H611,15)="Missing dates; ",LEFT(H611,16)="Add N/A reason; ",H611="Add dates",H611="Add registration",H611="Check date format"),R611,"")</x:f>
      </x:c>
      <x:c r="N611" t="str">
        <x:f>IF(COUNTIFS(C611:F611,"Reviewed N/A")&gt;0,S611,"")</x:f>
      </x:c>
      <x:c r="O611" t="n">
        <x:f>O610+IF(AND(A611&lt;&gt;"",COUNTIFS(C611,"&gt;=36526",C611,"&lt;"&amp;TODAY())+COUNTIFS(D611,"&gt;=36526",D611,"&lt;"&amp;TODAY())+COUNTIFS(E611,"&gt;=36526",E611,"&lt;"&amp;TODAY())+COUNTIFS(F611,"&gt;=36526",F611,"&lt;"&amp;TODAY())&gt;0),1,0)</x:f>
        <x:v>0</x:v>
      </x:c>
      <x:c r="P611" t="n">
        <x:f>P610+IF(AND(A611&lt;&gt;"",COUNTIFS(C611,"&gt;=36526",C611,TODAY())+COUNTIFS(D611,"&gt;=36526",D611,TODAY())+COUNTIFS(E611,"&gt;=36526",E611,TODAY())+COUNTIFS(F611,"&gt;=36526",F611,TODAY())&gt;0),1,0)</x:f>
        <x:v>0</x:v>
      </x:c>
      <x:c r="Q611" t="n">
        <x:f>Q610+IF(AND(A611&lt;&gt;"",COUNTIFS(C611,"&gt;"&amp;TODAY(),C611,"&lt;="&amp;TODAY()+30)+COUNTIFS(D611,"&gt;"&amp;TODAY(),D611,"&lt;="&amp;TODAY()+30)+COUNTIFS(E611,"&gt;"&amp;TODAY(),E611,"&lt;="&amp;TODAY()+30)+COUNTIFS(F611,"&gt;"&amp;TODAY(),F611,"&lt;="&amp;TODAY()+30)&gt;0),1,0)</x:f>
        <x:v>0</x:v>
      </x:c>
      <x:c r="R611" t="n">
        <x:f>R610+IF(OR(LEFT(H611,15)="Missing dates; ",LEFT(H611,16)="Add N/A reason; ",H611="Add dates",H611="Add registration",H611="Check date format"),1,0)</x:f>
        <x:v>0</x:v>
      </x:c>
      <x:c r="S611" t="n">
        <x:f>S610+IF(COUNTIFS(C611:F611,"Reviewed N/A")&gt;0,1,0)</x:f>
        <x:v>0</x:v>
      </x:c>
    </x:row>
    <x:row r="612" ht="48" customHeight="1">
      <x:c r="A612" s="52"/>
      <x:c r="B612" s="52"/>
      <x:c r="C612" s="53"/>
      <x:c r="D612" s="53"/>
      <x:c r="E612" s="53"/>
      <x:c r="F612" s="53"/>
      <x:c r="G612" s="52"/>
      <x:c r="H612" s="21" t="str">
        <x:f>IF(COUNTA(A612:G612,I612)=0,"",IF(A612="","Add registration",IF(OR(COUNTA(C612:F612)&gt;COUNT(C612:F612)+COUNTIFS(C612:F612,"Reviewed N/A"),AND(COUNT(C612:F612)&gt;0,OR(MIN(C612:F612)&lt;36526,MAX(C612:F612)&gt;109574))),"Check date format",IF(AND(COUNTIFS(C612:F612,"Reviewed N/A")&gt;0,I612=""),"Add N/A reason; ","")&amp;IF(COUNT(C612:F612)=0,IF(COUNTIFS(C612:F612,"Reviewed N/A")=4,"No applicable dates recorded","Add dates"),IF(COUNT(C612:F612)+COUNTIFS(C612:F612,"Reviewed N/A")&lt;4,"Missing dates; ","")&amp;IF(MIN(C612:F612)&lt;TODAY(),"Overdue: ",IF(MIN(C612:F612)=TODAY(),"Due today: ",IF(MIN(C612:F612)&lt;=TODAY()+30,"Due within 30 days: ","Next: ")))&amp;INDEX($C$8:$F$8,1,MATCH(MIN(C612:F612),C612:F612,0))&amp;" "&amp;TEXT(MIN(C612:F612),"dd mmm yyyy")))))</x:f>
      </x:c>
      <x:c r="I612" s="52"/>
      <x:c r="J612" t="str">
        <x:f>IF(AND(A612&lt;&gt;"",COUNTIFS(C612,"&gt;=36526",C612,"&lt;"&amp;TODAY())+COUNTIFS(D612,"&gt;=36526",D612,"&lt;"&amp;TODAY())+COUNTIFS(E612,"&gt;=36526",E612,"&lt;"&amp;TODAY())+COUNTIFS(F612,"&gt;=36526",F612,"&lt;"&amp;TODAY())&gt;0),O612,"")</x:f>
      </x:c>
      <x:c r="K612" t="str">
        <x:f>IF(AND(A612&lt;&gt;"",COUNTIFS(C612,"&gt;=36526",C612,TODAY())+COUNTIFS(D612,"&gt;=36526",D612,TODAY())+COUNTIFS(E612,"&gt;=36526",E612,TODAY())+COUNTIFS(F612,"&gt;=36526",F612,TODAY())&gt;0),P612,"")</x:f>
      </x:c>
      <x:c r="L612" t="str">
        <x:f>IF(AND(A612&lt;&gt;"",COUNTIFS(C612,"&gt;"&amp;TODAY(),C612,"&lt;="&amp;TODAY()+30)+COUNTIFS(D612,"&gt;"&amp;TODAY(),D612,"&lt;="&amp;TODAY()+30)+COUNTIFS(E612,"&gt;"&amp;TODAY(),E612,"&lt;="&amp;TODAY()+30)+COUNTIFS(F612,"&gt;"&amp;TODAY(),F612,"&lt;="&amp;TODAY()+30)&gt;0),Q612,"")</x:f>
      </x:c>
      <x:c r="M612" t="str">
        <x:f>IF(OR(LEFT(H612,15)="Missing dates; ",LEFT(H612,16)="Add N/A reason; ",H612="Add dates",H612="Add registration",H612="Check date format"),R612,"")</x:f>
      </x:c>
      <x:c r="N612" t="str">
        <x:f>IF(COUNTIFS(C612:F612,"Reviewed N/A")&gt;0,S612,"")</x:f>
      </x:c>
      <x:c r="O612" t="n">
        <x:f>O611+IF(AND(A612&lt;&gt;"",COUNTIFS(C612,"&gt;=36526",C612,"&lt;"&amp;TODAY())+COUNTIFS(D612,"&gt;=36526",D612,"&lt;"&amp;TODAY())+COUNTIFS(E612,"&gt;=36526",E612,"&lt;"&amp;TODAY())+COUNTIFS(F612,"&gt;=36526",F612,"&lt;"&amp;TODAY())&gt;0),1,0)</x:f>
        <x:v>0</x:v>
      </x:c>
      <x:c r="P612" t="n">
        <x:f>P611+IF(AND(A612&lt;&gt;"",COUNTIFS(C612,"&gt;=36526",C612,TODAY())+COUNTIFS(D612,"&gt;=36526",D612,TODAY())+COUNTIFS(E612,"&gt;=36526",E612,TODAY())+COUNTIFS(F612,"&gt;=36526",F612,TODAY())&gt;0),1,0)</x:f>
        <x:v>0</x:v>
      </x:c>
      <x:c r="Q612" t="n">
        <x:f>Q611+IF(AND(A612&lt;&gt;"",COUNTIFS(C612,"&gt;"&amp;TODAY(),C612,"&lt;="&amp;TODAY()+30)+COUNTIFS(D612,"&gt;"&amp;TODAY(),D612,"&lt;="&amp;TODAY()+30)+COUNTIFS(E612,"&gt;"&amp;TODAY(),E612,"&lt;="&amp;TODAY()+30)+COUNTIFS(F612,"&gt;"&amp;TODAY(),F612,"&lt;="&amp;TODAY()+30)&gt;0),1,0)</x:f>
        <x:v>0</x:v>
      </x:c>
      <x:c r="R612" t="n">
        <x:f>R611+IF(OR(LEFT(H612,15)="Missing dates; ",LEFT(H612,16)="Add N/A reason; ",H612="Add dates",H612="Add registration",H612="Check date format"),1,0)</x:f>
        <x:v>0</x:v>
      </x:c>
      <x:c r="S612" t="n">
        <x:f>S611+IF(COUNTIFS(C612:F612,"Reviewed N/A")&gt;0,1,0)</x:f>
        <x:v>0</x:v>
      </x:c>
    </x:row>
    <x:row r="613" ht="48" customHeight="1">
      <x:c r="A613" s="52"/>
      <x:c r="B613" s="52"/>
      <x:c r="C613" s="53"/>
      <x:c r="D613" s="53"/>
      <x:c r="E613" s="53"/>
      <x:c r="F613" s="53"/>
      <x:c r="G613" s="52"/>
      <x:c r="H613" s="21" t="str">
        <x:f>IF(COUNTA(A613:G613,I613)=0,"",IF(A613="","Add registration",IF(OR(COUNTA(C613:F613)&gt;COUNT(C613:F613)+COUNTIFS(C613:F613,"Reviewed N/A"),AND(COUNT(C613:F613)&gt;0,OR(MIN(C613:F613)&lt;36526,MAX(C613:F613)&gt;109574))),"Check date format",IF(AND(COUNTIFS(C613:F613,"Reviewed N/A")&gt;0,I613=""),"Add N/A reason; ","")&amp;IF(COUNT(C613:F613)=0,IF(COUNTIFS(C613:F613,"Reviewed N/A")=4,"No applicable dates recorded","Add dates"),IF(COUNT(C613:F613)+COUNTIFS(C613:F613,"Reviewed N/A")&lt;4,"Missing dates; ","")&amp;IF(MIN(C613:F613)&lt;TODAY(),"Overdue: ",IF(MIN(C613:F613)=TODAY(),"Due today: ",IF(MIN(C613:F613)&lt;=TODAY()+30,"Due within 30 days: ","Next: ")))&amp;INDEX($C$8:$F$8,1,MATCH(MIN(C613:F613),C613:F613,0))&amp;" "&amp;TEXT(MIN(C613:F613),"dd mmm yyyy")))))</x:f>
      </x:c>
      <x:c r="I613" s="52"/>
      <x:c r="J613" t="str">
        <x:f>IF(AND(A613&lt;&gt;"",COUNTIFS(C613,"&gt;=36526",C613,"&lt;"&amp;TODAY())+COUNTIFS(D613,"&gt;=36526",D613,"&lt;"&amp;TODAY())+COUNTIFS(E613,"&gt;=36526",E613,"&lt;"&amp;TODAY())+COUNTIFS(F613,"&gt;=36526",F613,"&lt;"&amp;TODAY())&gt;0),O613,"")</x:f>
      </x:c>
      <x:c r="K613" t="str">
        <x:f>IF(AND(A613&lt;&gt;"",COUNTIFS(C613,"&gt;=36526",C613,TODAY())+COUNTIFS(D613,"&gt;=36526",D613,TODAY())+COUNTIFS(E613,"&gt;=36526",E613,TODAY())+COUNTIFS(F613,"&gt;=36526",F613,TODAY())&gt;0),P613,"")</x:f>
      </x:c>
      <x:c r="L613" t="str">
        <x:f>IF(AND(A613&lt;&gt;"",COUNTIFS(C613,"&gt;"&amp;TODAY(),C613,"&lt;="&amp;TODAY()+30)+COUNTIFS(D613,"&gt;"&amp;TODAY(),D613,"&lt;="&amp;TODAY()+30)+COUNTIFS(E613,"&gt;"&amp;TODAY(),E613,"&lt;="&amp;TODAY()+30)+COUNTIFS(F613,"&gt;"&amp;TODAY(),F613,"&lt;="&amp;TODAY()+30)&gt;0),Q613,"")</x:f>
      </x:c>
      <x:c r="M613" t="str">
        <x:f>IF(OR(LEFT(H613,15)="Missing dates; ",LEFT(H613,16)="Add N/A reason; ",H613="Add dates",H613="Add registration",H613="Check date format"),R613,"")</x:f>
      </x:c>
      <x:c r="N613" t="str">
        <x:f>IF(COUNTIFS(C613:F613,"Reviewed N/A")&gt;0,S613,"")</x:f>
      </x:c>
      <x:c r="O613" t="n">
        <x:f>O612+IF(AND(A613&lt;&gt;"",COUNTIFS(C613,"&gt;=36526",C613,"&lt;"&amp;TODAY())+COUNTIFS(D613,"&gt;=36526",D613,"&lt;"&amp;TODAY())+COUNTIFS(E613,"&gt;=36526",E613,"&lt;"&amp;TODAY())+COUNTIFS(F613,"&gt;=36526",F613,"&lt;"&amp;TODAY())&gt;0),1,0)</x:f>
        <x:v>0</x:v>
      </x:c>
      <x:c r="P613" t="n">
        <x:f>P612+IF(AND(A613&lt;&gt;"",COUNTIFS(C613,"&gt;=36526",C613,TODAY())+COUNTIFS(D613,"&gt;=36526",D613,TODAY())+COUNTIFS(E613,"&gt;=36526",E613,TODAY())+COUNTIFS(F613,"&gt;=36526",F613,TODAY())&gt;0),1,0)</x:f>
        <x:v>0</x:v>
      </x:c>
      <x:c r="Q613" t="n">
        <x:f>Q612+IF(AND(A613&lt;&gt;"",COUNTIFS(C613,"&gt;"&amp;TODAY(),C613,"&lt;="&amp;TODAY()+30)+COUNTIFS(D613,"&gt;"&amp;TODAY(),D613,"&lt;="&amp;TODAY()+30)+COUNTIFS(E613,"&gt;"&amp;TODAY(),E613,"&lt;="&amp;TODAY()+30)+COUNTIFS(F613,"&gt;"&amp;TODAY(),F613,"&lt;="&amp;TODAY()+30)&gt;0),1,0)</x:f>
        <x:v>0</x:v>
      </x:c>
      <x:c r="R613" t="n">
        <x:f>R612+IF(OR(LEFT(H613,15)="Missing dates; ",LEFT(H613,16)="Add N/A reason; ",H613="Add dates",H613="Add registration",H613="Check date format"),1,0)</x:f>
        <x:v>0</x:v>
      </x:c>
      <x:c r="S613" t="n">
        <x:f>S612+IF(COUNTIFS(C613:F613,"Reviewed N/A")&gt;0,1,0)</x:f>
        <x:v>0</x:v>
      </x:c>
    </x:row>
    <x:row r="614" ht="48" customHeight="1">
      <x:c r="A614" s="52"/>
      <x:c r="B614" s="52"/>
      <x:c r="C614" s="53"/>
      <x:c r="D614" s="53"/>
      <x:c r="E614" s="53"/>
      <x:c r="F614" s="53"/>
      <x:c r="G614" s="52"/>
      <x:c r="H614" s="21" t="str">
        <x:f>IF(COUNTA(A614:G614,I614)=0,"",IF(A614="","Add registration",IF(OR(COUNTA(C614:F614)&gt;COUNT(C614:F614)+COUNTIFS(C614:F614,"Reviewed N/A"),AND(COUNT(C614:F614)&gt;0,OR(MIN(C614:F614)&lt;36526,MAX(C614:F614)&gt;109574))),"Check date format",IF(AND(COUNTIFS(C614:F614,"Reviewed N/A")&gt;0,I614=""),"Add N/A reason; ","")&amp;IF(COUNT(C614:F614)=0,IF(COUNTIFS(C614:F614,"Reviewed N/A")=4,"No applicable dates recorded","Add dates"),IF(COUNT(C614:F614)+COUNTIFS(C614:F614,"Reviewed N/A")&lt;4,"Missing dates; ","")&amp;IF(MIN(C614:F614)&lt;TODAY(),"Overdue: ",IF(MIN(C614:F614)=TODAY(),"Due today: ",IF(MIN(C614:F614)&lt;=TODAY()+30,"Due within 30 days: ","Next: ")))&amp;INDEX($C$8:$F$8,1,MATCH(MIN(C614:F614),C614:F614,0))&amp;" "&amp;TEXT(MIN(C614:F614),"dd mmm yyyy")))))</x:f>
      </x:c>
      <x:c r="I614" s="52"/>
      <x:c r="J614" t="str">
        <x:f>IF(AND(A614&lt;&gt;"",COUNTIFS(C614,"&gt;=36526",C614,"&lt;"&amp;TODAY())+COUNTIFS(D614,"&gt;=36526",D614,"&lt;"&amp;TODAY())+COUNTIFS(E614,"&gt;=36526",E614,"&lt;"&amp;TODAY())+COUNTIFS(F614,"&gt;=36526",F614,"&lt;"&amp;TODAY())&gt;0),O614,"")</x:f>
      </x:c>
      <x:c r="K614" t="str">
        <x:f>IF(AND(A614&lt;&gt;"",COUNTIFS(C614,"&gt;=36526",C614,TODAY())+COUNTIFS(D614,"&gt;=36526",D614,TODAY())+COUNTIFS(E614,"&gt;=36526",E614,TODAY())+COUNTIFS(F614,"&gt;=36526",F614,TODAY())&gt;0),P614,"")</x:f>
      </x:c>
      <x:c r="L614" t="str">
        <x:f>IF(AND(A614&lt;&gt;"",COUNTIFS(C614,"&gt;"&amp;TODAY(),C614,"&lt;="&amp;TODAY()+30)+COUNTIFS(D614,"&gt;"&amp;TODAY(),D614,"&lt;="&amp;TODAY()+30)+COUNTIFS(E614,"&gt;"&amp;TODAY(),E614,"&lt;="&amp;TODAY()+30)+COUNTIFS(F614,"&gt;"&amp;TODAY(),F614,"&lt;="&amp;TODAY()+30)&gt;0),Q614,"")</x:f>
      </x:c>
      <x:c r="M614" t="str">
        <x:f>IF(OR(LEFT(H614,15)="Missing dates; ",LEFT(H614,16)="Add N/A reason; ",H614="Add dates",H614="Add registration",H614="Check date format"),R614,"")</x:f>
      </x:c>
      <x:c r="N614" t="str">
        <x:f>IF(COUNTIFS(C614:F614,"Reviewed N/A")&gt;0,S614,"")</x:f>
      </x:c>
      <x:c r="O614" t="n">
        <x:f>O613+IF(AND(A614&lt;&gt;"",COUNTIFS(C614,"&gt;=36526",C614,"&lt;"&amp;TODAY())+COUNTIFS(D614,"&gt;=36526",D614,"&lt;"&amp;TODAY())+COUNTIFS(E614,"&gt;=36526",E614,"&lt;"&amp;TODAY())+COUNTIFS(F614,"&gt;=36526",F614,"&lt;"&amp;TODAY())&gt;0),1,0)</x:f>
        <x:v>0</x:v>
      </x:c>
      <x:c r="P614" t="n">
        <x:f>P613+IF(AND(A614&lt;&gt;"",COUNTIFS(C614,"&gt;=36526",C614,TODAY())+COUNTIFS(D614,"&gt;=36526",D614,TODAY())+COUNTIFS(E614,"&gt;=36526",E614,TODAY())+COUNTIFS(F614,"&gt;=36526",F614,TODAY())&gt;0),1,0)</x:f>
        <x:v>0</x:v>
      </x:c>
      <x:c r="Q614" t="n">
        <x:f>Q613+IF(AND(A614&lt;&gt;"",COUNTIFS(C614,"&gt;"&amp;TODAY(),C614,"&lt;="&amp;TODAY()+30)+COUNTIFS(D614,"&gt;"&amp;TODAY(),D614,"&lt;="&amp;TODAY()+30)+COUNTIFS(E614,"&gt;"&amp;TODAY(),E614,"&lt;="&amp;TODAY()+30)+COUNTIFS(F614,"&gt;"&amp;TODAY(),F614,"&lt;="&amp;TODAY()+30)&gt;0),1,0)</x:f>
        <x:v>0</x:v>
      </x:c>
      <x:c r="R614" t="n">
        <x:f>R613+IF(OR(LEFT(H614,15)="Missing dates; ",LEFT(H614,16)="Add N/A reason; ",H614="Add dates",H614="Add registration",H614="Check date format"),1,0)</x:f>
        <x:v>0</x:v>
      </x:c>
      <x:c r="S614" t="n">
        <x:f>S613+IF(COUNTIFS(C614:F614,"Reviewed N/A")&gt;0,1,0)</x:f>
        <x:v>0</x:v>
      </x:c>
    </x:row>
    <x:row r="615" ht="48" customHeight="1">
      <x:c r="A615" s="52"/>
      <x:c r="B615" s="52"/>
      <x:c r="C615" s="53"/>
      <x:c r="D615" s="53"/>
      <x:c r="E615" s="53"/>
      <x:c r="F615" s="53"/>
      <x:c r="G615" s="52"/>
      <x:c r="H615" s="21" t="str">
        <x:f>IF(COUNTA(A615:G615,I615)=0,"",IF(A615="","Add registration",IF(OR(COUNTA(C615:F615)&gt;COUNT(C615:F615)+COUNTIFS(C615:F615,"Reviewed N/A"),AND(COUNT(C615:F615)&gt;0,OR(MIN(C615:F615)&lt;36526,MAX(C615:F615)&gt;109574))),"Check date format",IF(AND(COUNTIFS(C615:F615,"Reviewed N/A")&gt;0,I615=""),"Add N/A reason; ","")&amp;IF(COUNT(C615:F615)=0,IF(COUNTIFS(C615:F615,"Reviewed N/A")=4,"No applicable dates recorded","Add dates"),IF(COUNT(C615:F615)+COUNTIFS(C615:F615,"Reviewed N/A")&lt;4,"Missing dates; ","")&amp;IF(MIN(C615:F615)&lt;TODAY(),"Overdue: ",IF(MIN(C615:F615)=TODAY(),"Due today: ",IF(MIN(C615:F615)&lt;=TODAY()+30,"Due within 30 days: ","Next: ")))&amp;INDEX($C$8:$F$8,1,MATCH(MIN(C615:F615),C615:F615,0))&amp;" "&amp;TEXT(MIN(C615:F615),"dd mmm yyyy")))))</x:f>
      </x:c>
      <x:c r="I615" s="52"/>
      <x:c r="J615" t="str">
        <x:f>IF(AND(A615&lt;&gt;"",COUNTIFS(C615,"&gt;=36526",C615,"&lt;"&amp;TODAY())+COUNTIFS(D615,"&gt;=36526",D615,"&lt;"&amp;TODAY())+COUNTIFS(E615,"&gt;=36526",E615,"&lt;"&amp;TODAY())+COUNTIFS(F615,"&gt;=36526",F615,"&lt;"&amp;TODAY())&gt;0),O615,"")</x:f>
      </x:c>
      <x:c r="K615" t="str">
        <x:f>IF(AND(A615&lt;&gt;"",COUNTIFS(C615,"&gt;=36526",C615,TODAY())+COUNTIFS(D615,"&gt;=36526",D615,TODAY())+COUNTIFS(E615,"&gt;=36526",E615,TODAY())+COUNTIFS(F615,"&gt;=36526",F615,TODAY())&gt;0),P615,"")</x:f>
      </x:c>
      <x:c r="L615" t="str">
        <x:f>IF(AND(A615&lt;&gt;"",COUNTIFS(C615,"&gt;"&amp;TODAY(),C615,"&lt;="&amp;TODAY()+30)+COUNTIFS(D615,"&gt;"&amp;TODAY(),D615,"&lt;="&amp;TODAY()+30)+COUNTIFS(E615,"&gt;"&amp;TODAY(),E615,"&lt;="&amp;TODAY()+30)+COUNTIFS(F615,"&gt;"&amp;TODAY(),F615,"&lt;="&amp;TODAY()+30)&gt;0),Q615,"")</x:f>
      </x:c>
      <x:c r="M615" t="str">
        <x:f>IF(OR(LEFT(H615,15)="Missing dates; ",LEFT(H615,16)="Add N/A reason; ",H615="Add dates",H615="Add registration",H615="Check date format"),R615,"")</x:f>
      </x:c>
      <x:c r="N615" t="str">
        <x:f>IF(COUNTIFS(C615:F615,"Reviewed N/A")&gt;0,S615,"")</x:f>
      </x:c>
      <x:c r="O615" t="n">
        <x:f>O614+IF(AND(A615&lt;&gt;"",COUNTIFS(C615,"&gt;=36526",C615,"&lt;"&amp;TODAY())+COUNTIFS(D615,"&gt;=36526",D615,"&lt;"&amp;TODAY())+COUNTIFS(E615,"&gt;=36526",E615,"&lt;"&amp;TODAY())+COUNTIFS(F615,"&gt;=36526",F615,"&lt;"&amp;TODAY())&gt;0),1,0)</x:f>
        <x:v>0</x:v>
      </x:c>
      <x:c r="P615" t="n">
        <x:f>P614+IF(AND(A615&lt;&gt;"",COUNTIFS(C615,"&gt;=36526",C615,TODAY())+COUNTIFS(D615,"&gt;=36526",D615,TODAY())+COUNTIFS(E615,"&gt;=36526",E615,TODAY())+COUNTIFS(F615,"&gt;=36526",F615,TODAY())&gt;0),1,0)</x:f>
        <x:v>0</x:v>
      </x:c>
      <x:c r="Q615" t="n">
        <x:f>Q614+IF(AND(A615&lt;&gt;"",COUNTIFS(C615,"&gt;"&amp;TODAY(),C615,"&lt;="&amp;TODAY()+30)+COUNTIFS(D615,"&gt;"&amp;TODAY(),D615,"&lt;="&amp;TODAY()+30)+COUNTIFS(E615,"&gt;"&amp;TODAY(),E615,"&lt;="&amp;TODAY()+30)+COUNTIFS(F615,"&gt;"&amp;TODAY(),F615,"&lt;="&amp;TODAY()+30)&gt;0),1,0)</x:f>
        <x:v>0</x:v>
      </x:c>
      <x:c r="R615" t="n">
        <x:f>R614+IF(OR(LEFT(H615,15)="Missing dates; ",LEFT(H615,16)="Add N/A reason; ",H615="Add dates",H615="Add registration",H615="Check date format"),1,0)</x:f>
        <x:v>0</x:v>
      </x:c>
      <x:c r="S615" t="n">
        <x:f>S614+IF(COUNTIFS(C615:F615,"Reviewed N/A")&gt;0,1,0)</x:f>
        <x:v>0</x:v>
      </x:c>
    </x:row>
    <x:row r="616" ht="48" customHeight="1">
      <x:c r="A616" s="52"/>
      <x:c r="B616" s="52"/>
      <x:c r="C616" s="53"/>
      <x:c r="D616" s="53"/>
      <x:c r="E616" s="53"/>
      <x:c r="F616" s="53"/>
      <x:c r="G616" s="52"/>
      <x:c r="H616" s="21" t="str">
        <x:f>IF(COUNTA(A616:G616,I616)=0,"",IF(A616="","Add registration",IF(OR(COUNTA(C616:F616)&gt;COUNT(C616:F616)+COUNTIFS(C616:F616,"Reviewed N/A"),AND(COUNT(C616:F616)&gt;0,OR(MIN(C616:F616)&lt;36526,MAX(C616:F616)&gt;109574))),"Check date format",IF(AND(COUNTIFS(C616:F616,"Reviewed N/A")&gt;0,I616=""),"Add N/A reason; ","")&amp;IF(COUNT(C616:F616)=0,IF(COUNTIFS(C616:F616,"Reviewed N/A")=4,"No applicable dates recorded","Add dates"),IF(COUNT(C616:F616)+COUNTIFS(C616:F616,"Reviewed N/A")&lt;4,"Missing dates; ","")&amp;IF(MIN(C616:F616)&lt;TODAY(),"Overdue: ",IF(MIN(C616:F616)=TODAY(),"Due today: ",IF(MIN(C616:F616)&lt;=TODAY()+30,"Due within 30 days: ","Next: ")))&amp;INDEX($C$8:$F$8,1,MATCH(MIN(C616:F616),C616:F616,0))&amp;" "&amp;TEXT(MIN(C616:F616),"dd mmm yyyy")))))</x:f>
      </x:c>
      <x:c r="I616" s="52"/>
      <x:c r="J616" t="str">
        <x:f>IF(AND(A616&lt;&gt;"",COUNTIFS(C616,"&gt;=36526",C616,"&lt;"&amp;TODAY())+COUNTIFS(D616,"&gt;=36526",D616,"&lt;"&amp;TODAY())+COUNTIFS(E616,"&gt;=36526",E616,"&lt;"&amp;TODAY())+COUNTIFS(F616,"&gt;=36526",F616,"&lt;"&amp;TODAY())&gt;0),O616,"")</x:f>
      </x:c>
      <x:c r="K616" t="str">
        <x:f>IF(AND(A616&lt;&gt;"",COUNTIFS(C616,"&gt;=36526",C616,TODAY())+COUNTIFS(D616,"&gt;=36526",D616,TODAY())+COUNTIFS(E616,"&gt;=36526",E616,TODAY())+COUNTIFS(F616,"&gt;=36526",F616,TODAY())&gt;0),P616,"")</x:f>
      </x:c>
      <x:c r="L616" t="str">
        <x:f>IF(AND(A616&lt;&gt;"",COUNTIFS(C616,"&gt;"&amp;TODAY(),C616,"&lt;="&amp;TODAY()+30)+COUNTIFS(D616,"&gt;"&amp;TODAY(),D616,"&lt;="&amp;TODAY()+30)+COUNTIFS(E616,"&gt;"&amp;TODAY(),E616,"&lt;="&amp;TODAY()+30)+COUNTIFS(F616,"&gt;"&amp;TODAY(),F616,"&lt;="&amp;TODAY()+30)&gt;0),Q616,"")</x:f>
      </x:c>
      <x:c r="M616" t="str">
        <x:f>IF(OR(LEFT(H616,15)="Missing dates; ",LEFT(H616,16)="Add N/A reason; ",H616="Add dates",H616="Add registration",H616="Check date format"),R616,"")</x:f>
      </x:c>
      <x:c r="N616" t="str">
        <x:f>IF(COUNTIFS(C616:F616,"Reviewed N/A")&gt;0,S616,"")</x:f>
      </x:c>
      <x:c r="O616" t="n">
        <x:f>O615+IF(AND(A616&lt;&gt;"",COUNTIFS(C616,"&gt;=36526",C616,"&lt;"&amp;TODAY())+COUNTIFS(D616,"&gt;=36526",D616,"&lt;"&amp;TODAY())+COUNTIFS(E616,"&gt;=36526",E616,"&lt;"&amp;TODAY())+COUNTIFS(F616,"&gt;=36526",F616,"&lt;"&amp;TODAY())&gt;0),1,0)</x:f>
        <x:v>0</x:v>
      </x:c>
      <x:c r="P616" t="n">
        <x:f>P615+IF(AND(A616&lt;&gt;"",COUNTIFS(C616,"&gt;=36526",C616,TODAY())+COUNTIFS(D616,"&gt;=36526",D616,TODAY())+COUNTIFS(E616,"&gt;=36526",E616,TODAY())+COUNTIFS(F616,"&gt;=36526",F616,TODAY())&gt;0),1,0)</x:f>
        <x:v>0</x:v>
      </x:c>
      <x:c r="Q616" t="n">
        <x:f>Q615+IF(AND(A616&lt;&gt;"",COUNTIFS(C616,"&gt;"&amp;TODAY(),C616,"&lt;="&amp;TODAY()+30)+COUNTIFS(D616,"&gt;"&amp;TODAY(),D616,"&lt;="&amp;TODAY()+30)+COUNTIFS(E616,"&gt;"&amp;TODAY(),E616,"&lt;="&amp;TODAY()+30)+COUNTIFS(F616,"&gt;"&amp;TODAY(),F616,"&lt;="&amp;TODAY()+30)&gt;0),1,0)</x:f>
        <x:v>0</x:v>
      </x:c>
      <x:c r="R616" t="n">
        <x:f>R615+IF(OR(LEFT(H616,15)="Missing dates; ",LEFT(H616,16)="Add N/A reason; ",H616="Add dates",H616="Add registration",H616="Check date format"),1,0)</x:f>
        <x:v>0</x:v>
      </x:c>
      <x:c r="S616" t="n">
        <x:f>S615+IF(COUNTIFS(C616:F616,"Reviewed N/A")&gt;0,1,0)</x:f>
        <x:v>0</x:v>
      </x:c>
    </x:row>
    <x:row r="617" ht="48" customHeight="1">
      <x:c r="A617" s="52"/>
      <x:c r="B617" s="52"/>
      <x:c r="C617" s="53"/>
      <x:c r="D617" s="53"/>
      <x:c r="E617" s="53"/>
      <x:c r="F617" s="53"/>
      <x:c r="G617" s="52"/>
      <x:c r="H617" s="21" t="str">
        <x:f>IF(COUNTA(A617:G617,I617)=0,"",IF(A617="","Add registration",IF(OR(COUNTA(C617:F617)&gt;COUNT(C617:F617)+COUNTIFS(C617:F617,"Reviewed N/A"),AND(COUNT(C617:F617)&gt;0,OR(MIN(C617:F617)&lt;36526,MAX(C617:F617)&gt;109574))),"Check date format",IF(AND(COUNTIFS(C617:F617,"Reviewed N/A")&gt;0,I617=""),"Add N/A reason; ","")&amp;IF(COUNT(C617:F617)=0,IF(COUNTIFS(C617:F617,"Reviewed N/A")=4,"No applicable dates recorded","Add dates"),IF(COUNT(C617:F617)+COUNTIFS(C617:F617,"Reviewed N/A")&lt;4,"Missing dates; ","")&amp;IF(MIN(C617:F617)&lt;TODAY(),"Overdue: ",IF(MIN(C617:F617)=TODAY(),"Due today: ",IF(MIN(C617:F617)&lt;=TODAY()+30,"Due within 30 days: ","Next: ")))&amp;INDEX($C$8:$F$8,1,MATCH(MIN(C617:F617),C617:F617,0))&amp;" "&amp;TEXT(MIN(C617:F617),"dd mmm yyyy")))))</x:f>
      </x:c>
      <x:c r="I617" s="52"/>
      <x:c r="J617" t="str">
        <x:f>IF(AND(A617&lt;&gt;"",COUNTIFS(C617,"&gt;=36526",C617,"&lt;"&amp;TODAY())+COUNTIFS(D617,"&gt;=36526",D617,"&lt;"&amp;TODAY())+COUNTIFS(E617,"&gt;=36526",E617,"&lt;"&amp;TODAY())+COUNTIFS(F617,"&gt;=36526",F617,"&lt;"&amp;TODAY())&gt;0),O617,"")</x:f>
      </x:c>
      <x:c r="K617" t="str">
        <x:f>IF(AND(A617&lt;&gt;"",COUNTIFS(C617,"&gt;=36526",C617,TODAY())+COUNTIFS(D617,"&gt;=36526",D617,TODAY())+COUNTIFS(E617,"&gt;=36526",E617,TODAY())+COUNTIFS(F617,"&gt;=36526",F617,TODAY())&gt;0),P617,"")</x:f>
      </x:c>
      <x:c r="L617" t="str">
        <x:f>IF(AND(A617&lt;&gt;"",COUNTIFS(C617,"&gt;"&amp;TODAY(),C617,"&lt;="&amp;TODAY()+30)+COUNTIFS(D617,"&gt;"&amp;TODAY(),D617,"&lt;="&amp;TODAY()+30)+COUNTIFS(E617,"&gt;"&amp;TODAY(),E617,"&lt;="&amp;TODAY()+30)+COUNTIFS(F617,"&gt;"&amp;TODAY(),F617,"&lt;="&amp;TODAY()+30)&gt;0),Q617,"")</x:f>
      </x:c>
      <x:c r="M617" t="str">
        <x:f>IF(OR(LEFT(H617,15)="Missing dates; ",LEFT(H617,16)="Add N/A reason; ",H617="Add dates",H617="Add registration",H617="Check date format"),R617,"")</x:f>
      </x:c>
      <x:c r="N617" t="str">
        <x:f>IF(COUNTIFS(C617:F617,"Reviewed N/A")&gt;0,S617,"")</x:f>
      </x:c>
      <x:c r="O617" t="n">
        <x:f>O616+IF(AND(A617&lt;&gt;"",COUNTIFS(C617,"&gt;=36526",C617,"&lt;"&amp;TODAY())+COUNTIFS(D617,"&gt;=36526",D617,"&lt;"&amp;TODAY())+COUNTIFS(E617,"&gt;=36526",E617,"&lt;"&amp;TODAY())+COUNTIFS(F617,"&gt;=36526",F617,"&lt;"&amp;TODAY())&gt;0),1,0)</x:f>
        <x:v>0</x:v>
      </x:c>
      <x:c r="P617" t="n">
        <x:f>P616+IF(AND(A617&lt;&gt;"",COUNTIFS(C617,"&gt;=36526",C617,TODAY())+COUNTIFS(D617,"&gt;=36526",D617,TODAY())+COUNTIFS(E617,"&gt;=36526",E617,TODAY())+COUNTIFS(F617,"&gt;=36526",F617,TODAY())&gt;0),1,0)</x:f>
        <x:v>0</x:v>
      </x:c>
      <x:c r="Q617" t="n">
        <x:f>Q616+IF(AND(A617&lt;&gt;"",COUNTIFS(C617,"&gt;"&amp;TODAY(),C617,"&lt;="&amp;TODAY()+30)+COUNTIFS(D617,"&gt;"&amp;TODAY(),D617,"&lt;="&amp;TODAY()+30)+COUNTIFS(E617,"&gt;"&amp;TODAY(),E617,"&lt;="&amp;TODAY()+30)+COUNTIFS(F617,"&gt;"&amp;TODAY(),F617,"&lt;="&amp;TODAY()+30)&gt;0),1,0)</x:f>
        <x:v>0</x:v>
      </x:c>
      <x:c r="R617" t="n">
        <x:f>R616+IF(OR(LEFT(H617,15)="Missing dates; ",LEFT(H617,16)="Add N/A reason; ",H617="Add dates",H617="Add registration",H617="Check date format"),1,0)</x:f>
        <x:v>0</x:v>
      </x:c>
      <x:c r="S617" t="n">
        <x:f>S616+IF(COUNTIFS(C617:F617,"Reviewed N/A")&gt;0,1,0)</x:f>
        <x:v>0</x:v>
      </x:c>
    </x:row>
    <x:row r="618" ht="48" customHeight="1">
      <x:c r="A618" s="52"/>
      <x:c r="B618" s="52"/>
      <x:c r="C618" s="53"/>
      <x:c r="D618" s="53"/>
      <x:c r="E618" s="53"/>
      <x:c r="F618" s="53"/>
      <x:c r="G618" s="52"/>
      <x:c r="H618" s="21" t="str">
        <x:f>IF(COUNTA(A618:G618,I618)=0,"",IF(A618="","Add registration",IF(OR(COUNTA(C618:F618)&gt;COUNT(C618:F618)+COUNTIFS(C618:F618,"Reviewed N/A"),AND(COUNT(C618:F618)&gt;0,OR(MIN(C618:F618)&lt;36526,MAX(C618:F618)&gt;109574))),"Check date format",IF(AND(COUNTIFS(C618:F618,"Reviewed N/A")&gt;0,I618=""),"Add N/A reason; ","")&amp;IF(COUNT(C618:F618)=0,IF(COUNTIFS(C618:F618,"Reviewed N/A")=4,"No applicable dates recorded","Add dates"),IF(COUNT(C618:F618)+COUNTIFS(C618:F618,"Reviewed N/A")&lt;4,"Missing dates; ","")&amp;IF(MIN(C618:F618)&lt;TODAY(),"Overdue: ",IF(MIN(C618:F618)=TODAY(),"Due today: ",IF(MIN(C618:F618)&lt;=TODAY()+30,"Due within 30 days: ","Next: ")))&amp;INDEX($C$8:$F$8,1,MATCH(MIN(C618:F618),C618:F618,0))&amp;" "&amp;TEXT(MIN(C618:F618),"dd mmm yyyy")))))</x:f>
      </x:c>
      <x:c r="I618" s="52"/>
      <x:c r="J618" t="str">
        <x:f>IF(AND(A618&lt;&gt;"",COUNTIFS(C618,"&gt;=36526",C618,"&lt;"&amp;TODAY())+COUNTIFS(D618,"&gt;=36526",D618,"&lt;"&amp;TODAY())+COUNTIFS(E618,"&gt;=36526",E618,"&lt;"&amp;TODAY())+COUNTIFS(F618,"&gt;=36526",F618,"&lt;"&amp;TODAY())&gt;0),O618,"")</x:f>
      </x:c>
      <x:c r="K618" t="str">
        <x:f>IF(AND(A618&lt;&gt;"",COUNTIFS(C618,"&gt;=36526",C618,TODAY())+COUNTIFS(D618,"&gt;=36526",D618,TODAY())+COUNTIFS(E618,"&gt;=36526",E618,TODAY())+COUNTIFS(F618,"&gt;=36526",F618,TODAY())&gt;0),P618,"")</x:f>
      </x:c>
      <x:c r="L618" t="str">
        <x:f>IF(AND(A618&lt;&gt;"",COUNTIFS(C618,"&gt;"&amp;TODAY(),C618,"&lt;="&amp;TODAY()+30)+COUNTIFS(D618,"&gt;"&amp;TODAY(),D618,"&lt;="&amp;TODAY()+30)+COUNTIFS(E618,"&gt;"&amp;TODAY(),E618,"&lt;="&amp;TODAY()+30)+COUNTIFS(F618,"&gt;"&amp;TODAY(),F618,"&lt;="&amp;TODAY()+30)&gt;0),Q618,"")</x:f>
      </x:c>
      <x:c r="M618" t="str">
        <x:f>IF(OR(LEFT(H618,15)="Missing dates; ",LEFT(H618,16)="Add N/A reason; ",H618="Add dates",H618="Add registration",H618="Check date format"),R618,"")</x:f>
      </x:c>
      <x:c r="N618" t="str">
        <x:f>IF(COUNTIFS(C618:F618,"Reviewed N/A")&gt;0,S618,"")</x:f>
      </x:c>
      <x:c r="O618" t="n">
        <x:f>O617+IF(AND(A618&lt;&gt;"",COUNTIFS(C618,"&gt;=36526",C618,"&lt;"&amp;TODAY())+COUNTIFS(D618,"&gt;=36526",D618,"&lt;"&amp;TODAY())+COUNTIFS(E618,"&gt;=36526",E618,"&lt;"&amp;TODAY())+COUNTIFS(F618,"&gt;=36526",F618,"&lt;"&amp;TODAY())&gt;0),1,0)</x:f>
        <x:v>0</x:v>
      </x:c>
      <x:c r="P618" t="n">
        <x:f>P617+IF(AND(A618&lt;&gt;"",COUNTIFS(C618,"&gt;=36526",C618,TODAY())+COUNTIFS(D618,"&gt;=36526",D618,TODAY())+COUNTIFS(E618,"&gt;=36526",E618,TODAY())+COUNTIFS(F618,"&gt;=36526",F618,TODAY())&gt;0),1,0)</x:f>
        <x:v>0</x:v>
      </x:c>
      <x:c r="Q618" t="n">
        <x:f>Q617+IF(AND(A618&lt;&gt;"",COUNTIFS(C618,"&gt;"&amp;TODAY(),C618,"&lt;="&amp;TODAY()+30)+COUNTIFS(D618,"&gt;"&amp;TODAY(),D618,"&lt;="&amp;TODAY()+30)+COUNTIFS(E618,"&gt;"&amp;TODAY(),E618,"&lt;="&amp;TODAY()+30)+COUNTIFS(F618,"&gt;"&amp;TODAY(),F618,"&lt;="&amp;TODAY()+30)&gt;0),1,0)</x:f>
        <x:v>0</x:v>
      </x:c>
      <x:c r="R618" t="n">
        <x:f>R617+IF(OR(LEFT(H618,15)="Missing dates; ",LEFT(H618,16)="Add N/A reason; ",H618="Add dates",H618="Add registration",H618="Check date format"),1,0)</x:f>
        <x:v>0</x:v>
      </x:c>
      <x:c r="S618" t="n">
        <x:f>S617+IF(COUNTIFS(C618:F618,"Reviewed N/A")&gt;0,1,0)</x:f>
        <x:v>0</x:v>
      </x:c>
    </x:row>
    <x:row r="619" ht="48" customHeight="1">
      <x:c r="A619" s="52"/>
      <x:c r="B619" s="52"/>
      <x:c r="C619" s="53"/>
      <x:c r="D619" s="53"/>
      <x:c r="E619" s="53"/>
      <x:c r="F619" s="53"/>
      <x:c r="G619" s="52"/>
      <x:c r="H619" s="21" t="str">
        <x:f>IF(COUNTA(A619:G619,I619)=0,"",IF(A619="","Add registration",IF(OR(COUNTA(C619:F619)&gt;COUNT(C619:F619)+COUNTIFS(C619:F619,"Reviewed N/A"),AND(COUNT(C619:F619)&gt;0,OR(MIN(C619:F619)&lt;36526,MAX(C619:F619)&gt;109574))),"Check date format",IF(AND(COUNTIFS(C619:F619,"Reviewed N/A")&gt;0,I619=""),"Add N/A reason; ","")&amp;IF(COUNT(C619:F619)=0,IF(COUNTIFS(C619:F619,"Reviewed N/A")=4,"No applicable dates recorded","Add dates"),IF(COUNT(C619:F619)+COUNTIFS(C619:F619,"Reviewed N/A")&lt;4,"Missing dates; ","")&amp;IF(MIN(C619:F619)&lt;TODAY(),"Overdue: ",IF(MIN(C619:F619)=TODAY(),"Due today: ",IF(MIN(C619:F619)&lt;=TODAY()+30,"Due within 30 days: ","Next: ")))&amp;INDEX($C$8:$F$8,1,MATCH(MIN(C619:F619),C619:F619,0))&amp;" "&amp;TEXT(MIN(C619:F619),"dd mmm yyyy")))))</x:f>
      </x:c>
      <x:c r="I619" s="52"/>
      <x:c r="J619" t="str">
        <x:f>IF(AND(A619&lt;&gt;"",COUNTIFS(C619,"&gt;=36526",C619,"&lt;"&amp;TODAY())+COUNTIFS(D619,"&gt;=36526",D619,"&lt;"&amp;TODAY())+COUNTIFS(E619,"&gt;=36526",E619,"&lt;"&amp;TODAY())+COUNTIFS(F619,"&gt;=36526",F619,"&lt;"&amp;TODAY())&gt;0),O619,"")</x:f>
      </x:c>
      <x:c r="K619" t="str">
        <x:f>IF(AND(A619&lt;&gt;"",COUNTIFS(C619,"&gt;=36526",C619,TODAY())+COUNTIFS(D619,"&gt;=36526",D619,TODAY())+COUNTIFS(E619,"&gt;=36526",E619,TODAY())+COUNTIFS(F619,"&gt;=36526",F619,TODAY())&gt;0),P619,"")</x:f>
      </x:c>
      <x:c r="L619" t="str">
        <x:f>IF(AND(A619&lt;&gt;"",COUNTIFS(C619,"&gt;"&amp;TODAY(),C619,"&lt;="&amp;TODAY()+30)+COUNTIFS(D619,"&gt;"&amp;TODAY(),D619,"&lt;="&amp;TODAY()+30)+COUNTIFS(E619,"&gt;"&amp;TODAY(),E619,"&lt;="&amp;TODAY()+30)+COUNTIFS(F619,"&gt;"&amp;TODAY(),F619,"&lt;="&amp;TODAY()+30)&gt;0),Q619,"")</x:f>
      </x:c>
      <x:c r="M619" t="str">
        <x:f>IF(OR(LEFT(H619,15)="Missing dates; ",LEFT(H619,16)="Add N/A reason; ",H619="Add dates",H619="Add registration",H619="Check date format"),R619,"")</x:f>
      </x:c>
      <x:c r="N619" t="str">
        <x:f>IF(COUNTIFS(C619:F619,"Reviewed N/A")&gt;0,S619,"")</x:f>
      </x:c>
      <x:c r="O619" t="n">
        <x:f>O618+IF(AND(A619&lt;&gt;"",COUNTIFS(C619,"&gt;=36526",C619,"&lt;"&amp;TODAY())+COUNTIFS(D619,"&gt;=36526",D619,"&lt;"&amp;TODAY())+COUNTIFS(E619,"&gt;=36526",E619,"&lt;"&amp;TODAY())+COUNTIFS(F619,"&gt;=36526",F619,"&lt;"&amp;TODAY())&gt;0),1,0)</x:f>
        <x:v>0</x:v>
      </x:c>
      <x:c r="P619" t="n">
        <x:f>P618+IF(AND(A619&lt;&gt;"",COUNTIFS(C619,"&gt;=36526",C619,TODAY())+COUNTIFS(D619,"&gt;=36526",D619,TODAY())+COUNTIFS(E619,"&gt;=36526",E619,TODAY())+COUNTIFS(F619,"&gt;=36526",F619,TODAY())&gt;0),1,0)</x:f>
        <x:v>0</x:v>
      </x:c>
      <x:c r="Q619" t="n">
        <x:f>Q618+IF(AND(A619&lt;&gt;"",COUNTIFS(C619,"&gt;"&amp;TODAY(),C619,"&lt;="&amp;TODAY()+30)+COUNTIFS(D619,"&gt;"&amp;TODAY(),D619,"&lt;="&amp;TODAY()+30)+COUNTIFS(E619,"&gt;"&amp;TODAY(),E619,"&lt;="&amp;TODAY()+30)+COUNTIFS(F619,"&gt;"&amp;TODAY(),F619,"&lt;="&amp;TODAY()+30)&gt;0),1,0)</x:f>
        <x:v>0</x:v>
      </x:c>
      <x:c r="R619" t="n">
        <x:f>R618+IF(OR(LEFT(H619,15)="Missing dates; ",LEFT(H619,16)="Add N/A reason; ",H619="Add dates",H619="Add registration",H619="Check date format"),1,0)</x:f>
        <x:v>0</x:v>
      </x:c>
      <x:c r="S619" t="n">
        <x:f>S618+IF(COUNTIFS(C619:F619,"Reviewed N/A")&gt;0,1,0)</x:f>
        <x:v>0</x:v>
      </x:c>
    </x:row>
    <x:row r="620" ht="48" customHeight="1">
      <x:c r="A620" s="52"/>
      <x:c r="B620" s="52"/>
      <x:c r="C620" s="53"/>
      <x:c r="D620" s="53"/>
      <x:c r="E620" s="53"/>
      <x:c r="F620" s="53"/>
      <x:c r="G620" s="52"/>
      <x:c r="H620" s="21" t="str">
        <x:f>IF(COUNTA(A620:G620,I620)=0,"",IF(A620="","Add registration",IF(OR(COUNTA(C620:F620)&gt;COUNT(C620:F620)+COUNTIFS(C620:F620,"Reviewed N/A"),AND(COUNT(C620:F620)&gt;0,OR(MIN(C620:F620)&lt;36526,MAX(C620:F620)&gt;109574))),"Check date format",IF(AND(COUNTIFS(C620:F620,"Reviewed N/A")&gt;0,I620=""),"Add N/A reason; ","")&amp;IF(COUNT(C620:F620)=0,IF(COUNTIFS(C620:F620,"Reviewed N/A")=4,"No applicable dates recorded","Add dates"),IF(COUNT(C620:F620)+COUNTIFS(C620:F620,"Reviewed N/A")&lt;4,"Missing dates; ","")&amp;IF(MIN(C620:F620)&lt;TODAY(),"Overdue: ",IF(MIN(C620:F620)=TODAY(),"Due today: ",IF(MIN(C620:F620)&lt;=TODAY()+30,"Due within 30 days: ","Next: ")))&amp;INDEX($C$8:$F$8,1,MATCH(MIN(C620:F620),C620:F620,0))&amp;" "&amp;TEXT(MIN(C620:F620),"dd mmm yyyy")))))</x:f>
      </x:c>
      <x:c r="I620" s="52"/>
      <x:c r="J620" t="str">
        <x:f>IF(AND(A620&lt;&gt;"",COUNTIFS(C620,"&gt;=36526",C620,"&lt;"&amp;TODAY())+COUNTIFS(D620,"&gt;=36526",D620,"&lt;"&amp;TODAY())+COUNTIFS(E620,"&gt;=36526",E620,"&lt;"&amp;TODAY())+COUNTIFS(F620,"&gt;=36526",F620,"&lt;"&amp;TODAY())&gt;0),O620,"")</x:f>
      </x:c>
      <x:c r="K620" t="str">
        <x:f>IF(AND(A620&lt;&gt;"",COUNTIFS(C620,"&gt;=36526",C620,TODAY())+COUNTIFS(D620,"&gt;=36526",D620,TODAY())+COUNTIFS(E620,"&gt;=36526",E620,TODAY())+COUNTIFS(F620,"&gt;=36526",F620,TODAY())&gt;0),P620,"")</x:f>
      </x:c>
      <x:c r="L620" t="str">
        <x:f>IF(AND(A620&lt;&gt;"",COUNTIFS(C620,"&gt;"&amp;TODAY(),C620,"&lt;="&amp;TODAY()+30)+COUNTIFS(D620,"&gt;"&amp;TODAY(),D620,"&lt;="&amp;TODAY()+30)+COUNTIFS(E620,"&gt;"&amp;TODAY(),E620,"&lt;="&amp;TODAY()+30)+COUNTIFS(F620,"&gt;"&amp;TODAY(),F620,"&lt;="&amp;TODAY()+30)&gt;0),Q620,"")</x:f>
      </x:c>
      <x:c r="M620" t="str">
        <x:f>IF(OR(LEFT(H620,15)="Missing dates; ",LEFT(H620,16)="Add N/A reason; ",H620="Add dates",H620="Add registration",H620="Check date format"),R620,"")</x:f>
      </x:c>
      <x:c r="N620" t="str">
        <x:f>IF(COUNTIFS(C620:F620,"Reviewed N/A")&gt;0,S620,"")</x:f>
      </x:c>
      <x:c r="O620" t="n">
        <x:f>O619+IF(AND(A620&lt;&gt;"",COUNTIFS(C620,"&gt;=36526",C620,"&lt;"&amp;TODAY())+COUNTIFS(D620,"&gt;=36526",D620,"&lt;"&amp;TODAY())+COUNTIFS(E620,"&gt;=36526",E620,"&lt;"&amp;TODAY())+COUNTIFS(F620,"&gt;=36526",F620,"&lt;"&amp;TODAY())&gt;0),1,0)</x:f>
        <x:v>0</x:v>
      </x:c>
      <x:c r="P620" t="n">
        <x:f>P619+IF(AND(A620&lt;&gt;"",COUNTIFS(C620,"&gt;=36526",C620,TODAY())+COUNTIFS(D620,"&gt;=36526",D620,TODAY())+COUNTIFS(E620,"&gt;=36526",E620,TODAY())+COUNTIFS(F620,"&gt;=36526",F620,TODAY())&gt;0),1,0)</x:f>
        <x:v>0</x:v>
      </x:c>
      <x:c r="Q620" t="n">
        <x:f>Q619+IF(AND(A620&lt;&gt;"",COUNTIFS(C620,"&gt;"&amp;TODAY(),C620,"&lt;="&amp;TODAY()+30)+COUNTIFS(D620,"&gt;"&amp;TODAY(),D620,"&lt;="&amp;TODAY()+30)+COUNTIFS(E620,"&gt;"&amp;TODAY(),E620,"&lt;="&amp;TODAY()+30)+COUNTIFS(F620,"&gt;"&amp;TODAY(),F620,"&lt;="&amp;TODAY()+30)&gt;0),1,0)</x:f>
        <x:v>0</x:v>
      </x:c>
      <x:c r="R620" t="n">
        <x:f>R619+IF(OR(LEFT(H620,15)="Missing dates; ",LEFT(H620,16)="Add N/A reason; ",H620="Add dates",H620="Add registration",H620="Check date format"),1,0)</x:f>
        <x:v>0</x:v>
      </x:c>
      <x:c r="S620" t="n">
        <x:f>S619+IF(COUNTIFS(C620:F620,"Reviewed N/A")&gt;0,1,0)</x:f>
        <x:v>0</x:v>
      </x:c>
    </x:row>
    <x:row r="621" ht="48" customHeight="1">
      <x:c r="A621" s="52"/>
      <x:c r="B621" s="52"/>
      <x:c r="C621" s="53"/>
      <x:c r="D621" s="53"/>
      <x:c r="E621" s="53"/>
      <x:c r="F621" s="53"/>
      <x:c r="G621" s="52"/>
      <x:c r="H621" s="21" t="str">
        <x:f>IF(COUNTA(A621:G621,I621)=0,"",IF(A621="","Add registration",IF(OR(COUNTA(C621:F621)&gt;COUNT(C621:F621)+COUNTIFS(C621:F621,"Reviewed N/A"),AND(COUNT(C621:F621)&gt;0,OR(MIN(C621:F621)&lt;36526,MAX(C621:F621)&gt;109574))),"Check date format",IF(AND(COUNTIFS(C621:F621,"Reviewed N/A")&gt;0,I621=""),"Add N/A reason; ","")&amp;IF(COUNT(C621:F621)=0,IF(COUNTIFS(C621:F621,"Reviewed N/A")=4,"No applicable dates recorded","Add dates"),IF(COUNT(C621:F621)+COUNTIFS(C621:F621,"Reviewed N/A")&lt;4,"Missing dates; ","")&amp;IF(MIN(C621:F621)&lt;TODAY(),"Overdue: ",IF(MIN(C621:F621)=TODAY(),"Due today: ",IF(MIN(C621:F621)&lt;=TODAY()+30,"Due within 30 days: ","Next: ")))&amp;INDEX($C$8:$F$8,1,MATCH(MIN(C621:F621),C621:F621,0))&amp;" "&amp;TEXT(MIN(C621:F621),"dd mmm yyyy")))))</x:f>
      </x:c>
      <x:c r="I621" s="52"/>
      <x:c r="J621" t="str">
        <x:f>IF(AND(A621&lt;&gt;"",COUNTIFS(C621,"&gt;=36526",C621,"&lt;"&amp;TODAY())+COUNTIFS(D621,"&gt;=36526",D621,"&lt;"&amp;TODAY())+COUNTIFS(E621,"&gt;=36526",E621,"&lt;"&amp;TODAY())+COUNTIFS(F621,"&gt;=36526",F621,"&lt;"&amp;TODAY())&gt;0),O621,"")</x:f>
      </x:c>
      <x:c r="K621" t="str">
        <x:f>IF(AND(A621&lt;&gt;"",COUNTIFS(C621,"&gt;=36526",C621,TODAY())+COUNTIFS(D621,"&gt;=36526",D621,TODAY())+COUNTIFS(E621,"&gt;=36526",E621,TODAY())+COUNTIFS(F621,"&gt;=36526",F621,TODAY())&gt;0),P621,"")</x:f>
      </x:c>
      <x:c r="L621" t="str">
        <x:f>IF(AND(A621&lt;&gt;"",COUNTIFS(C621,"&gt;"&amp;TODAY(),C621,"&lt;="&amp;TODAY()+30)+COUNTIFS(D621,"&gt;"&amp;TODAY(),D621,"&lt;="&amp;TODAY()+30)+COUNTIFS(E621,"&gt;"&amp;TODAY(),E621,"&lt;="&amp;TODAY()+30)+COUNTIFS(F621,"&gt;"&amp;TODAY(),F621,"&lt;="&amp;TODAY()+30)&gt;0),Q621,"")</x:f>
      </x:c>
      <x:c r="M621" t="str">
        <x:f>IF(OR(LEFT(H621,15)="Missing dates; ",LEFT(H621,16)="Add N/A reason; ",H621="Add dates",H621="Add registration",H621="Check date format"),R621,"")</x:f>
      </x:c>
      <x:c r="N621" t="str">
        <x:f>IF(COUNTIFS(C621:F621,"Reviewed N/A")&gt;0,S621,"")</x:f>
      </x:c>
      <x:c r="O621" t="n">
        <x:f>O620+IF(AND(A621&lt;&gt;"",COUNTIFS(C621,"&gt;=36526",C621,"&lt;"&amp;TODAY())+COUNTIFS(D621,"&gt;=36526",D621,"&lt;"&amp;TODAY())+COUNTIFS(E621,"&gt;=36526",E621,"&lt;"&amp;TODAY())+COUNTIFS(F621,"&gt;=36526",F621,"&lt;"&amp;TODAY())&gt;0),1,0)</x:f>
        <x:v>0</x:v>
      </x:c>
      <x:c r="P621" t="n">
        <x:f>P620+IF(AND(A621&lt;&gt;"",COUNTIFS(C621,"&gt;=36526",C621,TODAY())+COUNTIFS(D621,"&gt;=36526",D621,TODAY())+COUNTIFS(E621,"&gt;=36526",E621,TODAY())+COUNTIFS(F621,"&gt;=36526",F621,TODAY())&gt;0),1,0)</x:f>
        <x:v>0</x:v>
      </x:c>
      <x:c r="Q621" t="n">
        <x:f>Q620+IF(AND(A621&lt;&gt;"",COUNTIFS(C621,"&gt;"&amp;TODAY(),C621,"&lt;="&amp;TODAY()+30)+COUNTIFS(D621,"&gt;"&amp;TODAY(),D621,"&lt;="&amp;TODAY()+30)+COUNTIFS(E621,"&gt;"&amp;TODAY(),E621,"&lt;="&amp;TODAY()+30)+COUNTIFS(F621,"&gt;"&amp;TODAY(),F621,"&lt;="&amp;TODAY()+30)&gt;0),1,0)</x:f>
        <x:v>0</x:v>
      </x:c>
      <x:c r="R621" t="n">
        <x:f>R620+IF(OR(LEFT(H621,15)="Missing dates; ",LEFT(H621,16)="Add N/A reason; ",H621="Add dates",H621="Add registration",H621="Check date format"),1,0)</x:f>
        <x:v>0</x:v>
      </x:c>
      <x:c r="S621" t="n">
        <x:f>S620+IF(COUNTIFS(C621:F621,"Reviewed N/A")&gt;0,1,0)</x:f>
        <x:v>0</x:v>
      </x:c>
    </x:row>
    <x:row r="622" ht="48" customHeight="1">
      <x:c r="A622" s="52"/>
      <x:c r="B622" s="52"/>
      <x:c r="C622" s="53"/>
      <x:c r="D622" s="53"/>
      <x:c r="E622" s="53"/>
      <x:c r="F622" s="53"/>
      <x:c r="G622" s="52"/>
      <x:c r="H622" s="21" t="str">
        <x:f>IF(COUNTA(A622:G622,I622)=0,"",IF(A622="","Add registration",IF(OR(COUNTA(C622:F622)&gt;COUNT(C622:F622)+COUNTIFS(C622:F622,"Reviewed N/A"),AND(COUNT(C622:F622)&gt;0,OR(MIN(C622:F622)&lt;36526,MAX(C622:F622)&gt;109574))),"Check date format",IF(AND(COUNTIFS(C622:F622,"Reviewed N/A")&gt;0,I622=""),"Add N/A reason; ","")&amp;IF(COUNT(C622:F622)=0,IF(COUNTIFS(C622:F622,"Reviewed N/A")=4,"No applicable dates recorded","Add dates"),IF(COUNT(C622:F622)+COUNTIFS(C622:F622,"Reviewed N/A")&lt;4,"Missing dates; ","")&amp;IF(MIN(C622:F622)&lt;TODAY(),"Overdue: ",IF(MIN(C622:F622)=TODAY(),"Due today: ",IF(MIN(C622:F622)&lt;=TODAY()+30,"Due within 30 days: ","Next: ")))&amp;INDEX($C$8:$F$8,1,MATCH(MIN(C622:F622),C622:F622,0))&amp;" "&amp;TEXT(MIN(C622:F622),"dd mmm yyyy")))))</x:f>
      </x:c>
      <x:c r="I622" s="52"/>
      <x:c r="J622" t="str">
        <x:f>IF(AND(A622&lt;&gt;"",COUNTIFS(C622,"&gt;=36526",C622,"&lt;"&amp;TODAY())+COUNTIFS(D622,"&gt;=36526",D622,"&lt;"&amp;TODAY())+COUNTIFS(E622,"&gt;=36526",E622,"&lt;"&amp;TODAY())+COUNTIFS(F622,"&gt;=36526",F622,"&lt;"&amp;TODAY())&gt;0),O622,"")</x:f>
      </x:c>
      <x:c r="K622" t="str">
        <x:f>IF(AND(A622&lt;&gt;"",COUNTIFS(C622,"&gt;=36526",C622,TODAY())+COUNTIFS(D622,"&gt;=36526",D622,TODAY())+COUNTIFS(E622,"&gt;=36526",E622,TODAY())+COUNTIFS(F622,"&gt;=36526",F622,TODAY())&gt;0),P622,"")</x:f>
      </x:c>
      <x:c r="L622" t="str">
        <x:f>IF(AND(A622&lt;&gt;"",COUNTIFS(C622,"&gt;"&amp;TODAY(),C622,"&lt;="&amp;TODAY()+30)+COUNTIFS(D622,"&gt;"&amp;TODAY(),D622,"&lt;="&amp;TODAY()+30)+COUNTIFS(E622,"&gt;"&amp;TODAY(),E622,"&lt;="&amp;TODAY()+30)+COUNTIFS(F622,"&gt;"&amp;TODAY(),F622,"&lt;="&amp;TODAY()+30)&gt;0),Q622,"")</x:f>
      </x:c>
      <x:c r="M622" t="str">
        <x:f>IF(OR(LEFT(H622,15)="Missing dates; ",LEFT(H622,16)="Add N/A reason; ",H622="Add dates",H622="Add registration",H622="Check date format"),R622,"")</x:f>
      </x:c>
      <x:c r="N622" t="str">
        <x:f>IF(COUNTIFS(C622:F622,"Reviewed N/A")&gt;0,S622,"")</x:f>
      </x:c>
      <x:c r="O622" t="n">
        <x:f>O621+IF(AND(A622&lt;&gt;"",COUNTIFS(C622,"&gt;=36526",C622,"&lt;"&amp;TODAY())+COUNTIFS(D622,"&gt;=36526",D622,"&lt;"&amp;TODAY())+COUNTIFS(E622,"&gt;=36526",E622,"&lt;"&amp;TODAY())+COUNTIFS(F622,"&gt;=36526",F622,"&lt;"&amp;TODAY())&gt;0),1,0)</x:f>
        <x:v>0</x:v>
      </x:c>
      <x:c r="P622" t="n">
        <x:f>P621+IF(AND(A622&lt;&gt;"",COUNTIFS(C622,"&gt;=36526",C622,TODAY())+COUNTIFS(D622,"&gt;=36526",D622,TODAY())+COUNTIFS(E622,"&gt;=36526",E622,TODAY())+COUNTIFS(F622,"&gt;=36526",F622,TODAY())&gt;0),1,0)</x:f>
        <x:v>0</x:v>
      </x:c>
      <x:c r="Q622" t="n">
        <x:f>Q621+IF(AND(A622&lt;&gt;"",COUNTIFS(C622,"&gt;"&amp;TODAY(),C622,"&lt;="&amp;TODAY()+30)+COUNTIFS(D622,"&gt;"&amp;TODAY(),D622,"&lt;="&amp;TODAY()+30)+COUNTIFS(E622,"&gt;"&amp;TODAY(),E622,"&lt;="&amp;TODAY()+30)+COUNTIFS(F622,"&gt;"&amp;TODAY(),F622,"&lt;="&amp;TODAY()+30)&gt;0),1,0)</x:f>
        <x:v>0</x:v>
      </x:c>
      <x:c r="R622" t="n">
        <x:f>R621+IF(OR(LEFT(H622,15)="Missing dates; ",LEFT(H622,16)="Add N/A reason; ",H622="Add dates",H622="Add registration",H622="Check date format"),1,0)</x:f>
        <x:v>0</x:v>
      </x:c>
      <x:c r="S622" t="n">
        <x:f>S621+IF(COUNTIFS(C622:F622,"Reviewed N/A")&gt;0,1,0)</x:f>
        <x:v>0</x:v>
      </x:c>
    </x:row>
    <x:row r="623" ht="48" customHeight="1">
      <x:c r="A623" s="52"/>
      <x:c r="B623" s="52"/>
      <x:c r="C623" s="53"/>
      <x:c r="D623" s="53"/>
      <x:c r="E623" s="53"/>
      <x:c r="F623" s="53"/>
      <x:c r="G623" s="52"/>
      <x:c r="H623" s="21" t="str">
        <x:f>IF(COUNTA(A623:G623,I623)=0,"",IF(A623="","Add registration",IF(OR(COUNTA(C623:F623)&gt;COUNT(C623:F623)+COUNTIFS(C623:F623,"Reviewed N/A"),AND(COUNT(C623:F623)&gt;0,OR(MIN(C623:F623)&lt;36526,MAX(C623:F623)&gt;109574))),"Check date format",IF(AND(COUNTIFS(C623:F623,"Reviewed N/A")&gt;0,I623=""),"Add N/A reason; ","")&amp;IF(COUNT(C623:F623)=0,IF(COUNTIFS(C623:F623,"Reviewed N/A")=4,"No applicable dates recorded","Add dates"),IF(COUNT(C623:F623)+COUNTIFS(C623:F623,"Reviewed N/A")&lt;4,"Missing dates; ","")&amp;IF(MIN(C623:F623)&lt;TODAY(),"Overdue: ",IF(MIN(C623:F623)=TODAY(),"Due today: ",IF(MIN(C623:F623)&lt;=TODAY()+30,"Due within 30 days: ","Next: ")))&amp;INDEX($C$8:$F$8,1,MATCH(MIN(C623:F623),C623:F623,0))&amp;" "&amp;TEXT(MIN(C623:F623),"dd mmm yyyy")))))</x:f>
      </x:c>
      <x:c r="I623" s="52"/>
      <x:c r="J623" t="str">
        <x:f>IF(AND(A623&lt;&gt;"",COUNTIFS(C623,"&gt;=36526",C623,"&lt;"&amp;TODAY())+COUNTIFS(D623,"&gt;=36526",D623,"&lt;"&amp;TODAY())+COUNTIFS(E623,"&gt;=36526",E623,"&lt;"&amp;TODAY())+COUNTIFS(F623,"&gt;=36526",F623,"&lt;"&amp;TODAY())&gt;0),O623,"")</x:f>
      </x:c>
      <x:c r="K623" t="str">
        <x:f>IF(AND(A623&lt;&gt;"",COUNTIFS(C623,"&gt;=36526",C623,TODAY())+COUNTIFS(D623,"&gt;=36526",D623,TODAY())+COUNTIFS(E623,"&gt;=36526",E623,TODAY())+COUNTIFS(F623,"&gt;=36526",F623,TODAY())&gt;0),P623,"")</x:f>
      </x:c>
      <x:c r="L623" t="str">
        <x:f>IF(AND(A623&lt;&gt;"",COUNTIFS(C623,"&gt;"&amp;TODAY(),C623,"&lt;="&amp;TODAY()+30)+COUNTIFS(D623,"&gt;"&amp;TODAY(),D623,"&lt;="&amp;TODAY()+30)+COUNTIFS(E623,"&gt;"&amp;TODAY(),E623,"&lt;="&amp;TODAY()+30)+COUNTIFS(F623,"&gt;"&amp;TODAY(),F623,"&lt;="&amp;TODAY()+30)&gt;0),Q623,"")</x:f>
      </x:c>
      <x:c r="M623" t="str">
        <x:f>IF(OR(LEFT(H623,15)="Missing dates; ",LEFT(H623,16)="Add N/A reason; ",H623="Add dates",H623="Add registration",H623="Check date format"),R623,"")</x:f>
      </x:c>
      <x:c r="N623" t="str">
        <x:f>IF(COUNTIFS(C623:F623,"Reviewed N/A")&gt;0,S623,"")</x:f>
      </x:c>
      <x:c r="O623" t="n">
        <x:f>O622+IF(AND(A623&lt;&gt;"",COUNTIFS(C623,"&gt;=36526",C623,"&lt;"&amp;TODAY())+COUNTIFS(D623,"&gt;=36526",D623,"&lt;"&amp;TODAY())+COUNTIFS(E623,"&gt;=36526",E623,"&lt;"&amp;TODAY())+COUNTIFS(F623,"&gt;=36526",F623,"&lt;"&amp;TODAY())&gt;0),1,0)</x:f>
        <x:v>0</x:v>
      </x:c>
      <x:c r="P623" t="n">
        <x:f>P622+IF(AND(A623&lt;&gt;"",COUNTIFS(C623,"&gt;=36526",C623,TODAY())+COUNTIFS(D623,"&gt;=36526",D623,TODAY())+COUNTIFS(E623,"&gt;=36526",E623,TODAY())+COUNTIFS(F623,"&gt;=36526",F623,TODAY())&gt;0),1,0)</x:f>
        <x:v>0</x:v>
      </x:c>
      <x:c r="Q623" t="n">
        <x:f>Q622+IF(AND(A623&lt;&gt;"",COUNTIFS(C623,"&gt;"&amp;TODAY(),C623,"&lt;="&amp;TODAY()+30)+COUNTIFS(D623,"&gt;"&amp;TODAY(),D623,"&lt;="&amp;TODAY()+30)+COUNTIFS(E623,"&gt;"&amp;TODAY(),E623,"&lt;="&amp;TODAY()+30)+COUNTIFS(F623,"&gt;"&amp;TODAY(),F623,"&lt;="&amp;TODAY()+30)&gt;0),1,0)</x:f>
        <x:v>0</x:v>
      </x:c>
      <x:c r="R623" t="n">
        <x:f>R622+IF(OR(LEFT(H623,15)="Missing dates; ",LEFT(H623,16)="Add N/A reason; ",H623="Add dates",H623="Add registration",H623="Check date format"),1,0)</x:f>
        <x:v>0</x:v>
      </x:c>
      <x:c r="S623" t="n">
        <x:f>S622+IF(COUNTIFS(C623:F623,"Reviewed N/A")&gt;0,1,0)</x:f>
        <x:v>0</x:v>
      </x:c>
    </x:row>
    <x:row r="624" ht="48" customHeight="1">
      <x:c r="A624" s="52"/>
      <x:c r="B624" s="52"/>
      <x:c r="C624" s="53"/>
      <x:c r="D624" s="53"/>
      <x:c r="E624" s="53"/>
      <x:c r="F624" s="53"/>
      <x:c r="G624" s="52"/>
      <x:c r="H624" s="21" t="str">
        <x:f>IF(COUNTA(A624:G624,I624)=0,"",IF(A624="","Add registration",IF(OR(COUNTA(C624:F624)&gt;COUNT(C624:F624)+COUNTIFS(C624:F624,"Reviewed N/A"),AND(COUNT(C624:F624)&gt;0,OR(MIN(C624:F624)&lt;36526,MAX(C624:F624)&gt;109574))),"Check date format",IF(AND(COUNTIFS(C624:F624,"Reviewed N/A")&gt;0,I624=""),"Add N/A reason; ","")&amp;IF(COUNT(C624:F624)=0,IF(COUNTIFS(C624:F624,"Reviewed N/A")=4,"No applicable dates recorded","Add dates"),IF(COUNT(C624:F624)+COUNTIFS(C624:F624,"Reviewed N/A")&lt;4,"Missing dates; ","")&amp;IF(MIN(C624:F624)&lt;TODAY(),"Overdue: ",IF(MIN(C624:F624)=TODAY(),"Due today: ",IF(MIN(C624:F624)&lt;=TODAY()+30,"Due within 30 days: ","Next: ")))&amp;INDEX($C$8:$F$8,1,MATCH(MIN(C624:F624),C624:F624,0))&amp;" "&amp;TEXT(MIN(C624:F624),"dd mmm yyyy")))))</x:f>
      </x:c>
      <x:c r="I624" s="52"/>
      <x:c r="J624" t="str">
        <x:f>IF(AND(A624&lt;&gt;"",COUNTIFS(C624,"&gt;=36526",C624,"&lt;"&amp;TODAY())+COUNTIFS(D624,"&gt;=36526",D624,"&lt;"&amp;TODAY())+COUNTIFS(E624,"&gt;=36526",E624,"&lt;"&amp;TODAY())+COUNTIFS(F624,"&gt;=36526",F624,"&lt;"&amp;TODAY())&gt;0),O624,"")</x:f>
      </x:c>
      <x:c r="K624" t="str">
        <x:f>IF(AND(A624&lt;&gt;"",COUNTIFS(C624,"&gt;=36526",C624,TODAY())+COUNTIFS(D624,"&gt;=36526",D624,TODAY())+COUNTIFS(E624,"&gt;=36526",E624,TODAY())+COUNTIFS(F624,"&gt;=36526",F624,TODAY())&gt;0),P624,"")</x:f>
      </x:c>
      <x:c r="L624" t="str">
        <x:f>IF(AND(A624&lt;&gt;"",COUNTIFS(C624,"&gt;"&amp;TODAY(),C624,"&lt;="&amp;TODAY()+30)+COUNTIFS(D624,"&gt;"&amp;TODAY(),D624,"&lt;="&amp;TODAY()+30)+COUNTIFS(E624,"&gt;"&amp;TODAY(),E624,"&lt;="&amp;TODAY()+30)+COUNTIFS(F624,"&gt;"&amp;TODAY(),F624,"&lt;="&amp;TODAY()+30)&gt;0),Q624,"")</x:f>
      </x:c>
      <x:c r="M624" t="str">
        <x:f>IF(OR(LEFT(H624,15)="Missing dates; ",LEFT(H624,16)="Add N/A reason; ",H624="Add dates",H624="Add registration",H624="Check date format"),R624,"")</x:f>
      </x:c>
      <x:c r="N624" t="str">
        <x:f>IF(COUNTIFS(C624:F624,"Reviewed N/A")&gt;0,S624,"")</x:f>
      </x:c>
      <x:c r="O624" t="n">
        <x:f>O623+IF(AND(A624&lt;&gt;"",COUNTIFS(C624,"&gt;=36526",C624,"&lt;"&amp;TODAY())+COUNTIFS(D624,"&gt;=36526",D624,"&lt;"&amp;TODAY())+COUNTIFS(E624,"&gt;=36526",E624,"&lt;"&amp;TODAY())+COUNTIFS(F624,"&gt;=36526",F624,"&lt;"&amp;TODAY())&gt;0),1,0)</x:f>
        <x:v>0</x:v>
      </x:c>
      <x:c r="P624" t="n">
        <x:f>P623+IF(AND(A624&lt;&gt;"",COUNTIFS(C624,"&gt;=36526",C624,TODAY())+COUNTIFS(D624,"&gt;=36526",D624,TODAY())+COUNTIFS(E624,"&gt;=36526",E624,TODAY())+COUNTIFS(F624,"&gt;=36526",F624,TODAY())&gt;0),1,0)</x:f>
        <x:v>0</x:v>
      </x:c>
      <x:c r="Q624" t="n">
        <x:f>Q623+IF(AND(A624&lt;&gt;"",COUNTIFS(C624,"&gt;"&amp;TODAY(),C624,"&lt;="&amp;TODAY()+30)+COUNTIFS(D624,"&gt;"&amp;TODAY(),D624,"&lt;="&amp;TODAY()+30)+COUNTIFS(E624,"&gt;"&amp;TODAY(),E624,"&lt;="&amp;TODAY()+30)+COUNTIFS(F624,"&gt;"&amp;TODAY(),F624,"&lt;="&amp;TODAY()+30)&gt;0),1,0)</x:f>
        <x:v>0</x:v>
      </x:c>
      <x:c r="R624" t="n">
        <x:f>R623+IF(OR(LEFT(H624,15)="Missing dates; ",LEFT(H624,16)="Add N/A reason; ",H624="Add dates",H624="Add registration",H624="Check date format"),1,0)</x:f>
        <x:v>0</x:v>
      </x:c>
      <x:c r="S624" t="n">
        <x:f>S623+IF(COUNTIFS(C624:F624,"Reviewed N/A")&gt;0,1,0)</x:f>
        <x:v>0</x:v>
      </x:c>
    </x:row>
    <x:row r="625" ht="48" customHeight="1">
      <x:c r="A625" s="52"/>
      <x:c r="B625" s="52"/>
      <x:c r="C625" s="53"/>
      <x:c r="D625" s="53"/>
      <x:c r="E625" s="53"/>
      <x:c r="F625" s="53"/>
      <x:c r="G625" s="52"/>
      <x:c r="H625" s="21" t="str">
        <x:f>IF(COUNTA(A625:G625,I625)=0,"",IF(A625="","Add registration",IF(OR(COUNTA(C625:F625)&gt;COUNT(C625:F625)+COUNTIFS(C625:F625,"Reviewed N/A"),AND(COUNT(C625:F625)&gt;0,OR(MIN(C625:F625)&lt;36526,MAX(C625:F625)&gt;109574))),"Check date format",IF(AND(COUNTIFS(C625:F625,"Reviewed N/A")&gt;0,I625=""),"Add N/A reason; ","")&amp;IF(COUNT(C625:F625)=0,IF(COUNTIFS(C625:F625,"Reviewed N/A")=4,"No applicable dates recorded","Add dates"),IF(COUNT(C625:F625)+COUNTIFS(C625:F625,"Reviewed N/A")&lt;4,"Missing dates; ","")&amp;IF(MIN(C625:F625)&lt;TODAY(),"Overdue: ",IF(MIN(C625:F625)=TODAY(),"Due today: ",IF(MIN(C625:F625)&lt;=TODAY()+30,"Due within 30 days: ","Next: ")))&amp;INDEX($C$8:$F$8,1,MATCH(MIN(C625:F625),C625:F625,0))&amp;" "&amp;TEXT(MIN(C625:F625),"dd mmm yyyy")))))</x:f>
      </x:c>
      <x:c r="I625" s="52"/>
      <x:c r="J625" t="str">
        <x:f>IF(AND(A625&lt;&gt;"",COUNTIFS(C625,"&gt;=36526",C625,"&lt;"&amp;TODAY())+COUNTIFS(D625,"&gt;=36526",D625,"&lt;"&amp;TODAY())+COUNTIFS(E625,"&gt;=36526",E625,"&lt;"&amp;TODAY())+COUNTIFS(F625,"&gt;=36526",F625,"&lt;"&amp;TODAY())&gt;0),O625,"")</x:f>
      </x:c>
      <x:c r="K625" t="str">
        <x:f>IF(AND(A625&lt;&gt;"",COUNTIFS(C625,"&gt;=36526",C625,TODAY())+COUNTIFS(D625,"&gt;=36526",D625,TODAY())+COUNTIFS(E625,"&gt;=36526",E625,TODAY())+COUNTIFS(F625,"&gt;=36526",F625,TODAY())&gt;0),P625,"")</x:f>
      </x:c>
      <x:c r="L625" t="str">
        <x:f>IF(AND(A625&lt;&gt;"",COUNTIFS(C625,"&gt;"&amp;TODAY(),C625,"&lt;="&amp;TODAY()+30)+COUNTIFS(D625,"&gt;"&amp;TODAY(),D625,"&lt;="&amp;TODAY()+30)+COUNTIFS(E625,"&gt;"&amp;TODAY(),E625,"&lt;="&amp;TODAY()+30)+COUNTIFS(F625,"&gt;"&amp;TODAY(),F625,"&lt;="&amp;TODAY()+30)&gt;0),Q625,"")</x:f>
      </x:c>
      <x:c r="M625" t="str">
        <x:f>IF(OR(LEFT(H625,15)="Missing dates; ",LEFT(H625,16)="Add N/A reason; ",H625="Add dates",H625="Add registration",H625="Check date format"),R625,"")</x:f>
      </x:c>
      <x:c r="N625" t="str">
        <x:f>IF(COUNTIFS(C625:F625,"Reviewed N/A")&gt;0,S625,"")</x:f>
      </x:c>
      <x:c r="O625" t="n">
        <x:f>O624+IF(AND(A625&lt;&gt;"",COUNTIFS(C625,"&gt;=36526",C625,"&lt;"&amp;TODAY())+COUNTIFS(D625,"&gt;=36526",D625,"&lt;"&amp;TODAY())+COUNTIFS(E625,"&gt;=36526",E625,"&lt;"&amp;TODAY())+COUNTIFS(F625,"&gt;=36526",F625,"&lt;"&amp;TODAY())&gt;0),1,0)</x:f>
        <x:v>0</x:v>
      </x:c>
      <x:c r="P625" t="n">
        <x:f>P624+IF(AND(A625&lt;&gt;"",COUNTIFS(C625,"&gt;=36526",C625,TODAY())+COUNTIFS(D625,"&gt;=36526",D625,TODAY())+COUNTIFS(E625,"&gt;=36526",E625,TODAY())+COUNTIFS(F625,"&gt;=36526",F625,TODAY())&gt;0),1,0)</x:f>
        <x:v>0</x:v>
      </x:c>
      <x:c r="Q625" t="n">
        <x:f>Q624+IF(AND(A625&lt;&gt;"",COUNTIFS(C625,"&gt;"&amp;TODAY(),C625,"&lt;="&amp;TODAY()+30)+COUNTIFS(D625,"&gt;"&amp;TODAY(),D625,"&lt;="&amp;TODAY()+30)+COUNTIFS(E625,"&gt;"&amp;TODAY(),E625,"&lt;="&amp;TODAY()+30)+COUNTIFS(F625,"&gt;"&amp;TODAY(),F625,"&lt;="&amp;TODAY()+30)&gt;0),1,0)</x:f>
        <x:v>0</x:v>
      </x:c>
      <x:c r="R625" t="n">
        <x:f>R624+IF(OR(LEFT(H625,15)="Missing dates; ",LEFT(H625,16)="Add N/A reason; ",H625="Add dates",H625="Add registration",H625="Check date format"),1,0)</x:f>
        <x:v>0</x:v>
      </x:c>
      <x:c r="S625" t="n">
        <x:f>S624+IF(COUNTIFS(C625:F625,"Reviewed N/A")&gt;0,1,0)</x:f>
        <x:v>0</x:v>
      </x:c>
    </x:row>
    <x:row r="626" ht="48" customHeight="1">
      <x:c r="A626" s="52"/>
      <x:c r="B626" s="52"/>
      <x:c r="C626" s="53"/>
      <x:c r="D626" s="53"/>
      <x:c r="E626" s="53"/>
      <x:c r="F626" s="53"/>
      <x:c r="G626" s="52"/>
      <x:c r="H626" s="21" t="str">
        <x:f>IF(COUNTA(A626:G626,I626)=0,"",IF(A626="","Add registration",IF(OR(COUNTA(C626:F626)&gt;COUNT(C626:F626)+COUNTIFS(C626:F626,"Reviewed N/A"),AND(COUNT(C626:F626)&gt;0,OR(MIN(C626:F626)&lt;36526,MAX(C626:F626)&gt;109574))),"Check date format",IF(AND(COUNTIFS(C626:F626,"Reviewed N/A")&gt;0,I626=""),"Add N/A reason; ","")&amp;IF(COUNT(C626:F626)=0,IF(COUNTIFS(C626:F626,"Reviewed N/A")=4,"No applicable dates recorded","Add dates"),IF(COUNT(C626:F626)+COUNTIFS(C626:F626,"Reviewed N/A")&lt;4,"Missing dates; ","")&amp;IF(MIN(C626:F626)&lt;TODAY(),"Overdue: ",IF(MIN(C626:F626)=TODAY(),"Due today: ",IF(MIN(C626:F626)&lt;=TODAY()+30,"Due within 30 days: ","Next: ")))&amp;INDEX($C$8:$F$8,1,MATCH(MIN(C626:F626),C626:F626,0))&amp;" "&amp;TEXT(MIN(C626:F626),"dd mmm yyyy")))))</x:f>
      </x:c>
      <x:c r="I626" s="52"/>
      <x:c r="J626" t="str">
        <x:f>IF(AND(A626&lt;&gt;"",COUNTIFS(C626,"&gt;=36526",C626,"&lt;"&amp;TODAY())+COUNTIFS(D626,"&gt;=36526",D626,"&lt;"&amp;TODAY())+COUNTIFS(E626,"&gt;=36526",E626,"&lt;"&amp;TODAY())+COUNTIFS(F626,"&gt;=36526",F626,"&lt;"&amp;TODAY())&gt;0),O626,"")</x:f>
      </x:c>
      <x:c r="K626" t="str">
        <x:f>IF(AND(A626&lt;&gt;"",COUNTIFS(C626,"&gt;=36526",C626,TODAY())+COUNTIFS(D626,"&gt;=36526",D626,TODAY())+COUNTIFS(E626,"&gt;=36526",E626,TODAY())+COUNTIFS(F626,"&gt;=36526",F626,TODAY())&gt;0),P626,"")</x:f>
      </x:c>
      <x:c r="L626" t="str">
        <x:f>IF(AND(A626&lt;&gt;"",COUNTIFS(C626,"&gt;"&amp;TODAY(),C626,"&lt;="&amp;TODAY()+30)+COUNTIFS(D626,"&gt;"&amp;TODAY(),D626,"&lt;="&amp;TODAY()+30)+COUNTIFS(E626,"&gt;"&amp;TODAY(),E626,"&lt;="&amp;TODAY()+30)+COUNTIFS(F626,"&gt;"&amp;TODAY(),F626,"&lt;="&amp;TODAY()+30)&gt;0),Q626,"")</x:f>
      </x:c>
      <x:c r="M626" t="str">
        <x:f>IF(OR(LEFT(H626,15)="Missing dates; ",LEFT(H626,16)="Add N/A reason; ",H626="Add dates",H626="Add registration",H626="Check date format"),R626,"")</x:f>
      </x:c>
      <x:c r="N626" t="str">
        <x:f>IF(COUNTIFS(C626:F626,"Reviewed N/A")&gt;0,S626,"")</x:f>
      </x:c>
      <x:c r="O626" t="n">
        <x:f>O625+IF(AND(A626&lt;&gt;"",COUNTIFS(C626,"&gt;=36526",C626,"&lt;"&amp;TODAY())+COUNTIFS(D626,"&gt;=36526",D626,"&lt;"&amp;TODAY())+COUNTIFS(E626,"&gt;=36526",E626,"&lt;"&amp;TODAY())+COUNTIFS(F626,"&gt;=36526",F626,"&lt;"&amp;TODAY())&gt;0),1,0)</x:f>
        <x:v>0</x:v>
      </x:c>
      <x:c r="P626" t="n">
        <x:f>P625+IF(AND(A626&lt;&gt;"",COUNTIFS(C626,"&gt;=36526",C626,TODAY())+COUNTIFS(D626,"&gt;=36526",D626,TODAY())+COUNTIFS(E626,"&gt;=36526",E626,TODAY())+COUNTIFS(F626,"&gt;=36526",F626,TODAY())&gt;0),1,0)</x:f>
        <x:v>0</x:v>
      </x:c>
      <x:c r="Q626" t="n">
        <x:f>Q625+IF(AND(A626&lt;&gt;"",COUNTIFS(C626,"&gt;"&amp;TODAY(),C626,"&lt;="&amp;TODAY()+30)+COUNTIFS(D626,"&gt;"&amp;TODAY(),D626,"&lt;="&amp;TODAY()+30)+COUNTIFS(E626,"&gt;"&amp;TODAY(),E626,"&lt;="&amp;TODAY()+30)+COUNTIFS(F626,"&gt;"&amp;TODAY(),F626,"&lt;="&amp;TODAY()+30)&gt;0),1,0)</x:f>
        <x:v>0</x:v>
      </x:c>
      <x:c r="R626" t="n">
        <x:f>R625+IF(OR(LEFT(H626,15)="Missing dates; ",LEFT(H626,16)="Add N/A reason; ",H626="Add dates",H626="Add registration",H626="Check date format"),1,0)</x:f>
        <x:v>0</x:v>
      </x:c>
      <x:c r="S626" t="n">
        <x:f>S625+IF(COUNTIFS(C626:F626,"Reviewed N/A")&gt;0,1,0)</x:f>
        <x:v>0</x:v>
      </x:c>
    </x:row>
    <x:row r="627" ht="48" customHeight="1">
      <x:c r="A627" s="52"/>
      <x:c r="B627" s="52"/>
      <x:c r="C627" s="53"/>
      <x:c r="D627" s="53"/>
      <x:c r="E627" s="53"/>
      <x:c r="F627" s="53"/>
      <x:c r="G627" s="52"/>
      <x:c r="H627" s="21" t="str">
        <x:f>IF(COUNTA(A627:G627,I627)=0,"",IF(A627="","Add registration",IF(OR(COUNTA(C627:F627)&gt;COUNT(C627:F627)+COUNTIFS(C627:F627,"Reviewed N/A"),AND(COUNT(C627:F627)&gt;0,OR(MIN(C627:F627)&lt;36526,MAX(C627:F627)&gt;109574))),"Check date format",IF(AND(COUNTIFS(C627:F627,"Reviewed N/A")&gt;0,I627=""),"Add N/A reason; ","")&amp;IF(COUNT(C627:F627)=0,IF(COUNTIFS(C627:F627,"Reviewed N/A")=4,"No applicable dates recorded","Add dates"),IF(COUNT(C627:F627)+COUNTIFS(C627:F627,"Reviewed N/A")&lt;4,"Missing dates; ","")&amp;IF(MIN(C627:F627)&lt;TODAY(),"Overdue: ",IF(MIN(C627:F627)=TODAY(),"Due today: ",IF(MIN(C627:F627)&lt;=TODAY()+30,"Due within 30 days: ","Next: ")))&amp;INDEX($C$8:$F$8,1,MATCH(MIN(C627:F627),C627:F627,0))&amp;" "&amp;TEXT(MIN(C627:F627),"dd mmm yyyy")))))</x:f>
      </x:c>
      <x:c r="I627" s="52"/>
      <x:c r="J627" t="str">
        <x:f>IF(AND(A627&lt;&gt;"",COUNTIFS(C627,"&gt;=36526",C627,"&lt;"&amp;TODAY())+COUNTIFS(D627,"&gt;=36526",D627,"&lt;"&amp;TODAY())+COUNTIFS(E627,"&gt;=36526",E627,"&lt;"&amp;TODAY())+COUNTIFS(F627,"&gt;=36526",F627,"&lt;"&amp;TODAY())&gt;0),O627,"")</x:f>
      </x:c>
      <x:c r="K627" t="str">
        <x:f>IF(AND(A627&lt;&gt;"",COUNTIFS(C627,"&gt;=36526",C627,TODAY())+COUNTIFS(D627,"&gt;=36526",D627,TODAY())+COUNTIFS(E627,"&gt;=36526",E627,TODAY())+COUNTIFS(F627,"&gt;=36526",F627,TODAY())&gt;0),P627,"")</x:f>
      </x:c>
      <x:c r="L627" t="str">
        <x:f>IF(AND(A627&lt;&gt;"",COUNTIFS(C627,"&gt;"&amp;TODAY(),C627,"&lt;="&amp;TODAY()+30)+COUNTIFS(D627,"&gt;"&amp;TODAY(),D627,"&lt;="&amp;TODAY()+30)+COUNTIFS(E627,"&gt;"&amp;TODAY(),E627,"&lt;="&amp;TODAY()+30)+COUNTIFS(F627,"&gt;"&amp;TODAY(),F627,"&lt;="&amp;TODAY()+30)&gt;0),Q627,"")</x:f>
      </x:c>
      <x:c r="M627" t="str">
        <x:f>IF(OR(LEFT(H627,15)="Missing dates; ",LEFT(H627,16)="Add N/A reason; ",H627="Add dates",H627="Add registration",H627="Check date format"),R627,"")</x:f>
      </x:c>
      <x:c r="N627" t="str">
        <x:f>IF(COUNTIFS(C627:F627,"Reviewed N/A")&gt;0,S627,"")</x:f>
      </x:c>
      <x:c r="O627" t="n">
        <x:f>O626+IF(AND(A627&lt;&gt;"",COUNTIFS(C627,"&gt;=36526",C627,"&lt;"&amp;TODAY())+COUNTIFS(D627,"&gt;=36526",D627,"&lt;"&amp;TODAY())+COUNTIFS(E627,"&gt;=36526",E627,"&lt;"&amp;TODAY())+COUNTIFS(F627,"&gt;=36526",F627,"&lt;"&amp;TODAY())&gt;0),1,0)</x:f>
        <x:v>0</x:v>
      </x:c>
      <x:c r="P627" t="n">
        <x:f>P626+IF(AND(A627&lt;&gt;"",COUNTIFS(C627,"&gt;=36526",C627,TODAY())+COUNTIFS(D627,"&gt;=36526",D627,TODAY())+COUNTIFS(E627,"&gt;=36526",E627,TODAY())+COUNTIFS(F627,"&gt;=36526",F627,TODAY())&gt;0),1,0)</x:f>
        <x:v>0</x:v>
      </x:c>
      <x:c r="Q627" t="n">
        <x:f>Q626+IF(AND(A627&lt;&gt;"",COUNTIFS(C627,"&gt;"&amp;TODAY(),C627,"&lt;="&amp;TODAY()+30)+COUNTIFS(D627,"&gt;"&amp;TODAY(),D627,"&lt;="&amp;TODAY()+30)+COUNTIFS(E627,"&gt;"&amp;TODAY(),E627,"&lt;="&amp;TODAY()+30)+COUNTIFS(F627,"&gt;"&amp;TODAY(),F627,"&lt;="&amp;TODAY()+30)&gt;0),1,0)</x:f>
        <x:v>0</x:v>
      </x:c>
      <x:c r="R627" t="n">
        <x:f>R626+IF(OR(LEFT(H627,15)="Missing dates; ",LEFT(H627,16)="Add N/A reason; ",H627="Add dates",H627="Add registration",H627="Check date format"),1,0)</x:f>
        <x:v>0</x:v>
      </x:c>
      <x:c r="S627" t="n">
        <x:f>S626+IF(COUNTIFS(C627:F627,"Reviewed N/A")&gt;0,1,0)</x:f>
        <x:v>0</x:v>
      </x:c>
    </x:row>
    <x:row r="628" ht="48" customHeight="1">
      <x:c r="A628" s="52"/>
      <x:c r="B628" s="52"/>
      <x:c r="C628" s="53"/>
      <x:c r="D628" s="53"/>
      <x:c r="E628" s="53"/>
      <x:c r="F628" s="53"/>
      <x:c r="G628" s="52"/>
      <x:c r="H628" s="21" t="str">
        <x:f>IF(COUNTA(A628:G628,I628)=0,"",IF(A628="","Add registration",IF(OR(COUNTA(C628:F628)&gt;COUNT(C628:F628)+COUNTIFS(C628:F628,"Reviewed N/A"),AND(COUNT(C628:F628)&gt;0,OR(MIN(C628:F628)&lt;36526,MAX(C628:F628)&gt;109574))),"Check date format",IF(AND(COUNTIFS(C628:F628,"Reviewed N/A")&gt;0,I628=""),"Add N/A reason; ","")&amp;IF(COUNT(C628:F628)=0,IF(COUNTIFS(C628:F628,"Reviewed N/A")=4,"No applicable dates recorded","Add dates"),IF(COUNT(C628:F628)+COUNTIFS(C628:F628,"Reviewed N/A")&lt;4,"Missing dates; ","")&amp;IF(MIN(C628:F628)&lt;TODAY(),"Overdue: ",IF(MIN(C628:F628)=TODAY(),"Due today: ",IF(MIN(C628:F628)&lt;=TODAY()+30,"Due within 30 days: ","Next: ")))&amp;INDEX($C$8:$F$8,1,MATCH(MIN(C628:F628),C628:F628,0))&amp;" "&amp;TEXT(MIN(C628:F628),"dd mmm yyyy")))))</x:f>
      </x:c>
      <x:c r="I628" s="52"/>
      <x:c r="J628" t="str">
        <x:f>IF(AND(A628&lt;&gt;"",COUNTIFS(C628,"&gt;=36526",C628,"&lt;"&amp;TODAY())+COUNTIFS(D628,"&gt;=36526",D628,"&lt;"&amp;TODAY())+COUNTIFS(E628,"&gt;=36526",E628,"&lt;"&amp;TODAY())+COUNTIFS(F628,"&gt;=36526",F628,"&lt;"&amp;TODAY())&gt;0),O628,"")</x:f>
      </x:c>
      <x:c r="K628" t="str">
        <x:f>IF(AND(A628&lt;&gt;"",COUNTIFS(C628,"&gt;=36526",C628,TODAY())+COUNTIFS(D628,"&gt;=36526",D628,TODAY())+COUNTIFS(E628,"&gt;=36526",E628,TODAY())+COUNTIFS(F628,"&gt;=36526",F628,TODAY())&gt;0),P628,"")</x:f>
      </x:c>
      <x:c r="L628" t="str">
        <x:f>IF(AND(A628&lt;&gt;"",COUNTIFS(C628,"&gt;"&amp;TODAY(),C628,"&lt;="&amp;TODAY()+30)+COUNTIFS(D628,"&gt;"&amp;TODAY(),D628,"&lt;="&amp;TODAY()+30)+COUNTIFS(E628,"&gt;"&amp;TODAY(),E628,"&lt;="&amp;TODAY()+30)+COUNTIFS(F628,"&gt;"&amp;TODAY(),F628,"&lt;="&amp;TODAY()+30)&gt;0),Q628,"")</x:f>
      </x:c>
      <x:c r="M628" t="str">
        <x:f>IF(OR(LEFT(H628,15)="Missing dates; ",LEFT(H628,16)="Add N/A reason; ",H628="Add dates",H628="Add registration",H628="Check date format"),R628,"")</x:f>
      </x:c>
      <x:c r="N628" t="str">
        <x:f>IF(COUNTIFS(C628:F628,"Reviewed N/A")&gt;0,S628,"")</x:f>
      </x:c>
      <x:c r="O628" t="n">
        <x:f>O627+IF(AND(A628&lt;&gt;"",COUNTIFS(C628,"&gt;=36526",C628,"&lt;"&amp;TODAY())+COUNTIFS(D628,"&gt;=36526",D628,"&lt;"&amp;TODAY())+COUNTIFS(E628,"&gt;=36526",E628,"&lt;"&amp;TODAY())+COUNTIFS(F628,"&gt;=36526",F628,"&lt;"&amp;TODAY())&gt;0),1,0)</x:f>
        <x:v>0</x:v>
      </x:c>
      <x:c r="P628" t="n">
        <x:f>P627+IF(AND(A628&lt;&gt;"",COUNTIFS(C628,"&gt;=36526",C628,TODAY())+COUNTIFS(D628,"&gt;=36526",D628,TODAY())+COUNTIFS(E628,"&gt;=36526",E628,TODAY())+COUNTIFS(F628,"&gt;=36526",F628,TODAY())&gt;0),1,0)</x:f>
        <x:v>0</x:v>
      </x:c>
      <x:c r="Q628" t="n">
        <x:f>Q627+IF(AND(A628&lt;&gt;"",COUNTIFS(C628,"&gt;"&amp;TODAY(),C628,"&lt;="&amp;TODAY()+30)+COUNTIFS(D628,"&gt;"&amp;TODAY(),D628,"&lt;="&amp;TODAY()+30)+COUNTIFS(E628,"&gt;"&amp;TODAY(),E628,"&lt;="&amp;TODAY()+30)+COUNTIFS(F628,"&gt;"&amp;TODAY(),F628,"&lt;="&amp;TODAY()+30)&gt;0),1,0)</x:f>
        <x:v>0</x:v>
      </x:c>
      <x:c r="R628" t="n">
        <x:f>R627+IF(OR(LEFT(H628,15)="Missing dates; ",LEFT(H628,16)="Add N/A reason; ",H628="Add dates",H628="Add registration",H628="Check date format"),1,0)</x:f>
        <x:v>0</x:v>
      </x:c>
      <x:c r="S628" t="n">
        <x:f>S627+IF(COUNTIFS(C628:F628,"Reviewed N/A")&gt;0,1,0)</x:f>
        <x:v>0</x:v>
      </x:c>
    </x:row>
    <x:row r="629" ht="48" customHeight="1">
      <x:c r="A629" s="52"/>
      <x:c r="B629" s="52"/>
      <x:c r="C629" s="53"/>
      <x:c r="D629" s="53"/>
      <x:c r="E629" s="53"/>
      <x:c r="F629" s="53"/>
      <x:c r="G629" s="52"/>
      <x:c r="H629" s="21" t="str">
        <x:f>IF(COUNTA(A629:G629,I629)=0,"",IF(A629="","Add registration",IF(OR(COUNTA(C629:F629)&gt;COUNT(C629:F629)+COUNTIFS(C629:F629,"Reviewed N/A"),AND(COUNT(C629:F629)&gt;0,OR(MIN(C629:F629)&lt;36526,MAX(C629:F629)&gt;109574))),"Check date format",IF(AND(COUNTIFS(C629:F629,"Reviewed N/A")&gt;0,I629=""),"Add N/A reason; ","")&amp;IF(COUNT(C629:F629)=0,IF(COUNTIFS(C629:F629,"Reviewed N/A")=4,"No applicable dates recorded","Add dates"),IF(COUNT(C629:F629)+COUNTIFS(C629:F629,"Reviewed N/A")&lt;4,"Missing dates; ","")&amp;IF(MIN(C629:F629)&lt;TODAY(),"Overdue: ",IF(MIN(C629:F629)=TODAY(),"Due today: ",IF(MIN(C629:F629)&lt;=TODAY()+30,"Due within 30 days: ","Next: ")))&amp;INDEX($C$8:$F$8,1,MATCH(MIN(C629:F629),C629:F629,0))&amp;" "&amp;TEXT(MIN(C629:F629),"dd mmm yyyy")))))</x:f>
      </x:c>
      <x:c r="I629" s="52"/>
      <x:c r="J629" t="str">
        <x:f>IF(AND(A629&lt;&gt;"",COUNTIFS(C629,"&gt;=36526",C629,"&lt;"&amp;TODAY())+COUNTIFS(D629,"&gt;=36526",D629,"&lt;"&amp;TODAY())+COUNTIFS(E629,"&gt;=36526",E629,"&lt;"&amp;TODAY())+COUNTIFS(F629,"&gt;=36526",F629,"&lt;"&amp;TODAY())&gt;0),O629,"")</x:f>
      </x:c>
      <x:c r="K629" t="str">
        <x:f>IF(AND(A629&lt;&gt;"",COUNTIFS(C629,"&gt;=36526",C629,TODAY())+COUNTIFS(D629,"&gt;=36526",D629,TODAY())+COUNTIFS(E629,"&gt;=36526",E629,TODAY())+COUNTIFS(F629,"&gt;=36526",F629,TODAY())&gt;0),P629,"")</x:f>
      </x:c>
      <x:c r="L629" t="str">
        <x:f>IF(AND(A629&lt;&gt;"",COUNTIFS(C629,"&gt;"&amp;TODAY(),C629,"&lt;="&amp;TODAY()+30)+COUNTIFS(D629,"&gt;"&amp;TODAY(),D629,"&lt;="&amp;TODAY()+30)+COUNTIFS(E629,"&gt;"&amp;TODAY(),E629,"&lt;="&amp;TODAY()+30)+COUNTIFS(F629,"&gt;"&amp;TODAY(),F629,"&lt;="&amp;TODAY()+30)&gt;0),Q629,"")</x:f>
      </x:c>
      <x:c r="M629" t="str">
        <x:f>IF(OR(LEFT(H629,15)="Missing dates; ",LEFT(H629,16)="Add N/A reason; ",H629="Add dates",H629="Add registration",H629="Check date format"),R629,"")</x:f>
      </x:c>
      <x:c r="N629" t="str">
        <x:f>IF(COUNTIFS(C629:F629,"Reviewed N/A")&gt;0,S629,"")</x:f>
      </x:c>
      <x:c r="O629" t="n">
        <x:f>O628+IF(AND(A629&lt;&gt;"",COUNTIFS(C629,"&gt;=36526",C629,"&lt;"&amp;TODAY())+COUNTIFS(D629,"&gt;=36526",D629,"&lt;"&amp;TODAY())+COUNTIFS(E629,"&gt;=36526",E629,"&lt;"&amp;TODAY())+COUNTIFS(F629,"&gt;=36526",F629,"&lt;"&amp;TODAY())&gt;0),1,0)</x:f>
        <x:v>0</x:v>
      </x:c>
      <x:c r="P629" t="n">
        <x:f>P628+IF(AND(A629&lt;&gt;"",COUNTIFS(C629,"&gt;=36526",C629,TODAY())+COUNTIFS(D629,"&gt;=36526",D629,TODAY())+COUNTIFS(E629,"&gt;=36526",E629,TODAY())+COUNTIFS(F629,"&gt;=36526",F629,TODAY())&gt;0),1,0)</x:f>
        <x:v>0</x:v>
      </x:c>
      <x:c r="Q629" t="n">
        <x:f>Q628+IF(AND(A629&lt;&gt;"",COUNTIFS(C629,"&gt;"&amp;TODAY(),C629,"&lt;="&amp;TODAY()+30)+COUNTIFS(D629,"&gt;"&amp;TODAY(),D629,"&lt;="&amp;TODAY()+30)+COUNTIFS(E629,"&gt;"&amp;TODAY(),E629,"&lt;="&amp;TODAY()+30)+COUNTIFS(F629,"&gt;"&amp;TODAY(),F629,"&lt;="&amp;TODAY()+30)&gt;0),1,0)</x:f>
        <x:v>0</x:v>
      </x:c>
      <x:c r="R629" t="n">
        <x:f>R628+IF(OR(LEFT(H629,15)="Missing dates; ",LEFT(H629,16)="Add N/A reason; ",H629="Add dates",H629="Add registration",H629="Check date format"),1,0)</x:f>
        <x:v>0</x:v>
      </x:c>
      <x:c r="S629" t="n">
        <x:f>S628+IF(COUNTIFS(C629:F629,"Reviewed N/A")&gt;0,1,0)</x:f>
        <x:v>0</x:v>
      </x:c>
    </x:row>
    <x:row r="630" ht="48" customHeight="1">
      <x:c r="A630" s="52"/>
      <x:c r="B630" s="52"/>
      <x:c r="C630" s="53"/>
      <x:c r="D630" s="53"/>
      <x:c r="E630" s="53"/>
      <x:c r="F630" s="53"/>
      <x:c r="G630" s="52"/>
      <x:c r="H630" s="21" t="str">
        <x:f>IF(COUNTA(A630:G630,I630)=0,"",IF(A630="","Add registration",IF(OR(COUNTA(C630:F630)&gt;COUNT(C630:F630)+COUNTIFS(C630:F630,"Reviewed N/A"),AND(COUNT(C630:F630)&gt;0,OR(MIN(C630:F630)&lt;36526,MAX(C630:F630)&gt;109574))),"Check date format",IF(AND(COUNTIFS(C630:F630,"Reviewed N/A")&gt;0,I630=""),"Add N/A reason; ","")&amp;IF(COUNT(C630:F630)=0,IF(COUNTIFS(C630:F630,"Reviewed N/A")=4,"No applicable dates recorded","Add dates"),IF(COUNT(C630:F630)+COUNTIFS(C630:F630,"Reviewed N/A")&lt;4,"Missing dates; ","")&amp;IF(MIN(C630:F630)&lt;TODAY(),"Overdue: ",IF(MIN(C630:F630)=TODAY(),"Due today: ",IF(MIN(C630:F630)&lt;=TODAY()+30,"Due within 30 days: ","Next: ")))&amp;INDEX($C$8:$F$8,1,MATCH(MIN(C630:F630),C630:F630,0))&amp;" "&amp;TEXT(MIN(C630:F630),"dd mmm yyyy")))))</x:f>
      </x:c>
      <x:c r="I630" s="52"/>
      <x:c r="J630" t="str">
        <x:f>IF(AND(A630&lt;&gt;"",COUNTIFS(C630,"&gt;=36526",C630,"&lt;"&amp;TODAY())+COUNTIFS(D630,"&gt;=36526",D630,"&lt;"&amp;TODAY())+COUNTIFS(E630,"&gt;=36526",E630,"&lt;"&amp;TODAY())+COUNTIFS(F630,"&gt;=36526",F630,"&lt;"&amp;TODAY())&gt;0),O630,"")</x:f>
      </x:c>
      <x:c r="K630" t="str">
        <x:f>IF(AND(A630&lt;&gt;"",COUNTIFS(C630,"&gt;=36526",C630,TODAY())+COUNTIFS(D630,"&gt;=36526",D630,TODAY())+COUNTIFS(E630,"&gt;=36526",E630,TODAY())+COUNTIFS(F630,"&gt;=36526",F630,TODAY())&gt;0),P630,"")</x:f>
      </x:c>
      <x:c r="L630" t="str">
        <x:f>IF(AND(A630&lt;&gt;"",COUNTIFS(C630,"&gt;"&amp;TODAY(),C630,"&lt;="&amp;TODAY()+30)+COUNTIFS(D630,"&gt;"&amp;TODAY(),D630,"&lt;="&amp;TODAY()+30)+COUNTIFS(E630,"&gt;"&amp;TODAY(),E630,"&lt;="&amp;TODAY()+30)+COUNTIFS(F630,"&gt;"&amp;TODAY(),F630,"&lt;="&amp;TODAY()+30)&gt;0),Q630,"")</x:f>
      </x:c>
      <x:c r="M630" t="str">
        <x:f>IF(OR(LEFT(H630,15)="Missing dates; ",LEFT(H630,16)="Add N/A reason; ",H630="Add dates",H630="Add registration",H630="Check date format"),R630,"")</x:f>
      </x:c>
      <x:c r="N630" t="str">
        <x:f>IF(COUNTIFS(C630:F630,"Reviewed N/A")&gt;0,S630,"")</x:f>
      </x:c>
      <x:c r="O630" t="n">
        <x:f>O629+IF(AND(A630&lt;&gt;"",COUNTIFS(C630,"&gt;=36526",C630,"&lt;"&amp;TODAY())+COUNTIFS(D630,"&gt;=36526",D630,"&lt;"&amp;TODAY())+COUNTIFS(E630,"&gt;=36526",E630,"&lt;"&amp;TODAY())+COUNTIFS(F630,"&gt;=36526",F630,"&lt;"&amp;TODAY())&gt;0),1,0)</x:f>
        <x:v>0</x:v>
      </x:c>
      <x:c r="P630" t="n">
        <x:f>P629+IF(AND(A630&lt;&gt;"",COUNTIFS(C630,"&gt;=36526",C630,TODAY())+COUNTIFS(D630,"&gt;=36526",D630,TODAY())+COUNTIFS(E630,"&gt;=36526",E630,TODAY())+COUNTIFS(F630,"&gt;=36526",F630,TODAY())&gt;0),1,0)</x:f>
        <x:v>0</x:v>
      </x:c>
      <x:c r="Q630" t="n">
        <x:f>Q629+IF(AND(A630&lt;&gt;"",COUNTIFS(C630,"&gt;"&amp;TODAY(),C630,"&lt;="&amp;TODAY()+30)+COUNTIFS(D630,"&gt;"&amp;TODAY(),D630,"&lt;="&amp;TODAY()+30)+COUNTIFS(E630,"&gt;"&amp;TODAY(),E630,"&lt;="&amp;TODAY()+30)+COUNTIFS(F630,"&gt;"&amp;TODAY(),F630,"&lt;="&amp;TODAY()+30)&gt;0),1,0)</x:f>
        <x:v>0</x:v>
      </x:c>
      <x:c r="R630" t="n">
        <x:f>R629+IF(OR(LEFT(H630,15)="Missing dates; ",LEFT(H630,16)="Add N/A reason; ",H630="Add dates",H630="Add registration",H630="Check date format"),1,0)</x:f>
        <x:v>0</x:v>
      </x:c>
      <x:c r="S630" t="n">
        <x:f>S629+IF(COUNTIFS(C630:F630,"Reviewed N/A")&gt;0,1,0)</x:f>
        <x:v>0</x:v>
      </x:c>
    </x:row>
    <x:row r="631" ht="48" customHeight="1">
      <x:c r="A631" s="52"/>
      <x:c r="B631" s="52"/>
      <x:c r="C631" s="53"/>
      <x:c r="D631" s="53"/>
      <x:c r="E631" s="53"/>
      <x:c r="F631" s="53"/>
      <x:c r="G631" s="52"/>
      <x:c r="H631" s="21" t="str">
        <x:f>IF(COUNTA(A631:G631,I631)=0,"",IF(A631="","Add registration",IF(OR(COUNTA(C631:F631)&gt;COUNT(C631:F631)+COUNTIFS(C631:F631,"Reviewed N/A"),AND(COUNT(C631:F631)&gt;0,OR(MIN(C631:F631)&lt;36526,MAX(C631:F631)&gt;109574))),"Check date format",IF(AND(COUNTIFS(C631:F631,"Reviewed N/A")&gt;0,I631=""),"Add N/A reason; ","")&amp;IF(COUNT(C631:F631)=0,IF(COUNTIFS(C631:F631,"Reviewed N/A")=4,"No applicable dates recorded","Add dates"),IF(COUNT(C631:F631)+COUNTIFS(C631:F631,"Reviewed N/A")&lt;4,"Missing dates; ","")&amp;IF(MIN(C631:F631)&lt;TODAY(),"Overdue: ",IF(MIN(C631:F631)=TODAY(),"Due today: ",IF(MIN(C631:F631)&lt;=TODAY()+30,"Due within 30 days: ","Next: ")))&amp;INDEX($C$8:$F$8,1,MATCH(MIN(C631:F631),C631:F631,0))&amp;" "&amp;TEXT(MIN(C631:F631),"dd mmm yyyy")))))</x:f>
      </x:c>
      <x:c r="I631" s="52"/>
      <x:c r="J631" t="str">
        <x:f>IF(AND(A631&lt;&gt;"",COUNTIFS(C631,"&gt;=36526",C631,"&lt;"&amp;TODAY())+COUNTIFS(D631,"&gt;=36526",D631,"&lt;"&amp;TODAY())+COUNTIFS(E631,"&gt;=36526",E631,"&lt;"&amp;TODAY())+COUNTIFS(F631,"&gt;=36526",F631,"&lt;"&amp;TODAY())&gt;0),O631,"")</x:f>
      </x:c>
      <x:c r="K631" t="str">
        <x:f>IF(AND(A631&lt;&gt;"",COUNTIFS(C631,"&gt;=36526",C631,TODAY())+COUNTIFS(D631,"&gt;=36526",D631,TODAY())+COUNTIFS(E631,"&gt;=36526",E631,TODAY())+COUNTIFS(F631,"&gt;=36526",F631,TODAY())&gt;0),P631,"")</x:f>
      </x:c>
      <x:c r="L631" t="str">
        <x:f>IF(AND(A631&lt;&gt;"",COUNTIFS(C631,"&gt;"&amp;TODAY(),C631,"&lt;="&amp;TODAY()+30)+COUNTIFS(D631,"&gt;"&amp;TODAY(),D631,"&lt;="&amp;TODAY()+30)+COUNTIFS(E631,"&gt;"&amp;TODAY(),E631,"&lt;="&amp;TODAY()+30)+COUNTIFS(F631,"&gt;"&amp;TODAY(),F631,"&lt;="&amp;TODAY()+30)&gt;0),Q631,"")</x:f>
      </x:c>
      <x:c r="M631" t="str">
        <x:f>IF(OR(LEFT(H631,15)="Missing dates; ",LEFT(H631,16)="Add N/A reason; ",H631="Add dates",H631="Add registration",H631="Check date format"),R631,"")</x:f>
      </x:c>
      <x:c r="N631" t="str">
        <x:f>IF(COUNTIFS(C631:F631,"Reviewed N/A")&gt;0,S631,"")</x:f>
      </x:c>
      <x:c r="O631" t="n">
        <x:f>O630+IF(AND(A631&lt;&gt;"",COUNTIFS(C631,"&gt;=36526",C631,"&lt;"&amp;TODAY())+COUNTIFS(D631,"&gt;=36526",D631,"&lt;"&amp;TODAY())+COUNTIFS(E631,"&gt;=36526",E631,"&lt;"&amp;TODAY())+COUNTIFS(F631,"&gt;=36526",F631,"&lt;"&amp;TODAY())&gt;0),1,0)</x:f>
        <x:v>0</x:v>
      </x:c>
      <x:c r="P631" t="n">
        <x:f>P630+IF(AND(A631&lt;&gt;"",COUNTIFS(C631,"&gt;=36526",C631,TODAY())+COUNTIFS(D631,"&gt;=36526",D631,TODAY())+COUNTIFS(E631,"&gt;=36526",E631,TODAY())+COUNTIFS(F631,"&gt;=36526",F631,TODAY())&gt;0),1,0)</x:f>
        <x:v>0</x:v>
      </x:c>
      <x:c r="Q631" t="n">
        <x:f>Q630+IF(AND(A631&lt;&gt;"",COUNTIFS(C631,"&gt;"&amp;TODAY(),C631,"&lt;="&amp;TODAY()+30)+COUNTIFS(D631,"&gt;"&amp;TODAY(),D631,"&lt;="&amp;TODAY()+30)+COUNTIFS(E631,"&gt;"&amp;TODAY(),E631,"&lt;="&amp;TODAY()+30)+COUNTIFS(F631,"&gt;"&amp;TODAY(),F631,"&lt;="&amp;TODAY()+30)&gt;0),1,0)</x:f>
        <x:v>0</x:v>
      </x:c>
      <x:c r="R631" t="n">
        <x:f>R630+IF(OR(LEFT(H631,15)="Missing dates; ",LEFT(H631,16)="Add N/A reason; ",H631="Add dates",H631="Add registration",H631="Check date format"),1,0)</x:f>
        <x:v>0</x:v>
      </x:c>
      <x:c r="S631" t="n">
        <x:f>S630+IF(COUNTIFS(C631:F631,"Reviewed N/A")&gt;0,1,0)</x:f>
        <x:v>0</x:v>
      </x:c>
    </x:row>
    <x:row r="632" ht="48" customHeight="1">
      <x:c r="A632" s="52"/>
      <x:c r="B632" s="52"/>
      <x:c r="C632" s="53"/>
      <x:c r="D632" s="53"/>
      <x:c r="E632" s="53"/>
      <x:c r="F632" s="53"/>
      <x:c r="G632" s="52"/>
      <x:c r="H632" s="21" t="str">
        <x:f>IF(COUNTA(A632:G632,I632)=0,"",IF(A632="","Add registration",IF(OR(COUNTA(C632:F632)&gt;COUNT(C632:F632)+COUNTIFS(C632:F632,"Reviewed N/A"),AND(COUNT(C632:F632)&gt;0,OR(MIN(C632:F632)&lt;36526,MAX(C632:F632)&gt;109574))),"Check date format",IF(AND(COUNTIFS(C632:F632,"Reviewed N/A")&gt;0,I632=""),"Add N/A reason; ","")&amp;IF(COUNT(C632:F632)=0,IF(COUNTIFS(C632:F632,"Reviewed N/A")=4,"No applicable dates recorded","Add dates"),IF(COUNT(C632:F632)+COUNTIFS(C632:F632,"Reviewed N/A")&lt;4,"Missing dates; ","")&amp;IF(MIN(C632:F632)&lt;TODAY(),"Overdue: ",IF(MIN(C632:F632)=TODAY(),"Due today: ",IF(MIN(C632:F632)&lt;=TODAY()+30,"Due within 30 days: ","Next: ")))&amp;INDEX($C$8:$F$8,1,MATCH(MIN(C632:F632),C632:F632,0))&amp;" "&amp;TEXT(MIN(C632:F632),"dd mmm yyyy")))))</x:f>
      </x:c>
      <x:c r="I632" s="52"/>
      <x:c r="J632" t="str">
        <x:f>IF(AND(A632&lt;&gt;"",COUNTIFS(C632,"&gt;=36526",C632,"&lt;"&amp;TODAY())+COUNTIFS(D632,"&gt;=36526",D632,"&lt;"&amp;TODAY())+COUNTIFS(E632,"&gt;=36526",E632,"&lt;"&amp;TODAY())+COUNTIFS(F632,"&gt;=36526",F632,"&lt;"&amp;TODAY())&gt;0),O632,"")</x:f>
      </x:c>
      <x:c r="K632" t="str">
        <x:f>IF(AND(A632&lt;&gt;"",COUNTIFS(C632,"&gt;=36526",C632,TODAY())+COUNTIFS(D632,"&gt;=36526",D632,TODAY())+COUNTIFS(E632,"&gt;=36526",E632,TODAY())+COUNTIFS(F632,"&gt;=36526",F632,TODAY())&gt;0),P632,"")</x:f>
      </x:c>
      <x:c r="L632" t="str">
        <x:f>IF(AND(A632&lt;&gt;"",COUNTIFS(C632,"&gt;"&amp;TODAY(),C632,"&lt;="&amp;TODAY()+30)+COUNTIFS(D632,"&gt;"&amp;TODAY(),D632,"&lt;="&amp;TODAY()+30)+COUNTIFS(E632,"&gt;"&amp;TODAY(),E632,"&lt;="&amp;TODAY()+30)+COUNTIFS(F632,"&gt;"&amp;TODAY(),F632,"&lt;="&amp;TODAY()+30)&gt;0),Q632,"")</x:f>
      </x:c>
      <x:c r="M632" t="str">
        <x:f>IF(OR(LEFT(H632,15)="Missing dates; ",LEFT(H632,16)="Add N/A reason; ",H632="Add dates",H632="Add registration",H632="Check date format"),R632,"")</x:f>
      </x:c>
      <x:c r="N632" t="str">
        <x:f>IF(COUNTIFS(C632:F632,"Reviewed N/A")&gt;0,S632,"")</x:f>
      </x:c>
      <x:c r="O632" t="n">
        <x:f>O631+IF(AND(A632&lt;&gt;"",COUNTIFS(C632,"&gt;=36526",C632,"&lt;"&amp;TODAY())+COUNTIFS(D632,"&gt;=36526",D632,"&lt;"&amp;TODAY())+COUNTIFS(E632,"&gt;=36526",E632,"&lt;"&amp;TODAY())+COUNTIFS(F632,"&gt;=36526",F632,"&lt;"&amp;TODAY())&gt;0),1,0)</x:f>
        <x:v>0</x:v>
      </x:c>
      <x:c r="P632" t="n">
        <x:f>P631+IF(AND(A632&lt;&gt;"",COUNTIFS(C632,"&gt;=36526",C632,TODAY())+COUNTIFS(D632,"&gt;=36526",D632,TODAY())+COUNTIFS(E632,"&gt;=36526",E632,TODAY())+COUNTIFS(F632,"&gt;=36526",F632,TODAY())&gt;0),1,0)</x:f>
        <x:v>0</x:v>
      </x:c>
      <x:c r="Q632" t="n">
        <x:f>Q631+IF(AND(A632&lt;&gt;"",COUNTIFS(C632,"&gt;"&amp;TODAY(),C632,"&lt;="&amp;TODAY()+30)+COUNTIFS(D632,"&gt;"&amp;TODAY(),D632,"&lt;="&amp;TODAY()+30)+COUNTIFS(E632,"&gt;"&amp;TODAY(),E632,"&lt;="&amp;TODAY()+30)+COUNTIFS(F632,"&gt;"&amp;TODAY(),F632,"&lt;="&amp;TODAY()+30)&gt;0),1,0)</x:f>
        <x:v>0</x:v>
      </x:c>
      <x:c r="R632" t="n">
        <x:f>R631+IF(OR(LEFT(H632,15)="Missing dates; ",LEFT(H632,16)="Add N/A reason; ",H632="Add dates",H632="Add registration",H632="Check date format"),1,0)</x:f>
        <x:v>0</x:v>
      </x:c>
      <x:c r="S632" t="n">
        <x:f>S631+IF(COUNTIFS(C632:F632,"Reviewed N/A")&gt;0,1,0)</x:f>
        <x:v>0</x:v>
      </x:c>
    </x:row>
    <x:row r="633" ht="48" customHeight="1">
      <x:c r="A633" s="52"/>
      <x:c r="B633" s="52"/>
      <x:c r="C633" s="53"/>
      <x:c r="D633" s="53"/>
      <x:c r="E633" s="53"/>
      <x:c r="F633" s="53"/>
      <x:c r="G633" s="52"/>
      <x:c r="H633" s="21" t="str">
        <x:f>IF(COUNTA(A633:G633,I633)=0,"",IF(A633="","Add registration",IF(OR(COUNTA(C633:F633)&gt;COUNT(C633:F633)+COUNTIFS(C633:F633,"Reviewed N/A"),AND(COUNT(C633:F633)&gt;0,OR(MIN(C633:F633)&lt;36526,MAX(C633:F633)&gt;109574))),"Check date format",IF(AND(COUNTIFS(C633:F633,"Reviewed N/A")&gt;0,I633=""),"Add N/A reason; ","")&amp;IF(COUNT(C633:F633)=0,IF(COUNTIFS(C633:F633,"Reviewed N/A")=4,"No applicable dates recorded","Add dates"),IF(COUNT(C633:F633)+COUNTIFS(C633:F633,"Reviewed N/A")&lt;4,"Missing dates; ","")&amp;IF(MIN(C633:F633)&lt;TODAY(),"Overdue: ",IF(MIN(C633:F633)=TODAY(),"Due today: ",IF(MIN(C633:F633)&lt;=TODAY()+30,"Due within 30 days: ","Next: ")))&amp;INDEX($C$8:$F$8,1,MATCH(MIN(C633:F633),C633:F633,0))&amp;" "&amp;TEXT(MIN(C633:F633),"dd mmm yyyy")))))</x:f>
      </x:c>
      <x:c r="I633" s="52"/>
      <x:c r="J633" t="str">
        <x:f>IF(AND(A633&lt;&gt;"",COUNTIFS(C633,"&gt;=36526",C633,"&lt;"&amp;TODAY())+COUNTIFS(D633,"&gt;=36526",D633,"&lt;"&amp;TODAY())+COUNTIFS(E633,"&gt;=36526",E633,"&lt;"&amp;TODAY())+COUNTIFS(F633,"&gt;=36526",F633,"&lt;"&amp;TODAY())&gt;0),O633,"")</x:f>
      </x:c>
      <x:c r="K633" t="str">
        <x:f>IF(AND(A633&lt;&gt;"",COUNTIFS(C633,"&gt;=36526",C633,TODAY())+COUNTIFS(D633,"&gt;=36526",D633,TODAY())+COUNTIFS(E633,"&gt;=36526",E633,TODAY())+COUNTIFS(F633,"&gt;=36526",F633,TODAY())&gt;0),P633,"")</x:f>
      </x:c>
      <x:c r="L633" t="str">
        <x:f>IF(AND(A633&lt;&gt;"",COUNTIFS(C633,"&gt;"&amp;TODAY(),C633,"&lt;="&amp;TODAY()+30)+COUNTIFS(D633,"&gt;"&amp;TODAY(),D633,"&lt;="&amp;TODAY()+30)+COUNTIFS(E633,"&gt;"&amp;TODAY(),E633,"&lt;="&amp;TODAY()+30)+COUNTIFS(F633,"&gt;"&amp;TODAY(),F633,"&lt;="&amp;TODAY()+30)&gt;0),Q633,"")</x:f>
      </x:c>
      <x:c r="M633" t="str">
        <x:f>IF(OR(LEFT(H633,15)="Missing dates; ",LEFT(H633,16)="Add N/A reason; ",H633="Add dates",H633="Add registration",H633="Check date format"),R633,"")</x:f>
      </x:c>
      <x:c r="N633" t="str">
        <x:f>IF(COUNTIFS(C633:F633,"Reviewed N/A")&gt;0,S633,"")</x:f>
      </x:c>
      <x:c r="O633" t="n">
        <x:f>O632+IF(AND(A633&lt;&gt;"",COUNTIFS(C633,"&gt;=36526",C633,"&lt;"&amp;TODAY())+COUNTIFS(D633,"&gt;=36526",D633,"&lt;"&amp;TODAY())+COUNTIFS(E633,"&gt;=36526",E633,"&lt;"&amp;TODAY())+COUNTIFS(F633,"&gt;=36526",F633,"&lt;"&amp;TODAY())&gt;0),1,0)</x:f>
        <x:v>0</x:v>
      </x:c>
      <x:c r="P633" t="n">
        <x:f>P632+IF(AND(A633&lt;&gt;"",COUNTIFS(C633,"&gt;=36526",C633,TODAY())+COUNTIFS(D633,"&gt;=36526",D633,TODAY())+COUNTIFS(E633,"&gt;=36526",E633,TODAY())+COUNTIFS(F633,"&gt;=36526",F633,TODAY())&gt;0),1,0)</x:f>
        <x:v>0</x:v>
      </x:c>
      <x:c r="Q633" t="n">
        <x:f>Q632+IF(AND(A633&lt;&gt;"",COUNTIFS(C633,"&gt;"&amp;TODAY(),C633,"&lt;="&amp;TODAY()+30)+COUNTIFS(D633,"&gt;"&amp;TODAY(),D633,"&lt;="&amp;TODAY()+30)+COUNTIFS(E633,"&gt;"&amp;TODAY(),E633,"&lt;="&amp;TODAY()+30)+COUNTIFS(F633,"&gt;"&amp;TODAY(),F633,"&lt;="&amp;TODAY()+30)&gt;0),1,0)</x:f>
        <x:v>0</x:v>
      </x:c>
      <x:c r="R633" t="n">
        <x:f>R632+IF(OR(LEFT(H633,15)="Missing dates; ",LEFT(H633,16)="Add N/A reason; ",H633="Add dates",H633="Add registration",H633="Check date format"),1,0)</x:f>
        <x:v>0</x:v>
      </x:c>
      <x:c r="S633" t="n">
        <x:f>S632+IF(COUNTIFS(C633:F633,"Reviewed N/A")&gt;0,1,0)</x:f>
        <x:v>0</x:v>
      </x:c>
    </x:row>
    <x:row r="634" ht="48" customHeight="1">
      <x:c r="A634" s="52"/>
      <x:c r="B634" s="52"/>
      <x:c r="C634" s="53"/>
      <x:c r="D634" s="53"/>
      <x:c r="E634" s="53"/>
      <x:c r="F634" s="53"/>
      <x:c r="G634" s="52"/>
      <x:c r="H634" s="21" t="str">
        <x:f>IF(COUNTA(A634:G634,I634)=0,"",IF(A634="","Add registration",IF(OR(COUNTA(C634:F634)&gt;COUNT(C634:F634)+COUNTIFS(C634:F634,"Reviewed N/A"),AND(COUNT(C634:F634)&gt;0,OR(MIN(C634:F634)&lt;36526,MAX(C634:F634)&gt;109574))),"Check date format",IF(AND(COUNTIFS(C634:F634,"Reviewed N/A")&gt;0,I634=""),"Add N/A reason; ","")&amp;IF(COUNT(C634:F634)=0,IF(COUNTIFS(C634:F634,"Reviewed N/A")=4,"No applicable dates recorded","Add dates"),IF(COUNT(C634:F634)+COUNTIFS(C634:F634,"Reviewed N/A")&lt;4,"Missing dates; ","")&amp;IF(MIN(C634:F634)&lt;TODAY(),"Overdue: ",IF(MIN(C634:F634)=TODAY(),"Due today: ",IF(MIN(C634:F634)&lt;=TODAY()+30,"Due within 30 days: ","Next: ")))&amp;INDEX($C$8:$F$8,1,MATCH(MIN(C634:F634),C634:F634,0))&amp;" "&amp;TEXT(MIN(C634:F634),"dd mmm yyyy")))))</x:f>
      </x:c>
      <x:c r="I634" s="52"/>
      <x:c r="J634" t="str">
        <x:f>IF(AND(A634&lt;&gt;"",COUNTIFS(C634,"&gt;=36526",C634,"&lt;"&amp;TODAY())+COUNTIFS(D634,"&gt;=36526",D634,"&lt;"&amp;TODAY())+COUNTIFS(E634,"&gt;=36526",E634,"&lt;"&amp;TODAY())+COUNTIFS(F634,"&gt;=36526",F634,"&lt;"&amp;TODAY())&gt;0),O634,"")</x:f>
      </x:c>
      <x:c r="K634" t="str">
        <x:f>IF(AND(A634&lt;&gt;"",COUNTIFS(C634,"&gt;=36526",C634,TODAY())+COUNTIFS(D634,"&gt;=36526",D634,TODAY())+COUNTIFS(E634,"&gt;=36526",E634,TODAY())+COUNTIFS(F634,"&gt;=36526",F634,TODAY())&gt;0),P634,"")</x:f>
      </x:c>
      <x:c r="L634" t="str">
        <x:f>IF(AND(A634&lt;&gt;"",COUNTIFS(C634,"&gt;"&amp;TODAY(),C634,"&lt;="&amp;TODAY()+30)+COUNTIFS(D634,"&gt;"&amp;TODAY(),D634,"&lt;="&amp;TODAY()+30)+COUNTIFS(E634,"&gt;"&amp;TODAY(),E634,"&lt;="&amp;TODAY()+30)+COUNTIFS(F634,"&gt;"&amp;TODAY(),F634,"&lt;="&amp;TODAY()+30)&gt;0),Q634,"")</x:f>
      </x:c>
      <x:c r="M634" t="str">
        <x:f>IF(OR(LEFT(H634,15)="Missing dates; ",LEFT(H634,16)="Add N/A reason; ",H634="Add dates",H634="Add registration",H634="Check date format"),R634,"")</x:f>
      </x:c>
      <x:c r="N634" t="str">
        <x:f>IF(COUNTIFS(C634:F634,"Reviewed N/A")&gt;0,S634,"")</x:f>
      </x:c>
      <x:c r="O634" t="n">
        <x:f>O633+IF(AND(A634&lt;&gt;"",COUNTIFS(C634,"&gt;=36526",C634,"&lt;"&amp;TODAY())+COUNTIFS(D634,"&gt;=36526",D634,"&lt;"&amp;TODAY())+COUNTIFS(E634,"&gt;=36526",E634,"&lt;"&amp;TODAY())+COUNTIFS(F634,"&gt;=36526",F634,"&lt;"&amp;TODAY())&gt;0),1,0)</x:f>
        <x:v>0</x:v>
      </x:c>
      <x:c r="P634" t="n">
        <x:f>P633+IF(AND(A634&lt;&gt;"",COUNTIFS(C634,"&gt;=36526",C634,TODAY())+COUNTIFS(D634,"&gt;=36526",D634,TODAY())+COUNTIFS(E634,"&gt;=36526",E634,TODAY())+COUNTIFS(F634,"&gt;=36526",F634,TODAY())&gt;0),1,0)</x:f>
        <x:v>0</x:v>
      </x:c>
      <x:c r="Q634" t="n">
        <x:f>Q633+IF(AND(A634&lt;&gt;"",COUNTIFS(C634,"&gt;"&amp;TODAY(),C634,"&lt;="&amp;TODAY()+30)+COUNTIFS(D634,"&gt;"&amp;TODAY(),D634,"&lt;="&amp;TODAY()+30)+COUNTIFS(E634,"&gt;"&amp;TODAY(),E634,"&lt;="&amp;TODAY()+30)+COUNTIFS(F634,"&gt;"&amp;TODAY(),F634,"&lt;="&amp;TODAY()+30)&gt;0),1,0)</x:f>
        <x:v>0</x:v>
      </x:c>
      <x:c r="R634" t="n">
        <x:f>R633+IF(OR(LEFT(H634,15)="Missing dates; ",LEFT(H634,16)="Add N/A reason; ",H634="Add dates",H634="Add registration",H634="Check date format"),1,0)</x:f>
        <x:v>0</x:v>
      </x:c>
      <x:c r="S634" t="n">
        <x:f>S633+IF(COUNTIFS(C634:F634,"Reviewed N/A")&gt;0,1,0)</x:f>
        <x:v>0</x:v>
      </x:c>
    </x:row>
    <x:row r="635" ht="48" customHeight="1">
      <x:c r="A635" s="52"/>
      <x:c r="B635" s="52"/>
      <x:c r="C635" s="53"/>
      <x:c r="D635" s="53"/>
      <x:c r="E635" s="53"/>
      <x:c r="F635" s="53"/>
      <x:c r="G635" s="52"/>
      <x:c r="H635" s="21" t="str">
        <x:f>IF(COUNTA(A635:G635,I635)=0,"",IF(A635="","Add registration",IF(OR(COUNTA(C635:F635)&gt;COUNT(C635:F635)+COUNTIFS(C635:F635,"Reviewed N/A"),AND(COUNT(C635:F635)&gt;0,OR(MIN(C635:F635)&lt;36526,MAX(C635:F635)&gt;109574))),"Check date format",IF(AND(COUNTIFS(C635:F635,"Reviewed N/A")&gt;0,I635=""),"Add N/A reason; ","")&amp;IF(COUNT(C635:F635)=0,IF(COUNTIFS(C635:F635,"Reviewed N/A")=4,"No applicable dates recorded","Add dates"),IF(COUNT(C635:F635)+COUNTIFS(C635:F635,"Reviewed N/A")&lt;4,"Missing dates; ","")&amp;IF(MIN(C635:F635)&lt;TODAY(),"Overdue: ",IF(MIN(C635:F635)=TODAY(),"Due today: ",IF(MIN(C635:F635)&lt;=TODAY()+30,"Due within 30 days: ","Next: ")))&amp;INDEX($C$8:$F$8,1,MATCH(MIN(C635:F635),C635:F635,0))&amp;" "&amp;TEXT(MIN(C635:F635),"dd mmm yyyy")))))</x:f>
      </x:c>
      <x:c r="I635" s="52"/>
      <x:c r="J635" t="str">
        <x:f>IF(AND(A635&lt;&gt;"",COUNTIFS(C635,"&gt;=36526",C635,"&lt;"&amp;TODAY())+COUNTIFS(D635,"&gt;=36526",D635,"&lt;"&amp;TODAY())+COUNTIFS(E635,"&gt;=36526",E635,"&lt;"&amp;TODAY())+COUNTIFS(F635,"&gt;=36526",F635,"&lt;"&amp;TODAY())&gt;0),O635,"")</x:f>
      </x:c>
      <x:c r="K635" t="str">
        <x:f>IF(AND(A635&lt;&gt;"",COUNTIFS(C635,"&gt;=36526",C635,TODAY())+COUNTIFS(D635,"&gt;=36526",D635,TODAY())+COUNTIFS(E635,"&gt;=36526",E635,TODAY())+COUNTIFS(F635,"&gt;=36526",F635,TODAY())&gt;0),P635,"")</x:f>
      </x:c>
      <x:c r="L635" t="str">
        <x:f>IF(AND(A635&lt;&gt;"",COUNTIFS(C635,"&gt;"&amp;TODAY(),C635,"&lt;="&amp;TODAY()+30)+COUNTIFS(D635,"&gt;"&amp;TODAY(),D635,"&lt;="&amp;TODAY()+30)+COUNTIFS(E635,"&gt;"&amp;TODAY(),E635,"&lt;="&amp;TODAY()+30)+COUNTIFS(F635,"&gt;"&amp;TODAY(),F635,"&lt;="&amp;TODAY()+30)&gt;0),Q635,"")</x:f>
      </x:c>
      <x:c r="M635" t="str">
        <x:f>IF(OR(LEFT(H635,15)="Missing dates; ",LEFT(H635,16)="Add N/A reason; ",H635="Add dates",H635="Add registration",H635="Check date format"),R635,"")</x:f>
      </x:c>
      <x:c r="N635" t="str">
        <x:f>IF(COUNTIFS(C635:F635,"Reviewed N/A")&gt;0,S635,"")</x:f>
      </x:c>
      <x:c r="O635" t="n">
        <x:f>O634+IF(AND(A635&lt;&gt;"",COUNTIFS(C635,"&gt;=36526",C635,"&lt;"&amp;TODAY())+COUNTIFS(D635,"&gt;=36526",D635,"&lt;"&amp;TODAY())+COUNTIFS(E635,"&gt;=36526",E635,"&lt;"&amp;TODAY())+COUNTIFS(F635,"&gt;=36526",F635,"&lt;"&amp;TODAY())&gt;0),1,0)</x:f>
        <x:v>0</x:v>
      </x:c>
      <x:c r="P635" t="n">
        <x:f>P634+IF(AND(A635&lt;&gt;"",COUNTIFS(C635,"&gt;=36526",C635,TODAY())+COUNTIFS(D635,"&gt;=36526",D635,TODAY())+COUNTIFS(E635,"&gt;=36526",E635,TODAY())+COUNTIFS(F635,"&gt;=36526",F635,TODAY())&gt;0),1,0)</x:f>
        <x:v>0</x:v>
      </x:c>
      <x:c r="Q635" t="n">
        <x:f>Q634+IF(AND(A635&lt;&gt;"",COUNTIFS(C635,"&gt;"&amp;TODAY(),C635,"&lt;="&amp;TODAY()+30)+COUNTIFS(D635,"&gt;"&amp;TODAY(),D635,"&lt;="&amp;TODAY()+30)+COUNTIFS(E635,"&gt;"&amp;TODAY(),E635,"&lt;="&amp;TODAY()+30)+COUNTIFS(F635,"&gt;"&amp;TODAY(),F635,"&lt;="&amp;TODAY()+30)&gt;0),1,0)</x:f>
        <x:v>0</x:v>
      </x:c>
      <x:c r="R635" t="n">
        <x:f>R634+IF(OR(LEFT(H635,15)="Missing dates; ",LEFT(H635,16)="Add N/A reason; ",H635="Add dates",H635="Add registration",H635="Check date format"),1,0)</x:f>
        <x:v>0</x:v>
      </x:c>
      <x:c r="S635" t="n">
        <x:f>S634+IF(COUNTIFS(C635:F635,"Reviewed N/A")&gt;0,1,0)</x:f>
        <x:v>0</x:v>
      </x:c>
    </x:row>
    <x:row r="636" ht="48" customHeight="1">
      <x:c r="A636" s="52"/>
      <x:c r="B636" s="52"/>
      <x:c r="C636" s="53"/>
      <x:c r="D636" s="53"/>
      <x:c r="E636" s="53"/>
      <x:c r="F636" s="53"/>
      <x:c r="G636" s="52"/>
      <x:c r="H636" s="21" t="str">
        <x:f>IF(COUNTA(A636:G636,I636)=0,"",IF(A636="","Add registration",IF(OR(COUNTA(C636:F636)&gt;COUNT(C636:F636)+COUNTIFS(C636:F636,"Reviewed N/A"),AND(COUNT(C636:F636)&gt;0,OR(MIN(C636:F636)&lt;36526,MAX(C636:F636)&gt;109574))),"Check date format",IF(AND(COUNTIFS(C636:F636,"Reviewed N/A")&gt;0,I636=""),"Add N/A reason; ","")&amp;IF(COUNT(C636:F636)=0,IF(COUNTIFS(C636:F636,"Reviewed N/A")=4,"No applicable dates recorded","Add dates"),IF(COUNT(C636:F636)+COUNTIFS(C636:F636,"Reviewed N/A")&lt;4,"Missing dates; ","")&amp;IF(MIN(C636:F636)&lt;TODAY(),"Overdue: ",IF(MIN(C636:F636)=TODAY(),"Due today: ",IF(MIN(C636:F636)&lt;=TODAY()+30,"Due within 30 days: ","Next: ")))&amp;INDEX($C$8:$F$8,1,MATCH(MIN(C636:F636),C636:F636,0))&amp;" "&amp;TEXT(MIN(C636:F636),"dd mmm yyyy")))))</x:f>
      </x:c>
      <x:c r="I636" s="52"/>
      <x:c r="J636" t="str">
        <x:f>IF(AND(A636&lt;&gt;"",COUNTIFS(C636,"&gt;=36526",C636,"&lt;"&amp;TODAY())+COUNTIFS(D636,"&gt;=36526",D636,"&lt;"&amp;TODAY())+COUNTIFS(E636,"&gt;=36526",E636,"&lt;"&amp;TODAY())+COUNTIFS(F636,"&gt;=36526",F636,"&lt;"&amp;TODAY())&gt;0),O636,"")</x:f>
      </x:c>
      <x:c r="K636" t="str">
        <x:f>IF(AND(A636&lt;&gt;"",COUNTIFS(C636,"&gt;=36526",C636,TODAY())+COUNTIFS(D636,"&gt;=36526",D636,TODAY())+COUNTIFS(E636,"&gt;=36526",E636,TODAY())+COUNTIFS(F636,"&gt;=36526",F636,TODAY())&gt;0),P636,"")</x:f>
      </x:c>
      <x:c r="L636" t="str">
        <x:f>IF(AND(A636&lt;&gt;"",COUNTIFS(C636,"&gt;"&amp;TODAY(),C636,"&lt;="&amp;TODAY()+30)+COUNTIFS(D636,"&gt;"&amp;TODAY(),D636,"&lt;="&amp;TODAY()+30)+COUNTIFS(E636,"&gt;"&amp;TODAY(),E636,"&lt;="&amp;TODAY()+30)+COUNTIFS(F636,"&gt;"&amp;TODAY(),F636,"&lt;="&amp;TODAY()+30)&gt;0),Q636,"")</x:f>
      </x:c>
      <x:c r="M636" t="str">
        <x:f>IF(OR(LEFT(H636,15)="Missing dates; ",LEFT(H636,16)="Add N/A reason; ",H636="Add dates",H636="Add registration",H636="Check date format"),R636,"")</x:f>
      </x:c>
      <x:c r="N636" t="str">
        <x:f>IF(COUNTIFS(C636:F636,"Reviewed N/A")&gt;0,S636,"")</x:f>
      </x:c>
      <x:c r="O636" t="n">
        <x:f>O635+IF(AND(A636&lt;&gt;"",COUNTIFS(C636,"&gt;=36526",C636,"&lt;"&amp;TODAY())+COUNTIFS(D636,"&gt;=36526",D636,"&lt;"&amp;TODAY())+COUNTIFS(E636,"&gt;=36526",E636,"&lt;"&amp;TODAY())+COUNTIFS(F636,"&gt;=36526",F636,"&lt;"&amp;TODAY())&gt;0),1,0)</x:f>
        <x:v>0</x:v>
      </x:c>
      <x:c r="P636" t="n">
        <x:f>P635+IF(AND(A636&lt;&gt;"",COUNTIFS(C636,"&gt;=36526",C636,TODAY())+COUNTIFS(D636,"&gt;=36526",D636,TODAY())+COUNTIFS(E636,"&gt;=36526",E636,TODAY())+COUNTIFS(F636,"&gt;=36526",F636,TODAY())&gt;0),1,0)</x:f>
        <x:v>0</x:v>
      </x:c>
      <x:c r="Q636" t="n">
        <x:f>Q635+IF(AND(A636&lt;&gt;"",COUNTIFS(C636,"&gt;"&amp;TODAY(),C636,"&lt;="&amp;TODAY()+30)+COUNTIFS(D636,"&gt;"&amp;TODAY(),D636,"&lt;="&amp;TODAY()+30)+COUNTIFS(E636,"&gt;"&amp;TODAY(),E636,"&lt;="&amp;TODAY()+30)+COUNTIFS(F636,"&gt;"&amp;TODAY(),F636,"&lt;="&amp;TODAY()+30)&gt;0),1,0)</x:f>
        <x:v>0</x:v>
      </x:c>
      <x:c r="R636" t="n">
        <x:f>R635+IF(OR(LEFT(H636,15)="Missing dates; ",LEFT(H636,16)="Add N/A reason; ",H636="Add dates",H636="Add registration",H636="Check date format"),1,0)</x:f>
        <x:v>0</x:v>
      </x:c>
      <x:c r="S636" t="n">
        <x:f>S635+IF(COUNTIFS(C636:F636,"Reviewed N/A")&gt;0,1,0)</x:f>
        <x:v>0</x:v>
      </x:c>
    </x:row>
    <x:row r="637" ht="48" customHeight="1">
      <x:c r="A637" s="52"/>
      <x:c r="B637" s="52"/>
      <x:c r="C637" s="53"/>
      <x:c r="D637" s="53"/>
      <x:c r="E637" s="53"/>
      <x:c r="F637" s="53"/>
      <x:c r="G637" s="52"/>
      <x:c r="H637" s="21" t="str">
        <x:f>IF(COUNTA(A637:G637,I637)=0,"",IF(A637="","Add registration",IF(OR(COUNTA(C637:F637)&gt;COUNT(C637:F637)+COUNTIFS(C637:F637,"Reviewed N/A"),AND(COUNT(C637:F637)&gt;0,OR(MIN(C637:F637)&lt;36526,MAX(C637:F637)&gt;109574))),"Check date format",IF(AND(COUNTIFS(C637:F637,"Reviewed N/A")&gt;0,I637=""),"Add N/A reason; ","")&amp;IF(COUNT(C637:F637)=0,IF(COUNTIFS(C637:F637,"Reviewed N/A")=4,"No applicable dates recorded","Add dates"),IF(COUNT(C637:F637)+COUNTIFS(C637:F637,"Reviewed N/A")&lt;4,"Missing dates; ","")&amp;IF(MIN(C637:F637)&lt;TODAY(),"Overdue: ",IF(MIN(C637:F637)=TODAY(),"Due today: ",IF(MIN(C637:F637)&lt;=TODAY()+30,"Due within 30 days: ","Next: ")))&amp;INDEX($C$8:$F$8,1,MATCH(MIN(C637:F637),C637:F637,0))&amp;" "&amp;TEXT(MIN(C637:F637),"dd mmm yyyy")))))</x:f>
      </x:c>
      <x:c r="I637" s="52"/>
      <x:c r="J637" t="str">
        <x:f>IF(AND(A637&lt;&gt;"",COUNTIFS(C637,"&gt;=36526",C637,"&lt;"&amp;TODAY())+COUNTIFS(D637,"&gt;=36526",D637,"&lt;"&amp;TODAY())+COUNTIFS(E637,"&gt;=36526",E637,"&lt;"&amp;TODAY())+COUNTIFS(F637,"&gt;=36526",F637,"&lt;"&amp;TODAY())&gt;0),O637,"")</x:f>
      </x:c>
      <x:c r="K637" t="str">
        <x:f>IF(AND(A637&lt;&gt;"",COUNTIFS(C637,"&gt;=36526",C637,TODAY())+COUNTIFS(D637,"&gt;=36526",D637,TODAY())+COUNTIFS(E637,"&gt;=36526",E637,TODAY())+COUNTIFS(F637,"&gt;=36526",F637,TODAY())&gt;0),P637,"")</x:f>
      </x:c>
      <x:c r="L637" t="str">
        <x:f>IF(AND(A637&lt;&gt;"",COUNTIFS(C637,"&gt;"&amp;TODAY(),C637,"&lt;="&amp;TODAY()+30)+COUNTIFS(D637,"&gt;"&amp;TODAY(),D637,"&lt;="&amp;TODAY()+30)+COUNTIFS(E637,"&gt;"&amp;TODAY(),E637,"&lt;="&amp;TODAY()+30)+COUNTIFS(F637,"&gt;"&amp;TODAY(),F637,"&lt;="&amp;TODAY()+30)&gt;0),Q637,"")</x:f>
      </x:c>
      <x:c r="M637" t="str">
        <x:f>IF(OR(LEFT(H637,15)="Missing dates; ",LEFT(H637,16)="Add N/A reason; ",H637="Add dates",H637="Add registration",H637="Check date format"),R637,"")</x:f>
      </x:c>
      <x:c r="N637" t="str">
        <x:f>IF(COUNTIFS(C637:F637,"Reviewed N/A")&gt;0,S637,"")</x:f>
      </x:c>
      <x:c r="O637" t="n">
        <x:f>O636+IF(AND(A637&lt;&gt;"",COUNTIFS(C637,"&gt;=36526",C637,"&lt;"&amp;TODAY())+COUNTIFS(D637,"&gt;=36526",D637,"&lt;"&amp;TODAY())+COUNTIFS(E637,"&gt;=36526",E637,"&lt;"&amp;TODAY())+COUNTIFS(F637,"&gt;=36526",F637,"&lt;"&amp;TODAY())&gt;0),1,0)</x:f>
        <x:v>0</x:v>
      </x:c>
      <x:c r="P637" t="n">
        <x:f>P636+IF(AND(A637&lt;&gt;"",COUNTIFS(C637,"&gt;=36526",C637,TODAY())+COUNTIFS(D637,"&gt;=36526",D637,TODAY())+COUNTIFS(E637,"&gt;=36526",E637,TODAY())+COUNTIFS(F637,"&gt;=36526",F637,TODAY())&gt;0),1,0)</x:f>
        <x:v>0</x:v>
      </x:c>
      <x:c r="Q637" t="n">
        <x:f>Q636+IF(AND(A637&lt;&gt;"",COUNTIFS(C637,"&gt;"&amp;TODAY(),C637,"&lt;="&amp;TODAY()+30)+COUNTIFS(D637,"&gt;"&amp;TODAY(),D637,"&lt;="&amp;TODAY()+30)+COUNTIFS(E637,"&gt;"&amp;TODAY(),E637,"&lt;="&amp;TODAY()+30)+COUNTIFS(F637,"&gt;"&amp;TODAY(),F637,"&lt;="&amp;TODAY()+30)&gt;0),1,0)</x:f>
        <x:v>0</x:v>
      </x:c>
      <x:c r="R637" t="n">
        <x:f>R636+IF(OR(LEFT(H637,15)="Missing dates; ",LEFT(H637,16)="Add N/A reason; ",H637="Add dates",H637="Add registration",H637="Check date format"),1,0)</x:f>
        <x:v>0</x:v>
      </x:c>
      <x:c r="S637" t="n">
        <x:f>S636+IF(COUNTIFS(C637:F637,"Reviewed N/A")&gt;0,1,0)</x:f>
        <x:v>0</x:v>
      </x:c>
    </x:row>
    <x:row r="638" ht="48" customHeight="1">
      <x:c r="A638" s="52"/>
      <x:c r="B638" s="52"/>
      <x:c r="C638" s="53"/>
      <x:c r="D638" s="53"/>
      <x:c r="E638" s="53"/>
      <x:c r="F638" s="53"/>
      <x:c r="G638" s="52"/>
      <x:c r="H638" s="21" t="str">
        <x:f>IF(COUNTA(A638:G638,I638)=0,"",IF(A638="","Add registration",IF(OR(COUNTA(C638:F638)&gt;COUNT(C638:F638)+COUNTIFS(C638:F638,"Reviewed N/A"),AND(COUNT(C638:F638)&gt;0,OR(MIN(C638:F638)&lt;36526,MAX(C638:F638)&gt;109574))),"Check date format",IF(AND(COUNTIFS(C638:F638,"Reviewed N/A")&gt;0,I638=""),"Add N/A reason; ","")&amp;IF(COUNT(C638:F638)=0,IF(COUNTIFS(C638:F638,"Reviewed N/A")=4,"No applicable dates recorded","Add dates"),IF(COUNT(C638:F638)+COUNTIFS(C638:F638,"Reviewed N/A")&lt;4,"Missing dates; ","")&amp;IF(MIN(C638:F638)&lt;TODAY(),"Overdue: ",IF(MIN(C638:F638)=TODAY(),"Due today: ",IF(MIN(C638:F638)&lt;=TODAY()+30,"Due within 30 days: ","Next: ")))&amp;INDEX($C$8:$F$8,1,MATCH(MIN(C638:F638),C638:F638,0))&amp;" "&amp;TEXT(MIN(C638:F638),"dd mmm yyyy")))))</x:f>
      </x:c>
      <x:c r="I638" s="52"/>
      <x:c r="J638" t="str">
        <x:f>IF(AND(A638&lt;&gt;"",COUNTIFS(C638,"&gt;=36526",C638,"&lt;"&amp;TODAY())+COUNTIFS(D638,"&gt;=36526",D638,"&lt;"&amp;TODAY())+COUNTIFS(E638,"&gt;=36526",E638,"&lt;"&amp;TODAY())+COUNTIFS(F638,"&gt;=36526",F638,"&lt;"&amp;TODAY())&gt;0),O638,"")</x:f>
      </x:c>
      <x:c r="K638" t="str">
        <x:f>IF(AND(A638&lt;&gt;"",COUNTIFS(C638,"&gt;=36526",C638,TODAY())+COUNTIFS(D638,"&gt;=36526",D638,TODAY())+COUNTIFS(E638,"&gt;=36526",E638,TODAY())+COUNTIFS(F638,"&gt;=36526",F638,TODAY())&gt;0),P638,"")</x:f>
      </x:c>
      <x:c r="L638" t="str">
        <x:f>IF(AND(A638&lt;&gt;"",COUNTIFS(C638,"&gt;"&amp;TODAY(),C638,"&lt;="&amp;TODAY()+30)+COUNTIFS(D638,"&gt;"&amp;TODAY(),D638,"&lt;="&amp;TODAY()+30)+COUNTIFS(E638,"&gt;"&amp;TODAY(),E638,"&lt;="&amp;TODAY()+30)+COUNTIFS(F638,"&gt;"&amp;TODAY(),F638,"&lt;="&amp;TODAY()+30)&gt;0),Q638,"")</x:f>
      </x:c>
      <x:c r="M638" t="str">
        <x:f>IF(OR(LEFT(H638,15)="Missing dates; ",LEFT(H638,16)="Add N/A reason; ",H638="Add dates",H638="Add registration",H638="Check date format"),R638,"")</x:f>
      </x:c>
      <x:c r="N638" t="str">
        <x:f>IF(COUNTIFS(C638:F638,"Reviewed N/A")&gt;0,S638,"")</x:f>
      </x:c>
      <x:c r="O638" t="n">
        <x:f>O637+IF(AND(A638&lt;&gt;"",COUNTIFS(C638,"&gt;=36526",C638,"&lt;"&amp;TODAY())+COUNTIFS(D638,"&gt;=36526",D638,"&lt;"&amp;TODAY())+COUNTIFS(E638,"&gt;=36526",E638,"&lt;"&amp;TODAY())+COUNTIFS(F638,"&gt;=36526",F638,"&lt;"&amp;TODAY())&gt;0),1,0)</x:f>
        <x:v>0</x:v>
      </x:c>
      <x:c r="P638" t="n">
        <x:f>P637+IF(AND(A638&lt;&gt;"",COUNTIFS(C638,"&gt;=36526",C638,TODAY())+COUNTIFS(D638,"&gt;=36526",D638,TODAY())+COUNTIFS(E638,"&gt;=36526",E638,TODAY())+COUNTIFS(F638,"&gt;=36526",F638,TODAY())&gt;0),1,0)</x:f>
        <x:v>0</x:v>
      </x:c>
      <x:c r="Q638" t="n">
        <x:f>Q637+IF(AND(A638&lt;&gt;"",COUNTIFS(C638,"&gt;"&amp;TODAY(),C638,"&lt;="&amp;TODAY()+30)+COUNTIFS(D638,"&gt;"&amp;TODAY(),D638,"&lt;="&amp;TODAY()+30)+COUNTIFS(E638,"&gt;"&amp;TODAY(),E638,"&lt;="&amp;TODAY()+30)+COUNTIFS(F638,"&gt;"&amp;TODAY(),F638,"&lt;="&amp;TODAY()+30)&gt;0),1,0)</x:f>
        <x:v>0</x:v>
      </x:c>
      <x:c r="R638" t="n">
        <x:f>R637+IF(OR(LEFT(H638,15)="Missing dates; ",LEFT(H638,16)="Add N/A reason; ",H638="Add dates",H638="Add registration",H638="Check date format"),1,0)</x:f>
        <x:v>0</x:v>
      </x:c>
      <x:c r="S638" t="n">
        <x:f>S637+IF(COUNTIFS(C638:F638,"Reviewed N/A")&gt;0,1,0)</x:f>
        <x:v>0</x:v>
      </x:c>
    </x:row>
    <x:row r="639" ht="48" customHeight="1">
      <x:c r="A639" s="52"/>
      <x:c r="B639" s="52"/>
      <x:c r="C639" s="53"/>
      <x:c r="D639" s="53"/>
      <x:c r="E639" s="53"/>
      <x:c r="F639" s="53"/>
      <x:c r="G639" s="52"/>
      <x:c r="H639" s="21" t="str">
        <x:f>IF(COUNTA(A639:G639,I639)=0,"",IF(A639="","Add registration",IF(OR(COUNTA(C639:F639)&gt;COUNT(C639:F639)+COUNTIFS(C639:F639,"Reviewed N/A"),AND(COUNT(C639:F639)&gt;0,OR(MIN(C639:F639)&lt;36526,MAX(C639:F639)&gt;109574))),"Check date format",IF(AND(COUNTIFS(C639:F639,"Reviewed N/A")&gt;0,I639=""),"Add N/A reason; ","")&amp;IF(COUNT(C639:F639)=0,IF(COUNTIFS(C639:F639,"Reviewed N/A")=4,"No applicable dates recorded","Add dates"),IF(COUNT(C639:F639)+COUNTIFS(C639:F639,"Reviewed N/A")&lt;4,"Missing dates; ","")&amp;IF(MIN(C639:F639)&lt;TODAY(),"Overdue: ",IF(MIN(C639:F639)=TODAY(),"Due today: ",IF(MIN(C639:F639)&lt;=TODAY()+30,"Due within 30 days: ","Next: ")))&amp;INDEX($C$8:$F$8,1,MATCH(MIN(C639:F639),C639:F639,0))&amp;" "&amp;TEXT(MIN(C639:F639),"dd mmm yyyy")))))</x:f>
      </x:c>
      <x:c r="I639" s="52"/>
      <x:c r="J639" t="str">
        <x:f>IF(AND(A639&lt;&gt;"",COUNTIFS(C639,"&gt;=36526",C639,"&lt;"&amp;TODAY())+COUNTIFS(D639,"&gt;=36526",D639,"&lt;"&amp;TODAY())+COUNTIFS(E639,"&gt;=36526",E639,"&lt;"&amp;TODAY())+COUNTIFS(F639,"&gt;=36526",F639,"&lt;"&amp;TODAY())&gt;0),O639,"")</x:f>
      </x:c>
      <x:c r="K639" t="str">
        <x:f>IF(AND(A639&lt;&gt;"",COUNTIFS(C639,"&gt;=36526",C639,TODAY())+COUNTIFS(D639,"&gt;=36526",D639,TODAY())+COUNTIFS(E639,"&gt;=36526",E639,TODAY())+COUNTIFS(F639,"&gt;=36526",F639,TODAY())&gt;0),P639,"")</x:f>
      </x:c>
      <x:c r="L639" t="str">
        <x:f>IF(AND(A639&lt;&gt;"",COUNTIFS(C639,"&gt;"&amp;TODAY(),C639,"&lt;="&amp;TODAY()+30)+COUNTIFS(D639,"&gt;"&amp;TODAY(),D639,"&lt;="&amp;TODAY()+30)+COUNTIFS(E639,"&gt;"&amp;TODAY(),E639,"&lt;="&amp;TODAY()+30)+COUNTIFS(F639,"&gt;"&amp;TODAY(),F639,"&lt;="&amp;TODAY()+30)&gt;0),Q639,"")</x:f>
      </x:c>
      <x:c r="M639" t="str">
        <x:f>IF(OR(LEFT(H639,15)="Missing dates; ",LEFT(H639,16)="Add N/A reason; ",H639="Add dates",H639="Add registration",H639="Check date format"),R639,"")</x:f>
      </x:c>
      <x:c r="N639" t="str">
        <x:f>IF(COUNTIFS(C639:F639,"Reviewed N/A")&gt;0,S639,"")</x:f>
      </x:c>
      <x:c r="O639" t="n">
        <x:f>O638+IF(AND(A639&lt;&gt;"",COUNTIFS(C639,"&gt;=36526",C639,"&lt;"&amp;TODAY())+COUNTIFS(D639,"&gt;=36526",D639,"&lt;"&amp;TODAY())+COUNTIFS(E639,"&gt;=36526",E639,"&lt;"&amp;TODAY())+COUNTIFS(F639,"&gt;=36526",F639,"&lt;"&amp;TODAY())&gt;0),1,0)</x:f>
        <x:v>0</x:v>
      </x:c>
      <x:c r="P639" t="n">
        <x:f>P638+IF(AND(A639&lt;&gt;"",COUNTIFS(C639,"&gt;=36526",C639,TODAY())+COUNTIFS(D639,"&gt;=36526",D639,TODAY())+COUNTIFS(E639,"&gt;=36526",E639,TODAY())+COUNTIFS(F639,"&gt;=36526",F639,TODAY())&gt;0),1,0)</x:f>
        <x:v>0</x:v>
      </x:c>
      <x:c r="Q639" t="n">
        <x:f>Q638+IF(AND(A639&lt;&gt;"",COUNTIFS(C639,"&gt;"&amp;TODAY(),C639,"&lt;="&amp;TODAY()+30)+COUNTIFS(D639,"&gt;"&amp;TODAY(),D639,"&lt;="&amp;TODAY()+30)+COUNTIFS(E639,"&gt;"&amp;TODAY(),E639,"&lt;="&amp;TODAY()+30)+COUNTIFS(F639,"&gt;"&amp;TODAY(),F639,"&lt;="&amp;TODAY()+30)&gt;0),1,0)</x:f>
        <x:v>0</x:v>
      </x:c>
      <x:c r="R639" t="n">
        <x:f>R638+IF(OR(LEFT(H639,15)="Missing dates; ",LEFT(H639,16)="Add N/A reason; ",H639="Add dates",H639="Add registration",H639="Check date format"),1,0)</x:f>
        <x:v>0</x:v>
      </x:c>
      <x:c r="S639" t="n">
        <x:f>S638+IF(COUNTIFS(C639:F639,"Reviewed N/A")&gt;0,1,0)</x:f>
        <x:v>0</x:v>
      </x:c>
    </x:row>
    <x:row r="640" ht="48" customHeight="1">
      <x:c r="A640" s="52"/>
      <x:c r="B640" s="52"/>
      <x:c r="C640" s="53"/>
      <x:c r="D640" s="53"/>
      <x:c r="E640" s="53"/>
      <x:c r="F640" s="53"/>
      <x:c r="G640" s="52"/>
      <x:c r="H640" s="21" t="str">
        <x:f>IF(COUNTA(A640:G640,I640)=0,"",IF(A640="","Add registration",IF(OR(COUNTA(C640:F640)&gt;COUNT(C640:F640)+COUNTIFS(C640:F640,"Reviewed N/A"),AND(COUNT(C640:F640)&gt;0,OR(MIN(C640:F640)&lt;36526,MAX(C640:F640)&gt;109574))),"Check date format",IF(AND(COUNTIFS(C640:F640,"Reviewed N/A")&gt;0,I640=""),"Add N/A reason; ","")&amp;IF(COUNT(C640:F640)=0,IF(COUNTIFS(C640:F640,"Reviewed N/A")=4,"No applicable dates recorded","Add dates"),IF(COUNT(C640:F640)+COUNTIFS(C640:F640,"Reviewed N/A")&lt;4,"Missing dates; ","")&amp;IF(MIN(C640:F640)&lt;TODAY(),"Overdue: ",IF(MIN(C640:F640)=TODAY(),"Due today: ",IF(MIN(C640:F640)&lt;=TODAY()+30,"Due within 30 days: ","Next: ")))&amp;INDEX($C$8:$F$8,1,MATCH(MIN(C640:F640),C640:F640,0))&amp;" "&amp;TEXT(MIN(C640:F640),"dd mmm yyyy")))))</x:f>
      </x:c>
      <x:c r="I640" s="52"/>
      <x:c r="J640" t="str">
        <x:f>IF(AND(A640&lt;&gt;"",COUNTIFS(C640,"&gt;=36526",C640,"&lt;"&amp;TODAY())+COUNTIFS(D640,"&gt;=36526",D640,"&lt;"&amp;TODAY())+COUNTIFS(E640,"&gt;=36526",E640,"&lt;"&amp;TODAY())+COUNTIFS(F640,"&gt;=36526",F640,"&lt;"&amp;TODAY())&gt;0),O640,"")</x:f>
      </x:c>
      <x:c r="K640" t="str">
        <x:f>IF(AND(A640&lt;&gt;"",COUNTIFS(C640,"&gt;=36526",C640,TODAY())+COUNTIFS(D640,"&gt;=36526",D640,TODAY())+COUNTIFS(E640,"&gt;=36526",E640,TODAY())+COUNTIFS(F640,"&gt;=36526",F640,TODAY())&gt;0),P640,"")</x:f>
      </x:c>
      <x:c r="L640" t="str">
        <x:f>IF(AND(A640&lt;&gt;"",COUNTIFS(C640,"&gt;"&amp;TODAY(),C640,"&lt;="&amp;TODAY()+30)+COUNTIFS(D640,"&gt;"&amp;TODAY(),D640,"&lt;="&amp;TODAY()+30)+COUNTIFS(E640,"&gt;"&amp;TODAY(),E640,"&lt;="&amp;TODAY()+30)+COUNTIFS(F640,"&gt;"&amp;TODAY(),F640,"&lt;="&amp;TODAY()+30)&gt;0),Q640,"")</x:f>
      </x:c>
      <x:c r="M640" t="str">
        <x:f>IF(OR(LEFT(H640,15)="Missing dates; ",LEFT(H640,16)="Add N/A reason; ",H640="Add dates",H640="Add registration",H640="Check date format"),R640,"")</x:f>
      </x:c>
      <x:c r="N640" t="str">
        <x:f>IF(COUNTIFS(C640:F640,"Reviewed N/A")&gt;0,S640,"")</x:f>
      </x:c>
      <x:c r="O640" t="n">
        <x:f>O639+IF(AND(A640&lt;&gt;"",COUNTIFS(C640,"&gt;=36526",C640,"&lt;"&amp;TODAY())+COUNTIFS(D640,"&gt;=36526",D640,"&lt;"&amp;TODAY())+COUNTIFS(E640,"&gt;=36526",E640,"&lt;"&amp;TODAY())+COUNTIFS(F640,"&gt;=36526",F640,"&lt;"&amp;TODAY())&gt;0),1,0)</x:f>
        <x:v>0</x:v>
      </x:c>
      <x:c r="P640" t="n">
        <x:f>P639+IF(AND(A640&lt;&gt;"",COUNTIFS(C640,"&gt;=36526",C640,TODAY())+COUNTIFS(D640,"&gt;=36526",D640,TODAY())+COUNTIFS(E640,"&gt;=36526",E640,TODAY())+COUNTIFS(F640,"&gt;=36526",F640,TODAY())&gt;0),1,0)</x:f>
        <x:v>0</x:v>
      </x:c>
      <x:c r="Q640" t="n">
        <x:f>Q639+IF(AND(A640&lt;&gt;"",COUNTIFS(C640,"&gt;"&amp;TODAY(),C640,"&lt;="&amp;TODAY()+30)+COUNTIFS(D640,"&gt;"&amp;TODAY(),D640,"&lt;="&amp;TODAY()+30)+COUNTIFS(E640,"&gt;"&amp;TODAY(),E640,"&lt;="&amp;TODAY()+30)+COUNTIFS(F640,"&gt;"&amp;TODAY(),F640,"&lt;="&amp;TODAY()+30)&gt;0),1,0)</x:f>
        <x:v>0</x:v>
      </x:c>
      <x:c r="R640" t="n">
        <x:f>R639+IF(OR(LEFT(H640,15)="Missing dates; ",LEFT(H640,16)="Add N/A reason; ",H640="Add dates",H640="Add registration",H640="Check date format"),1,0)</x:f>
        <x:v>0</x:v>
      </x:c>
      <x:c r="S640" t="n">
        <x:f>S639+IF(COUNTIFS(C640:F640,"Reviewed N/A")&gt;0,1,0)</x:f>
        <x:v>0</x:v>
      </x:c>
    </x:row>
    <x:row r="641" ht="48" customHeight="1">
      <x:c r="A641" s="52"/>
      <x:c r="B641" s="52"/>
      <x:c r="C641" s="53"/>
      <x:c r="D641" s="53"/>
      <x:c r="E641" s="53"/>
      <x:c r="F641" s="53"/>
      <x:c r="G641" s="52"/>
      <x:c r="H641" s="21" t="str">
        <x:f>IF(COUNTA(A641:G641,I641)=0,"",IF(A641="","Add registration",IF(OR(COUNTA(C641:F641)&gt;COUNT(C641:F641)+COUNTIFS(C641:F641,"Reviewed N/A"),AND(COUNT(C641:F641)&gt;0,OR(MIN(C641:F641)&lt;36526,MAX(C641:F641)&gt;109574))),"Check date format",IF(AND(COUNTIFS(C641:F641,"Reviewed N/A")&gt;0,I641=""),"Add N/A reason; ","")&amp;IF(COUNT(C641:F641)=0,IF(COUNTIFS(C641:F641,"Reviewed N/A")=4,"No applicable dates recorded","Add dates"),IF(COUNT(C641:F641)+COUNTIFS(C641:F641,"Reviewed N/A")&lt;4,"Missing dates; ","")&amp;IF(MIN(C641:F641)&lt;TODAY(),"Overdue: ",IF(MIN(C641:F641)=TODAY(),"Due today: ",IF(MIN(C641:F641)&lt;=TODAY()+30,"Due within 30 days: ","Next: ")))&amp;INDEX($C$8:$F$8,1,MATCH(MIN(C641:F641),C641:F641,0))&amp;" "&amp;TEXT(MIN(C641:F641),"dd mmm yyyy")))))</x:f>
      </x:c>
      <x:c r="I641" s="52"/>
      <x:c r="J641" t="str">
        <x:f>IF(AND(A641&lt;&gt;"",COUNTIFS(C641,"&gt;=36526",C641,"&lt;"&amp;TODAY())+COUNTIFS(D641,"&gt;=36526",D641,"&lt;"&amp;TODAY())+COUNTIFS(E641,"&gt;=36526",E641,"&lt;"&amp;TODAY())+COUNTIFS(F641,"&gt;=36526",F641,"&lt;"&amp;TODAY())&gt;0),O641,"")</x:f>
      </x:c>
      <x:c r="K641" t="str">
        <x:f>IF(AND(A641&lt;&gt;"",COUNTIFS(C641,"&gt;=36526",C641,TODAY())+COUNTIFS(D641,"&gt;=36526",D641,TODAY())+COUNTIFS(E641,"&gt;=36526",E641,TODAY())+COUNTIFS(F641,"&gt;=36526",F641,TODAY())&gt;0),P641,"")</x:f>
      </x:c>
      <x:c r="L641" t="str">
        <x:f>IF(AND(A641&lt;&gt;"",COUNTIFS(C641,"&gt;"&amp;TODAY(),C641,"&lt;="&amp;TODAY()+30)+COUNTIFS(D641,"&gt;"&amp;TODAY(),D641,"&lt;="&amp;TODAY()+30)+COUNTIFS(E641,"&gt;"&amp;TODAY(),E641,"&lt;="&amp;TODAY()+30)+COUNTIFS(F641,"&gt;"&amp;TODAY(),F641,"&lt;="&amp;TODAY()+30)&gt;0),Q641,"")</x:f>
      </x:c>
      <x:c r="M641" t="str">
        <x:f>IF(OR(LEFT(H641,15)="Missing dates; ",LEFT(H641,16)="Add N/A reason; ",H641="Add dates",H641="Add registration",H641="Check date format"),R641,"")</x:f>
      </x:c>
      <x:c r="N641" t="str">
        <x:f>IF(COUNTIFS(C641:F641,"Reviewed N/A")&gt;0,S641,"")</x:f>
      </x:c>
      <x:c r="O641" t="n">
        <x:f>O640+IF(AND(A641&lt;&gt;"",COUNTIFS(C641,"&gt;=36526",C641,"&lt;"&amp;TODAY())+COUNTIFS(D641,"&gt;=36526",D641,"&lt;"&amp;TODAY())+COUNTIFS(E641,"&gt;=36526",E641,"&lt;"&amp;TODAY())+COUNTIFS(F641,"&gt;=36526",F641,"&lt;"&amp;TODAY())&gt;0),1,0)</x:f>
        <x:v>0</x:v>
      </x:c>
      <x:c r="P641" t="n">
        <x:f>P640+IF(AND(A641&lt;&gt;"",COUNTIFS(C641,"&gt;=36526",C641,TODAY())+COUNTIFS(D641,"&gt;=36526",D641,TODAY())+COUNTIFS(E641,"&gt;=36526",E641,TODAY())+COUNTIFS(F641,"&gt;=36526",F641,TODAY())&gt;0),1,0)</x:f>
        <x:v>0</x:v>
      </x:c>
      <x:c r="Q641" t="n">
        <x:f>Q640+IF(AND(A641&lt;&gt;"",COUNTIFS(C641,"&gt;"&amp;TODAY(),C641,"&lt;="&amp;TODAY()+30)+COUNTIFS(D641,"&gt;"&amp;TODAY(),D641,"&lt;="&amp;TODAY()+30)+COUNTIFS(E641,"&gt;"&amp;TODAY(),E641,"&lt;="&amp;TODAY()+30)+COUNTIFS(F641,"&gt;"&amp;TODAY(),F641,"&lt;="&amp;TODAY()+30)&gt;0),1,0)</x:f>
        <x:v>0</x:v>
      </x:c>
      <x:c r="R641" t="n">
        <x:f>R640+IF(OR(LEFT(H641,15)="Missing dates; ",LEFT(H641,16)="Add N/A reason; ",H641="Add dates",H641="Add registration",H641="Check date format"),1,0)</x:f>
        <x:v>0</x:v>
      </x:c>
      <x:c r="S641" t="n">
        <x:f>S640+IF(COUNTIFS(C641:F641,"Reviewed N/A")&gt;0,1,0)</x:f>
        <x:v>0</x:v>
      </x:c>
    </x:row>
    <x:row r="642" ht="48" customHeight="1">
      <x:c r="A642" s="52"/>
      <x:c r="B642" s="52"/>
      <x:c r="C642" s="53"/>
      <x:c r="D642" s="53"/>
      <x:c r="E642" s="53"/>
      <x:c r="F642" s="53"/>
      <x:c r="G642" s="52"/>
      <x:c r="H642" s="21" t="str">
        <x:f>IF(COUNTA(A642:G642,I642)=0,"",IF(A642="","Add registration",IF(OR(COUNTA(C642:F642)&gt;COUNT(C642:F642)+COUNTIFS(C642:F642,"Reviewed N/A"),AND(COUNT(C642:F642)&gt;0,OR(MIN(C642:F642)&lt;36526,MAX(C642:F642)&gt;109574))),"Check date format",IF(AND(COUNTIFS(C642:F642,"Reviewed N/A")&gt;0,I642=""),"Add N/A reason; ","")&amp;IF(COUNT(C642:F642)=0,IF(COUNTIFS(C642:F642,"Reviewed N/A")=4,"No applicable dates recorded","Add dates"),IF(COUNT(C642:F642)+COUNTIFS(C642:F642,"Reviewed N/A")&lt;4,"Missing dates; ","")&amp;IF(MIN(C642:F642)&lt;TODAY(),"Overdue: ",IF(MIN(C642:F642)=TODAY(),"Due today: ",IF(MIN(C642:F642)&lt;=TODAY()+30,"Due within 30 days: ","Next: ")))&amp;INDEX($C$8:$F$8,1,MATCH(MIN(C642:F642),C642:F642,0))&amp;" "&amp;TEXT(MIN(C642:F642),"dd mmm yyyy")))))</x:f>
      </x:c>
      <x:c r="I642" s="52"/>
      <x:c r="J642" t="str">
        <x:f>IF(AND(A642&lt;&gt;"",COUNTIFS(C642,"&gt;=36526",C642,"&lt;"&amp;TODAY())+COUNTIFS(D642,"&gt;=36526",D642,"&lt;"&amp;TODAY())+COUNTIFS(E642,"&gt;=36526",E642,"&lt;"&amp;TODAY())+COUNTIFS(F642,"&gt;=36526",F642,"&lt;"&amp;TODAY())&gt;0),O642,"")</x:f>
      </x:c>
      <x:c r="K642" t="str">
        <x:f>IF(AND(A642&lt;&gt;"",COUNTIFS(C642,"&gt;=36526",C642,TODAY())+COUNTIFS(D642,"&gt;=36526",D642,TODAY())+COUNTIFS(E642,"&gt;=36526",E642,TODAY())+COUNTIFS(F642,"&gt;=36526",F642,TODAY())&gt;0),P642,"")</x:f>
      </x:c>
      <x:c r="L642" t="str">
        <x:f>IF(AND(A642&lt;&gt;"",COUNTIFS(C642,"&gt;"&amp;TODAY(),C642,"&lt;="&amp;TODAY()+30)+COUNTIFS(D642,"&gt;"&amp;TODAY(),D642,"&lt;="&amp;TODAY()+30)+COUNTIFS(E642,"&gt;"&amp;TODAY(),E642,"&lt;="&amp;TODAY()+30)+COUNTIFS(F642,"&gt;"&amp;TODAY(),F642,"&lt;="&amp;TODAY()+30)&gt;0),Q642,"")</x:f>
      </x:c>
      <x:c r="M642" t="str">
        <x:f>IF(OR(LEFT(H642,15)="Missing dates; ",LEFT(H642,16)="Add N/A reason; ",H642="Add dates",H642="Add registration",H642="Check date format"),R642,"")</x:f>
      </x:c>
      <x:c r="N642" t="str">
        <x:f>IF(COUNTIFS(C642:F642,"Reviewed N/A")&gt;0,S642,"")</x:f>
      </x:c>
      <x:c r="O642" t="n">
        <x:f>O641+IF(AND(A642&lt;&gt;"",COUNTIFS(C642,"&gt;=36526",C642,"&lt;"&amp;TODAY())+COUNTIFS(D642,"&gt;=36526",D642,"&lt;"&amp;TODAY())+COUNTIFS(E642,"&gt;=36526",E642,"&lt;"&amp;TODAY())+COUNTIFS(F642,"&gt;=36526",F642,"&lt;"&amp;TODAY())&gt;0),1,0)</x:f>
        <x:v>0</x:v>
      </x:c>
      <x:c r="P642" t="n">
        <x:f>P641+IF(AND(A642&lt;&gt;"",COUNTIFS(C642,"&gt;=36526",C642,TODAY())+COUNTIFS(D642,"&gt;=36526",D642,TODAY())+COUNTIFS(E642,"&gt;=36526",E642,TODAY())+COUNTIFS(F642,"&gt;=36526",F642,TODAY())&gt;0),1,0)</x:f>
        <x:v>0</x:v>
      </x:c>
      <x:c r="Q642" t="n">
        <x:f>Q641+IF(AND(A642&lt;&gt;"",COUNTIFS(C642,"&gt;"&amp;TODAY(),C642,"&lt;="&amp;TODAY()+30)+COUNTIFS(D642,"&gt;"&amp;TODAY(),D642,"&lt;="&amp;TODAY()+30)+COUNTIFS(E642,"&gt;"&amp;TODAY(),E642,"&lt;="&amp;TODAY()+30)+COUNTIFS(F642,"&gt;"&amp;TODAY(),F642,"&lt;="&amp;TODAY()+30)&gt;0),1,0)</x:f>
        <x:v>0</x:v>
      </x:c>
      <x:c r="R642" t="n">
        <x:f>R641+IF(OR(LEFT(H642,15)="Missing dates; ",LEFT(H642,16)="Add N/A reason; ",H642="Add dates",H642="Add registration",H642="Check date format"),1,0)</x:f>
        <x:v>0</x:v>
      </x:c>
      <x:c r="S642" t="n">
        <x:f>S641+IF(COUNTIFS(C642:F642,"Reviewed N/A")&gt;0,1,0)</x:f>
        <x:v>0</x:v>
      </x:c>
    </x:row>
    <x:row r="643" ht="48" customHeight="1">
      <x:c r="A643" s="52"/>
      <x:c r="B643" s="52"/>
      <x:c r="C643" s="53"/>
      <x:c r="D643" s="53"/>
      <x:c r="E643" s="53"/>
      <x:c r="F643" s="53"/>
      <x:c r="G643" s="52"/>
      <x:c r="H643" s="21" t="str">
        <x:f>IF(COUNTA(A643:G643,I643)=0,"",IF(A643="","Add registration",IF(OR(COUNTA(C643:F643)&gt;COUNT(C643:F643)+COUNTIFS(C643:F643,"Reviewed N/A"),AND(COUNT(C643:F643)&gt;0,OR(MIN(C643:F643)&lt;36526,MAX(C643:F643)&gt;109574))),"Check date format",IF(AND(COUNTIFS(C643:F643,"Reviewed N/A")&gt;0,I643=""),"Add N/A reason; ","")&amp;IF(COUNT(C643:F643)=0,IF(COUNTIFS(C643:F643,"Reviewed N/A")=4,"No applicable dates recorded","Add dates"),IF(COUNT(C643:F643)+COUNTIFS(C643:F643,"Reviewed N/A")&lt;4,"Missing dates; ","")&amp;IF(MIN(C643:F643)&lt;TODAY(),"Overdue: ",IF(MIN(C643:F643)=TODAY(),"Due today: ",IF(MIN(C643:F643)&lt;=TODAY()+30,"Due within 30 days: ","Next: ")))&amp;INDEX($C$8:$F$8,1,MATCH(MIN(C643:F643),C643:F643,0))&amp;" "&amp;TEXT(MIN(C643:F643),"dd mmm yyyy")))))</x:f>
      </x:c>
      <x:c r="I643" s="52"/>
      <x:c r="J643" t="str">
        <x:f>IF(AND(A643&lt;&gt;"",COUNTIFS(C643,"&gt;=36526",C643,"&lt;"&amp;TODAY())+COUNTIFS(D643,"&gt;=36526",D643,"&lt;"&amp;TODAY())+COUNTIFS(E643,"&gt;=36526",E643,"&lt;"&amp;TODAY())+COUNTIFS(F643,"&gt;=36526",F643,"&lt;"&amp;TODAY())&gt;0),O643,"")</x:f>
      </x:c>
      <x:c r="K643" t="str">
        <x:f>IF(AND(A643&lt;&gt;"",COUNTIFS(C643,"&gt;=36526",C643,TODAY())+COUNTIFS(D643,"&gt;=36526",D643,TODAY())+COUNTIFS(E643,"&gt;=36526",E643,TODAY())+COUNTIFS(F643,"&gt;=36526",F643,TODAY())&gt;0),P643,"")</x:f>
      </x:c>
      <x:c r="L643" t="str">
        <x:f>IF(AND(A643&lt;&gt;"",COUNTIFS(C643,"&gt;"&amp;TODAY(),C643,"&lt;="&amp;TODAY()+30)+COUNTIFS(D643,"&gt;"&amp;TODAY(),D643,"&lt;="&amp;TODAY()+30)+COUNTIFS(E643,"&gt;"&amp;TODAY(),E643,"&lt;="&amp;TODAY()+30)+COUNTIFS(F643,"&gt;"&amp;TODAY(),F643,"&lt;="&amp;TODAY()+30)&gt;0),Q643,"")</x:f>
      </x:c>
      <x:c r="M643" t="str">
        <x:f>IF(OR(LEFT(H643,15)="Missing dates; ",LEFT(H643,16)="Add N/A reason; ",H643="Add dates",H643="Add registration",H643="Check date format"),R643,"")</x:f>
      </x:c>
      <x:c r="N643" t="str">
        <x:f>IF(COUNTIFS(C643:F643,"Reviewed N/A")&gt;0,S643,"")</x:f>
      </x:c>
      <x:c r="O643" t="n">
        <x:f>O642+IF(AND(A643&lt;&gt;"",COUNTIFS(C643,"&gt;=36526",C643,"&lt;"&amp;TODAY())+COUNTIFS(D643,"&gt;=36526",D643,"&lt;"&amp;TODAY())+COUNTIFS(E643,"&gt;=36526",E643,"&lt;"&amp;TODAY())+COUNTIFS(F643,"&gt;=36526",F643,"&lt;"&amp;TODAY())&gt;0),1,0)</x:f>
        <x:v>0</x:v>
      </x:c>
      <x:c r="P643" t="n">
        <x:f>P642+IF(AND(A643&lt;&gt;"",COUNTIFS(C643,"&gt;=36526",C643,TODAY())+COUNTIFS(D643,"&gt;=36526",D643,TODAY())+COUNTIFS(E643,"&gt;=36526",E643,TODAY())+COUNTIFS(F643,"&gt;=36526",F643,TODAY())&gt;0),1,0)</x:f>
        <x:v>0</x:v>
      </x:c>
      <x:c r="Q643" t="n">
        <x:f>Q642+IF(AND(A643&lt;&gt;"",COUNTIFS(C643,"&gt;"&amp;TODAY(),C643,"&lt;="&amp;TODAY()+30)+COUNTIFS(D643,"&gt;"&amp;TODAY(),D643,"&lt;="&amp;TODAY()+30)+COUNTIFS(E643,"&gt;"&amp;TODAY(),E643,"&lt;="&amp;TODAY()+30)+COUNTIFS(F643,"&gt;"&amp;TODAY(),F643,"&lt;="&amp;TODAY()+30)&gt;0),1,0)</x:f>
        <x:v>0</x:v>
      </x:c>
      <x:c r="R643" t="n">
        <x:f>R642+IF(OR(LEFT(H643,15)="Missing dates; ",LEFT(H643,16)="Add N/A reason; ",H643="Add dates",H643="Add registration",H643="Check date format"),1,0)</x:f>
        <x:v>0</x:v>
      </x:c>
      <x:c r="S643" t="n">
        <x:f>S642+IF(COUNTIFS(C643:F643,"Reviewed N/A")&gt;0,1,0)</x:f>
        <x:v>0</x:v>
      </x:c>
    </x:row>
    <x:row r="644" ht="48" customHeight="1">
      <x:c r="A644" s="52"/>
      <x:c r="B644" s="52"/>
      <x:c r="C644" s="53"/>
      <x:c r="D644" s="53"/>
      <x:c r="E644" s="53"/>
      <x:c r="F644" s="53"/>
      <x:c r="G644" s="52"/>
      <x:c r="H644" s="21" t="str">
        <x:f>IF(COUNTA(A644:G644,I644)=0,"",IF(A644="","Add registration",IF(OR(COUNTA(C644:F644)&gt;COUNT(C644:F644)+COUNTIFS(C644:F644,"Reviewed N/A"),AND(COUNT(C644:F644)&gt;0,OR(MIN(C644:F644)&lt;36526,MAX(C644:F644)&gt;109574))),"Check date format",IF(AND(COUNTIFS(C644:F644,"Reviewed N/A")&gt;0,I644=""),"Add N/A reason; ","")&amp;IF(COUNT(C644:F644)=0,IF(COUNTIFS(C644:F644,"Reviewed N/A")=4,"No applicable dates recorded","Add dates"),IF(COUNT(C644:F644)+COUNTIFS(C644:F644,"Reviewed N/A")&lt;4,"Missing dates; ","")&amp;IF(MIN(C644:F644)&lt;TODAY(),"Overdue: ",IF(MIN(C644:F644)=TODAY(),"Due today: ",IF(MIN(C644:F644)&lt;=TODAY()+30,"Due within 30 days: ","Next: ")))&amp;INDEX($C$8:$F$8,1,MATCH(MIN(C644:F644),C644:F644,0))&amp;" "&amp;TEXT(MIN(C644:F644),"dd mmm yyyy")))))</x:f>
      </x:c>
      <x:c r="I644" s="52"/>
      <x:c r="J644" t="str">
        <x:f>IF(AND(A644&lt;&gt;"",COUNTIFS(C644,"&gt;=36526",C644,"&lt;"&amp;TODAY())+COUNTIFS(D644,"&gt;=36526",D644,"&lt;"&amp;TODAY())+COUNTIFS(E644,"&gt;=36526",E644,"&lt;"&amp;TODAY())+COUNTIFS(F644,"&gt;=36526",F644,"&lt;"&amp;TODAY())&gt;0),O644,"")</x:f>
      </x:c>
      <x:c r="K644" t="str">
        <x:f>IF(AND(A644&lt;&gt;"",COUNTIFS(C644,"&gt;=36526",C644,TODAY())+COUNTIFS(D644,"&gt;=36526",D644,TODAY())+COUNTIFS(E644,"&gt;=36526",E644,TODAY())+COUNTIFS(F644,"&gt;=36526",F644,TODAY())&gt;0),P644,"")</x:f>
      </x:c>
      <x:c r="L644" t="str">
        <x:f>IF(AND(A644&lt;&gt;"",COUNTIFS(C644,"&gt;"&amp;TODAY(),C644,"&lt;="&amp;TODAY()+30)+COUNTIFS(D644,"&gt;"&amp;TODAY(),D644,"&lt;="&amp;TODAY()+30)+COUNTIFS(E644,"&gt;"&amp;TODAY(),E644,"&lt;="&amp;TODAY()+30)+COUNTIFS(F644,"&gt;"&amp;TODAY(),F644,"&lt;="&amp;TODAY()+30)&gt;0),Q644,"")</x:f>
      </x:c>
      <x:c r="M644" t="str">
        <x:f>IF(OR(LEFT(H644,15)="Missing dates; ",LEFT(H644,16)="Add N/A reason; ",H644="Add dates",H644="Add registration",H644="Check date format"),R644,"")</x:f>
      </x:c>
      <x:c r="N644" t="str">
        <x:f>IF(COUNTIFS(C644:F644,"Reviewed N/A")&gt;0,S644,"")</x:f>
      </x:c>
      <x:c r="O644" t="n">
        <x:f>O643+IF(AND(A644&lt;&gt;"",COUNTIFS(C644,"&gt;=36526",C644,"&lt;"&amp;TODAY())+COUNTIFS(D644,"&gt;=36526",D644,"&lt;"&amp;TODAY())+COUNTIFS(E644,"&gt;=36526",E644,"&lt;"&amp;TODAY())+COUNTIFS(F644,"&gt;=36526",F644,"&lt;"&amp;TODAY())&gt;0),1,0)</x:f>
        <x:v>0</x:v>
      </x:c>
      <x:c r="P644" t="n">
        <x:f>P643+IF(AND(A644&lt;&gt;"",COUNTIFS(C644,"&gt;=36526",C644,TODAY())+COUNTIFS(D644,"&gt;=36526",D644,TODAY())+COUNTIFS(E644,"&gt;=36526",E644,TODAY())+COUNTIFS(F644,"&gt;=36526",F644,TODAY())&gt;0),1,0)</x:f>
        <x:v>0</x:v>
      </x:c>
      <x:c r="Q644" t="n">
        <x:f>Q643+IF(AND(A644&lt;&gt;"",COUNTIFS(C644,"&gt;"&amp;TODAY(),C644,"&lt;="&amp;TODAY()+30)+COUNTIFS(D644,"&gt;"&amp;TODAY(),D644,"&lt;="&amp;TODAY()+30)+COUNTIFS(E644,"&gt;"&amp;TODAY(),E644,"&lt;="&amp;TODAY()+30)+COUNTIFS(F644,"&gt;"&amp;TODAY(),F644,"&lt;="&amp;TODAY()+30)&gt;0),1,0)</x:f>
        <x:v>0</x:v>
      </x:c>
      <x:c r="R644" t="n">
        <x:f>R643+IF(OR(LEFT(H644,15)="Missing dates; ",LEFT(H644,16)="Add N/A reason; ",H644="Add dates",H644="Add registration",H644="Check date format"),1,0)</x:f>
        <x:v>0</x:v>
      </x:c>
      <x:c r="S644" t="n">
        <x:f>S643+IF(COUNTIFS(C644:F644,"Reviewed N/A")&gt;0,1,0)</x:f>
        <x:v>0</x:v>
      </x:c>
    </x:row>
    <x:row r="645" ht="48" customHeight="1">
      <x:c r="A645" s="52"/>
      <x:c r="B645" s="52"/>
      <x:c r="C645" s="53"/>
      <x:c r="D645" s="53"/>
      <x:c r="E645" s="53"/>
      <x:c r="F645" s="53"/>
      <x:c r="G645" s="52"/>
      <x:c r="H645" s="21" t="str">
        <x:f>IF(COUNTA(A645:G645,I645)=0,"",IF(A645="","Add registration",IF(OR(COUNTA(C645:F645)&gt;COUNT(C645:F645)+COUNTIFS(C645:F645,"Reviewed N/A"),AND(COUNT(C645:F645)&gt;0,OR(MIN(C645:F645)&lt;36526,MAX(C645:F645)&gt;109574))),"Check date format",IF(AND(COUNTIFS(C645:F645,"Reviewed N/A")&gt;0,I645=""),"Add N/A reason; ","")&amp;IF(COUNT(C645:F645)=0,IF(COUNTIFS(C645:F645,"Reviewed N/A")=4,"No applicable dates recorded","Add dates"),IF(COUNT(C645:F645)+COUNTIFS(C645:F645,"Reviewed N/A")&lt;4,"Missing dates; ","")&amp;IF(MIN(C645:F645)&lt;TODAY(),"Overdue: ",IF(MIN(C645:F645)=TODAY(),"Due today: ",IF(MIN(C645:F645)&lt;=TODAY()+30,"Due within 30 days: ","Next: ")))&amp;INDEX($C$8:$F$8,1,MATCH(MIN(C645:F645),C645:F645,0))&amp;" "&amp;TEXT(MIN(C645:F645),"dd mmm yyyy")))))</x:f>
      </x:c>
      <x:c r="I645" s="52"/>
      <x:c r="J645" t="str">
        <x:f>IF(AND(A645&lt;&gt;"",COUNTIFS(C645,"&gt;=36526",C645,"&lt;"&amp;TODAY())+COUNTIFS(D645,"&gt;=36526",D645,"&lt;"&amp;TODAY())+COUNTIFS(E645,"&gt;=36526",E645,"&lt;"&amp;TODAY())+COUNTIFS(F645,"&gt;=36526",F645,"&lt;"&amp;TODAY())&gt;0),O645,"")</x:f>
      </x:c>
      <x:c r="K645" t="str">
        <x:f>IF(AND(A645&lt;&gt;"",COUNTIFS(C645,"&gt;=36526",C645,TODAY())+COUNTIFS(D645,"&gt;=36526",D645,TODAY())+COUNTIFS(E645,"&gt;=36526",E645,TODAY())+COUNTIFS(F645,"&gt;=36526",F645,TODAY())&gt;0),P645,"")</x:f>
      </x:c>
      <x:c r="L645" t="str">
        <x:f>IF(AND(A645&lt;&gt;"",COUNTIFS(C645,"&gt;"&amp;TODAY(),C645,"&lt;="&amp;TODAY()+30)+COUNTIFS(D645,"&gt;"&amp;TODAY(),D645,"&lt;="&amp;TODAY()+30)+COUNTIFS(E645,"&gt;"&amp;TODAY(),E645,"&lt;="&amp;TODAY()+30)+COUNTIFS(F645,"&gt;"&amp;TODAY(),F645,"&lt;="&amp;TODAY()+30)&gt;0),Q645,"")</x:f>
      </x:c>
      <x:c r="M645" t="str">
        <x:f>IF(OR(LEFT(H645,15)="Missing dates; ",LEFT(H645,16)="Add N/A reason; ",H645="Add dates",H645="Add registration",H645="Check date format"),R645,"")</x:f>
      </x:c>
      <x:c r="N645" t="str">
        <x:f>IF(COUNTIFS(C645:F645,"Reviewed N/A")&gt;0,S645,"")</x:f>
      </x:c>
      <x:c r="O645" t="n">
        <x:f>O644+IF(AND(A645&lt;&gt;"",COUNTIFS(C645,"&gt;=36526",C645,"&lt;"&amp;TODAY())+COUNTIFS(D645,"&gt;=36526",D645,"&lt;"&amp;TODAY())+COUNTIFS(E645,"&gt;=36526",E645,"&lt;"&amp;TODAY())+COUNTIFS(F645,"&gt;=36526",F645,"&lt;"&amp;TODAY())&gt;0),1,0)</x:f>
        <x:v>0</x:v>
      </x:c>
      <x:c r="P645" t="n">
        <x:f>P644+IF(AND(A645&lt;&gt;"",COUNTIFS(C645,"&gt;=36526",C645,TODAY())+COUNTIFS(D645,"&gt;=36526",D645,TODAY())+COUNTIFS(E645,"&gt;=36526",E645,TODAY())+COUNTIFS(F645,"&gt;=36526",F645,TODAY())&gt;0),1,0)</x:f>
        <x:v>0</x:v>
      </x:c>
      <x:c r="Q645" t="n">
        <x:f>Q644+IF(AND(A645&lt;&gt;"",COUNTIFS(C645,"&gt;"&amp;TODAY(),C645,"&lt;="&amp;TODAY()+30)+COUNTIFS(D645,"&gt;"&amp;TODAY(),D645,"&lt;="&amp;TODAY()+30)+COUNTIFS(E645,"&gt;"&amp;TODAY(),E645,"&lt;="&amp;TODAY()+30)+COUNTIFS(F645,"&gt;"&amp;TODAY(),F645,"&lt;="&amp;TODAY()+30)&gt;0),1,0)</x:f>
        <x:v>0</x:v>
      </x:c>
      <x:c r="R645" t="n">
        <x:f>R644+IF(OR(LEFT(H645,15)="Missing dates; ",LEFT(H645,16)="Add N/A reason; ",H645="Add dates",H645="Add registration",H645="Check date format"),1,0)</x:f>
        <x:v>0</x:v>
      </x:c>
      <x:c r="S645" t="n">
        <x:f>S644+IF(COUNTIFS(C645:F645,"Reviewed N/A")&gt;0,1,0)</x:f>
        <x:v>0</x:v>
      </x:c>
    </x:row>
    <x:row r="646" ht="48" customHeight="1">
      <x:c r="A646" s="52"/>
      <x:c r="B646" s="52"/>
      <x:c r="C646" s="53"/>
      <x:c r="D646" s="53"/>
      <x:c r="E646" s="53"/>
      <x:c r="F646" s="53"/>
      <x:c r="G646" s="52"/>
      <x:c r="H646" s="21" t="str">
        <x:f>IF(COUNTA(A646:G646,I646)=0,"",IF(A646="","Add registration",IF(OR(COUNTA(C646:F646)&gt;COUNT(C646:F646)+COUNTIFS(C646:F646,"Reviewed N/A"),AND(COUNT(C646:F646)&gt;0,OR(MIN(C646:F646)&lt;36526,MAX(C646:F646)&gt;109574))),"Check date format",IF(AND(COUNTIFS(C646:F646,"Reviewed N/A")&gt;0,I646=""),"Add N/A reason; ","")&amp;IF(COUNT(C646:F646)=0,IF(COUNTIFS(C646:F646,"Reviewed N/A")=4,"No applicable dates recorded","Add dates"),IF(COUNT(C646:F646)+COUNTIFS(C646:F646,"Reviewed N/A")&lt;4,"Missing dates; ","")&amp;IF(MIN(C646:F646)&lt;TODAY(),"Overdue: ",IF(MIN(C646:F646)=TODAY(),"Due today: ",IF(MIN(C646:F646)&lt;=TODAY()+30,"Due within 30 days: ","Next: ")))&amp;INDEX($C$8:$F$8,1,MATCH(MIN(C646:F646),C646:F646,0))&amp;" "&amp;TEXT(MIN(C646:F646),"dd mmm yyyy")))))</x:f>
      </x:c>
      <x:c r="I646" s="52"/>
      <x:c r="J646" t="str">
        <x:f>IF(AND(A646&lt;&gt;"",COUNTIFS(C646,"&gt;=36526",C646,"&lt;"&amp;TODAY())+COUNTIFS(D646,"&gt;=36526",D646,"&lt;"&amp;TODAY())+COUNTIFS(E646,"&gt;=36526",E646,"&lt;"&amp;TODAY())+COUNTIFS(F646,"&gt;=36526",F646,"&lt;"&amp;TODAY())&gt;0),O646,"")</x:f>
      </x:c>
      <x:c r="K646" t="str">
        <x:f>IF(AND(A646&lt;&gt;"",COUNTIFS(C646,"&gt;=36526",C646,TODAY())+COUNTIFS(D646,"&gt;=36526",D646,TODAY())+COUNTIFS(E646,"&gt;=36526",E646,TODAY())+COUNTIFS(F646,"&gt;=36526",F646,TODAY())&gt;0),P646,"")</x:f>
      </x:c>
      <x:c r="L646" t="str">
        <x:f>IF(AND(A646&lt;&gt;"",COUNTIFS(C646,"&gt;"&amp;TODAY(),C646,"&lt;="&amp;TODAY()+30)+COUNTIFS(D646,"&gt;"&amp;TODAY(),D646,"&lt;="&amp;TODAY()+30)+COUNTIFS(E646,"&gt;"&amp;TODAY(),E646,"&lt;="&amp;TODAY()+30)+COUNTIFS(F646,"&gt;"&amp;TODAY(),F646,"&lt;="&amp;TODAY()+30)&gt;0),Q646,"")</x:f>
      </x:c>
      <x:c r="M646" t="str">
        <x:f>IF(OR(LEFT(H646,15)="Missing dates; ",LEFT(H646,16)="Add N/A reason; ",H646="Add dates",H646="Add registration",H646="Check date format"),R646,"")</x:f>
      </x:c>
      <x:c r="N646" t="str">
        <x:f>IF(COUNTIFS(C646:F646,"Reviewed N/A")&gt;0,S646,"")</x:f>
      </x:c>
      <x:c r="O646" t="n">
        <x:f>O645+IF(AND(A646&lt;&gt;"",COUNTIFS(C646,"&gt;=36526",C646,"&lt;"&amp;TODAY())+COUNTIFS(D646,"&gt;=36526",D646,"&lt;"&amp;TODAY())+COUNTIFS(E646,"&gt;=36526",E646,"&lt;"&amp;TODAY())+COUNTIFS(F646,"&gt;=36526",F646,"&lt;"&amp;TODAY())&gt;0),1,0)</x:f>
        <x:v>0</x:v>
      </x:c>
      <x:c r="P646" t="n">
        <x:f>P645+IF(AND(A646&lt;&gt;"",COUNTIFS(C646,"&gt;=36526",C646,TODAY())+COUNTIFS(D646,"&gt;=36526",D646,TODAY())+COUNTIFS(E646,"&gt;=36526",E646,TODAY())+COUNTIFS(F646,"&gt;=36526",F646,TODAY())&gt;0),1,0)</x:f>
        <x:v>0</x:v>
      </x:c>
      <x:c r="Q646" t="n">
        <x:f>Q645+IF(AND(A646&lt;&gt;"",COUNTIFS(C646,"&gt;"&amp;TODAY(),C646,"&lt;="&amp;TODAY()+30)+COUNTIFS(D646,"&gt;"&amp;TODAY(),D646,"&lt;="&amp;TODAY()+30)+COUNTIFS(E646,"&gt;"&amp;TODAY(),E646,"&lt;="&amp;TODAY()+30)+COUNTIFS(F646,"&gt;"&amp;TODAY(),F646,"&lt;="&amp;TODAY()+30)&gt;0),1,0)</x:f>
        <x:v>0</x:v>
      </x:c>
      <x:c r="R646" t="n">
        <x:f>R645+IF(OR(LEFT(H646,15)="Missing dates; ",LEFT(H646,16)="Add N/A reason; ",H646="Add dates",H646="Add registration",H646="Check date format"),1,0)</x:f>
        <x:v>0</x:v>
      </x:c>
      <x:c r="S646" t="n">
        <x:f>S645+IF(COUNTIFS(C646:F646,"Reviewed N/A")&gt;0,1,0)</x:f>
        <x:v>0</x:v>
      </x:c>
    </x:row>
    <x:row r="647" ht="48" customHeight="1">
      <x:c r="A647" s="52"/>
      <x:c r="B647" s="52"/>
      <x:c r="C647" s="53"/>
      <x:c r="D647" s="53"/>
      <x:c r="E647" s="53"/>
      <x:c r="F647" s="53"/>
      <x:c r="G647" s="52"/>
      <x:c r="H647" s="21" t="str">
        <x:f>IF(COUNTA(A647:G647,I647)=0,"",IF(A647="","Add registration",IF(OR(COUNTA(C647:F647)&gt;COUNT(C647:F647)+COUNTIFS(C647:F647,"Reviewed N/A"),AND(COUNT(C647:F647)&gt;0,OR(MIN(C647:F647)&lt;36526,MAX(C647:F647)&gt;109574))),"Check date format",IF(AND(COUNTIFS(C647:F647,"Reviewed N/A")&gt;0,I647=""),"Add N/A reason; ","")&amp;IF(COUNT(C647:F647)=0,IF(COUNTIFS(C647:F647,"Reviewed N/A")=4,"No applicable dates recorded","Add dates"),IF(COUNT(C647:F647)+COUNTIFS(C647:F647,"Reviewed N/A")&lt;4,"Missing dates; ","")&amp;IF(MIN(C647:F647)&lt;TODAY(),"Overdue: ",IF(MIN(C647:F647)=TODAY(),"Due today: ",IF(MIN(C647:F647)&lt;=TODAY()+30,"Due within 30 days: ","Next: ")))&amp;INDEX($C$8:$F$8,1,MATCH(MIN(C647:F647),C647:F647,0))&amp;" "&amp;TEXT(MIN(C647:F647),"dd mmm yyyy")))))</x:f>
      </x:c>
      <x:c r="I647" s="52"/>
      <x:c r="J647" t="str">
        <x:f>IF(AND(A647&lt;&gt;"",COUNTIFS(C647,"&gt;=36526",C647,"&lt;"&amp;TODAY())+COUNTIFS(D647,"&gt;=36526",D647,"&lt;"&amp;TODAY())+COUNTIFS(E647,"&gt;=36526",E647,"&lt;"&amp;TODAY())+COUNTIFS(F647,"&gt;=36526",F647,"&lt;"&amp;TODAY())&gt;0),O647,"")</x:f>
      </x:c>
      <x:c r="K647" t="str">
        <x:f>IF(AND(A647&lt;&gt;"",COUNTIFS(C647,"&gt;=36526",C647,TODAY())+COUNTIFS(D647,"&gt;=36526",D647,TODAY())+COUNTIFS(E647,"&gt;=36526",E647,TODAY())+COUNTIFS(F647,"&gt;=36526",F647,TODAY())&gt;0),P647,"")</x:f>
      </x:c>
      <x:c r="L647" t="str">
        <x:f>IF(AND(A647&lt;&gt;"",COUNTIFS(C647,"&gt;"&amp;TODAY(),C647,"&lt;="&amp;TODAY()+30)+COUNTIFS(D647,"&gt;"&amp;TODAY(),D647,"&lt;="&amp;TODAY()+30)+COUNTIFS(E647,"&gt;"&amp;TODAY(),E647,"&lt;="&amp;TODAY()+30)+COUNTIFS(F647,"&gt;"&amp;TODAY(),F647,"&lt;="&amp;TODAY()+30)&gt;0),Q647,"")</x:f>
      </x:c>
      <x:c r="M647" t="str">
        <x:f>IF(OR(LEFT(H647,15)="Missing dates; ",LEFT(H647,16)="Add N/A reason; ",H647="Add dates",H647="Add registration",H647="Check date format"),R647,"")</x:f>
      </x:c>
      <x:c r="N647" t="str">
        <x:f>IF(COUNTIFS(C647:F647,"Reviewed N/A")&gt;0,S647,"")</x:f>
      </x:c>
      <x:c r="O647" t="n">
        <x:f>O646+IF(AND(A647&lt;&gt;"",COUNTIFS(C647,"&gt;=36526",C647,"&lt;"&amp;TODAY())+COUNTIFS(D647,"&gt;=36526",D647,"&lt;"&amp;TODAY())+COUNTIFS(E647,"&gt;=36526",E647,"&lt;"&amp;TODAY())+COUNTIFS(F647,"&gt;=36526",F647,"&lt;"&amp;TODAY())&gt;0),1,0)</x:f>
        <x:v>0</x:v>
      </x:c>
      <x:c r="P647" t="n">
        <x:f>P646+IF(AND(A647&lt;&gt;"",COUNTIFS(C647,"&gt;=36526",C647,TODAY())+COUNTIFS(D647,"&gt;=36526",D647,TODAY())+COUNTIFS(E647,"&gt;=36526",E647,TODAY())+COUNTIFS(F647,"&gt;=36526",F647,TODAY())&gt;0),1,0)</x:f>
        <x:v>0</x:v>
      </x:c>
      <x:c r="Q647" t="n">
        <x:f>Q646+IF(AND(A647&lt;&gt;"",COUNTIFS(C647,"&gt;"&amp;TODAY(),C647,"&lt;="&amp;TODAY()+30)+COUNTIFS(D647,"&gt;"&amp;TODAY(),D647,"&lt;="&amp;TODAY()+30)+COUNTIFS(E647,"&gt;"&amp;TODAY(),E647,"&lt;="&amp;TODAY()+30)+COUNTIFS(F647,"&gt;"&amp;TODAY(),F647,"&lt;="&amp;TODAY()+30)&gt;0),1,0)</x:f>
        <x:v>0</x:v>
      </x:c>
      <x:c r="R647" t="n">
        <x:f>R646+IF(OR(LEFT(H647,15)="Missing dates; ",LEFT(H647,16)="Add N/A reason; ",H647="Add dates",H647="Add registration",H647="Check date format"),1,0)</x:f>
        <x:v>0</x:v>
      </x:c>
      <x:c r="S647" t="n">
        <x:f>S646+IF(COUNTIFS(C647:F647,"Reviewed N/A")&gt;0,1,0)</x:f>
        <x:v>0</x:v>
      </x:c>
    </x:row>
    <x:row r="648" ht="48" customHeight="1">
      <x:c r="A648" s="52"/>
      <x:c r="B648" s="52"/>
      <x:c r="C648" s="53"/>
      <x:c r="D648" s="53"/>
      <x:c r="E648" s="53"/>
      <x:c r="F648" s="53"/>
      <x:c r="G648" s="52"/>
      <x:c r="H648" s="21" t="str">
        <x:f>IF(COUNTA(A648:G648,I648)=0,"",IF(A648="","Add registration",IF(OR(COUNTA(C648:F648)&gt;COUNT(C648:F648)+COUNTIFS(C648:F648,"Reviewed N/A"),AND(COUNT(C648:F648)&gt;0,OR(MIN(C648:F648)&lt;36526,MAX(C648:F648)&gt;109574))),"Check date format",IF(AND(COUNTIFS(C648:F648,"Reviewed N/A")&gt;0,I648=""),"Add N/A reason; ","")&amp;IF(COUNT(C648:F648)=0,IF(COUNTIFS(C648:F648,"Reviewed N/A")=4,"No applicable dates recorded","Add dates"),IF(COUNT(C648:F648)+COUNTIFS(C648:F648,"Reviewed N/A")&lt;4,"Missing dates; ","")&amp;IF(MIN(C648:F648)&lt;TODAY(),"Overdue: ",IF(MIN(C648:F648)=TODAY(),"Due today: ",IF(MIN(C648:F648)&lt;=TODAY()+30,"Due within 30 days: ","Next: ")))&amp;INDEX($C$8:$F$8,1,MATCH(MIN(C648:F648),C648:F648,0))&amp;" "&amp;TEXT(MIN(C648:F648),"dd mmm yyyy")))))</x:f>
      </x:c>
      <x:c r="I648" s="52"/>
      <x:c r="J648" t="str">
        <x:f>IF(AND(A648&lt;&gt;"",COUNTIFS(C648,"&gt;=36526",C648,"&lt;"&amp;TODAY())+COUNTIFS(D648,"&gt;=36526",D648,"&lt;"&amp;TODAY())+COUNTIFS(E648,"&gt;=36526",E648,"&lt;"&amp;TODAY())+COUNTIFS(F648,"&gt;=36526",F648,"&lt;"&amp;TODAY())&gt;0),O648,"")</x:f>
      </x:c>
      <x:c r="K648" t="str">
        <x:f>IF(AND(A648&lt;&gt;"",COUNTIFS(C648,"&gt;=36526",C648,TODAY())+COUNTIFS(D648,"&gt;=36526",D648,TODAY())+COUNTIFS(E648,"&gt;=36526",E648,TODAY())+COUNTIFS(F648,"&gt;=36526",F648,TODAY())&gt;0),P648,"")</x:f>
      </x:c>
      <x:c r="L648" t="str">
        <x:f>IF(AND(A648&lt;&gt;"",COUNTIFS(C648,"&gt;"&amp;TODAY(),C648,"&lt;="&amp;TODAY()+30)+COUNTIFS(D648,"&gt;"&amp;TODAY(),D648,"&lt;="&amp;TODAY()+30)+COUNTIFS(E648,"&gt;"&amp;TODAY(),E648,"&lt;="&amp;TODAY()+30)+COUNTIFS(F648,"&gt;"&amp;TODAY(),F648,"&lt;="&amp;TODAY()+30)&gt;0),Q648,"")</x:f>
      </x:c>
      <x:c r="M648" t="str">
        <x:f>IF(OR(LEFT(H648,15)="Missing dates; ",LEFT(H648,16)="Add N/A reason; ",H648="Add dates",H648="Add registration",H648="Check date format"),R648,"")</x:f>
      </x:c>
      <x:c r="N648" t="str">
        <x:f>IF(COUNTIFS(C648:F648,"Reviewed N/A")&gt;0,S648,"")</x:f>
      </x:c>
      <x:c r="O648" t="n">
        <x:f>O647+IF(AND(A648&lt;&gt;"",COUNTIFS(C648,"&gt;=36526",C648,"&lt;"&amp;TODAY())+COUNTIFS(D648,"&gt;=36526",D648,"&lt;"&amp;TODAY())+COUNTIFS(E648,"&gt;=36526",E648,"&lt;"&amp;TODAY())+COUNTIFS(F648,"&gt;=36526",F648,"&lt;"&amp;TODAY())&gt;0),1,0)</x:f>
        <x:v>0</x:v>
      </x:c>
      <x:c r="P648" t="n">
        <x:f>P647+IF(AND(A648&lt;&gt;"",COUNTIFS(C648,"&gt;=36526",C648,TODAY())+COUNTIFS(D648,"&gt;=36526",D648,TODAY())+COUNTIFS(E648,"&gt;=36526",E648,TODAY())+COUNTIFS(F648,"&gt;=36526",F648,TODAY())&gt;0),1,0)</x:f>
        <x:v>0</x:v>
      </x:c>
      <x:c r="Q648" t="n">
        <x:f>Q647+IF(AND(A648&lt;&gt;"",COUNTIFS(C648,"&gt;"&amp;TODAY(),C648,"&lt;="&amp;TODAY()+30)+COUNTIFS(D648,"&gt;"&amp;TODAY(),D648,"&lt;="&amp;TODAY()+30)+COUNTIFS(E648,"&gt;"&amp;TODAY(),E648,"&lt;="&amp;TODAY()+30)+COUNTIFS(F648,"&gt;"&amp;TODAY(),F648,"&lt;="&amp;TODAY()+30)&gt;0),1,0)</x:f>
        <x:v>0</x:v>
      </x:c>
      <x:c r="R648" t="n">
        <x:f>R647+IF(OR(LEFT(H648,15)="Missing dates; ",LEFT(H648,16)="Add N/A reason; ",H648="Add dates",H648="Add registration",H648="Check date format"),1,0)</x:f>
        <x:v>0</x:v>
      </x:c>
      <x:c r="S648" t="n">
        <x:f>S647+IF(COUNTIFS(C648:F648,"Reviewed N/A")&gt;0,1,0)</x:f>
        <x:v>0</x:v>
      </x:c>
    </x:row>
    <x:row r="649" ht="48" customHeight="1">
      <x:c r="A649" s="52"/>
      <x:c r="B649" s="52"/>
      <x:c r="C649" s="53"/>
      <x:c r="D649" s="53"/>
      <x:c r="E649" s="53"/>
      <x:c r="F649" s="53"/>
      <x:c r="G649" s="52"/>
      <x:c r="H649" s="21" t="str">
        <x:f>IF(COUNTA(A649:G649,I649)=0,"",IF(A649="","Add registration",IF(OR(COUNTA(C649:F649)&gt;COUNT(C649:F649)+COUNTIFS(C649:F649,"Reviewed N/A"),AND(COUNT(C649:F649)&gt;0,OR(MIN(C649:F649)&lt;36526,MAX(C649:F649)&gt;109574))),"Check date format",IF(AND(COUNTIFS(C649:F649,"Reviewed N/A")&gt;0,I649=""),"Add N/A reason; ","")&amp;IF(COUNT(C649:F649)=0,IF(COUNTIFS(C649:F649,"Reviewed N/A")=4,"No applicable dates recorded","Add dates"),IF(COUNT(C649:F649)+COUNTIFS(C649:F649,"Reviewed N/A")&lt;4,"Missing dates; ","")&amp;IF(MIN(C649:F649)&lt;TODAY(),"Overdue: ",IF(MIN(C649:F649)=TODAY(),"Due today: ",IF(MIN(C649:F649)&lt;=TODAY()+30,"Due within 30 days: ","Next: ")))&amp;INDEX($C$8:$F$8,1,MATCH(MIN(C649:F649),C649:F649,0))&amp;" "&amp;TEXT(MIN(C649:F649),"dd mmm yyyy")))))</x:f>
      </x:c>
      <x:c r="I649" s="52"/>
      <x:c r="J649" t="str">
        <x:f>IF(AND(A649&lt;&gt;"",COUNTIFS(C649,"&gt;=36526",C649,"&lt;"&amp;TODAY())+COUNTIFS(D649,"&gt;=36526",D649,"&lt;"&amp;TODAY())+COUNTIFS(E649,"&gt;=36526",E649,"&lt;"&amp;TODAY())+COUNTIFS(F649,"&gt;=36526",F649,"&lt;"&amp;TODAY())&gt;0),O649,"")</x:f>
      </x:c>
      <x:c r="K649" t="str">
        <x:f>IF(AND(A649&lt;&gt;"",COUNTIFS(C649,"&gt;=36526",C649,TODAY())+COUNTIFS(D649,"&gt;=36526",D649,TODAY())+COUNTIFS(E649,"&gt;=36526",E649,TODAY())+COUNTIFS(F649,"&gt;=36526",F649,TODAY())&gt;0),P649,"")</x:f>
      </x:c>
      <x:c r="L649" t="str">
        <x:f>IF(AND(A649&lt;&gt;"",COUNTIFS(C649,"&gt;"&amp;TODAY(),C649,"&lt;="&amp;TODAY()+30)+COUNTIFS(D649,"&gt;"&amp;TODAY(),D649,"&lt;="&amp;TODAY()+30)+COUNTIFS(E649,"&gt;"&amp;TODAY(),E649,"&lt;="&amp;TODAY()+30)+COUNTIFS(F649,"&gt;"&amp;TODAY(),F649,"&lt;="&amp;TODAY()+30)&gt;0),Q649,"")</x:f>
      </x:c>
      <x:c r="M649" t="str">
        <x:f>IF(OR(LEFT(H649,15)="Missing dates; ",LEFT(H649,16)="Add N/A reason; ",H649="Add dates",H649="Add registration",H649="Check date format"),R649,"")</x:f>
      </x:c>
      <x:c r="N649" t="str">
        <x:f>IF(COUNTIFS(C649:F649,"Reviewed N/A")&gt;0,S649,"")</x:f>
      </x:c>
      <x:c r="O649" t="n">
        <x:f>O648+IF(AND(A649&lt;&gt;"",COUNTIFS(C649,"&gt;=36526",C649,"&lt;"&amp;TODAY())+COUNTIFS(D649,"&gt;=36526",D649,"&lt;"&amp;TODAY())+COUNTIFS(E649,"&gt;=36526",E649,"&lt;"&amp;TODAY())+COUNTIFS(F649,"&gt;=36526",F649,"&lt;"&amp;TODAY())&gt;0),1,0)</x:f>
        <x:v>0</x:v>
      </x:c>
      <x:c r="P649" t="n">
        <x:f>P648+IF(AND(A649&lt;&gt;"",COUNTIFS(C649,"&gt;=36526",C649,TODAY())+COUNTIFS(D649,"&gt;=36526",D649,TODAY())+COUNTIFS(E649,"&gt;=36526",E649,TODAY())+COUNTIFS(F649,"&gt;=36526",F649,TODAY())&gt;0),1,0)</x:f>
        <x:v>0</x:v>
      </x:c>
      <x:c r="Q649" t="n">
        <x:f>Q648+IF(AND(A649&lt;&gt;"",COUNTIFS(C649,"&gt;"&amp;TODAY(),C649,"&lt;="&amp;TODAY()+30)+COUNTIFS(D649,"&gt;"&amp;TODAY(),D649,"&lt;="&amp;TODAY()+30)+COUNTIFS(E649,"&gt;"&amp;TODAY(),E649,"&lt;="&amp;TODAY()+30)+COUNTIFS(F649,"&gt;"&amp;TODAY(),F649,"&lt;="&amp;TODAY()+30)&gt;0),1,0)</x:f>
        <x:v>0</x:v>
      </x:c>
      <x:c r="R649" t="n">
        <x:f>R648+IF(OR(LEFT(H649,15)="Missing dates; ",LEFT(H649,16)="Add N/A reason; ",H649="Add dates",H649="Add registration",H649="Check date format"),1,0)</x:f>
        <x:v>0</x:v>
      </x:c>
      <x:c r="S649" t="n">
        <x:f>S648+IF(COUNTIFS(C649:F649,"Reviewed N/A")&gt;0,1,0)</x:f>
        <x:v>0</x:v>
      </x:c>
    </x:row>
    <x:row r="650" ht="48" customHeight="1">
      <x:c r="A650" s="52"/>
      <x:c r="B650" s="52"/>
      <x:c r="C650" s="53"/>
      <x:c r="D650" s="53"/>
      <x:c r="E650" s="53"/>
      <x:c r="F650" s="53"/>
      <x:c r="G650" s="52"/>
      <x:c r="H650" s="21" t="str">
        <x:f>IF(COUNTA(A650:G650,I650)=0,"",IF(A650="","Add registration",IF(OR(COUNTA(C650:F650)&gt;COUNT(C650:F650)+COUNTIFS(C650:F650,"Reviewed N/A"),AND(COUNT(C650:F650)&gt;0,OR(MIN(C650:F650)&lt;36526,MAX(C650:F650)&gt;109574))),"Check date format",IF(AND(COUNTIFS(C650:F650,"Reviewed N/A")&gt;0,I650=""),"Add N/A reason; ","")&amp;IF(COUNT(C650:F650)=0,IF(COUNTIFS(C650:F650,"Reviewed N/A")=4,"No applicable dates recorded","Add dates"),IF(COUNT(C650:F650)+COUNTIFS(C650:F650,"Reviewed N/A")&lt;4,"Missing dates; ","")&amp;IF(MIN(C650:F650)&lt;TODAY(),"Overdue: ",IF(MIN(C650:F650)=TODAY(),"Due today: ",IF(MIN(C650:F650)&lt;=TODAY()+30,"Due within 30 days: ","Next: ")))&amp;INDEX($C$8:$F$8,1,MATCH(MIN(C650:F650),C650:F650,0))&amp;" "&amp;TEXT(MIN(C650:F650),"dd mmm yyyy")))))</x:f>
      </x:c>
      <x:c r="I650" s="52"/>
      <x:c r="J650" t="str">
        <x:f>IF(AND(A650&lt;&gt;"",COUNTIFS(C650,"&gt;=36526",C650,"&lt;"&amp;TODAY())+COUNTIFS(D650,"&gt;=36526",D650,"&lt;"&amp;TODAY())+COUNTIFS(E650,"&gt;=36526",E650,"&lt;"&amp;TODAY())+COUNTIFS(F650,"&gt;=36526",F650,"&lt;"&amp;TODAY())&gt;0),O650,"")</x:f>
      </x:c>
      <x:c r="K650" t="str">
        <x:f>IF(AND(A650&lt;&gt;"",COUNTIFS(C650,"&gt;=36526",C650,TODAY())+COUNTIFS(D650,"&gt;=36526",D650,TODAY())+COUNTIFS(E650,"&gt;=36526",E650,TODAY())+COUNTIFS(F650,"&gt;=36526",F650,TODAY())&gt;0),P650,"")</x:f>
      </x:c>
      <x:c r="L650" t="str">
        <x:f>IF(AND(A650&lt;&gt;"",COUNTIFS(C650,"&gt;"&amp;TODAY(),C650,"&lt;="&amp;TODAY()+30)+COUNTIFS(D650,"&gt;"&amp;TODAY(),D650,"&lt;="&amp;TODAY()+30)+COUNTIFS(E650,"&gt;"&amp;TODAY(),E650,"&lt;="&amp;TODAY()+30)+COUNTIFS(F650,"&gt;"&amp;TODAY(),F650,"&lt;="&amp;TODAY()+30)&gt;0),Q650,"")</x:f>
      </x:c>
      <x:c r="M650" t="str">
        <x:f>IF(OR(LEFT(H650,15)="Missing dates; ",LEFT(H650,16)="Add N/A reason; ",H650="Add dates",H650="Add registration",H650="Check date format"),R650,"")</x:f>
      </x:c>
      <x:c r="N650" t="str">
        <x:f>IF(COUNTIFS(C650:F650,"Reviewed N/A")&gt;0,S650,"")</x:f>
      </x:c>
      <x:c r="O650" t="n">
        <x:f>O649+IF(AND(A650&lt;&gt;"",COUNTIFS(C650,"&gt;=36526",C650,"&lt;"&amp;TODAY())+COUNTIFS(D650,"&gt;=36526",D650,"&lt;"&amp;TODAY())+COUNTIFS(E650,"&gt;=36526",E650,"&lt;"&amp;TODAY())+COUNTIFS(F650,"&gt;=36526",F650,"&lt;"&amp;TODAY())&gt;0),1,0)</x:f>
        <x:v>0</x:v>
      </x:c>
      <x:c r="P650" t="n">
        <x:f>P649+IF(AND(A650&lt;&gt;"",COUNTIFS(C650,"&gt;=36526",C650,TODAY())+COUNTIFS(D650,"&gt;=36526",D650,TODAY())+COUNTIFS(E650,"&gt;=36526",E650,TODAY())+COUNTIFS(F650,"&gt;=36526",F650,TODAY())&gt;0),1,0)</x:f>
        <x:v>0</x:v>
      </x:c>
      <x:c r="Q650" t="n">
        <x:f>Q649+IF(AND(A650&lt;&gt;"",COUNTIFS(C650,"&gt;"&amp;TODAY(),C650,"&lt;="&amp;TODAY()+30)+COUNTIFS(D650,"&gt;"&amp;TODAY(),D650,"&lt;="&amp;TODAY()+30)+COUNTIFS(E650,"&gt;"&amp;TODAY(),E650,"&lt;="&amp;TODAY()+30)+COUNTIFS(F650,"&gt;"&amp;TODAY(),F650,"&lt;="&amp;TODAY()+30)&gt;0),1,0)</x:f>
        <x:v>0</x:v>
      </x:c>
      <x:c r="R650" t="n">
        <x:f>R649+IF(OR(LEFT(H650,15)="Missing dates; ",LEFT(H650,16)="Add N/A reason; ",H650="Add dates",H650="Add registration",H650="Check date format"),1,0)</x:f>
        <x:v>0</x:v>
      </x:c>
      <x:c r="S650" t="n">
        <x:f>S649+IF(COUNTIFS(C650:F650,"Reviewed N/A")&gt;0,1,0)</x:f>
        <x:v>0</x:v>
      </x:c>
    </x:row>
    <x:row r="651" ht="48" customHeight="1">
      <x:c r="A651" s="52"/>
      <x:c r="B651" s="52"/>
      <x:c r="C651" s="53"/>
      <x:c r="D651" s="53"/>
      <x:c r="E651" s="53"/>
      <x:c r="F651" s="53"/>
      <x:c r="G651" s="52"/>
      <x:c r="H651" s="21" t="str">
        <x:f>IF(COUNTA(A651:G651,I651)=0,"",IF(A651="","Add registration",IF(OR(COUNTA(C651:F651)&gt;COUNT(C651:F651)+COUNTIFS(C651:F651,"Reviewed N/A"),AND(COUNT(C651:F651)&gt;0,OR(MIN(C651:F651)&lt;36526,MAX(C651:F651)&gt;109574))),"Check date format",IF(AND(COUNTIFS(C651:F651,"Reviewed N/A")&gt;0,I651=""),"Add N/A reason; ","")&amp;IF(COUNT(C651:F651)=0,IF(COUNTIFS(C651:F651,"Reviewed N/A")=4,"No applicable dates recorded","Add dates"),IF(COUNT(C651:F651)+COUNTIFS(C651:F651,"Reviewed N/A")&lt;4,"Missing dates; ","")&amp;IF(MIN(C651:F651)&lt;TODAY(),"Overdue: ",IF(MIN(C651:F651)=TODAY(),"Due today: ",IF(MIN(C651:F651)&lt;=TODAY()+30,"Due within 30 days: ","Next: ")))&amp;INDEX($C$8:$F$8,1,MATCH(MIN(C651:F651),C651:F651,0))&amp;" "&amp;TEXT(MIN(C651:F651),"dd mmm yyyy")))))</x:f>
      </x:c>
      <x:c r="I651" s="52"/>
      <x:c r="J651" t="str">
        <x:f>IF(AND(A651&lt;&gt;"",COUNTIFS(C651,"&gt;=36526",C651,"&lt;"&amp;TODAY())+COUNTIFS(D651,"&gt;=36526",D651,"&lt;"&amp;TODAY())+COUNTIFS(E651,"&gt;=36526",E651,"&lt;"&amp;TODAY())+COUNTIFS(F651,"&gt;=36526",F651,"&lt;"&amp;TODAY())&gt;0),O651,"")</x:f>
      </x:c>
      <x:c r="K651" t="str">
        <x:f>IF(AND(A651&lt;&gt;"",COUNTIFS(C651,"&gt;=36526",C651,TODAY())+COUNTIFS(D651,"&gt;=36526",D651,TODAY())+COUNTIFS(E651,"&gt;=36526",E651,TODAY())+COUNTIFS(F651,"&gt;=36526",F651,TODAY())&gt;0),P651,"")</x:f>
      </x:c>
      <x:c r="L651" t="str">
        <x:f>IF(AND(A651&lt;&gt;"",COUNTIFS(C651,"&gt;"&amp;TODAY(),C651,"&lt;="&amp;TODAY()+30)+COUNTIFS(D651,"&gt;"&amp;TODAY(),D651,"&lt;="&amp;TODAY()+30)+COUNTIFS(E651,"&gt;"&amp;TODAY(),E651,"&lt;="&amp;TODAY()+30)+COUNTIFS(F651,"&gt;"&amp;TODAY(),F651,"&lt;="&amp;TODAY()+30)&gt;0),Q651,"")</x:f>
      </x:c>
      <x:c r="M651" t="str">
        <x:f>IF(OR(LEFT(H651,15)="Missing dates; ",LEFT(H651,16)="Add N/A reason; ",H651="Add dates",H651="Add registration",H651="Check date format"),R651,"")</x:f>
      </x:c>
      <x:c r="N651" t="str">
        <x:f>IF(COUNTIFS(C651:F651,"Reviewed N/A")&gt;0,S651,"")</x:f>
      </x:c>
      <x:c r="O651" t="n">
        <x:f>O650+IF(AND(A651&lt;&gt;"",COUNTIFS(C651,"&gt;=36526",C651,"&lt;"&amp;TODAY())+COUNTIFS(D651,"&gt;=36526",D651,"&lt;"&amp;TODAY())+COUNTIFS(E651,"&gt;=36526",E651,"&lt;"&amp;TODAY())+COUNTIFS(F651,"&gt;=36526",F651,"&lt;"&amp;TODAY())&gt;0),1,0)</x:f>
        <x:v>0</x:v>
      </x:c>
      <x:c r="P651" t="n">
        <x:f>P650+IF(AND(A651&lt;&gt;"",COUNTIFS(C651,"&gt;=36526",C651,TODAY())+COUNTIFS(D651,"&gt;=36526",D651,TODAY())+COUNTIFS(E651,"&gt;=36526",E651,TODAY())+COUNTIFS(F651,"&gt;=36526",F651,TODAY())&gt;0),1,0)</x:f>
        <x:v>0</x:v>
      </x:c>
      <x:c r="Q651" t="n">
        <x:f>Q650+IF(AND(A651&lt;&gt;"",COUNTIFS(C651,"&gt;"&amp;TODAY(),C651,"&lt;="&amp;TODAY()+30)+COUNTIFS(D651,"&gt;"&amp;TODAY(),D651,"&lt;="&amp;TODAY()+30)+COUNTIFS(E651,"&gt;"&amp;TODAY(),E651,"&lt;="&amp;TODAY()+30)+COUNTIFS(F651,"&gt;"&amp;TODAY(),F651,"&lt;="&amp;TODAY()+30)&gt;0),1,0)</x:f>
        <x:v>0</x:v>
      </x:c>
      <x:c r="R651" t="n">
        <x:f>R650+IF(OR(LEFT(H651,15)="Missing dates; ",LEFT(H651,16)="Add N/A reason; ",H651="Add dates",H651="Add registration",H651="Check date format"),1,0)</x:f>
        <x:v>0</x:v>
      </x:c>
      <x:c r="S651" t="n">
        <x:f>S650+IF(COUNTIFS(C651:F651,"Reviewed N/A")&gt;0,1,0)</x:f>
        <x:v>0</x:v>
      </x:c>
    </x:row>
    <x:row r="652" ht="48" customHeight="1">
      <x:c r="A652" s="52"/>
      <x:c r="B652" s="52"/>
      <x:c r="C652" s="53"/>
      <x:c r="D652" s="53"/>
      <x:c r="E652" s="53"/>
      <x:c r="F652" s="53"/>
      <x:c r="G652" s="52"/>
      <x:c r="H652" s="21" t="str">
        <x:f>IF(COUNTA(A652:G652,I652)=0,"",IF(A652="","Add registration",IF(OR(COUNTA(C652:F652)&gt;COUNT(C652:F652)+COUNTIFS(C652:F652,"Reviewed N/A"),AND(COUNT(C652:F652)&gt;0,OR(MIN(C652:F652)&lt;36526,MAX(C652:F652)&gt;109574))),"Check date format",IF(AND(COUNTIFS(C652:F652,"Reviewed N/A")&gt;0,I652=""),"Add N/A reason; ","")&amp;IF(COUNT(C652:F652)=0,IF(COUNTIFS(C652:F652,"Reviewed N/A")=4,"No applicable dates recorded","Add dates"),IF(COUNT(C652:F652)+COUNTIFS(C652:F652,"Reviewed N/A")&lt;4,"Missing dates; ","")&amp;IF(MIN(C652:F652)&lt;TODAY(),"Overdue: ",IF(MIN(C652:F652)=TODAY(),"Due today: ",IF(MIN(C652:F652)&lt;=TODAY()+30,"Due within 30 days: ","Next: ")))&amp;INDEX($C$8:$F$8,1,MATCH(MIN(C652:F652),C652:F652,0))&amp;" "&amp;TEXT(MIN(C652:F652),"dd mmm yyyy")))))</x:f>
      </x:c>
      <x:c r="I652" s="52"/>
      <x:c r="J652" t="str">
        <x:f>IF(AND(A652&lt;&gt;"",COUNTIFS(C652,"&gt;=36526",C652,"&lt;"&amp;TODAY())+COUNTIFS(D652,"&gt;=36526",D652,"&lt;"&amp;TODAY())+COUNTIFS(E652,"&gt;=36526",E652,"&lt;"&amp;TODAY())+COUNTIFS(F652,"&gt;=36526",F652,"&lt;"&amp;TODAY())&gt;0),O652,"")</x:f>
      </x:c>
      <x:c r="K652" t="str">
        <x:f>IF(AND(A652&lt;&gt;"",COUNTIFS(C652,"&gt;=36526",C652,TODAY())+COUNTIFS(D652,"&gt;=36526",D652,TODAY())+COUNTIFS(E652,"&gt;=36526",E652,TODAY())+COUNTIFS(F652,"&gt;=36526",F652,TODAY())&gt;0),P652,"")</x:f>
      </x:c>
      <x:c r="L652" t="str">
        <x:f>IF(AND(A652&lt;&gt;"",COUNTIFS(C652,"&gt;"&amp;TODAY(),C652,"&lt;="&amp;TODAY()+30)+COUNTIFS(D652,"&gt;"&amp;TODAY(),D652,"&lt;="&amp;TODAY()+30)+COUNTIFS(E652,"&gt;"&amp;TODAY(),E652,"&lt;="&amp;TODAY()+30)+COUNTIFS(F652,"&gt;"&amp;TODAY(),F652,"&lt;="&amp;TODAY()+30)&gt;0),Q652,"")</x:f>
      </x:c>
      <x:c r="M652" t="str">
        <x:f>IF(OR(LEFT(H652,15)="Missing dates; ",LEFT(H652,16)="Add N/A reason; ",H652="Add dates",H652="Add registration",H652="Check date format"),R652,"")</x:f>
      </x:c>
      <x:c r="N652" t="str">
        <x:f>IF(COUNTIFS(C652:F652,"Reviewed N/A")&gt;0,S652,"")</x:f>
      </x:c>
      <x:c r="O652" t="n">
        <x:f>O651+IF(AND(A652&lt;&gt;"",COUNTIFS(C652,"&gt;=36526",C652,"&lt;"&amp;TODAY())+COUNTIFS(D652,"&gt;=36526",D652,"&lt;"&amp;TODAY())+COUNTIFS(E652,"&gt;=36526",E652,"&lt;"&amp;TODAY())+COUNTIFS(F652,"&gt;=36526",F652,"&lt;"&amp;TODAY())&gt;0),1,0)</x:f>
        <x:v>0</x:v>
      </x:c>
      <x:c r="P652" t="n">
        <x:f>P651+IF(AND(A652&lt;&gt;"",COUNTIFS(C652,"&gt;=36526",C652,TODAY())+COUNTIFS(D652,"&gt;=36526",D652,TODAY())+COUNTIFS(E652,"&gt;=36526",E652,TODAY())+COUNTIFS(F652,"&gt;=36526",F652,TODAY())&gt;0),1,0)</x:f>
        <x:v>0</x:v>
      </x:c>
      <x:c r="Q652" t="n">
        <x:f>Q651+IF(AND(A652&lt;&gt;"",COUNTIFS(C652,"&gt;"&amp;TODAY(),C652,"&lt;="&amp;TODAY()+30)+COUNTIFS(D652,"&gt;"&amp;TODAY(),D652,"&lt;="&amp;TODAY()+30)+COUNTIFS(E652,"&gt;"&amp;TODAY(),E652,"&lt;="&amp;TODAY()+30)+COUNTIFS(F652,"&gt;"&amp;TODAY(),F652,"&lt;="&amp;TODAY()+30)&gt;0),1,0)</x:f>
        <x:v>0</x:v>
      </x:c>
      <x:c r="R652" t="n">
        <x:f>R651+IF(OR(LEFT(H652,15)="Missing dates; ",LEFT(H652,16)="Add N/A reason; ",H652="Add dates",H652="Add registration",H652="Check date format"),1,0)</x:f>
        <x:v>0</x:v>
      </x:c>
      <x:c r="S652" t="n">
        <x:f>S651+IF(COUNTIFS(C652:F652,"Reviewed N/A")&gt;0,1,0)</x:f>
        <x:v>0</x:v>
      </x:c>
    </x:row>
    <x:row r="653" ht="48" customHeight="1">
      <x:c r="A653" s="52"/>
      <x:c r="B653" s="52"/>
      <x:c r="C653" s="53"/>
      <x:c r="D653" s="53"/>
      <x:c r="E653" s="53"/>
      <x:c r="F653" s="53"/>
      <x:c r="G653" s="52"/>
      <x:c r="H653" s="21" t="str">
        <x:f>IF(COUNTA(A653:G653,I653)=0,"",IF(A653="","Add registration",IF(OR(COUNTA(C653:F653)&gt;COUNT(C653:F653)+COUNTIFS(C653:F653,"Reviewed N/A"),AND(COUNT(C653:F653)&gt;0,OR(MIN(C653:F653)&lt;36526,MAX(C653:F653)&gt;109574))),"Check date format",IF(AND(COUNTIFS(C653:F653,"Reviewed N/A")&gt;0,I653=""),"Add N/A reason; ","")&amp;IF(COUNT(C653:F653)=0,IF(COUNTIFS(C653:F653,"Reviewed N/A")=4,"No applicable dates recorded","Add dates"),IF(COUNT(C653:F653)+COUNTIFS(C653:F653,"Reviewed N/A")&lt;4,"Missing dates; ","")&amp;IF(MIN(C653:F653)&lt;TODAY(),"Overdue: ",IF(MIN(C653:F653)=TODAY(),"Due today: ",IF(MIN(C653:F653)&lt;=TODAY()+30,"Due within 30 days: ","Next: ")))&amp;INDEX($C$8:$F$8,1,MATCH(MIN(C653:F653),C653:F653,0))&amp;" "&amp;TEXT(MIN(C653:F653),"dd mmm yyyy")))))</x:f>
      </x:c>
      <x:c r="I653" s="52"/>
      <x:c r="J653" t="str">
        <x:f>IF(AND(A653&lt;&gt;"",COUNTIFS(C653,"&gt;=36526",C653,"&lt;"&amp;TODAY())+COUNTIFS(D653,"&gt;=36526",D653,"&lt;"&amp;TODAY())+COUNTIFS(E653,"&gt;=36526",E653,"&lt;"&amp;TODAY())+COUNTIFS(F653,"&gt;=36526",F653,"&lt;"&amp;TODAY())&gt;0),O653,"")</x:f>
      </x:c>
      <x:c r="K653" t="str">
        <x:f>IF(AND(A653&lt;&gt;"",COUNTIFS(C653,"&gt;=36526",C653,TODAY())+COUNTIFS(D653,"&gt;=36526",D653,TODAY())+COUNTIFS(E653,"&gt;=36526",E653,TODAY())+COUNTIFS(F653,"&gt;=36526",F653,TODAY())&gt;0),P653,"")</x:f>
      </x:c>
      <x:c r="L653" t="str">
        <x:f>IF(AND(A653&lt;&gt;"",COUNTIFS(C653,"&gt;"&amp;TODAY(),C653,"&lt;="&amp;TODAY()+30)+COUNTIFS(D653,"&gt;"&amp;TODAY(),D653,"&lt;="&amp;TODAY()+30)+COUNTIFS(E653,"&gt;"&amp;TODAY(),E653,"&lt;="&amp;TODAY()+30)+COUNTIFS(F653,"&gt;"&amp;TODAY(),F653,"&lt;="&amp;TODAY()+30)&gt;0),Q653,"")</x:f>
      </x:c>
      <x:c r="M653" t="str">
        <x:f>IF(OR(LEFT(H653,15)="Missing dates; ",LEFT(H653,16)="Add N/A reason; ",H653="Add dates",H653="Add registration",H653="Check date format"),R653,"")</x:f>
      </x:c>
      <x:c r="N653" t="str">
        <x:f>IF(COUNTIFS(C653:F653,"Reviewed N/A")&gt;0,S653,"")</x:f>
      </x:c>
      <x:c r="O653" t="n">
        <x:f>O652+IF(AND(A653&lt;&gt;"",COUNTIFS(C653,"&gt;=36526",C653,"&lt;"&amp;TODAY())+COUNTIFS(D653,"&gt;=36526",D653,"&lt;"&amp;TODAY())+COUNTIFS(E653,"&gt;=36526",E653,"&lt;"&amp;TODAY())+COUNTIFS(F653,"&gt;=36526",F653,"&lt;"&amp;TODAY())&gt;0),1,0)</x:f>
        <x:v>0</x:v>
      </x:c>
      <x:c r="P653" t="n">
        <x:f>P652+IF(AND(A653&lt;&gt;"",COUNTIFS(C653,"&gt;=36526",C653,TODAY())+COUNTIFS(D653,"&gt;=36526",D653,TODAY())+COUNTIFS(E653,"&gt;=36526",E653,TODAY())+COUNTIFS(F653,"&gt;=36526",F653,TODAY())&gt;0),1,0)</x:f>
        <x:v>0</x:v>
      </x:c>
      <x:c r="Q653" t="n">
        <x:f>Q652+IF(AND(A653&lt;&gt;"",COUNTIFS(C653,"&gt;"&amp;TODAY(),C653,"&lt;="&amp;TODAY()+30)+COUNTIFS(D653,"&gt;"&amp;TODAY(),D653,"&lt;="&amp;TODAY()+30)+COUNTIFS(E653,"&gt;"&amp;TODAY(),E653,"&lt;="&amp;TODAY()+30)+COUNTIFS(F653,"&gt;"&amp;TODAY(),F653,"&lt;="&amp;TODAY()+30)&gt;0),1,0)</x:f>
        <x:v>0</x:v>
      </x:c>
      <x:c r="R653" t="n">
        <x:f>R652+IF(OR(LEFT(H653,15)="Missing dates; ",LEFT(H653,16)="Add N/A reason; ",H653="Add dates",H653="Add registration",H653="Check date format"),1,0)</x:f>
        <x:v>0</x:v>
      </x:c>
      <x:c r="S653" t="n">
        <x:f>S652+IF(COUNTIFS(C653:F653,"Reviewed N/A")&gt;0,1,0)</x:f>
        <x:v>0</x:v>
      </x:c>
    </x:row>
    <x:row r="654" ht="48" customHeight="1">
      <x:c r="A654" s="52"/>
      <x:c r="B654" s="52"/>
      <x:c r="C654" s="53"/>
      <x:c r="D654" s="53"/>
      <x:c r="E654" s="53"/>
      <x:c r="F654" s="53"/>
      <x:c r="G654" s="52"/>
      <x:c r="H654" s="21" t="str">
        <x:f>IF(COUNTA(A654:G654,I654)=0,"",IF(A654="","Add registration",IF(OR(COUNTA(C654:F654)&gt;COUNT(C654:F654)+COUNTIFS(C654:F654,"Reviewed N/A"),AND(COUNT(C654:F654)&gt;0,OR(MIN(C654:F654)&lt;36526,MAX(C654:F654)&gt;109574))),"Check date format",IF(AND(COUNTIFS(C654:F654,"Reviewed N/A")&gt;0,I654=""),"Add N/A reason; ","")&amp;IF(COUNT(C654:F654)=0,IF(COUNTIFS(C654:F654,"Reviewed N/A")=4,"No applicable dates recorded","Add dates"),IF(COUNT(C654:F654)+COUNTIFS(C654:F654,"Reviewed N/A")&lt;4,"Missing dates; ","")&amp;IF(MIN(C654:F654)&lt;TODAY(),"Overdue: ",IF(MIN(C654:F654)=TODAY(),"Due today: ",IF(MIN(C654:F654)&lt;=TODAY()+30,"Due within 30 days: ","Next: ")))&amp;INDEX($C$8:$F$8,1,MATCH(MIN(C654:F654),C654:F654,0))&amp;" "&amp;TEXT(MIN(C654:F654),"dd mmm yyyy")))))</x:f>
      </x:c>
      <x:c r="I654" s="52"/>
      <x:c r="J654" t="str">
        <x:f>IF(AND(A654&lt;&gt;"",COUNTIFS(C654,"&gt;=36526",C654,"&lt;"&amp;TODAY())+COUNTIFS(D654,"&gt;=36526",D654,"&lt;"&amp;TODAY())+COUNTIFS(E654,"&gt;=36526",E654,"&lt;"&amp;TODAY())+COUNTIFS(F654,"&gt;=36526",F654,"&lt;"&amp;TODAY())&gt;0),O654,"")</x:f>
      </x:c>
      <x:c r="K654" t="str">
        <x:f>IF(AND(A654&lt;&gt;"",COUNTIFS(C654,"&gt;=36526",C654,TODAY())+COUNTIFS(D654,"&gt;=36526",D654,TODAY())+COUNTIFS(E654,"&gt;=36526",E654,TODAY())+COUNTIFS(F654,"&gt;=36526",F654,TODAY())&gt;0),P654,"")</x:f>
      </x:c>
      <x:c r="L654" t="str">
        <x:f>IF(AND(A654&lt;&gt;"",COUNTIFS(C654,"&gt;"&amp;TODAY(),C654,"&lt;="&amp;TODAY()+30)+COUNTIFS(D654,"&gt;"&amp;TODAY(),D654,"&lt;="&amp;TODAY()+30)+COUNTIFS(E654,"&gt;"&amp;TODAY(),E654,"&lt;="&amp;TODAY()+30)+COUNTIFS(F654,"&gt;"&amp;TODAY(),F654,"&lt;="&amp;TODAY()+30)&gt;0),Q654,"")</x:f>
      </x:c>
      <x:c r="M654" t="str">
        <x:f>IF(OR(LEFT(H654,15)="Missing dates; ",LEFT(H654,16)="Add N/A reason; ",H654="Add dates",H654="Add registration",H654="Check date format"),R654,"")</x:f>
      </x:c>
      <x:c r="N654" t="str">
        <x:f>IF(COUNTIFS(C654:F654,"Reviewed N/A")&gt;0,S654,"")</x:f>
      </x:c>
      <x:c r="O654" t="n">
        <x:f>O653+IF(AND(A654&lt;&gt;"",COUNTIFS(C654,"&gt;=36526",C654,"&lt;"&amp;TODAY())+COUNTIFS(D654,"&gt;=36526",D654,"&lt;"&amp;TODAY())+COUNTIFS(E654,"&gt;=36526",E654,"&lt;"&amp;TODAY())+COUNTIFS(F654,"&gt;=36526",F654,"&lt;"&amp;TODAY())&gt;0),1,0)</x:f>
        <x:v>0</x:v>
      </x:c>
      <x:c r="P654" t="n">
        <x:f>P653+IF(AND(A654&lt;&gt;"",COUNTIFS(C654,"&gt;=36526",C654,TODAY())+COUNTIFS(D654,"&gt;=36526",D654,TODAY())+COUNTIFS(E654,"&gt;=36526",E654,TODAY())+COUNTIFS(F654,"&gt;=36526",F654,TODAY())&gt;0),1,0)</x:f>
        <x:v>0</x:v>
      </x:c>
      <x:c r="Q654" t="n">
        <x:f>Q653+IF(AND(A654&lt;&gt;"",COUNTIFS(C654,"&gt;"&amp;TODAY(),C654,"&lt;="&amp;TODAY()+30)+COUNTIFS(D654,"&gt;"&amp;TODAY(),D654,"&lt;="&amp;TODAY()+30)+COUNTIFS(E654,"&gt;"&amp;TODAY(),E654,"&lt;="&amp;TODAY()+30)+COUNTIFS(F654,"&gt;"&amp;TODAY(),F654,"&lt;="&amp;TODAY()+30)&gt;0),1,0)</x:f>
        <x:v>0</x:v>
      </x:c>
      <x:c r="R654" t="n">
        <x:f>R653+IF(OR(LEFT(H654,15)="Missing dates; ",LEFT(H654,16)="Add N/A reason; ",H654="Add dates",H654="Add registration",H654="Check date format"),1,0)</x:f>
        <x:v>0</x:v>
      </x:c>
      <x:c r="S654" t="n">
        <x:f>S653+IF(COUNTIFS(C654:F654,"Reviewed N/A")&gt;0,1,0)</x:f>
        <x:v>0</x:v>
      </x:c>
    </x:row>
    <x:row r="655" ht="48" customHeight="1">
      <x:c r="A655" s="52"/>
      <x:c r="B655" s="52"/>
      <x:c r="C655" s="53"/>
      <x:c r="D655" s="53"/>
      <x:c r="E655" s="53"/>
      <x:c r="F655" s="53"/>
      <x:c r="G655" s="52"/>
      <x:c r="H655" s="21" t="str">
        <x:f>IF(COUNTA(A655:G655,I655)=0,"",IF(A655="","Add registration",IF(OR(COUNTA(C655:F655)&gt;COUNT(C655:F655)+COUNTIFS(C655:F655,"Reviewed N/A"),AND(COUNT(C655:F655)&gt;0,OR(MIN(C655:F655)&lt;36526,MAX(C655:F655)&gt;109574))),"Check date format",IF(AND(COUNTIFS(C655:F655,"Reviewed N/A")&gt;0,I655=""),"Add N/A reason; ","")&amp;IF(COUNT(C655:F655)=0,IF(COUNTIFS(C655:F655,"Reviewed N/A")=4,"No applicable dates recorded","Add dates"),IF(COUNT(C655:F655)+COUNTIFS(C655:F655,"Reviewed N/A")&lt;4,"Missing dates; ","")&amp;IF(MIN(C655:F655)&lt;TODAY(),"Overdue: ",IF(MIN(C655:F655)=TODAY(),"Due today: ",IF(MIN(C655:F655)&lt;=TODAY()+30,"Due within 30 days: ","Next: ")))&amp;INDEX($C$8:$F$8,1,MATCH(MIN(C655:F655),C655:F655,0))&amp;" "&amp;TEXT(MIN(C655:F655),"dd mmm yyyy")))))</x:f>
      </x:c>
      <x:c r="I655" s="52"/>
      <x:c r="J655" t="str">
        <x:f>IF(AND(A655&lt;&gt;"",COUNTIFS(C655,"&gt;=36526",C655,"&lt;"&amp;TODAY())+COUNTIFS(D655,"&gt;=36526",D655,"&lt;"&amp;TODAY())+COUNTIFS(E655,"&gt;=36526",E655,"&lt;"&amp;TODAY())+COUNTIFS(F655,"&gt;=36526",F655,"&lt;"&amp;TODAY())&gt;0),O655,"")</x:f>
      </x:c>
      <x:c r="K655" t="str">
        <x:f>IF(AND(A655&lt;&gt;"",COUNTIFS(C655,"&gt;=36526",C655,TODAY())+COUNTIFS(D655,"&gt;=36526",D655,TODAY())+COUNTIFS(E655,"&gt;=36526",E655,TODAY())+COUNTIFS(F655,"&gt;=36526",F655,TODAY())&gt;0),P655,"")</x:f>
      </x:c>
      <x:c r="L655" t="str">
        <x:f>IF(AND(A655&lt;&gt;"",COUNTIFS(C655,"&gt;"&amp;TODAY(),C655,"&lt;="&amp;TODAY()+30)+COUNTIFS(D655,"&gt;"&amp;TODAY(),D655,"&lt;="&amp;TODAY()+30)+COUNTIFS(E655,"&gt;"&amp;TODAY(),E655,"&lt;="&amp;TODAY()+30)+COUNTIFS(F655,"&gt;"&amp;TODAY(),F655,"&lt;="&amp;TODAY()+30)&gt;0),Q655,"")</x:f>
      </x:c>
      <x:c r="M655" t="str">
        <x:f>IF(OR(LEFT(H655,15)="Missing dates; ",LEFT(H655,16)="Add N/A reason; ",H655="Add dates",H655="Add registration",H655="Check date format"),R655,"")</x:f>
      </x:c>
      <x:c r="N655" t="str">
        <x:f>IF(COUNTIFS(C655:F655,"Reviewed N/A")&gt;0,S655,"")</x:f>
      </x:c>
      <x:c r="O655" t="n">
        <x:f>O654+IF(AND(A655&lt;&gt;"",COUNTIFS(C655,"&gt;=36526",C655,"&lt;"&amp;TODAY())+COUNTIFS(D655,"&gt;=36526",D655,"&lt;"&amp;TODAY())+COUNTIFS(E655,"&gt;=36526",E655,"&lt;"&amp;TODAY())+COUNTIFS(F655,"&gt;=36526",F655,"&lt;"&amp;TODAY())&gt;0),1,0)</x:f>
        <x:v>0</x:v>
      </x:c>
      <x:c r="P655" t="n">
        <x:f>P654+IF(AND(A655&lt;&gt;"",COUNTIFS(C655,"&gt;=36526",C655,TODAY())+COUNTIFS(D655,"&gt;=36526",D655,TODAY())+COUNTIFS(E655,"&gt;=36526",E655,TODAY())+COUNTIFS(F655,"&gt;=36526",F655,TODAY())&gt;0),1,0)</x:f>
        <x:v>0</x:v>
      </x:c>
      <x:c r="Q655" t="n">
        <x:f>Q654+IF(AND(A655&lt;&gt;"",COUNTIFS(C655,"&gt;"&amp;TODAY(),C655,"&lt;="&amp;TODAY()+30)+COUNTIFS(D655,"&gt;"&amp;TODAY(),D655,"&lt;="&amp;TODAY()+30)+COUNTIFS(E655,"&gt;"&amp;TODAY(),E655,"&lt;="&amp;TODAY()+30)+COUNTIFS(F655,"&gt;"&amp;TODAY(),F655,"&lt;="&amp;TODAY()+30)&gt;0),1,0)</x:f>
        <x:v>0</x:v>
      </x:c>
      <x:c r="R655" t="n">
        <x:f>R654+IF(OR(LEFT(H655,15)="Missing dates; ",LEFT(H655,16)="Add N/A reason; ",H655="Add dates",H655="Add registration",H655="Check date format"),1,0)</x:f>
        <x:v>0</x:v>
      </x:c>
      <x:c r="S655" t="n">
        <x:f>S654+IF(COUNTIFS(C655:F655,"Reviewed N/A")&gt;0,1,0)</x:f>
        <x:v>0</x:v>
      </x:c>
    </x:row>
    <x:row r="656" ht="48" customHeight="1">
      <x:c r="A656" s="52"/>
      <x:c r="B656" s="52"/>
      <x:c r="C656" s="53"/>
      <x:c r="D656" s="53"/>
      <x:c r="E656" s="53"/>
      <x:c r="F656" s="53"/>
      <x:c r="G656" s="52"/>
      <x:c r="H656" s="21" t="str">
        <x:f>IF(COUNTA(A656:G656,I656)=0,"",IF(A656="","Add registration",IF(OR(COUNTA(C656:F656)&gt;COUNT(C656:F656)+COUNTIFS(C656:F656,"Reviewed N/A"),AND(COUNT(C656:F656)&gt;0,OR(MIN(C656:F656)&lt;36526,MAX(C656:F656)&gt;109574))),"Check date format",IF(AND(COUNTIFS(C656:F656,"Reviewed N/A")&gt;0,I656=""),"Add N/A reason; ","")&amp;IF(COUNT(C656:F656)=0,IF(COUNTIFS(C656:F656,"Reviewed N/A")=4,"No applicable dates recorded","Add dates"),IF(COUNT(C656:F656)+COUNTIFS(C656:F656,"Reviewed N/A")&lt;4,"Missing dates; ","")&amp;IF(MIN(C656:F656)&lt;TODAY(),"Overdue: ",IF(MIN(C656:F656)=TODAY(),"Due today: ",IF(MIN(C656:F656)&lt;=TODAY()+30,"Due within 30 days: ","Next: ")))&amp;INDEX($C$8:$F$8,1,MATCH(MIN(C656:F656),C656:F656,0))&amp;" "&amp;TEXT(MIN(C656:F656),"dd mmm yyyy")))))</x:f>
      </x:c>
      <x:c r="I656" s="52"/>
      <x:c r="J656" t="str">
        <x:f>IF(AND(A656&lt;&gt;"",COUNTIFS(C656,"&gt;=36526",C656,"&lt;"&amp;TODAY())+COUNTIFS(D656,"&gt;=36526",D656,"&lt;"&amp;TODAY())+COUNTIFS(E656,"&gt;=36526",E656,"&lt;"&amp;TODAY())+COUNTIFS(F656,"&gt;=36526",F656,"&lt;"&amp;TODAY())&gt;0),O656,"")</x:f>
      </x:c>
      <x:c r="K656" t="str">
        <x:f>IF(AND(A656&lt;&gt;"",COUNTIFS(C656,"&gt;=36526",C656,TODAY())+COUNTIFS(D656,"&gt;=36526",D656,TODAY())+COUNTIFS(E656,"&gt;=36526",E656,TODAY())+COUNTIFS(F656,"&gt;=36526",F656,TODAY())&gt;0),P656,"")</x:f>
      </x:c>
      <x:c r="L656" t="str">
        <x:f>IF(AND(A656&lt;&gt;"",COUNTIFS(C656,"&gt;"&amp;TODAY(),C656,"&lt;="&amp;TODAY()+30)+COUNTIFS(D656,"&gt;"&amp;TODAY(),D656,"&lt;="&amp;TODAY()+30)+COUNTIFS(E656,"&gt;"&amp;TODAY(),E656,"&lt;="&amp;TODAY()+30)+COUNTIFS(F656,"&gt;"&amp;TODAY(),F656,"&lt;="&amp;TODAY()+30)&gt;0),Q656,"")</x:f>
      </x:c>
      <x:c r="M656" t="str">
        <x:f>IF(OR(LEFT(H656,15)="Missing dates; ",LEFT(H656,16)="Add N/A reason; ",H656="Add dates",H656="Add registration",H656="Check date format"),R656,"")</x:f>
      </x:c>
      <x:c r="N656" t="str">
        <x:f>IF(COUNTIFS(C656:F656,"Reviewed N/A")&gt;0,S656,"")</x:f>
      </x:c>
      <x:c r="O656" t="n">
        <x:f>O655+IF(AND(A656&lt;&gt;"",COUNTIFS(C656,"&gt;=36526",C656,"&lt;"&amp;TODAY())+COUNTIFS(D656,"&gt;=36526",D656,"&lt;"&amp;TODAY())+COUNTIFS(E656,"&gt;=36526",E656,"&lt;"&amp;TODAY())+COUNTIFS(F656,"&gt;=36526",F656,"&lt;"&amp;TODAY())&gt;0),1,0)</x:f>
        <x:v>0</x:v>
      </x:c>
      <x:c r="P656" t="n">
        <x:f>P655+IF(AND(A656&lt;&gt;"",COUNTIFS(C656,"&gt;=36526",C656,TODAY())+COUNTIFS(D656,"&gt;=36526",D656,TODAY())+COUNTIFS(E656,"&gt;=36526",E656,TODAY())+COUNTIFS(F656,"&gt;=36526",F656,TODAY())&gt;0),1,0)</x:f>
        <x:v>0</x:v>
      </x:c>
      <x:c r="Q656" t="n">
        <x:f>Q655+IF(AND(A656&lt;&gt;"",COUNTIFS(C656,"&gt;"&amp;TODAY(),C656,"&lt;="&amp;TODAY()+30)+COUNTIFS(D656,"&gt;"&amp;TODAY(),D656,"&lt;="&amp;TODAY()+30)+COUNTIFS(E656,"&gt;"&amp;TODAY(),E656,"&lt;="&amp;TODAY()+30)+COUNTIFS(F656,"&gt;"&amp;TODAY(),F656,"&lt;="&amp;TODAY()+30)&gt;0),1,0)</x:f>
        <x:v>0</x:v>
      </x:c>
      <x:c r="R656" t="n">
        <x:f>R655+IF(OR(LEFT(H656,15)="Missing dates; ",LEFT(H656,16)="Add N/A reason; ",H656="Add dates",H656="Add registration",H656="Check date format"),1,0)</x:f>
        <x:v>0</x:v>
      </x:c>
      <x:c r="S656" t="n">
        <x:f>S655+IF(COUNTIFS(C656:F656,"Reviewed N/A")&gt;0,1,0)</x:f>
        <x:v>0</x:v>
      </x:c>
    </x:row>
    <x:row r="657" ht="48" customHeight="1">
      <x:c r="A657" s="52"/>
      <x:c r="B657" s="52"/>
      <x:c r="C657" s="53"/>
      <x:c r="D657" s="53"/>
      <x:c r="E657" s="53"/>
      <x:c r="F657" s="53"/>
      <x:c r="G657" s="52"/>
      <x:c r="H657" s="21" t="str">
        <x:f>IF(COUNTA(A657:G657,I657)=0,"",IF(A657="","Add registration",IF(OR(COUNTA(C657:F657)&gt;COUNT(C657:F657)+COUNTIFS(C657:F657,"Reviewed N/A"),AND(COUNT(C657:F657)&gt;0,OR(MIN(C657:F657)&lt;36526,MAX(C657:F657)&gt;109574))),"Check date format",IF(AND(COUNTIFS(C657:F657,"Reviewed N/A")&gt;0,I657=""),"Add N/A reason; ","")&amp;IF(COUNT(C657:F657)=0,IF(COUNTIFS(C657:F657,"Reviewed N/A")=4,"No applicable dates recorded","Add dates"),IF(COUNT(C657:F657)+COUNTIFS(C657:F657,"Reviewed N/A")&lt;4,"Missing dates; ","")&amp;IF(MIN(C657:F657)&lt;TODAY(),"Overdue: ",IF(MIN(C657:F657)=TODAY(),"Due today: ",IF(MIN(C657:F657)&lt;=TODAY()+30,"Due within 30 days: ","Next: ")))&amp;INDEX($C$8:$F$8,1,MATCH(MIN(C657:F657),C657:F657,0))&amp;" "&amp;TEXT(MIN(C657:F657),"dd mmm yyyy")))))</x:f>
      </x:c>
      <x:c r="I657" s="52"/>
      <x:c r="J657" t="str">
        <x:f>IF(AND(A657&lt;&gt;"",COUNTIFS(C657,"&gt;=36526",C657,"&lt;"&amp;TODAY())+COUNTIFS(D657,"&gt;=36526",D657,"&lt;"&amp;TODAY())+COUNTIFS(E657,"&gt;=36526",E657,"&lt;"&amp;TODAY())+COUNTIFS(F657,"&gt;=36526",F657,"&lt;"&amp;TODAY())&gt;0),O657,"")</x:f>
      </x:c>
      <x:c r="K657" t="str">
        <x:f>IF(AND(A657&lt;&gt;"",COUNTIFS(C657,"&gt;=36526",C657,TODAY())+COUNTIFS(D657,"&gt;=36526",D657,TODAY())+COUNTIFS(E657,"&gt;=36526",E657,TODAY())+COUNTIFS(F657,"&gt;=36526",F657,TODAY())&gt;0),P657,"")</x:f>
      </x:c>
      <x:c r="L657" t="str">
        <x:f>IF(AND(A657&lt;&gt;"",COUNTIFS(C657,"&gt;"&amp;TODAY(),C657,"&lt;="&amp;TODAY()+30)+COUNTIFS(D657,"&gt;"&amp;TODAY(),D657,"&lt;="&amp;TODAY()+30)+COUNTIFS(E657,"&gt;"&amp;TODAY(),E657,"&lt;="&amp;TODAY()+30)+COUNTIFS(F657,"&gt;"&amp;TODAY(),F657,"&lt;="&amp;TODAY()+30)&gt;0),Q657,"")</x:f>
      </x:c>
      <x:c r="M657" t="str">
        <x:f>IF(OR(LEFT(H657,15)="Missing dates; ",LEFT(H657,16)="Add N/A reason; ",H657="Add dates",H657="Add registration",H657="Check date format"),R657,"")</x:f>
      </x:c>
      <x:c r="N657" t="str">
        <x:f>IF(COUNTIFS(C657:F657,"Reviewed N/A")&gt;0,S657,"")</x:f>
      </x:c>
      <x:c r="O657" t="n">
        <x:f>O656+IF(AND(A657&lt;&gt;"",COUNTIFS(C657,"&gt;=36526",C657,"&lt;"&amp;TODAY())+COUNTIFS(D657,"&gt;=36526",D657,"&lt;"&amp;TODAY())+COUNTIFS(E657,"&gt;=36526",E657,"&lt;"&amp;TODAY())+COUNTIFS(F657,"&gt;=36526",F657,"&lt;"&amp;TODAY())&gt;0),1,0)</x:f>
        <x:v>0</x:v>
      </x:c>
      <x:c r="P657" t="n">
        <x:f>P656+IF(AND(A657&lt;&gt;"",COUNTIFS(C657,"&gt;=36526",C657,TODAY())+COUNTIFS(D657,"&gt;=36526",D657,TODAY())+COUNTIFS(E657,"&gt;=36526",E657,TODAY())+COUNTIFS(F657,"&gt;=36526",F657,TODAY())&gt;0),1,0)</x:f>
        <x:v>0</x:v>
      </x:c>
      <x:c r="Q657" t="n">
        <x:f>Q656+IF(AND(A657&lt;&gt;"",COUNTIFS(C657,"&gt;"&amp;TODAY(),C657,"&lt;="&amp;TODAY()+30)+COUNTIFS(D657,"&gt;"&amp;TODAY(),D657,"&lt;="&amp;TODAY()+30)+COUNTIFS(E657,"&gt;"&amp;TODAY(),E657,"&lt;="&amp;TODAY()+30)+COUNTIFS(F657,"&gt;"&amp;TODAY(),F657,"&lt;="&amp;TODAY()+30)&gt;0),1,0)</x:f>
        <x:v>0</x:v>
      </x:c>
      <x:c r="R657" t="n">
        <x:f>R656+IF(OR(LEFT(H657,15)="Missing dates; ",LEFT(H657,16)="Add N/A reason; ",H657="Add dates",H657="Add registration",H657="Check date format"),1,0)</x:f>
        <x:v>0</x:v>
      </x:c>
      <x:c r="S657" t="n">
        <x:f>S656+IF(COUNTIFS(C657:F657,"Reviewed N/A")&gt;0,1,0)</x:f>
        <x:v>0</x:v>
      </x:c>
    </x:row>
    <x:row r="658" ht="48" customHeight="1">
      <x:c r="A658" s="52"/>
      <x:c r="B658" s="52"/>
      <x:c r="C658" s="53"/>
      <x:c r="D658" s="53"/>
      <x:c r="E658" s="53"/>
      <x:c r="F658" s="53"/>
      <x:c r="G658" s="52"/>
      <x:c r="H658" s="21" t="str">
        <x:f>IF(COUNTA(A658:G658,I658)=0,"",IF(A658="","Add registration",IF(OR(COUNTA(C658:F658)&gt;COUNT(C658:F658)+COUNTIFS(C658:F658,"Reviewed N/A"),AND(COUNT(C658:F658)&gt;0,OR(MIN(C658:F658)&lt;36526,MAX(C658:F658)&gt;109574))),"Check date format",IF(AND(COUNTIFS(C658:F658,"Reviewed N/A")&gt;0,I658=""),"Add N/A reason; ","")&amp;IF(COUNT(C658:F658)=0,IF(COUNTIFS(C658:F658,"Reviewed N/A")=4,"No applicable dates recorded","Add dates"),IF(COUNT(C658:F658)+COUNTIFS(C658:F658,"Reviewed N/A")&lt;4,"Missing dates; ","")&amp;IF(MIN(C658:F658)&lt;TODAY(),"Overdue: ",IF(MIN(C658:F658)=TODAY(),"Due today: ",IF(MIN(C658:F658)&lt;=TODAY()+30,"Due within 30 days: ","Next: ")))&amp;INDEX($C$8:$F$8,1,MATCH(MIN(C658:F658),C658:F658,0))&amp;" "&amp;TEXT(MIN(C658:F658),"dd mmm yyyy")))))</x:f>
      </x:c>
      <x:c r="I658" s="52"/>
      <x:c r="J658" t="str">
        <x:f>IF(AND(A658&lt;&gt;"",COUNTIFS(C658,"&gt;=36526",C658,"&lt;"&amp;TODAY())+COUNTIFS(D658,"&gt;=36526",D658,"&lt;"&amp;TODAY())+COUNTIFS(E658,"&gt;=36526",E658,"&lt;"&amp;TODAY())+COUNTIFS(F658,"&gt;=36526",F658,"&lt;"&amp;TODAY())&gt;0),O658,"")</x:f>
      </x:c>
      <x:c r="K658" t="str">
        <x:f>IF(AND(A658&lt;&gt;"",COUNTIFS(C658,"&gt;=36526",C658,TODAY())+COUNTIFS(D658,"&gt;=36526",D658,TODAY())+COUNTIFS(E658,"&gt;=36526",E658,TODAY())+COUNTIFS(F658,"&gt;=36526",F658,TODAY())&gt;0),P658,"")</x:f>
      </x:c>
      <x:c r="L658" t="str">
        <x:f>IF(AND(A658&lt;&gt;"",COUNTIFS(C658,"&gt;"&amp;TODAY(),C658,"&lt;="&amp;TODAY()+30)+COUNTIFS(D658,"&gt;"&amp;TODAY(),D658,"&lt;="&amp;TODAY()+30)+COUNTIFS(E658,"&gt;"&amp;TODAY(),E658,"&lt;="&amp;TODAY()+30)+COUNTIFS(F658,"&gt;"&amp;TODAY(),F658,"&lt;="&amp;TODAY()+30)&gt;0),Q658,"")</x:f>
      </x:c>
      <x:c r="M658" t="str">
        <x:f>IF(OR(LEFT(H658,15)="Missing dates; ",LEFT(H658,16)="Add N/A reason; ",H658="Add dates",H658="Add registration",H658="Check date format"),R658,"")</x:f>
      </x:c>
      <x:c r="N658" t="str">
        <x:f>IF(COUNTIFS(C658:F658,"Reviewed N/A")&gt;0,S658,"")</x:f>
      </x:c>
      <x:c r="O658" t="n">
        <x:f>O657+IF(AND(A658&lt;&gt;"",COUNTIFS(C658,"&gt;=36526",C658,"&lt;"&amp;TODAY())+COUNTIFS(D658,"&gt;=36526",D658,"&lt;"&amp;TODAY())+COUNTIFS(E658,"&gt;=36526",E658,"&lt;"&amp;TODAY())+COUNTIFS(F658,"&gt;=36526",F658,"&lt;"&amp;TODAY())&gt;0),1,0)</x:f>
        <x:v>0</x:v>
      </x:c>
      <x:c r="P658" t="n">
        <x:f>P657+IF(AND(A658&lt;&gt;"",COUNTIFS(C658,"&gt;=36526",C658,TODAY())+COUNTIFS(D658,"&gt;=36526",D658,TODAY())+COUNTIFS(E658,"&gt;=36526",E658,TODAY())+COUNTIFS(F658,"&gt;=36526",F658,TODAY())&gt;0),1,0)</x:f>
        <x:v>0</x:v>
      </x:c>
      <x:c r="Q658" t="n">
        <x:f>Q657+IF(AND(A658&lt;&gt;"",COUNTIFS(C658,"&gt;"&amp;TODAY(),C658,"&lt;="&amp;TODAY()+30)+COUNTIFS(D658,"&gt;"&amp;TODAY(),D658,"&lt;="&amp;TODAY()+30)+COUNTIFS(E658,"&gt;"&amp;TODAY(),E658,"&lt;="&amp;TODAY()+30)+COUNTIFS(F658,"&gt;"&amp;TODAY(),F658,"&lt;="&amp;TODAY()+30)&gt;0),1,0)</x:f>
        <x:v>0</x:v>
      </x:c>
      <x:c r="R658" t="n">
        <x:f>R657+IF(OR(LEFT(H658,15)="Missing dates; ",LEFT(H658,16)="Add N/A reason; ",H658="Add dates",H658="Add registration",H658="Check date format"),1,0)</x:f>
        <x:v>0</x:v>
      </x:c>
      <x:c r="S658" t="n">
        <x:f>S657+IF(COUNTIFS(C658:F658,"Reviewed N/A")&gt;0,1,0)</x:f>
        <x:v>0</x:v>
      </x:c>
    </x:row>
    <x:row r="659" ht="48" customHeight="1">
      <x:c r="A659" s="52"/>
      <x:c r="B659" s="52"/>
      <x:c r="C659" s="53"/>
      <x:c r="D659" s="53"/>
      <x:c r="E659" s="53"/>
      <x:c r="F659" s="53"/>
      <x:c r="G659" s="52"/>
      <x:c r="H659" s="21" t="str">
        <x:f>IF(COUNTA(A659:G659,I659)=0,"",IF(A659="","Add registration",IF(OR(COUNTA(C659:F659)&gt;COUNT(C659:F659)+COUNTIFS(C659:F659,"Reviewed N/A"),AND(COUNT(C659:F659)&gt;0,OR(MIN(C659:F659)&lt;36526,MAX(C659:F659)&gt;109574))),"Check date format",IF(AND(COUNTIFS(C659:F659,"Reviewed N/A")&gt;0,I659=""),"Add N/A reason; ","")&amp;IF(COUNT(C659:F659)=0,IF(COUNTIFS(C659:F659,"Reviewed N/A")=4,"No applicable dates recorded","Add dates"),IF(COUNT(C659:F659)+COUNTIFS(C659:F659,"Reviewed N/A")&lt;4,"Missing dates; ","")&amp;IF(MIN(C659:F659)&lt;TODAY(),"Overdue: ",IF(MIN(C659:F659)=TODAY(),"Due today: ",IF(MIN(C659:F659)&lt;=TODAY()+30,"Due within 30 days: ","Next: ")))&amp;INDEX($C$8:$F$8,1,MATCH(MIN(C659:F659),C659:F659,0))&amp;" "&amp;TEXT(MIN(C659:F659),"dd mmm yyyy")))))</x:f>
      </x:c>
      <x:c r="I659" s="52"/>
      <x:c r="J659" t="str">
        <x:f>IF(AND(A659&lt;&gt;"",COUNTIFS(C659,"&gt;=36526",C659,"&lt;"&amp;TODAY())+COUNTIFS(D659,"&gt;=36526",D659,"&lt;"&amp;TODAY())+COUNTIFS(E659,"&gt;=36526",E659,"&lt;"&amp;TODAY())+COUNTIFS(F659,"&gt;=36526",F659,"&lt;"&amp;TODAY())&gt;0),O659,"")</x:f>
      </x:c>
      <x:c r="K659" t="str">
        <x:f>IF(AND(A659&lt;&gt;"",COUNTIFS(C659,"&gt;=36526",C659,TODAY())+COUNTIFS(D659,"&gt;=36526",D659,TODAY())+COUNTIFS(E659,"&gt;=36526",E659,TODAY())+COUNTIFS(F659,"&gt;=36526",F659,TODAY())&gt;0),P659,"")</x:f>
      </x:c>
      <x:c r="L659" t="str">
        <x:f>IF(AND(A659&lt;&gt;"",COUNTIFS(C659,"&gt;"&amp;TODAY(),C659,"&lt;="&amp;TODAY()+30)+COUNTIFS(D659,"&gt;"&amp;TODAY(),D659,"&lt;="&amp;TODAY()+30)+COUNTIFS(E659,"&gt;"&amp;TODAY(),E659,"&lt;="&amp;TODAY()+30)+COUNTIFS(F659,"&gt;"&amp;TODAY(),F659,"&lt;="&amp;TODAY()+30)&gt;0),Q659,"")</x:f>
      </x:c>
      <x:c r="M659" t="str">
        <x:f>IF(OR(LEFT(H659,15)="Missing dates; ",LEFT(H659,16)="Add N/A reason; ",H659="Add dates",H659="Add registration",H659="Check date format"),R659,"")</x:f>
      </x:c>
      <x:c r="N659" t="str">
        <x:f>IF(COUNTIFS(C659:F659,"Reviewed N/A")&gt;0,S659,"")</x:f>
      </x:c>
      <x:c r="O659" t="n">
        <x:f>O658+IF(AND(A659&lt;&gt;"",COUNTIFS(C659,"&gt;=36526",C659,"&lt;"&amp;TODAY())+COUNTIFS(D659,"&gt;=36526",D659,"&lt;"&amp;TODAY())+COUNTIFS(E659,"&gt;=36526",E659,"&lt;"&amp;TODAY())+COUNTIFS(F659,"&gt;=36526",F659,"&lt;"&amp;TODAY())&gt;0),1,0)</x:f>
        <x:v>0</x:v>
      </x:c>
      <x:c r="P659" t="n">
        <x:f>P658+IF(AND(A659&lt;&gt;"",COUNTIFS(C659,"&gt;=36526",C659,TODAY())+COUNTIFS(D659,"&gt;=36526",D659,TODAY())+COUNTIFS(E659,"&gt;=36526",E659,TODAY())+COUNTIFS(F659,"&gt;=36526",F659,TODAY())&gt;0),1,0)</x:f>
        <x:v>0</x:v>
      </x:c>
      <x:c r="Q659" t="n">
        <x:f>Q658+IF(AND(A659&lt;&gt;"",COUNTIFS(C659,"&gt;"&amp;TODAY(),C659,"&lt;="&amp;TODAY()+30)+COUNTIFS(D659,"&gt;"&amp;TODAY(),D659,"&lt;="&amp;TODAY()+30)+COUNTIFS(E659,"&gt;"&amp;TODAY(),E659,"&lt;="&amp;TODAY()+30)+COUNTIFS(F659,"&gt;"&amp;TODAY(),F659,"&lt;="&amp;TODAY()+30)&gt;0),1,0)</x:f>
        <x:v>0</x:v>
      </x:c>
      <x:c r="R659" t="n">
        <x:f>R658+IF(OR(LEFT(H659,15)="Missing dates; ",LEFT(H659,16)="Add N/A reason; ",H659="Add dates",H659="Add registration",H659="Check date format"),1,0)</x:f>
        <x:v>0</x:v>
      </x:c>
      <x:c r="S659" t="n">
        <x:f>S658+IF(COUNTIFS(C659:F659,"Reviewed N/A")&gt;0,1,0)</x:f>
        <x:v>0</x:v>
      </x:c>
    </x:row>
    <x:row r="660" ht="48" customHeight="1">
      <x:c r="A660" s="52"/>
      <x:c r="B660" s="52"/>
      <x:c r="C660" s="53"/>
      <x:c r="D660" s="53"/>
      <x:c r="E660" s="53"/>
      <x:c r="F660" s="53"/>
      <x:c r="G660" s="52"/>
      <x:c r="H660" s="21" t="str">
        <x:f>IF(COUNTA(A660:G660,I660)=0,"",IF(A660="","Add registration",IF(OR(COUNTA(C660:F660)&gt;COUNT(C660:F660)+COUNTIFS(C660:F660,"Reviewed N/A"),AND(COUNT(C660:F660)&gt;0,OR(MIN(C660:F660)&lt;36526,MAX(C660:F660)&gt;109574))),"Check date format",IF(AND(COUNTIFS(C660:F660,"Reviewed N/A")&gt;0,I660=""),"Add N/A reason; ","")&amp;IF(COUNT(C660:F660)=0,IF(COUNTIFS(C660:F660,"Reviewed N/A")=4,"No applicable dates recorded","Add dates"),IF(COUNT(C660:F660)+COUNTIFS(C660:F660,"Reviewed N/A")&lt;4,"Missing dates; ","")&amp;IF(MIN(C660:F660)&lt;TODAY(),"Overdue: ",IF(MIN(C660:F660)=TODAY(),"Due today: ",IF(MIN(C660:F660)&lt;=TODAY()+30,"Due within 30 days: ","Next: ")))&amp;INDEX($C$8:$F$8,1,MATCH(MIN(C660:F660),C660:F660,0))&amp;" "&amp;TEXT(MIN(C660:F660),"dd mmm yyyy")))))</x:f>
      </x:c>
      <x:c r="I660" s="52"/>
      <x:c r="J660" t="str">
        <x:f>IF(AND(A660&lt;&gt;"",COUNTIFS(C660,"&gt;=36526",C660,"&lt;"&amp;TODAY())+COUNTIFS(D660,"&gt;=36526",D660,"&lt;"&amp;TODAY())+COUNTIFS(E660,"&gt;=36526",E660,"&lt;"&amp;TODAY())+COUNTIFS(F660,"&gt;=36526",F660,"&lt;"&amp;TODAY())&gt;0),O660,"")</x:f>
      </x:c>
      <x:c r="K660" t="str">
        <x:f>IF(AND(A660&lt;&gt;"",COUNTIFS(C660,"&gt;=36526",C660,TODAY())+COUNTIFS(D660,"&gt;=36526",D660,TODAY())+COUNTIFS(E660,"&gt;=36526",E660,TODAY())+COUNTIFS(F660,"&gt;=36526",F660,TODAY())&gt;0),P660,"")</x:f>
      </x:c>
      <x:c r="L660" t="str">
        <x:f>IF(AND(A660&lt;&gt;"",COUNTIFS(C660,"&gt;"&amp;TODAY(),C660,"&lt;="&amp;TODAY()+30)+COUNTIFS(D660,"&gt;"&amp;TODAY(),D660,"&lt;="&amp;TODAY()+30)+COUNTIFS(E660,"&gt;"&amp;TODAY(),E660,"&lt;="&amp;TODAY()+30)+COUNTIFS(F660,"&gt;"&amp;TODAY(),F660,"&lt;="&amp;TODAY()+30)&gt;0),Q660,"")</x:f>
      </x:c>
      <x:c r="M660" t="str">
        <x:f>IF(OR(LEFT(H660,15)="Missing dates; ",LEFT(H660,16)="Add N/A reason; ",H660="Add dates",H660="Add registration",H660="Check date format"),R660,"")</x:f>
      </x:c>
      <x:c r="N660" t="str">
        <x:f>IF(COUNTIFS(C660:F660,"Reviewed N/A")&gt;0,S660,"")</x:f>
      </x:c>
      <x:c r="O660" t="n">
        <x:f>O659+IF(AND(A660&lt;&gt;"",COUNTIFS(C660,"&gt;=36526",C660,"&lt;"&amp;TODAY())+COUNTIFS(D660,"&gt;=36526",D660,"&lt;"&amp;TODAY())+COUNTIFS(E660,"&gt;=36526",E660,"&lt;"&amp;TODAY())+COUNTIFS(F660,"&gt;=36526",F660,"&lt;"&amp;TODAY())&gt;0),1,0)</x:f>
        <x:v>0</x:v>
      </x:c>
      <x:c r="P660" t="n">
        <x:f>P659+IF(AND(A660&lt;&gt;"",COUNTIFS(C660,"&gt;=36526",C660,TODAY())+COUNTIFS(D660,"&gt;=36526",D660,TODAY())+COUNTIFS(E660,"&gt;=36526",E660,TODAY())+COUNTIFS(F660,"&gt;=36526",F660,TODAY())&gt;0),1,0)</x:f>
        <x:v>0</x:v>
      </x:c>
      <x:c r="Q660" t="n">
        <x:f>Q659+IF(AND(A660&lt;&gt;"",COUNTIFS(C660,"&gt;"&amp;TODAY(),C660,"&lt;="&amp;TODAY()+30)+COUNTIFS(D660,"&gt;"&amp;TODAY(),D660,"&lt;="&amp;TODAY()+30)+COUNTIFS(E660,"&gt;"&amp;TODAY(),E660,"&lt;="&amp;TODAY()+30)+COUNTIFS(F660,"&gt;"&amp;TODAY(),F660,"&lt;="&amp;TODAY()+30)&gt;0),1,0)</x:f>
        <x:v>0</x:v>
      </x:c>
      <x:c r="R660" t="n">
        <x:f>R659+IF(OR(LEFT(H660,15)="Missing dates; ",LEFT(H660,16)="Add N/A reason; ",H660="Add dates",H660="Add registration",H660="Check date format"),1,0)</x:f>
        <x:v>0</x:v>
      </x:c>
      <x:c r="S660" t="n">
        <x:f>S659+IF(COUNTIFS(C660:F660,"Reviewed N/A")&gt;0,1,0)</x:f>
        <x:v>0</x:v>
      </x:c>
    </x:row>
    <x:row r="661" ht="48" customHeight="1">
      <x:c r="A661" s="52"/>
      <x:c r="B661" s="52"/>
      <x:c r="C661" s="53"/>
      <x:c r="D661" s="53"/>
      <x:c r="E661" s="53"/>
      <x:c r="F661" s="53"/>
      <x:c r="G661" s="52"/>
      <x:c r="H661" s="21" t="str">
        <x:f>IF(COUNTA(A661:G661,I661)=0,"",IF(A661="","Add registration",IF(OR(COUNTA(C661:F661)&gt;COUNT(C661:F661)+COUNTIFS(C661:F661,"Reviewed N/A"),AND(COUNT(C661:F661)&gt;0,OR(MIN(C661:F661)&lt;36526,MAX(C661:F661)&gt;109574))),"Check date format",IF(AND(COUNTIFS(C661:F661,"Reviewed N/A")&gt;0,I661=""),"Add N/A reason; ","")&amp;IF(COUNT(C661:F661)=0,IF(COUNTIFS(C661:F661,"Reviewed N/A")=4,"No applicable dates recorded","Add dates"),IF(COUNT(C661:F661)+COUNTIFS(C661:F661,"Reviewed N/A")&lt;4,"Missing dates; ","")&amp;IF(MIN(C661:F661)&lt;TODAY(),"Overdue: ",IF(MIN(C661:F661)=TODAY(),"Due today: ",IF(MIN(C661:F661)&lt;=TODAY()+30,"Due within 30 days: ","Next: ")))&amp;INDEX($C$8:$F$8,1,MATCH(MIN(C661:F661),C661:F661,0))&amp;" "&amp;TEXT(MIN(C661:F661),"dd mmm yyyy")))))</x:f>
      </x:c>
      <x:c r="I661" s="52"/>
      <x:c r="J661" t="str">
        <x:f>IF(AND(A661&lt;&gt;"",COUNTIFS(C661,"&gt;=36526",C661,"&lt;"&amp;TODAY())+COUNTIFS(D661,"&gt;=36526",D661,"&lt;"&amp;TODAY())+COUNTIFS(E661,"&gt;=36526",E661,"&lt;"&amp;TODAY())+COUNTIFS(F661,"&gt;=36526",F661,"&lt;"&amp;TODAY())&gt;0),O661,"")</x:f>
      </x:c>
      <x:c r="K661" t="str">
        <x:f>IF(AND(A661&lt;&gt;"",COUNTIFS(C661,"&gt;=36526",C661,TODAY())+COUNTIFS(D661,"&gt;=36526",D661,TODAY())+COUNTIFS(E661,"&gt;=36526",E661,TODAY())+COUNTIFS(F661,"&gt;=36526",F661,TODAY())&gt;0),P661,"")</x:f>
      </x:c>
      <x:c r="L661" t="str">
        <x:f>IF(AND(A661&lt;&gt;"",COUNTIFS(C661,"&gt;"&amp;TODAY(),C661,"&lt;="&amp;TODAY()+30)+COUNTIFS(D661,"&gt;"&amp;TODAY(),D661,"&lt;="&amp;TODAY()+30)+COUNTIFS(E661,"&gt;"&amp;TODAY(),E661,"&lt;="&amp;TODAY()+30)+COUNTIFS(F661,"&gt;"&amp;TODAY(),F661,"&lt;="&amp;TODAY()+30)&gt;0),Q661,"")</x:f>
      </x:c>
      <x:c r="M661" t="str">
        <x:f>IF(OR(LEFT(H661,15)="Missing dates; ",LEFT(H661,16)="Add N/A reason; ",H661="Add dates",H661="Add registration",H661="Check date format"),R661,"")</x:f>
      </x:c>
      <x:c r="N661" t="str">
        <x:f>IF(COUNTIFS(C661:F661,"Reviewed N/A")&gt;0,S661,"")</x:f>
      </x:c>
      <x:c r="O661" t="n">
        <x:f>O660+IF(AND(A661&lt;&gt;"",COUNTIFS(C661,"&gt;=36526",C661,"&lt;"&amp;TODAY())+COUNTIFS(D661,"&gt;=36526",D661,"&lt;"&amp;TODAY())+COUNTIFS(E661,"&gt;=36526",E661,"&lt;"&amp;TODAY())+COUNTIFS(F661,"&gt;=36526",F661,"&lt;"&amp;TODAY())&gt;0),1,0)</x:f>
        <x:v>0</x:v>
      </x:c>
      <x:c r="P661" t="n">
        <x:f>P660+IF(AND(A661&lt;&gt;"",COUNTIFS(C661,"&gt;=36526",C661,TODAY())+COUNTIFS(D661,"&gt;=36526",D661,TODAY())+COUNTIFS(E661,"&gt;=36526",E661,TODAY())+COUNTIFS(F661,"&gt;=36526",F661,TODAY())&gt;0),1,0)</x:f>
        <x:v>0</x:v>
      </x:c>
      <x:c r="Q661" t="n">
        <x:f>Q660+IF(AND(A661&lt;&gt;"",COUNTIFS(C661,"&gt;"&amp;TODAY(),C661,"&lt;="&amp;TODAY()+30)+COUNTIFS(D661,"&gt;"&amp;TODAY(),D661,"&lt;="&amp;TODAY()+30)+COUNTIFS(E661,"&gt;"&amp;TODAY(),E661,"&lt;="&amp;TODAY()+30)+COUNTIFS(F661,"&gt;"&amp;TODAY(),F661,"&lt;="&amp;TODAY()+30)&gt;0),1,0)</x:f>
        <x:v>0</x:v>
      </x:c>
      <x:c r="R661" t="n">
        <x:f>R660+IF(OR(LEFT(H661,15)="Missing dates; ",LEFT(H661,16)="Add N/A reason; ",H661="Add dates",H661="Add registration",H661="Check date format"),1,0)</x:f>
        <x:v>0</x:v>
      </x:c>
      <x:c r="S661" t="n">
        <x:f>S660+IF(COUNTIFS(C661:F661,"Reviewed N/A")&gt;0,1,0)</x:f>
        <x:v>0</x:v>
      </x:c>
    </x:row>
    <x:row r="662" ht="48" customHeight="1">
      <x:c r="A662" s="52"/>
      <x:c r="B662" s="52"/>
      <x:c r="C662" s="53"/>
      <x:c r="D662" s="53"/>
      <x:c r="E662" s="53"/>
      <x:c r="F662" s="53"/>
      <x:c r="G662" s="52"/>
      <x:c r="H662" s="21" t="str">
        <x:f>IF(COUNTA(A662:G662,I662)=0,"",IF(A662="","Add registration",IF(OR(COUNTA(C662:F662)&gt;COUNT(C662:F662)+COUNTIFS(C662:F662,"Reviewed N/A"),AND(COUNT(C662:F662)&gt;0,OR(MIN(C662:F662)&lt;36526,MAX(C662:F662)&gt;109574))),"Check date format",IF(AND(COUNTIFS(C662:F662,"Reviewed N/A")&gt;0,I662=""),"Add N/A reason; ","")&amp;IF(COUNT(C662:F662)=0,IF(COUNTIFS(C662:F662,"Reviewed N/A")=4,"No applicable dates recorded","Add dates"),IF(COUNT(C662:F662)+COUNTIFS(C662:F662,"Reviewed N/A")&lt;4,"Missing dates; ","")&amp;IF(MIN(C662:F662)&lt;TODAY(),"Overdue: ",IF(MIN(C662:F662)=TODAY(),"Due today: ",IF(MIN(C662:F662)&lt;=TODAY()+30,"Due within 30 days: ","Next: ")))&amp;INDEX($C$8:$F$8,1,MATCH(MIN(C662:F662),C662:F662,0))&amp;" "&amp;TEXT(MIN(C662:F662),"dd mmm yyyy")))))</x:f>
      </x:c>
      <x:c r="I662" s="52"/>
      <x:c r="J662" t="str">
        <x:f>IF(AND(A662&lt;&gt;"",COUNTIFS(C662,"&gt;=36526",C662,"&lt;"&amp;TODAY())+COUNTIFS(D662,"&gt;=36526",D662,"&lt;"&amp;TODAY())+COUNTIFS(E662,"&gt;=36526",E662,"&lt;"&amp;TODAY())+COUNTIFS(F662,"&gt;=36526",F662,"&lt;"&amp;TODAY())&gt;0),O662,"")</x:f>
      </x:c>
      <x:c r="K662" t="str">
        <x:f>IF(AND(A662&lt;&gt;"",COUNTIFS(C662,"&gt;=36526",C662,TODAY())+COUNTIFS(D662,"&gt;=36526",D662,TODAY())+COUNTIFS(E662,"&gt;=36526",E662,TODAY())+COUNTIFS(F662,"&gt;=36526",F662,TODAY())&gt;0),P662,"")</x:f>
      </x:c>
      <x:c r="L662" t="str">
        <x:f>IF(AND(A662&lt;&gt;"",COUNTIFS(C662,"&gt;"&amp;TODAY(),C662,"&lt;="&amp;TODAY()+30)+COUNTIFS(D662,"&gt;"&amp;TODAY(),D662,"&lt;="&amp;TODAY()+30)+COUNTIFS(E662,"&gt;"&amp;TODAY(),E662,"&lt;="&amp;TODAY()+30)+COUNTIFS(F662,"&gt;"&amp;TODAY(),F662,"&lt;="&amp;TODAY()+30)&gt;0),Q662,"")</x:f>
      </x:c>
      <x:c r="M662" t="str">
        <x:f>IF(OR(LEFT(H662,15)="Missing dates; ",LEFT(H662,16)="Add N/A reason; ",H662="Add dates",H662="Add registration",H662="Check date format"),R662,"")</x:f>
      </x:c>
      <x:c r="N662" t="str">
        <x:f>IF(COUNTIFS(C662:F662,"Reviewed N/A")&gt;0,S662,"")</x:f>
      </x:c>
      <x:c r="O662" t="n">
        <x:f>O661+IF(AND(A662&lt;&gt;"",COUNTIFS(C662,"&gt;=36526",C662,"&lt;"&amp;TODAY())+COUNTIFS(D662,"&gt;=36526",D662,"&lt;"&amp;TODAY())+COUNTIFS(E662,"&gt;=36526",E662,"&lt;"&amp;TODAY())+COUNTIFS(F662,"&gt;=36526",F662,"&lt;"&amp;TODAY())&gt;0),1,0)</x:f>
        <x:v>0</x:v>
      </x:c>
      <x:c r="P662" t="n">
        <x:f>P661+IF(AND(A662&lt;&gt;"",COUNTIFS(C662,"&gt;=36526",C662,TODAY())+COUNTIFS(D662,"&gt;=36526",D662,TODAY())+COUNTIFS(E662,"&gt;=36526",E662,TODAY())+COUNTIFS(F662,"&gt;=36526",F662,TODAY())&gt;0),1,0)</x:f>
        <x:v>0</x:v>
      </x:c>
      <x:c r="Q662" t="n">
        <x:f>Q661+IF(AND(A662&lt;&gt;"",COUNTIFS(C662,"&gt;"&amp;TODAY(),C662,"&lt;="&amp;TODAY()+30)+COUNTIFS(D662,"&gt;"&amp;TODAY(),D662,"&lt;="&amp;TODAY()+30)+COUNTIFS(E662,"&gt;"&amp;TODAY(),E662,"&lt;="&amp;TODAY()+30)+COUNTIFS(F662,"&gt;"&amp;TODAY(),F662,"&lt;="&amp;TODAY()+30)&gt;0),1,0)</x:f>
        <x:v>0</x:v>
      </x:c>
      <x:c r="R662" t="n">
        <x:f>R661+IF(OR(LEFT(H662,15)="Missing dates; ",LEFT(H662,16)="Add N/A reason; ",H662="Add dates",H662="Add registration",H662="Check date format"),1,0)</x:f>
        <x:v>0</x:v>
      </x:c>
      <x:c r="S662" t="n">
        <x:f>S661+IF(COUNTIFS(C662:F662,"Reviewed N/A")&gt;0,1,0)</x:f>
        <x:v>0</x:v>
      </x:c>
    </x:row>
    <x:row r="663" ht="48" customHeight="1">
      <x:c r="A663" s="52"/>
      <x:c r="B663" s="52"/>
      <x:c r="C663" s="53"/>
      <x:c r="D663" s="53"/>
      <x:c r="E663" s="53"/>
      <x:c r="F663" s="53"/>
      <x:c r="G663" s="52"/>
      <x:c r="H663" s="21" t="str">
        <x:f>IF(COUNTA(A663:G663,I663)=0,"",IF(A663="","Add registration",IF(OR(COUNTA(C663:F663)&gt;COUNT(C663:F663)+COUNTIFS(C663:F663,"Reviewed N/A"),AND(COUNT(C663:F663)&gt;0,OR(MIN(C663:F663)&lt;36526,MAX(C663:F663)&gt;109574))),"Check date format",IF(AND(COUNTIFS(C663:F663,"Reviewed N/A")&gt;0,I663=""),"Add N/A reason; ","")&amp;IF(COUNT(C663:F663)=0,IF(COUNTIFS(C663:F663,"Reviewed N/A")=4,"No applicable dates recorded","Add dates"),IF(COUNT(C663:F663)+COUNTIFS(C663:F663,"Reviewed N/A")&lt;4,"Missing dates; ","")&amp;IF(MIN(C663:F663)&lt;TODAY(),"Overdue: ",IF(MIN(C663:F663)=TODAY(),"Due today: ",IF(MIN(C663:F663)&lt;=TODAY()+30,"Due within 30 days: ","Next: ")))&amp;INDEX($C$8:$F$8,1,MATCH(MIN(C663:F663),C663:F663,0))&amp;" "&amp;TEXT(MIN(C663:F663),"dd mmm yyyy")))))</x:f>
      </x:c>
      <x:c r="I663" s="52"/>
      <x:c r="J663" t="str">
        <x:f>IF(AND(A663&lt;&gt;"",COUNTIFS(C663,"&gt;=36526",C663,"&lt;"&amp;TODAY())+COUNTIFS(D663,"&gt;=36526",D663,"&lt;"&amp;TODAY())+COUNTIFS(E663,"&gt;=36526",E663,"&lt;"&amp;TODAY())+COUNTIFS(F663,"&gt;=36526",F663,"&lt;"&amp;TODAY())&gt;0),O663,"")</x:f>
      </x:c>
      <x:c r="K663" t="str">
        <x:f>IF(AND(A663&lt;&gt;"",COUNTIFS(C663,"&gt;=36526",C663,TODAY())+COUNTIFS(D663,"&gt;=36526",D663,TODAY())+COUNTIFS(E663,"&gt;=36526",E663,TODAY())+COUNTIFS(F663,"&gt;=36526",F663,TODAY())&gt;0),P663,"")</x:f>
      </x:c>
      <x:c r="L663" t="str">
        <x:f>IF(AND(A663&lt;&gt;"",COUNTIFS(C663,"&gt;"&amp;TODAY(),C663,"&lt;="&amp;TODAY()+30)+COUNTIFS(D663,"&gt;"&amp;TODAY(),D663,"&lt;="&amp;TODAY()+30)+COUNTIFS(E663,"&gt;"&amp;TODAY(),E663,"&lt;="&amp;TODAY()+30)+COUNTIFS(F663,"&gt;"&amp;TODAY(),F663,"&lt;="&amp;TODAY()+30)&gt;0),Q663,"")</x:f>
      </x:c>
      <x:c r="M663" t="str">
        <x:f>IF(OR(LEFT(H663,15)="Missing dates; ",LEFT(H663,16)="Add N/A reason; ",H663="Add dates",H663="Add registration",H663="Check date format"),R663,"")</x:f>
      </x:c>
      <x:c r="N663" t="str">
        <x:f>IF(COUNTIFS(C663:F663,"Reviewed N/A")&gt;0,S663,"")</x:f>
      </x:c>
      <x:c r="O663" t="n">
        <x:f>O662+IF(AND(A663&lt;&gt;"",COUNTIFS(C663,"&gt;=36526",C663,"&lt;"&amp;TODAY())+COUNTIFS(D663,"&gt;=36526",D663,"&lt;"&amp;TODAY())+COUNTIFS(E663,"&gt;=36526",E663,"&lt;"&amp;TODAY())+COUNTIFS(F663,"&gt;=36526",F663,"&lt;"&amp;TODAY())&gt;0),1,0)</x:f>
        <x:v>0</x:v>
      </x:c>
      <x:c r="P663" t="n">
        <x:f>P662+IF(AND(A663&lt;&gt;"",COUNTIFS(C663,"&gt;=36526",C663,TODAY())+COUNTIFS(D663,"&gt;=36526",D663,TODAY())+COUNTIFS(E663,"&gt;=36526",E663,TODAY())+COUNTIFS(F663,"&gt;=36526",F663,TODAY())&gt;0),1,0)</x:f>
        <x:v>0</x:v>
      </x:c>
      <x:c r="Q663" t="n">
        <x:f>Q662+IF(AND(A663&lt;&gt;"",COUNTIFS(C663,"&gt;"&amp;TODAY(),C663,"&lt;="&amp;TODAY()+30)+COUNTIFS(D663,"&gt;"&amp;TODAY(),D663,"&lt;="&amp;TODAY()+30)+COUNTIFS(E663,"&gt;"&amp;TODAY(),E663,"&lt;="&amp;TODAY()+30)+COUNTIFS(F663,"&gt;"&amp;TODAY(),F663,"&lt;="&amp;TODAY()+30)&gt;0),1,0)</x:f>
        <x:v>0</x:v>
      </x:c>
      <x:c r="R663" t="n">
        <x:f>R662+IF(OR(LEFT(H663,15)="Missing dates; ",LEFT(H663,16)="Add N/A reason; ",H663="Add dates",H663="Add registration",H663="Check date format"),1,0)</x:f>
        <x:v>0</x:v>
      </x:c>
      <x:c r="S663" t="n">
        <x:f>S662+IF(COUNTIFS(C663:F663,"Reviewed N/A")&gt;0,1,0)</x:f>
        <x:v>0</x:v>
      </x:c>
    </x:row>
    <x:row r="664" ht="48" customHeight="1">
      <x:c r="A664" s="52"/>
      <x:c r="B664" s="52"/>
      <x:c r="C664" s="53"/>
      <x:c r="D664" s="53"/>
      <x:c r="E664" s="53"/>
      <x:c r="F664" s="53"/>
      <x:c r="G664" s="52"/>
      <x:c r="H664" s="21" t="str">
        <x:f>IF(COUNTA(A664:G664,I664)=0,"",IF(A664="","Add registration",IF(OR(COUNTA(C664:F664)&gt;COUNT(C664:F664)+COUNTIFS(C664:F664,"Reviewed N/A"),AND(COUNT(C664:F664)&gt;0,OR(MIN(C664:F664)&lt;36526,MAX(C664:F664)&gt;109574))),"Check date format",IF(AND(COUNTIFS(C664:F664,"Reviewed N/A")&gt;0,I664=""),"Add N/A reason; ","")&amp;IF(COUNT(C664:F664)=0,IF(COUNTIFS(C664:F664,"Reviewed N/A")=4,"No applicable dates recorded","Add dates"),IF(COUNT(C664:F664)+COUNTIFS(C664:F664,"Reviewed N/A")&lt;4,"Missing dates; ","")&amp;IF(MIN(C664:F664)&lt;TODAY(),"Overdue: ",IF(MIN(C664:F664)=TODAY(),"Due today: ",IF(MIN(C664:F664)&lt;=TODAY()+30,"Due within 30 days: ","Next: ")))&amp;INDEX($C$8:$F$8,1,MATCH(MIN(C664:F664),C664:F664,0))&amp;" "&amp;TEXT(MIN(C664:F664),"dd mmm yyyy")))))</x:f>
      </x:c>
      <x:c r="I664" s="52"/>
      <x:c r="J664" t="str">
        <x:f>IF(AND(A664&lt;&gt;"",COUNTIFS(C664,"&gt;=36526",C664,"&lt;"&amp;TODAY())+COUNTIFS(D664,"&gt;=36526",D664,"&lt;"&amp;TODAY())+COUNTIFS(E664,"&gt;=36526",E664,"&lt;"&amp;TODAY())+COUNTIFS(F664,"&gt;=36526",F664,"&lt;"&amp;TODAY())&gt;0),O664,"")</x:f>
      </x:c>
      <x:c r="K664" t="str">
        <x:f>IF(AND(A664&lt;&gt;"",COUNTIFS(C664,"&gt;=36526",C664,TODAY())+COUNTIFS(D664,"&gt;=36526",D664,TODAY())+COUNTIFS(E664,"&gt;=36526",E664,TODAY())+COUNTIFS(F664,"&gt;=36526",F664,TODAY())&gt;0),P664,"")</x:f>
      </x:c>
      <x:c r="L664" t="str">
        <x:f>IF(AND(A664&lt;&gt;"",COUNTIFS(C664,"&gt;"&amp;TODAY(),C664,"&lt;="&amp;TODAY()+30)+COUNTIFS(D664,"&gt;"&amp;TODAY(),D664,"&lt;="&amp;TODAY()+30)+COUNTIFS(E664,"&gt;"&amp;TODAY(),E664,"&lt;="&amp;TODAY()+30)+COUNTIFS(F664,"&gt;"&amp;TODAY(),F664,"&lt;="&amp;TODAY()+30)&gt;0),Q664,"")</x:f>
      </x:c>
      <x:c r="M664" t="str">
        <x:f>IF(OR(LEFT(H664,15)="Missing dates; ",LEFT(H664,16)="Add N/A reason; ",H664="Add dates",H664="Add registration",H664="Check date format"),R664,"")</x:f>
      </x:c>
      <x:c r="N664" t="str">
        <x:f>IF(COUNTIFS(C664:F664,"Reviewed N/A")&gt;0,S664,"")</x:f>
      </x:c>
      <x:c r="O664" t="n">
        <x:f>O663+IF(AND(A664&lt;&gt;"",COUNTIFS(C664,"&gt;=36526",C664,"&lt;"&amp;TODAY())+COUNTIFS(D664,"&gt;=36526",D664,"&lt;"&amp;TODAY())+COUNTIFS(E664,"&gt;=36526",E664,"&lt;"&amp;TODAY())+COUNTIFS(F664,"&gt;=36526",F664,"&lt;"&amp;TODAY())&gt;0),1,0)</x:f>
        <x:v>0</x:v>
      </x:c>
      <x:c r="P664" t="n">
        <x:f>P663+IF(AND(A664&lt;&gt;"",COUNTIFS(C664,"&gt;=36526",C664,TODAY())+COUNTIFS(D664,"&gt;=36526",D664,TODAY())+COUNTIFS(E664,"&gt;=36526",E664,TODAY())+COUNTIFS(F664,"&gt;=36526",F664,TODAY())&gt;0),1,0)</x:f>
        <x:v>0</x:v>
      </x:c>
      <x:c r="Q664" t="n">
        <x:f>Q663+IF(AND(A664&lt;&gt;"",COUNTIFS(C664,"&gt;"&amp;TODAY(),C664,"&lt;="&amp;TODAY()+30)+COUNTIFS(D664,"&gt;"&amp;TODAY(),D664,"&lt;="&amp;TODAY()+30)+COUNTIFS(E664,"&gt;"&amp;TODAY(),E664,"&lt;="&amp;TODAY()+30)+COUNTIFS(F664,"&gt;"&amp;TODAY(),F664,"&lt;="&amp;TODAY()+30)&gt;0),1,0)</x:f>
        <x:v>0</x:v>
      </x:c>
      <x:c r="R664" t="n">
        <x:f>R663+IF(OR(LEFT(H664,15)="Missing dates; ",LEFT(H664,16)="Add N/A reason; ",H664="Add dates",H664="Add registration",H664="Check date format"),1,0)</x:f>
        <x:v>0</x:v>
      </x:c>
      <x:c r="S664" t="n">
        <x:f>S663+IF(COUNTIFS(C664:F664,"Reviewed N/A")&gt;0,1,0)</x:f>
        <x:v>0</x:v>
      </x:c>
    </x:row>
    <x:row r="665" ht="48" customHeight="1">
      <x:c r="A665" s="52"/>
      <x:c r="B665" s="52"/>
      <x:c r="C665" s="53"/>
      <x:c r="D665" s="53"/>
      <x:c r="E665" s="53"/>
      <x:c r="F665" s="53"/>
      <x:c r="G665" s="52"/>
      <x:c r="H665" s="21" t="str">
        <x:f>IF(COUNTA(A665:G665,I665)=0,"",IF(A665="","Add registration",IF(OR(COUNTA(C665:F665)&gt;COUNT(C665:F665)+COUNTIFS(C665:F665,"Reviewed N/A"),AND(COUNT(C665:F665)&gt;0,OR(MIN(C665:F665)&lt;36526,MAX(C665:F665)&gt;109574))),"Check date format",IF(AND(COUNTIFS(C665:F665,"Reviewed N/A")&gt;0,I665=""),"Add N/A reason; ","")&amp;IF(COUNT(C665:F665)=0,IF(COUNTIFS(C665:F665,"Reviewed N/A")=4,"No applicable dates recorded","Add dates"),IF(COUNT(C665:F665)+COUNTIFS(C665:F665,"Reviewed N/A")&lt;4,"Missing dates; ","")&amp;IF(MIN(C665:F665)&lt;TODAY(),"Overdue: ",IF(MIN(C665:F665)=TODAY(),"Due today: ",IF(MIN(C665:F665)&lt;=TODAY()+30,"Due within 30 days: ","Next: ")))&amp;INDEX($C$8:$F$8,1,MATCH(MIN(C665:F665),C665:F665,0))&amp;" "&amp;TEXT(MIN(C665:F665),"dd mmm yyyy")))))</x:f>
      </x:c>
      <x:c r="I665" s="52"/>
      <x:c r="J665" t="str">
        <x:f>IF(AND(A665&lt;&gt;"",COUNTIFS(C665,"&gt;=36526",C665,"&lt;"&amp;TODAY())+COUNTIFS(D665,"&gt;=36526",D665,"&lt;"&amp;TODAY())+COUNTIFS(E665,"&gt;=36526",E665,"&lt;"&amp;TODAY())+COUNTIFS(F665,"&gt;=36526",F665,"&lt;"&amp;TODAY())&gt;0),O665,"")</x:f>
      </x:c>
      <x:c r="K665" t="str">
        <x:f>IF(AND(A665&lt;&gt;"",COUNTIFS(C665,"&gt;=36526",C665,TODAY())+COUNTIFS(D665,"&gt;=36526",D665,TODAY())+COUNTIFS(E665,"&gt;=36526",E665,TODAY())+COUNTIFS(F665,"&gt;=36526",F665,TODAY())&gt;0),P665,"")</x:f>
      </x:c>
      <x:c r="L665" t="str">
        <x:f>IF(AND(A665&lt;&gt;"",COUNTIFS(C665,"&gt;"&amp;TODAY(),C665,"&lt;="&amp;TODAY()+30)+COUNTIFS(D665,"&gt;"&amp;TODAY(),D665,"&lt;="&amp;TODAY()+30)+COUNTIFS(E665,"&gt;"&amp;TODAY(),E665,"&lt;="&amp;TODAY()+30)+COUNTIFS(F665,"&gt;"&amp;TODAY(),F665,"&lt;="&amp;TODAY()+30)&gt;0),Q665,"")</x:f>
      </x:c>
      <x:c r="M665" t="str">
        <x:f>IF(OR(LEFT(H665,15)="Missing dates; ",LEFT(H665,16)="Add N/A reason; ",H665="Add dates",H665="Add registration",H665="Check date format"),R665,"")</x:f>
      </x:c>
      <x:c r="N665" t="str">
        <x:f>IF(COUNTIFS(C665:F665,"Reviewed N/A")&gt;0,S665,"")</x:f>
      </x:c>
      <x:c r="O665" t="n">
        <x:f>O664+IF(AND(A665&lt;&gt;"",COUNTIFS(C665,"&gt;=36526",C665,"&lt;"&amp;TODAY())+COUNTIFS(D665,"&gt;=36526",D665,"&lt;"&amp;TODAY())+COUNTIFS(E665,"&gt;=36526",E665,"&lt;"&amp;TODAY())+COUNTIFS(F665,"&gt;=36526",F665,"&lt;"&amp;TODAY())&gt;0),1,0)</x:f>
        <x:v>0</x:v>
      </x:c>
      <x:c r="P665" t="n">
        <x:f>P664+IF(AND(A665&lt;&gt;"",COUNTIFS(C665,"&gt;=36526",C665,TODAY())+COUNTIFS(D665,"&gt;=36526",D665,TODAY())+COUNTIFS(E665,"&gt;=36526",E665,TODAY())+COUNTIFS(F665,"&gt;=36526",F665,TODAY())&gt;0),1,0)</x:f>
        <x:v>0</x:v>
      </x:c>
      <x:c r="Q665" t="n">
        <x:f>Q664+IF(AND(A665&lt;&gt;"",COUNTIFS(C665,"&gt;"&amp;TODAY(),C665,"&lt;="&amp;TODAY()+30)+COUNTIFS(D665,"&gt;"&amp;TODAY(),D665,"&lt;="&amp;TODAY()+30)+COUNTIFS(E665,"&gt;"&amp;TODAY(),E665,"&lt;="&amp;TODAY()+30)+COUNTIFS(F665,"&gt;"&amp;TODAY(),F665,"&lt;="&amp;TODAY()+30)&gt;0),1,0)</x:f>
        <x:v>0</x:v>
      </x:c>
      <x:c r="R665" t="n">
        <x:f>R664+IF(OR(LEFT(H665,15)="Missing dates; ",LEFT(H665,16)="Add N/A reason; ",H665="Add dates",H665="Add registration",H665="Check date format"),1,0)</x:f>
        <x:v>0</x:v>
      </x:c>
      <x:c r="S665" t="n">
        <x:f>S664+IF(COUNTIFS(C665:F665,"Reviewed N/A")&gt;0,1,0)</x:f>
        <x:v>0</x:v>
      </x:c>
    </x:row>
    <x:row r="666" ht="48" customHeight="1">
      <x:c r="A666" s="52"/>
      <x:c r="B666" s="52"/>
      <x:c r="C666" s="53"/>
      <x:c r="D666" s="53"/>
      <x:c r="E666" s="53"/>
      <x:c r="F666" s="53"/>
      <x:c r="G666" s="52"/>
      <x:c r="H666" s="21" t="str">
        <x:f>IF(COUNTA(A666:G666,I666)=0,"",IF(A666="","Add registration",IF(OR(COUNTA(C666:F666)&gt;COUNT(C666:F666)+COUNTIFS(C666:F666,"Reviewed N/A"),AND(COUNT(C666:F666)&gt;0,OR(MIN(C666:F666)&lt;36526,MAX(C666:F666)&gt;109574))),"Check date format",IF(AND(COUNTIFS(C666:F666,"Reviewed N/A")&gt;0,I666=""),"Add N/A reason; ","")&amp;IF(COUNT(C666:F666)=0,IF(COUNTIFS(C666:F666,"Reviewed N/A")=4,"No applicable dates recorded","Add dates"),IF(COUNT(C666:F666)+COUNTIFS(C666:F666,"Reviewed N/A")&lt;4,"Missing dates; ","")&amp;IF(MIN(C666:F666)&lt;TODAY(),"Overdue: ",IF(MIN(C666:F666)=TODAY(),"Due today: ",IF(MIN(C666:F666)&lt;=TODAY()+30,"Due within 30 days: ","Next: ")))&amp;INDEX($C$8:$F$8,1,MATCH(MIN(C666:F666),C666:F666,0))&amp;" "&amp;TEXT(MIN(C666:F666),"dd mmm yyyy")))))</x:f>
      </x:c>
      <x:c r="I666" s="52"/>
      <x:c r="J666" t="str">
        <x:f>IF(AND(A666&lt;&gt;"",COUNTIFS(C666,"&gt;=36526",C666,"&lt;"&amp;TODAY())+COUNTIFS(D666,"&gt;=36526",D666,"&lt;"&amp;TODAY())+COUNTIFS(E666,"&gt;=36526",E666,"&lt;"&amp;TODAY())+COUNTIFS(F666,"&gt;=36526",F666,"&lt;"&amp;TODAY())&gt;0),O666,"")</x:f>
      </x:c>
      <x:c r="K666" t="str">
        <x:f>IF(AND(A666&lt;&gt;"",COUNTIFS(C666,"&gt;=36526",C666,TODAY())+COUNTIFS(D666,"&gt;=36526",D666,TODAY())+COUNTIFS(E666,"&gt;=36526",E666,TODAY())+COUNTIFS(F666,"&gt;=36526",F666,TODAY())&gt;0),P666,"")</x:f>
      </x:c>
      <x:c r="L666" t="str">
        <x:f>IF(AND(A666&lt;&gt;"",COUNTIFS(C666,"&gt;"&amp;TODAY(),C666,"&lt;="&amp;TODAY()+30)+COUNTIFS(D666,"&gt;"&amp;TODAY(),D666,"&lt;="&amp;TODAY()+30)+COUNTIFS(E666,"&gt;"&amp;TODAY(),E666,"&lt;="&amp;TODAY()+30)+COUNTIFS(F666,"&gt;"&amp;TODAY(),F666,"&lt;="&amp;TODAY()+30)&gt;0),Q666,"")</x:f>
      </x:c>
      <x:c r="M666" t="str">
        <x:f>IF(OR(LEFT(H666,15)="Missing dates; ",LEFT(H666,16)="Add N/A reason; ",H666="Add dates",H666="Add registration",H666="Check date format"),R666,"")</x:f>
      </x:c>
      <x:c r="N666" t="str">
        <x:f>IF(COUNTIFS(C666:F666,"Reviewed N/A")&gt;0,S666,"")</x:f>
      </x:c>
      <x:c r="O666" t="n">
        <x:f>O665+IF(AND(A666&lt;&gt;"",COUNTIFS(C666,"&gt;=36526",C666,"&lt;"&amp;TODAY())+COUNTIFS(D666,"&gt;=36526",D666,"&lt;"&amp;TODAY())+COUNTIFS(E666,"&gt;=36526",E666,"&lt;"&amp;TODAY())+COUNTIFS(F666,"&gt;=36526",F666,"&lt;"&amp;TODAY())&gt;0),1,0)</x:f>
        <x:v>0</x:v>
      </x:c>
      <x:c r="P666" t="n">
        <x:f>P665+IF(AND(A666&lt;&gt;"",COUNTIFS(C666,"&gt;=36526",C666,TODAY())+COUNTIFS(D666,"&gt;=36526",D666,TODAY())+COUNTIFS(E666,"&gt;=36526",E666,TODAY())+COUNTIFS(F666,"&gt;=36526",F666,TODAY())&gt;0),1,0)</x:f>
        <x:v>0</x:v>
      </x:c>
      <x:c r="Q666" t="n">
        <x:f>Q665+IF(AND(A666&lt;&gt;"",COUNTIFS(C666,"&gt;"&amp;TODAY(),C666,"&lt;="&amp;TODAY()+30)+COUNTIFS(D666,"&gt;"&amp;TODAY(),D666,"&lt;="&amp;TODAY()+30)+COUNTIFS(E666,"&gt;"&amp;TODAY(),E666,"&lt;="&amp;TODAY()+30)+COUNTIFS(F666,"&gt;"&amp;TODAY(),F666,"&lt;="&amp;TODAY()+30)&gt;0),1,0)</x:f>
        <x:v>0</x:v>
      </x:c>
      <x:c r="R666" t="n">
        <x:f>R665+IF(OR(LEFT(H666,15)="Missing dates; ",LEFT(H666,16)="Add N/A reason; ",H666="Add dates",H666="Add registration",H666="Check date format"),1,0)</x:f>
        <x:v>0</x:v>
      </x:c>
      <x:c r="S666" t="n">
        <x:f>S665+IF(COUNTIFS(C666:F666,"Reviewed N/A")&gt;0,1,0)</x:f>
        <x:v>0</x:v>
      </x:c>
    </x:row>
    <x:row r="667" ht="48" customHeight="1">
      <x:c r="A667" s="52"/>
      <x:c r="B667" s="52"/>
      <x:c r="C667" s="53"/>
      <x:c r="D667" s="53"/>
      <x:c r="E667" s="53"/>
      <x:c r="F667" s="53"/>
      <x:c r="G667" s="52"/>
      <x:c r="H667" s="21" t="str">
        <x:f>IF(COUNTA(A667:G667,I667)=0,"",IF(A667="","Add registration",IF(OR(COUNTA(C667:F667)&gt;COUNT(C667:F667)+COUNTIFS(C667:F667,"Reviewed N/A"),AND(COUNT(C667:F667)&gt;0,OR(MIN(C667:F667)&lt;36526,MAX(C667:F667)&gt;109574))),"Check date format",IF(AND(COUNTIFS(C667:F667,"Reviewed N/A")&gt;0,I667=""),"Add N/A reason; ","")&amp;IF(COUNT(C667:F667)=0,IF(COUNTIFS(C667:F667,"Reviewed N/A")=4,"No applicable dates recorded","Add dates"),IF(COUNT(C667:F667)+COUNTIFS(C667:F667,"Reviewed N/A")&lt;4,"Missing dates; ","")&amp;IF(MIN(C667:F667)&lt;TODAY(),"Overdue: ",IF(MIN(C667:F667)=TODAY(),"Due today: ",IF(MIN(C667:F667)&lt;=TODAY()+30,"Due within 30 days: ","Next: ")))&amp;INDEX($C$8:$F$8,1,MATCH(MIN(C667:F667),C667:F667,0))&amp;" "&amp;TEXT(MIN(C667:F667),"dd mmm yyyy")))))</x:f>
      </x:c>
      <x:c r="I667" s="52"/>
      <x:c r="J667" t="str">
        <x:f>IF(AND(A667&lt;&gt;"",COUNTIFS(C667,"&gt;=36526",C667,"&lt;"&amp;TODAY())+COUNTIFS(D667,"&gt;=36526",D667,"&lt;"&amp;TODAY())+COUNTIFS(E667,"&gt;=36526",E667,"&lt;"&amp;TODAY())+COUNTIFS(F667,"&gt;=36526",F667,"&lt;"&amp;TODAY())&gt;0),O667,"")</x:f>
      </x:c>
      <x:c r="K667" t="str">
        <x:f>IF(AND(A667&lt;&gt;"",COUNTIFS(C667,"&gt;=36526",C667,TODAY())+COUNTIFS(D667,"&gt;=36526",D667,TODAY())+COUNTIFS(E667,"&gt;=36526",E667,TODAY())+COUNTIFS(F667,"&gt;=36526",F667,TODAY())&gt;0),P667,"")</x:f>
      </x:c>
      <x:c r="L667" t="str">
        <x:f>IF(AND(A667&lt;&gt;"",COUNTIFS(C667,"&gt;"&amp;TODAY(),C667,"&lt;="&amp;TODAY()+30)+COUNTIFS(D667,"&gt;"&amp;TODAY(),D667,"&lt;="&amp;TODAY()+30)+COUNTIFS(E667,"&gt;"&amp;TODAY(),E667,"&lt;="&amp;TODAY()+30)+COUNTIFS(F667,"&gt;"&amp;TODAY(),F667,"&lt;="&amp;TODAY()+30)&gt;0),Q667,"")</x:f>
      </x:c>
      <x:c r="M667" t="str">
        <x:f>IF(OR(LEFT(H667,15)="Missing dates; ",LEFT(H667,16)="Add N/A reason; ",H667="Add dates",H667="Add registration",H667="Check date format"),R667,"")</x:f>
      </x:c>
      <x:c r="N667" t="str">
        <x:f>IF(COUNTIFS(C667:F667,"Reviewed N/A")&gt;0,S667,"")</x:f>
      </x:c>
      <x:c r="O667" t="n">
        <x:f>O666+IF(AND(A667&lt;&gt;"",COUNTIFS(C667,"&gt;=36526",C667,"&lt;"&amp;TODAY())+COUNTIFS(D667,"&gt;=36526",D667,"&lt;"&amp;TODAY())+COUNTIFS(E667,"&gt;=36526",E667,"&lt;"&amp;TODAY())+COUNTIFS(F667,"&gt;=36526",F667,"&lt;"&amp;TODAY())&gt;0),1,0)</x:f>
        <x:v>0</x:v>
      </x:c>
      <x:c r="P667" t="n">
        <x:f>P666+IF(AND(A667&lt;&gt;"",COUNTIFS(C667,"&gt;=36526",C667,TODAY())+COUNTIFS(D667,"&gt;=36526",D667,TODAY())+COUNTIFS(E667,"&gt;=36526",E667,TODAY())+COUNTIFS(F667,"&gt;=36526",F667,TODAY())&gt;0),1,0)</x:f>
        <x:v>0</x:v>
      </x:c>
      <x:c r="Q667" t="n">
        <x:f>Q666+IF(AND(A667&lt;&gt;"",COUNTIFS(C667,"&gt;"&amp;TODAY(),C667,"&lt;="&amp;TODAY()+30)+COUNTIFS(D667,"&gt;"&amp;TODAY(),D667,"&lt;="&amp;TODAY()+30)+COUNTIFS(E667,"&gt;"&amp;TODAY(),E667,"&lt;="&amp;TODAY()+30)+COUNTIFS(F667,"&gt;"&amp;TODAY(),F667,"&lt;="&amp;TODAY()+30)&gt;0),1,0)</x:f>
        <x:v>0</x:v>
      </x:c>
      <x:c r="R667" t="n">
        <x:f>R666+IF(OR(LEFT(H667,15)="Missing dates; ",LEFT(H667,16)="Add N/A reason; ",H667="Add dates",H667="Add registration",H667="Check date format"),1,0)</x:f>
        <x:v>0</x:v>
      </x:c>
      <x:c r="S667" t="n">
        <x:f>S666+IF(COUNTIFS(C667:F667,"Reviewed N/A")&gt;0,1,0)</x:f>
        <x:v>0</x:v>
      </x:c>
    </x:row>
    <x:row r="668" ht="48" customHeight="1">
      <x:c r="A668" s="52"/>
      <x:c r="B668" s="52"/>
      <x:c r="C668" s="53"/>
      <x:c r="D668" s="53"/>
      <x:c r="E668" s="53"/>
      <x:c r="F668" s="53"/>
      <x:c r="G668" s="52"/>
      <x:c r="H668" s="21" t="str">
        <x:f>IF(COUNTA(A668:G668,I668)=0,"",IF(A668="","Add registration",IF(OR(COUNTA(C668:F668)&gt;COUNT(C668:F668)+COUNTIFS(C668:F668,"Reviewed N/A"),AND(COUNT(C668:F668)&gt;0,OR(MIN(C668:F668)&lt;36526,MAX(C668:F668)&gt;109574))),"Check date format",IF(AND(COUNTIFS(C668:F668,"Reviewed N/A")&gt;0,I668=""),"Add N/A reason; ","")&amp;IF(COUNT(C668:F668)=0,IF(COUNTIFS(C668:F668,"Reviewed N/A")=4,"No applicable dates recorded","Add dates"),IF(COUNT(C668:F668)+COUNTIFS(C668:F668,"Reviewed N/A")&lt;4,"Missing dates; ","")&amp;IF(MIN(C668:F668)&lt;TODAY(),"Overdue: ",IF(MIN(C668:F668)=TODAY(),"Due today: ",IF(MIN(C668:F668)&lt;=TODAY()+30,"Due within 30 days: ","Next: ")))&amp;INDEX($C$8:$F$8,1,MATCH(MIN(C668:F668),C668:F668,0))&amp;" "&amp;TEXT(MIN(C668:F668),"dd mmm yyyy")))))</x:f>
      </x:c>
      <x:c r="I668" s="52"/>
      <x:c r="J668" t="str">
        <x:f>IF(AND(A668&lt;&gt;"",COUNTIFS(C668,"&gt;=36526",C668,"&lt;"&amp;TODAY())+COUNTIFS(D668,"&gt;=36526",D668,"&lt;"&amp;TODAY())+COUNTIFS(E668,"&gt;=36526",E668,"&lt;"&amp;TODAY())+COUNTIFS(F668,"&gt;=36526",F668,"&lt;"&amp;TODAY())&gt;0),O668,"")</x:f>
      </x:c>
      <x:c r="K668" t="str">
        <x:f>IF(AND(A668&lt;&gt;"",COUNTIFS(C668,"&gt;=36526",C668,TODAY())+COUNTIFS(D668,"&gt;=36526",D668,TODAY())+COUNTIFS(E668,"&gt;=36526",E668,TODAY())+COUNTIFS(F668,"&gt;=36526",F668,TODAY())&gt;0),P668,"")</x:f>
      </x:c>
      <x:c r="L668" t="str">
        <x:f>IF(AND(A668&lt;&gt;"",COUNTIFS(C668,"&gt;"&amp;TODAY(),C668,"&lt;="&amp;TODAY()+30)+COUNTIFS(D668,"&gt;"&amp;TODAY(),D668,"&lt;="&amp;TODAY()+30)+COUNTIFS(E668,"&gt;"&amp;TODAY(),E668,"&lt;="&amp;TODAY()+30)+COUNTIFS(F668,"&gt;"&amp;TODAY(),F668,"&lt;="&amp;TODAY()+30)&gt;0),Q668,"")</x:f>
      </x:c>
      <x:c r="M668" t="str">
        <x:f>IF(OR(LEFT(H668,15)="Missing dates; ",LEFT(H668,16)="Add N/A reason; ",H668="Add dates",H668="Add registration",H668="Check date format"),R668,"")</x:f>
      </x:c>
      <x:c r="N668" t="str">
        <x:f>IF(COUNTIFS(C668:F668,"Reviewed N/A")&gt;0,S668,"")</x:f>
      </x:c>
      <x:c r="O668" t="n">
        <x:f>O667+IF(AND(A668&lt;&gt;"",COUNTIFS(C668,"&gt;=36526",C668,"&lt;"&amp;TODAY())+COUNTIFS(D668,"&gt;=36526",D668,"&lt;"&amp;TODAY())+COUNTIFS(E668,"&gt;=36526",E668,"&lt;"&amp;TODAY())+COUNTIFS(F668,"&gt;=36526",F668,"&lt;"&amp;TODAY())&gt;0),1,0)</x:f>
        <x:v>0</x:v>
      </x:c>
      <x:c r="P668" t="n">
        <x:f>P667+IF(AND(A668&lt;&gt;"",COUNTIFS(C668,"&gt;=36526",C668,TODAY())+COUNTIFS(D668,"&gt;=36526",D668,TODAY())+COUNTIFS(E668,"&gt;=36526",E668,TODAY())+COUNTIFS(F668,"&gt;=36526",F668,TODAY())&gt;0),1,0)</x:f>
        <x:v>0</x:v>
      </x:c>
      <x:c r="Q668" t="n">
        <x:f>Q667+IF(AND(A668&lt;&gt;"",COUNTIFS(C668,"&gt;"&amp;TODAY(),C668,"&lt;="&amp;TODAY()+30)+COUNTIFS(D668,"&gt;"&amp;TODAY(),D668,"&lt;="&amp;TODAY()+30)+COUNTIFS(E668,"&gt;"&amp;TODAY(),E668,"&lt;="&amp;TODAY()+30)+COUNTIFS(F668,"&gt;"&amp;TODAY(),F668,"&lt;="&amp;TODAY()+30)&gt;0),1,0)</x:f>
        <x:v>0</x:v>
      </x:c>
      <x:c r="R668" t="n">
        <x:f>R667+IF(OR(LEFT(H668,15)="Missing dates; ",LEFT(H668,16)="Add N/A reason; ",H668="Add dates",H668="Add registration",H668="Check date format"),1,0)</x:f>
        <x:v>0</x:v>
      </x:c>
      <x:c r="S668" t="n">
        <x:f>S667+IF(COUNTIFS(C668:F668,"Reviewed N/A")&gt;0,1,0)</x:f>
        <x:v>0</x:v>
      </x:c>
    </x:row>
    <x:row r="669" ht="48" customHeight="1">
      <x:c r="A669" s="52"/>
      <x:c r="B669" s="52"/>
      <x:c r="C669" s="53"/>
      <x:c r="D669" s="53"/>
      <x:c r="E669" s="53"/>
      <x:c r="F669" s="53"/>
      <x:c r="G669" s="52"/>
      <x:c r="H669" s="21" t="str">
        <x:f>IF(COUNTA(A669:G669,I669)=0,"",IF(A669="","Add registration",IF(OR(COUNTA(C669:F669)&gt;COUNT(C669:F669)+COUNTIFS(C669:F669,"Reviewed N/A"),AND(COUNT(C669:F669)&gt;0,OR(MIN(C669:F669)&lt;36526,MAX(C669:F669)&gt;109574))),"Check date format",IF(AND(COUNTIFS(C669:F669,"Reviewed N/A")&gt;0,I669=""),"Add N/A reason; ","")&amp;IF(COUNT(C669:F669)=0,IF(COUNTIFS(C669:F669,"Reviewed N/A")=4,"No applicable dates recorded","Add dates"),IF(COUNT(C669:F669)+COUNTIFS(C669:F669,"Reviewed N/A")&lt;4,"Missing dates; ","")&amp;IF(MIN(C669:F669)&lt;TODAY(),"Overdue: ",IF(MIN(C669:F669)=TODAY(),"Due today: ",IF(MIN(C669:F669)&lt;=TODAY()+30,"Due within 30 days: ","Next: ")))&amp;INDEX($C$8:$F$8,1,MATCH(MIN(C669:F669),C669:F669,0))&amp;" "&amp;TEXT(MIN(C669:F669),"dd mmm yyyy")))))</x:f>
      </x:c>
      <x:c r="I669" s="52"/>
      <x:c r="J669" t="str">
        <x:f>IF(AND(A669&lt;&gt;"",COUNTIFS(C669,"&gt;=36526",C669,"&lt;"&amp;TODAY())+COUNTIFS(D669,"&gt;=36526",D669,"&lt;"&amp;TODAY())+COUNTIFS(E669,"&gt;=36526",E669,"&lt;"&amp;TODAY())+COUNTIFS(F669,"&gt;=36526",F669,"&lt;"&amp;TODAY())&gt;0),O669,"")</x:f>
      </x:c>
      <x:c r="K669" t="str">
        <x:f>IF(AND(A669&lt;&gt;"",COUNTIFS(C669,"&gt;=36526",C669,TODAY())+COUNTIFS(D669,"&gt;=36526",D669,TODAY())+COUNTIFS(E669,"&gt;=36526",E669,TODAY())+COUNTIFS(F669,"&gt;=36526",F669,TODAY())&gt;0),P669,"")</x:f>
      </x:c>
      <x:c r="L669" t="str">
        <x:f>IF(AND(A669&lt;&gt;"",COUNTIFS(C669,"&gt;"&amp;TODAY(),C669,"&lt;="&amp;TODAY()+30)+COUNTIFS(D669,"&gt;"&amp;TODAY(),D669,"&lt;="&amp;TODAY()+30)+COUNTIFS(E669,"&gt;"&amp;TODAY(),E669,"&lt;="&amp;TODAY()+30)+COUNTIFS(F669,"&gt;"&amp;TODAY(),F669,"&lt;="&amp;TODAY()+30)&gt;0),Q669,"")</x:f>
      </x:c>
      <x:c r="M669" t="str">
        <x:f>IF(OR(LEFT(H669,15)="Missing dates; ",LEFT(H669,16)="Add N/A reason; ",H669="Add dates",H669="Add registration",H669="Check date format"),R669,"")</x:f>
      </x:c>
      <x:c r="N669" t="str">
        <x:f>IF(COUNTIFS(C669:F669,"Reviewed N/A")&gt;0,S669,"")</x:f>
      </x:c>
      <x:c r="O669" t="n">
        <x:f>O668+IF(AND(A669&lt;&gt;"",COUNTIFS(C669,"&gt;=36526",C669,"&lt;"&amp;TODAY())+COUNTIFS(D669,"&gt;=36526",D669,"&lt;"&amp;TODAY())+COUNTIFS(E669,"&gt;=36526",E669,"&lt;"&amp;TODAY())+COUNTIFS(F669,"&gt;=36526",F669,"&lt;"&amp;TODAY())&gt;0),1,0)</x:f>
        <x:v>0</x:v>
      </x:c>
      <x:c r="P669" t="n">
        <x:f>P668+IF(AND(A669&lt;&gt;"",COUNTIFS(C669,"&gt;=36526",C669,TODAY())+COUNTIFS(D669,"&gt;=36526",D669,TODAY())+COUNTIFS(E669,"&gt;=36526",E669,TODAY())+COUNTIFS(F669,"&gt;=36526",F669,TODAY())&gt;0),1,0)</x:f>
        <x:v>0</x:v>
      </x:c>
      <x:c r="Q669" t="n">
        <x:f>Q668+IF(AND(A669&lt;&gt;"",COUNTIFS(C669,"&gt;"&amp;TODAY(),C669,"&lt;="&amp;TODAY()+30)+COUNTIFS(D669,"&gt;"&amp;TODAY(),D669,"&lt;="&amp;TODAY()+30)+COUNTIFS(E669,"&gt;"&amp;TODAY(),E669,"&lt;="&amp;TODAY()+30)+COUNTIFS(F669,"&gt;"&amp;TODAY(),F669,"&lt;="&amp;TODAY()+30)&gt;0),1,0)</x:f>
        <x:v>0</x:v>
      </x:c>
      <x:c r="R669" t="n">
        <x:f>R668+IF(OR(LEFT(H669,15)="Missing dates; ",LEFT(H669,16)="Add N/A reason; ",H669="Add dates",H669="Add registration",H669="Check date format"),1,0)</x:f>
        <x:v>0</x:v>
      </x:c>
      <x:c r="S669" t="n">
        <x:f>S668+IF(COUNTIFS(C669:F669,"Reviewed N/A")&gt;0,1,0)</x:f>
        <x:v>0</x:v>
      </x:c>
    </x:row>
    <x:row r="670" ht="48" customHeight="1">
      <x:c r="A670" s="52"/>
      <x:c r="B670" s="52"/>
      <x:c r="C670" s="53"/>
      <x:c r="D670" s="53"/>
      <x:c r="E670" s="53"/>
      <x:c r="F670" s="53"/>
      <x:c r="G670" s="52"/>
      <x:c r="H670" s="21" t="str">
        <x:f>IF(COUNTA(A670:G670,I670)=0,"",IF(A670="","Add registration",IF(OR(COUNTA(C670:F670)&gt;COUNT(C670:F670)+COUNTIFS(C670:F670,"Reviewed N/A"),AND(COUNT(C670:F670)&gt;0,OR(MIN(C670:F670)&lt;36526,MAX(C670:F670)&gt;109574))),"Check date format",IF(AND(COUNTIFS(C670:F670,"Reviewed N/A")&gt;0,I670=""),"Add N/A reason; ","")&amp;IF(COUNT(C670:F670)=0,IF(COUNTIFS(C670:F670,"Reviewed N/A")=4,"No applicable dates recorded","Add dates"),IF(COUNT(C670:F670)+COUNTIFS(C670:F670,"Reviewed N/A")&lt;4,"Missing dates; ","")&amp;IF(MIN(C670:F670)&lt;TODAY(),"Overdue: ",IF(MIN(C670:F670)=TODAY(),"Due today: ",IF(MIN(C670:F670)&lt;=TODAY()+30,"Due within 30 days: ","Next: ")))&amp;INDEX($C$8:$F$8,1,MATCH(MIN(C670:F670),C670:F670,0))&amp;" "&amp;TEXT(MIN(C670:F670),"dd mmm yyyy")))))</x:f>
      </x:c>
      <x:c r="I670" s="52"/>
      <x:c r="J670" t="str">
        <x:f>IF(AND(A670&lt;&gt;"",COUNTIFS(C670,"&gt;=36526",C670,"&lt;"&amp;TODAY())+COUNTIFS(D670,"&gt;=36526",D670,"&lt;"&amp;TODAY())+COUNTIFS(E670,"&gt;=36526",E670,"&lt;"&amp;TODAY())+COUNTIFS(F670,"&gt;=36526",F670,"&lt;"&amp;TODAY())&gt;0),O670,"")</x:f>
      </x:c>
      <x:c r="K670" t="str">
        <x:f>IF(AND(A670&lt;&gt;"",COUNTIFS(C670,"&gt;=36526",C670,TODAY())+COUNTIFS(D670,"&gt;=36526",D670,TODAY())+COUNTIFS(E670,"&gt;=36526",E670,TODAY())+COUNTIFS(F670,"&gt;=36526",F670,TODAY())&gt;0),P670,"")</x:f>
      </x:c>
      <x:c r="L670" t="str">
        <x:f>IF(AND(A670&lt;&gt;"",COUNTIFS(C670,"&gt;"&amp;TODAY(),C670,"&lt;="&amp;TODAY()+30)+COUNTIFS(D670,"&gt;"&amp;TODAY(),D670,"&lt;="&amp;TODAY()+30)+COUNTIFS(E670,"&gt;"&amp;TODAY(),E670,"&lt;="&amp;TODAY()+30)+COUNTIFS(F670,"&gt;"&amp;TODAY(),F670,"&lt;="&amp;TODAY()+30)&gt;0),Q670,"")</x:f>
      </x:c>
      <x:c r="M670" t="str">
        <x:f>IF(OR(LEFT(H670,15)="Missing dates; ",LEFT(H670,16)="Add N/A reason; ",H670="Add dates",H670="Add registration",H670="Check date format"),R670,"")</x:f>
      </x:c>
      <x:c r="N670" t="str">
        <x:f>IF(COUNTIFS(C670:F670,"Reviewed N/A")&gt;0,S670,"")</x:f>
      </x:c>
      <x:c r="O670" t="n">
        <x:f>O669+IF(AND(A670&lt;&gt;"",COUNTIFS(C670,"&gt;=36526",C670,"&lt;"&amp;TODAY())+COUNTIFS(D670,"&gt;=36526",D670,"&lt;"&amp;TODAY())+COUNTIFS(E670,"&gt;=36526",E670,"&lt;"&amp;TODAY())+COUNTIFS(F670,"&gt;=36526",F670,"&lt;"&amp;TODAY())&gt;0),1,0)</x:f>
        <x:v>0</x:v>
      </x:c>
      <x:c r="P670" t="n">
        <x:f>P669+IF(AND(A670&lt;&gt;"",COUNTIFS(C670,"&gt;=36526",C670,TODAY())+COUNTIFS(D670,"&gt;=36526",D670,TODAY())+COUNTIFS(E670,"&gt;=36526",E670,TODAY())+COUNTIFS(F670,"&gt;=36526",F670,TODAY())&gt;0),1,0)</x:f>
        <x:v>0</x:v>
      </x:c>
      <x:c r="Q670" t="n">
        <x:f>Q669+IF(AND(A670&lt;&gt;"",COUNTIFS(C670,"&gt;"&amp;TODAY(),C670,"&lt;="&amp;TODAY()+30)+COUNTIFS(D670,"&gt;"&amp;TODAY(),D670,"&lt;="&amp;TODAY()+30)+COUNTIFS(E670,"&gt;"&amp;TODAY(),E670,"&lt;="&amp;TODAY()+30)+COUNTIFS(F670,"&gt;"&amp;TODAY(),F670,"&lt;="&amp;TODAY()+30)&gt;0),1,0)</x:f>
        <x:v>0</x:v>
      </x:c>
      <x:c r="R670" t="n">
        <x:f>R669+IF(OR(LEFT(H670,15)="Missing dates; ",LEFT(H670,16)="Add N/A reason; ",H670="Add dates",H670="Add registration",H670="Check date format"),1,0)</x:f>
        <x:v>0</x:v>
      </x:c>
      <x:c r="S670" t="n">
        <x:f>S669+IF(COUNTIFS(C670:F670,"Reviewed N/A")&gt;0,1,0)</x:f>
        <x:v>0</x:v>
      </x:c>
    </x:row>
    <x:row r="671" ht="48" customHeight="1">
      <x:c r="A671" s="52"/>
      <x:c r="B671" s="52"/>
      <x:c r="C671" s="53"/>
      <x:c r="D671" s="53"/>
      <x:c r="E671" s="53"/>
      <x:c r="F671" s="53"/>
      <x:c r="G671" s="52"/>
      <x:c r="H671" s="21" t="str">
        <x:f>IF(COUNTA(A671:G671,I671)=0,"",IF(A671="","Add registration",IF(OR(COUNTA(C671:F671)&gt;COUNT(C671:F671)+COUNTIFS(C671:F671,"Reviewed N/A"),AND(COUNT(C671:F671)&gt;0,OR(MIN(C671:F671)&lt;36526,MAX(C671:F671)&gt;109574))),"Check date format",IF(AND(COUNTIFS(C671:F671,"Reviewed N/A")&gt;0,I671=""),"Add N/A reason; ","")&amp;IF(COUNT(C671:F671)=0,IF(COUNTIFS(C671:F671,"Reviewed N/A")=4,"No applicable dates recorded","Add dates"),IF(COUNT(C671:F671)+COUNTIFS(C671:F671,"Reviewed N/A")&lt;4,"Missing dates; ","")&amp;IF(MIN(C671:F671)&lt;TODAY(),"Overdue: ",IF(MIN(C671:F671)=TODAY(),"Due today: ",IF(MIN(C671:F671)&lt;=TODAY()+30,"Due within 30 days: ","Next: ")))&amp;INDEX($C$8:$F$8,1,MATCH(MIN(C671:F671),C671:F671,0))&amp;" "&amp;TEXT(MIN(C671:F671),"dd mmm yyyy")))))</x:f>
      </x:c>
      <x:c r="I671" s="52"/>
      <x:c r="J671" t="str">
        <x:f>IF(AND(A671&lt;&gt;"",COUNTIFS(C671,"&gt;=36526",C671,"&lt;"&amp;TODAY())+COUNTIFS(D671,"&gt;=36526",D671,"&lt;"&amp;TODAY())+COUNTIFS(E671,"&gt;=36526",E671,"&lt;"&amp;TODAY())+COUNTIFS(F671,"&gt;=36526",F671,"&lt;"&amp;TODAY())&gt;0),O671,"")</x:f>
      </x:c>
      <x:c r="K671" t="str">
        <x:f>IF(AND(A671&lt;&gt;"",COUNTIFS(C671,"&gt;=36526",C671,TODAY())+COUNTIFS(D671,"&gt;=36526",D671,TODAY())+COUNTIFS(E671,"&gt;=36526",E671,TODAY())+COUNTIFS(F671,"&gt;=36526",F671,TODAY())&gt;0),P671,"")</x:f>
      </x:c>
      <x:c r="L671" t="str">
        <x:f>IF(AND(A671&lt;&gt;"",COUNTIFS(C671,"&gt;"&amp;TODAY(),C671,"&lt;="&amp;TODAY()+30)+COUNTIFS(D671,"&gt;"&amp;TODAY(),D671,"&lt;="&amp;TODAY()+30)+COUNTIFS(E671,"&gt;"&amp;TODAY(),E671,"&lt;="&amp;TODAY()+30)+COUNTIFS(F671,"&gt;"&amp;TODAY(),F671,"&lt;="&amp;TODAY()+30)&gt;0),Q671,"")</x:f>
      </x:c>
      <x:c r="M671" t="str">
        <x:f>IF(OR(LEFT(H671,15)="Missing dates; ",LEFT(H671,16)="Add N/A reason; ",H671="Add dates",H671="Add registration",H671="Check date format"),R671,"")</x:f>
      </x:c>
      <x:c r="N671" t="str">
        <x:f>IF(COUNTIFS(C671:F671,"Reviewed N/A")&gt;0,S671,"")</x:f>
      </x:c>
      <x:c r="O671" t="n">
        <x:f>O670+IF(AND(A671&lt;&gt;"",COUNTIFS(C671,"&gt;=36526",C671,"&lt;"&amp;TODAY())+COUNTIFS(D671,"&gt;=36526",D671,"&lt;"&amp;TODAY())+COUNTIFS(E671,"&gt;=36526",E671,"&lt;"&amp;TODAY())+COUNTIFS(F671,"&gt;=36526",F671,"&lt;"&amp;TODAY())&gt;0),1,0)</x:f>
        <x:v>0</x:v>
      </x:c>
      <x:c r="P671" t="n">
        <x:f>P670+IF(AND(A671&lt;&gt;"",COUNTIFS(C671,"&gt;=36526",C671,TODAY())+COUNTIFS(D671,"&gt;=36526",D671,TODAY())+COUNTIFS(E671,"&gt;=36526",E671,TODAY())+COUNTIFS(F671,"&gt;=36526",F671,TODAY())&gt;0),1,0)</x:f>
        <x:v>0</x:v>
      </x:c>
      <x:c r="Q671" t="n">
        <x:f>Q670+IF(AND(A671&lt;&gt;"",COUNTIFS(C671,"&gt;"&amp;TODAY(),C671,"&lt;="&amp;TODAY()+30)+COUNTIFS(D671,"&gt;"&amp;TODAY(),D671,"&lt;="&amp;TODAY()+30)+COUNTIFS(E671,"&gt;"&amp;TODAY(),E671,"&lt;="&amp;TODAY()+30)+COUNTIFS(F671,"&gt;"&amp;TODAY(),F671,"&lt;="&amp;TODAY()+30)&gt;0),1,0)</x:f>
        <x:v>0</x:v>
      </x:c>
      <x:c r="R671" t="n">
        <x:f>R670+IF(OR(LEFT(H671,15)="Missing dates; ",LEFT(H671,16)="Add N/A reason; ",H671="Add dates",H671="Add registration",H671="Check date format"),1,0)</x:f>
        <x:v>0</x:v>
      </x:c>
      <x:c r="S671" t="n">
        <x:f>S670+IF(COUNTIFS(C671:F671,"Reviewed N/A")&gt;0,1,0)</x:f>
        <x:v>0</x:v>
      </x:c>
    </x:row>
    <x:row r="672" ht="48" customHeight="1">
      <x:c r="A672" s="52"/>
      <x:c r="B672" s="52"/>
      <x:c r="C672" s="53"/>
      <x:c r="D672" s="53"/>
      <x:c r="E672" s="53"/>
      <x:c r="F672" s="53"/>
      <x:c r="G672" s="52"/>
      <x:c r="H672" s="21" t="str">
        <x:f>IF(COUNTA(A672:G672,I672)=0,"",IF(A672="","Add registration",IF(OR(COUNTA(C672:F672)&gt;COUNT(C672:F672)+COUNTIFS(C672:F672,"Reviewed N/A"),AND(COUNT(C672:F672)&gt;0,OR(MIN(C672:F672)&lt;36526,MAX(C672:F672)&gt;109574))),"Check date format",IF(AND(COUNTIFS(C672:F672,"Reviewed N/A")&gt;0,I672=""),"Add N/A reason; ","")&amp;IF(COUNT(C672:F672)=0,IF(COUNTIFS(C672:F672,"Reviewed N/A")=4,"No applicable dates recorded","Add dates"),IF(COUNT(C672:F672)+COUNTIFS(C672:F672,"Reviewed N/A")&lt;4,"Missing dates; ","")&amp;IF(MIN(C672:F672)&lt;TODAY(),"Overdue: ",IF(MIN(C672:F672)=TODAY(),"Due today: ",IF(MIN(C672:F672)&lt;=TODAY()+30,"Due within 30 days: ","Next: ")))&amp;INDEX($C$8:$F$8,1,MATCH(MIN(C672:F672),C672:F672,0))&amp;" "&amp;TEXT(MIN(C672:F672),"dd mmm yyyy")))))</x:f>
      </x:c>
      <x:c r="I672" s="52"/>
      <x:c r="J672" t="str">
        <x:f>IF(AND(A672&lt;&gt;"",COUNTIFS(C672,"&gt;=36526",C672,"&lt;"&amp;TODAY())+COUNTIFS(D672,"&gt;=36526",D672,"&lt;"&amp;TODAY())+COUNTIFS(E672,"&gt;=36526",E672,"&lt;"&amp;TODAY())+COUNTIFS(F672,"&gt;=36526",F672,"&lt;"&amp;TODAY())&gt;0),O672,"")</x:f>
      </x:c>
      <x:c r="K672" t="str">
        <x:f>IF(AND(A672&lt;&gt;"",COUNTIFS(C672,"&gt;=36526",C672,TODAY())+COUNTIFS(D672,"&gt;=36526",D672,TODAY())+COUNTIFS(E672,"&gt;=36526",E672,TODAY())+COUNTIFS(F672,"&gt;=36526",F672,TODAY())&gt;0),P672,"")</x:f>
      </x:c>
      <x:c r="L672" t="str">
        <x:f>IF(AND(A672&lt;&gt;"",COUNTIFS(C672,"&gt;"&amp;TODAY(),C672,"&lt;="&amp;TODAY()+30)+COUNTIFS(D672,"&gt;"&amp;TODAY(),D672,"&lt;="&amp;TODAY()+30)+COUNTIFS(E672,"&gt;"&amp;TODAY(),E672,"&lt;="&amp;TODAY()+30)+COUNTIFS(F672,"&gt;"&amp;TODAY(),F672,"&lt;="&amp;TODAY()+30)&gt;0),Q672,"")</x:f>
      </x:c>
      <x:c r="M672" t="str">
        <x:f>IF(OR(LEFT(H672,15)="Missing dates; ",LEFT(H672,16)="Add N/A reason; ",H672="Add dates",H672="Add registration",H672="Check date format"),R672,"")</x:f>
      </x:c>
      <x:c r="N672" t="str">
        <x:f>IF(COUNTIFS(C672:F672,"Reviewed N/A")&gt;0,S672,"")</x:f>
      </x:c>
      <x:c r="O672" t="n">
        <x:f>O671+IF(AND(A672&lt;&gt;"",COUNTIFS(C672,"&gt;=36526",C672,"&lt;"&amp;TODAY())+COUNTIFS(D672,"&gt;=36526",D672,"&lt;"&amp;TODAY())+COUNTIFS(E672,"&gt;=36526",E672,"&lt;"&amp;TODAY())+COUNTIFS(F672,"&gt;=36526",F672,"&lt;"&amp;TODAY())&gt;0),1,0)</x:f>
        <x:v>0</x:v>
      </x:c>
      <x:c r="P672" t="n">
        <x:f>P671+IF(AND(A672&lt;&gt;"",COUNTIFS(C672,"&gt;=36526",C672,TODAY())+COUNTIFS(D672,"&gt;=36526",D672,TODAY())+COUNTIFS(E672,"&gt;=36526",E672,TODAY())+COUNTIFS(F672,"&gt;=36526",F672,TODAY())&gt;0),1,0)</x:f>
        <x:v>0</x:v>
      </x:c>
      <x:c r="Q672" t="n">
        <x:f>Q671+IF(AND(A672&lt;&gt;"",COUNTIFS(C672,"&gt;"&amp;TODAY(),C672,"&lt;="&amp;TODAY()+30)+COUNTIFS(D672,"&gt;"&amp;TODAY(),D672,"&lt;="&amp;TODAY()+30)+COUNTIFS(E672,"&gt;"&amp;TODAY(),E672,"&lt;="&amp;TODAY()+30)+COUNTIFS(F672,"&gt;"&amp;TODAY(),F672,"&lt;="&amp;TODAY()+30)&gt;0),1,0)</x:f>
        <x:v>0</x:v>
      </x:c>
      <x:c r="R672" t="n">
        <x:f>R671+IF(OR(LEFT(H672,15)="Missing dates; ",LEFT(H672,16)="Add N/A reason; ",H672="Add dates",H672="Add registration",H672="Check date format"),1,0)</x:f>
        <x:v>0</x:v>
      </x:c>
      <x:c r="S672" t="n">
        <x:f>S671+IF(COUNTIFS(C672:F672,"Reviewed N/A")&gt;0,1,0)</x:f>
        <x:v>0</x:v>
      </x:c>
    </x:row>
    <x:row r="673" ht="48" customHeight="1">
      <x:c r="A673" s="52"/>
      <x:c r="B673" s="52"/>
      <x:c r="C673" s="53"/>
      <x:c r="D673" s="53"/>
      <x:c r="E673" s="53"/>
      <x:c r="F673" s="53"/>
      <x:c r="G673" s="52"/>
      <x:c r="H673" s="21" t="str">
        <x:f>IF(COUNTA(A673:G673,I673)=0,"",IF(A673="","Add registration",IF(OR(COUNTA(C673:F673)&gt;COUNT(C673:F673)+COUNTIFS(C673:F673,"Reviewed N/A"),AND(COUNT(C673:F673)&gt;0,OR(MIN(C673:F673)&lt;36526,MAX(C673:F673)&gt;109574))),"Check date format",IF(AND(COUNTIFS(C673:F673,"Reviewed N/A")&gt;0,I673=""),"Add N/A reason; ","")&amp;IF(COUNT(C673:F673)=0,IF(COUNTIFS(C673:F673,"Reviewed N/A")=4,"No applicable dates recorded","Add dates"),IF(COUNT(C673:F673)+COUNTIFS(C673:F673,"Reviewed N/A")&lt;4,"Missing dates; ","")&amp;IF(MIN(C673:F673)&lt;TODAY(),"Overdue: ",IF(MIN(C673:F673)=TODAY(),"Due today: ",IF(MIN(C673:F673)&lt;=TODAY()+30,"Due within 30 days: ","Next: ")))&amp;INDEX($C$8:$F$8,1,MATCH(MIN(C673:F673),C673:F673,0))&amp;" "&amp;TEXT(MIN(C673:F673),"dd mmm yyyy")))))</x:f>
      </x:c>
      <x:c r="I673" s="52"/>
      <x:c r="J673" t="str">
        <x:f>IF(AND(A673&lt;&gt;"",COUNTIFS(C673,"&gt;=36526",C673,"&lt;"&amp;TODAY())+COUNTIFS(D673,"&gt;=36526",D673,"&lt;"&amp;TODAY())+COUNTIFS(E673,"&gt;=36526",E673,"&lt;"&amp;TODAY())+COUNTIFS(F673,"&gt;=36526",F673,"&lt;"&amp;TODAY())&gt;0),O673,"")</x:f>
      </x:c>
      <x:c r="K673" t="str">
        <x:f>IF(AND(A673&lt;&gt;"",COUNTIFS(C673,"&gt;=36526",C673,TODAY())+COUNTIFS(D673,"&gt;=36526",D673,TODAY())+COUNTIFS(E673,"&gt;=36526",E673,TODAY())+COUNTIFS(F673,"&gt;=36526",F673,TODAY())&gt;0),P673,"")</x:f>
      </x:c>
      <x:c r="L673" t="str">
        <x:f>IF(AND(A673&lt;&gt;"",COUNTIFS(C673,"&gt;"&amp;TODAY(),C673,"&lt;="&amp;TODAY()+30)+COUNTIFS(D673,"&gt;"&amp;TODAY(),D673,"&lt;="&amp;TODAY()+30)+COUNTIFS(E673,"&gt;"&amp;TODAY(),E673,"&lt;="&amp;TODAY()+30)+COUNTIFS(F673,"&gt;"&amp;TODAY(),F673,"&lt;="&amp;TODAY()+30)&gt;0),Q673,"")</x:f>
      </x:c>
      <x:c r="M673" t="str">
        <x:f>IF(OR(LEFT(H673,15)="Missing dates; ",LEFT(H673,16)="Add N/A reason; ",H673="Add dates",H673="Add registration",H673="Check date format"),R673,"")</x:f>
      </x:c>
      <x:c r="N673" t="str">
        <x:f>IF(COUNTIFS(C673:F673,"Reviewed N/A")&gt;0,S673,"")</x:f>
      </x:c>
      <x:c r="O673" t="n">
        <x:f>O672+IF(AND(A673&lt;&gt;"",COUNTIFS(C673,"&gt;=36526",C673,"&lt;"&amp;TODAY())+COUNTIFS(D673,"&gt;=36526",D673,"&lt;"&amp;TODAY())+COUNTIFS(E673,"&gt;=36526",E673,"&lt;"&amp;TODAY())+COUNTIFS(F673,"&gt;=36526",F673,"&lt;"&amp;TODAY())&gt;0),1,0)</x:f>
        <x:v>0</x:v>
      </x:c>
      <x:c r="P673" t="n">
        <x:f>P672+IF(AND(A673&lt;&gt;"",COUNTIFS(C673,"&gt;=36526",C673,TODAY())+COUNTIFS(D673,"&gt;=36526",D673,TODAY())+COUNTIFS(E673,"&gt;=36526",E673,TODAY())+COUNTIFS(F673,"&gt;=36526",F673,TODAY())&gt;0),1,0)</x:f>
        <x:v>0</x:v>
      </x:c>
      <x:c r="Q673" t="n">
        <x:f>Q672+IF(AND(A673&lt;&gt;"",COUNTIFS(C673,"&gt;"&amp;TODAY(),C673,"&lt;="&amp;TODAY()+30)+COUNTIFS(D673,"&gt;"&amp;TODAY(),D673,"&lt;="&amp;TODAY()+30)+COUNTIFS(E673,"&gt;"&amp;TODAY(),E673,"&lt;="&amp;TODAY()+30)+COUNTIFS(F673,"&gt;"&amp;TODAY(),F673,"&lt;="&amp;TODAY()+30)&gt;0),1,0)</x:f>
        <x:v>0</x:v>
      </x:c>
      <x:c r="R673" t="n">
        <x:f>R672+IF(OR(LEFT(H673,15)="Missing dates; ",LEFT(H673,16)="Add N/A reason; ",H673="Add dates",H673="Add registration",H673="Check date format"),1,0)</x:f>
        <x:v>0</x:v>
      </x:c>
      <x:c r="S673" t="n">
        <x:f>S672+IF(COUNTIFS(C673:F673,"Reviewed N/A")&gt;0,1,0)</x:f>
        <x:v>0</x:v>
      </x:c>
    </x:row>
    <x:row r="674" ht="48" customHeight="1">
      <x:c r="A674" s="52"/>
      <x:c r="B674" s="52"/>
      <x:c r="C674" s="53"/>
      <x:c r="D674" s="53"/>
      <x:c r="E674" s="53"/>
      <x:c r="F674" s="53"/>
      <x:c r="G674" s="52"/>
      <x:c r="H674" s="21" t="str">
        <x:f>IF(COUNTA(A674:G674,I674)=0,"",IF(A674="","Add registration",IF(OR(COUNTA(C674:F674)&gt;COUNT(C674:F674)+COUNTIFS(C674:F674,"Reviewed N/A"),AND(COUNT(C674:F674)&gt;0,OR(MIN(C674:F674)&lt;36526,MAX(C674:F674)&gt;109574))),"Check date format",IF(AND(COUNTIFS(C674:F674,"Reviewed N/A")&gt;0,I674=""),"Add N/A reason; ","")&amp;IF(COUNT(C674:F674)=0,IF(COUNTIFS(C674:F674,"Reviewed N/A")=4,"No applicable dates recorded","Add dates"),IF(COUNT(C674:F674)+COUNTIFS(C674:F674,"Reviewed N/A")&lt;4,"Missing dates; ","")&amp;IF(MIN(C674:F674)&lt;TODAY(),"Overdue: ",IF(MIN(C674:F674)=TODAY(),"Due today: ",IF(MIN(C674:F674)&lt;=TODAY()+30,"Due within 30 days: ","Next: ")))&amp;INDEX($C$8:$F$8,1,MATCH(MIN(C674:F674),C674:F674,0))&amp;" "&amp;TEXT(MIN(C674:F674),"dd mmm yyyy")))))</x:f>
      </x:c>
      <x:c r="I674" s="52"/>
      <x:c r="J674" t="str">
        <x:f>IF(AND(A674&lt;&gt;"",COUNTIFS(C674,"&gt;=36526",C674,"&lt;"&amp;TODAY())+COUNTIFS(D674,"&gt;=36526",D674,"&lt;"&amp;TODAY())+COUNTIFS(E674,"&gt;=36526",E674,"&lt;"&amp;TODAY())+COUNTIFS(F674,"&gt;=36526",F674,"&lt;"&amp;TODAY())&gt;0),O674,"")</x:f>
      </x:c>
      <x:c r="K674" t="str">
        <x:f>IF(AND(A674&lt;&gt;"",COUNTIFS(C674,"&gt;=36526",C674,TODAY())+COUNTIFS(D674,"&gt;=36526",D674,TODAY())+COUNTIFS(E674,"&gt;=36526",E674,TODAY())+COUNTIFS(F674,"&gt;=36526",F674,TODAY())&gt;0),P674,"")</x:f>
      </x:c>
      <x:c r="L674" t="str">
        <x:f>IF(AND(A674&lt;&gt;"",COUNTIFS(C674,"&gt;"&amp;TODAY(),C674,"&lt;="&amp;TODAY()+30)+COUNTIFS(D674,"&gt;"&amp;TODAY(),D674,"&lt;="&amp;TODAY()+30)+COUNTIFS(E674,"&gt;"&amp;TODAY(),E674,"&lt;="&amp;TODAY()+30)+COUNTIFS(F674,"&gt;"&amp;TODAY(),F674,"&lt;="&amp;TODAY()+30)&gt;0),Q674,"")</x:f>
      </x:c>
      <x:c r="M674" t="str">
        <x:f>IF(OR(LEFT(H674,15)="Missing dates; ",LEFT(H674,16)="Add N/A reason; ",H674="Add dates",H674="Add registration",H674="Check date format"),R674,"")</x:f>
      </x:c>
      <x:c r="N674" t="str">
        <x:f>IF(COUNTIFS(C674:F674,"Reviewed N/A")&gt;0,S674,"")</x:f>
      </x:c>
      <x:c r="O674" t="n">
        <x:f>O673+IF(AND(A674&lt;&gt;"",COUNTIFS(C674,"&gt;=36526",C674,"&lt;"&amp;TODAY())+COUNTIFS(D674,"&gt;=36526",D674,"&lt;"&amp;TODAY())+COUNTIFS(E674,"&gt;=36526",E674,"&lt;"&amp;TODAY())+COUNTIFS(F674,"&gt;=36526",F674,"&lt;"&amp;TODAY())&gt;0),1,0)</x:f>
        <x:v>0</x:v>
      </x:c>
      <x:c r="P674" t="n">
        <x:f>P673+IF(AND(A674&lt;&gt;"",COUNTIFS(C674,"&gt;=36526",C674,TODAY())+COUNTIFS(D674,"&gt;=36526",D674,TODAY())+COUNTIFS(E674,"&gt;=36526",E674,TODAY())+COUNTIFS(F674,"&gt;=36526",F674,TODAY())&gt;0),1,0)</x:f>
        <x:v>0</x:v>
      </x:c>
      <x:c r="Q674" t="n">
        <x:f>Q673+IF(AND(A674&lt;&gt;"",COUNTIFS(C674,"&gt;"&amp;TODAY(),C674,"&lt;="&amp;TODAY()+30)+COUNTIFS(D674,"&gt;"&amp;TODAY(),D674,"&lt;="&amp;TODAY()+30)+COUNTIFS(E674,"&gt;"&amp;TODAY(),E674,"&lt;="&amp;TODAY()+30)+COUNTIFS(F674,"&gt;"&amp;TODAY(),F674,"&lt;="&amp;TODAY()+30)&gt;0),1,0)</x:f>
        <x:v>0</x:v>
      </x:c>
      <x:c r="R674" t="n">
        <x:f>R673+IF(OR(LEFT(H674,15)="Missing dates; ",LEFT(H674,16)="Add N/A reason; ",H674="Add dates",H674="Add registration",H674="Check date format"),1,0)</x:f>
        <x:v>0</x:v>
      </x:c>
      <x:c r="S674" t="n">
        <x:f>S673+IF(COUNTIFS(C674:F674,"Reviewed N/A")&gt;0,1,0)</x:f>
        <x:v>0</x:v>
      </x:c>
    </x:row>
    <x:row r="675" ht="48" customHeight="1">
      <x:c r="A675" s="52"/>
      <x:c r="B675" s="52"/>
      <x:c r="C675" s="53"/>
      <x:c r="D675" s="53"/>
      <x:c r="E675" s="53"/>
      <x:c r="F675" s="53"/>
      <x:c r="G675" s="52"/>
      <x:c r="H675" s="21" t="str">
        <x:f>IF(COUNTA(A675:G675,I675)=0,"",IF(A675="","Add registration",IF(OR(COUNTA(C675:F675)&gt;COUNT(C675:F675)+COUNTIFS(C675:F675,"Reviewed N/A"),AND(COUNT(C675:F675)&gt;0,OR(MIN(C675:F675)&lt;36526,MAX(C675:F675)&gt;109574))),"Check date format",IF(AND(COUNTIFS(C675:F675,"Reviewed N/A")&gt;0,I675=""),"Add N/A reason; ","")&amp;IF(COUNT(C675:F675)=0,IF(COUNTIFS(C675:F675,"Reviewed N/A")=4,"No applicable dates recorded","Add dates"),IF(COUNT(C675:F675)+COUNTIFS(C675:F675,"Reviewed N/A")&lt;4,"Missing dates; ","")&amp;IF(MIN(C675:F675)&lt;TODAY(),"Overdue: ",IF(MIN(C675:F675)=TODAY(),"Due today: ",IF(MIN(C675:F675)&lt;=TODAY()+30,"Due within 30 days: ","Next: ")))&amp;INDEX($C$8:$F$8,1,MATCH(MIN(C675:F675),C675:F675,0))&amp;" "&amp;TEXT(MIN(C675:F675),"dd mmm yyyy")))))</x:f>
      </x:c>
      <x:c r="I675" s="52"/>
      <x:c r="J675" t="str">
        <x:f>IF(AND(A675&lt;&gt;"",COUNTIFS(C675,"&gt;=36526",C675,"&lt;"&amp;TODAY())+COUNTIFS(D675,"&gt;=36526",D675,"&lt;"&amp;TODAY())+COUNTIFS(E675,"&gt;=36526",E675,"&lt;"&amp;TODAY())+COUNTIFS(F675,"&gt;=36526",F675,"&lt;"&amp;TODAY())&gt;0),O675,"")</x:f>
      </x:c>
      <x:c r="K675" t="str">
        <x:f>IF(AND(A675&lt;&gt;"",COUNTIFS(C675,"&gt;=36526",C675,TODAY())+COUNTIFS(D675,"&gt;=36526",D675,TODAY())+COUNTIFS(E675,"&gt;=36526",E675,TODAY())+COUNTIFS(F675,"&gt;=36526",F675,TODAY())&gt;0),P675,"")</x:f>
      </x:c>
      <x:c r="L675" t="str">
        <x:f>IF(AND(A675&lt;&gt;"",COUNTIFS(C675,"&gt;"&amp;TODAY(),C675,"&lt;="&amp;TODAY()+30)+COUNTIFS(D675,"&gt;"&amp;TODAY(),D675,"&lt;="&amp;TODAY()+30)+COUNTIFS(E675,"&gt;"&amp;TODAY(),E675,"&lt;="&amp;TODAY()+30)+COUNTIFS(F675,"&gt;"&amp;TODAY(),F675,"&lt;="&amp;TODAY()+30)&gt;0),Q675,"")</x:f>
      </x:c>
      <x:c r="M675" t="str">
        <x:f>IF(OR(LEFT(H675,15)="Missing dates; ",LEFT(H675,16)="Add N/A reason; ",H675="Add dates",H675="Add registration",H675="Check date format"),R675,"")</x:f>
      </x:c>
      <x:c r="N675" t="str">
        <x:f>IF(COUNTIFS(C675:F675,"Reviewed N/A")&gt;0,S675,"")</x:f>
      </x:c>
      <x:c r="O675" t="n">
        <x:f>O674+IF(AND(A675&lt;&gt;"",COUNTIFS(C675,"&gt;=36526",C675,"&lt;"&amp;TODAY())+COUNTIFS(D675,"&gt;=36526",D675,"&lt;"&amp;TODAY())+COUNTIFS(E675,"&gt;=36526",E675,"&lt;"&amp;TODAY())+COUNTIFS(F675,"&gt;=36526",F675,"&lt;"&amp;TODAY())&gt;0),1,0)</x:f>
        <x:v>0</x:v>
      </x:c>
      <x:c r="P675" t="n">
        <x:f>P674+IF(AND(A675&lt;&gt;"",COUNTIFS(C675,"&gt;=36526",C675,TODAY())+COUNTIFS(D675,"&gt;=36526",D675,TODAY())+COUNTIFS(E675,"&gt;=36526",E675,TODAY())+COUNTIFS(F675,"&gt;=36526",F675,TODAY())&gt;0),1,0)</x:f>
        <x:v>0</x:v>
      </x:c>
      <x:c r="Q675" t="n">
        <x:f>Q674+IF(AND(A675&lt;&gt;"",COUNTIFS(C675,"&gt;"&amp;TODAY(),C675,"&lt;="&amp;TODAY()+30)+COUNTIFS(D675,"&gt;"&amp;TODAY(),D675,"&lt;="&amp;TODAY()+30)+COUNTIFS(E675,"&gt;"&amp;TODAY(),E675,"&lt;="&amp;TODAY()+30)+COUNTIFS(F675,"&gt;"&amp;TODAY(),F675,"&lt;="&amp;TODAY()+30)&gt;0),1,0)</x:f>
        <x:v>0</x:v>
      </x:c>
      <x:c r="R675" t="n">
        <x:f>R674+IF(OR(LEFT(H675,15)="Missing dates; ",LEFT(H675,16)="Add N/A reason; ",H675="Add dates",H675="Add registration",H675="Check date format"),1,0)</x:f>
        <x:v>0</x:v>
      </x:c>
      <x:c r="S675" t="n">
        <x:f>S674+IF(COUNTIFS(C675:F675,"Reviewed N/A")&gt;0,1,0)</x:f>
        <x:v>0</x:v>
      </x:c>
    </x:row>
    <x:row r="676" ht="48" customHeight="1">
      <x:c r="A676" s="52"/>
      <x:c r="B676" s="52"/>
      <x:c r="C676" s="53"/>
      <x:c r="D676" s="53"/>
      <x:c r="E676" s="53"/>
      <x:c r="F676" s="53"/>
      <x:c r="G676" s="52"/>
      <x:c r="H676" s="21" t="str">
        <x:f>IF(COUNTA(A676:G676,I676)=0,"",IF(A676="","Add registration",IF(OR(COUNTA(C676:F676)&gt;COUNT(C676:F676)+COUNTIFS(C676:F676,"Reviewed N/A"),AND(COUNT(C676:F676)&gt;0,OR(MIN(C676:F676)&lt;36526,MAX(C676:F676)&gt;109574))),"Check date format",IF(AND(COUNTIFS(C676:F676,"Reviewed N/A")&gt;0,I676=""),"Add N/A reason; ","")&amp;IF(COUNT(C676:F676)=0,IF(COUNTIFS(C676:F676,"Reviewed N/A")=4,"No applicable dates recorded","Add dates"),IF(COUNT(C676:F676)+COUNTIFS(C676:F676,"Reviewed N/A")&lt;4,"Missing dates; ","")&amp;IF(MIN(C676:F676)&lt;TODAY(),"Overdue: ",IF(MIN(C676:F676)=TODAY(),"Due today: ",IF(MIN(C676:F676)&lt;=TODAY()+30,"Due within 30 days: ","Next: ")))&amp;INDEX($C$8:$F$8,1,MATCH(MIN(C676:F676),C676:F676,0))&amp;" "&amp;TEXT(MIN(C676:F676),"dd mmm yyyy")))))</x:f>
      </x:c>
      <x:c r="I676" s="52"/>
      <x:c r="J676" t="str">
        <x:f>IF(AND(A676&lt;&gt;"",COUNTIFS(C676,"&gt;=36526",C676,"&lt;"&amp;TODAY())+COUNTIFS(D676,"&gt;=36526",D676,"&lt;"&amp;TODAY())+COUNTIFS(E676,"&gt;=36526",E676,"&lt;"&amp;TODAY())+COUNTIFS(F676,"&gt;=36526",F676,"&lt;"&amp;TODAY())&gt;0),O676,"")</x:f>
      </x:c>
      <x:c r="K676" t="str">
        <x:f>IF(AND(A676&lt;&gt;"",COUNTIFS(C676,"&gt;=36526",C676,TODAY())+COUNTIFS(D676,"&gt;=36526",D676,TODAY())+COUNTIFS(E676,"&gt;=36526",E676,TODAY())+COUNTIFS(F676,"&gt;=36526",F676,TODAY())&gt;0),P676,"")</x:f>
      </x:c>
      <x:c r="L676" t="str">
        <x:f>IF(AND(A676&lt;&gt;"",COUNTIFS(C676,"&gt;"&amp;TODAY(),C676,"&lt;="&amp;TODAY()+30)+COUNTIFS(D676,"&gt;"&amp;TODAY(),D676,"&lt;="&amp;TODAY()+30)+COUNTIFS(E676,"&gt;"&amp;TODAY(),E676,"&lt;="&amp;TODAY()+30)+COUNTIFS(F676,"&gt;"&amp;TODAY(),F676,"&lt;="&amp;TODAY()+30)&gt;0),Q676,"")</x:f>
      </x:c>
      <x:c r="M676" t="str">
        <x:f>IF(OR(LEFT(H676,15)="Missing dates; ",LEFT(H676,16)="Add N/A reason; ",H676="Add dates",H676="Add registration",H676="Check date format"),R676,"")</x:f>
      </x:c>
      <x:c r="N676" t="str">
        <x:f>IF(COUNTIFS(C676:F676,"Reviewed N/A")&gt;0,S676,"")</x:f>
      </x:c>
      <x:c r="O676" t="n">
        <x:f>O675+IF(AND(A676&lt;&gt;"",COUNTIFS(C676,"&gt;=36526",C676,"&lt;"&amp;TODAY())+COUNTIFS(D676,"&gt;=36526",D676,"&lt;"&amp;TODAY())+COUNTIFS(E676,"&gt;=36526",E676,"&lt;"&amp;TODAY())+COUNTIFS(F676,"&gt;=36526",F676,"&lt;"&amp;TODAY())&gt;0),1,0)</x:f>
        <x:v>0</x:v>
      </x:c>
      <x:c r="P676" t="n">
        <x:f>P675+IF(AND(A676&lt;&gt;"",COUNTIFS(C676,"&gt;=36526",C676,TODAY())+COUNTIFS(D676,"&gt;=36526",D676,TODAY())+COUNTIFS(E676,"&gt;=36526",E676,TODAY())+COUNTIFS(F676,"&gt;=36526",F676,TODAY())&gt;0),1,0)</x:f>
        <x:v>0</x:v>
      </x:c>
      <x:c r="Q676" t="n">
        <x:f>Q675+IF(AND(A676&lt;&gt;"",COUNTIFS(C676,"&gt;"&amp;TODAY(),C676,"&lt;="&amp;TODAY()+30)+COUNTIFS(D676,"&gt;"&amp;TODAY(),D676,"&lt;="&amp;TODAY()+30)+COUNTIFS(E676,"&gt;"&amp;TODAY(),E676,"&lt;="&amp;TODAY()+30)+COUNTIFS(F676,"&gt;"&amp;TODAY(),F676,"&lt;="&amp;TODAY()+30)&gt;0),1,0)</x:f>
        <x:v>0</x:v>
      </x:c>
      <x:c r="R676" t="n">
        <x:f>R675+IF(OR(LEFT(H676,15)="Missing dates; ",LEFT(H676,16)="Add N/A reason; ",H676="Add dates",H676="Add registration",H676="Check date format"),1,0)</x:f>
        <x:v>0</x:v>
      </x:c>
      <x:c r="S676" t="n">
        <x:f>S675+IF(COUNTIFS(C676:F676,"Reviewed N/A")&gt;0,1,0)</x:f>
        <x:v>0</x:v>
      </x:c>
    </x:row>
    <x:row r="677" ht="48" customHeight="1">
      <x:c r="A677" s="52"/>
      <x:c r="B677" s="52"/>
      <x:c r="C677" s="53"/>
      <x:c r="D677" s="53"/>
      <x:c r="E677" s="53"/>
      <x:c r="F677" s="53"/>
      <x:c r="G677" s="52"/>
      <x:c r="H677" s="21" t="str">
        <x:f>IF(COUNTA(A677:G677,I677)=0,"",IF(A677="","Add registration",IF(OR(COUNTA(C677:F677)&gt;COUNT(C677:F677)+COUNTIFS(C677:F677,"Reviewed N/A"),AND(COUNT(C677:F677)&gt;0,OR(MIN(C677:F677)&lt;36526,MAX(C677:F677)&gt;109574))),"Check date format",IF(AND(COUNTIFS(C677:F677,"Reviewed N/A")&gt;0,I677=""),"Add N/A reason; ","")&amp;IF(COUNT(C677:F677)=0,IF(COUNTIFS(C677:F677,"Reviewed N/A")=4,"No applicable dates recorded","Add dates"),IF(COUNT(C677:F677)+COUNTIFS(C677:F677,"Reviewed N/A")&lt;4,"Missing dates; ","")&amp;IF(MIN(C677:F677)&lt;TODAY(),"Overdue: ",IF(MIN(C677:F677)=TODAY(),"Due today: ",IF(MIN(C677:F677)&lt;=TODAY()+30,"Due within 30 days: ","Next: ")))&amp;INDEX($C$8:$F$8,1,MATCH(MIN(C677:F677),C677:F677,0))&amp;" "&amp;TEXT(MIN(C677:F677),"dd mmm yyyy")))))</x:f>
      </x:c>
      <x:c r="I677" s="52"/>
      <x:c r="J677" t="str">
        <x:f>IF(AND(A677&lt;&gt;"",COUNTIFS(C677,"&gt;=36526",C677,"&lt;"&amp;TODAY())+COUNTIFS(D677,"&gt;=36526",D677,"&lt;"&amp;TODAY())+COUNTIFS(E677,"&gt;=36526",E677,"&lt;"&amp;TODAY())+COUNTIFS(F677,"&gt;=36526",F677,"&lt;"&amp;TODAY())&gt;0),O677,"")</x:f>
      </x:c>
      <x:c r="K677" t="str">
        <x:f>IF(AND(A677&lt;&gt;"",COUNTIFS(C677,"&gt;=36526",C677,TODAY())+COUNTIFS(D677,"&gt;=36526",D677,TODAY())+COUNTIFS(E677,"&gt;=36526",E677,TODAY())+COUNTIFS(F677,"&gt;=36526",F677,TODAY())&gt;0),P677,"")</x:f>
      </x:c>
      <x:c r="L677" t="str">
        <x:f>IF(AND(A677&lt;&gt;"",COUNTIFS(C677,"&gt;"&amp;TODAY(),C677,"&lt;="&amp;TODAY()+30)+COUNTIFS(D677,"&gt;"&amp;TODAY(),D677,"&lt;="&amp;TODAY()+30)+COUNTIFS(E677,"&gt;"&amp;TODAY(),E677,"&lt;="&amp;TODAY()+30)+COUNTIFS(F677,"&gt;"&amp;TODAY(),F677,"&lt;="&amp;TODAY()+30)&gt;0),Q677,"")</x:f>
      </x:c>
      <x:c r="M677" t="str">
        <x:f>IF(OR(LEFT(H677,15)="Missing dates; ",LEFT(H677,16)="Add N/A reason; ",H677="Add dates",H677="Add registration",H677="Check date format"),R677,"")</x:f>
      </x:c>
      <x:c r="N677" t="str">
        <x:f>IF(COUNTIFS(C677:F677,"Reviewed N/A")&gt;0,S677,"")</x:f>
      </x:c>
      <x:c r="O677" t="n">
        <x:f>O676+IF(AND(A677&lt;&gt;"",COUNTIFS(C677,"&gt;=36526",C677,"&lt;"&amp;TODAY())+COUNTIFS(D677,"&gt;=36526",D677,"&lt;"&amp;TODAY())+COUNTIFS(E677,"&gt;=36526",E677,"&lt;"&amp;TODAY())+COUNTIFS(F677,"&gt;=36526",F677,"&lt;"&amp;TODAY())&gt;0),1,0)</x:f>
        <x:v>0</x:v>
      </x:c>
      <x:c r="P677" t="n">
        <x:f>P676+IF(AND(A677&lt;&gt;"",COUNTIFS(C677,"&gt;=36526",C677,TODAY())+COUNTIFS(D677,"&gt;=36526",D677,TODAY())+COUNTIFS(E677,"&gt;=36526",E677,TODAY())+COUNTIFS(F677,"&gt;=36526",F677,TODAY())&gt;0),1,0)</x:f>
        <x:v>0</x:v>
      </x:c>
      <x:c r="Q677" t="n">
        <x:f>Q676+IF(AND(A677&lt;&gt;"",COUNTIFS(C677,"&gt;"&amp;TODAY(),C677,"&lt;="&amp;TODAY()+30)+COUNTIFS(D677,"&gt;"&amp;TODAY(),D677,"&lt;="&amp;TODAY()+30)+COUNTIFS(E677,"&gt;"&amp;TODAY(),E677,"&lt;="&amp;TODAY()+30)+COUNTIFS(F677,"&gt;"&amp;TODAY(),F677,"&lt;="&amp;TODAY()+30)&gt;0),1,0)</x:f>
        <x:v>0</x:v>
      </x:c>
      <x:c r="R677" t="n">
        <x:f>R676+IF(OR(LEFT(H677,15)="Missing dates; ",LEFT(H677,16)="Add N/A reason; ",H677="Add dates",H677="Add registration",H677="Check date format"),1,0)</x:f>
        <x:v>0</x:v>
      </x:c>
      <x:c r="S677" t="n">
        <x:f>S676+IF(COUNTIFS(C677:F677,"Reviewed N/A")&gt;0,1,0)</x:f>
        <x:v>0</x:v>
      </x:c>
    </x:row>
    <x:row r="678" ht="48" customHeight="1">
      <x:c r="A678" s="52"/>
      <x:c r="B678" s="52"/>
      <x:c r="C678" s="53"/>
      <x:c r="D678" s="53"/>
      <x:c r="E678" s="53"/>
      <x:c r="F678" s="53"/>
      <x:c r="G678" s="52"/>
      <x:c r="H678" s="21" t="str">
        <x:f>IF(COUNTA(A678:G678,I678)=0,"",IF(A678="","Add registration",IF(OR(COUNTA(C678:F678)&gt;COUNT(C678:F678)+COUNTIFS(C678:F678,"Reviewed N/A"),AND(COUNT(C678:F678)&gt;0,OR(MIN(C678:F678)&lt;36526,MAX(C678:F678)&gt;109574))),"Check date format",IF(AND(COUNTIFS(C678:F678,"Reviewed N/A")&gt;0,I678=""),"Add N/A reason; ","")&amp;IF(COUNT(C678:F678)=0,IF(COUNTIFS(C678:F678,"Reviewed N/A")=4,"No applicable dates recorded","Add dates"),IF(COUNT(C678:F678)+COUNTIFS(C678:F678,"Reviewed N/A")&lt;4,"Missing dates; ","")&amp;IF(MIN(C678:F678)&lt;TODAY(),"Overdue: ",IF(MIN(C678:F678)=TODAY(),"Due today: ",IF(MIN(C678:F678)&lt;=TODAY()+30,"Due within 30 days: ","Next: ")))&amp;INDEX($C$8:$F$8,1,MATCH(MIN(C678:F678),C678:F678,0))&amp;" "&amp;TEXT(MIN(C678:F678),"dd mmm yyyy")))))</x:f>
      </x:c>
      <x:c r="I678" s="52"/>
      <x:c r="J678" t="str">
        <x:f>IF(AND(A678&lt;&gt;"",COUNTIFS(C678,"&gt;=36526",C678,"&lt;"&amp;TODAY())+COUNTIFS(D678,"&gt;=36526",D678,"&lt;"&amp;TODAY())+COUNTIFS(E678,"&gt;=36526",E678,"&lt;"&amp;TODAY())+COUNTIFS(F678,"&gt;=36526",F678,"&lt;"&amp;TODAY())&gt;0),O678,"")</x:f>
      </x:c>
      <x:c r="K678" t="str">
        <x:f>IF(AND(A678&lt;&gt;"",COUNTIFS(C678,"&gt;=36526",C678,TODAY())+COUNTIFS(D678,"&gt;=36526",D678,TODAY())+COUNTIFS(E678,"&gt;=36526",E678,TODAY())+COUNTIFS(F678,"&gt;=36526",F678,TODAY())&gt;0),P678,"")</x:f>
      </x:c>
      <x:c r="L678" t="str">
        <x:f>IF(AND(A678&lt;&gt;"",COUNTIFS(C678,"&gt;"&amp;TODAY(),C678,"&lt;="&amp;TODAY()+30)+COUNTIFS(D678,"&gt;"&amp;TODAY(),D678,"&lt;="&amp;TODAY()+30)+COUNTIFS(E678,"&gt;"&amp;TODAY(),E678,"&lt;="&amp;TODAY()+30)+COUNTIFS(F678,"&gt;"&amp;TODAY(),F678,"&lt;="&amp;TODAY()+30)&gt;0),Q678,"")</x:f>
      </x:c>
      <x:c r="M678" t="str">
        <x:f>IF(OR(LEFT(H678,15)="Missing dates; ",LEFT(H678,16)="Add N/A reason; ",H678="Add dates",H678="Add registration",H678="Check date format"),R678,"")</x:f>
      </x:c>
      <x:c r="N678" t="str">
        <x:f>IF(COUNTIFS(C678:F678,"Reviewed N/A")&gt;0,S678,"")</x:f>
      </x:c>
      <x:c r="O678" t="n">
        <x:f>O677+IF(AND(A678&lt;&gt;"",COUNTIFS(C678,"&gt;=36526",C678,"&lt;"&amp;TODAY())+COUNTIFS(D678,"&gt;=36526",D678,"&lt;"&amp;TODAY())+COUNTIFS(E678,"&gt;=36526",E678,"&lt;"&amp;TODAY())+COUNTIFS(F678,"&gt;=36526",F678,"&lt;"&amp;TODAY())&gt;0),1,0)</x:f>
        <x:v>0</x:v>
      </x:c>
      <x:c r="P678" t="n">
        <x:f>P677+IF(AND(A678&lt;&gt;"",COUNTIFS(C678,"&gt;=36526",C678,TODAY())+COUNTIFS(D678,"&gt;=36526",D678,TODAY())+COUNTIFS(E678,"&gt;=36526",E678,TODAY())+COUNTIFS(F678,"&gt;=36526",F678,TODAY())&gt;0),1,0)</x:f>
        <x:v>0</x:v>
      </x:c>
      <x:c r="Q678" t="n">
        <x:f>Q677+IF(AND(A678&lt;&gt;"",COUNTIFS(C678,"&gt;"&amp;TODAY(),C678,"&lt;="&amp;TODAY()+30)+COUNTIFS(D678,"&gt;"&amp;TODAY(),D678,"&lt;="&amp;TODAY()+30)+COUNTIFS(E678,"&gt;"&amp;TODAY(),E678,"&lt;="&amp;TODAY()+30)+COUNTIFS(F678,"&gt;"&amp;TODAY(),F678,"&lt;="&amp;TODAY()+30)&gt;0),1,0)</x:f>
        <x:v>0</x:v>
      </x:c>
      <x:c r="R678" t="n">
        <x:f>R677+IF(OR(LEFT(H678,15)="Missing dates; ",LEFT(H678,16)="Add N/A reason; ",H678="Add dates",H678="Add registration",H678="Check date format"),1,0)</x:f>
        <x:v>0</x:v>
      </x:c>
      <x:c r="S678" t="n">
        <x:f>S677+IF(COUNTIFS(C678:F678,"Reviewed N/A")&gt;0,1,0)</x:f>
        <x:v>0</x:v>
      </x:c>
    </x:row>
    <x:row r="679" ht="48" customHeight="1">
      <x:c r="A679" s="52"/>
      <x:c r="B679" s="52"/>
      <x:c r="C679" s="53"/>
      <x:c r="D679" s="53"/>
      <x:c r="E679" s="53"/>
      <x:c r="F679" s="53"/>
      <x:c r="G679" s="52"/>
      <x:c r="H679" s="21" t="str">
        <x:f>IF(COUNTA(A679:G679,I679)=0,"",IF(A679="","Add registration",IF(OR(COUNTA(C679:F679)&gt;COUNT(C679:F679)+COUNTIFS(C679:F679,"Reviewed N/A"),AND(COUNT(C679:F679)&gt;0,OR(MIN(C679:F679)&lt;36526,MAX(C679:F679)&gt;109574))),"Check date format",IF(AND(COUNTIFS(C679:F679,"Reviewed N/A")&gt;0,I679=""),"Add N/A reason; ","")&amp;IF(COUNT(C679:F679)=0,IF(COUNTIFS(C679:F679,"Reviewed N/A")=4,"No applicable dates recorded","Add dates"),IF(COUNT(C679:F679)+COUNTIFS(C679:F679,"Reviewed N/A")&lt;4,"Missing dates; ","")&amp;IF(MIN(C679:F679)&lt;TODAY(),"Overdue: ",IF(MIN(C679:F679)=TODAY(),"Due today: ",IF(MIN(C679:F679)&lt;=TODAY()+30,"Due within 30 days: ","Next: ")))&amp;INDEX($C$8:$F$8,1,MATCH(MIN(C679:F679),C679:F679,0))&amp;" "&amp;TEXT(MIN(C679:F679),"dd mmm yyyy")))))</x:f>
      </x:c>
      <x:c r="I679" s="52"/>
      <x:c r="J679" t="str">
        <x:f>IF(AND(A679&lt;&gt;"",COUNTIFS(C679,"&gt;=36526",C679,"&lt;"&amp;TODAY())+COUNTIFS(D679,"&gt;=36526",D679,"&lt;"&amp;TODAY())+COUNTIFS(E679,"&gt;=36526",E679,"&lt;"&amp;TODAY())+COUNTIFS(F679,"&gt;=36526",F679,"&lt;"&amp;TODAY())&gt;0),O679,"")</x:f>
      </x:c>
      <x:c r="K679" t="str">
        <x:f>IF(AND(A679&lt;&gt;"",COUNTIFS(C679,"&gt;=36526",C679,TODAY())+COUNTIFS(D679,"&gt;=36526",D679,TODAY())+COUNTIFS(E679,"&gt;=36526",E679,TODAY())+COUNTIFS(F679,"&gt;=36526",F679,TODAY())&gt;0),P679,"")</x:f>
      </x:c>
      <x:c r="L679" t="str">
        <x:f>IF(AND(A679&lt;&gt;"",COUNTIFS(C679,"&gt;"&amp;TODAY(),C679,"&lt;="&amp;TODAY()+30)+COUNTIFS(D679,"&gt;"&amp;TODAY(),D679,"&lt;="&amp;TODAY()+30)+COUNTIFS(E679,"&gt;"&amp;TODAY(),E679,"&lt;="&amp;TODAY()+30)+COUNTIFS(F679,"&gt;"&amp;TODAY(),F679,"&lt;="&amp;TODAY()+30)&gt;0),Q679,"")</x:f>
      </x:c>
      <x:c r="M679" t="str">
        <x:f>IF(OR(LEFT(H679,15)="Missing dates; ",LEFT(H679,16)="Add N/A reason; ",H679="Add dates",H679="Add registration",H679="Check date format"),R679,"")</x:f>
      </x:c>
      <x:c r="N679" t="str">
        <x:f>IF(COUNTIFS(C679:F679,"Reviewed N/A")&gt;0,S679,"")</x:f>
      </x:c>
      <x:c r="O679" t="n">
        <x:f>O678+IF(AND(A679&lt;&gt;"",COUNTIFS(C679,"&gt;=36526",C679,"&lt;"&amp;TODAY())+COUNTIFS(D679,"&gt;=36526",D679,"&lt;"&amp;TODAY())+COUNTIFS(E679,"&gt;=36526",E679,"&lt;"&amp;TODAY())+COUNTIFS(F679,"&gt;=36526",F679,"&lt;"&amp;TODAY())&gt;0),1,0)</x:f>
        <x:v>0</x:v>
      </x:c>
      <x:c r="P679" t="n">
        <x:f>P678+IF(AND(A679&lt;&gt;"",COUNTIFS(C679,"&gt;=36526",C679,TODAY())+COUNTIFS(D679,"&gt;=36526",D679,TODAY())+COUNTIFS(E679,"&gt;=36526",E679,TODAY())+COUNTIFS(F679,"&gt;=36526",F679,TODAY())&gt;0),1,0)</x:f>
        <x:v>0</x:v>
      </x:c>
      <x:c r="Q679" t="n">
        <x:f>Q678+IF(AND(A679&lt;&gt;"",COUNTIFS(C679,"&gt;"&amp;TODAY(),C679,"&lt;="&amp;TODAY()+30)+COUNTIFS(D679,"&gt;"&amp;TODAY(),D679,"&lt;="&amp;TODAY()+30)+COUNTIFS(E679,"&gt;"&amp;TODAY(),E679,"&lt;="&amp;TODAY()+30)+COUNTIFS(F679,"&gt;"&amp;TODAY(),F679,"&lt;="&amp;TODAY()+30)&gt;0),1,0)</x:f>
        <x:v>0</x:v>
      </x:c>
      <x:c r="R679" t="n">
        <x:f>R678+IF(OR(LEFT(H679,15)="Missing dates; ",LEFT(H679,16)="Add N/A reason; ",H679="Add dates",H679="Add registration",H679="Check date format"),1,0)</x:f>
        <x:v>0</x:v>
      </x:c>
      <x:c r="S679" t="n">
        <x:f>S678+IF(COUNTIFS(C679:F679,"Reviewed N/A")&gt;0,1,0)</x:f>
        <x:v>0</x:v>
      </x:c>
    </x:row>
    <x:row r="680" ht="48" customHeight="1">
      <x:c r="A680" s="52"/>
      <x:c r="B680" s="52"/>
      <x:c r="C680" s="53"/>
      <x:c r="D680" s="53"/>
      <x:c r="E680" s="53"/>
      <x:c r="F680" s="53"/>
      <x:c r="G680" s="52"/>
      <x:c r="H680" s="21" t="str">
        <x:f>IF(COUNTA(A680:G680,I680)=0,"",IF(A680="","Add registration",IF(OR(COUNTA(C680:F680)&gt;COUNT(C680:F680)+COUNTIFS(C680:F680,"Reviewed N/A"),AND(COUNT(C680:F680)&gt;0,OR(MIN(C680:F680)&lt;36526,MAX(C680:F680)&gt;109574))),"Check date format",IF(AND(COUNTIFS(C680:F680,"Reviewed N/A")&gt;0,I680=""),"Add N/A reason; ","")&amp;IF(COUNT(C680:F680)=0,IF(COUNTIFS(C680:F680,"Reviewed N/A")=4,"No applicable dates recorded","Add dates"),IF(COUNT(C680:F680)+COUNTIFS(C680:F680,"Reviewed N/A")&lt;4,"Missing dates; ","")&amp;IF(MIN(C680:F680)&lt;TODAY(),"Overdue: ",IF(MIN(C680:F680)=TODAY(),"Due today: ",IF(MIN(C680:F680)&lt;=TODAY()+30,"Due within 30 days: ","Next: ")))&amp;INDEX($C$8:$F$8,1,MATCH(MIN(C680:F680),C680:F680,0))&amp;" "&amp;TEXT(MIN(C680:F680),"dd mmm yyyy")))))</x:f>
      </x:c>
      <x:c r="I680" s="52"/>
      <x:c r="J680" t="str">
        <x:f>IF(AND(A680&lt;&gt;"",COUNTIFS(C680,"&gt;=36526",C680,"&lt;"&amp;TODAY())+COUNTIFS(D680,"&gt;=36526",D680,"&lt;"&amp;TODAY())+COUNTIFS(E680,"&gt;=36526",E680,"&lt;"&amp;TODAY())+COUNTIFS(F680,"&gt;=36526",F680,"&lt;"&amp;TODAY())&gt;0),O680,"")</x:f>
      </x:c>
      <x:c r="K680" t="str">
        <x:f>IF(AND(A680&lt;&gt;"",COUNTIFS(C680,"&gt;=36526",C680,TODAY())+COUNTIFS(D680,"&gt;=36526",D680,TODAY())+COUNTIFS(E680,"&gt;=36526",E680,TODAY())+COUNTIFS(F680,"&gt;=36526",F680,TODAY())&gt;0),P680,"")</x:f>
      </x:c>
      <x:c r="L680" t="str">
        <x:f>IF(AND(A680&lt;&gt;"",COUNTIFS(C680,"&gt;"&amp;TODAY(),C680,"&lt;="&amp;TODAY()+30)+COUNTIFS(D680,"&gt;"&amp;TODAY(),D680,"&lt;="&amp;TODAY()+30)+COUNTIFS(E680,"&gt;"&amp;TODAY(),E680,"&lt;="&amp;TODAY()+30)+COUNTIFS(F680,"&gt;"&amp;TODAY(),F680,"&lt;="&amp;TODAY()+30)&gt;0),Q680,"")</x:f>
      </x:c>
      <x:c r="M680" t="str">
        <x:f>IF(OR(LEFT(H680,15)="Missing dates; ",LEFT(H680,16)="Add N/A reason; ",H680="Add dates",H680="Add registration",H680="Check date format"),R680,"")</x:f>
      </x:c>
      <x:c r="N680" t="str">
        <x:f>IF(COUNTIFS(C680:F680,"Reviewed N/A")&gt;0,S680,"")</x:f>
      </x:c>
      <x:c r="O680" t="n">
        <x:f>O679+IF(AND(A680&lt;&gt;"",COUNTIFS(C680,"&gt;=36526",C680,"&lt;"&amp;TODAY())+COUNTIFS(D680,"&gt;=36526",D680,"&lt;"&amp;TODAY())+COUNTIFS(E680,"&gt;=36526",E680,"&lt;"&amp;TODAY())+COUNTIFS(F680,"&gt;=36526",F680,"&lt;"&amp;TODAY())&gt;0),1,0)</x:f>
        <x:v>0</x:v>
      </x:c>
      <x:c r="P680" t="n">
        <x:f>P679+IF(AND(A680&lt;&gt;"",COUNTIFS(C680,"&gt;=36526",C680,TODAY())+COUNTIFS(D680,"&gt;=36526",D680,TODAY())+COUNTIFS(E680,"&gt;=36526",E680,TODAY())+COUNTIFS(F680,"&gt;=36526",F680,TODAY())&gt;0),1,0)</x:f>
        <x:v>0</x:v>
      </x:c>
      <x:c r="Q680" t="n">
        <x:f>Q679+IF(AND(A680&lt;&gt;"",COUNTIFS(C680,"&gt;"&amp;TODAY(),C680,"&lt;="&amp;TODAY()+30)+COUNTIFS(D680,"&gt;"&amp;TODAY(),D680,"&lt;="&amp;TODAY()+30)+COUNTIFS(E680,"&gt;"&amp;TODAY(),E680,"&lt;="&amp;TODAY()+30)+COUNTIFS(F680,"&gt;"&amp;TODAY(),F680,"&lt;="&amp;TODAY()+30)&gt;0),1,0)</x:f>
        <x:v>0</x:v>
      </x:c>
      <x:c r="R680" t="n">
        <x:f>R679+IF(OR(LEFT(H680,15)="Missing dates; ",LEFT(H680,16)="Add N/A reason; ",H680="Add dates",H680="Add registration",H680="Check date format"),1,0)</x:f>
        <x:v>0</x:v>
      </x:c>
      <x:c r="S680" t="n">
        <x:f>S679+IF(COUNTIFS(C680:F680,"Reviewed N/A")&gt;0,1,0)</x:f>
        <x:v>0</x:v>
      </x:c>
    </x:row>
    <x:row r="681" ht="48" customHeight="1">
      <x:c r="A681" s="52"/>
      <x:c r="B681" s="52"/>
      <x:c r="C681" s="53"/>
      <x:c r="D681" s="53"/>
      <x:c r="E681" s="53"/>
      <x:c r="F681" s="53"/>
      <x:c r="G681" s="52"/>
      <x:c r="H681" s="21" t="str">
        <x:f>IF(COUNTA(A681:G681,I681)=0,"",IF(A681="","Add registration",IF(OR(COUNTA(C681:F681)&gt;COUNT(C681:F681)+COUNTIFS(C681:F681,"Reviewed N/A"),AND(COUNT(C681:F681)&gt;0,OR(MIN(C681:F681)&lt;36526,MAX(C681:F681)&gt;109574))),"Check date format",IF(AND(COUNTIFS(C681:F681,"Reviewed N/A")&gt;0,I681=""),"Add N/A reason; ","")&amp;IF(COUNT(C681:F681)=0,IF(COUNTIFS(C681:F681,"Reviewed N/A")=4,"No applicable dates recorded","Add dates"),IF(COUNT(C681:F681)+COUNTIFS(C681:F681,"Reviewed N/A")&lt;4,"Missing dates; ","")&amp;IF(MIN(C681:F681)&lt;TODAY(),"Overdue: ",IF(MIN(C681:F681)=TODAY(),"Due today: ",IF(MIN(C681:F681)&lt;=TODAY()+30,"Due within 30 days: ","Next: ")))&amp;INDEX($C$8:$F$8,1,MATCH(MIN(C681:F681),C681:F681,0))&amp;" "&amp;TEXT(MIN(C681:F681),"dd mmm yyyy")))))</x:f>
      </x:c>
      <x:c r="I681" s="52"/>
      <x:c r="J681" t="str">
        <x:f>IF(AND(A681&lt;&gt;"",COUNTIFS(C681,"&gt;=36526",C681,"&lt;"&amp;TODAY())+COUNTIFS(D681,"&gt;=36526",D681,"&lt;"&amp;TODAY())+COUNTIFS(E681,"&gt;=36526",E681,"&lt;"&amp;TODAY())+COUNTIFS(F681,"&gt;=36526",F681,"&lt;"&amp;TODAY())&gt;0),O681,"")</x:f>
      </x:c>
      <x:c r="K681" t="str">
        <x:f>IF(AND(A681&lt;&gt;"",COUNTIFS(C681,"&gt;=36526",C681,TODAY())+COUNTIFS(D681,"&gt;=36526",D681,TODAY())+COUNTIFS(E681,"&gt;=36526",E681,TODAY())+COUNTIFS(F681,"&gt;=36526",F681,TODAY())&gt;0),P681,"")</x:f>
      </x:c>
      <x:c r="L681" t="str">
        <x:f>IF(AND(A681&lt;&gt;"",COUNTIFS(C681,"&gt;"&amp;TODAY(),C681,"&lt;="&amp;TODAY()+30)+COUNTIFS(D681,"&gt;"&amp;TODAY(),D681,"&lt;="&amp;TODAY()+30)+COUNTIFS(E681,"&gt;"&amp;TODAY(),E681,"&lt;="&amp;TODAY()+30)+COUNTIFS(F681,"&gt;"&amp;TODAY(),F681,"&lt;="&amp;TODAY()+30)&gt;0),Q681,"")</x:f>
      </x:c>
      <x:c r="M681" t="str">
        <x:f>IF(OR(LEFT(H681,15)="Missing dates; ",LEFT(H681,16)="Add N/A reason; ",H681="Add dates",H681="Add registration",H681="Check date format"),R681,"")</x:f>
      </x:c>
      <x:c r="N681" t="str">
        <x:f>IF(COUNTIFS(C681:F681,"Reviewed N/A")&gt;0,S681,"")</x:f>
      </x:c>
      <x:c r="O681" t="n">
        <x:f>O680+IF(AND(A681&lt;&gt;"",COUNTIFS(C681,"&gt;=36526",C681,"&lt;"&amp;TODAY())+COUNTIFS(D681,"&gt;=36526",D681,"&lt;"&amp;TODAY())+COUNTIFS(E681,"&gt;=36526",E681,"&lt;"&amp;TODAY())+COUNTIFS(F681,"&gt;=36526",F681,"&lt;"&amp;TODAY())&gt;0),1,0)</x:f>
        <x:v>0</x:v>
      </x:c>
      <x:c r="P681" t="n">
        <x:f>P680+IF(AND(A681&lt;&gt;"",COUNTIFS(C681,"&gt;=36526",C681,TODAY())+COUNTIFS(D681,"&gt;=36526",D681,TODAY())+COUNTIFS(E681,"&gt;=36526",E681,TODAY())+COUNTIFS(F681,"&gt;=36526",F681,TODAY())&gt;0),1,0)</x:f>
        <x:v>0</x:v>
      </x:c>
      <x:c r="Q681" t="n">
        <x:f>Q680+IF(AND(A681&lt;&gt;"",COUNTIFS(C681,"&gt;"&amp;TODAY(),C681,"&lt;="&amp;TODAY()+30)+COUNTIFS(D681,"&gt;"&amp;TODAY(),D681,"&lt;="&amp;TODAY()+30)+COUNTIFS(E681,"&gt;"&amp;TODAY(),E681,"&lt;="&amp;TODAY()+30)+COUNTIFS(F681,"&gt;"&amp;TODAY(),F681,"&lt;="&amp;TODAY()+30)&gt;0),1,0)</x:f>
        <x:v>0</x:v>
      </x:c>
      <x:c r="R681" t="n">
        <x:f>R680+IF(OR(LEFT(H681,15)="Missing dates; ",LEFT(H681,16)="Add N/A reason; ",H681="Add dates",H681="Add registration",H681="Check date format"),1,0)</x:f>
        <x:v>0</x:v>
      </x:c>
      <x:c r="S681" t="n">
        <x:f>S680+IF(COUNTIFS(C681:F681,"Reviewed N/A")&gt;0,1,0)</x:f>
        <x:v>0</x:v>
      </x:c>
    </x:row>
    <x:row r="682" ht="48" customHeight="1">
      <x:c r="A682" s="52"/>
      <x:c r="B682" s="52"/>
      <x:c r="C682" s="53"/>
      <x:c r="D682" s="53"/>
      <x:c r="E682" s="53"/>
      <x:c r="F682" s="53"/>
      <x:c r="G682" s="52"/>
      <x:c r="H682" s="21" t="str">
        <x:f>IF(COUNTA(A682:G682,I682)=0,"",IF(A682="","Add registration",IF(OR(COUNTA(C682:F682)&gt;COUNT(C682:F682)+COUNTIFS(C682:F682,"Reviewed N/A"),AND(COUNT(C682:F682)&gt;0,OR(MIN(C682:F682)&lt;36526,MAX(C682:F682)&gt;109574))),"Check date format",IF(AND(COUNTIFS(C682:F682,"Reviewed N/A")&gt;0,I682=""),"Add N/A reason; ","")&amp;IF(COUNT(C682:F682)=0,IF(COUNTIFS(C682:F682,"Reviewed N/A")=4,"No applicable dates recorded","Add dates"),IF(COUNT(C682:F682)+COUNTIFS(C682:F682,"Reviewed N/A")&lt;4,"Missing dates; ","")&amp;IF(MIN(C682:F682)&lt;TODAY(),"Overdue: ",IF(MIN(C682:F682)=TODAY(),"Due today: ",IF(MIN(C682:F682)&lt;=TODAY()+30,"Due within 30 days: ","Next: ")))&amp;INDEX($C$8:$F$8,1,MATCH(MIN(C682:F682),C682:F682,0))&amp;" "&amp;TEXT(MIN(C682:F682),"dd mmm yyyy")))))</x:f>
      </x:c>
      <x:c r="I682" s="52"/>
      <x:c r="J682" t="str">
        <x:f>IF(AND(A682&lt;&gt;"",COUNTIFS(C682,"&gt;=36526",C682,"&lt;"&amp;TODAY())+COUNTIFS(D682,"&gt;=36526",D682,"&lt;"&amp;TODAY())+COUNTIFS(E682,"&gt;=36526",E682,"&lt;"&amp;TODAY())+COUNTIFS(F682,"&gt;=36526",F682,"&lt;"&amp;TODAY())&gt;0),O682,"")</x:f>
      </x:c>
      <x:c r="K682" t="str">
        <x:f>IF(AND(A682&lt;&gt;"",COUNTIFS(C682,"&gt;=36526",C682,TODAY())+COUNTIFS(D682,"&gt;=36526",D682,TODAY())+COUNTIFS(E682,"&gt;=36526",E682,TODAY())+COUNTIFS(F682,"&gt;=36526",F682,TODAY())&gt;0),P682,"")</x:f>
      </x:c>
      <x:c r="L682" t="str">
        <x:f>IF(AND(A682&lt;&gt;"",COUNTIFS(C682,"&gt;"&amp;TODAY(),C682,"&lt;="&amp;TODAY()+30)+COUNTIFS(D682,"&gt;"&amp;TODAY(),D682,"&lt;="&amp;TODAY()+30)+COUNTIFS(E682,"&gt;"&amp;TODAY(),E682,"&lt;="&amp;TODAY()+30)+COUNTIFS(F682,"&gt;"&amp;TODAY(),F682,"&lt;="&amp;TODAY()+30)&gt;0),Q682,"")</x:f>
      </x:c>
      <x:c r="M682" t="str">
        <x:f>IF(OR(LEFT(H682,15)="Missing dates; ",LEFT(H682,16)="Add N/A reason; ",H682="Add dates",H682="Add registration",H682="Check date format"),R682,"")</x:f>
      </x:c>
      <x:c r="N682" t="str">
        <x:f>IF(COUNTIFS(C682:F682,"Reviewed N/A")&gt;0,S682,"")</x:f>
      </x:c>
      <x:c r="O682" t="n">
        <x:f>O681+IF(AND(A682&lt;&gt;"",COUNTIFS(C682,"&gt;=36526",C682,"&lt;"&amp;TODAY())+COUNTIFS(D682,"&gt;=36526",D682,"&lt;"&amp;TODAY())+COUNTIFS(E682,"&gt;=36526",E682,"&lt;"&amp;TODAY())+COUNTIFS(F682,"&gt;=36526",F682,"&lt;"&amp;TODAY())&gt;0),1,0)</x:f>
        <x:v>0</x:v>
      </x:c>
      <x:c r="P682" t="n">
        <x:f>P681+IF(AND(A682&lt;&gt;"",COUNTIFS(C682,"&gt;=36526",C682,TODAY())+COUNTIFS(D682,"&gt;=36526",D682,TODAY())+COUNTIFS(E682,"&gt;=36526",E682,TODAY())+COUNTIFS(F682,"&gt;=36526",F682,TODAY())&gt;0),1,0)</x:f>
        <x:v>0</x:v>
      </x:c>
      <x:c r="Q682" t="n">
        <x:f>Q681+IF(AND(A682&lt;&gt;"",COUNTIFS(C682,"&gt;"&amp;TODAY(),C682,"&lt;="&amp;TODAY()+30)+COUNTIFS(D682,"&gt;"&amp;TODAY(),D682,"&lt;="&amp;TODAY()+30)+COUNTIFS(E682,"&gt;"&amp;TODAY(),E682,"&lt;="&amp;TODAY()+30)+COUNTIFS(F682,"&gt;"&amp;TODAY(),F682,"&lt;="&amp;TODAY()+30)&gt;0),1,0)</x:f>
        <x:v>0</x:v>
      </x:c>
      <x:c r="R682" t="n">
        <x:f>R681+IF(OR(LEFT(H682,15)="Missing dates; ",LEFT(H682,16)="Add N/A reason; ",H682="Add dates",H682="Add registration",H682="Check date format"),1,0)</x:f>
        <x:v>0</x:v>
      </x:c>
      <x:c r="S682" t="n">
        <x:f>S681+IF(COUNTIFS(C682:F682,"Reviewed N/A")&gt;0,1,0)</x:f>
        <x:v>0</x:v>
      </x:c>
    </x:row>
    <x:row r="683" ht="48" customHeight="1">
      <x:c r="A683" s="52"/>
      <x:c r="B683" s="52"/>
      <x:c r="C683" s="53"/>
      <x:c r="D683" s="53"/>
      <x:c r="E683" s="53"/>
      <x:c r="F683" s="53"/>
      <x:c r="G683" s="52"/>
      <x:c r="H683" s="21" t="str">
        <x:f>IF(COUNTA(A683:G683,I683)=0,"",IF(A683="","Add registration",IF(OR(COUNTA(C683:F683)&gt;COUNT(C683:F683)+COUNTIFS(C683:F683,"Reviewed N/A"),AND(COUNT(C683:F683)&gt;0,OR(MIN(C683:F683)&lt;36526,MAX(C683:F683)&gt;109574))),"Check date format",IF(AND(COUNTIFS(C683:F683,"Reviewed N/A")&gt;0,I683=""),"Add N/A reason; ","")&amp;IF(COUNT(C683:F683)=0,IF(COUNTIFS(C683:F683,"Reviewed N/A")=4,"No applicable dates recorded","Add dates"),IF(COUNT(C683:F683)+COUNTIFS(C683:F683,"Reviewed N/A")&lt;4,"Missing dates; ","")&amp;IF(MIN(C683:F683)&lt;TODAY(),"Overdue: ",IF(MIN(C683:F683)=TODAY(),"Due today: ",IF(MIN(C683:F683)&lt;=TODAY()+30,"Due within 30 days: ","Next: ")))&amp;INDEX($C$8:$F$8,1,MATCH(MIN(C683:F683),C683:F683,0))&amp;" "&amp;TEXT(MIN(C683:F683),"dd mmm yyyy")))))</x:f>
      </x:c>
      <x:c r="I683" s="52"/>
      <x:c r="J683" t="str">
        <x:f>IF(AND(A683&lt;&gt;"",COUNTIFS(C683,"&gt;=36526",C683,"&lt;"&amp;TODAY())+COUNTIFS(D683,"&gt;=36526",D683,"&lt;"&amp;TODAY())+COUNTIFS(E683,"&gt;=36526",E683,"&lt;"&amp;TODAY())+COUNTIFS(F683,"&gt;=36526",F683,"&lt;"&amp;TODAY())&gt;0),O683,"")</x:f>
      </x:c>
      <x:c r="K683" t="str">
        <x:f>IF(AND(A683&lt;&gt;"",COUNTIFS(C683,"&gt;=36526",C683,TODAY())+COUNTIFS(D683,"&gt;=36526",D683,TODAY())+COUNTIFS(E683,"&gt;=36526",E683,TODAY())+COUNTIFS(F683,"&gt;=36526",F683,TODAY())&gt;0),P683,"")</x:f>
      </x:c>
      <x:c r="L683" t="str">
        <x:f>IF(AND(A683&lt;&gt;"",COUNTIFS(C683,"&gt;"&amp;TODAY(),C683,"&lt;="&amp;TODAY()+30)+COUNTIFS(D683,"&gt;"&amp;TODAY(),D683,"&lt;="&amp;TODAY()+30)+COUNTIFS(E683,"&gt;"&amp;TODAY(),E683,"&lt;="&amp;TODAY()+30)+COUNTIFS(F683,"&gt;"&amp;TODAY(),F683,"&lt;="&amp;TODAY()+30)&gt;0),Q683,"")</x:f>
      </x:c>
      <x:c r="M683" t="str">
        <x:f>IF(OR(LEFT(H683,15)="Missing dates; ",LEFT(H683,16)="Add N/A reason; ",H683="Add dates",H683="Add registration",H683="Check date format"),R683,"")</x:f>
      </x:c>
      <x:c r="N683" t="str">
        <x:f>IF(COUNTIFS(C683:F683,"Reviewed N/A")&gt;0,S683,"")</x:f>
      </x:c>
      <x:c r="O683" t="n">
        <x:f>O682+IF(AND(A683&lt;&gt;"",COUNTIFS(C683,"&gt;=36526",C683,"&lt;"&amp;TODAY())+COUNTIFS(D683,"&gt;=36526",D683,"&lt;"&amp;TODAY())+COUNTIFS(E683,"&gt;=36526",E683,"&lt;"&amp;TODAY())+COUNTIFS(F683,"&gt;=36526",F683,"&lt;"&amp;TODAY())&gt;0),1,0)</x:f>
        <x:v>0</x:v>
      </x:c>
      <x:c r="P683" t="n">
        <x:f>P682+IF(AND(A683&lt;&gt;"",COUNTIFS(C683,"&gt;=36526",C683,TODAY())+COUNTIFS(D683,"&gt;=36526",D683,TODAY())+COUNTIFS(E683,"&gt;=36526",E683,TODAY())+COUNTIFS(F683,"&gt;=36526",F683,TODAY())&gt;0),1,0)</x:f>
        <x:v>0</x:v>
      </x:c>
      <x:c r="Q683" t="n">
        <x:f>Q682+IF(AND(A683&lt;&gt;"",COUNTIFS(C683,"&gt;"&amp;TODAY(),C683,"&lt;="&amp;TODAY()+30)+COUNTIFS(D683,"&gt;"&amp;TODAY(),D683,"&lt;="&amp;TODAY()+30)+COUNTIFS(E683,"&gt;"&amp;TODAY(),E683,"&lt;="&amp;TODAY()+30)+COUNTIFS(F683,"&gt;"&amp;TODAY(),F683,"&lt;="&amp;TODAY()+30)&gt;0),1,0)</x:f>
        <x:v>0</x:v>
      </x:c>
      <x:c r="R683" t="n">
        <x:f>R682+IF(OR(LEFT(H683,15)="Missing dates; ",LEFT(H683,16)="Add N/A reason; ",H683="Add dates",H683="Add registration",H683="Check date format"),1,0)</x:f>
        <x:v>0</x:v>
      </x:c>
      <x:c r="S683" t="n">
        <x:f>S682+IF(COUNTIFS(C683:F683,"Reviewed N/A")&gt;0,1,0)</x:f>
        <x:v>0</x:v>
      </x:c>
    </x:row>
    <x:row r="684" ht="48" customHeight="1">
      <x:c r="A684" s="52"/>
      <x:c r="B684" s="52"/>
      <x:c r="C684" s="53"/>
      <x:c r="D684" s="53"/>
      <x:c r="E684" s="53"/>
      <x:c r="F684" s="53"/>
      <x:c r="G684" s="52"/>
      <x:c r="H684" s="21" t="str">
        <x:f>IF(COUNTA(A684:G684,I684)=0,"",IF(A684="","Add registration",IF(OR(COUNTA(C684:F684)&gt;COUNT(C684:F684)+COUNTIFS(C684:F684,"Reviewed N/A"),AND(COUNT(C684:F684)&gt;0,OR(MIN(C684:F684)&lt;36526,MAX(C684:F684)&gt;109574))),"Check date format",IF(AND(COUNTIFS(C684:F684,"Reviewed N/A")&gt;0,I684=""),"Add N/A reason; ","")&amp;IF(COUNT(C684:F684)=0,IF(COUNTIFS(C684:F684,"Reviewed N/A")=4,"No applicable dates recorded","Add dates"),IF(COUNT(C684:F684)+COUNTIFS(C684:F684,"Reviewed N/A")&lt;4,"Missing dates; ","")&amp;IF(MIN(C684:F684)&lt;TODAY(),"Overdue: ",IF(MIN(C684:F684)=TODAY(),"Due today: ",IF(MIN(C684:F684)&lt;=TODAY()+30,"Due within 30 days: ","Next: ")))&amp;INDEX($C$8:$F$8,1,MATCH(MIN(C684:F684),C684:F684,0))&amp;" "&amp;TEXT(MIN(C684:F684),"dd mmm yyyy")))))</x:f>
      </x:c>
      <x:c r="I684" s="52"/>
      <x:c r="J684" t="str">
        <x:f>IF(AND(A684&lt;&gt;"",COUNTIFS(C684,"&gt;=36526",C684,"&lt;"&amp;TODAY())+COUNTIFS(D684,"&gt;=36526",D684,"&lt;"&amp;TODAY())+COUNTIFS(E684,"&gt;=36526",E684,"&lt;"&amp;TODAY())+COUNTIFS(F684,"&gt;=36526",F684,"&lt;"&amp;TODAY())&gt;0),O684,"")</x:f>
      </x:c>
      <x:c r="K684" t="str">
        <x:f>IF(AND(A684&lt;&gt;"",COUNTIFS(C684,"&gt;=36526",C684,TODAY())+COUNTIFS(D684,"&gt;=36526",D684,TODAY())+COUNTIFS(E684,"&gt;=36526",E684,TODAY())+COUNTIFS(F684,"&gt;=36526",F684,TODAY())&gt;0),P684,"")</x:f>
      </x:c>
      <x:c r="L684" t="str">
        <x:f>IF(AND(A684&lt;&gt;"",COUNTIFS(C684,"&gt;"&amp;TODAY(),C684,"&lt;="&amp;TODAY()+30)+COUNTIFS(D684,"&gt;"&amp;TODAY(),D684,"&lt;="&amp;TODAY()+30)+COUNTIFS(E684,"&gt;"&amp;TODAY(),E684,"&lt;="&amp;TODAY()+30)+COUNTIFS(F684,"&gt;"&amp;TODAY(),F684,"&lt;="&amp;TODAY()+30)&gt;0),Q684,"")</x:f>
      </x:c>
      <x:c r="M684" t="str">
        <x:f>IF(OR(LEFT(H684,15)="Missing dates; ",LEFT(H684,16)="Add N/A reason; ",H684="Add dates",H684="Add registration",H684="Check date format"),R684,"")</x:f>
      </x:c>
      <x:c r="N684" t="str">
        <x:f>IF(COUNTIFS(C684:F684,"Reviewed N/A")&gt;0,S684,"")</x:f>
      </x:c>
      <x:c r="O684" t="n">
        <x:f>O683+IF(AND(A684&lt;&gt;"",COUNTIFS(C684,"&gt;=36526",C684,"&lt;"&amp;TODAY())+COUNTIFS(D684,"&gt;=36526",D684,"&lt;"&amp;TODAY())+COUNTIFS(E684,"&gt;=36526",E684,"&lt;"&amp;TODAY())+COUNTIFS(F684,"&gt;=36526",F684,"&lt;"&amp;TODAY())&gt;0),1,0)</x:f>
        <x:v>0</x:v>
      </x:c>
      <x:c r="P684" t="n">
        <x:f>P683+IF(AND(A684&lt;&gt;"",COUNTIFS(C684,"&gt;=36526",C684,TODAY())+COUNTIFS(D684,"&gt;=36526",D684,TODAY())+COUNTIFS(E684,"&gt;=36526",E684,TODAY())+COUNTIFS(F684,"&gt;=36526",F684,TODAY())&gt;0),1,0)</x:f>
        <x:v>0</x:v>
      </x:c>
      <x:c r="Q684" t="n">
        <x:f>Q683+IF(AND(A684&lt;&gt;"",COUNTIFS(C684,"&gt;"&amp;TODAY(),C684,"&lt;="&amp;TODAY()+30)+COUNTIFS(D684,"&gt;"&amp;TODAY(),D684,"&lt;="&amp;TODAY()+30)+COUNTIFS(E684,"&gt;"&amp;TODAY(),E684,"&lt;="&amp;TODAY()+30)+COUNTIFS(F684,"&gt;"&amp;TODAY(),F684,"&lt;="&amp;TODAY()+30)&gt;0),1,0)</x:f>
        <x:v>0</x:v>
      </x:c>
      <x:c r="R684" t="n">
        <x:f>R683+IF(OR(LEFT(H684,15)="Missing dates; ",LEFT(H684,16)="Add N/A reason; ",H684="Add dates",H684="Add registration",H684="Check date format"),1,0)</x:f>
        <x:v>0</x:v>
      </x:c>
      <x:c r="S684" t="n">
        <x:f>S683+IF(COUNTIFS(C684:F684,"Reviewed N/A")&gt;0,1,0)</x:f>
        <x:v>0</x:v>
      </x:c>
    </x:row>
    <x:row r="685" ht="48" customHeight="1">
      <x:c r="A685" s="52"/>
      <x:c r="B685" s="52"/>
      <x:c r="C685" s="53"/>
      <x:c r="D685" s="53"/>
      <x:c r="E685" s="53"/>
      <x:c r="F685" s="53"/>
      <x:c r="G685" s="52"/>
      <x:c r="H685" s="21" t="str">
        <x:f>IF(COUNTA(A685:G685,I685)=0,"",IF(A685="","Add registration",IF(OR(COUNTA(C685:F685)&gt;COUNT(C685:F685)+COUNTIFS(C685:F685,"Reviewed N/A"),AND(COUNT(C685:F685)&gt;0,OR(MIN(C685:F685)&lt;36526,MAX(C685:F685)&gt;109574))),"Check date format",IF(AND(COUNTIFS(C685:F685,"Reviewed N/A")&gt;0,I685=""),"Add N/A reason; ","")&amp;IF(COUNT(C685:F685)=0,IF(COUNTIFS(C685:F685,"Reviewed N/A")=4,"No applicable dates recorded","Add dates"),IF(COUNT(C685:F685)+COUNTIFS(C685:F685,"Reviewed N/A")&lt;4,"Missing dates; ","")&amp;IF(MIN(C685:F685)&lt;TODAY(),"Overdue: ",IF(MIN(C685:F685)=TODAY(),"Due today: ",IF(MIN(C685:F685)&lt;=TODAY()+30,"Due within 30 days: ","Next: ")))&amp;INDEX($C$8:$F$8,1,MATCH(MIN(C685:F685),C685:F685,0))&amp;" "&amp;TEXT(MIN(C685:F685),"dd mmm yyyy")))))</x:f>
      </x:c>
      <x:c r="I685" s="52"/>
      <x:c r="J685" t="str">
        <x:f>IF(AND(A685&lt;&gt;"",COUNTIFS(C685,"&gt;=36526",C685,"&lt;"&amp;TODAY())+COUNTIFS(D685,"&gt;=36526",D685,"&lt;"&amp;TODAY())+COUNTIFS(E685,"&gt;=36526",E685,"&lt;"&amp;TODAY())+COUNTIFS(F685,"&gt;=36526",F685,"&lt;"&amp;TODAY())&gt;0),O685,"")</x:f>
      </x:c>
      <x:c r="K685" t="str">
        <x:f>IF(AND(A685&lt;&gt;"",COUNTIFS(C685,"&gt;=36526",C685,TODAY())+COUNTIFS(D685,"&gt;=36526",D685,TODAY())+COUNTIFS(E685,"&gt;=36526",E685,TODAY())+COUNTIFS(F685,"&gt;=36526",F685,TODAY())&gt;0),P685,"")</x:f>
      </x:c>
      <x:c r="L685" t="str">
        <x:f>IF(AND(A685&lt;&gt;"",COUNTIFS(C685,"&gt;"&amp;TODAY(),C685,"&lt;="&amp;TODAY()+30)+COUNTIFS(D685,"&gt;"&amp;TODAY(),D685,"&lt;="&amp;TODAY()+30)+COUNTIFS(E685,"&gt;"&amp;TODAY(),E685,"&lt;="&amp;TODAY()+30)+COUNTIFS(F685,"&gt;"&amp;TODAY(),F685,"&lt;="&amp;TODAY()+30)&gt;0),Q685,"")</x:f>
      </x:c>
      <x:c r="M685" t="str">
        <x:f>IF(OR(LEFT(H685,15)="Missing dates; ",LEFT(H685,16)="Add N/A reason; ",H685="Add dates",H685="Add registration",H685="Check date format"),R685,"")</x:f>
      </x:c>
      <x:c r="N685" t="str">
        <x:f>IF(COUNTIFS(C685:F685,"Reviewed N/A")&gt;0,S685,"")</x:f>
      </x:c>
      <x:c r="O685" t="n">
        <x:f>O684+IF(AND(A685&lt;&gt;"",COUNTIFS(C685,"&gt;=36526",C685,"&lt;"&amp;TODAY())+COUNTIFS(D685,"&gt;=36526",D685,"&lt;"&amp;TODAY())+COUNTIFS(E685,"&gt;=36526",E685,"&lt;"&amp;TODAY())+COUNTIFS(F685,"&gt;=36526",F685,"&lt;"&amp;TODAY())&gt;0),1,0)</x:f>
        <x:v>0</x:v>
      </x:c>
      <x:c r="P685" t="n">
        <x:f>P684+IF(AND(A685&lt;&gt;"",COUNTIFS(C685,"&gt;=36526",C685,TODAY())+COUNTIFS(D685,"&gt;=36526",D685,TODAY())+COUNTIFS(E685,"&gt;=36526",E685,TODAY())+COUNTIFS(F685,"&gt;=36526",F685,TODAY())&gt;0),1,0)</x:f>
        <x:v>0</x:v>
      </x:c>
      <x:c r="Q685" t="n">
        <x:f>Q684+IF(AND(A685&lt;&gt;"",COUNTIFS(C685,"&gt;"&amp;TODAY(),C685,"&lt;="&amp;TODAY()+30)+COUNTIFS(D685,"&gt;"&amp;TODAY(),D685,"&lt;="&amp;TODAY()+30)+COUNTIFS(E685,"&gt;"&amp;TODAY(),E685,"&lt;="&amp;TODAY()+30)+COUNTIFS(F685,"&gt;"&amp;TODAY(),F685,"&lt;="&amp;TODAY()+30)&gt;0),1,0)</x:f>
        <x:v>0</x:v>
      </x:c>
      <x:c r="R685" t="n">
        <x:f>R684+IF(OR(LEFT(H685,15)="Missing dates; ",LEFT(H685,16)="Add N/A reason; ",H685="Add dates",H685="Add registration",H685="Check date format"),1,0)</x:f>
        <x:v>0</x:v>
      </x:c>
      <x:c r="S685" t="n">
        <x:f>S684+IF(COUNTIFS(C685:F685,"Reviewed N/A")&gt;0,1,0)</x:f>
        <x:v>0</x:v>
      </x:c>
    </x:row>
    <x:row r="686" ht="48" customHeight="1">
      <x:c r="A686" s="52"/>
      <x:c r="B686" s="52"/>
      <x:c r="C686" s="53"/>
      <x:c r="D686" s="53"/>
      <x:c r="E686" s="53"/>
      <x:c r="F686" s="53"/>
      <x:c r="G686" s="52"/>
      <x:c r="H686" s="21" t="str">
        <x:f>IF(COUNTA(A686:G686,I686)=0,"",IF(A686="","Add registration",IF(OR(COUNTA(C686:F686)&gt;COUNT(C686:F686)+COUNTIFS(C686:F686,"Reviewed N/A"),AND(COUNT(C686:F686)&gt;0,OR(MIN(C686:F686)&lt;36526,MAX(C686:F686)&gt;109574))),"Check date format",IF(AND(COUNTIFS(C686:F686,"Reviewed N/A")&gt;0,I686=""),"Add N/A reason; ","")&amp;IF(COUNT(C686:F686)=0,IF(COUNTIFS(C686:F686,"Reviewed N/A")=4,"No applicable dates recorded","Add dates"),IF(COUNT(C686:F686)+COUNTIFS(C686:F686,"Reviewed N/A")&lt;4,"Missing dates; ","")&amp;IF(MIN(C686:F686)&lt;TODAY(),"Overdue: ",IF(MIN(C686:F686)=TODAY(),"Due today: ",IF(MIN(C686:F686)&lt;=TODAY()+30,"Due within 30 days: ","Next: ")))&amp;INDEX($C$8:$F$8,1,MATCH(MIN(C686:F686),C686:F686,0))&amp;" "&amp;TEXT(MIN(C686:F686),"dd mmm yyyy")))))</x:f>
      </x:c>
      <x:c r="I686" s="52"/>
      <x:c r="J686" t="str">
        <x:f>IF(AND(A686&lt;&gt;"",COUNTIFS(C686,"&gt;=36526",C686,"&lt;"&amp;TODAY())+COUNTIFS(D686,"&gt;=36526",D686,"&lt;"&amp;TODAY())+COUNTIFS(E686,"&gt;=36526",E686,"&lt;"&amp;TODAY())+COUNTIFS(F686,"&gt;=36526",F686,"&lt;"&amp;TODAY())&gt;0),O686,"")</x:f>
      </x:c>
      <x:c r="K686" t="str">
        <x:f>IF(AND(A686&lt;&gt;"",COUNTIFS(C686,"&gt;=36526",C686,TODAY())+COUNTIFS(D686,"&gt;=36526",D686,TODAY())+COUNTIFS(E686,"&gt;=36526",E686,TODAY())+COUNTIFS(F686,"&gt;=36526",F686,TODAY())&gt;0),P686,"")</x:f>
      </x:c>
      <x:c r="L686" t="str">
        <x:f>IF(AND(A686&lt;&gt;"",COUNTIFS(C686,"&gt;"&amp;TODAY(),C686,"&lt;="&amp;TODAY()+30)+COUNTIFS(D686,"&gt;"&amp;TODAY(),D686,"&lt;="&amp;TODAY()+30)+COUNTIFS(E686,"&gt;"&amp;TODAY(),E686,"&lt;="&amp;TODAY()+30)+COUNTIFS(F686,"&gt;"&amp;TODAY(),F686,"&lt;="&amp;TODAY()+30)&gt;0),Q686,"")</x:f>
      </x:c>
      <x:c r="M686" t="str">
        <x:f>IF(OR(LEFT(H686,15)="Missing dates; ",LEFT(H686,16)="Add N/A reason; ",H686="Add dates",H686="Add registration",H686="Check date format"),R686,"")</x:f>
      </x:c>
      <x:c r="N686" t="str">
        <x:f>IF(COUNTIFS(C686:F686,"Reviewed N/A")&gt;0,S686,"")</x:f>
      </x:c>
      <x:c r="O686" t="n">
        <x:f>O685+IF(AND(A686&lt;&gt;"",COUNTIFS(C686,"&gt;=36526",C686,"&lt;"&amp;TODAY())+COUNTIFS(D686,"&gt;=36526",D686,"&lt;"&amp;TODAY())+COUNTIFS(E686,"&gt;=36526",E686,"&lt;"&amp;TODAY())+COUNTIFS(F686,"&gt;=36526",F686,"&lt;"&amp;TODAY())&gt;0),1,0)</x:f>
        <x:v>0</x:v>
      </x:c>
      <x:c r="P686" t="n">
        <x:f>P685+IF(AND(A686&lt;&gt;"",COUNTIFS(C686,"&gt;=36526",C686,TODAY())+COUNTIFS(D686,"&gt;=36526",D686,TODAY())+COUNTIFS(E686,"&gt;=36526",E686,TODAY())+COUNTIFS(F686,"&gt;=36526",F686,TODAY())&gt;0),1,0)</x:f>
        <x:v>0</x:v>
      </x:c>
      <x:c r="Q686" t="n">
        <x:f>Q685+IF(AND(A686&lt;&gt;"",COUNTIFS(C686,"&gt;"&amp;TODAY(),C686,"&lt;="&amp;TODAY()+30)+COUNTIFS(D686,"&gt;"&amp;TODAY(),D686,"&lt;="&amp;TODAY()+30)+COUNTIFS(E686,"&gt;"&amp;TODAY(),E686,"&lt;="&amp;TODAY()+30)+COUNTIFS(F686,"&gt;"&amp;TODAY(),F686,"&lt;="&amp;TODAY()+30)&gt;0),1,0)</x:f>
        <x:v>0</x:v>
      </x:c>
      <x:c r="R686" t="n">
        <x:f>R685+IF(OR(LEFT(H686,15)="Missing dates; ",LEFT(H686,16)="Add N/A reason; ",H686="Add dates",H686="Add registration",H686="Check date format"),1,0)</x:f>
        <x:v>0</x:v>
      </x:c>
      <x:c r="S686" t="n">
        <x:f>S685+IF(COUNTIFS(C686:F686,"Reviewed N/A")&gt;0,1,0)</x:f>
        <x:v>0</x:v>
      </x:c>
    </x:row>
    <x:row r="687" ht="48" customHeight="1">
      <x:c r="A687" s="52"/>
      <x:c r="B687" s="52"/>
      <x:c r="C687" s="53"/>
      <x:c r="D687" s="53"/>
      <x:c r="E687" s="53"/>
      <x:c r="F687" s="53"/>
      <x:c r="G687" s="52"/>
      <x:c r="H687" s="21" t="str">
        <x:f>IF(COUNTA(A687:G687,I687)=0,"",IF(A687="","Add registration",IF(OR(COUNTA(C687:F687)&gt;COUNT(C687:F687)+COUNTIFS(C687:F687,"Reviewed N/A"),AND(COUNT(C687:F687)&gt;0,OR(MIN(C687:F687)&lt;36526,MAX(C687:F687)&gt;109574))),"Check date format",IF(AND(COUNTIFS(C687:F687,"Reviewed N/A")&gt;0,I687=""),"Add N/A reason; ","")&amp;IF(COUNT(C687:F687)=0,IF(COUNTIFS(C687:F687,"Reviewed N/A")=4,"No applicable dates recorded","Add dates"),IF(COUNT(C687:F687)+COUNTIFS(C687:F687,"Reviewed N/A")&lt;4,"Missing dates; ","")&amp;IF(MIN(C687:F687)&lt;TODAY(),"Overdue: ",IF(MIN(C687:F687)=TODAY(),"Due today: ",IF(MIN(C687:F687)&lt;=TODAY()+30,"Due within 30 days: ","Next: ")))&amp;INDEX($C$8:$F$8,1,MATCH(MIN(C687:F687),C687:F687,0))&amp;" "&amp;TEXT(MIN(C687:F687),"dd mmm yyyy")))))</x:f>
      </x:c>
      <x:c r="I687" s="52"/>
      <x:c r="J687" t="str">
        <x:f>IF(AND(A687&lt;&gt;"",COUNTIFS(C687,"&gt;=36526",C687,"&lt;"&amp;TODAY())+COUNTIFS(D687,"&gt;=36526",D687,"&lt;"&amp;TODAY())+COUNTIFS(E687,"&gt;=36526",E687,"&lt;"&amp;TODAY())+COUNTIFS(F687,"&gt;=36526",F687,"&lt;"&amp;TODAY())&gt;0),O687,"")</x:f>
      </x:c>
      <x:c r="K687" t="str">
        <x:f>IF(AND(A687&lt;&gt;"",COUNTIFS(C687,"&gt;=36526",C687,TODAY())+COUNTIFS(D687,"&gt;=36526",D687,TODAY())+COUNTIFS(E687,"&gt;=36526",E687,TODAY())+COUNTIFS(F687,"&gt;=36526",F687,TODAY())&gt;0),P687,"")</x:f>
      </x:c>
      <x:c r="L687" t="str">
        <x:f>IF(AND(A687&lt;&gt;"",COUNTIFS(C687,"&gt;"&amp;TODAY(),C687,"&lt;="&amp;TODAY()+30)+COUNTIFS(D687,"&gt;"&amp;TODAY(),D687,"&lt;="&amp;TODAY()+30)+COUNTIFS(E687,"&gt;"&amp;TODAY(),E687,"&lt;="&amp;TODAY()+30)+COUNTIFS(F687,"&gt;"&amp;TODAY(),F687,"&lt;="&amp;TODAY()+30)&gt;0),Q687,"")</x:f>
      </x:c>
      <x:c r="M687" t="str">
        <x:f>IF(OR(LEFT(H687,15)="Missing dates; ",LEFT(H687,16)="Add N/A reason; ",H687="Add dates",H687="Add registration",H687="Check date format"),R687,"")</x:f>
      </x:c>
      <x:c r="N687" t="str">
        <x:f>IF(COUNTIFS(C687:F687,"Reviewed N/A")&gt;0,S687,"")</x:f>
      </x:c>
      <x:c r="O687" t="n">
        <x:f>O686+IF(AND(A687&lt;&gt;"",COUNTIFS(C687,"&gt;=36526",C687,"&lt;"&amp;TODAY())+COUNTIFS(D687,"&gt;=36526",D687,"&lt;"&amp;TODAY())+COUNTIFS(E687,"&gt;=36526",E687,"&lt;"&amp;TODAY())+COUNTIFS(F687,"&gt;=36526",F687,"&lt;"&amp;TODAY())&gt;0),1,0)</x:f>
        <x:v>0</x:v>
      </x:c>
      <x:c r="P687" t="n">
        <x:f>P686+IF(AND(A687&lt;&gt;"",COUNTIFS(C687,"&gt;=36526",C687,TODAY())+COUNTIFS(D687,"&gt;=36526",D687,TODAY())+COUNTIFS(E687,"&gt;=36526",E687,TODAY())+COUNTIFS(F687,"&gt;=36526",F687,TODAY())&gt;0),1,0)</x:f>
        <x:v>0</x:v>
      </x:c>
      <x:c r="Q687" t="n">
        <x:f>Q686+IF(AND(A687&lt;&gt;"",COUNTIFS(C687,"&gt;"&amp;TODAY(),C687,"&lt;="&amp;TODAY()+30)+COUNTIFS(D687,"&gt;"&amp;TODAY(),D687,"&lt;="&amp;TODAY()+30)+COUNTIFS(E687,"&gt;"&amp;TODAY(),E687,"&lt;="&amp;TODAY()+30)+COUNTIFS(F687,"&gt;"&amp;TODAY(),F687,"&lt;="&amp;TODAY()+30)&gt;0),1,0)</x:f>
        <x:v>0</x:v>
      </x:c>
      <x:c r="R687" t="n">
        <x:f>R686+IF(OR(LEFT(H687,15)="Missing dates; ",LEFT(H687,16)="Add N/A reason; ",H687="Add dates",H687="Add registration",H687="Check date format"),1,0)</x:f>
        <x:v>0</x:v>
      </x:c>
      <x:c r="S687" t="n">
        <x:f>S686+IF(COUNTIFS(C687:F687,"Reviewed N/A")&gt;0,1,0)</x:f>
        <x:v>0</x:v>
      </x:c>
    </x:row>
    <x:row r="688" ht="48" customHeight="1">
      <x:c r="A688" s="52"/>
      <x:c r="B688" s="52"/>
      <x:c r="C688" s="53"/>
      <x:c r="D688" s="53"/>
      <x:c r="E688" s="53"/>
      <x:c r="F688" s="53"/>
      <x:c r="G688" s="52"/>
      <x:c r="H688" s="21" t="str">
        <x:f>IF(COUNTA(A688:G688,I688)=0,"",IF(A688="","Add registration",IF(OR(COUNTA(C688:F688)&gt;COUNT(C688:F688)+COUNTIFS(C688:F688,"Reviewed N/A"),AND(COUNT(C688:F688)&gt;0,OR(MIN(C688:F688)&lt;36526,MAX(C688:F688)&gt;109574))),"Check date format",IF(AND(COUNTIFS(C688:F688,"Reviewed N/A")&gt;0,I688=""),"Add N/A reason; ","")&amp;IF(COUNT(C688:F688)=0,IF(COUNTIFS(C688:F688,"Reviewed N/A")=4,"No applicable dates recorded","Add dates"),IF(COUNT(C688:F688)+COUNTIFS(C688:F688,"Reviewed N/A")&lt;4,"Missing dates; ","")&amp;IF(MIN(C688:F688)&lt;TODAY(),"Overdue: ",IF(MIN(C688:F688)=TODAY(),"Due today: ",IF(MIN(C688:F688)&lt;=TODAY()+30,"Due within 30 days: ","Next: ")))&amp;INDEX($C$8:$F$8,1,MATCH(MIN(C688:F688),C688:F688,0))&amp;" "&amp;TEXT(MIN(C688:F688),"dd mmm yyyy")))))</x:f>
      </x:c>
      <x:c r="I688" s="52"/>
      <x:c r="J688" t="str">
        <x:f>IF(AND(A688&lt;&gt;"",COUNTIFS(C688,"&gt;=36526",C688,"&lt;"&amp;TODAY())+COUNTIFS(D688,"&gt;=36526",D688,"&lt;"&amp;TODAY())+COUNTIFS(E688,"&gt;=36526",E688,"&lt;"&amp;TODAY())+COUNTIFS(F688,"&gt;=36526",F688,"&lt;"&amp;TODAY())&gt;0),O688,"")</x:f>
      </x:c>
      <x:c r="K688" t="str">
        <x:f>IF(AND(A688&lt;&gt;"",COUNTIFS(C688,"&gt;=36526",C688,TODAY())+COUNTIFS(D688,"&gt;=36526",D688,TODAY())+COUNTIFS(E688,"&gt;=36526",E688,TODAY())+COUNTIFS(F688,"&gt;=36526",F688,TODAY())&gt;0),P688,"")</x:f>
      </x:c>
      <x:c r="L688" t="str">
        <x:f>IF(AND(A688&lt;&gt;"",COUNTIFS(C688,"&gt;"&amp;TODAY(),C688,"&lt;="&amp;TODAY()+30)+COUNTIFS(D688,"&gt;"&amp;TODAY(),D688,"&lt;="&amp;TODAY()+30)+COUNTIFS(E688,"&gt;"&amp;TODAY(),E688,"&lt;="&amp;TODAY()+30)+COUNTIFS(F688,"&gt;"&amp;TODAY(),F688,"&lt;="&amp;TODAY()+30)&gt;0),Q688,"")</x:f>
      </x:c>
      <x:c r="M688" t="str">
        <x:f>IF(OR(LEFT(H688,15)="Missing dates; ",LEFT(H688,16)="Add N/A reason; ",H688="Add dates",H688="Add registration",H688="Check date format"),R688,"")</x:f>
      </x:c>
      <x:c r="N688" t="str">
        <x:f>IF(COUNTIFS(C688:F688,"Reviewed N/A")&gt;0,S688,"")</x:f>
      </x:c>
      <x:c r="O688" t="n">
        <x:f>O687+IF(AND(A688&lt;&gt;"",COUNTIFS(C688,"&gt;=36526",C688,"&lt;"&amp;TODAY())+COUNTIFS(D688,"&gt;=36526",D688,"&lt;"&amp;TODAY())+COUNTIFS(E688,"&gt;=36526",E688,"&lt;"&amp;TODAY())+COUNTIFS(F688,"&gt;=36526",F688,"&lt;"&amp;TODAY())&gt;0),1,0)</x:f>
        <x:v>0</x:v>
      </x:c>
      <x:c r="P688" t="n">
        <x:f>P687+IF(AND(A688&lt;&gt;"",COUNTIFS(C688,"&gt;=36526",C688,TODAY())+COUNTIFS(D688,"&gt;=36526",D688,TODAY())+COUNTIFS(E688,"&gt;=36526",E688,TODAY())+COUNTIFS(F688,"&gt;=36526",F688,TODAY())&gt;0),1,0)</x:f>
        <x:v>0</x:v>
      </x:c>
      <x:c r="Q688" t="n">
        <x:f>Q687+IF(AND(A688&lt;&gt;"",COUNTIFS(C688,"&gt;"&amp;TODAY(),C688,"&lt;="&amp;TODAY()+30)+COUNTIFS(D688,"&gt;"&amp;TODAY(),D688,"&lt;="&amp;TODAY()+30)+COUNTIFS(E688,"&gt;"&amp;TODAY(),E688,"&lt;="&amp;TODAY()+30)+COUNTIFS(F688,"&gt;"&amp;TODAY(),F688,"&lt;="&amp;TODAY()+30)&gt;0),1,0)</x:f>
        <x:v>0</x:v>
      </x:c>
      <x:c r="R688" t="n">
        <x:f>R687+IF(OR(LEFT(H688,15)="Missing dates; ",LEFT(H688,16)="Add N/A reason; ",H688="Add dates",H688="Add registration",H688="Check date format"),1,0)</x:f>
        <x:v>0</x:v>
      </x:c>
      <x:c r="S688" t="n">
        <x:f>S687+IF(COUNTIFS(C688:F688,"Reviewed N/A")&gt;0,1,0)</x:f>
        <x:v>0</x:v>
      </x:c>
    </x:row>
    <x:row r="689" ht="48" customHeight="1">
      <x:c r="A689" s="52"/>
      <x:c r="B689" s="52"/>
      <x:c r="C689" s="53"/>
      <x:c r="D689" s="53"/>
      <x:c r="E689" s="53"/>
      <x:c r="F689" s="53"/>
      <x:c r="G689" s="52"/>
      <x:c r="H689" s="21" t="str">
        <x:f>IF(COUNTA(A689:G689,I689)=0,"",IF(A689="","Add registration",IF(OR(COUNTA(C689:F689)&gt;COUNT(C689:F689)+COUNTIFS(C689:F689,"Reviewed N/A"),AND(COUNT(C689:F689)&gt;0,OR(MIN(C689:F689)&lt;36526,MAX(C689:F689)&gt;109574))),"Check date format",IF(AND(COUNTIFS(C689:F689,"Reviewed N/A")&gt;0,I689=""),"Add N/A reason; ","")&amp;IF(COUNT(C689:F689)=0,IF(COUNTIFS(C689:F689,"Reviewed N/A")=4,"No applicable dates recorded","Add dates"),IF(COUNT(C689:F689)+COUNTIFS(C689:F689,"Reviewed N/A")&lt;4,"Missing dates; ","")&amp;IF(MIN(C689:F689)&lt;TODAY(),"Overdue: ",IF(MIN(C689:F689)=TODAY(),"Due today: ",IF(MIN(C689:F689)&lt;=TODAY()+30,"Due within 30 days: ","Next: ")))&amp;INDEX($C$8:$F$8,1,MATCH(MIN(C689:F689),C689:F689,0))&amp;" "&amp;TEXT(MIN(C689:F689),"dd mmm yyyy")))))</x:f>
      </x:c>
      <x:c r="I689" s="52"/>
      <x:c r="J689" t="str">
        <x:f>IF(AND(A689&lt;&gt;"",COUNTIFS(C689,"&gt;=36526",C689,"&lt;"&amp;TODAY())+COUNTIFS(D689,"&gt;=36526",D689,"&lt;"&amp;TODAY())+COUNTIFS(E689,"&gt;=36526",E689,"&lt;"&amp;TODAY())+COUNTIFS(F689,"&gt;=36526",F689,"&lt;"&amp;TODAY())&gt;0),O689,"")</x:f>
      </x:c>
      <x:c r="K689" t="str">
        <x:f>IF(AND(A689&lt;&gt;"",COUNTIFS(C689,"&gt;=36526",C689,TODAY())+COUNTIFS(D689,"&gt;=36526",D689,TODAY())+COUNTIFS(E689,"&gt;=36526",E689,TODAY())+COUNTIFS(F689,"&gt;=36526",F689,TODAY())&gt;0),P689,"")</x:f>
      </x:c>
      <x:c r="L689" t="str">
        <x:f>IF(AND(A689&lt;&gt;"",COUNTIFS(C689,"&gt;"&amp;TODAY(),C689,"&lt;="&amp;TODAY()+30)+COUNTIFS(D689,"&gt;"&amp;TODAY(),D689,"&lt;="&amp;TODAY()+30)+COUNTIFS(E689,"&gt;"&amp;TODAY(),E689,"&lt;="&amp;TODAY()+30)+COUNTIFS(F689,"&gt;"&amp;TODAY(),F689,"&lt;="&amp;TODAY()+30)&gt;0),Q689,"")</x:f>
      </x:c>
      <x:c r="M689" t="str">
        <x:f>IF(OR(LEFT(H689,15)="Missing dates; ",LEFT(H689,16)="Add N/A reason; ",H689="Add dates",H689="Add registration",H689="Check date format"),R689,"")</x:f>
      </x:c>
      <x:c r="N689" t="str">
        <x:f>IF(COUNTIFS(C689:F689,"Reviewed N/A")&gt;0,S689,"")</x:f>
      </x:c>
      <x:c r="O689" t="n">
        <x:f>O688+IF(AND(A689&lt;&gt;"",COUNTIFS(C689,"&gt;=36526",C689,"&lt;"&amp;TODAY())+COUNTIFS(D689,"&gt;=36526",D689,"&lt;"&amp;TODAY())+COUNTIFS(E689,"&gt;=36526",E689,"&lt;"&amp;TODAY())+COUNTIFS(F689,"&gt;=36526",F689,"&lt;"&amp;TODAY())&gt;0),1,0)</x:f>
        <x:v>0</x:v>
      </x:c>
      <x:c r="P689" t="n">
        <x:f>P688+IF(AND(A689&lt;&gt;"",COUNTIFS(C689,"&gt;=36526",C689,TODAY())+COUNTIFS(D689,"&gt;=36526",D689,TODAY())+COUNTIFS(E689,"&gt;=36526",E689,TODAY())+COUNTIFS(F689,"&gt;=36526",F689,TODAY())&gt;0),1,0)</x:f>
        <x:v>0</x:v>
      </x:c>
      <x:c r="Q689" t="n">
        <x:f>Q688+IF(AND(A689&lt;&gt;"",COUNTIFS(C689,"&gt;"&amp;TODAY(),C689,"&lt;="&amp;TODAY()+30)+COUNTIFS(D689,"&gt;"&amp;TODAY(),D689,"&lt;="&amp;TODAY()+30)+COUNTIFS(E689,"&gt;"&amp;TODAY(),E689,"&lt;="&amp;TODAY()+30)+COUNTIFS(F689,"&gt;"&amp;TODAY(),F689,"&lt;="&amp;TODAY()+30)&gt;0),1,0)</x:f>
        <x:v>0</x:v>
      </x:c>
      <x:c r="R689" t="n">
        <x:f>R688+IF(OR(LEFT(H689,15)="Missing dates; ",LEFT(H689,16)="Add N/A reason; ",H689="Add dates",H689="Add registration",H689="Check date format"),1,0)</x:f>
        <x:v>0</x:v>
      </x:c>
      <x:c r="S689" t="n">
        <x:f>S688+IF(COUNTIFS(C689:F689,"Reviewed N/A")&gt;0,1,0)</x:f>
        <x:v>0</x:v>
      </x:c>
    </x:row>
    <x:row r="690" ht="48" customHeight="1">
      <x:c r="A690" s="52"/>
      <x:c r="B690" s="52"/>
      <x:c r="C690" s="53"/>
      <x:c r="D690" s="53"/>
      <x:c r="E690" s="53"/>
      <x:c r="F690" s="53"/>
      <x:c r="G690" s="52"/>
      <x:c r="H690" s="21" t="str">
        <x:f>IF(COUNTA(A690:G690,I690)=0,"",IF(A690="","Add registration",IF(OR(COUNTA(C690:F690)&gt;COUNT(C690:F690)+COUNTIFS(C690:F690,"Reviewed N/A"),AND(COUNT(C690:F690)&gt;0,OR(MIN(C690:F690)&lt;36526,MAX(C690:F690)&gt;109574))),"Check date format",IF(AND(COUNTIFS(C690:F690,"Reviewed N/A")&gt;0,I690=""),"Add N/A reason; ","")&amp;IF(COUNT(C690:F690)=0,IF(COUNTIFS(C690:F690,"Reviewed N/A")=4,"No applicable dates recorded","Add dates"),IF(COUNT(C690:F690)+COUNTIFS(C690:F690,"Reviewed N/A")&lt;4,"Missing dates; ","")&amp;IF(MIN(C690:F690)&lt;TODAY(),"Overdue: ",IF(MIN(C690:F690)=TODAY(),"Due today: ",IF(MIN(C690:F690)&lt;=TODAY()+30,"Due within 30 days: ","Next: ")))&amp;INDEX($C$8:$F$8,1,MATCH(MIN(C690:F690),C690:F690,0))&amp;" "&amp;TEXT(MIN(C690:F690),"dd mmm yyyy")))))</x:f>
      </x:c>
      <x:c r="I690" s="52"/>
      <x:c r="J690" t="str">
        <x:f>IF(AND(A690&lt;&gt;"",COUNTIFS(C690,"&gt;=36526",C690,"&lt;"&amp;TODAY())+COUNTIFS(D690,"&gt;=36526",D690,"&lt;"&amp;TODAY())+COUNTIFS(E690,"&gt;=36526",E690,"&lt;"&amp;TODAY())+COUNTIFS(F690,"&gt;=36526",F690,"&lt;"&amp;TODAY())&gt;0),O690,"")</x:f>
      </x:c>
      <x:c r="K690" t="str">
        <x:f>IF(AND(A690&lt;&gt;"",COUNTIFS(C690,"&gt;=36526",C690,TODAY())+COUNTIFS(D690,"&gt;=36526",D690,TODAY())+COUNTIFS(E690,"&gt;=36526",E690,TODAY())+COUNTIFS(F690,"&gt;=36526",F690,TODAY())&gt;0),P690,"")</x:f>
      </x:c>
      <x:c r="L690" t="str">
        <x:f>IF(AND(A690&lt;&gt;"",COUNTIFS(C690,"&gt;"&amp;TODAY(),C690,"&lt;="&amp;TODAY()+30)+COUNTIFS(D690,"&gt;"&amp;TODAY(),D690,"&lt;="&amp;TODAY()+30)+COUNTIFS(E690,"&gt;"&amp;TODAY(),E690,"&lt;="&amp;TODAY()+30)+COUNTIFS(F690,"&gt;"&amp;TODAY(),F690,"&lt;="&amp;TODAY()+30)&gt;0),Q690,"")</x:f>
      </x:c>
      <x:c r="M690" t="str">
        <x:f>IF(OR(LEFT(H690,15)="Missing dates; ",LEFT(H690,16)="Add N/A reason; ",H690="Add dates",H690="Add registration",H690="Check date format"),R690,"")</x:f>
      </x:c>
      <x:c r="N690" t="str">
        <x:f>IF(COUNTIFS(C690:F690,"Reviewed N/A")&gt;0,S690,"")</x:f>
      </x:c>
      <x:c r="O690" t="n">
        <x:f>O689+IF(AND(A690&lt;&gt;"",COUNTIFS(C690,"&gt;=36526",C690,"&lt;"&amp;TODAY())+COUNTIFS(D690,"&gt;=36526",D690,"&lt;"&amp;TODAY())+COUNTIFS(E690,"&gt;=36526",E690,"&lt;"&amp;TODAY())+COUNTIFS(F690,"&gt;=36526",F690,"&lt;"&amp;TODAY())&gt;0),1,0)</x:f>
        <x:v>0</x:v>
      </x:c>
      <x:c r="P690" t="n">
        <x:f>P689+IF(AND(A690&lt;&gt;"",COUNTIFS(C690,"&gt;=36526",C690,TODAY())+COUNTIFS(D690,"&gt;=36526",D690,TODAY())+COUNTIFS(E690,"&gt;=36526",E690,TODAY())+COUNTIFS(F690,"&gt;=36526",F690,TODAY())&gt;0),1,0)</x:f>
        <x:v>0</x:v>
      </x:c>
      <x:c r="Q690" t="n">
        <x:f>Q689+IF(AND(A690&lt;&gt;"",COUNTIFS(C690,"&gt;"&amp;TODAY(),C690,"&lt;="&amp;TODAY()+30)+COUNTIFS(D690,"&gt;"&amp;TODAY(),D690,"&lt;="&amp;TODAY()+30)+COUNTIFS(E690,"&gt;"&amp;TODAY(),E690,"&lt;="&amp;TODAY()+30)+COUNTIFS(F690,"&gt;"&amp;TODAY(),F690,"&lt;="&amp;TODAY()+30)&gt;0),1,0)</x:f>
        <x:v>0</x:v>
      </x:c>
      <x:c r="R690" t="n">
        <x:f>R689+IF(OR(LEFT(H690,15)="Missing dates; ",LEFT(H690,16)="Add N/A reason; ",H690="Add dates",H690="Add registration",H690="Check date format"),1,0)</x:f>
        <x:v>0</x:v>
      </x:c>
      <x:c r="S690" t="n">
        <x:f>S689+IF(COUNTIFS(C690:F690,"Reviewed N/A")&gt;0,1,0)</x:f>
        <x:v>0</x:v>
      </x:c>
    </x:row>
    <x:row r="691" ht="48" customHeight="1">
      <x:c r="A691" s="52"/>
      <x:c r="B691" s="52"/>
      <x:c r="C691" s="53"/>
      <x:c r="D691" s="53"/>
      <x:c r="E691" s="53"/>
      <x:c r="F691" s="53"/>
      <x:c r="G691" s="52"/>
      <x:c r="H691" s="21" t="str">
        <x:f>IF(COUNTA(A691:G691,I691)=0,"",IF(A691="","Add registration",IF(OR(COUNTA(C691:F691)&gt;COUNT(C691:F691)+COUNTIFS(C691:F691,"Reviewed N/A"),AND(COUNT(C691:F691)&gt;0,OR(MIN(C691:F691)&lt;36526,MAX(C691:F691)&gt;109574))),"Check date format",IF(AND(COUNTIFS(C691:F691,"Reviewed N/A")&gt;0,I691=""),"Add N/A reason; ","")&amp;IF(COUNT(C691:F691)=0,IF(COUNTIFS(C691:F691,"Reviewed N/A")=4,"No applicable dates recorded","Add dates"),IF(COUNT(C691:F691)+COUNTIFS(C691:F691,"Reviewed N/A")&lt;4,"Missing dates; ","")&amp;IF(MIN(C691:F691)&lt;TODAY(),"Overdue: ",IF(MIN(C691:F691)=TODAY(),"Due today: ",IF(MIN(C691:F691)&lt;=TODAY()+30,"Due within 30 days: ","Next: ")))&amp;INDEX($C$8:$F$8,1,MATCH(MIN(C691:F691),C691:F691,0))&amp;" "&amp;TEXT(MIN(C691:F691),"dd mmm yyyy")))))</x:f>
      </x:c>
      <x:c r="I691" s="52"/>
      <x:c r="J691" t="str">
        <x:f>IF(AND(A691&lt;&gt;"",COUNTIFS(C691,"&gt;=36526",C691,"&lt;"&amp;TODAY())+COUNTIFS(D691,"&gt;=36526",D691,"&lt;"&amp;TODAY())+COUNTIFS(E691,"&gt;=36526",E691,"&lt;"&amp;TODAY())+COUNTIFS(F691,"&gt;=36526",F691,"&lt;"&amp;TODAY())&gt;0),O691,"")</x:f>
      </x:c>
      <x:c r="K691" t="str">
        <x:f>IF(AND(A691&lt;&gt;"",COUNTIFS(C691,"&gt;=36526",C691,TODAY())+COUNTIFS(D691,"&gt;=36526",D691,TODAY())+COUNTIFS(E691,"&gt;=36526",E691,TODAY())+COUNTIFS(F691,"&gt;=36526",F691,TODAY())&gt;0),P691,"")</x:f>
      </x:c>
      <x:c r="L691" t="str">
        <x:f>IF(AND(A691&lt;&gt;"",COUNTIFS(C691,"&gt;"&amp;TODAY(),C691,"&lt;="&amp;TODAY()+30)+COUNTIFS(D691,"&gt;"&amp;TODAY(),D691,"&lt;="&amp;TODAY()+30)+COUNTIFS(E691,"&gt;"&amp;TODAY(),E691,"&lt;="&amp;TODAY()+30)+COUNTIFS(F691,"&gt;"&amp;TODAY(),F691,"&lt;="&amp;TODAY()+30)&gt;0),Q691,"")</x:f>
      </x:c>
      <x:c r="M691" t="str">
        <x:f>IF(OR(LEFT(H691,15)="Missing dates; ",LEFT(H691,16)="Add N/A reason; ",H691="Add dates",H691="Add registration",H691="Check date format"),R691,"")</x:f>
      </x:c>
      <x:c r="N691" t="str">
        <x:f>IF(COUNTIFS(C691:F691,"Reviewed N/A")&gt;0,S691,"")</x:f>
      </x:c>
      <x:c r="O691" t="n">
        <x:f>O690+IF(AND(A691&lt;&gt;"",COUNTIFS(C691,"&gt;=36526",C691,"&lt;"&amp;TODAY())+COUNTIFS(D691,"&gt;=36526",D691,"&lt;"&amp;TODAY())+COUNTIFS(E691,"&gt;=36526",E691,"&lt;"&amp;TODAY())+COUNTIFS(F691,"&gt;=36526",F691,"&lt;"&amp;TODAY())&gt;0),1,0)</x:f>
        <x:v>0</x:v>
      </x:c>
      <x:c r="P691" t="n">
        <x:f>P690+IF(AND(A691&lt;&gt;"",COUNTIFS(C691,"&gt;=36526",C691,TODAY())+COUNTIFS(D691,"&gt;=36526",D691,TODAY())+COUNTIFS(E691,"&gt;=36526",E691,TODAY())+COUNTIFS(F691,"&gt;=36526",F691,TODAY())&gt;0),1,0)</x:f>
        <x:v>0</x:v>
      </x:c>
      <x:c r="Q691" t="n">
        <x:f>Q690+IF(AND(A691&lt;&gt;"",COUNTIFS(C691,"&gt;"&amp;TODAY(),C691,"&lt;="&amp;TODAY()+30)+COUNTIFS(D691,"&gt;"&amp;TODAY(),D691,"&lt;="&amp;TODAY()+30)+COUNTIFS(E691,"&gt;"&amp;TODAY(),E691,"&lt;="&amp;TODAY()+30)+COUNTIFS(F691,"&gt;"&amp;TODAY(),F691,"&lt;="&amp;TODAY()+30)&gt;0),1,0)</x:f>
        <x:v>0</x:v>
      </x:c>
      <x:c r="R691" t="n">
        <x:f>R690+IF(OR(LEFT(H691,15)="Missing dates; ",LEFT(H691,16)="Add N/A reason; ",H691="Add dates",H691="Add registration",H691="Check date format"),1,0)</x:f>
        <x:v>0</x:v>
      </x:c>
      <x:c r="S691" t="n">
        <x:f>S690+IF(COUNTIFS(C691:F691,"Reviewed N/A")&gt;0,1,0)</x:f>
        <x:v>0</x:v>
      </x:c>
    </x:row>
    <x:row r="692" ht="48" customHeight="1">
      <x:c r="A692" s="52"/>
      <x:c r="B692" s="52"/>
      <x:c r="C692" s="53"/>
      <x:c r="D692" s="53"/>
      <x:c r="E692" s="53"/>
      <x:c r="F692" s="53"/>
      <x:c r="G692" s="52"/>
      <x:c r="H692" s="21" t="str">
        <x:f>IF(COUNTA(A692:G692,I692)=0,"",IF(A692="","Add registration",IF(OR(COUNTA(C692:F692)&gt;COUNT(C692:F692)+COUNTIFS(C692:F692,"Reviewed N/A"),AND(COUNT(C692:F692)&gt;0,OR(MIN(C692:F692)&lt;36526,MAX(C692:F692)&gt;109574))),"Check date format",IF(AND(COUNTIFS(C692:F692,"Reviewed N/A")&gt;0,I692=""),"Add N/A reason; ","")&amp;IF(COUNT(C692:F692)=0,IF(COUNTIFS(C692:F692,"Reviewed N/A")=4,"No applicable dates recorded","Add dates"),IF(COUNT(C692:F692)+COUNTIFS(C692:F692,"Reviewed N/A")&lt;4,"Missing dates; ","")&amp;IF(MIN(C692:F692)&lt;TODAY(),"Overdue: ",IF(MIN(C692:F692)=TODAY(),"Due today: ",IF(MIN(C692:F692)&lt;=TODAY()+30,"Due within 30 days: ","Next: ")))&amp;INDEX($C$8:$F$8,1,MATCH(MIN(C692:F692),C692:F692,0))&amp;" "&amp;TEXT(MIN(C692:F692),"dd mmm yyyy")))))</x:f>
      </x:c>
      <x:c r="I692" s="52"/>
      <x:c r="J692" t="str">
        <x:f>IF(AND(A692&lt;&gt;"",COUNTIFS(C692,"&gt;=36526",C692,"&lt;"&amp;TODAY())+COUNTIFS(D692,"&gt;=36526",D692,"&lt;"&amp;TODAY())+COUNTIFS(E692,"&gt;=36526",E692,"&lt;"&amp;TODAY())+COUNTIFS(F692,"&gt;=36526",F692,"&lt;"&amp;TODAY())&gt;0),O692,"")</x:f>
      </x:c>
      <x:c r="K692" t="str">
        <x:f>IF(AND(A692&lt;&gt;"",COUNTIFS(C692,"&gt;=36526",C692,TODAY())+COUNTIFS(D692,"&gt;=36526",D692,TODAY())+COUNTIFS(E692,"&gt;=36526",E692,TODAY())+COUNTIFS(F692,"&gt;=36526",F692,TODAY())&gt;0),P692,"")</x:f>
      </x:c>
      <x:c r="L692" t="str">
        <x:f>IF(AND(A692&lt;&gt;"",COUNTIFS(C692,"&gt;"&amp;TODAY(),C692,"&lt;="&amp;TODAY()+30)+COUNTIFS(D692,"&gt;"&amp;TODAY(),D692,"&lt;="&amp;TODAY()+30)+COUNTIFS(E692,"&gt;"&amp;TODAY(),E692,"&lt;="&amp;TODAY()+30)+COUNTIFS(F692,"&gt;"&amp;TODAY(),F692,"&lt;="&amp;TODAY()+30)&gt;0),Q692,"")</x:f>
      </x:c>
      <x:c r="M692" t="str">
        <x:f>IF(OR(LEFT(H692,15)="Missing dates; ",LEFT(H692,16)="Add N/A reason; ",H692="Add dates",H692="Add registration",H692="Check date format"),R692,"")</x:f>
      </x:c>
      <x:c r="N692" t="str">
        <x:f>IF(COUNTIFS(C692:F692,"Reviewed N/A")&gt;0,S692,"")</x:f>
      </x:c>
      <x:c r="O692" t="n">
        <x:f>O691+IF(AND(A692&lt;&gt;"",COUNTIFS(C692,"&gt;=36526",C692,"&lt;"&amp;TODAY())+COUNTIFS(D692,"&gt;=36526",D692,"&lt;"&amp;TODAY())+COUNTIFS(E692,"&gt;=36526",E692,"&lt;"&amp;TODAY())+COUNTIFS(F692,"&gt;=36526",F692,"&lt;"&amp;TODAY())&gt;0),1,0)</x:f>
        <x:v>0</x:v>
      </x:c>
      <x:c r="P692" t="n">
        <x:f>P691+IF(AND(A692&lt;&gt;"",COUNTIFS(C692,"&gt;=36526",C692,TODAY())+COUNTIFS(D692,"&gt;=36526",D692,TODAY())+COUNTIFS(E692,"&gt;=36526",E692,TODAY())+COUNTIFS(F692,"&gt;=36526",F692,TODAY())&gt;0),1,0)</x:f>
        <x:v>0</x:v>
      </x:c>
      <x:c r="Q692" t="n">
        <x:f>Q691+IF(AND(A692&lt;&gt;"",COUNTIFS(C692,"&gt;"&amp;TODAY(),C692,"&lt;="&amp;TODAY()+30)+COUNTIFS(D692,"&gt;"&amp;TODAY(),D692,"&lt;="&amp;TODAY()+30)+COUNTIFS(E692,"&gt;"&amp;TODAY(),E692,"&lt;="&amp;TODAY()+30)+COUNTIFS(F692,"&gt;"&amp;TODAY(),F692,"&lt;="&amp;TODAY()+30)&gt;0),1,0)</x:f>
        <x:v>0</x:v>
      </x:c>
      <x:c r="R692" t="n">
        <x:f>R691+IF(OR(LEFT(H692,15)="Missing dates; ",LEFT(H692,16)="Add N/A reason; ",H692="Add dates",H692="Add registration",H692="Check date format"),1,0)</x:f>
        <x:v>0</x:v>
      </x:c>
      <x:c r="S692" t="n">
        <x:f>S691+IF(COUNTIFS(C692:F692,"Reviewed N/A")&gt;0,1,0)</x:f>
        <x:v>0</x:v>
      </x:c>
    </x:row>
    <x:row r="693" ht="48" customHeight="1">
      <x:c r="A693" s="52"/>
      <x:c r="B693" s="52"/>
      <x:c r="C693" s="53"/>
      <x:c r="D693" s="53"/>
      <x:c r="E693" s="53"/>
      <x:c r="F693" s="53"/>
      <x:c r="G693" s="52"/>
      <x:c r="H693" s="21" t="str">
        <x:f>IF(COUNTA(A693:G693,I693)=0,"",IF(A693="","Add registration",IF(OR(COUNTA(C693:F693)&gt;COUNT(C693:F693)+COUNTIFS(C693:F693,"Reviewed N/A"),AND(COUNT(C693:F693)&gt;0,OR(MIN(C693:F693)&lt;36526,MAX(C693:F693)&gt;109574))),"Check date format",IF(AND(COUNTIFS(C693:F693,"Reviewed N/A")&gt;0,I693=""),"Add N/A reason; ","")&amp;IF(COUNT(C693:F693)=0,IF(COUNTIFS(C693:F693,"Reviewed N/A")=4,"No applicable dates recorded","Add dates"),IF(COUNT(C693:F693)+COUNTIFS(C693:F693,"Reviewed N/A")&lt;4,"Missing dates; ","")&amp;IF(MIN(C693:F693)&lt;TODAY(),"Overdue: ",IF(MIN(C693:F693)=TODAY(),"Due today: ",IF(MIN(C693:F693)&lt;=TODAY()+30,"Due within 30 days: ","Next: ")))&amp;INDEX($C$8:$F$8,1,MATCH(MIN(C693:F693),C693:F693,0))&amp;" "&amp;TEXT(MIN(C693:F693),"dd mmm yyyy")))))</x:f>
      </x:c>
      <x:c r="I693" s="52"/>
      <x:c r="J693" t="str">
        <x:f>IF(AND(A693&lt;&gt;"",COUNTIFS(C693,"&gt;=36526",C693,"&lt;"&amp;TODAY())+COUNTIFS(D693,"&gt;=36526",D693,"&lt;"&amp;TODAY())+COUNTIFS(E693,"&gt;=36526",E693,"&lt;"&amp;TODAY())+COUNTIFS(F693,"&gt;=36526",F693,"&lt;"&amp;TODAY())&gt;0),O693,"")</x:f>
      </x:c>
      <x:c r="K693" t="str">
        <x:f>IF(AND(A693&lt;&gt;"",COUNTIFS(C693,"&gt;=36526",C693,TODAY())+COUNTIFS(D693,"&gt;=36526",D693,TODAY())+COUNTIFS(E693,"&gt;=36526",E693,TODAY())+COUNTIFS(F693,"&gt;=36526",F693,TODAY())&gt;0),P693,"")</x:f>
      </x:c>
      <x:c r="L693" t="str">
        <x:f>IF(AND(A693&lt;&gt;"",COUNTIFS(C693,"&gt;"&amp;TODAY(),C693,"&lt;="&amp;TODAY()+30)+COUNTIFS(D693,"&gt;"&amp;TODAY(),D693,"&lt;="&amp;TODAY()+30)+COUNTIFS(E693,"&gt;"&amp;TODAY(),E693,"&lt;="&amp;TODAY()+30)+COUNTIFS(F693,"&gt;"&amp;TODAY(),F693,"&lt;="&amp;TODAY()+30)&gt;0),Q693,"")</x:f>
      </x:c>
      <x:c r="M693" t="str">
        <x:f>IF(OR(LEFT(H693,15)="Missing dates; ",LEFT(H693,16)="Add N/A reason; ",H693="Add dates",H693="Add registration",H693="Check date format"),R693,"")</x:f>
      </x:c>
      <x:c r="N693" t="str">
        <x:f>IF(COUNTIFS(C693:F693,"Reviewed N/A")&gt;0,S693,"")</x:f>
      </x:c>
      <x:c r="O693" t="n">
        <x:f>O692+IF(AND(A693&lt;&gt;"",COUNTIFS(C693,"&gt;=36526",C693,"&lt;"&amp;TODAY())+COUNTIFS(D693,"&gt;=36526",D693,"&lt;"&amp;TODAY())+COUNTIFS(E693,"&gt;=36526",E693,"&lt;"&amp;TODAY())+COUNTIFS(F693,"&gt;=36526",F693,"&lt;"&amp;TODAY())&gt;0),1,0)</x:f>
        <x:v>0</x:v>
      </x:c>
      <x:c r="P693" t="n">
        <x:f>P692+IF(AND(A693&lt;&gt;"",COUNTIFS(C693,"&gt;=36526",C693,TODAY())+COUNTIFS(D693,"&gt;=36526",D693,TODAY())+COUNTIFS(E693,"&gt;=36526",E693,TODAY())+COUNTIFS(F693,"&gt;=36526",F693,TODAY())&gt;0),1,0)</x:f>
        <x:v>0</x:v>
      </x:c>
      <x:c r="Q693" t="n">
        <x:f>Q692+IF(AND(A693&lt;&gt;"",COUNTIFS(C693,"&gt;"&amp;TODAY(),C693,"&lt;="&amp;TODAY()+30)+COUNTIFS(D693,"&gt;"&amp;TODAY(),D693,"&lt;="&amp;TODAY()+30)+COUNTIFS(E693,"&gt;"&amp;TODAY(),E693,"&lt;="&amp;TODAY()+30)+COUNTIFS(F693,"&gt;"&amp;TODAY(),F693,"&lt;="&amp;TODAY()+30)&gt;0),1,0)</x:f>
        <x:v>0</x:v>
      </x:c>
      <x:c r="R693" t="n">
        <x:f>R692+IF(OR(LEFT(H693,15)="Missing dates; ",LEFT(H693,16)="Add N/A reason; ",H693="Add dates",H693="Add registration",H693="Check date format"),1,0)</x:f>
        <x:v>0</x:v>
      </x:c>
      <x:c r="S693" t="n">
        <x:f>S692+IF(COUNTIFS(C693:F693,"Reviewed N/A")&gt;0,1,0)</x:f>
        <x:v>0</x:v>
      </x:c>
    </x:row>
    <x:row r="694" ht="48" customHeight="1">
      <x:c r="A694" s="52"/>
      <x:c r="B694" s="52"/>
      <x:c r="C694" s="53"/>
      <x:c r="D694" s="53"/>
      <x:c r="E694" s="53"/>
      <x:c r="F694" s="53"/>
      <x:c r="G694" s="52"/>
      <x:c r="H694" s="21" t="str">
        <x:f>IF(COUNTA(A694:G694,I694)=0,"",IF(A694="","Add registration",IF(OR(COUNTA(C694:F694)&gt;COUNT(C694:F694)+COUNTIFS(C694:F694,"Reviewed N/A"),AND(COUNT(C694:F694)&gt;0,OR(MIN(C694:F694)&lt;36526,MAX(C694:F694)&gt;109574))),"Check date format",IF(AND(COUNTIFS(C694:F694,"Reviewed N/A")&gt;0,I694=""),"Add N/A reason; ","")&amp;IF(COUNT(C694:F694)=0,IF(COUNTIFS(C694:F694,"Reviewed N/A")=4,"No applicable dates recorded","Add dates"),IF(COUNT(C694:F694)+COUNTIFS(C694:F694,"Reviewed N/A")&lt;4,"Missing dates; ","")&amp;IF(MIN(C694:F694)&lt;TODAY(),"Overdue: ",IF(MIN(C694:F694)=TODAY(),"Due today: ",IF(MIN(C694:F694)&lt;=TODAY()+30,"Due within 30 days: ","Next: ")))&amp;INDEX($C$8:$F$8,1,MATCH(MIN(C694:F694),C694:F694,0))&amp;" "&amp;TEXT(MIN(C694:F694),"dd mmm yyyy")))))</x:f>
      </x:c>
      <x:c r="I694" s="52"/>
      <x:c r="J694" t="str">
        <x:f>IF(AND(A694&lt;&gt;"",COUNTIFS(C694,"&gt;=36526",C694,"&lt;"&amp;TODAY())+COUNTIFS(D694,"&gt;=36526",D694,"&lt;"&amp;TODAY())+COUNTIFS(E694,"&gt;=36526",E694,"&lt;"&amp;TODAY())+COUNTIFS(F694,"&gt;=36526",F694,"&lt;"&amp;TODAY())&gt;0),O694,"")</x:f>
      </x:c>
      <x:c r="K694" t="str">
        <x:f>IF(AND(A694&lt;&gt;"",COUNTIFS(C694,"&gt;=36526",C694,TODAY())+COUNTIFS(D694,"&gt;=36526",D694,TODAY())+COUNTIFS(E694,"&gt;=36526",E694,TODAY())+COUNTIFS(F694,"&gt;=36526",F694,TODAY())&gt;0),P694,"")</x:f>
      </x:c>
      <x:c r="L694" t="str">
        <x:f>IF(AND(A694&lt;&gt;"",COUNTIFS(C694,"&gt;"&amp;TODAY(),C694,"&lt;="&amp;TODAY()+30)+COUNTIFS(D694,"&gt;"&amp;TODAY(),D694,"&lt;="&amp;TODAY()+30)+COUNTIFS(E694,"&gt;"&amp;TODAY(),E694,"&lt;="&amp;TODAY()+30)+COUNTIFS(F694,"&gt;"&amp;TODAY(),F694,"&lt;="&amp;TODAY()+30)&gt;0),Q694,"")</x:f>
      </x:c>
      <x:c r="M694" t="str">
        <x:f>IF(OR(LEFT(H694,15)="Missing dates; ",LEFT(H694,16)="Add N/A reason; ",H694="Add dates",H694="Add registration",H694="Check date format"),R694,"")</x:f>
      </x:c>
      <x:c r="N694" t="str">
        <x:f>IF(COUNTIFS(C694:F694,"Reviewed N/A")&gt;0,S694,"")</x:f>
      </x:c>
      <x:c r="O694" t="n">
        <x:f>O693+IF(AND(A694&lt;&gt;"",COUNTIFS(C694,"&gt;=36526",C694,"&lt;"&amp;TODAY())+COUNTIFS(D694,"&gt;=36526",D694,"&lt;"&amp;TODAY())+COUNTIFS(E694,"&gt;=36526",E694,"&lt;"&amp;TODAY())+COUNTIFS(F694,"&gt;=36526",F694,"&lt;"&amp;TODAY())&gt;0),1,0)</x:f>
        <x:v>0</x:v>
      </x:c>
      <x:c r="P694" t="n">
        <x:f>P693+IF(AND(A694&lt;&gt;"",COUNTIFS(C694,"&gt;=36526",C694,TODAY())+COUNTIFS(D694,"&gt;=36526",D694,TODAY())+COUNTIFS(E694,"&gt;=36526",E694,TODAY())+COUNTIFS(F694,"&gt;=36526",F694,TODAY())&gt;0),1,0)</x:f>
        <x:v>0</x:v>
      </x:c>
      <x:c r="Q694" t="n">
        <x:f>Q693+IF(AND(A694&lt;&gt;"",COUNTIFS(C694,"&gt;"&amp;TODAY(),C694,"&lt;="&amp;TODAY()+30)+COUNTIFS(D694,"&gt;"&amp;TODAY(),D694,"&lt;="&amp;TODAY()+30)+COUNTIFS(E694,"&gt;"&amp;TODAY(),E694,"&lt;="&amp;TODAY()+30)+COUNTIFS(F694,"&gt;"&amp;TODAY(),F694,"&lt;="&amp;TODAY()+30)&gt;0),1,0)</x:f>
        <x:v>0</x:v>
      </x:c>
      <x:c r="R694" t="n">
        <x:f>R693+IF(OR(LEFT(H694,15)="Missing dates; ",LEFT(H694,16)="Add N/A reason; ",H694="Add dates",H694="Add registration",H694="Check date format"),1,0)</x:f>
        <x:v>0</x:v>
      </x:c>
      <x:c r="S694" t="n">
        <x:f>S693+IF(COUNTIFS(C694:F694,"Reviewed N/A")&gt;0,1,0)</x:f>
        <x:v>0</x:v>
      </x:c>
    </x:row>
    <x:row r="695" ht="48" customHeight="1">
      <x:c r="A695" s="52"/>
      <x:c r="B695" s="52"/>
      <x:c r="C695" s="53"/>
      <x:c r="D695" s="53"/>
      <x:c r="E695" s="53"/>
      <x:c r="F695" s="53"/>
      <x:c r="G695" s="52"/>
      <x:c r="H695" s="21" t="str">
        <x:f>IF(COUNTA(A695:G695,I695)=0,"",IF(A695="","Add registration",IF(OR(COUNTA(C695:F695)&gt;COUNT(C695:F695)+COUNTIFS(C695:F695,"Reviewed N/A"),AND(COUNT(C695:F695)&gt;0,OR(MIN(C695:F695)&lt;36526,MAX(C695:F695)&gt;109574))),"Check date format",IF(AND(COUNTIFS(C695:F695,"Reviewed N/A")&gt;0,I695=""),"Add N/A reason; ","")&amp;IF(COUNT(C695:F695)=0,IF(COUNTIFS(C695:F695,"Reviewed N/A")=4,"No applicable dates recorded","Add dates"),IF(COUNT(C695:F695)+COUNTIFS(C695:F695,"Reviewed N/A")&lt;4,"Missing dates; ","")&amp;IF(MIN(C695:F695)&lt;TODAY(),"Overdue: ",IF(MIN(C695:F695)=TODAY(),"Due today: ",IF(MIN(C695:F695)&lt;=TODAY()+30,"Due within 30 days: ","Next: ")))&amp;INDEX($C$8:$F$8,1,MATCH(MIN(C695:F695),C695:F695,0))&amp;" "&amp;TEXT(MIN(C695:F695),"dd mmm yyyy")))))</x:f>
      </x:c>
      <x:c r="I695" s="52"/>
      <x:c r="J695" t="str">
        <x:f>IF(AND(A695&lt;&gt;"",COUNTIFS(C695,"&gt;=36526",C695,"&lt;"&amp;TODAY())+COUNTIFS(D695,"&gt;=36526",D695,"&lt;"&amp;TODAY())+COUNTIFS(E695,"&gt;=36526",E695,"&lt;"&amp;TODAY())+COUNTIFS(F695,"&gt;=36526",F695,"&lt;"&amp;TODAY())&gt;0),O695,"")</x:f>
      </x:c>
      <x:c r="K695" t="str">
        <x:f>IF(AND(A695&lt;&gt;"",COUNTIFS(C695,"&gt;=36526",C695,TODAY())+COUNTIFS(D695,"&gt;=36526",D695,TODAY())+COUNTIFS(E695,"&gt;=36526",E695,TODAY())+COUNTIFS(F695,"&gt;=36526",F695,TODAY())&gt;0),P695,"")</x:f>
      </x:c>
      <x:c r="L695" t="str">
        <x:f>IF(AND(A695&lt;&gt;"",COUNTIFS(C695,"&gt;"&amp;TODAY(),C695,"&lt;="&amp;TODAY()+30)+COUNTIFS(D695,"&gt;"&amp;TODAY(),D695,"&lt;="&amp;TODAY()+30)+COUNTIFS(E695,"&gt;"&amp;TODAY(),E695,"&lt;="&amp;TODAY()+30)+COUNTIFS(F695,"&gt;"&amp;TODAY(),F695,"&lt;="&amp;TODAY()+30)&gt;0),Q695,"")</x:f>
      </x:c>
      <x:c r="M695" t="str">
        <x:f>IF(OR(LEFT(H695,15)="Missing dates; ",LEFT(H695,16)="Add N/A reason; ",H695="Add dates",H695="Add registration",H695="Check date format"),R695,"")</x:f>
      </x:c>
      <x:c r="N695" t="str">
        <x:f>IF(COUNTIFS(C695:F695,"Reviewed N/A")&gt;0,S695,"")</x:f>
      </x:c>
      <x:c r="O695" t="n">
        <x:f>O694+IF(AND(A695&lt;&gt;"",COUNTIFS(C695,"&gt;=36526",C695,"&lt;"&amp;TODAY())+COUNTIFS(D695,"&gt;=36526",D695,"&lt;"&amp;TODAY())+COUNTIFS(E695,"&gt;=36526",E695,"&lt;"&amp;TODAY())+COUNTIFS(F695,"&gt;=36526",F695,"&lt;"&amp;TODAY())&gt;0),1,0)</x:f>
        <x:v>0</x:v>
      </x:c>
      <x:c r="P695" t="n">
        <x:f>P694+IF(AND(A695&lt;&gt;"",COUNTIFS(C695,"&gt;=36526",C695,TODAY())+COUNTIFS(D695,"&gt;=36526",D695,TODAY())+COUNTIFS(E695,"&gt;=36526",E695,TODAY())+COUNTIFS(F695,"&gt;=36526",F695,TODAY())&gt;0),1,0)</x:f>
        <x:v>0</x:v>
      </x:c>
      <x:c r="Q695" t="n">
        <x:f>Q694+IF(AND(A695&lt;&gt;"",COUNTIFS(C695,"&gt;"&amp;TODAY(),C695,"&lt;="&amp;TODAY()+30)+COUNTIFS(D695,"&gt;"&amp;TODAY(),D695,"&lt;="&amp;TODAY()+30)+COUNTIFS(E695,"&gt;"&amp;TODAY(),E695,"&lt;="&amp;TODAY()+30)+COUNTIFS(F695,"&gt;"&amp;TODAY(),F695,"&lt;="&amp;TODAY()+30)&gt;0),1,0)</x:f>
        <x:v>0</x:v>
      </x:c>
      <x:c r="R695" t="n">
        <x:f>R694+IF(OR(LEFT(H695,15)="Missing dates; ",LEFT(H695,16)="Add N/A reason; ",H695="Add dates",H695="Add registration",H695="Check date format"),1,0)</x:f>
        <x:v>0</x:v>
      </x:c>
      <x:c r="S695" t="n">
        <x:f>S694+IF(COUNTIFS(C695:F695,"Reviewed N/A")&gt;0,1,0)</x:f>
        <x:v>0</x:v>
      </x:c>
    </x:row>
    <x:row r="696" ht="48" customHeight="1">
      <x:c r="A696" s="52"/>
      <x:c r="B696" s="52"/>
      <x:c r="C696" s="53"/>
      <x:c r="D696" s="53"/>
      <x:c r="E696" s="53"/>
      <x:c r="F696" s="53"/>
      <x:c r="G696" s="52"/>
      <x:c r="H696" s="21" t="str">
        <x:f>IF(COUNTA(A696:G696,I696)=0,"",IF(A696="","Add registration",IF(OR(COUNTA(C696:F696)&gt;COUNT(C696:F696)+COUNTIFS(C696:F696,"Reviewed N/A"),AND(COUNT(C696:F696)&gt;0,OR(MIN(C696:F696)&lt;36526,MAX(C696:F696)&gt;109574))),"Check date format",IF(AND(COUNTIFS(C696:F696,"Reviewed N/A")&gt;0,I696=""),"Add N/A reason; ","")&amp;IF(COUNT(C696:F696)=0,IF(COUNTIFS(C696:F696,"Reviewed N/A")=4,"No applicable dates recorded","Add dates"),IF(COUNT(C696:F696)+COUNTIFS(C696:F696,"Reviewed N/A")&lt;4,"Missing dates; ","")&amp;IF(MIN(C696:F696)&lt;TODAY(),"Overdue: ",IF(MIN(C696:F696)=TODAY(),"Due today: ",IF(MIN(C696:F696)&lt;=TODAY()+30,"Due within 30 days: ","Next: ")))&amp;INDEX($C$8:$F$8,1,MATCH(MIN(C696:F696),C696:F696,0))&amp;" "&amp;TEXT(MIN(C696:F696),"dd mmm yyyy")))))</x:f>
      </x:c>
      <x:c r="I696" s="52"/>
      <x:c r="J696" t="str">
        <x:f>IF(AND(A696&lt;&gt;"",COUNTIFS(C696,"&gt;=36526",C696,"&lt;"&amp;TODAY())+COUNTIFS(D696,"&gt;=36526",D696,"&lt;"&amp;TODAY())+COUNTIFS(E696,"&gt;=36526",E696,"&lt;"&amp;TODAY())+COUNTIFS(F696,"&gt;=36526",F696,"&lt;"&amp;TODAY())&gt;0),O696,"")</x:f>
      </x:c>
      <x:c r="K696" t="str">
        <x:f>IF(AND(A696&lt;&gt;"",COUNTIFS(C696,"&gt;=36526",C696,TODAY())+COUNTIFS(D696,"&gt;=36526",D696,TODAY())+COUNTIFS(E696,"&gt;=36526",E696,TODAY())+COUNTIFS(F696,"&gt;=36526",F696,TODAY())&gt;0),P696,"")</x:f>
      </x:c>
      <x:c r="L696" t="str">
        <x:f>IF(AND(A696&lt;&gt;"",COUNTIFS(C696,"&gt;"&amp;TODAY(),C696,"&lt;="&amp;TODAY()+30)+COUNTIFS(D696,"&gt;"&amp;TODAY(),D696,"&lt;="&amp;TODAY()+30)+COUNTIFS(E696,"&gt;"&amp;TODAY(),E696,"&lt;="&amp;TODAY()+30)+COUNTIFS(F696,"&gt;"&amp;TODAY(),F696,"&lt;="&amp;TODAY()+30)&gt;0),Q696,"")</x:f>
      </x:c>
      <x:c r="M696" t="str">
        <x:f>IF(OR(LEFT(H696,15)="Missing dates; ",LEFT(H696,16)="Add N/A reason; ",H696="Add dates",H696="Add registration",H696="Check date format"),R696,"")</x:f>
      </x:c>
      <x:c r="N696" t="str">
        <x:f>IF(COUNTIFS(C696:F696,"Reviewed N/A")&gt;0,S696,"")</x:f>
      </x:c>
      <x:c r="O696" t="n">
        <x:f>O695+IF(AND(A696&lt;&gt;"",COUNTIFS(C696,"&gt;=36526",C696,"&lt;"&amp;TODAY())+COUNTIFS(D696,"&gt;=36526",D696,"&lt;"&amp;TODAY())+COUNTIFS(E696,"&gt;=36526",E696,"&lt;"&amp;TODAY())+COUNTIFS(F696,"&gt;=36526",F696,"&lt;"&amp;TODAY())&gt;0),1,0)</x:f>
        <x:v>0</x:v>
      </x:c>
      <x:c r="P696" t="n">
        <x:f>P695+IF(AND(A696&lt;&gt;"",COUNTIFS(C696,"&gt;=36526",C696,TODAY())+COUNTIFS(D696,"&gt;=36526",D696,TODAY())+COUNTIFS(E696,"&gt;=36526",E696,TODAY())+COUNTIFS(F696,"&gt;=36526",F696,TODAY())&gt;0),1,0)</x:f>
        <x:v>0</x:v>
      </x:c>
      <x:c r="Q696" t="n">
        <x:f>Q695+IF(AND(A696&lt;&gt;"",COUNTIFS(C696,"&gt;"&amp;TODAY(),C696,"&lt;="&amp;TODAY()+30)+COUNTIFS(D696,"&gt;"&amp;TODAY(),D696,"&lt;="&amp;TODAY()+30)+COUNTIFS(E696,"&gt;"&amp;TODAY(),E696,"&lt;="&amp;TODAY()+30)+COUNTIFS(F696,"&gt;"&amp;TODAY(),F696,"&lt;="&amp;TODAY()+30)&gt;0),1,0)</x:f>
        <x:v>0</x:v>
      </x:c>
      <x:c r="R696" t="n">
        <x:f>R695+IF(OR(LEFT(H696,15)="Missing dates; ",LEFT(H696,16)="Add N/A reason; ",H696="Add dates",H696="Add registration",H696="Check date format"),1,0)</x:f>
        <x:v>0</x:v>
      </x:c>
      <x:c r="S696" t="n">
        <x:f>S695+IF(COUNTIFS(C696:F696,"Reviewed N/A")&gt;0,1,0)</x:f>
        <x:v>0</x:v>
      </x:c>
    </x:row>
    <x:row r="697" ht="48" customHeight="1">
      <x:c r="A697" s="52"/>
      <x:c r="B697" s="52"/>
      <x:c r="C697" s="53"/>
      <x:c r="D697" s="53"/>
      <x:c r="E697" s="53"/>
      <x:c r="F697" s="53"/>
      <x:c r="G697" s="52"/>
      <x:c r="H697" s="21" t="str">
        <x:f>IF(COUNTA(A697:G697,I697)=0,"",IF(A697="","Add registration",IF(OR(COUNTA(C697:F697)&gt;COUNT(C697:F697)+COUNTIFS(C697:F697,"Reviewed N/A"),AND(COUNT(C697:F697)&gt;0,OR(MIN(C697:F697)&lt;36526,MAX(C697:F697)&gt;109574))),"Check date format",IF(AND(COUNTIFS(C697:F697,"Reviewed N/A")&gt;0,I697=""),"Add N/A reason; ","")&amp;IF(COUNT(C697:F697)=0,IF(COUNTIFS(C697:F697,"Reviewed N/A")=4,"No applicable dates recorded","Add dates"),IF(COUNT(C697:F697)+COUNTIFS(C697:F697,"Reviewed N/A")&lt;4,"Missing dates; ","")&amp;IF(MIN(C697:F697)&lt;TODAY(),"Overdue: ",IF(MIN(C697:F697)=TODAY(),"Due today: ",IF(MIN(C697:F697)&lt;=TODAY()+30,"Due within 30 days: ","Next: ")))&amp;INDEX($C$8:$F$8,1,MATCH(MIN(C697:F697),C697:F697,0))&amp;" "&amp;TEXT(MIN(C697:F697),"dd mmm yyyy")))))</x:f>
      </x:c>
      <x:c r="I697" s="52"/>
      <x:c r="J697" t="str">
        <x:f>IF(AND(A697&lt;&gt;"",COUNTIFS(C697,"&gt;=36526",C697,"&lt;"&amp;TODAY())+COUNTIFS(D697,"&gt;=36526",D697,"&lt;"&amp;TODAY())+COUNTIFS(E697,"&gt;=36526",E697,"&lt;"&amp;TODAY())+COUNTIFS(F697,"&gt;=36526",F697,"&lt;"&amp;TODAY())&gt;0),O697,"")</x:f>
      </x:c>
      <x:c r="K697" t="str">
        <x:f>IF(AND(A697&lt;&gt;"",COUNTIFS(C697,"&gt;=36526",C697,TODAY())+COUNTIFS(D697,"&gt;=36526",D697,TODAY())+COUNTIFS(E697,"&gt;=36526",E697,TODAY())+COUNTIFS(F697,"&gt;=36526",F697,TODAY())&gt;0),P697,"")</x:f>
      </x:c>
      <x:c r="L697" t="str">
        <x:f>IF(AND(A697&lt;&gt;"",COUNTIFS(C697,"&gt;"&amp;TODAY(),C697,"&lt;="&amp;TODAY()+30)+COUNTIFS(D697,"&gt;"&amp;TODAY(),D697,"&lt;="&amp;TODAY()+30)+COUNTIFS(E697,"&gt;"&amp;TODAY(),E697,"&lt;="&amp;TODAY()+30)+COUNTIFS(F697,"&gt;"&amp;TODAY(),F697,"&lt;="&amp;TODAY()+30)&gt;0),Q697,"")</x:f>
      </x:c>
      <x:c r="M697" t="str">
        <x:f>IF(OR(LEFT(H697,15)="Missing dates; ",LEFT(H697,16)="Add N/A reason; ",H697="Add dates",H697="Add registration",H697="Check date format"),R697,"")</x:f>
      </x:c>
      <x:c r="N697" t="str">
        <x:f>IF(COUNTIFS(C697:F697,"Reviewed N/A")&gt;0,S697,"")</x:f>
      </x:c>
      <x:c r="O697" t="n">
        <x:f>O696+IF(AND(A697&lt;&gt;"",COUNTIFS(C697,"&gt;=36526",C697,"&lt;"&amp;TODAY())+COUNTIFS(D697,"&gt;=36526",D697,"&lt;"&amp;TODAY())+COUNTIFS(E697,"&gt;=36526",E697,"&lt;"&amp;TODAY())+COUNTIFS(F697,"&gt;=36526",F697,"&lt;"&amp;TODAY())&gt;0),1,0)</x:f>
        <x:v>0</x:v>
      </x:c>
      <x:c r="P697" t="n">
        <x:f>P696+IF(AND(A697&lt;&gt;"",COUNTIFS(C697,"&gt;=36526",C697,TODAY())+COUNTIFS(D697,"&gt;=36526",D697,TODAY())+COUNTIFS(E697,"&gt;=36526",E697,TODAY())+COUNTIFS(F697,"&gt;=36526",F697,TODAY())&gt;0),1,0)</x:f>
        <x:v>0</x:v>
      </x:c>
      <x:c r="Q697" t="n">
        <x:f>Q696+IF(AND(A697&lt;&gt;"",COUNTIFS(C697,"&gt;"&amp;TODAY(),C697,"&lt;="&amp;TODAY()+30)+COUNTIFS(D697,"&gt;"&amp;TODAY(),D697,"&lt;="&amp;TODAY()+30)+COUNTIFS(E697,"&gt;"&amp;TODAY(),E697,"&lt;="&amp;TODAY()+30)+COUNTIFS(F697,"&gt;"&amp;TODAY(),F697,"&lt;="&amp;TODAY()+30)&gt;0),1,0)</x:f>
        <x:v>0</x:v>
      </x:c>
      <x:c r="R697" t="n">
        <x:f>R696+IF(OR(LEFT(H697,15)="Missing dates; ",LEFT(H697,16)="Add N/A reason; ",H697="Add dates",H697="Add registration",H697="Check date format"),1,0)</x:f>
        <x:v>0</x:v>
      </x:c>
      <x:c r="S697" t="n">
        <x:f>S696+IF(COUNTIFS(C697:F697,"Reviewed N/A")&gt;0,1,0)</x:f>
        <x:v>0</x:v>
      </x:c>
    </x:row>
    <x:row r="698" ht="48" customHeight="1">
      <x:c r="A698" s="52"/>
      <x:c r="B698" s="52"/>
      <x:c r="C698" s="53"/>
      <x:c r="D698" s="53"/>
      <x:c r="E698" s="53"/>
      <x:c r="F698" s="53"/>
      <x:c r="G698" s="52"/>
      <x:c r="H698" s="21" t="str">
        <x:f>IF(COUNTA(A698:G698,I698)=0,"",IF(A698="","Add registration",IF(OR(COUNTA(C698:F698)&gt;COUNT(C698:F698)+COUNTIFS(C698:F698,"Reviewed N/A"),AND(COUNT(C698:F698)&gt;0,OR(MIN(C698:F698)&lt;36526,MAX(C698:F698)&gt;109574))),"Check date format",IF(AND(COUNTIFS(C698:F698,"Reviewed N/A")&gt;0,I698=""),"Add N/A reason; ","")&amp;IF(COUNT(C698:F698)=0,IF(COUNTIFS(C698:F698,"Reviewed N/A")=4,"No applicable dates recorded","Add dates"),IF(COUNT(C698:F698)+COUNTIFS(C698:F698,"Reviewed N/A")&lt;4,"Missing dates; ","")&amp;IF(MIN(C698:F698)&lt;TODAY(),"Overdue: ",IF(MIN(C698:F698)=TODAY(),"Due today: ",IF(MIN(C698:F698)&lt;=TODAY()+30,"Due within 30 days: ","Next: ")))&amp;INDEX($C$8:$F$8,1,MATCH(MIN(C698:F698),C698:F698,0))&amp;" "&amp;TEXT(MIN(C698:F698),"dd mmm yyyy")))))</x:f>
      </x:c>
      <x:c r="I698" s="52"/>
      <x:c r="J698" t="str">
        <x:f>IF(AND(A698&lt;&gt;"",COUNTIFS(C698,"&gt;=36526",C698,"&lt;"&amp;TODAY())+COUNTIFS(D698,"&gt;=36526",D698,"&lt;"&amp;TODAY())+COUNTIFS(E698,"&gt;=36526",E698,"&lt;"&amp;TODAY())+COUNTIFS(F698,"&gt;=36526",F698,"&lt;"&amp;TODAY())&gt;0),O698,"")</x:f>
      </x:c>
      <x:c r="K698" t="str">
        <x:f>IF(AND(A698&lt;&gt;"",COUNTIFS(C698,"&gt;=36526",C698,TODAY())+COUNTIFS(D698,"&gt;=36526",D698,TODAY())+COUNTIFS(E698,"&gt;=36526",E698,TODAY())+COUNTIFS(F698,"&gt;=36526",F698,TODAY())&gt;0),P698,"")</x:f>
      </x:c>
      <x:c r="L698" t="str">
        <x:f>IF(AND(A698&lt;&gt;"",COUNTIFS(C698,"&gt;"&amp;TODAY(),C698,"&lt;="&amp;TODAY()+30)+COUNTIFS(D698,"&gt;"&amp;TODAY(),D698,"&lt;="&amp;TODAY()+30)+COUNTIFS(E698,"&gt;"&amp;TODAY(),E698,"&lt;="&amp;TODAY()+30)+COUNTIFS(F698,"&gt;"&amp;TODAY(),F698,"&lt;="&amp;TODAY()+30)&gt;0),Q698,"")</x:f>
      </x:c>
      <x:c r="M698" t="str">
        <x:f>IF(OR(LEFT(H698,15)="Missing dates; ",LEFT(H698,16)="Add N/A reason; ",H698="Add dates",H698="Add registration",H698="Check date format"),R698,"")</x:f>
      </x:c>
      <x:c r="N698" t="str">
        <x:f>IF(COUNTIFS(C698:F698,"Reviewed N/A")&gt;0,S698,"")</x:f>
      </x:c>
      <x:c r="O698" t="n">
        <x:f>O697+IF(AND(A698&lt;&gt;"",COUNTIFS(C698,"&gt;=36526",C698,"&lt;"&amp;TODAY())+COUNTIFS(D698,"&gt;=36526",D698,"&lt;"&amp;TODAY())+COUNTIFS(E698,"&gt;=36526",E698,"&lt;"&amp;TODAY())+COUNTIFS(F698,"&gt;=36526",F698,"&lt;"&amp;TODAY())&gt;0),1,0)</x:f>
        <x:v>0</x:v>
      </x:c>
      <x:c r="P698" t="n">
        <x:f>P697+IF(AND(A698&lt;&gt;"",COUNTIFS(C698,"&gt;=36526",C698,TODAY())+COUNTIFS(D698,"&gt;=36526",D698,TODAY())+COUNTIFS(E698,"&gt;=36526",E698,TODAY())+COUNTIFS(F698,"&gt;=36526",F698,TODAY())&gt;0),1,0)</x:f>
        <x:v>0</x:v>
      </x:c>
      <x:c r="Q698" t="n">
        <x:f>Q697+IF(AND(A698&lt;&gt;"",COUNTIFS(C698,"&gt;"&amp;TODAY(),C698,"&lt;="&amp;TODAY()+30)+COUNTIFS(D698,"&gt;"&amp;TODAY(),D698,"&lt;="&amp;TODAY()+30)+COUNTIFS(E698,"&gt;"&amp;TODAY(),E698,"&lt;="&amp;TODAY()+30)+COUNTIFS(F698,"&gt;"&amp;TODAY(),F698,"&lt;="&amp;TODAY()+30)&gt;0),1,0)</x:f>
        <x:v>0</x:v>
      </x:c>
      <x:c r="R698" t="n">
        <x:f>R697+IF(OR(LEFT(H698,15)="Missing dates; ",LEFT(H698,16)="Add N/A reason; ",H698="Add dates",H698="Add registration",H698="Check date format"),1,0)</x:f>
        <x:v>0</x:v>
      </x:c>
      <x:c r="S698" t="n">
        <x:f>S697+IF(COUNTIFS(C698:F698,"Reviewed N/A")&gt;0,1,0)</x:f>
        <x:v>0</x:v>
      </x:c>
    </x:row>
    <x:row r="699" ht="48" customHeight="1">
      <x:c r="A699" s="52"/>
      <x:c r="B699" s="52"/>
      <x:c r="C699" s="53"/>
      <x:c r="D699" s="53"/>
      <x:c r="E699" s="53"/>
      <x:c r="F699" s="53"/>
      <x:c r="G699" s="52"/>
      <x:c r="H699" s="21" t="str">
        <x:f>IF(COUNTA(A699:G699,I699)=0,"",IF(A699="","Add registration",IF(OR(COUNTA(C699:F699)&gt;COUNT(C699:F699)+COUNTIFS(C699:F699,"Reviewed N/A"),AND(COUNT(C699:F699)&gt;0,OR(MIN(C699:F699)&lt;36526,MAX(C699:F699)&gt;109574))),"Check date format",IF(AND(COUNTIFS(C699:F699,"Reviewed N/A")&gt;0,I699=""),"Add N/A reason; ","")&amp;IF(COUNT(C699:F699)=0,IF(COUNTIFS(C699:F699,"Reviewed N/A")=4,"No applicable dates recorded","Add dates"),IF(COUNT(C699:F699)+COUNTIFS(C699:F699,"Reviewed N/A")&lt;4,"Missing dates; ","")&amp;IF(MIN(C699:F699)&lt;TODAY(),"Overdue: ",IF(MIN(C699:F699)=TODAY(),"Due today: ",IF(MIN(C699:F699)&lt;=TODAY()+30,"Due within 30 days: ","Next: ")))&amp;INDEX($C$8:$F$8,1,MATCH(MIN(C699:F699),C699:F699,0))&amp;" "&amp;TEXT(MIN(C699:F699),"dd mmm yyyy")))))</x:f>
      </x:c>
      <x:c r="I699" s="52"/>
      <x:c r="J699" t="str">
        <x:f>IF(AND(A699&lt;&gt;"",COUNTIFS(C699,"&gt;=36526",C699,"&lt;"&amp;TODAY())+COUNTIFS(D699,"&gt;=36526",D699,"&lt;"&amp;TODAY())+COUNTIFS(E699,"&gt;=36526",E699,"&lt;"&amp;TODAY())+COUNTIFS(F699,"&gt;=36526",F699,"&lt;"&amp;TODAY())&gt;0),O699,"")</x:f>
      </x:c>
      <x:c r="K699" t="str">
        <x:f>IF(AND(A699&lt;&gt;"",COUNTIFS(C699,"&gt;=36526",C699,TODAY())+COUNTIFS(D699,"&gt;=36526",D699,TODAY())+COUNTIFS(E699,"&gt;=36526",E699,TODAY())+COUNTIFS(F699,"&gt;=36526",F699,TODAY())&gt;0),P699,"")</x:f>
      </x:c>
      <x:c r="L699" t="str">
        <x:f>IF(AND(A699&lt;&gt;"",COUNTIFS(C699,"&gt;"&amp;TODAY(),C699,"&lt;="&amp;TODAY()+30)+COUNTIFS(D699,"&gt;"&amp;TODAY(),D699,"&lt;="&amp;TODAY()+30)+COUNTIFS(E699,"&gt;"&amp;TODAY(),E699,"&lt;="&amp;TODAY()+30)+COUNTIFS(F699,"&gt;"&amp;TODAY(),F699,"&lt;="&amp;TODAY()+30)&gt;0),Q699,"")</x:f>
      </x:c>
      <x:c r="M699" t="str">
        <x:f>IF(OR(LEFT(H699,15)="Missing dates; ",LEFT(H699,16)="Add N/A reason; ",H699="Add dates",H699="Add registration",H699="Check date format"),R699,"")</x:f>
      </x:c>
      <x:c r="N699" t="str">
        <x:f>IF(COUNTIFS(C699:F699,"Reviewed N/A")&gt;0,S699,"")</x:f>
      </x:c>
      <x:c r="O699" t="n">
        <x:f>O698+IF(AND(A699&lt;&gt;"",COUNTIFS(C699,"&gt;=36526",C699,"&lt;"&amp;TODAY())+COUNTIFS(D699,"&gt;=36526",D699,"&lt;"&amp;TODAY())+COUNTIFS(E699,"&gt;=36526",E699,"&lt;"&amp;TODAY())+COUNTIFS(F699,"&gt;=36526",F699,"&lt;"&amp;TODAY())&gt;0),1,0)</x:f>
        <x:v>0</x:v>
      </x:c>
      <x:c r="P699" t="n">
        <x:f>P698+IF(AND(A699&lt;&gt;"",COUNTIFS(C699,"&gt;=36526",C699,TODAY())+COUNTIFS(D699,"&gt;=36526",D699,TODAY())+COUNTIFS(E699,"&gt;=36526",E699,TODAY())+COUNTIFS(F699,"&gt;=36526",F699,TODAY())&gt;0),1,0)</x:f>
        <x:v>0</x:v>
      </x:c>
      <x:c r="Q699" t="n">
        <x:f>Q698+IF(AND(A699&lt;&gt;"",COUNTIFS(C699,"&gt;"&amp;TODAY(),C699,"&lt;="&amp;TODAY()+30)+COUNTIFS(D699,"&gt;"&amp;TODAY(),D699,"&lt;="&amp;TODAY()+30)+COUNTIFS(E699,"&gt;"&amp;TODAY(),E699,"&lt;="&amp;TODAY()+30)+COUNTIFS(F699,"&gt;"&amp;TODAY(),F699,"&lt;="&amp;TODAY()+30)&gt;0),1,0)</x:f>
        <x:v>0</x:v>
      </x:c>
      <x:c r="R699" t="n">
        <x:f>R698+IF(OR(LEFT(H699,15)="Missing dates; ",LEFT(H699,16)="Add N/A reason; ",H699="Add dates",H699="Add registration",H699="Check date format"),1,0)</x:f>
        <x:v>0</x:v>
      </x:c>
      <x:c r="S699" t="n">
        <x:f>S698+IF(COUNTIFS(C699:F699,"Reviewed N/A")&gt;0,1,0)</x:f>
        <x:v>0</x:v>
      </x:c>
    </x:row>
    <x:row r="700" ht="48" customHeight="1">
      <x:c r="A700" s="52"/>
      <x:c r="B700" s="52"/>
      <x:c r="C700" s="53"/>
      <x:c r="D700" s="53"/>
      <x:c r="E700" s="53"/>
      <x:c r="F700" s="53"/>
      <x:c r="G700" s="52"/>
      <x:c r="H700" s="21" t="str">
        <x:f>IF(COUNTA(A700:G700,I700)=0,"",IF(A700="","Add registration",IF(OR(COUNTA(C700:F700)&gt;COUNT(C700:F700)+COUNTIFS(C700:F700,"Reviewed N/A"),AND(COUNT(C700:F700)&gt;0,OR(MIN(C700:F700)&lt;36526,MAX(C700:F700)&gt;109574))),"Check date format",IF(AND(COUNTIFS(C700:F700,"Reviewed N/A")&gt;0,I700=""),"Add N/A reason; ","")&amp;IF(COUNT(C700:F700)=0,IF(COUNTIFS(C700:F700,"Reviewed N/A")=4,"No applicable dates recorded","Add dates"),IF(COUNT(C700:F700)+COUNTIFS(C700:F700,"Reviewed N/A")&lt;4,"Missing dates; ","")&amp;IF(MIN(C700:F700)&lt;TODAY(),"Overdue: ",IF(MIN(C700:F700)=TODAY(),"Due today: ",IF(MIN(C700:F700)&lt;=TODAY()+30,"Due within 30 days: ","Next: ")))&amp;INDEX($C$8:$F$8,1,MATCH(MIN(C700:F700),C700:F700,0))&amp;" "&amp;TEXT(MIN(C700:F700),"dd mmm yyyy")))))</x:f>
      </x:c>
      <x:c r="I700" s="52"/>
      <x:c r="J700" t="str">
        <x:f>IF(AND(A700&lt;&gt;"",COUNTIFS(C700,"&gt;=36526",C700,"&lt;"&amp;TODAY())+COUNTIFS(D700,"&gt;=36526",D700,"&lt;"&amp;TODAY())+COUNTIFS(E700,"&gt;=36526",E700,"&lt;"&amp;TODAY())+COUNTIFS(F700,"&gt;=36526",F700,"&lt;"&amp;TODAY())&gt;0),O700,"")</x:f>
      </x:c>
      <x:c r="K700" t="str">
        <x:f>IF(AND(A700&lt;&gt;"",COUNTIFS(C700,"&gt;=36526",C700,TODAY())+COUNTIFS(D700,"&gt;=36526",D700,TODAY())+COUNTIFS(E700,"&gt;=36526",E700,TODAY())+COUNTIFS(F700,"&gt;=36526",F700,TODAY())&gt;0),P700,"")</x:f>
      </x:c>
      <x:c r="L700" t="str">
        <x:f>IF(AND(A700&lt;&gt;"",COUNTIFS(C700,"&gt;"&amp;TODAY(),C700,"&lt;="&amp;TODAY()+30)+COUNTIFS(D700,"&gt;"&amp;TODAY(),D700,"&lt;="&amp;TODAY()+30)+COUNTIFS(E700,"&gt;"&amp;TODAY(),E700,"&lt;="&amp;TODAY()+30)+COUNTIFS(F700,"&gt;"&amp;TODAY(),F700,"&lt;="&amp;TODAY()+30)&gt;0),Q700,"")</x:f>
      </x:c>
      <x:c r="M700" t="str">
        <x:f>IF(OR(LEFT(H700,15)="Missing dates; ",LEFT(H700,16)="Add N/A reason; ",H700="Add dates",H700="Add registration",H700="Check date format"),R700,"")</x:f>
      </x:c>
      <x:c r="N700" t="str">
        <x:f>IF(COUNTIFS(C700:F700,"Reviewed N/A")&gt;0,S700,"")</x:f>
      </x:c>
      <x:c r="O700" t="n">
        <x:f>O699+IF(AND(A700&lt;&gt;"",COUNTIFS(C700,"&gt;=36526",C700,"&lt;"&amp;TODAY())+COUNTIFS(D700,"&gt;=36526",D700,"&lt;"&amp;TODAY())+COUNTIFS(E700,"&gt;=36526",E700,"&lt;"&amp;TODAY())+COUNTIFS(F700,"&gt;=36526",F700,"&lt;"&amp;TODAY())&gt;0),1,0)</x:f>
        <x:v>0</x:v>
      </x:c>
      <x:c r="P700" t="n">
        <x:f>P699+IF(AND(A700&lt;&gt;"",COUNTIFS(C700,"&gt;=36526",C700,TODAY())+COUNTIFS(D700,"&gt;=36526",D700,TODAY())+COUNTIFS(E700,"&gt;=36526",E700,TODAY())+COUNTIFS(F700,"&gt;=36526",F700,TODAY())&gt;0),1,0)</x:f>
        <x:v>0</x:v>
      </x:c>
      <x:c r="Q700" t="n">
        <x:f>Q699+IF(AND(A700&lt;&gt;"",COUNTIFS(C700,"&gt;"&amp;TODAY(),C700,"&lt;="&amp;TODAY()+30)+COUNTIFS(D700,"&gt;"&amp;TODAY(),D700,"&lt;="&amp;TODAY()+30)+COUNTIFS(E700,"&gt;"&amp;TODAY(),E700,"&lt;="&amp;TODAY()+30)+COUNTIFS(F700,"&gt;"&amp;TODAY(),F700,"&lt;="&amp;TODAY()+30)&gt;0),1,0)</x:f>
        <x:v>0</x:v>
      </x:c>
      <x:c r="R700" t="n">
        <x:f>R699+IF(OR(LEFT(H700,15)="Missing dates; ",LEFT(H700,16)="Add N/A reason; ",H700="Add dates",H700="Add registration",H700="Check date format"),1,0)</x:f>
        <x:v>0</x:v>
      </x:c>
      <x:c r="S700" t="n">
        <x:f>S699+IF(COUNTIFS(C700:F700,"Reviewed N/A")&gt;0,1,0)</x:f>
        <x:v>0</x:v>
      </x:c>
    </x:row>
    <x:row r="701" ht="48" customHeight="1">
      <x:c r="A701" s="52"/>
      <x:c r="B701" s="52"/>
      <x:c r="C701" s="53"/>
      <x:c r="D701" s="53"/>
      <x:c r="E701" s="53"/>
      <x:c r="F701" s="53"/>
      <x:c r="G701" s="52"/>
      <x:c r="H701" s="21" t="str">
        <x:f>IF(COUNTA(A701:G701,I701)=0,"",IF(A701="","Add registration",IF(OR(COUNTA(C701:F701)&gt;COUNT(C701:F701)+COUNTIFS(C701:F701,"Reviewed N/A"),AND(COUNT(C701:F701)&gt;0,OR(MIN(C701:F701)&lt;36526,MAX(C701:F701)&gt;109574))),"Check date format",IF(AND(COUNTIFS(C701:F701,"Reviewed N/A")&gt;0,I701=""),"Add N/A reason; ","")&amp;IF(COUNT(C701:F701)=0,IF(COUNTIFS(C701:F701,"Reviewed N/A")=4,"No applicable dates recorded","Add dates"),IF(COUNT(C701:F701)+COUNTIFS(C701:F701,"Reviewed N/A")&lt;4,"Missing dates; ","")&amp;IF(MIN(C701:F701)&lt;TODAY(),"Overdue: ",IF(MIN(C701:F701)=TODAY(),"Due today: ",IF(MIN(C701:F701)&lt;=TODAY()+30,"Due within 30 days: ","Next: ")))&amp;INDEX($C$8:$F$8,1,MATCH(MIN(C701:F701),C701:F701,0))&amp;" "&amp;TEXT(MIN(C701:F701),"dd mmm yyyy")))))</x:f>
      </x:c>
      <x:c r="I701" s="52"/>
      <x:c r="J701" t="str">
        <x:f>IF(AND(A701&lt;&gt;"",COUNTIFS(C701,"&gt;=36526",C701,"&lt;"&amp;TODAY())+COUNTIFS(D701,"&gt;=36526",D701,"&lt;"&amp;TODAY())+COUNTIFS(E701,"&gt;=36526",E701,"&lt;"&amp;TODAY())+COUNTIFS(F701,"&gt;=36526",F701,"&lt;"&amp;TODAY())&gt;0),O701,"")</x:f>
      </x:c>
      <x:c r="K701" t="str">
        <x:f>IF(AND(A701&lt;&gt;"",COUNTIFS(C701,"&gt;=36526",C701,TODAY())+COUNTIFS(D701,"&gt;=36526",D701,TODAY())+COUNTIFS(E701,"&gt;=36526",E701,TODAY())+COUNTIFS(F701,"&gt;=36526",F701,TODAY())&gt;0),P701,"")</x:f>
      </x:c>
      <x:c r="L701" t="str">
        <x:f>IF(AND(A701&lt;&gt;"",COUNTIFS(C701,"&gt;"&amp;TODAY(),C701,"&lt;="&amp;TODAY()+30)+COUNTIFS(D701,"&gt;"&amp;TODAY(),D701,"&lt;="&amp;TODAY()+30)+COUNTIFS(E701,"&gt;"&amp;TODAY(),E701,"&lt;="&amp;TODAY()+30)+COUNTIFS(F701,"&gt;"&amp;TODAY(),F701,"&lt;="&amp;TODAY()+30)&gt;0),Q701,"")</x:f>
      </x:c>
      <x:c r="M701" t="str">
        <x:f>IF(OR(LEFT(H701,15)="Missing dates; ",LEFT(H701,16)="Add N/A reason; ",H701="Add dates",H701="Add registration",H701="Check date format"),R701,"")</x:f>
      </x:c>
      <x:c r="N701" t="str">
        <x:f>IF(COUNTIFS(C701:F701,"Reviewed N/A")&gt;0,S701,"")</x:f>
      </x:c>
      <x:c r="O701" t="n">
        <x:f>O700+IF(AND(A701&lt;&gt;"",COUNTIFS(C701,"&gt;=36526",C701,"&lt;"&amp;TODAY())+COUNTIFS(D701,"&gt;=36526",D701,"&lt;"&amp;TODAY())+COUNTIFS(E701,"&gt;=36526",E701,"&lt;"&amp;TODAY())+COUNTIFS(F701,"&gt;=36526",F701,"&lt;"&amp;TODAY())&gt;0),1,0)</x:f>
        <x:v>0</x:v>
      </x:c>
      <x:c r="P701" t="n">
        <x:f>P700+IF(AND(A701&lt;&gt;"",COUNTIFS(C701,"&gt;=36526",C701,TODAY())+COUNTIFS(D701,"&gt;=36526",D701,TODAY())+COUNTIFS(E701,"&gt;=36526",E701,TODAY())+COUNTIFS(F701,"&gt;=36526",F701,TODAY())&gt;0),1,0)</x:f>
        <x:v>0</x:v>
      </x:c>
      <x:c r="Q701" t="n">
        <x:f>Q700+IF(AND(A701&lt;&gt;"",COUNTIFS(C701,"&gt;"&amp;TODAY(),C701,"&lt;="&amp;TODAY()+30)+COUNTIFS(D701,"&gt;"&amp;TODAY(),D701,"&lt;="&amp;TODAY()+30)+COUNTIFS(E701,"&gt;"&amp;TODAY(),E701,"&lt;="&amp;TODAY()+30)+COUNTIFS(F701,"&gt;"&amp;TODAY(),F701,"&lt;="&amp;TODAY()+30)&gt;0),1,0)</x:f>
        <x:v>0</x:v>
      </x:c>
      <x:c r="R701" t="n">
        <x:f>R700+IF(OR(LEFT(H701,15)="Missing dates; ",LEFT(H701,16)="Add N/A reason; ",H701="Add dates",H701="Add registration",H701="Check date format"),1,0)</x:f>
        <x:v>0</x:v>
      </x:c>
      <x:c r="S701" t="n">
        <x:f>S700+IF(COUNTIFS(C701:F701,"Reviewed N/A")&gt;0,1,0)</x:f>
        <x:v>0</x:v>
      </x:c>
    </x:row>
    <x:row r="702" ht="48" customHeight="1">
      <x:c r="A702" s="52"/>
      <x:c r="B702" s="52"/>
      <x:c r="C702" s="53"/>
      <x:c r="D702" s="53"/>
      <x:c r="E702" s="53"/>
      <x:c r="F702" s="53"/>
      <x:c r="G702" s="52"/>
      <x:c r="H702" s="21" t="str">
        <x:f>IF(COUNTA(A702:G702,I702)=0,"",IF(A702="","Add registration",IF(OR(COUNTA(C702:F702)&gt;COUNT(C702:F702)+COUNTIFS(C702:F702,"Reviewed N/A"),AND(COUNT(C702:F702)&gt;0,OR(MIN(C702:F702)&lt;36526,MAX(C702:F702)&gt;109574))),"Check date format",IF(AND(COUNTIFS(C702:F702,"Reviewed N/A")&gt;0,I702=""),"Add N/A reason; ","")&amp;IF(COUNT(C702:F702)=0,IF(COUNTIFS(C702:F702,"Reviewed N/A")=4,"No applicable dates recorded","Add dates"),IF(COUNT(C702:F702)+COUNTIFS(C702:F702,"Reviewed N/A")&lt;4,"Missing dates; ","")&amp;IF(MIN(C702:F702)&lt;TODAY(),"Overdue: ",IF(MIN(C702:F702)=TODAY(),"Due today: ",IF(MIN(C702:F702)&lt;=TODAY()+30,"Due within 30 days: ","Next: ")))&amp;INDEX($C$8:$F$8,1,MATCH(MIN(C702:F702),C702:F702,0))&amp;" "&amp;TEXT(MIN(C702:F702),"dd mmm yyyy")))))</x:f>
      </x:c>
      <x:c r="I702" s="52"/>
      <x:c r="J702" t="str">
        <x:f>IF(AND(A702&lt;&gt;"",COUNTIFS(C702,"&gt;=36526",C702,"&lt;"&amp;TODAY())+COUNTIFS(D702,"&gt;=36526",D702,"&lt;"&amp;TODAY())+COUNTIFS(E702,"&gt;=36526",E702,"&lt;"&amp;TODAY())+COUNTIFS(F702,"&gt;=36526",F702,"&lt;"&amp;TODAY())&gt;0),O702,"")</x:f>
      </x:c>
      <x:c r="K702" t="str">
        <x:f>IF(AND(A702&lt;&gt;"",COUNTIFS(C702,"&gt;=36526",C702,TODAY())+COUNTIFS(D702,"&gt;=36526",D702,TODAY())+COUNTIFS(E702,"&gt;=36526",E702,TODAY())+COUNTIFS(F702,"&gt;=36526",F702,TODAY())&gt;0),P702,"")</x:f>
      </x:c>
      <x:c r="L702" t="str">
        <x:f>IF(AND(A702&lt;&gt;"",COUNTIFS(C702,"&gt;"&amp;TODAY(),C702,"&lt;="&amp;TODAY()+30)+COUNTIFS(D702,"&gt;"&amp;TODAY(),D702,"&lt;="&amp;TODAY()+30)+COUNTIFS(E702,"&gt;"&amp;TODAY(),E702,"&lt;="&amp;TODAY()+30)+COUNTIFS(F702,"&gt;"&amp;TODAY(),F702,"&lt;="&amp;TODAY()+30)&gt;0),Q702,"")</x:f>
      </x:c>
      <x:c r="M702" t="str">
        <x:f>IF(OR(LEFT(H702,15)="Missing dates; ",LEFT(H702,16)="Add N/A reason; ",H702="Add dates",H702="Add registration",H702="Check date format"),R702,"")</x:f>
      </x:c>
      <x:c r="N702" t="str">
        <x:f>IF(COUNTIFS(C702:F702,"Reviewed N/A")&gt;0,S702,"")</x:f>
      </x:c>
      <x:c r="O702" t="n">
        <x:f>O701+IF(AND(A702&lt;&gt;"",COUNTIFS(C702,"&gt;=36526",C702,"&lt;"&amp;TODAY())+COUNTIFS(D702,"&gt;=36526",D702,"&lt;"&amp;TODAY())+COUNTIFS(E702,"&gt;=36526",E702,"&lt;"&amp;TODAY())+COUNTIFS(F702,"&gt;=36526",F702,"&lt;"&amp;TODAY())&gt;0),1,0)</x:f>
        <x:v>0</x:v>
      </x:c>
      <x:c r="P702" t="n">
        <x:f>P701+IF(AND(A702&lt;&gt;"",COUNTIFS(C702,"&gt;=36526",C702,TODAY())+COUNTIFS(D702,"&gt;=36526",D702,TODAY())+COUNTIFS(E702,"&gt;=36526",E702,TODAY())+COUNTIFS(F702,"&gt;=36526",F702,TODAY())&gt;0),1,0)</x:f>
        <x:v>0</x:v>
      </x:c>
      <x:c r="Q702" t="n">
        <x:f>Q701+IF(AND(A702&lt;&gt;"",COUNTIFS(C702,"&gt;"&amp;TODAY(),C702,"&lt;="&amp;TODAY()+30)+COUNTIFS(D702,"&gt;"&amp;TODAY(),D702,"&lt;="&amp;TODAY()+30)+COUNTIFS(E702,"&gt;"&amp;TODAY(),E702,"&lt;="&amp;TODAY()+30)+COUNTIFS(F702,"&gt;"&amp;TODAY(),F702,"&lt;="&amp;TODAY()+30)&gt;0),1,0)</x:f>
        <x:v>0</x:v>
      </x:c>
      <x:c r="R702" t="n">
        <x:f>R701+IF(OR(LEFT(H702,15)="Missing dates; ",LEFT(H702,16)="Add N/A reason; ",H702="Add dates",H702="Add registration",H702="Check date format"),1,0)</x:f>
        <x:v>0</x:v>
      </x:c>
      <x:c r="S702" t="n">
        <x:f>S701+IF(COUNTIFS(C702:F702,"Reviewed N/A")&gt;0,1,0)</x:f>
        <x:v>0</x:v>
      </x:c>
    </x:row>
    <x:row r="703" ht="48" customHeight="1">
      <x:c r="A703" s="52"/>
      <x:c r="B703" s="52"/>
      <x:c r="C703" s="53"/>
      <x:c r="D703" s="53"/>
      <x:c r="E703" s="53"/>
      <x:c r="F703" s="53"/>
      <x:c r="G703" s="52"/>
      <x:c r="H703" s="21" t="str">
        <x:f>IF(COUNTA(A703:G703,I703)=0,"",IF(A703="","Add registration",IF(OR(COUNTA(C703:F703)&gt;COUNT(C703:F703)+COUNTIFS(C703:F703,"Reviewed N/A"),AND(COUNT(C703:F703)&gt;0,OR(MIN(C703:F703)&lt;36526,MAX(C703:F703)&gt;109574))),"Check date format",IF(AND(COUNTIFS(C703:F703,"Reviewed N/A")&gt;0,I703=""),"Add N/A reason; ","")&amp;IF(COUNT(C703:F703)=0,IF(COUNTIFS(C703:F703,"Reviewed N/A")=4,"No applicable dates recorded","Add dates"),IF(COUNT(C703:F703)+COUNTIFS(C703:F703,"Reviewed N/A")&lt;4,"Missing dates; ","")&amp;IF(MIN(C703:F703)&lt;TODAY(),"Overdue: ",IF(MIN(C703:F703)=TODAY(),"Due today: ",IF(MIN(C703:F703)&lt;=TODAY()+30,"Due within 30 days: ","Next: ")))&amp;INDEX($C$8:$F$8,1,MATCH(MIN(C703:F703),C703:F703,0))&amp;" "&amp;TEXT(MIN(C703:F703),"dd mmm yyyy")))))</x:f>
      </x:c>
      <x:c r="I703" s="52"/>
      <x:c r="J703" t="str">
        <x:f>IF(AND(A703&lt;&gt;"",COUNTIFS(C703,"&gt;=36526",C703,"&lt;"&amp;TODAY())+COUNTIFS(D703,"&gt;=36526",D703,"&lt;"&amp;TODAY())+COUNTIFS(E703,"&gt;=36526",E703,"&lt;"&amp;TODAY())+COUNTIFS(F703,"&gt;=36526",F703,"&lt;"&amp;TODAY())&gt;0),O703,"")</x:f>
      </x:c>
      <x:c r="K703" t="str">
        <x:f>IF(AND(A703&lt;&gt;"",COUNTIFS(C703,"&gt;=36526",C703,TODAY())+COUNTIFS(D703,"&gt;=36526",D703,TODAY())+COUNTIFS(E703,"&gt;=36526",E703,TODAY())+COUNTIFS(F703,"&gt;=36526",F703,TODAY())&gt;0),P703,"")</x:f>
      </x:c>
      <x:c r="L703" t="str">
        <x:f>IF(AND(A703&lt;&gt;"",COUNTIFS(C703,"&gt;"&amp;TODAY(),C703,"&lt;="&amp;TODAY()+30)+COUNTIFS(D703,"&gt;"&amp;TODAY(),D703,"&lt;="&amp;TODAY()+30)+COUNTIFS(E703,"&gt;"&amp;TODAY(),E703,"&lt;="&amp;TODAY()+30)+COUNTIFS(F703,"&gt;"&amp;TODAY(),F703,"&lt;="&amp;TODAY()+30)&gt;0),Q703,"")</x:f>
      </x:c>
      <x:c r="M703" t="str">
        <x:f>IF(OR(LEFT(H703,15)="Missing dates; ",LEFT(H703,16)="Add N/A reason; ",H703="Add dates",H703="Add registration",H703="Check date format"),R703,"")</x:f>
      </x:c>
      <x:c r="N703" t="str">
        <x:f>IF(COUNTIFS(C703:F703,"Reviewed N/A")&gt;0,S703,"")</x:f>
      </x:c>
      <x:c r="O703" t="n">
        <x:f>O702+IF(AND(A703&lt;&gt;"",COUNTIFS(C703,"&gt;=36526",C703,"&lt;"&amp;TODAY())+COUNTIFS(D703,"&gt;=36526",D703,"&lt;"&amp;TODAY())+COUNTIFS(E703,"&gt;=36526",E703,"&lt;"&amp;TODAY())+COUNTIFS(F703,"&gt;=36526",F703,"&lt;"&amp;TODAY())&gt;0),1,0)</x:f>
        <x:v>0</x:v>
      </x:c>
      <x:c r="P703" t="n">
        <x:f>P702+IF(AND(A703&lt;&gt;"",COUNTIFS(C703,"&gt;=36526",C703,TODAY())+COUNTIFS(D703,"&gt;=36526",D703,TODAY())+COUNTIFS(E703,"&gt;=36526",E703,TODAY())+COUNTIFS(F703,"&gt;=36526",F703,TODAY())&gt;0),1,0)</x:f>
        <x:v>0</x:v>
      </x:c>
      <x:c r="Q703" t="n">
        <x:f>Q702+IF(AND(A703&lt;&gt;"",COUNTIFS(C703,"&gt;"&amp;TODAY(),C703,"&lt;="&amp;TODAY()+30)+COUNTIFS(D703,"&gt;"&amp;TODAY(),D703,"&lt;="&amp;TODAY()+30)+COUNTIFS(E703,"&gt;"&amp;TODAY(),E703,"&lt;="&amp;TODAY()+30)+COUNTIFS(F703,"&gt;"&amp;TODAY(),F703,"&lt;="&amp;TODAY()+30)&gt;0),1,0)</x:f>
        <x:v>0</x:v>
      </x:c>
      <x:c r="R703" t="n">
        <x:f>R702+IF(OR(LEFT(H703,15)="Missing dates; ",LEFT(H703,16)="Add N/A reason; ",H703="Add dates",H703="Add registration",H703="Check date format"),1,0)</x:f>
        <x:v>0</x:v>
      </x:c>
      <x:c r="S703" t="n">
        <x:f>S702+IF(COUNTIFS(C703:F703,"Reviewed N/A")&gt;0,1,0)</x:f>
        <x:v>0</x:v>
      </x:c>
    </x:row>
    <x:row r="704" ht="48" customHeight="1">
      <x:c r="A704" s="52"/>
      <x:c r="B704" s="52"/>
      <x:c r="C704" s="53"/>
      <x:c r="D704" s="53"/>
      <x:c r="E704" s="53"/>
      <x:c r="F704" s="53"/>
      <x:c r="G704" s="52"/>
      <x:c r="H704" s="21" t="str">
        <x:f>IF(COUNTA(A704:G704,I704)=0,"",IF(A704="","Add registration",IF(OR(COUNTA(C704:F704)&gt;COUNT(C704:F704)+COUNTIFS(C704:F704,"Reviewed N/A"),AND(COUNT(C704:F704)&gt;0,OR(MIN(C704:F704)&lt;36526,MAX(C704:F704)&gt;109574))),"Check date format",IF(AND(COUNTIFS(C704:F704,"Reviewed N/A")&gt;0,I704=""),"Add N/A reason; ","")&amp;IF(COUNT(C704:F704)=0,IF(COUNTIFS(C704:F704,"Reviewed N/A")=4,"No applicable dates recorded","Add dates"),IF(COUNT(C704:F704)+COUNTIFS(C704:F704,"Reviewed N/A")&lt;4,"Missing dates; ","")&amp;IF(MIN(C704:F704)&lt;TODAY(),"Overdue: ",IF(MIN(C704:F704)=TODAY(),"Due today: ",IF(MIN(C704:F704)&lt;=TODAY()+30,"Due within 30 days: ","Next: ")))&amp;INDEX($C$8:$F$8,1,MATCH(MIN(C704:F704),C704:F704,0))&amp;" "&amp;TEXT(MIN(C704:F704),"dd mmm yyyy")))))</x:f>
      </x:c>
      <x:c r="I704" s="52"/>
      <x:c r="J704" t="str">
        <x:f>IF(AND(A704&lt;&gt;"",COUNTIFS(C704,"&gt;=36526",C704,"&lt;"&amp;TODAY())+COUNTIFS(D704,"&gt;=36526",D704,"&lt;"&amp;TODAY())+COUNTIFS(E704,"&gt;=36526",E704,"&lt;"&amp;TODAY())+COUNTIFS(F704,"&gt;=36526",F704,"&lt;"&amp;TODAY())&gt;0),O704,"")</x:f>
      </x:c>
      <x:c r="K704" t="str">
        <x:f>IF(AND(A704&lt;&gt;"",COUNTIFS(C704,"&gt;=36526",C704,TODAY())+COUNTIFS(D704,"&gt;=36526",D704,TODAY())+COUNTIFS(E704,"&gt;=36526",E704,TODAY())+COUNTIFS(F704,"&gt;=36526",F704,TODAY())&gt;0),P704,"")</x:f>
      </x:c>
      <x:c r="L704" t="str">
        <x:f>IF(AND(A704&lt;&gt;"",COUNTIFS(C704,"&gt;"&amp;TODAY(),C704,"&lt;="&amp;TODAY()+30)+COUNTIFS(D704,"&gt;"&amp;TODAY(),D704,"&lt;="&amp;TODAY()+30)+COUNTIFS(E704,"&gt;"&amp;TODAY(),E704,"&lt;="&amp;TODAY()+30)+COUNTIFS(F704,"&gt;"&amp;TODAY(),F704,"&lt;="&amp;TODAY()+30)&gt;0),Q704,"")</x:f>
      </x:c>
      <x:c r="M704" t="str">
        <x:f>IF(OR(LEFT(H704,15)="Missing dates; ",LEFT(H704,16)="Add N/A reason; ",H704="Add dates",H704="Add registration",H704="Check date format"),R704,"")</x:f>
      </x:c>
      <x:c r="N704" t="str">
        <x:f>IF(COUNTIFS(C704:F704,"Reviewed N/A")&gt;0,S704,"")</x:f>
      </x:c>
      <x:c r="O704" t="n">
        <x:f>O703+IF(AND(A704&lt;&gt;"",COUNTIFS(C704,"&gt;=36526",C704,"&lt;"&amp;TODAY())+COUNTIFS(D704,"&gt;=36526",D704,"&lt;"&amp;TODAY())+COUNTIFS(E704,"&gt;=36526",E704,"&lt;"&amp;TODAY())+COUNTIFS(F704,"&gt;=36526",F704,"&lt;"&amp;TODAY())&gt;0),1,0)</x:f>
        <x:v>0</x:v>
      </x:c>
      <x:c r="P704" t="n">
        <x:f>P703+IF(AND(A704&lt;&gt;"",COUNTIFS(C704,"&gt;=36526",C704,TODAY())+COUNTIFS(D704,"&gt;=36526",D704,TODAY())+COUNTIFS(E704,"&gt;=36526",E704,TODAY())+COUNTIFS(F704,"&gt;=36526",F704,TODAY())&gt;0),1,0)</x:f>
        <x:v>0</x:v>
      </x:c>
      <x:c r="Q704" t="n">
        <x:f>Q703+IF(AND(A704&lt;&gt;"",COUNTIFS(C704,"&gt;"&amp;TODAY(),C704,"&lt;="&amp;TODAY()+30)+COUNTIFS(D704,"&gt;"&amp;TODAY(),D704,"&lt;="&amp;TODAY()+30)+COUNTIFS(E704,"&gt;"&amp;TODAY(),E704,"&lt;="&amp;TODAY()+30)+COUNTIFS(F704,"&gt;"&amp;TODAY(),F704,"&lt;="&amp;TODAY()+30)&gt;0),1,0)</x:f>
        <x:v>0</x:v>
      </x:c>
      <x:c r="R704" t="n">
        <x:f>R703+IF(OR(LEFT(H704,15)="Missing dates; ",LEFT(H704,16)="Add N/A reason; ",H704="Add dates",H704="Add registration",H704="Check date format"),1,0)</x:f>
        <x:v>0</x:v>
      </x:c>
      <x:c r="S704" t="n">
        <x:f>S703+IF(COUNTIFS(C704:F704,"Reviewed N/A")&gt;0,1,0)</x:f>
        <x:v>0</x:v>
      </x:c>
    </x:row>
    <x:row r="705" ht="48" customHeight="1">
      <x:c r="A705" s="52"/>
      <x:c r="B705" s="52"/>
      <x:c r="C705" s="53"/>
      <x:c r="D705" s="53"/>
      <x:c r="E705" s="53"/>
      <x:c r="F705" s="53"/>
      <x:c r="G705" s="52"/>
      <x:c r="H705" s="21" t="str">
        <x:f>IF(COUNTA(A705:G705,I705)=0,"",IF(A705="","Add registration",IF(OR(COUNTA(C705:F705)&gt;COUNT(C705:F705)+COUNTIFS(C705:F705,"Reviewed N/A"),AND(COUNT(C705:F705)&gt;0,OR(MIN(C705:F705)&lt;36526,MAX(C705:F705)&gt;109574))),"Check date format",IF(AND(COUNTIFS(C705:F705,"Reviewed N/A")&gt;0,I705=""),"Add N/A reason; ","")&amp;IF(COUNT(C705:F705)=0,IF(COUNTIFS(C705:F705,"Reviewed N/A")=4,"No applicable dates recorded","Add dates"),IF(COUNT(C705:F705)+COUNTIFS(C705:F705,"Reviewed N/A")&lt;4,"Missing dates; ","")&amp;IF(MIN(C705:F705)&lt;TODAY(),"Overdue: ",IF(MIN(C705:F705)=TODAY(),"Due today: ",IF(MIN(C705:F705)&lt;=TODAY()+30,"Due within 30 days: ","Next: ")))&amp;INDEX($C$8:$F$8,1,MATCH(MIN(C705:F705),C705:F705,0))&amp;" "&amp;TEXT(MIN(C705:F705),"dd mmm yyyy")))))</x:f>
      </x:c>
      <x:c r="I705" s="52"/>
      <x:c r="J705" t="str">
        <x:f>IF(AND(A705&lt;&gt;"",COUNTIFS(C705,"&gt;=36526",C705,"&lt;"&amp;TODAY())+COUNTIFS(D705,"&gt;=36526",D705,"&lt;"&amp;TODAY())+COUNTIFS(E705,"&gt;=36526",E705,"&lt;"&amp;TODAY())+COUNTIFS(F705,"&gt;=36526",F705,"&lt;"&amp;TODAY())&gt;0),O705,"")</x:f>
      </x:c>
      <x:c r="K705" t="str">
        <x:f>IF(AND(A705&lt;&gt;"",COUNTIFS(C705,"&gt;=36526",C705,TODAY())+COUNTIFS(D705,"&gt;=36526",D705,TODAY())+COUNTIFS(E705,"&gt;=36526",E705,TODAY())+COUNTIFS(F705,"&gt;=36526",F705,TODAY())&gt;0),P705,"")</x:f>
      </x:c>
      <x:c r="L705" t="str">
        <x:f>IF(AND(A705&lt;&gt;"",COUNTIFS(C705,"&gt;"&amp;TODAY(),C705,"&lt;="&amp;TODAY()+30)+COUNTIFS(D705,"&gt;"&amp;TODAY(),D705,"&lt;="&amp;TODAY()+30)+COUNTIFS(E705,"&gt;"&amp;TODAY(),E705,"&lt;="&amp;TODAY()+30)+COUNTIFS(F705,"&gt;"&amp;TODAY(),F705,"&lt;="&amp;TODAY()+30)&gt;0),Q705,"")</x:f>
      </x:c>
      <x:c r="M705" t="str">
        <x:f>IF(OR(LEFT(H705,15)="Missing dates; ",LEFT(H705,16)="Add N/A reason; ",H705="Add dates",H705="Add registration",H705="Check date format"),R705,"")</x:f>
      </x:c>
      <x:c r="N705" t="str">
        <x:f>IF(COUNTIFS(C705:F705,"Reviewed N/A")&gt;0,S705,"")</x:f>
      </x:c>
      <x:c r="O705" t="n">
        <x:f>O704+IF(AND(A705&lt;&gt;"",COUNTIFS(C705,"&gt;=36526",C705,"&lt;"&amp;TODAY())+COUNTIFS(D705,"&gt;=36526",D705,"&lt;"&amp;TODAY())+COUNTIFS(E705,"&gt;=36526",E705,"&lt;"&amp;TODAY())+COUNTIFS(F705,"&gt;=36526",F705,"&lt;"&amp;TODAY())&gt;0),1,0)</x:f>
        <x:v>0</x:v>
      </x:c>
      <x:c r="P705" t="n">
        <x:f>P704+IF(AND(A705&lt;&gt;"",COUNTIFS(C705,"&gt;=36526",C705,TODAY())+COUNTIFS(D705,"&gt;=36526",D705,TODAY())+COUNTIFS(E705,"&gt;=36526",E705,TODAY())+COUNTIFS(F705,"&gt;=36526",F705,TODAY())&gt;0),1,0)</x:f>
        <x:v>0</x:v>
      </x:c>
      <x:c r="Q705" t="n">
        <x:f>Q704+IF(AND(A705&lt;&gt;"",COUNTIFS(C705,"&gt;"&amp;TODAY(),C705,"&lt;="&amp;TODAY()+30)+COUNTIFS(D705,"&gt;"&amp;TODAY(),D705,"&lt;="&amp;TODAY()+30)+COUNTIFS(E705,"&gt;"&amp;TODAY(),E705,"&lt;="&amp;TODAY()+30)+COUNTIFS(F705,"&gt;"&amp;TODAY(),F705,"&lt;="&amp;TODAY()+30)&gt;0),1,0)</x:f>
        <x:v>0</x:v>
      </x:c>
      <x:c r="R705" t="n">
        <x:f>R704+IF(OR(LEFT(H705,15)="Missing dates; ",LEFT(H705,16)="Add N/A reason; ",H705="Add dates",H705="Add registration",H705="Check date format"),1,0)</x:f>
        <x:v>0</x:v>
      </x:c>
      <x:c r="S705" t="n">
        <x:f>S704+IF(COUNTIFS(C705:F705,"Reviewed N/A")&gt;0,1,0)</x:f>
        <x:v>0</x:v>
      </x:c>
    </x:row>
    <x:row r="706" ht="48" customHeight="1">
      <x:c r="A706" s="52"/>
      <x:c r="B706" s="52"/>
      <x:c r="C706" s="53"/>
      <x:c r="D706" s="53"/>
      <x:c r="E706" s="53"/>
      <x:c r="F706" s="53"/>
      <x:c r="G706" s="52"/>
      <x:c r="H706" s="21" t="str">
        <x:f>IF(COUNTA(A706:G706,I706)=0,"",IF(A706="","Add registration",IF(OR(COUNTA(C706:F706)&gt;COUNT(C706:F706)+COUNTIFS(C706:F706,"Reviewed N/A"),AND(COUNT(C706:F706)&gt;0,OR(MIN(C706:F706)&lt;36526,MAX(C706:F706)&gt;109574))),"Check date format",IF(AND(COUNTIFS(C706:F706,"Reviewed N/A")&gt;0,I706=""),"Add N/A reason; ","")&amp;IF(COUNT(C706:F706)=0,IF(COUNTIFS(C706:F706,"Reviewed N/A")=4,"No applicable dates recorded","Add dates"),IF(COUNT(C706:F706)+COUNTIFS(C706:F706,"Reviewed N/A")&lt;4,"Missing dates; ","")&amp;IF(MIN(C706:F706)&lt;TODAY(),"Overdue: ",IF(MIN(C706:F706)=TODAY(),"Due today: ",IF(MIN(C706:F706)&lt;=TODAY()+30,"Due within 30 days: ","Next: ")))&amp;INDEX($C$8:$F$8,1,MATCH(MIN(C706:F706),C706:F706,0))&amp;" "&amp;TEXT(MIN(C706:F706),"dd mmm yyyy")))))</x:f>
      </x:c>
      <x:c r="I706" s="52"/>
      <x:c r="J706" t="str">
        <x:f>IF(AND(A706&lt;&gt;"",COUNTIFS(C706,"&gt;=36526",C706,"&lt;"&amp;TODAY())+COUNTIFS(D706,"&gt;=36526",D706,"&lt;"&amp;TODAY())+COUNTIFS(E706,"&gt;=36526",E706,"&lt;"&amp;TODAY())+COUNTIFS(F706,"&gt;=36526",F706,"&lt;"&amp;TODAY())&gt;0),O706,"")</x:f>
      </x:c>
      <x:c r="K706" t="str">
        <x:f>IF(AND(A706&lt;&gt;"",COUNTIFS(C706,"&gt;=36526",C706,TODAY())+COUNTIFS(D706,"&gt;=36526",D706,TODAY())+COUNTIFS(E706,"&gt;=36526",E706,TODAY())+COUNTIFS(F706,"&gt;=36526",F706,TODAY())&gt;0),P706,"")</x:f>
      </x:c>
      <x:c r="L706" t="str">
        <x:f>IF(AND(A706&lt;&gt;"",COUNTIFS(C706,"&gt;"&amp;TODAY(),C706,"&lt;="&amp;TODAY()+30)+COUNTIFS(D706,"&gt;"&amp;TODAY(),D706,"&lt;="&amp;TODAY()+30)+COUNTIFS(E706,"&gt;"&amp;TODAY(),E706,"&lt;="&amp;TODAY()+30)+COUNTIFS(F706,"&gt;"&amp;TODAY(),F706,"&lt;="&amp;TODAY()+30)&gt;0),Q706,"")</x:f>
      </x:c>
      <x:c r="M706" t="str">
        <x:f>IF(OR(LEFT(H706,15)="Missing dates; ",LEFT(H706,16)="Add N/A reason; ",H706="Add dates",H706="Add registration",H706="Check date format"),R706,"")</x:f>
      </x:c>
      <x:c r="N706" t="str">
        <x:f>IF(COUNTIFS(C706:F706,"Reviewed N/A")&gt;0,S706,"")</x:f>
      </x:c>
      <x:c r="O706" t="n">
        <x:f>O705+IF(AND(A706&lt;&gt;"",COUNTIFS(C706,"&gt;=36526",C706,"&lt;"&amp;TODAY())+COUNTIFS(D706,"&gt;=36526",D706,"&lt;"&amp;TODAY())+COUNTIFS(E706,"&gt;=36526",E706,"&lt;"&amp;TODAY())+COUNTIFS(F706,"&gt;=36526",F706,"&lt;"&amp;TODAY())&gt;0),1,0)</x:f>
        <x:v>0</x:v>
      </x:c>
      <x:c r="P706" t="n">
        <x:f>P705+IF(AND(A706&lt;&gt;"",COUNTIFS(C706,"&gt;=36526",C706,TODAY())+COUNTIFS(D706,"&gt;=36526",D706,TODAY())+COUNTIFS(E706,"&gt;=36526",E706,TODAY())+COUNTIFS(F706,"&gt;=36526",F706,TODAY())&gt;0),1,0)</x:f>
        <x:v>0</x:v>
      </x:c>
      <x:c r="Q706" t="n">
        <x:f>Q705+IF(AND(A706&lt;&gt;"",COUNTIFS(C706,"&gt;"&amp;TODAY(),C706,"&lt;="&amp;TODAY()+30)+COUNTIFS(D706,"&gt;"&amp;TODAY(),D706,"&lt;="&amp;TODAY()+30)+COUNTIFS(E706,"&gt;"&amp;TODAY(),E706,"&lt;="&amp;TODAY()+30)+COUNTIFS(F706,"&gt;"&amp;TODAY(),F706,"&lt;="&amp;TODAY()+30)&gt;0),1,0)</x:f>
        <x:v>0</x:v>
      </x:c>
      <x:c r="R706" t="n">
        <x:f>R705+IF(OR(LEFT(H706,15)="Missing dates; ",LEFT(H706,16)="Add N/A reason; ",H706="Add dates",H706="Add registration",H706="Check date format"),1,0)</x:f>
        <x:v>0</x:v>
      </x:c>
      <x:c r="S706" t="n">
        <x:f>S705+IF(COUNTIFS(C706:F706,"Reviewed N/A")&gt;0,1,0)</x:f>
        <x:v>0</x:v>
      </x:c>
    </x:row>
    <x:row r="707" ht="48" customHeight="1">
      <x:c r="A707" s="52"/>
      <x:c r="B707" s="52"/>
      <x:c r="C707" s="53"/>
      <x:c r="D707" s="53"/>
      <x:c r="E707" s="53"/>
      <x:c r="F707" s="53"/>
      <x:c r="G707" s="52"/>
      <x:c r="H707" s="21" t="str">
        <x:f>IF(COUNTA(A707:G707,I707)=0,"",IF(A707="","Add registration",IF(OR(COUNTA(C707:F707)&gt;COUNT(C707:F707)+COUNTIFS(C707:F707,"Reviewed N/A"),AND(COUNT(C707:F707)&gt;0,OR(MIN(C707:F707)&lt;36526,MAX(C707:F707)&gt;109574))),"Check date format",IF(AND(COUNTIFS(C707:F707,"Reviewed N/A")&gt;0,I707=""),"Add N/A reason; ","")&amp;IF(COUNT(C707:F707)=0,IF(COUNTIFS(C707:F707,"Reviewed N/A")=4,"No applicable dates recorded","Add dates"),IF(COUNT(C707:F707)+COUNTIFS(C707:F707,"Reviewed N/A")&lt;4,"Missing dates; ","")&amp;IF(MIN(C707:F707)&lt;TODAY(),"Overdue: ",IF(MIN(C707:F707)=TODAY(),"Due today: ",IF(MIN(C707:F707)&lt;=TODAY()+30,"Due within 30 days: ","Next: ")))&amp;INDEX($C$8:$F$8,1,MATCH(MIN(C707:F707),C707:F707,0))&amp;" "&amp;TEXT(MIN(C707:F707),"dd mmm yyyy")))))</x:f>
      </x:c>
      <x:c r="I707" s="52"/>
      <x:c r="J707" t="str">
        <x:f>IF(AND(A707&lt;&gt;"",COUNTIFS(C707,"&gt;=36526",C707,"&lt;"&amp;TODAY())+COUNTIFS(D707,"&gt;=36526",D707,"&lt;"&amp;TODAY())+COUNTIFS(E707,"&gt;=36526",E707,"&lt;"&amp;TODAY())+COUNTIFS(F707,"&gt;=36526",F707,"&lt;"&amp;TODAY())&gt;0),O707,"")</x:f>
      </x:c>
      <x:c r="K707" t="str">
        <x:f>IF(AND(A707&lt;&gt;"",COUNTIFS(C707,"&gt;=36526",C707,TODAY())+COUNTIFS(D707,"&gt;=36526",D707,TODAY())+COUNTIFS(E707,"&gt;=36526",E707,TODAY())+COUNTIFS(F707,"&gt;=36526",F707,TODAY())&gt;0),P707,"")</x:f>
      </x:c>
      <x:c r="L707" t="str">
        <x:f>IF(AND(A707&lt;&gt;"",COUNTIFS(C707,"&gt;"&amp;TODAY(),C707,"&lt;="&amp;TODAY()+30)+COUNTIFS(D707,"&gt;"&amp;TODAY(),D707,"&lt;="&amp;TODAY()+30)+COUNTIFS(E707,"&gt;"&amp;TODAY(),E707,"&lt;="&amp;TODAY()+30)+COUNTIFS(F707,"&gt;"&amp;TODAY(),F707,"&lt;="&amp;TODAY()+30)&gt;0),Q707,"")</x:f>
      </x:c>
      <x:c r="M707" t="str">
        <x:f>IF(OR(LEFT(H707,15)="Missing dates; ",LEFT(H707,16)="Add N/A reason; ",H707="Add dates",H707="Add registration",H707="Check date format"),R707,"")</x:f>
      </x:c>
      <x:c r="N707" t="str">
        <x:f>IF(COUNTIFS(C707:F707,"Reviewed N/A")&gt;0,S707,"")</x:f>
      </x:c>
      <x:c r="O707" t="n">
        <x:f>O706+IF(AND(A707&lt;&gt;"",COUNTIFS(C707,"&gt;=36526",C707,"&lt;"&amp;TODAY())+COUNTIFS(D707,"&gt;=36526",D707,"&lt;"&amp;TODAY())+COUNTIFS(E707,"&gt;=36526",E707,"&lt;"&amp;TODAY())+COUNTIFS(F707,"&gt;=36526",F707,"&lt;"&amp;TODAY())&gt;0),1,0)</x:f>
        <x:v>0</x:v>
      </x:c>
      <x:c r="P707" t="n">
        <x:f>P706+IF(AND(A707&lt;&gt;"",COUNTIFS(C707,"&gt;=36526",C707,TODAY())+COUNTIFS(D707,"&gt;=36526",D707,TODAY())+COUNTIFS(E707,"&gt;=36526",E707,TODAY())+COUNTIFS(F707,"&gt;=36526",F707,TODAY())&gt;0),1,0)</x:f>
        <x:v>0</x:v>
      </x:c>
      <x:c r="Q707" t="n">
        <x:f>Q706+IF(AND(A707&lt;&gt;"",COUNTIFS(C707,"&gt;"&amp;TODAY(),C707,"&lt;="&amp;TODAY()+30)+COUNTIFS(D707,"&gt;"&amp;TODAY(),D707,"&lt;="&amp;TODAY()+30)+COUNTIFS(E707,"&gt;"&amp;TODAY(),E707,"&lt;="&amp;TODAY()+30)+COUNTIFS(F707,"&gt;"&amp;TODAY(),F707,"&lt;="&amp;TODAY()+30)&gt;0),1,0)</x:f>
        <x:v>0</x:v>
      </x:c>
      <x:c r="R707" t="n">
        <x:f>R706+IF(OR(LEFT(H707,15)="Missing dates; ",LEFT(H707,16)="Add N/A reason; ",H707="Add dates",H707="Add registration",H707="Check date format"),1,0)</x:f>
        <x:v>0</x:v>
      </x:c>
      <x:c r="S707" t="n">
        <x:f>S706+IF(COUNTIFS(C707:F707,"Reviewed N/A")&gt;0,1,0)</x:f>
        <x:v>0</x:v>
      </x:c>
    </x:row>
    <x:row r="708" ht="48" customHeight="1">
      <x:c r="A708" s="52"/>
      <x:c r="B708" s="52"/>
      <x:c r="C708" s="53"/>
      <x:c r="D708" s="53"/>
      <x:c r="E708" s="53"/>
      <x:c r="F708" s="53"/>
      <x:c r="G708" s="52"/>
      <x:c r="H708" s="21" t="str">
        <x:f>IF(COUNTA(A708:G708,I708)=0,"",IF(A708="","Add registration",IF(OR(COUNTA(C708:F708)&gt;COUNT(C708:F708)+COUNTIFS(C708:F708,"Reviewed N/A"),AND(COUNT(C708:F708)&gt;0,OR(MIN(C708:F708)&lt;36526,MAX(C708:F708)&gt;109574))),"Check date format",IF(AND(COUNTIFS(C708:F708,"Reviewed N/A")&gt;0,I708=""),"Add N/A reason; ","")&amp;IF(COUNT(C708:F708)=0,IF(COUNTIFS(C708:F708,"Reviewed N/A")=4,"No applicable dates recorded","Add dates"),IF(COUNT(C708:F708)+COUNTIFS(C708:F708,"Reviewed N/A")&lt;4,"Missing dates; ","")&amp;IF(MIN(C708:F708)&lt;TODAY(),"Overdue: ",IF(MIN(C708:F708)=TODAY(),"Due today: ",IF(MIN(C708:F708)&lt;=TODAY()+30,"Due within 30 days: ","Next: ")))&amp;INDEX($C$8:$F$8,1,MATCH(MIN(C708:F708),C708:F708,0))&amp;" "&amp;TEXT(MIN(C708:F708),"dd mmm yyyy")))))</x:f>
      </x:c>
      <x:c r="I708" s="52"/>
      <x:c r="J708" t="str">
        <x:f>IF(AND(A708&lt;&gt;"",COUNTIFS(C708,"&gt;=36526",C708,"&lt;"&amp;TODAY())+COUNTIFS(D708,"&gt;=36526",D708,"&lt;"&amp;TODAY())+COUNTIFS(E708,"&gt;=36526",E708,"&lt;"&amp;TODAY())+COUNTIFS(F708,"&gt;=36526",F708,"&lt;"&amp;TODAY())&gt;0),O708,"")</x:f>
      </x:c>
      <x:c r="K708" t="str">
        <x:f>IF(AND(A708&lt;&gt;"",COUNTIFS(C708,"&gt;=36526",C708,TODAY())+COUNTIFS(D708,"&gt;=36526",D708,TODAY())+COUNTIFS(E708,"&gt;=36526",E708,TODAY())+COUNTIFS(F708,"&gt;=36526",F708,TODAY())&gt;0),P708,"")</x:f>
      </x:c>
      <x:c r="L708" t="str">
        <x:f>IF(AND(A708&lt;&gt;"",COUNTIFS(C708,"&gt;"&amp;TODAY(),C708,"&lt;="&amp;TODAY()+30)+COUNTIFS(D708,"&gt;"&amp;TODAY(),D708,"&lt;="&amp;TODAY()+30)+COUNTIFS(E708,"&gt;"&amp;TODAY(),E708,"&lt;="&amp;TODAY()+30)+COUNTIFS(F708,"&gt;"&amp;TODAY(),F708,"&lt;="&amp;TODAY()+30)&gt;0),Q708,"")</x:f>
      </x:c>
      <x:c r="M708" t="str">
        <x:f>IF(OR(LEFT(H708,15)="Missing dates; ",LEFT(H708,16)="Add N/A reason; ",H708="Add dates",H708="Add registration",H708="Check date format"),R708,"")</x:f>
      </x:c>
      <x:c r="N708" t="str">
        <x:f>IF(COUNTIFS(C708:F708,"Reviewed N/A")&gt;0,S708,"")</x:f>
      </x:c>
      <x:c r="O708" t="n">
        <x:f>O707+IF(AND(A708&lt;&gt;"",COUNTIFS(C708,"&gt;=36526",C708,"&lt;"&amp;TODAY())+COUNTIFS(D708,"&gt;=36526",D708,"&lt;"&amp;TODAY())+COUNTIFS(E708,"&gt;=36526",E708,"&lt;"&amp;TODAY())+COUNTIFS(F708,"&gt;=36526",F708,"&lt;"&amp;TODAY())&gt;0),1,0)</x:f>
        <x:v>0</x:v>
      </x:c>
      <x:c r="P708" t="n">
        <x:f>P707+IF(AND(A708&lt;&gt;"",COUNTIFS(C708,"&gt;=36526",C708,TODAY())+COUNTIFS(D708,"&gt;=36526",D708,TODAY())+COUNTIFS(E708,"&gt;=36526",E708,TODAY())+COUNTIFS(F708,"&gt;=36526",F708,TODAY())&gt;0),1,0)</x:f>
        <x:v>0</x:v>
      </x:c>
      <x:c r="Q708" t="n">
        <x:f>Q707+IF(AND(A708&lt;&gt;"",COUNTIFS(C708,"&gt;"&amp;TODAY(),C708,"&lt;="&amp;TODAY()+30)+COUNTIFS(D708,"&gt;"&amp;TODAY(),D708,"&lt;="&amp;TODAY()+30)+COUNTIFS(E708,"&gt;"&amp;TODAY(),E708,"&lt;="&amp;TODAY()+30)+COUNTIFS(F708,"&gt;"&amp;TODAY(),F708,"&lt;="&amp;TODAY()+30)&gt;0),1,0)</x:f>
        <x:v>0</x:v>
      </x:c>
      <x:c r="R708" t="n">
        <x:f>R707+IF(OR(LEFT(H708,15)="Missing dates; ",LEFT(H708,16)="Add N/A reason; ",H708="Add dates",H708="Add registration",H708="Check date format"),1,0)</x:f>
        <x:v>0</x:v>
      </x:c>
      <x:c r="S708" t="n">
        <x:f>S707+IF(COUNTIFS(C708:F708,"Reviewed N/A")&gt;0,1,0)</x:f>
        <x:v>0</x:v>
      </x:c>
    </x:row>
    <x:row r="709" ht="48" customHeight="1">
      <x:c r="A709" s="52"/>
      <x:c r="B709" s="52"/>
      <x:c r="C709" s="53"/>
      <x:c r="D709" s="53"/>
      <x:c r="E709" s="53"/>
      <x:c r="F709" s="53"/>
      <x:c r="G709" s="52"/>
      <x:c r="H709" s="21" t="str">
        <x:f>IF(COUNTA(A709:G709,I709)=0,"",IF(A709="","Add registration",IF(OR(COUNTA(C709:F709)&gt;COUNT(C709:F709)+COUNTIFS(C709:F709,"Reviewed N/A"),AND(COUNT(C709:F709)&gt;0,OR(MIN(C709:F709)&lt;36526,MAX(C709:F709)&gt;109574))),"Check date format",IF(AND(COUNTIFS(C709:F709,"Reviewed N/A")&gt;0,I709=""),"Add N/A reason; ","")&amp;IF(COUNT(C709:F709)=0,IF(COUNTIFS(C709:F709,"Reviewed N/A")=4,"No applicable dates recorded","Add dates"),IF(COUNT(C709:F709)+COUNTIFS(C709:F709,"Reviewed N/A")&lt;4,"Missing dates; ","")&amp;IF(MIN(C709:F709)&lt;TODAY(),"Overdue: ",IF(MIN(C709:F709)=TODAY(),"Due today: ",IF(MIN(C709:F709)&lt;=TODAY()+30,"Due within 30 days: ","Next: ")))&amp;INDEX($C$8:$F$8,1,MATCH(MIN(C709:F709),C709:F709,0))&amp;" "&amp;TEXT(MIN(C709:F709),"dd mmm yyyy")))))</x:f>
      </x:c>
      <x:c r="I709" s="52"/>
      <x:c r="J709" t="str">
        <x:f>IF(AND(A709&lt;&gt;"",COUNTIFS(C709,"&gt;=36526",C709,"&lt;"&amp;TODAY())+COUNTIFS(D709,"&gt;=36526",D709,"&lt;"&amp;TODAY())+COUNTIFS(E709,"&gt;=36526",E709,"&lt;"&amp;TODAY())+COUNTIFS(F709,"&gt;=36526",F709,"&lt;"&amp;TODAY())&gt;0),O709,"")</x:f>
      </x:c>
      <x:c r="K709" t="str">
        <x:f>IF(AND(A709&lt;&gt;"",COUNTIFS(C709,"&gt;=36526",C709,TODAY())+COUNTIFS(D709,"&gt;=36526",D709,TODAY())+COUNTIFS(E709,"&gt;=36526",E709,TODAY())+COUNTIFS(F709,"&gt;=36526",F709,TODAY())&gt;0),P709,"")</x:f>
      </x:c>
      <x:c r="L709" t="str">
        <x:f>IF(AND(A709&lt;&gt;"",COUNTIFS(C709,"&gt;"&amp;TODAY(),C709,"&lt;="&amp;TODAY()+30)+COUNTIFS(D709,"&gt;"&amp;TODAY(),D709,"&lt;="&amp;TODAY()+30)+COUNTIFS(E709,"&gt;"&amp;TODAY(),E709,"&lt;="&amp;TODAY()+30)+COUNTIFS(F709,"&gt;"&amp;TODAY(),F709,"&lt;="&amp;TODAY()+30)&gt;0),Q709,"")</x:f>
      </x:c>
      <x:c r="M709" t="str">
        <x:f>IF(OR(LEFT(H709,15)="Missing dates; ",LEFT(H709,16)="Add N/A reason; ",H709="Add dates",H709="Add registration",H709="Check date format"),R709,"")</x:f>
      </x:c>
      <x:c r="N709" t="str">
        <x:f>IF(COUNTIFS(C709:F709,"Reviewed N/A")&gt;0,S709,"")</x:f>
      </x:c>
      <x:c r="O709" t="n">
        <x:f>O708+IF(AND(A709&lt;&gt;"",COUNTIFS(C709,"&gt;=36526",C709,"&lt;"&amp;TODAY())+COUNTIFS(D709,"&gt;=36526",D709,"&lt;"&amp;TODAY())+COUNTIFS(E709,"&gt;=36526",E709,"&lt;"&amp;TODAY())+COUNTIFS(F709,"&gt;=36526",F709,"&lt;"&amp;TODAY())&gt;0),1,0)</x:f>
        <x:v>0</x:v>
      </x:c>
      <x:c r="P709" t="n">
        <x:f>P708+IF(AND(A709&lt;&gt;"",COUNTIFS(C709,"&gt;=36526",C709,TODAY())+COUNTIFS(D709,"&gt;=36526",D709,TODAY())+COUNTIFS(E709,"&gt;=36526",E709,TODAY())+COUNTIFS(F709,"&gt;=36526",F709,TODAY())&gt;0),1,0)</x:f>
        <x:v>0</x:v>
      </x:c>
      <x:c r="Q709" t="n">
        <x:f>Q708+IF(AND(A709&lt;&gt;"",COUNTIFS(C709,"&gt;"&amp;TODAY(),C709,"&lt;="&amp;TODAY()+30)+COUNTIFS(D709,"&gt;"&amp;TODAY(),D709,"&lt;="&amp;TODAY()+30)+COUNTIFS(E709,"&gt;"&amp;TODAY(),E709,"&lt;="&amp;TODAY()+30)+COUNTIFS(F709,"&gt;"&amp;TODAY(),F709,"&lt;="&amp;TODAY()+30)&gt;0),1,0)</x:f>
        <x:v>0</x:v>
      </x:c>
      <x:c r="R709" t="n">
        <x:f>R708+IF(OR(LEFT(H709,15)="Missing dates; ",LEFT(H709,16)="Add N/A reason; ",H709="Add dates",H709="Add registration",H709="Check date format"),1,0)</x:f>
        <x:v>0</x:v>
      </x:c>
      <x:c r="S709" t="n">
        <x:f>S708+IF(COUNTIFS(C709:F709,"Reviewed N/A")&gt;0,1,0)</x:f>
        <x:v>0</x:v>
      </x:c>
    </x:row>
    <x:row r="710" ht="48" customHeight="1">
      <x:c r="A710" s="52"/>
      <x:c r="B710" s="52"/>
      <x:c r="C710" s="53"/>
      <x:c r="D710" s="53"/>
      <x:c r="E710" s="53"/>
      <x:c r="F710" s="53"/>
      <x:c r="G710" s="52"/>
      <x:c r="H710" s="21" t="str">
        <x:f>IF(COUNTA(A710:G710,I710)=0,"",IF(A710="","Add registration",IF(OR(COUNTA(C710:F710)&gt;COUNT(C710:F710)+COUNTIFS(C710:F710,"Reviewed N/A"),AND(COUNT(C710:F710)&gt;0,OR(MIN(C710:F710)&lt;36526,MAX(C710:F710)&gt;109574))),"Check date format",IF(AND(COUNTIFS(C710:F710,"Reviewed N/A")&gt;0,I710=""),"Add N/A reason; ","")&amp;IF(COUNT(C710:F710)=0,IF(COUNTIFS(C710:F710,"Reviewed N/A")=4,"No applicable dates recorded","Add dates"),IF(COUNT(C710:F710)+COUNTIFS(C710:F710,"Reviewed N/A")&lt;4,"Missing dates; ","")&amp;IF(MIN(C710:F710)&lt;TODAY(),"Overdue: ",IF(MIN(C710:F710)=TODAY(),"Due today: ",IF(MIN(C710:F710)&lt;=TODAY()+30,"Due within 30 days: ","Next: ")))&amp;INDEX($C$8:$F$8,1,MATCH(MIN(C710:F710),C710:F710,0))&amp;" "&amp;TEXT(MIN(C710:F710),"dd mmm yyyy")))))</x:f>
      </x:c>
      <x:c r="I710" s="52"/>
      <x:c r="J710" t="str">
        <x:f>IF(AND(A710&lt;&gt;"",COUNTIFS(C710,"&gt;=36526",C710,"&lt;"&amp;TODAY())+COUNTIFS(D710,"&gt;=36526",D710,"&lt;"&amp;TODAY())+COUNTIFS(E710,"&gt;=36526",E710,"&lt;"&amp;TODAY())+COUNTIFS(F710,"&gt;=36526",F710,"&lt;"&amp;TODAY())&gt;0),O710,"")</x:f>
      </x:c>
      <x:c r="K710" t="str">
        <x:f>IF(AND(A710&lt;&gt;"",COUNTIFS(C710,"&gt;=36526",C710,TODAY())+COUNTIFS(D710,"&gt;=36526",D710,TODAY())+COUNTIFS(E710,"&gt;=36526",E710,TODAY())+COUNTIFS(F710,"&gt;=36526",F710,TODAY())&gt;0),P710,"")</x:f>
      </x:c>
      <x:c r="L710" t="str">
        <x:f>IF(AND(A710&lt;&gt;"",COUNTIFS(C710,"&gt;"&amp;TODAY(),C710,"&lt;="&amp;TODAY()+30)+COUNTIFS(D710,"&gt;"&amp;TODAY(),D710,"&lt;="&amp;TODAY()+30)+COUNTIFS(E710,"&gt;"&amp;TODAY(),E710,"&lt;="&amp;TODAY()+30)+COUNTIFS(F710,"&gt;"&amp;TODAY(),F710,"&lt;="&amp;TODAY()+30)&gt;0),Q710,"")</x:f>
      </x:c>
      <x:c r="M710" t="str">
        <x:f>IF(OR(LEFT(H710,15)="Missing dates; ",LEFT(H710,16)="Add N/A reason; ",H710="Add dates",H710="Add registration",H710="Check date format"),R710,"")</x:f>
      </x:c>
      <x:c r="N710" t="str">
        <x:f>IF(COUNTIFS(C710:F710,"Reviewed N/A")&gt;0,S710,"")</x:f>
      </x:c>
      <x:c r="O710" t="n">
        <x:f>O709+IF(AND(A710&lt;&gt;"",COUNTIFS(C710,"&gt;=36526",C710,"&lt;"&amp;TODAY())+COUNTIFS(D710,"&gt;=36526",D710,"&lt;"&amp;TODAY())+COUNTIFS(E710,"&gt;=36526",E710,"&lt;"&amp;TODAY())+COUNTIFS(F710,"&gt;=36526",F710,"&lt;"&amp;TODAY())&gt;0),1,0)</x:f>
        <x:v>0</x:v>
      </x:c>
      <x:c r="P710" t="n">
        <x:f>P709+IF(AND(A710&lt;&gt;"",COUNTIFS(C710,"&gt;=36526",C710,TODAY())+COUNTIFS(D710,"&gt;=36526",D710,TODAY())+COUNTIFS(E710,"&gt;=36526",E710,TODAY())+COUNTIFS(F710,"&gt;=36526",F710,TODAY())&gt;0),1,0)</x:f>
        <x:v>0</x:v>
      </x:c>
      <x:c r="Q710" t="n">
        <x:f>Q709+IF(AND(A710&lt;&gt;"",COUNTIFS(C710,"&gt;"&amp;TODAY(),C710,"&lt;="&amp;TODAY()+30)+COUNTIFS(D710,"&gt;"&amp;TODAY(),D710,"&lt;="&amp;TODAY()+30)+COUNTIFS(E710,"&gt;"&amp;TODAY(),E710,"&lt;="&amp;TODAY()+30)+COUNTIFS(F710,"&gt;"&amp;TODAY(),F710,"&lt;="&amp;TODAY()+30)&gt;0),1,0)</x:f>
        <x:v>0</x:v>
      </x:c>
      <x:c r="R710" t="n">
        <x:f>R709+IF(OR(LEFT(H710,15)="Missing dates; ",LEFT(H710,16)="Add N/A reason; ",H710="Add dates",H710="Add registration",H710="Check date format"),1,0)</x:f>
        <x:v>0</x:v>
      </x:c>
      <x:c r="S710" t="n">
        <x:f>S709+IF(COUNTIFS(C710:F710,"Reviewed N/A")&gt;0,1,0)</x:f>
        <x:v>0</x:v>
      </x:c>
    </x:row>
    <x:row r="711" ht="48" customHeight="1">
      <x:c r="A711" s="52"/>
      <x:c r="B711" s="52"/>
      <x:c r="C711" s="53"/>
      <x:c r="D711" s="53"/>
      <x:c r="E711" s="53"/>
      <x:c r="F711" s="53"/>
      <x:c r="G711" s="52"/>
      <x:c r="H711" s="21" t="str">
        <x:f>IF(COUNTA(A711:G711,I711)=0,"",IF(A711="","Add registration",IF(OR(COUNTA(C711:F711)&gt;COUNT(C711:F711)+COUNTIFS(C711:F711,"Reviewed N/A"),AND(COUNT(C711:F711)&gt;0,OR(MIN(C711:F711)&lt;36526,MAX(C711:F711)&gt;109574))),"Check date format",IF(AND(COUNTIFS(C711:F711,"Reviewed N/A")&gt;0,I711=""),"Add N/A reason; ","")&amp;IF(COUNT(C711:F711)=0,IF(COUNTIFS(C711:F711,"Reviewed N/A")=4,"No applicable dates recorded","Add dates"),IF(COUNT(C711:F711)+COUNTIFS(C711:F711,"Reviewed N/A")&lt;4,"Missing dates; ","")&amp;IF(MIN(C711:F711)&lt;TODAY(),"Overdue: ",IF(MIN(C711:F711)=TODAY(),"Due today: ",IF(MIN(C711:F711)&lt;=TODAY()+30,"Due within 30 days: ","Next: ")))&amp;INDEX($C$8:$F$8,1,MATCH(MIN(C711:F711),C711:F711,0))&amp;" "&amp;TEXT(MIN(C711:F711),"dd mmm yyyy")))))</x:f>
      </x:c>
      <x:c r="I711" s="52"/>
      <x:c r="J711" t="str">
        <x:f>IF(AND(A711&lt;&gt;"",COUNTIFS(C711,"&gt;=36526",C711,"&lt;"&amp;TODAY())+COUNTIFS(D711,"&gt;=36526",D711,"&lt;"&amp;TODAY())+COUNTIFS(E711,"&gt;=36526",E711,"&lt;"&amp;TODAY())+COUNTIFS(F711,"&gt;=36526",F711,"&lt;"&amp;TODAY())&gt;0),O711,"")</x:f>
      </x:c>
      <x:c r="K711" t="str">
        <x:f>IF(AND(A711&lt;&gt;"",COUNTIFS(C711,"&gt;=36526",C711,TODAY())+COUNTIFS(D711,"&gt;=36526",D711,TODAY())+COUNTIFS(E711,"&gt;=36526",E711,TODAY())+COUNTIFS(F711,"&gt;=36526",F711,TODAY())&gt;0),P711,"")</x:f>
      </x:c>
      <x:c r="L711" t="str">
        <x:f>IF(AND(A711&lt;&gt;"",COUNTIFS(C711,"&gt;"&amp;TODAY(),C711,"&lt;="&amp;TODAY()+30)+COUNTIFS(D711,"&gt;"&amp;TODAY(),D711,"&lt;="&amp;TODAY()+30)+COUNTIFS(E711,"&gt;"&amp;TODAY(),E711,"&lt;="&amp;TODAY()+30)+COUNTIFS(F711,"&gt;"&amp;TODAY(),F711,"&lt;="&amp;TODAY()+30)&gt;0),Q711,"")</x:f>
      </x:c>
      <x:c r="M711" t="str">
        <x:f>IF(OR(LEFT(H711,15)="Missing dates; ",LEFT(H711,16)="Add N/A reason; ",H711="Add dates",H711="Add registration",H711="Check date format"),R711,"")</x:f>
      </x:c>
      <x:c r="N711" t="str">
        <x:f>IF(COUNTIFS(C711:F711,"Reviewed N/A")&gt;0,S711,"")</x:f>
      </x:c>
      <x:c r="O711" t="n">
        <x:f>O710+IF(AND(A711&lt;&gt;"",COUNTIFS(C711,"&gt;=36526",C711,"&lt;"&amp;TODAY())+COUNTIFS(D711,"&gt;=36526",D711,"&lt;"&amp;TODAY())+COUNTIFS(E711,"&gt;=36526",E711,"&lt;"&amp;TODAY())+COUNTIFS(F711,"&gt;=36526",F711,"&lt;"&amp;TODAY())&gt;0),1,0)</x:f>
        <x:v>0</x:v>
      </x:c>
      <x:c r="P711" t="n">
        <x:f>P710+IF(AND(A711&lt;&gt;"",COUNTIFS(C711,"&gt;=36526",C711,TODAY())+COUNTIFS(D711,"&gt;=36526",D711,TODAY())+COUNTIFS(E711,"&gt;=36526",E711,TODAY())+COUNTIFS(F711,"&gt;=36526",F711,TODAY())&gt;0),1,0)</x:f>
        <x:v>0</x:v>
      </x:c>
      <x:c r="Q711" t="n">
        <x:f>Q710+IF(AND(A711&lt;&gt;"",COUNTIFS(C711,"&gt;"&amp;TODAY(),C711,"&lt;="&amp;TODAY()+30)+COUNTIFS(D711,"&gt;"&amp;TODAY(),D711,"&lt;="&amp;TODAY()+30)+COUNTIFS(E711,"&gt;"&amp;TODAY(),E711,"&lt;="&amp;TODAY()+30)+COUNTIFS(F711,"&gt;"&amp;TODAY(),F711,"&lt;="&amp;TODAY()+30)&gt;0),1,0)</x:f>
        <x:v>0</x:v>
      </x:c>
      <x:c r="R711" t="n">
        <x:f>R710+IF(OR(LEFT(H711,15)="Missing dates; ",LEFT(H711,16)="Add N/A reason; ",H711="Add dates",H711="Add registration",H711="Check date format"),1,0)</x:f>
        <x:v>0</x:v>
      </x:c>
      <x:c r="S711" t="n">
        <x:f>S710+IF(COUNTIFS(C711:F711,"Reviewed N/A")&gt;0,1,0)</x:f>
        <x:v>0</x:v>
      </x:c>
    </x:row>
    <x:row r="712" ht="48" customHeight="1">
      <x:c r="A712" s="52"/>
      <x:c r="B712" s="52"/>
      <x:c r="C712" s="53"/>
      <x:c r="D712" s="53"/>
      <x:c r="E712" s="53"/>
      <x:c r="F712" s="53"/>
      <x:c r="G712" s="52"/>
      <x:c r="H712" s="21" t="str">
        <x:f>IF(COUNTA(A712:G712,I712)=0,"",IF(A712="","Add registration",IF(OR(COUNTA(C712:F712)&gt;COUNT(C712:F712)+COUNTIFS(C712:F712,"Reviewed N/A"),AND(COUNT(C712:F712)&gt;0,OR(MIN(C712:F712)&lt;36526,MAX(C712:F712)&gt;109574))),"Check date format",IF(AND(COUNTIFS(C712:F712,"Reviewed N/A")&gt;0,I712=""),"Add N/A reason; ","")&amp;IF(COUNT(C712:F712)=0,IF(COUNTIFS(C712:F712,"Reviewed N/A")=4,"No applicable dates recorded","Add dates"),IF(COUNT(C712:F712)+COUNTIFS(C712:F712,"Reviewed N/A")&lt;4,"Missing dates; ","")&amp;IF(MIN(C712:F712)&lt;TODAY(),"Overdue: ",IF(MIN(C712:F712)=TODAY(),"Due today: ",IF(MIN(C712:F712)&lt;=TODAY()+30,"Due within 30 days: ","Next: ")))&amp;INDEX($C$8:$F$8,1,MATCH(MIN(C712:F712),C712:F712,0))&amp;" "&amp;TEXT(MIN(C712:F712),"dd mmm yyyy")))))</x:f>
      </x:c>
      <x:c r="I712" s="52"/>
      <x:c r="J712" t="str">
        <x:f>IF(AND(A712&lt;&gt;"",COUNTIFS(C712,"&gt;=36526",C712,"&lt;"&amp;TODAY())+COUNTIFS(D712,"&gt;=36526",D712,"&lt;"&amp;TODAY())+COUNTIFS(E712,"&gt;=36526",E712,"&lt;"&amp;TODAY())+COUNTIFS(F712,"&gt;=36526",F712,"&lt;"&amp;TODAY())&gt;0),O712,"")</x:f>
      </x:c>
      <x:c r="K712" t="str">
        <x:f>IF(AND(A712&lt;&gt;"",COUNTIFS(C712,"&gt;=36526",C712,TODAY())+COUNTIFS(D712,"&gt;=36526",D712,TODAY())+COUNTIFS(E712,"&gt;=36526",E712,TODAY())+COUNTIFS(F712,"&gt;=36526",F712,TODAY())&gt;0),P712,"")</x:f>
      </x:c>
      <x:c r="L712" t="str">
        <x:f>IF(AND(A712&lt;&gt;"",COUNTIFS(C712,"&gt;"&amp;TODAY(),C712,"&lt;="&amp;TODAY()+30)+COUNTIFS(D712,"&gt;"&amp;TODAY(),D712,"&lt;="&amp;TODAY()+30)+COUNTIFS(E712,"&gt;"&amp;TODAY(),E712,"&lt;="&amp;TODAY()+30)+COUNTIFS(F712,"&gt;"&amp;TODAY(),F712,"&lt;="&amp;TODAY()+30)&gt;0),Q712,"")</x:f>
      </x:c>
      <x:c r="M712" t="str">
        <x:f>IF(OR(LEFT(H712,15)="Missing dates; ",LEFT(H712,16)="Add N/A reason; ",H712="Add dates",H712="Add registration",H712="Check date format"),R712,"")</x:f>
      </x:c>
      <x:c r="N712" t="str">
        <x:f>IF(COUNTIFS(C712:F712,"Reviewed N/A")&gt;0,S712,"")</x:f>
      </x:c>
      <x:c r="O712" t="n">
        <x:f>O711+IF(AND(A712&lt;&gt;"",COUNTIFS(C712,"&gt;=36526",C712,"&lt;"&amp;TODAY())+COUNTIFS(D712,"&gt;=36526",D712,"&lt;"&amp;TODAY())+COUNTIFS(E712,"&gt;=36526",E712,"&lt;"&amp;TODAY())+COUNTIFS(F712,"&gt;=36526",F712,"&lt;"&amp;TODAY())&gt;0),1,0)</x:f>
        <x:v>0</x:v>
      </x:c>
      <x:c r="P712" t="n">
        <x:f>P711+IF(AND(A712&lt;&gt;"",COUNTIFS(C712,"&gt;=36526",C712,TODAY())+COUNTIFS(D712,"&gt;=36526",D712,TODAY())+COUNTIFS(E712,"&gt;=36526",E712,TODAY())+COUNTIFS(F712,"&gt;=36526",F712,TODAY())&gt;0),1,0)</x:f>
        <x:v>0</x:v>
      </x:c>
      <x:c r="Q712" t="n">
        <x:f>Q711+IF(AND(A712&lt;&gt;"",COUNTIFS(C712,"&gt;"&amp;TODAY(),C712,"&lt;="&amp;TODAY()+30)+COUNTIFS(D712,"&gt;"&amp;TODAY(),D712,"&lt;="&amp;TODAY()+30)+COUNTIFS(E712,"&gt;"&amp;TODAY(),E712,"&lt;="&amp;TODAY()+30)+COUNTIFS(F712,"&gt;"&amp;TODAY(),F712,"&lt;="&amp;TODAY()+30)&gt;0),1,0)</x:f>
        <x:v>0</x:v>
      </x:c>
      <x:c r="R712" t="n">
        <x:f>R711+IF(OR(LEFT(H712,15)="Missing dates; ",LEFT(H712,16)="Add N/A reason; ",H712="Add dates",H712="Add registration",H712="Check date format"),1,0)</x:f>
        <x:v>0</x:v>
      </x:c>
      <x:c r="S712" t="n">
        <x:f>S711+IF(COUNTIFS(C712:F712,"Reviewed N/A")&gt;0,1,0)</x:f>
        <x:v>0</x:v>
      </x:c>
    </x:row>
    <x:row r="713" ht="48" customHeight="1">
      <x:c r="A713" s="52"/>
      <x:c r="B713" s="52"/>
      <x:c r="C713" s="53"/>
      <x:c r="D713" s="53"/>
      <x:c r="E713" s="53"/>
      <x:c r="F713" s="53"/>
      <x:c r="G713" s="52"/>
      <x:c r="H713" s="21" t="str">
        <x:f>IF(COUNTA(A713:G713,I713)=0,"",IF(A713="","Add registration",IF(OR(COUNTA(C713:F713)&gt;COUNT(C713:F713)+COUNTIFS(C713:F713,"Reviewed N/A"),AND(COUNT(C713:F713)&gt;0,OR(MIN(C713:F713)&lt;36526,MAX(C713:F713)&gt;109574))),"Check date format",IF(AND(COUNTIFS(C713:F713,"Reviewed N/A")&gt;0,I713=""),"Add N/A reason; ","")&amp;IF(COUNT(C713:F713)=0,IF(COUNTIFS(C713:F713,"Reviewed N/A")=4,"No applicable dates recorded","Add dates"),IF(COUNT(C713:F713)+COUNTIFS(C713:F713,"Reviewed N/A")&lt;4,"Missing dates; ","")&amp;IF(MIN(C713:F713)&lt;TODAY(),"Overdue: ",IF(MIN(C713:F713)=TODAY(),"Due today: ",IF(MIN(C713:F713)&lt;=TODAY()+30,"Due within 30 days: ","Next: ")))&amp;INDEX($C$8:$F$8,1,MATCH(MIN(C713:F713),C713:F713,0))&amp;" "&amp;TEXT(MIN(C713:F713),"dd mmm yyyy")))))</x:f>
      </x:c>
      <x:c r="I713" s="52"/>
      <x:c r="J713" t="str">
        <x:f>IF(AND(A713&lt;&gt;"",COUNTIFS(C713,"&gt;=36526",C713,"&lt;"&amp;TODAY())+COUNTIFS(D713,"&gt;=36526",D713,"&lt;"&amp;TODAY())+COUNTIFS(E713,"&gt;=36526",E713,"&lt;"&amp;TODAY())+COUNTIFS(F713,"&gt;=36526",F713,"&lt;"&amp;TODAY())&gt;0),O713,"")</x:f>
      </x:c>
      <x:c r="K713" t="str">
        <x:f>IF(AND(A713&lt;&gt;"",COUNTIFS(C713,"&gt;=36526",C713,TODAY())+COUNTIFS(D713,"&gt;=36526",D713,TODAY())+COUNTIFS(E713,"&gt;=36526",E713,TODAY())+COUNTIFS(F713,"&gt;=36526",F713,TODAY())&gt;0),P713,"")</x:f>
      </x:c>
      <x:c r="L713" t="str">
        <x:f>IF(AND(A713&lt;&gt;"",COUNTIFS(C713,"&gt;"&amp;TODAY(),C713,"&lt;="&amp;TODAY()+30)+COUNTIFS(D713,"&gt;"&amp;TODAY(),D713,"&lt;="&amp;TODAY()+30)+COUNTIFS(E713,"&gt;"&amp;TODAY(),E713,"&lt;="&amp;TODAY()+30)+COUNTIFS(F713,"&gt;"&amp;TODAY(),F713,"&lt;="&amp;TODAY()+30)&gt;0),Q713,"")</x:f>
      </x:c>
      <x:c r="M713" t="str">
        <x:f>IF(OR(LEFT(H713,15)="Missing dates; ",LEFT(H713,16)="Add N/A reason; ",H713="Add dates",H713="Add registration",H713="Check date format"),R713,"")</x:f>
      </x:c>
      <x:c r="N713" t="str">
        <x:f>IF(COUNTIFS(C713:F713,"Reviewed N/A")&gt;0,S713,"")</x:f>
      </x:c>
      <x:c r="O713" t="n">
        <x:f>O712+IF(AND(A713&lt;&gt;"",COUNTIFS(C713,"&gt;=36526",C713,"&lt;"&amp;TODAY())+COUNTIFS(D713,"&gt;=36526",D713,"&lt;"&amp;TODAY())+COUNTIFS(E713,"&gt;=36526",E713,"&lt;"&amp;TODAY())+COUNTIFS(F713,"&gt;=36526",F713,"&lt;"&amp;TODAY())&gt;0),1,0)</x:f>
        <x:v>0</x:v>
      </x:c>
      <x:c r="P713" t="n">
        <x:f>P712+IF(AND(A713&lt;&gt;"",COUNTIFS(C713,"&gt;=36526",C713,TODAY())+COUNTIFS(D713,"&gt;=36526",D713,TODAY())+COUNTIFS(E713,"&gt;=36526",E713,TODAY())+COUNTIFS(F713,"&gt;=36526",F713,TODAY())&gt;0),1,0)</x:f>
        <x:v>0</x:v>
      </x:c>
      <x:c r="Q713" t="n">
        <x:f>Q712+IF(AND(A713&lt;&gt;"",COUNTIFS(C713,"&gt;"&amp;TODAY(),C713,"&lt;="&amp;TODAY()+30)+COUNTIFS(D713,"&gt;"&amp;TODAY(),D713,"&lt;="&amp;TODAY()+30)+COUNTIFS(E713,"&gt;"&amp;TODAY(),E713,"&lt;="&amp;TODAY()+30)+COUNTIFS(F713,"&gt;"&amp;TODAY(),F713,"&lt;="&amp;TODAY()+30)&gt;0),1,0)</x:f>
        <x:v>0</x:v>
      </x:c>
      <x:c r="R713" t="n">
        <x:f>R712+IF(OR(LEFT(H713,15)="Missing dates; ",LEFT(H713,16)="Add N/A reason; ",H713="Add dates",H713="Add registration",H713="Check date format"),1,0)</x:f>
        <x:v>0</x:v>
      </x:c>
      <x:c r="S713" t="n">
        <x:f>S712+IF(COUNTIFS(C713:F713,"Reviewed N/A")&gt;0,1,0)</x:f>
        <x:v>0</x:v>
      </x:c>
    </x:row>
    <x:row r="714" ht="48" customHeight="1">
      <x:c r="A714" s="52"/>
      <x:c r="B714" s="52"/>
      <x:c r="C714" s="53"/>
      <x:c r="D714" s="53"/>
      <x:c r="E714" s="53"/>
      <x:c r="F714" s="53"/>
      <x:c r="G714" s="52"/>
      <x:c r="H714" s="21" t="str">
        <x:f>IF(COUNTA(A714:G714,I714)=0,"",IF(A714="","Add registration",IF(OR(COUNTA(C714:F714)&gt;COUNT(C714:F714)+COUNTIFS(C714:F714,"Reviewed N/A"),AND(COUNT(C714:F714)&gt;0,OR(MIN(C714:F714)&lt;36526,MAX(C714:F714)&gt;109574))),"Check date format",IF(AND(COUNTIFS(C714:F714,"Reviewed N/A")&gt;0,I714=""),"Add N/A reason; ","")&amp;IF(COUNT(C714:F714)=0,IF(COUNTIFS(C714:F714,"Reviewed N/A")=4,"No applicable dates recorded","Add dates"),IF(COUNT(C714:F714)+COUNTIFS(C714:F714,"Reviewed N/A")&lt;4,"Missing dates; ","")&amp;IF(MIN(C714:F714)&lt;TODAY(),"Overdue: ",IF(MIN(C714:F714)=TODAY(),"Due today: ",IF(MIN(C714:F714)&lt;=TODAY()+30,"Due within 30 days: ","Next: ")))&amp;INDEX($C$8:$F$8,1,MATCH(MIN(C714:F714),C714:F714,0))&amp;" "&amp;TEXT(MIN(C714:F714),"dd mmm yyyy")))))</x:f>
      </x:c>
      <x:c r="I714" s="52"/>
      <x:c r="J714" t="str">
        <x:f>IF(AND(A714&lt;&gt;"",COUNTIFS(C714,"&gt;=36526",C714,"&lt;"&amp;TODAY())+COUNTIFS(D714,"&gt;=36526",D714,"&lt;"&amp;TODAY())+COUNTIFS(E714,"&gt;=36526",E714,"&lt;"&amp;TODAY())+COUNTIFS(F714,"&gt;=36526",F714,"&lt;"&amp;TODAY())&gt;0),O714,"")</x:f>
      </x:c>
      <x:c r="K714" t="str">
        <x:f>IF(AND(A714&lt;&gt;"",COUNTIFS(C714,"&gt;=36526",C714,TODAY())+COUNTIFS(D714,"&gt;=36526",D714,TODAY())+COUNTIFS(E714,"&gt;=36526",E714,TODAY())+COUNTIFS(F714,"&gt;=36526",F714,TODAY())&gt;0),P714,"")</x:f>
      </x:c>
      <x:c r="L714" t="str">
        <x:f>IF(AND(A714&lt;&gt;"",COUNTIFS(C714,"&gt;"&amp;TODAY(),C714,"&lt;="&amp;TODAY()+30)+COUNTIFS(D714,"&gt;"&amp;TODAY(),D714,"&lt;="&amp;TODAY()+30)+COUNTIFS(E714,"&gt;"&amp;TODAY(),E714,"&lt;="&amp;TODAY()+30)+COUNTIFS(F714,"&gt;"&amp;TODAY(),F714,"&lt;="&amp;TODAY()+30)&gt;0),Q714,"")</x:f>
      </x:c>
      <x:c r="M714" t="str">
        <x:f>IF(OR(LEFT(H714,15)="Missing dates; ",LEFT(H714,16)="Add N/A reason; ",H714="Add dates",H714="Add registration",H714="Check date format"),R714,"")</x:f>
      </x:c>
      <x:c r="N714" t="str">
        <x:f>IF(COUNTIFS(C714:F714,"Reviewed N/A")&gt;0,S714,"")</x:f>
      </x:c>
      <x:c r="O714" t="n">
        <x:f>O713+IF(AND(A714&lt;&gt;"",COUNTIFS(C714,"&gt;=36526",C714,"&lt;"&amp;TODAY())+COUNTIFS(D714,"&gt;=36526",D714,"&lt;"&amp;TODAY())+COUNTIFS(E714,"&gt;=36526",E714,"&lt;"&amp;TODAY())+COUNTIFS(F714,"&gt;=36526",F714,"&lt;"&amp;TODAY())&gt;0),1,0)</x:f>
        <x:v>0</x:v>
      </x:c>
      <x:c r="P714" t="n">
        <x:f>P713+IF(AND(A714&lt;&gt;"",COUNTIFS(C714,"&gt;=36526",C714,TODAY())+COUNTIFS(D714,"&gt;=36526",D714,TODAY())+COUNTIFS(E714,"&gt;=36526",E714,TODAY())+COUNTIFS(F714,"&gt;=36526",F714,TODAY())&gt;0),1,0)</x:f>
        <x:v>0</x:v>
      </x:c>
      <x:c r="Q714" t="n">
        <x:f>Q713+IF(AND(A714&lt;&gt;"",COUNTIFS(C714,"&gt;"&amp;TODAY(),C714,"&lt;="&amp;TODAY()+30)+COUNTIFS(D714,"&gt;"&amp;TODAY(),D714,"&lt;="&amp;TODAY()+30)+COUNTIFS(E714,"&gt;"&amp;TODAY(),E714,"&lt;="&amp;TODAY()+30)+COUNTIFS(F714,"&gt;"&amp;TODAY(),F714,"&lt;="&amp;TODAY()+30)&gt;0),1,0)</x:f>
        <x:v>0</x:v>
      </x:c>
      <x:c r="R714" t="n">
        <x:f>R713+IF(OR(LEFT(H714,15)="Missing dates; ",LEFT(H714,16)="Add N/A reason; ",H714="Add dates",H714="Add registration",H714="Check date format"),1,0)</x:f>
        <x:v>0</x:v>
      </x:c>
      <x:c r="S714" t="n">
        <x:f>S713+IF(COUNTIFS(C714:F714,"Reviewed N/A")&gt;0,1,0)</x:f>
        <x:v>0</x:v>
      </x:c>
    </x:row>
    <x:row r="715" ht="48" customHeight="1">
      <x:c r="A715" s="52"/>
      <x:c r="B715" s="52"/>
      <x:c r="C715" s="53"/>
      <x:c r="D715" s="53"/>
      <x:c r="E715" s="53"/>
      <x:c r="F715" s="53"/>
      <x:c r="G715" s="52"/>
      <x:c r="H715" s="21" t="str">
        <x:f>IF(COUNTA(A715:G715,I715)=0,"",IF(A715="","Add registration",IF(OR(COUNTA(C715:F715)&gt;COUNT(C715:F715)+COUNTIFS(C715:F715,"Reviewed N/A"),AND(COUNT(C715:F715)&gt;0,OR(MIN(C715:F715)&lt;36526,MAX(C715:F715)&gt;109574))),"Check date format",IF(AND(COUNTIFS(C715:F715,"Reviewed N/A")&gt;0,I715=""),"Add N/A reason; ","")&amp;IF(COUNT(C715:F715)=0,IF(COUNTIFS(C715:F715,"Reviewed N/A")=4,"No applicable dates recorded","Add dates"),IF(COUNT(C715:F715)+COUNTIFS(C715:F715,"Reviewed N/A")&lt;4,"Missing dates; ","")&amp;IF(MIN(C715:F715)&lt;TODAY(),"Overdue: ",IF(MIN(C715:F715)=TODAY(),"Due today: ",IF(MIN(C715:F715)&lt;=TODAY()+30,"Due within 30 days: ","Next: ")))&amp;INDEX($C$8:$F$8,1,MATCH(MIN(C715:F715),C715:F715,0))&amp;" "&amp;TEXT(MIN(C715:F715),"dd mmm yyyy")))))</x:f>
      </x:c>
      <x:c r="I715" s="52"/>
      <x:c r="J715" t="str">
        <x:f>IF(AND(A715&lt;&gt;"",COUNTIFS(C715,"&gt;=36526",C715,"&lt;"&amp;TODAY())+COUNTIFS(D715,"&gt;=36526",D715,"&lt;"&amp;TODAY())+COUNTIFS(E715,"&gt;=36526",E715,"&lt;"&amp;TODAY())+COUNTIFS(F715,"&gt;=36526",F715,"&lt;"&amp;TODAY())&gt;0),O715,"")</x:f>
      </x:c>
      <x:c r="K715" t="str">
        <x:f>IF(AND(A715&lt;&gt;"",COUNTIFS(C715,"&gt;=36526",C715,TODAY())+COUNTIFS(D715,"&gt;=36526",D715,TODAY())+COUNTIFS(E715,"&gt;=36526",E715,TODAY())+COUNTIFS(F715,"&gt;=36526",F715,TODAY())&gt;0),P715,"")</x:f>
      </x:c>
      <x:c r="L715" t="str">
        <x:f>IF(AND(A715&lt;&gt;"",COUNTIFS(C715,"&gt;"&amp;TODAY(),C715,"&lt;="&amp;TODAY()+30)+COUNTIFS(D715,"&gt;"&amp;TODAY(),D715,"&lt;="&amp;TODAY()+30)+COUNTIFS(E715,"&gt;"&amp;TODAY(),E715,"&lt;="&amp;TODAY()+30)+COUNTIFS(F715,"&gt;"&amp;TODAY(),F715,"&lt;="&amp;TODAY()+30)&gt;0),Q715,"")</x:f>
      </x:c>
      <x:c r="M715" t="str">
        <x:f>IF(OR(LEFT(H715,15)="Missing dates; ",LEFT(H715,16)="Add N/A reason; ",H715="Add dates",H715="Add registration",H715="Check date format"),R715,"")</x:f>
      </x:c>
      <x:c r="N715" t="str">
        <x:f>IF(COUNTIFS(C715:F715,"Reviewed N/A")&gt;0,S715,"")</x:f>
      </x:c>
      <x:c r="O715" t="n">
        <x:f>O714+IF(AND(A715&lt;&gt;"",COUNTIFS(C715,"&gt;=36526",C715,"&lt;"&amp;TODAY())+COUNTIFS(D715,"&gt;=36526",D715,"&lt;"&amp;TODAY())+COUNTIFS(E715,"&gt;=36526",E715,"&lt;"&amp;TODAY())+COUNTIFS(F715,"&gt;=36526",F715,"&lt;"&amp;TODAY())&gt;0),1,0)</x:f>
        <x:v>0</x:v>
      </x:c>
      <x:c r="P715" t="n">
        <x:f>P714+IF(AND(A715&lt;&gt;"",COUNTIFS(C715,"&gt;=36526",C715,TODAY())+COUNTIFS(D715,"&gt;=36526",D715,TODAY())+COUNTIFS(E715,"&gt;=36526",E715,TODAY())+COUNTIFS(F715,"&gt;=36526",F715,TODAY())&gt;0),1,0)</x:f>
        <x:v>0</x:v>
      </x:c>
      <x:c r="Q715" t="n">
        <x:f>Q714+IF(AND(A715&lt;&gt;"",COUNTIFS(C715,"&gt;"&amp;TODAY(),C715,"&lt;="&amp;TODAY()+30)+COUNTIFS(D715,"&gt;"&amp;TODAY(),D715,"&lt;="&amp;TODAY()+30)+COUNTIFS(E715,"&gt;"&amp;TODAY(),E715,"&lt;="&amp;TODAY()+30)+COUNTIFS(F715,"&gt;"&amp;TODAY(),F715,"&lt;="&amp;TODAY()+30)&gt;0),1,0)</x:f>
        <x:v>0</x:v>
      </x:c>
      <x:c r="R715" t="n">
        <x:f>R714+IF(OR(LEFT(H715,15)="Missing dates; ",LEFT(H715,16)="Add N/A reason; ",H715="Add dates",H715="Add registration",H715="Check date format"),1,0)</x:f>
        <x:v>0</x:v>
      </x:c>
      <x:c r="S715" t="n">
        <x:f>S714+IF(COUNTIFS(C715:F715,"Reviewed N/A")&gt;0,1,0)</x:f>
        <x:v>0</x:v>
      </x:c>
    </x:row>
    <x:row r="716" ht="48" customHeight="1">
      <x:c r="A716" s="52"/>
      <x:c r="B716" s="52"/>
      <x:c r="C716" s="53"/>
      <x:c r="D716" s="53"/>
      <x:c r="E716" s="53"/>
      <x:c r="F716" s="53"/>
      <x:c r="G716" s="52"/>
      <x:c r="H716" s="21" t="str">
        <x:f>IF(COUNTA(A716:G716,I716)=0,"",IF(A716="","Add registration",IF(OR(COUNTA(C716:F716)&gt;COUNT(C716:F716)+COUNTIFS(C716:F716,"Reviewed N/A"),AND(COUNT(C716:F716)&gt;0,OR(MIN(C716:F716)&lt;36526,MAX(C716:F716)&gt;109574))),"Check date format",IF(AND(COUNTIFS(C716:F716,"Reviewed N/A")&gt;0,I716=""),"Add N/A reason; ","")&amp;IF(COUNT(C716:F716)=0,IF(COUNTIFS(C716:F716,"Reviewed N/A")=4,"No applicable dates recorded","Add dates"),IF(COUNT(C716:F716)+COUNTIFS(C716:F716,"Reviewed N/A")&lt;4,"Missing dates; ","")&amp;IF(MIN(C716:F716)&lt;TODAY(),"Overdue: ",IF(MIN(C716:F716)=TODAY(),"Due today: ",IF(MIN(C716:F716)&lt;=TODAY()+30,"Due within 30 days: ","Next: ")))&amp;INDEX($C$8:$F$8,1,MATCH(MIN(C716:F716),C716:F716,0))&amp;" "&amp;TEXT(MIN(C716:F716),"dd mmm yyyy")))))</x:f>
      </x:c>
      <x:c r="I716" s="52"/>
      <x:c r="J716" t="str">
        <x:f>IF(AND(A716&lt;&gt;"",COUNTIFS(C716,"&gt;=36526",C716,"&lt;"&amp;TODAY())+COUNTIFS(D716,"&gt;=36526",D716,"&lt;"&amp;TODAY())+COUNTIFS(E716,"&gt;=36526",E716,"&lt;"&amp;TODAY())+COUNTIFS(F716,"&gt;=36526",F716,"&lt;"&amp;TODAY())&gt;0),O716,"")</x:f>
      </x:c>
      <x:c r="K716" t="str">
        <x:f>IF(AND(A716&lt;&gt;"",COUNTIFS(C716,"&gt;=36526",C716,TODAY())+COUNTIFS(D716,"&gt;=36526",D716,TODAY())+COUNTIFS(E716,"&gt;=36526",E716,TODAY())+COUNTIFS(F716,"&gt;=36526",F716,TODAY())&gt;0),P716,"")</x:f>
      </x:c>
      <x:c r="L716" t="str">
        <x:f>IF(AND(A716&lt;&gt;"",COUNTIFS(C716,"&gt;"&amp;TODAY(),C716,"&lt;="&amp;TODAY()+30)+COUNTIFS(D716,"&gt;"&amp;TODAY(),D716,"&lt;="&amp;TODAY()+30)+COUNTIFS(E716,"&gt;"&amp;TODAY(),E716,"&lt;="&amp;TODAY()+30)+COUNTIFS(F716,"&gt;"&amp;TODAY(),F716,"&lt;="&amp;TODAY()+30)&gt;0),Q716,"")</x:f>
      </x:c>
      <x:c r="M716" t="str">
        <x:f>IF(OR(LEFT(H716,15)="Missing dates; ",LEFT(H716,16)="Add N/A reason; ",H716="Add dates",H716="Add registration",H716="Check date format"),R716,"")</x:f>
      </x:c>
      <x:c r="N716" t="str">
        <x:f>IF(COUNTIFS(C716:F716,"Reviewed N/A")&gt;0,S716,"")</x:f>
      </x:c>
      <x:c r="O716" t="n">
        <x:f>O715+IF(AND(A716&lt;&gt;"",COUNTIFS(C716,"&gt;=36526",C716,"&lt;"&amp;TODAY())+COUNTIFS(D716,"&gt;=36526",D716,"&lt;"&amp;TODAY())+COUNTIFS(E716,"&gt;=36526",E716,"&lt;"&amp;TODAY())+COUNTIFS(F716,"&gt;=36526",F716,"&lt;"&amp;TODAY())&gt;0),1,0)</x:f>
        <x:v>0</x:v>
      </x:c>
      <x:c r="P716" t="n">
        <x:f>P715+IF(AND(A716&lt;&gt;"",COUNTIFS(C716,"&gt;=36526",C716,TODAY())+COUNTIFS(D716,"&gt;=36526",D716,TODAY())+COUNTIFS(E716,"&gt;=36526",E716,TODAY())+COUNTIFS(F716,"&gt;=36526",F716,TODAY())&gt;0),1,0)</x:f>
        <x:v>0</x:v>
      </x:c>
      <x:c r="Q716" t="n">
        <x:f>Q715+IF(AND(A716&lt;&gt;"",COUNTIFS(C716,"&gt;"&amp;TODAY(),C716,"&lt;="&amp;TODAY()+30)+COUNTIFS(D716,"&gt;"&amp;TODAY(),D716,"&lt;="&amp;TODAY()+30)+COUNTIFS(E716,"&gt;"&amp;TODAY(),E716,"&lt;="&amp;TODAY()+30)+COUNTIFS(F716,"&gt;"&amp;TODAY(),F716,"&lt;="&amp;TODAY()+30)&gt;0),1,0)</x:f>
        <x:v>0</x:v>
      </x:c>
      <x:c r="R716" t="n">
        <x:f>R715+IF(OR(LEFT(H716,15)="Missing dates; ",LEFT(H716,16)="Add N/A reason; ",H716="Add dates",H716="Add registration",H716="Check date format"),1,0)</x:f>
        <x:v>0</x:v>
      </x:c>
      <x:c r="S716" t="n">
        <x:f>S715+IF(COUNTIFS(C716:F716,"Reviewed N/A")&gt;0,1,0)</x:f>
        <x:v>0</x:v>
      </x:c>
    </x:row>
    <x:row r="717" ht="48" customHeight="1">
      <x:c r="A717" s="52"/>
      <x:c r="B717" s="52"/>
      <x:c r="C717" s="53"/>
      <x:c r="D717" s="53"/>
      <x:c r="E717" s="53"/>
      <x:c r="F717" s="53"/>
      <x:c r="G717" s="52"/>
      <x:c r="H717" s="21" t="str">
        <x:f>IF(COUNTA(A717:G717,I717)=0,"",IF(A717="","Add registration",IF(OR(COUNTA(C717:F717)&gt;COUNT(C717:F717)+COUNTIFS(C717:F717,"Reviewed N/A"),AND(COUNT(C717:F717)&gt;0,OR(MIN(C717:F717)&lt;36526,MAX(C717:F717)&gt;109574))),"Check date format",IF(AND(COUNTIFS(C717:F717,"Reviewed N/A")&gt;0,I717=""),"Add N/A reason; ","")&amp;IF(COUNT(C717:F717)=0,IF(COUNTIFS(C717:F717,"Reviewed N/A")=4,"No applicable dates recorded","Add dates"),IF(COUNT(C717:F717)+COUNTIFS(C717:F717,"Reviewed N/A")&lt;4,"Missing dates; ","")&amp;IF(MIN(C717:F717)&lt;TODAY(),"Overdue: ",IF(MIN(C717:F717)=TODAY(),"Due today: ",IF(MIN(C717:F717)&lt;=TODAY()+30,"Due within 30 days: ","Next: ")))&amp;INDEX($C$8:$F$8,1,MATCH(MIN(C717:F717),C717:F717,0))&amp;" "&amp;TEXT(MIN(C717:F717),"dd mmm yyyy")))))</x:f>
      </x:c>
      <x:c r="I717" s="52"/>
      <x:c r="J717" t="str">
        <x:f>IF(AND(A717&lt;&gt;"",COUNTIFS(C717,"&gt;=36526",C717,"&lt;"&amp;TODAY())+COUNTIFS(D717,"&gt;=36526",D717,"&lt;"&amp;TODAY())+COUNTIFS(E717,"&gt;=36526",E717,"&lt;"&amp;TODAY())+COUNTIFS(F717,"&gt;=36526",F717,"&lt;"&amp;TODAY())&gt;0),O717,"")</x:f>
      </x:c>
      <x:c r="K717" t="str">
        <x:f>IF(AND(A717&lt;&gt;"",COUNTIFS(C717,"&gt;=36526",C717,TODAY())+COUNTIFS(D717,"&gt;=36526",D717,TODAY())+COUNTIFS(E717,"&gt;=36526",E717,TODAY())+COUNTIFS(F717,"&gt;=36526",F717,TODAY())&gt;0),P717,"")</x:f>
      </x:c>
      <x:c r="L717" t="str">
        <x:f>IF(AND(A717&lt;&gt;"",COUNTIFS(C717,"&gt;"&amp;TODAY(),C717,"&lt;="&amp;TODAY()+30)+COUNTIFS(D717,"&gt;"&amp;TODAY(),D717,"&lt;="&amp;TODAY()+30)+COUNTIFS(E717,"&gt;"&amp;TODAY(),E717,"&lt;="&amp;TODAY()+30)+COUNTIFS(F717,"&gt;"&amp;TODAY(),F717,"&lt;="&amp;TODAY()+30)&gt;0),Q717,"")</x:f>
      </x:c>
      <x:c r="M717" t="str">
        <x:f>IF(OR(LEFT(H717,15)="Missing dates; ",LEFT(H717,16)="Add N/A reason; ",H717="Add dates",H717="Add registration",H717="Check date format"),R717,"")</x:f>
      </x:c>
      <x:c r="N717" t="str">
        <x:f>IF(COUNTIFS(C717:F717,"Reviewed N/A")&gt;0,S717,"")</x:f>
      </x:c>
      <x:c r="O717" t="n">
        <x:f>O716+IF(AND(A717&lt;&gt;"",COUNTIFS(C717,"&gt;=36526",C717,"&lt;"&amp;TODAY())+COUNTIFS(D717,"&gt;=36526",D717,"&lt;"&amp;TODAY())+COUNTIFS(E717,"&gt;=36526",E717,"&lt;"&amp;TODAY())+COUNTIFS(F717,"&gt;=36526",F717,"&lt;"&amp;TODAY())&gt;0),1,0)</x:f>
        <x:v>0</x:v>
      </x:c>
      <x:c r="P717" t="n">
        <x:f>P716+IF(AND(A717&lt;&gt;"",COUNTIFS(C717,"&gt;=36526",C717,TODAY())+COUNTIFS(D717,"&gt;=36526",D717,TODAY())+COUNTIFS(E717,"&gt;=36526",E717,TODAY())+COUNTIFS(F717,"&gt;=36526",F717,TODAY())&gt;0),1,0)</x:f>
        <x:v>0</x:v>
      </x:c>
      <x:c r="Q717" t="n">
        <x:f>Q716+IF(AND(A717&lt;&gt;"",COUNTIFS(C717,"&gt;"&amp;TODAY(),C717,"&lt;="&amp;TODAY()+30)+COUNTIFS(D717,"&gt;"&amp;TODAY(),D717,"&lt;="&amp;TODAY()+30)+COUNTIFS(E717,"&gt;"&amp;TODAY(),E717,"&lt;="&amp;TODAY()+30)+COUNTIFS(F717,"&gt;"&amp;TODAY(),F717,"&lt;="&amp;TODAY()+30)&gt;0),1,0)</x:f>
        <x:v>0</x:v>
      </x:c>
      <x:c r="R717" t="n">
        <x:f>R716+IF(OR(LEFT(H717,15)="Missing dates; ",LEFT(H717,16)="Add N/A reason; ",H717="Add dates",H717="Add registration",H717="Check date format"),1,0)</x:f>
        <x:v>0</x:v>
      </x:c>
      <x:c r="S717" t="n">
        <x:f>S716+IF(COUNTIFS(C717:F717,"Reviewed N/A")&gt;0,1,0)</x:f>
        <x:v>0</x:v>
      </x:c>
    </x:row>
    <x:row r="718" ht="48" customHeight="1">
      <x:c r="A718" s="52"/>
      <x:c r="B718" s="52"/>
      <x:c r="C718" s="53"/>
      <x:c r="D718" s="53"/>
      <x:c r="E718" s="53"/>
      <x:c r="F718" s="53"/>
      <x:c r="G718" s="52"/>
      <x:c r="H718" s="21" t="str">
        <x:f>IF(COUNTA(A718:G718,I718)=0,"",IF(A718="","Add registration",IF(OR(COUNTA(C718:F718)&gt;COUNT(C718:F718)+COUNTIFS(C718:F718,"Reviewed N/A"),AND(COUNT(C718:F718)&gt;0,OR(MIN(C718:F718)&lt;36526,MAX(C718:F718)&gt;109574))),"Check date format",IF(AND(COUNTIFS(C718:F718,"Reviewed N/A")&gt;0,I718=""),"Add N/A reason; ","")&amp;IF(COUNT(C718:F718)=0,IF(COUNTIFS(C718:F718,"Reviewed N/A")=4,"No applicable dates recorded","Add dates"),IF(COUNT(C718:F718)+COUNTIFS(C718:F718,"Reviewed N/A")&lt;4,"Missing dates; ","")&amp;IF(MIN(C718:F718)&lt;TODAY(),"Overdue: ",IF(MIN(C718:F718)=TODAY(),"Due today: ",IF(MIN(C718:F718)&lt;=TODAY()+30,"Due within 30 days: ","Next: ")))&amp;INDEX($C$8:$F$8,1,MATCH(MIN(C718:F718),C718:F718,0))&amp;" "&amp;TEXT(MIN(C718:F718),"dd mmm yyyy")))))</x:f>
      </x:c>
      <x:c r="I718" s="52"/>
      <x:c r="J718" t="str">
        <x:f>IF(AND(A718&lt;&gt;"",COUNTIFS(C718,"&gt;=36526",C718,"&lt;"&amp;TODAY())+COUNTIFS(D718,"&gt;=36526",D718,"&lt;"&amp;TODAY())+COUNTIFS(E718,"&gt;=36526",E718,"&lt;"&amp;TODAY())+COUNTIFS(F718,"&gt;=36526",F718,"&lt;"&amp;TODAY())&gt;0),O718,"")</x:f>
      </x:c>
      <x:c r="K718" t="str">
        <x:f>IF(AND(A718&lt;&gt;"",COUNTIFS(C718,"&gt;=36526",C718,TODAY())+COUNTIFS(D718,"&gt;=36526",D718,TODAY())+COUNTIFS(E718,"&gt;=36526",E718,TODAY())+COUNTIFS(F718,"&gt;=36526",F718,TODAY())&gt;0),P718,"")</x:f>
      </x:c>
      <x:c r="L718" t="str">
        <x:f>IF(AND(A718&lt;&gt;"",COUNTIFS(C718,"&gt;"&amp;TODAY(),C718,"&lt;="&amp;TODAY()+30)+COUNTIFS(D718,"&gt;"&amp;TODAY(),D718,"&lt;="&amp;TODAY()+30)+COUNTIFS(E718,"&gt;"&amp;TODAY(),E718,"&lt;="&amp;TODAY()+30)+COUNTIFS(F718,"&gt;"&amp;TODAY(),F718,"&lt;="&amp;TODAY()+30)&gt;0),Q718,"")</x:f>
      </x:c>
      <x:c r="M718" t="str">
        <x:f>IF(OR(LEFT(H718,15)="Missing dates; ",LEFT(H718,16)="Add N/A reason; ",H718="Add dates",H718="Add registration",H718="Check date format"),R718,"")</x:f>
      </x:c>
      <x:c r="N718" t="str">
        <x:f>IF(COUNTIFS(C718:F718,"Reviewed N/A")&gt;0,S718,"")</x:f>
      </x:c>
      <x:c r="O718" t="n">
        <x:f>O717+IF(AND(A718&lt;&gt;"",COUNTIFS(C718,"&gt;=36526",C718,"&lt;"&amp;TODAY())+COUNTIFS(D718,"&gt;=36526",D718,"&lt;"&amp;TODAY())+COUNTIFS(E718,"&gt;=36526",E718,"&lt;"&amp;TODAY())+COUNTIFS(F718,"&gt;=36526",F718,"&lt;"&amp;TODAY())&gt;0),1,0)</x:f>
        <x:v>0</x:v>
      </x:c>
      <x:c r="P718" t="n">
        <x:f>P717+IF(AND(A718&lt;&gt;"",COUNTIFS(C718,"&gt;=36526",C718,TODAY())+COUNTIFS(D718,"&gt;=36526",D718,TODAY())+COUNTIFS(E718,"&gt;=36526",E718,TODAY())+COUNTIFS(F718,"&gt;=36526",F718,TODAY())&gt;0),1,0)</x:f>
        <x:v>0</x:v>
      </x:c>
      <x:c r="Q718" t="n">
        <x:f>Q717+IF(AND(A718&lt;&gt;"",COUNTIFS(C718,"&gt;"&amp;TODAY(),C718,"&lt;="&amp;TODAY()+30)+COUNTIFS(D718,"&gt;"&amp;TODAY(),D718,"&lt;="&amp;TODAY()+30)+COUNTIFS(E718,"&gt;"&amp;TODAY(),E718,"&lt;="&amp;TODAY()+30)+COUNTIFS(F718,"&gt;"&amp;TODAY(),F718,"&lt;="&amp;TODAY()+30)&gt;0),1,0)</x:f>
        <x:v>0</x:v>
      </x:c>
      <x:c r="R718" t="n">
        <x:f>R717+IF(OR(LEFT(H718,15)="Missing dates; ",LEFT(H718,16)="Add N/A reason; ",H718="Add dates",H718="Add registration",H718="Check date format"),1,0)</x:f>
        <x:v>0</x:v>
      </x:c>
      <x:c r="S718" t="n">
        <x:f>S717+IF(COUNTIFS(C718:F718,"Reviewed N/A")&gt;0,1,0)</x:f>
        <x:v>0</x:v>
      </x:c>
    </x:row>
    <x:row r="719" ht="48" customHeight="1">
      <x:c r="A719" s="52"/>
      <x:c r="B719" s="52"/>
      <x:c r="C719" s="53"/>
      <x:c r="D719" s="53"/>
      <x:c r="E719" s="53"/>
      <x:c r="F719" s="53"/>
      <x:c r="G719" s="52"/>
      <x:c r="H719" s="21" t="str">
        <x:f>IF(COUNTA(A719:G719,I719)=0,"",IF(A719="","Add registration",IF(OR(COUNTA(C719:F719)&gt;COUNT(C719:F719)+COUNTIFS(C719:F719,"Reviewed N/A"),AND(COUNT(C719:F719)&gt;0,OR(MIN(C719:F719)&lt;36526,MAX(C719:F719)&gt;109574))),"Check date format",IF(AND(COUNTIFS(C719:F719,"Reviewed N/A")&gt;0,I719=""),"Add N/A reason; ","")&amp;IF(COUNT(C719:F719)=0,IF(COUNTIFS(C719:F719,"Reviewed N/A")=4,"No applicable dates recorded","Add dates"),IF(COUNT(C719:F719)+COUNTIFS(C719:F719,"Reviewed N/A")&lt;4,"Missing dates; ","")&amp;IF(MIN(C719:F719)&lt;TODAY(),"Overdue: ",IF(MIN(C719:F719)=TODAY(),"Due today: ",IF(MIN(C719:F719)&lt;=TODAY()+30,"Due within 30 days: ","Next: ")))&amp;INDEX($C$8:$F$8,1,MATCH(MIN(C719:F719),C719:F719,0))&amp;" "&amp;TEXT(MIN(C719:F719),"dd mmm yyyy")))))</x:f>
      </x:c>
      <x:c r="I719" s="52"/>
      <x:c r="J719" t="str">
        <x:f>IF(AND(A719&lt;&gt;"",COUNTIFS(C719,"&gt;=36526",C719,"&lt;"&amp;TODAY())+COUNTIFS(D719,"&gt;=36526",D719,"&lt;"&amp;TODAY())+COUNTIFS(E719,"&gt;=36526",E719,"&lt;"&amp;TODAY())+COUNTIFS(F719,"&gt;=36526",F719,"&lt;"&amp;TODAY())&gt;0),O719,"")</x:f>
      </x:c>
      <x:c r="K719" t="str">
        <x:f>IF(AND(A719&lt;&gt;"",COUNTIFS(C719,"&gt;=36526",C719,TODAY())+COUNTIFS(D719,"&gt;=36526",D719,TODAY())+COUNTIFS(E719,"&gt;=36526",E719,TODAY())+COUNTIFS(F719,"&gt;=36526",F719,TODAY())&gt;0),P719,"")</x:f>
      </x:c>
      <x:c r="L719" t="str">
        <x:f>IF(AND(A719&lt;&gt;"",COUNTIFS(C719,"&gt;"&amp;TODAY(),C719,"&lt;="&amp;TODAY()+30)+COUNTIFS(D719,"&gt;"&amp;TODAY(),D719,"&lt;="&amp;TODAY()+30)+COUNTIFS(E719,"&gt;"&amp;TODAY(),E719,"&lt;="&amp;TODAY()+30)+COUNTIFS(F719,"&gt;"&amp;TODAY(),F719,"&lt;="&amp;TODAY()+30)&gt;0),Q719,"")</x:f>
      </x:c>
      <x:c r="M719" t="str">
        <x:f>IF(OR(LEFT(H719,15)="Missing dates; ",LEFT(H719,16)="Add N/A reason; ",H719="Add dates",H719="Add registration",H719="Check date format"),R719,"")</x:f>
      </x:c>
      <x:c r="N719" t="str">
        <x:f>IF(COUNTIFS(C719:F719,"Reviewed N/A")&gt;0,S719,"")</x:f>
      </x:c>
      <x:c r="O719" t="n">
        <x:f>O718+IF(AND(A719&lt;&gt;"",COUNTIFS(C719,"&gt;=36526",C719,"&lt;"&amp;TODAY())+COUNTIFS(D719,"&gt;=36526",D719,"&lt;"&amp;TODAY())+COUNTIFS(E719,"&gt;=36526",E719,"&lt;"&amp;TODAY())+COUNTIFS(F719,"&gt;=36526",F719,"&lt;"&amp;TODAY())&gt;0),1,0)</x:f>
        <x:v>0</x:v>
      </x:c>
      <x:c r="P719" t="n">
        <x:f>P718+IF(AND(A719&lt;&gt;"",COUNTIFS(C719,"&gt;=36526",C719,TODAY())+COUNTIFS(D719,"&gt;=36526",D719,TODAY())+COUNTIFS(E719,"&gt;=36526",E719,TODAY())+COUNTIFS(F719,"&gt;=36526",F719,TODAY())&gt;0),1,0)</x:f>
        <x:v>0</x:v>
      </x:c>
      <x:c r="Q719" t="n">
        <x:f>Q718+IF(AND(A719&lt;&gt;"",COUNTIFS(C719,"&gt;"&amp;TODAY(),C719,"&lt;="&amp;TODAY()+30)+COUNTIFS(D719,"&gt;"&amp;TODAY(),D719,"&lt;="&amp;TODAY()+30)+COUNTIFS(E719,"&gt;"&amp;TODAY(),E719,"&lt;="&amp;TODAY()+30)+COUNTIFS(F719,"&gt;"&amp;TODAY(),F719,"&lt;="&amp;TODAY()+30)&gt;0),1,0)</x:f>
        <x:v>0</x:v>
      </x:c>
      <x:c r="R719" t="n">
        <x:f>R718+IF(OR(LEFT(H719,15)="Missing dates; ",LEFT(H719,16)="Add N/A reason; ",H719="Add dates",H719="Add registration",H719="Check date format"),1,0)</x:f>
        <x:v>0</x:v>
      </x:c>
      <x:c r="S719" t="n">
        <x:f>S718+IF(COUNTIFS(C719:F719,"Reviewed N/A")&gt;0,1,0)</x:f>
        <x:v>0</x:v>
      </x:c>
    </x:row>
    <x:row r="720" ht="48" customHeight="1">
      <x:c r="A720" s="52"/>
      <x:c r="B720" s="52"/>
      <x:c r="C720" s="53"/>
      <x:c r="D720" s="53"/>
      <x:c r="E720" s="53"/>
      <x:c r="F720" s="53"/>
      <x:c r="G720" s="52"/>
      <x:c r="H720" s="21" t="str">
        <x:f>IF(COUNTA(A720:G720,I720)=0,"",IF(A720="","Add registration",IF(OR(COUNTA(C720:F720)&gt;COUNT(C720:F720)+COUNTIFS(C720:F720,"Reviewed N/A"),AND(COUNT(C720:F720)&gt;0,OR(MIN(C720:F720)&lt;36526,MAX(C720:F720)&gt;109574))),"Check date format",IF(AND(COUNTIFS(C720:F720,"Reviewed N/A")&gt;0,I720=""),"Add N/A reason; ","")&amp;IF(COUNT(C720:F720)=0,IF(COUNTIFS(C720:F720,"Reviewed N/A")=4,"No applicable dates recorded","Add dates"),IF(COUNT(C720:F720)+COUNTIFS(C720:F720,"Reviewed N/A")&lt;4,"Missing dates; ","")&amp;IF(MIN(C720:F720)&lt;TODAY(),"Overdue: ",IF(MIN(C720:F720)=TODAY(),"Due today: ",IF(MIN(C720:F720)&lt;=TODAY()+30,"Due within 30 days: ","Next: ")))&amp;INDEX($C$8:$F$8,1,MATCH(MIN(C720:F720),C720:F720,0))&amp;" "&amp;TEXT(MIN(C720:F720),"dd mmm yyyy")))))</x:f>
      </x:c>
      <x:c r="I720" s="52"/>
      <x:c r="J720" t="str">
        <x:f>IF(AND(A720&lt;&gt;"",COUNTIFS(C720,"&gt;=36526",C720,"&lt;"&amp;TODAY())+COUNTIFS(D720,"&gt;=36526",D720,"&lt;"&amp;TODAY())+COUNTIFS(E720,"&gt;=36526",E720,"&lt;"&amp;TODAY())+COUNTIFS(F720,"&gt;=36526",F720,"&lt;"&amp;TODAY())&gt;0),O720,"")</x:f>
      </x:c>
      <x:c r="K720" t="str">
        <x:f>IF(AND(A720&lt;&gt;"",COUNTIFS(C720,"&gt;=36526",C720,TODAY())+COUNTIFS(D720,"&gt;=36526",D720,TODAY())+COUNTIFS(E720,"&gt;=36526",E720,TODAY())+COUNTIFS(F720,"&gt;=36526",F720,TODAY())&gt;0),P720,"")</x:f>
      </x:c>
      <x:c r="L720" t="str">
        <x:f>IF(AND(A720&lt;&gt;"",COUNTIFS(C720,"&gt;"&amp;TODAY(),C720,"&lt;="&amp;TODAY()+30)+COUNTIFS(D720,"&gt;"&amp;TODAY(),D720,"&lt;="&amp;TODAY()+30)+COUNTIFS(E720,"&gt;"&amp;TODAY(),E720,"&lt;="&amp;TODAY()+30)+COUNTIFS(F720,"&gt;"&amp;TODAY(),F720,"&lt;="&amp;TODAY()+30)&gt;0),Q720,"")</x:f>
      </x:c>
      <x:c r="M720" t="str">
        <x:f>IF(OR(LEFT(H720,15)="Missing dates; ",LEFT(H720,16)="Add N/A reason; ",H720="Add dates",H720="Add registration",H720="Check date format"),R720,"")</x:f>
      </x:c>
      <x:c r="N720" t="str">
        <x:f>IF(COUNTIFS(C720:F720,"Reviewed N/A")&gt;0,S720,"")</x:f>
      </x:c>
      <x:c r="O720" t="n">
        <x:f>O719+IF(AND(A720&lt;&gt;"",COUNTIFS(C720,"&gt;=36526",C720,"&lt;"&amp;TODAY())+COUNTIFS(D720,"&gt;=36526",D720,"&lt;"&amp;TODAY())+COUNTIFS(E720,"&gt;=36526",E720,"&lt;"&amp;TODAY())+COUNTIFS(F720,"&gt;=36526",F720,"&lt;"&amp;TODAY())&gt;0),1,0)</x:f>
        <x:v>0</x:v>
      </x:c>
      <x:c r="P720" t="n">
        <x:f>P719+IF(AND(A720&lt;&gt;"",COUNTIFS(C720,"&gt;=36526",C720,TODAY())+COUNTIFS(D720,"&gt;=36526",D720,TODAY())+COUNTIFS(E720,"&gt;=36526",E720,TODAY())+COUNTIFS(F720,"&gt;=36526",F720,TODAY())&gt;0),1,0)</x:f>
        <x:v>0</x:v>
      </x:c>
      <x:c r="Q720" t="n">
        <x:f>Q719+IF(AND(A720&lt;&gt;"",COUNTIFS(C720,"&gt;"&amp;TODAY(),C720,"&lt;="&amp;TODAY()+30)+COUNTIFS(D720,"&gt;"&amp;TODAY(),D720,"&lt;="&amp;TODAY()+30)+COUNTIFS(E720,"&gt;"&amp;TODAY(),E720,"&lt;="&amp;TODAY()+30)+COUNTIFS(F720,"&gt;"&amp;TODAY(),F720,"&lt;="&amp;TODAY()+30)&gt;0),1,0)</x:f>
        <x:v>0</x:v>
      </x:c>
      <x:c r="R720" t="n">
        <x:f>R719+IF(OR(LEFT(H720,15)="Missing dates; ",LEFT(H720,16)="Add N/A reason; ",H720="Add dates",H720="Add registration",H720="Check date format"),1,0)</x:f>
        <x:v>0</x:v>
      </x:c>
      <x:c r="S720" t="n">
        <x:f>S719+IF(COUNTIFS(C720:F720,"Reviewed N/A")&gt;0,1,0)</x:f>
        <x:v>0</x:v>
      </x:c>
    </x:row>
    <x:row r="721" ht="48" customHeight="1">
      <x:c r="A721" s="52"/>
      <x:c r="B721" s="52"/>
      <x:c r="C721" s="53"/>
      <x:c r="D721" s="53"/>
      <x:c r="E721" s="53"/>
      <x:c r="F721" s="53"/>
      <x:c r="G721" s="52"/>
      <x:c r="H721" s="21" t="str">
        <x:f>IF(COUNTA(A721:G721,I721)=0,"",IF(A721="","Add registration",IF(OR(COUNTA(C721:F721)&gt;COUNT(C721:F721)+COUNTIFS(C721:F721,"Reviewed N/A"),AND(COUNT(C721:F721)&gt;0,OR(MIN(C721:F721)&lt;36526,MAX(C721:F721)&gt;109574))),"Check date format",IF(AND(COUNTIFS(C721:F721,"Reviewed N/A")&gt;0,I721=""),"Add N/A reason; ","")&amp;IF(COUNT(C721:F721)=0,IF(COUNTIFS(C721:F721,"Reviewed N/A")=4,"No applicable dates recorded","Add dates"),IF(COUNT(C721:F721)+COUNTIFS(C721:F721,"Reviewed N/A")&lt;4,"Missing dates; ","")&amp;IF(MIN(C721:F721)&lt;TODAY(),"Overdue: ",IF(MIN(C721:F721)=TODAY(),"Due today: ",IF(MIN(C721:F721)&lt;=TODAY()+30,"Due within 30 days: ","Next: ")))&amp;INDEX($C$8:$F$8,1,MATCH(MIN(C721:F721),C721:F721,0))&amp;" "&amp;TEXT(MIN(C721:F721),"dd mmm yyyy")))))</x:f>
      </x:c>
      <x:c r="I721" s="52"/>
      <x:c r="J721" t="str">
        <x:f>IF(AND(A721&lt;&gt;"",COUNTIFS(C721,"&gt;=36526",C721,"&lt;"&amp;TODAY())+COUNTIFS(D721,"&gt;=36526",D721,"&lt;"&amp;TODAY())+COUNTIFS(E721,"&gt;=36526",E721,"&lt;"&amp;TODAY())+COUNTIFS(F721,"&gt;=36526",F721,"&lt;"&amp;TODAY())&gt;0),O721,"")</x:f>
      </x:c>
      <x:c r="K721" t="str">
        <x:f>IF(AND(A721&lt;&gt;"",COUNTIFS(C721,"&gt;=36526",C721,TODAY())+COUNTIFS(D721,"&gt;=36526",D721,TODAY())+COUNTIFS(E721,"&gt;=36526",E721,TODAY())+COUNTIFS(F721,"&gt;=36526",F721,TODAY())&gt;0),P721,"")</x:f>
      </x:c>
      <x:c r="L721" t="str">
        <x:f>IF(AND(A721&lt;&gt;"",COUNTIFS(C721,"&gt;"&amp;TODAY(),C721,"&lt;="&amp;TODAY()+30)+COUNTIFS(D721,"&gt;"&amp;TODAY(),D721,"&lt;="&amp;TODAY()+30)+COUNTIFS(E721,"&gt;"&amp;TODAY(),E721,"&lt;="&amp;TODAY()+30)+COUNTIFS(F721,"&gt;"&amp;TODAY(),F721,"&lt;="&amp;TODAY()+30)&gt;0),Q721,"")</x:f>
      </x:c>
      <x:c r="M721" t="str">
        <x:f>IF(OR(LEFT(H721,15)="Missing dates; ",LEFT(H721,16)="Add N/A reason; ",H721="Add dates",H721="Add registration",H721="Check date format"),R721,"")</x:f>
      </x:c>
      <x:c r="N721" t="str">
        <x:f>IF(COUNTIFS(C721:F721,"Reviewed N/A")&gt;0,S721,"")</x:f>
      </x:c>
      <x:c r="O721" t="n">
        <x:f>O720+IF(AND(A721&lt;&gt;"",COUNTIFS(C721,"&gt;=36526",C721,"&lt;"&amp;TODAY())+COUNTIFS(D721,"&gt;=36526",D721,"&lt;"&amp;TODAY())+COUNTIFS(E721,"&gt;=36526",E721,"&lt;"&amp;TODAY())+COUNTIFS(F721,"&gt;=36526",F721,"&lt;"&amp;TODAY())&gt;0),1,0)</x:f>
        <x:v>0</x:v>
      </x:c>
      <x:c r="P721" t="n">
        <x:f>P720+IF(AND(A721&lt;&gt;"",COUNTIFS(C721,"&gt;=36526",C721,TODAY())+COUNTIFS(D721,"&gt;=36526",D721,TODAY())+COUNTIFS(E721,"&gt;=36526",E721,TODAY())+COUNTIFS(F721,"&gt;=36526",F721,TODAY())&gt;0),1,0)</x:f>
        <x:v>0</x:v>
      </x:c>
      <x:c r="Q721" t="n">
        <x:f>Q720+IF(AND(A721&lt;&gt;"",COUNTIFS(C721,"&gt;"&amp;TODAY(),C721,"&lt;="&amp;TODAY()+30)+COUNTIFS(D721,"&gt;"&amp;TODAY(),D721,"&lt;="&amp;TODAY()+30)+COUNTIFS(E721,"&gt;"&amp;TODAY(),E721,"&lt;="&amp;TODAY()+30)+COUNTIFS(F721,"&gt;"&amp;TODAY(),F721,"&lt;="&amp;TODAY()+30)&gt;0),1,0)</x:f>
        <x:v>0</x:v>
      </x:c>
      <x:c r="R721" t="n">
        <x:f>R720+IF(OR(LEFT(H721,15)="Missing dates; ",LEFT(H721,16)="Add N/A reason; ",H721="Add dates",H721="Add registration",H721="Check date format"),1,0)</x:f>
        <x:v>0</x:v>
      </x:c>
      <x:c r="S721" t="n">
        <x:f>S720+IF(COUNTIFS(C721:F721,"Reviewed N/A")&gt;0,1,0)</x:f>
        <x:v>0</x:v>
      </x:c>
    </x:row>
    <x:row r="722" ht="48" customHeight="1">
      <x:c r="A722" s="52"/>
      <x:c r="B722" s="52"/>
      <x:c r="C722" s="53"/>
      <x:c r="D722" s="53"/>
      <x:c r="E722" s="53"/>
      <x:c r="F722" s="53"/>
      <x:c r="G722" s="52"/>
      <x:c r="H722" s="21" t="str">
        <x:f>IF(COUNTA(A722:G722,I722)=0,"",IF(A722="","Add registration",IF(OR(COUNTA(C722:F722)&gt;COUNT(C722:F722)+COUNTIFS(C722:F722,"Reviewed N/A"),AND(COUNT(C722:F722)&gt;0,OR(MIN(C722:F722)&lt;36526,MAX(C722:F722)&gt;109574))),"Check date format",IF(AND(COUNTIFS(C722:F722,"Reviewed N/A")&gt;0,I722=""),"Add N/A reason; ","")&amp;IF(COUNT(C722:F722)=0,IF(COUNTIFS(C722:F722,"Reviewed N/A")=4,"No applicable dates recorded","Add dates"),IF(COUNT(C722:F722)+COUNTIFS(C722:F722,"Reviewed N/A")&lt;4,"Missing dates; ","")&amp;IF(MIN(C722:F722)&lt;TODAY(),"Overdue: ",IF(MIN(C722:F722)=TODAY(),"Due today: ",IF(MIN(C722:F722)&lt;=TODAY()+30,"Due within 30 days: ","Next: ")))&amp;INDEX($C$8:$F$8,1,MATCH(MIN(C722:F722),C722:F722,0))&amp;" "&amp;TEXT(MIN(C722:F722),"dd mmm yyyy")))))</x:f>
      </x:c>
      <x:c r="I722" s="52"/>
      <x:c r="J722" t="str">
        <x:f>IF(AND(A722&lt;&gt;"",COUNTIFS(C722,"&gt;=36526",C722,"&lt;"&amp;TODAY())+COUNTIFS(D722,"&gt;=36526",D722,"&lt;"&amp;TODAY())+COUNTIFS(E722,"&gt;=36526",E722,"&lt;"&amp;TODAY())+COUNTIFS(F722,"&gt;=36526",F722,"&lt;"&amp;TODAY())&gt;0),O722,"")</x:f>
      </x:c>
      <x:c r="K722" t="str">
        <x:f>IF(AND(A722&lt;&gt;"",COUNTIFS(C722,"&gt;=36526",C722,TODAY())+COUNTIFS(D722,"&gt;=36526",D722,TODAY())+COUNTIFS(E722,"&gt;=36526",E722,TODAY())+COUNTIFS(F722,"&gt;=36526",F722,TODAY())&gt;0),P722,"")</x:f>
      </x:c>
      <x:c r="L722" t="str">
        <x:f>IF(AND(A722&lt;&gt;"",COUNTIFS(C722,"&gt;"&amp;TODAY(),C722,"&lt;="&amp;TODAY()+30)+COUNTIFS(D722,"&gt;"&amp;TODAY(),D722,"&lt;="&amp;TODAY()+30)+COUNTIFS(E722,"&gt;"&amp;TODAY(),E722,"&lt;="&amp;TODAY()+30)+COUNTIFS(F722,"&gt;"&amp;TODAY(),F722,"&lt;="&amp;TODAY()+30)&gt;0),Q722,"")</x:f>
      </x:c>
      <x:c r="M722" t="str">
        <x:f>IF(OR(LEFT(H722,15)="Missing dates; ",LEFT(H722,16)="Add N/A reason; ",H722="Add dates",H722="Add registration",H722="Check date format"),R722,"")</x:f>
      </x:c>
      <x:c r="N722" t="str">
        <x:f>IF(COUNTIFS(C722:F722,"Reviewed N/A")&gt;0,S722,"")</x:f>
      </x:c>
      <x:c r="O722" t="n">
        <x:f>O721+IF(AND(A722&lt;&gt;"",COUNTIFS(C722,"&gt;=36526",C722,"&lt;"&amp;TODAY())+COUNTIFS(D722,"&gt;=36526",D722,"&lt;"&amp;TODAY())+COUNTIFS(E722,"&gt;=36526",E722,"&lt;"&amp;TODAY())+COUNTIFS(F722,"&gt;=36526",F722,"&lt;"&amp;TODAY())&gt;0),1,0)</x:f>
        <x:v>0</x:v>
      </x:c>
      <x:c r="P722" t="n">
        <x:f>P721+IF(AND(A722&lt;&gt;"",COUNTIFS(C722,"&gt;=36526",C722,TODAY())+COUNTIFS(D722,"&gt;=36526",D722,TODAY())+COUNTIFS(E722,"&gt;=36526",E722,TODAY())+COUNTIFS(F722,"&gt;=36526",F722,TODAY())&gt;0),1,0)</x:f>
        <x:v>0</x:v>
      </x:c>
      <x:c r="Q722" t="n">
        <x:f>Q721+IF(AND(A722&lt;&gt;"",COUNTIFS(C722,"&gt;"&amp;TODAY(),C722,"&lt;="&amp;TODAY()+30)+COUNTIFS(D722,"&gt;"&amp;TODAY(),D722,"&lt;="&amp;TODAY()+30)+COUNTIFS(E722,"&gt;"&amp;TODAY(),E722,"&lt;="&amp;TODAY()+30)+COUNTIFS(F722,"&gt;"&amp;TODAY(),F722,"&lt;="&amp;TODAY()+30)&gt;0),1,0)</x:f>
        <x:v>0</x:v>
      </x:c>
      <x:c r="R722" t="n">
        <x:f>R721+IF(OR(LEFT(H722,15)="Missing dates; ",LEFT(H722,16)="Add N/A reason; ",H722="Add dates",H722="Add registration",H722="Check date format"),1,0)</x:f>
        <x:v>0</x:v>
      </x:c>
      <x:c r="S722" t="n">
        <x:f>S721+IF(COUNTIFS(C722:F722,"Reviewed N/A")&gt;0,1,0)</x:f>
        <x:v>0</x:v>
      </x:c>
    </x:row>
    <x:row r="723" ht="48" customHeight="1">
      <x:c r="A723" s="52"/>
      <x:c r="B723" s="52"/>
      <x:c r="C723" s="53"/>
      <x:c r="D723" s="53"/>
      <x:c r="E723" s="53"/>
      <x:c r="F723" s="53"/>
      <x:c r="G723" s="52"/>
      <x:c r="H723" s="21" t="str">
        <x:f>IF(COUNTA(A723:G723,I723)=0,"",IF(A723="","Add registration",IF(OR(COUNTA(C723:F723)&gt;COUNT(C723:F723)+COUNTIFS(C723:F723,"Reviewed N/A"),AND(COUNT(C723:F723)&gt;0,OR(MIN(C723:F723)&lt;36526,MAX(C723:F723)&gt;109574))),"Check date format",IF(AND(COUNTIFS(C723:F723,"Reviewed N/A")&gt;0,I723=""),"Add N/A reason; ","")&amp;IF(COUNT(C723:F723)=0,IF(COUNTIFS(C723:F723,"Reviewed N/A")=4,"No applicable dates recorded","Add dates"),IF(COUNT(C723:F723)+COUNTIFS(C723:F723,"Reviewed N/A")&lt;4,"Missing dates; ","")&amp;IF(MIN(C723:F723)&lt;TODAY(),"Overdue: ",IF(MIN(C723:F723)=TODAY(),"Due today: ",IF(MIN(C723:F723)&lt;=TODAY()+30,"Due within 30 days: ","Next: ")))&amp;INDEX($C$8:$F$8,1,MATCH(MIN(C723:F723),C723:F723,0))&amp;" "&amp;TEXT(MIN(C723:F723),"dd mmm yyyy")))))</x:f>
      </x:c>
      <x:c r="I723" s="52"/>
      <x:c r="J723" t="str">
        <x:f>IF(AND(A723&lt;&gt;"",COUNTIFS(C723,"&gt;=36526",C723,"&lt;"&amp;TODAY())+COUNTIFS(D723,"&gt;=36526",D723,"&lt;"&amp;TODAY())+COUNTIFS(E723,"&gt;=36526",E723,"&lt;"&amp;TODAY())+COUNTIFS(F723,"&gt;=36526",F723,"&lt;"&amp;TODAY())&gt;0),O723,"")</x:f>
      </x:c>
      <x:c r="K723" t="str">
        <x:f>IF(AND(A723&lt;&gt;"",COUNTIFS(C723,"&gt;=36526",C723,TODAY())+COUNTIFS(D723,"&gt;=36526",D723,TODAY())+COUNTIFS(E723,"&gt;=36526",E723,TODAY())+COUNTIFS(F723,"&gt;=36526",F723,TODAY())&gt;0),P723,"")</x:f>
      </x:c>
      <x:c r="L723" t="str">
        <x:f>IF(AND(A723&lt;&gt;"",COUNTIFS(C723,"&gt;"&amp;TODAY(),C723,"&lt;="&amp;TODAY()+30)+COUNTIFS(D723,"&gt;"&amp;TODAY(),D723,"&lt;="&amp;TODAY()+30)+COUNTIFS(E723,"&gt;"&amp;TODAY(),E723,"&lt;="&amp;TODAY()+30)+COUNTIFS(F723,"&gt;"&amp;TODAY(),F723,"&lt;="&amp;TODAY()+30)&gt;0),Q723,"")</x:f>
      </x:c>
      <x:c r="M723" t="str">
        <x:f>IF(OR(LEFT(H723,15)="Missing dates; ",LEFT(H723,16)="Add N/A reason; ",H723="Add dates",H723="Add registration",H723="Check date format"),R723,"")</x:f>
      </x:c>
      <x:c r="N723" t="str">
        <x:f>IF(COUNTIFS(C723:F723,"Reviewed N/A")&gt;0,S723,"")</x:f>
      </x:c>
      <x:c r="O723" t="n">
        <x:f>O722+IF(AND(A723&lt;&gt;"",COUNTIFS(C723,"&gt;=36526",C723,"&lt;"&amp;TODAY())+COUNTIFS(D723,"&gt;=36526",D723,"&lt;"&amp;TODAY())+COUNTIFS(E723,"&gt;=36526",E723,"&lt;"&amp;TODAY())+COUNTIFS(F723,"&gt;=36526",F723,"&lt;"&amp;TODAY())&gt;0),1,0)</x:f>
        <x:v>0</x:v>
      </x:c>
      <x:c r="P723" t="n">
        <x:f>P722+IF(AND(A723&lt;&gt;"",COUNTIFS(C723,"&gt;=36526",C723,TODAY())+COUNTIFS(D723,"&gt;=36526",D723,TODAY())+COUNTIFS(E723,"&gt;=36526",E723,TODAY())+COUNTIFS(F723,"&gt;=36526",F723,TODAY())&gt;0),1,0)</x:f>
        <x:v>0</x:v>
      </x:c>
      <x:c r="Q723" t="n">
        <x:f>Q722+IF(AND(A723&lt;&gt;"",COUNTIFS(C723,"&gt;"&amp;TODAY(),C723,"&lt;="&amp;TODAY()+30)+COUNTIFS(D723,"&gt;"&amp;TODAY(),D723,"&lt;="&amp;TODAY()+30)+COUNTIFS(E723,"&gt;"&amp;TODAY(),E723,"&lt;="&amp;TODAY()+30)+COUNTIFS(F723,"&gt;"&amp;TODAY(),F723,"&lt;="&amp;TODAY()+30)&gt;0),1,0)</x:f>
        <x:v>0</x:v>
      </x:c>
      <x:c r="R723" t="n">
        <x:f>R722+IF(OR(LEFT(H723,15)="Missing dates; ",LEFT(H723,16)="Add N/A reason; ",H723="Add dates",H723="Add registration",H723="Check date format"),1,0)</x:f>
        <x:v>0</x:v>
      </x:c>
      <x:c r="S723" t="n">
        <x:f>S722+IF(COUNTIFS(C723:F723,"Reviewed N/A")&gt;0,1,0)</x:f>
        <x:v>0</x:v>
      </x:c>
    </x:row>
    <x:row r="724" ht="48" customHeight="1">
      <x:c r="A724" s="52"/>
      <x:c r="B724" s="52"/>
      <x:c r="C724" s="53"/>
      <x:c r="D724" s="53"/>
      <x:c r="E724" s="53"/>
      <x:c r="F724" s="53"/>
      <x:c r="G724" s="52"/>
      <x:c r="H724" s="21" t="str">
        <x:f>IF(COUNTA(A724:G724,I724)=0,"",IF(A724="","Add registration",IF(OR(COUNTA(C724:F724)&gt;COUNT(C724:F724)+COUNTIFS(C724:F724,"Reviewed N/A"),AND(COUNT(C724:F724)&gt;0,OR(MIN(C724:F724)&lt;36526,MAX(C724:F724)&gt;109574))),"Check date format",IF(AND(COUNTIFS(C724:F724,"Reviewed N/A")&gt;0,I724=""),"Add N/A reason; ","")&amp;IF(COUNT(C724:F724)=0,IF(COUNTIFS(C724:F724,"Reviewed N/A")=4,"No applicable dates recorded","Add dates"),IF(COUNT(C724:F724)+COUNTIFS(C724:F724,"Reviewed N/A")&lt;4,"Missing dates; ","")&amp;IF(MIN(C724:F724)&lt;TODAY(),"Overdue: ",IF(MIN(C724:F724)=TODAY(),"Due today: ",IF(MIN(C724:F724)&lt;=TODAY()+30,"Due within 30 days: ","Next: ")))&amp;INDEX($C$8:$F$8,1,MATCH(MIN(C724:F724),C724:F724,0))&amp;" "&amp;TEXT(MIN(C724:F724),"dd mmm yyyy")))))</x:f>
      </x:c>
      <x:c r="I724" s="52"/>
      <x:c r="J724" t="str">
        <x:f>IF(AND(A724&lt;&gt;"",COUNTIFS(C724,"&gt;=36526",C724,"&lt;"&amp;TODAY())+COUNTIFS(D724,"&gt;=36526",D724,"&lt;"&amp;TODAY())+COUNTIFS(E724,"&gt;=36526",E724,"&lt;"&amp;TODAY())+COUNTIFS(F724,"&gt;=36526",F724,"&lt;"&amp;TODAY())&gt;0),O724,"")</x:f>
      </x:c>
      <x:c r="K724" t="str">
        <x:f>IF(AND(A724&lt;&gt;"",COUNTIFS(C724,"&gt;=36526",C724,TODAY())+COUNTIFS(D724,"&gt;=36526",D724,TODAY())+COUNTIFS(E724,"&gt;=36526",E724,TODAY())+COUNTIFS(F724,"&gt;=36526",F724,TODAY())&gt;0),P724,"")</x:f>
      </x:c>
      <x:c r="L724" t="str">
        <x:f>IF(AND(A724&lt;&gt;"",COUNTIFS(C724,"&gt;"&amp;TODAY(),C724,"&lt;="&amp;TODAY()+30)+COUNTIFS(D724,"&gt;"&amp;TODAY(),D724,"&lt;="&amp;TODAY()+30)+COUNTIFS(E724,"&gt;"&amp;TODAY(),E724,"&lt;="&amp;TODAY()+30)+COUNTIFS(F724,"&gt;"&amp;TODAY(),F724,"&lt;="&amp;TODAY()+30)&gt;0),Q724,"")</x:f>
      </x:c>
      <x:c r="M724" t="str">
        <x:f>IF(OR(LEFT(H724,15)="Missing dates; ",LEFT(H724,16)="Add N/A reason; ",H724="Add dates",H724="Add registration",H724="Check date format"),R724,"")</x:f>
      </x:c>
      <x:c r="N724" t="str">
        <x:f>IF(COUNTIFS(C724:F724,"Reviewed N/A")&gt;0,S724,"")</x:f>
      </x:c>
      <x:c r="O724" t="n">
        <x:f>O723+IF(AND(A724&lt;&gt;"",COUNTIFS(C724,"&gt;=36526",C724,"&lt;"&amp;TODAY())+COUNTIFS(D724,"&gt;=36526",D724,"&lt;"&amp;TODAY())+COUNTIFS(E724,"&gt;=36526",E724,"&lt;"&amp;TODAY())+COUNTIFS(F724,"&gt;=36526",F724,"&lt;"&amp;TODAY())&gt;0),1,0)</x:f>
        <x:v>0</x:v>
      </x:c>
      <x:c r="P724" t="n">
        <x:f>P723+IF(AND(A724&lt;&gt;"",COUNTIFS(C724,"&gt;=36526",C724,TODAY())+COUNTIFS(D724,"&gt;=36526",D724,TODAY())+COUNTIFS(E724,"&gt;=36526",E724,TODAY())+COUNTIFS(F724,"&gt;=36526",F724,TODAY())&gt;0),1,0)</x:f>
        <x:v>0</x:v>
      </x:c>
      <x:c r="Q724" t="n">
        <x:f>Q723+IF(AND(A724&lt;&gt;"",COUNTIFS(C724,"&gt;"&amp;TODAY(),C724,"&lt;="&amp;TODAY()+30)+COUNTIFS(D724,"&gt;"&amp;TODAY(),D724,"&lt;="&amp;TODAY()+30)+COUNTIFS(E724,"&gt;"&amp;TODAY(),E724,"&lt;="&amp;TODAY()+30)+COUNTIFS(F724,"&gt;"&amp;TODAY(),F724,"&lt;="&amp;TODAY()+30)&gt;0),1,0)</x:f>
        <x:v>0</x:v>
      </x:c>
      <x:c r="R724" t="n">
        <x:f>R723+IF(OR(LEFT(H724,15)="Missing dates; ",LEFT(H724,16)="Add N/A reason; ",H724="Add dates",H724="Add registration",H724="Check date format"),1,0)</x:f>
        <x:v>0</x:v>
      </x:c>
      <x:c r="S724" t="n">
        <x:f>S723+IF(COUNTIFS(C724:F724,"Reviewed N/A")&gt;0,1,0)</x:f>
        <x:v>0</x:v>
      </x:c>
    </x:row>
    <x:row r="725" ht="48" customHeight="1">
      <x:c r="A725" s="52"/>
      <x:c r="B725" s="52"/>
      <x:c r="C725" s="53"/>
      <x:c r="D725" s="53"/>
      <x:c r="E725" s="53"/>
      <x:c r="F725" s="53"/>
      <x:c r="G725" s="52"/>
      <x:c r="H725" s="21" t="str">
        <x:f>IF(COUNTA(A725:G725,I725)=0,"",IF(A725="","Add registration",IF(OR(COUNTA(C725:F725)&gt;COUNT(C725:F725)+COUNTIFS(C725:F725,"Reviewed N/A"),AND(COUNT(C725:F725)&gt;0,OR(MIN(C725:F725)&lt;36526,MAX(C725:F725)&gt;109574))),"Check date format",IF(AND(COUNTIFS(C725:F725,"Reviewed N/A")&gt;0,I725=""),"Add N/A reason; ","")&amp;IF(COUNT(C725:F725)=0,IF(COUNTIFS(C725:F725,"Reviewed N/A")=4,"No applicable dates recorded","Add dates"),IF(COUNT(C725:F725)+COUNTIFS(C725:F725,"Reviewed N/A")&lt;4,"Missing dates; ","")&amp;IF(MIN(C725:F725)&lt;TODAY(),"Overdue: ",IF(MIN(C725:F725)=TODAY(),"Due today: ",IF(MIN(C725:F725)&lt;=TODAY()+30,"Due within 30 days: ","Next: ")))&amp;INDEX($C$8:$F$8,1,MATCH(MIN(C725:F725),C725:F725,0))&amp;" "&amp;TEXT(MIN(C725:F725),"dd mmm yyyy")))))</x:f>
      </x:c>
      <x:c r="I725" s="52"/>
      <x:c r="J725" t="str">
        <x:f>IF(AND(A725&lt;&gt;"",COUNTIFS(C725,"&gt;=36526",C725,"&lt;"&amp;TODAY())+COUNTIFS(D725,"&gt;=36526",D725,"&lt;"&amp;TODAY())+COUNTIFS(E725,"&gt;=36526",E725,"&lt;"&amp;TODAY())+COUNTIFS(F725,"&gt;=36526",F725,"&lt;"&amp;TODAY())&gt;0),O725,"")</x:f>
      </x:c>
      <x:c r="K725" t="str">
        <x:f>IF(AND(A725&lt;&gt;"",COUNTIFS(C725,"&gt;=36526",C725,TODAY())+COUNTIFS(D725,"&gt;=36526",D725,TODAY())+COUNTIFS(E725,"&gt;=36526",E725,TODAY())+COUNTIFS(F725,"&gt;=36526",F725,TODAY())&gt;0),P725,"")</x:f>
      </x:c>
      <x:c r="L725" t="str">
        <x:f>IF(AND(A725&lt;&gt;"",COUNTIFS(C725,"&gt;"&amp;TODAY(),C725,"&lt;="&amp;TODAY()+30)+COUNTIFS(D725,"&gt;"&amp;TODAY(),D725,"&lt;="&amp;TODAY()+30)+COUNTIFS(E725,"&gt;"&amp;TODAY(),E725,"&lt;="&amp;TODAY()+30)+COUNTIFS(F725,"&gt;"&amp;TODAY(),F725,"&lt;="&amp;TODAY()+30)&gt;0),Q725,"")</x:f>
      </x:c>
      <x:c r="M725" t="str">
        <x:f>IF(OR(LEFT(H725,15)="Missing dates; ",LEFT(H725,16)="Add N/A reason; ",H725="Add dates",H725="Add registration",H725="Check date format"),R725,"")</x:f>
      </x:c>
      <x:c r="N725" t="str">
        <x:f>IF(COUNTIFS(C725:F725,"Reviewed N/A")&gt;0,S725,"")</x:f>
      </x:c>
      <x:c r="O725" t="n">
        <x:f>O724+IF(AND(A725&lt;&gt;"",COUNTIFS(C725,"&gt;=36526",C725,"&lt;"&amp;TODAY())+COUNTIFS(D725,"&gt;=36526",D725,"&lt;"&amp;TODAY())+COUNTIFS(E725,"&gt;=36526",E725,"&lt;"&amp;TODAY())+COUNTIFS(F725,"&gt;=36526",F725,"&lt;"&amp;TODAY())&gt;0),1,0)</x:f>
        <x:v>0</x:v>
      </x:c>
      <x:c r="P725" t="n">
        <x:f>P724+IF(AND(A725&lt;&gt;"",COUNTIFS(C725,"&gt;=36526",C725,TODAY())+COUNTIFS(D725,"&gt;=36526",D725,TODAY())+COUNTIFS(E725,"&gt;=36526",E725,TODAY())+COUNTIFS(F725,"&gt;=36526",F725,TODAY())&gt;0),1,0)</x:f>
        <x:v>0</x:v>
      </x:c>
      <x:c r="Q725" t="n">
        <x:f>Q724+IF(AND(A725&lt;&gt;"",COUNTIFS(C725,"&gt;"&amp;TODAY(),C725,"&lt;="&amp;TODAY()+30)+COUNTIFS(D725,"&gt;"&amp;TODAY(),D725,"&lt;="&amp;TODAY()+30)+COUNTIFS(E725,"&gt;"&amp;TODAY(),E725,"&lt;="&amp;TODAY()+30)+COUNTIFS(F725,"&gt;"&amp;TODAY(),F725,"&lt;="&amp;TODAY()+30)&gt;0),1,0)</x:f>
        <x:v>0</x:v>
      </x:c>
      <x:c r="R725" t="n">
        <x:f>R724+IF(OR(LEFT(H725,15)="Missing dates; ",LEFT(H725,16)="Add N/A reason; ",H725="Add dates",H725="Add registration",H725="Check date format"),1,0)</x:f>
        <x:v>0</x:v>
      </x:c>
      <x:c r="S725" t="n">
        <x:f>S724+IF(COUNTIFS(C725:F725,"Reviewed N/A")&gt;0,1,0)</x:f>
        <x:v>0</x:v>
      </x:c>
    </x:row>
    <x:row r="726" ht="48" customHeight="1">
      <x:c r="A726" s="52"/>
      <x:c r="B726" s="52"/>
      <x:c r="C726" s="53"/>
      <x:c r="D726" s="53"/>
      <x:c r="E726" s="53"/>
      <x:c r="F726" s="53"/>
      <x:c r="G726" s="52"/>
      <x:c r="H726" s="21" t="str">
        <x:f>IF(COUNTA(A726:G726,I726)=0,"",IF(A726="","Add registration",IF(OR(COUNTA(C726:F726)&gt;COUNT(C726:F726)+COUNTIFS(C726:F726,"Reviewed N/A"),AND(COUNT(C726:F726)&gt;0,OR(MIN(C726:F726)&lt;36526,MAX(C726:F726)&gt;109574))),"Check date format",IF(AND(COUNTIFS(C726:F726,"Reviewed N/A")&gt;0,I726=""),"Add N/A reason; ","")&amp;IF(COUNT(C726:F726)=0,IF(COUNTIFS(C726:F726,"Reviewed N/A")=4,"No applicable dates recorded","Add dates"),IF(COUNT(C726:F726)+COUNTIFS(C726:F726,"Reviewed N/A")&lt;4,"Missing dates; ","")&amp;IF(MIN(C726:F726)&lt;TODAY(),"Overdue: ",IF(MIN(C726:F726)=TODAY(),"Due today: ",IF(MIN(C726:F726)&lt;=TODAY()+30,"Due within 30 days: ","Next: ")))&amp;INDEX($C$8:$F$8,1,MATCH(MIN(C726:F726),C726:F726,0))&amp;" "&amp;TEXT(MIN(C726:F726),"dd mmm yyyy")))))</x:f>
      </x:c>
      <x:c r="I726" s="52"/>
      <x:c r="J726" t="str">
        <x:f>IF(AND(A726&lt;&gt;"",COUNTIFS(C726,"&gt;=36526",C726,"&lt;"&amp;TODAY())+COUNTIFS(D726,"&gt;=36526",D726,"&lt;"&amp;TODAY())+COUNTIFS(E726,"&gt;=36526",E726,"&lt;"&amp;TODAY())+COUNTIFS(F726,"&gt;=36526",F726,"&lt;"&amp;TODAY())&gt;0),O726,"")</x:f>
      </x:c>
      <x:c r="K726" t="str">
        <x:f>IF(AND(A726&lt;&gt;"",COUNTIFS(C726,"&gt;=36526",C726,TODAY())+COUNTIFS(D726,"&gt;=36526",D726,TODAY())+COUNTIFS(E726,"&gt;=36526",E726,TODAY())+COUNTIFS(F726,"&gt;=36526",F726,TODAY())&gt;0),P726,"")</x:f>
      </x:c>
      <x:c r="L726" t="str">
        <x:f>IF(AND(A726&lt;&gt;"",COUNTIFS(C726,"&gt;"&amp;TODAY(),C726,"&lt;="&amp;TODAY()+30)+COUNTIFS(D726,"&gt;"&amp;TODAY(),D726,"&lt;="&amp;TODAY()+30)+COUNTIFS(E726,"&gt;"&amp;TODAY(),E726,"&lt;="&amp;TODAY()+30)+COUNTIFS(F726,"&gt;"&amp;TODAY(),F726,"&lt;="&amp;TODAY()+30)&gt;0),Q726,"")</x:f>
      </x:c>
      <x:c r="M726" t="str">
        <x:f>IF(OR(LEFT(H726,15)="Missing dates; ",LEFT(H726,16)="Add N/A reason; ",H726="Add dates",H726="Add registration",H726="Check date format"),R726,"")</x:f>
      </x:c>
      <x:c r="N726" t="str">
        <x:f>IF(COUNTIFS(C726:F726,"Reviewed N/A")&gt;0,S726,"")</x:f>
      </x:c>
      <x:c r="O726" t="n">
        <x:f>O725+IF(AND(A726&lt;&gt;"",COUNTIFS(C726,"&gt;=36526",C726,"&lt;"&amp;TODAY())+COUNTIFS(D726,"&gt;=36526",D726,"&lt;"&amp;TODAY())+COUNTIFS(E726,"&gt;=36526",E726,"&lt;"&amp;TODAY())+COUNTIFS(F726,"&gt;=36526",F726,"&lt;"&amp;TODAY())&gt;0),1,0)</x:f>
        <x:v>0</x:v>
      </x:c>
      <x:c r="P726" t="n">
        <x:f>P725+IF(AND(A726&lt;&gt;"",COUNTIFS(C726,"&gt;=36526",C726,TODAY())+COUNTIFS(D726,"&gt;=36526",D726,TODAY())+COUNTIFS(E726,"&gt;=36526",E726,TODAY())+COUNTIFS(F726,"&gt;=36526",F726,TODAY())&gt;0),1,0)</x:f>
        <x:v>0</x:v>
      </x:c>
      <x:c r="Q726" t="n">
        <x:f>Q725+IF(AND(A726&lt;&gt;"",COUNTIFS(C726,"&gt;"&amp;TODAY(),C726,"&lt;="&amp;TODAY()+30)+COUNTIFS(D726,"&gt;"&amp;TODAY(),D726,"&lt;="&amp;TODAY()+30)+COUNTIFS(E726,"&gt;"&amp;TODAY(),E726,"&lt;="&amp;TODAY()+30)+COUNTIFS(F726,"&gt;"&amp;TODAY(),F726,"&lt;="&amp;TODAY()+30)&gt;0),1,0)</x:f>
        <x:v>0</x:v>
      </x:c>
      <x:c r="R726" t="n">
        <x:f>R725+IF(OR(LEFT(H726,15)="Missing dates; ",LEFT(H726,16)="Add N/A reason; ",H726="Add dates",H726="Add registration",H726="Check date format"),1,0)</x:f>
        <x:v>0</x:v>
      </x:c>
      <x:c r="S726" t="n">
        <x:f>S725+IF(COUNTIFS(C726:F726,"Reviewed N/A")&gt;0,1,0)</x:f>
        <x:v>0</x:v>
      </x:c>
    </x:row>
    <x:row r="727" ht="48" customHeight="1">
      <x:c r="A727" s="52"/>
      <x:c r="B727" s="52"/>
      <x:c r="C727" s="53"/>
      <x:c r="D727" s="53"/>
      <x:c r="E727" s="53"/>
      <x:c r="F727" s="53"/>
      <x:c r="G727" s="52"/>
      <x:c r="H727" s="21" t="str">
        <x:f>IF(COUNTA(A727:G727,I727)=0,"",IF(A727="","Add registration",IF(OR(COUNTA(C727:F727)&gt;COUNT(C727:F727)+COUNTIFS(C727:F727,"Reviewed N/A"),AND(COUNT(C727:F727)&gt;0,OR(MIN(C727:F727)&lt;36526,MAX(C727:F727)&gt;109574))),"Check date format",IF(AND(COUNTIFS(C727:F727,"Reviewed N/A")&gt;0,I727=""),"Add N/A reason; ","")&amp;IF(COUNT(C727:F727)=0,IF(COUNTIFS(C727:F727,"Reviewed N/A")=4,"No applicable dates recorded","Add dates"),IF(COUNT(C727:F727)+COUNTIFS(C727:F727,"Reviewed N/A")&lt;4,"Missing dates; ","")&amp;IF(MIN(C727:F727)&lt;TODAY(),"Overdue: ",IF(MIN(C727:F727)=TODAY(),"Due today: ",IF(MIN(C727:F727)&lt;=TODAY()+30,"Due within 30 days: ","Next: ")))&amp;INDEX($C$8:$F$8,1,MATCH(MIN(C727:F727),C727:F727,0))&amp;" "&amp;TEXT(MIN(C727:F727),"dd mmm yyyy")))))</x:f>
      </x:c>
      <x:c r="I727" s="52"/>
      <x:c r="J727" t="str">
        <x:f>IF(AND(A727&lt;&gt;"",COUNTIFS(C727,"&gt;=36526",C727,"&lt;"&amp;TODAY())+COUNTIFS(D727,"&gt;=36526",D727,"&lt;"&amp;TODAY())+COUNTIFS(E727,"&gt;=36526",E727,"&lt;"&amp;TODAY())+COUNTIFS(F727,"&gt;=36526",F727,"&lt;"&amp;TODAY())&gt;0),O727,"")</x:f>
      </x:c>
      <x:c r="K727" t="str">
        <x:f>IF(AND(A727&lt;&gt;"",COUNTIFS(C727,"&gt;=36526",C727,TODAY())+COUNTIFS(D727,"&gt;=36526",D727,TODAY())+COUNTIFS(E727,"&gt;=36526",E727,TODAY())+COUNTIFS(F727,"&gt;=36526",F727,TODAY())&gt;0),P727,"")</x:f>
      </x:c>
      <x:c r="L727" t="str">
        <x:f>IF(AND(A727&lt;&gt;"",COUNTIFS(C727,"&gt;"&amp;TODAY(),C727,"&lt;="&amp;TODAY()+30)+COUNTIFS(D727,"&gt;"&amp;TODAY(),D727,"&lt;="&amp;TODAY()+30)+COUNTIFS(E727,"&gt;"&amp;TODAY(),E727,"&lt;="&amp;TODAY()+30)+COUNTIFS(F727,"&gt;"&amp;TODAY(),F727,"&lt;="&amp;TODAY()+30)&gt;0),Q727,"")</x:f>
      </x:c>
      <x:c r="M727" t="str">
        <x:f>IF(OR(LEFT(H727,15)="Missing dates; ",LEFT(H727,16)="Add N/A reason; ",H727="Add dates",H727="Add registration",H727="Check date format"),R727,"")</x:f>
      </x:c>
      <x:c r="N727" t="str">
        <x:f>IF(COUNTIFS(C727:F727,"Reviewed N/A")&gt;0,S727,"")</x:f>
      </x:c>
      <x:c r="O727" t="n">
        <x:f>O726+IF(AND(A727&lt;&gt;"",COUNTIFS(C727,"&gt;=36526",C727,"&lt;"&amp;TODAY())+COUNTIFS(D727,"&gt;=36526",D727,"&lt;"&amp;TODAY())+COUNTIFS(E727,"&gt;=36526",E727,"&lt;"&amp;TODAY())+COUNTIFS(F727,"&gt;=36526",F727,"&lt;"&amp;TODAY())&gt;0),1,0)</x:f>
        <x:v>0</x:v>
      </x:c>
      <x:c r="P727" t="n">
        <x:f>P726+IF(AND(A727&lt;&gt;"",COUNTIFS(C727,"&gt;=36526",C727,TODAY())+COUNTIFS(D727,"&gt;=36526",D727,TODAY())+COUNTIFS(E727,"&gt;=36526",E727,TODAY())+COUNTIFS(F727,"&gt;=36526",F727,TODAY())&gt;0),1,0)</x:f>
        <x:v>0</x:v>
      </x:c>
      <x:c r="Q727" t="n">
        <x:f>Q726+IF(AND(A727&lt;&gt;"",COUNTIFS(C727,"&gt;"&amp;TODAY(),C727,"&lt;="&amp;TODAY()+30)+COUNTIFS(D727,"&gt;"&amp;TODAY(),D727,"&lt;="&amp;TODAY()+30)+COUNTIFS(E727,"&gt;"&amp;TODAY(),E727,"&lt;="&amp;TODAY()+30)+COUNTIFS(F727,"&gt;"&amp;TODAY(),F727,"&lt;="&amp;TODAY()+30)&gt;0),1,0)</x:f>
        <x:v>0</x:v>
      </x:c>
      <x:c r="R727" t="n">
        <x:f>R726+IF(OR(LEFT(H727,15)="Missing dates; ",LEFT(H727,16)="Add N/A reason; ",H727="Add dates",H727="Add registration",H727="Check date format"),1,0)</x:f>
        <x:v>0</x:v>
      </x:c>
      <x:c r="S727" t="n">
        <x:f>S726+IF(COUNTIFS(C727:F727,"Reviewed N/A")&gt;0,1,0)</x:f>
        <x:v>0</x:v>
      </x:c>
    </x:row>
    <x:row r="728" ht="48" customHeight="1">
      <x:c r="A728" s="52"/>
      <x:c r="B728" s="52"/>
      <x:c r="C728" s="53"/>
      <x:c r="D728" s="53"/>
      <x:c r="E728" s="53"/>
      <x:c r="F728" s="53"/>
      <x:c r="G728" s="52"/>
      <x:c r="H728" s="21" t="str">
        <x:f>IF(COUNTA(A728:G728,I728)=0,"",IF(A728="","Add registration",IF(OR(COUNTA(C728:F728)&gt;COUNT(C728:F728)+COUNTIFS(C728:F728,"Reviewed N/A"),AND(COUNT(C728:F728)&gt;0,OR(MIN(C728:F728)&lt;36526,MAX(C728:F728)&gt;109574))),"Check date format",IF(AND(COUNTIFS(C728:F728,"Reviewed N/A")&gt;0,I728=""),"Add N/A reason; ","")&amp;IF(COUNT(C728:F728)=0,IF(COUNTIFS(C728:F728,"Reviewed N/A")=4,"No applicable dates recorded","Add dates"),IF(COUNT(C728:F728)+COUNTIFS(C728:F728,"Reviewed N/A")&lt;4,"Missing dates; ","")&amp;IF(MIN(C728:F728)&lt;TODAY(),"Overdue: ",IF(MIN(C728:F728)=TODAY(),"Due today: ",IF(MIN(C728:F728)&lt;=TODAY()+30,"Due within 30 days: ","Next: ")))&amp;INDEX($C$8:$F$8,1,MATCH(MIN(C728:F728),C728:F728,0))&amp;" "&amp;TEXT(MIN(C728:F728),"dd mmm yyyy")))))</x:f>
      </x:c>
      <x:c r="I728" s="52"/>
      <x:c r="J728" t="str">
        <x:f>IF(AND(A728&lt;&gt;"",COUNTIFS(C728,"&gt;=36526",C728,"&lt;"&amp;TODAY())+COUNTIFS(D728,"&gt;=36526",D728,"&lt;"&amp;TODAY())+COUNTIFS(E728,"&gt;=36526",E728,"&lt;"&amp;TODAY())+COUNTIFS(F728,"&gt;=36526",F728,"&lt;"&amp;TODAY())&gt;0),O728,"")</x:f>
      </x:c>
      <x:c r="K728" t="str">
        <x:f>IF(AND(A728&lt;&gt;"",COUNTIFS(C728,"&gt;=36526",C728,TODAY())+COUNTIFS(D728,"&gt;=36526",D728,TODAY())+COUNTIFS(E728,"&gt;=36526",E728,TODAY())+COUNTIFS(F728,"&gt;=36526",F728,TODAY())&gt;0),P728,"")</x:f>
      </x:c>
      <x:c r="L728" t="str">
        <x:f>IF(AND(A728&lt;&gt;"",COUNTIFS(C728,"&gt;"&amp;TODAY(),C728,"&lt;="&amp;TODAY()+30)+COUNTIFS(D728,"&gt;"&amp;TODAY(),D728,"&lt;="&amp;TODAY()+30)+COUNTIFS(E728,"&gt;"&amp;TODAY(),E728,"&lt;="&amp;TODAY()+30)+COUNTIFS(F728,"&gt;"&amp;TODAY(),F728,"&lt;="&amp;TODAY()+30)&gt;0),Q728,"")</x:f>
      </x:c>
      <x:c r="M728" t="str">
        <x:f>IF(OR(LEFT(H728,15)="Missing dates; ",LEFT(H728,16)="Add N/A reason; ",H728="Add dates",H728="Add registration",H728="Check date format"),R728,"")</x:f>
      </x:c>
      <x:c r="N728" t="str">
        <x:f>IF(COUNTIFS(C728:F728,"Reviewed N/A")&gt;0,S728,"")</x:f>
      </x:c>
      <x:c r="O728" t="n">
        <x:f>O727+IF(AND(A728&lt;&gt;"",COUNTIFS(C728,"&gt;=36526",C728,"&lt;"&amp;TODAY())+COUNTIFS(D728,"&gt;=36526",D728,"&lt;"&amp;TODAY())+COUNTIFS(E728,"&gt;=36526",E728,"&lt;"&amp;TODAY())+COUNTIFS(F728,"&gt;=36526",F728,"&lt;"&amp;TODAY())&gt;0),1,0)</x:f>
        <x:v>0</x:v>
      </x:c>
      <x:c r="P728" t="n">
        <x:f>P727+IF(AND(A728&lt;&gt;"",COUNTIFS(C728,"&gt;=36526",C728,TODAY())+COUNTIFS(D728,"&gt;=36526",D728,TODAY())+COUNTIFS(E728,"&gt;=36526",E728,TODAY())+COUNTIFS(F728,"&gt;=36526",F728,TODAY())&gt;0),1,0)</x:f>
        <x:v>0</x:v>
      </x:c>
      <x:c r="Q728" t="n">
        <x:f>Q727+IF(AND(A728&lt;&gt;"",COUNTIFS(C728,"&gt;"&amp;TODAY(),C728,"&lt;="&amp;TODAY()+30)+COUNTIFS(D728,"&gt;"&amp;TODAY(),D728,"&lt;="&amp;TODAY()+30)+COUNTIFS(E728,"&gt;"&amp;TODAY(),E728,"&lt;="&amp;TODAY()+30)+COUNTIFS(F728,"&gt;"&amp;TODAY(),F728,"&lt;="&amp;TODAY()+30)&gt;0),1,0)</x:f>
        <x:v>0</x:v>
      </x:c>
      <x:c r="R728" t="n">
        <x:f>R727+IF(OR(LEFT(H728,15)="Missing dates; ",LEFT(H728,16)="Add N/A reason; ",H728="Add dates",H728="Add registration",H728="Check date format"),1,0)</x:f>
        <x:v>0</x:v>
      </x:c>
      <x:c r="S728" t="n">
        <x:f>S727+IF(COUNTIFS(C728:F728,"Reviewed N/A")&gt;0,1,0)</x:f>
        <x:v>0</x:v>
      </x:c>
    </x:row>
    <x:row r="729" ht="48" customHeight="1">
      <x:c r="A729" s="52"/>
      <x:c r="B729" s="52"/>
      <x:c r="C729" s="53"/>
      <x:c r="D729" s="53"/>
      <x:c r="E729" s="53"/>
      <x:c r="F729" s="53"/>
      <x:c r="G729" s="52"/>
      <x:c r="H729" s="21" t="str">
        <x:f>IF(COUNTA(A729:G729,I729)=0,"",IF(A729="","Add registration",IF(OR(COUNTA(C729:F729)&gt;COUNT(C729:F729)+COUNTIFS(C729:F729,"Reviewed N/A"),AND(COUNT(C729:F729)&gt;0,OR(MIN(C729:F729)&lt;36526,MAX(C729:F729)&gt;109574))),"Check date format",IF(AND(COUNTIFS(C729:F729,"Reviewed N/A")&gt;0,I729=""),"Add N/A reason; ","")&amp;IF(COUNT(C729:F729)=0,IF(COUNTIFS(C729:F729,"Reviewed N/A")=4,"No applicable dates recorded","Add dates"),IF(COUNT(C729:F729)+COUNTIFS(C729:F729,"Reviewed N/A")&lt;4,"Missing dates; ","")&amp;IF(MIN(C729:F729)&lt;TODAY(),"Overdue: ",IF(MIN(C729:F729)=TODAY(),"Due today: ",IF(MIN(C729:F729)&lt;=TODAY()+30,"Due within 30 days: ","Next: ")))&amp;INDEX($C$8:$F$8,1,MATCH(MIN(C729:F729),C729:F729,0))&amp;" "&amp;TEXT(MIN(C729:F729),"dd mmm yyyy")))))</x:f>
      </x:c>
      <x:c r="I729" s="52"/>
      <x:c r="J729" t="str">
        <x:f>IF(AND(A729&lt;&gt;"",COUNTIFS(C729,"&gt;=36526",C729,"&lt;"&amp;TODAY())+COUNTIFS(D729,"&gt;=36526",D729,"&lt;"&amp;TODAY())+COUNTIFS(E729,"&gt;=36526",E729,"&lt;"&amp;TODAY())+COUNTIFS(F729,"&gt;=36526",F729,"&lt;"&amp;TODAY())&gt;0),O729,"")</x:f>
      </x:c>
      <x:c r="K729" t="str">
        <x:f>IF(AND(A729&lt;&gt;"",COUNTIFS(C729,"&gt;=36526",C729,TODAY())+COUNTIFS(D729,"&gt;=36526",D729,TODAY())+COUNTIFS(E729,"&gt;=36526",E729,TODAY())+COUNTIFS(F729,"&gt;=36526",F729,TODAY())&gt;0),P729,"")</x:f>
      </x:c>
      <x:c r="L729" t="str">
        <x:f>IF(AND(A729&lt;&gt;"",COUNTIFS(C729,"&gt;"&amp;TODAY(),C729,"&lt;="&amp;TODAY()+30)+COUNTIFS(D729,"&gt;"&amp;TODAY(),D729,"&lt;="&amp;TODAY()+30)+COUNTIFS(E729,"&gt;"&amp;TODAY(),E729,"&lt;="&amp;TODAY()+30)+COUNTIFS(F729,"&gt;"&amp;TODAY(),F729,"&lt;="&amp;TODAY()+30)&gt;0),Q729,"")</x:f>
      </x:c>
      <x:c r="M729" t="str">
        <x:f>IF(OR(LEFT(H729,15)="Missing dates; ",LEFT(H729,16)="Add N/A reason; ",H729="Add dates",H729="Add registration",H729="Check date format"),R729,"")</x:f>
      </x:c>
      <x:c r="N729" t="str">
        <x:f>IF(COUNTIFS(C729:F729,"Reviewed N/A")&gt;0,S729,"")</x:f>
      </x:c>
      <x:c r="O729" t="n">
        <x:f>O728+IF(AND(A729&lt;&gt;"",COUNTIFS(C729,"&gt;=36526",C729,"&lt;"&amp;TODAY())+COUNTIFS(D729,"&gt;=36526",D729,"&lt;"&amp;TODAY())+COUNTIFS(E729,"&gt;=36526",E729,"&lt;"&amp;TODAY())+COUNTIFS(F729,"&gt;=36526",F729,"&lt;"&amp;TODAY())&gt;0),1,0)</x:f>
        <x:v>0</x:v>
      </x:c>
      <x:c r="P729" t="n">
        <x:f>P728+IF(AND(A729&lt;&gt;"",COUNTIFS(C729,"&gt;=36526",C729,TODAY())+COUNTIFS(D729,"&gt;=36526",D729,TODAY())+COUNTIFS(E729,"&gt;=36526",E729,TODAY())+COUNTIFS(F729,"&gt;=36526",F729,TODAY())&gt;0),1,0)</x:f>
        <x:v>0</x:v>
      </x:c>
      <x:c r="Q729" t="n">
        <x:f>Q728+IF(AND(A729&lt;&gt;"",COUNTIFS(C729,"&gt;"&amp;TODAY(),C729,"&lt;="&amp;TODAY()+30)+COUNTIFS(D729,"&gt;"&amp;TODAY(),D729,"&lt;="&amp;TODAY()+30)+COUNTIFS(E729,"&gt;"&amp;TODAY(),E729,"&lt;="&amp;TODAY()+30)+COUNTIFS(F729,"&gt;"&amp;TODAY(),F729,"&lt;="&amp;TODAY()+30)&gt;0),1,0)</x:f>
        <x:v>0</x:v>
      </x:c>
      <x:c r="R729" t="n">
        <x:f>R728+IF(OR(LEFT(H729,15)="Missing dates; ",LEFT(H729,16)="Add N/A reason; ",H729="Add dates",H729="Add registration",H729="Check date format"),1,0)</x:f>
        <x:v>0</x:v>
      </x:c>
      <x:c r="S729" t="n">
        <x:f>S728+IF(COUNTIFS(C729:F729,"Reviewed N/A")&gt;0,1,0)</x:f>
        <x:v>0</x:v>
      </x:c>
    </x:row>
    <x:row r="730" ht="48" customHeight="1">
      <x:c r="A730" s="52"/>
      <x:c r="B730" s="52"/>
      <x:c r="C730" s="53"/>
      <x:c r="D730" s="53"/>
      <x:c r="E730" s="53"/>
      <x:c r="F730" s="53"/>
      <x:c r="G730" s="52"/>
      <x:c r="H730" s="21" t="str">
        <x:f>IF(COUNTA(A730:G730,I730)=0,"",IF(A730="","Add registration",IF(OR(COUNTA(C730:F730)&gt;COUNT(C730:F730)+COUNTIFS(C730:F730,"Reviewed N/A"),AND(COUNT(C730:F730)&gt;0,OR(MIN(C730:F730)&lt;36526,MAX(C730:F730)&gt;109574))),"Check date format",IF(AND(COUNTIFS(C730:F730,"Reviewed N/A")&gt;0,I730=""),"Add N/A reason; ","")&amp;IF(COUNT(C730:F730)=0,IF(COUNTIFS(C730:F730,"Reviewed N/A")=4,"No applicable dates recorded","Add dates"),IF(COUNT(C730:F730)+COUNTIFS(C730:F730,"Reviewed N/A")&lt;4,"Missing dates; ","")&amp;IF(MIN(C730:F730)&lt;TODAY(),"Overdue: ",IF(MIN(C730:F730)=TODAY(),"Due today: ",IF(MIN(C730:F730)&lt;=TODAY()+30,"Due within 30 days: ","Next: ")))&amp;INDEX($C$8:$F$8,1,MATCH(MIN(C730:F730),C730:F730,0))&amp;" "&amp;TEXT(MIN(C730:F730),"dd mmm yyyy")))))</x:f>
      </x:c>
      <x:c r="I730" s="52"/>
      <x:c r="J730" t="str">
        <x:f>IF(AND(A730&lt;&gt;"",COUNTIFS(C730,"&gt;=36526",C730,"&lt;"&amp;TODAY())+COUNTIFS(D730,"&gt;=36526",D730,"&lt;"&amp;TODAY())+COUNTIFS(E730,"&gt;=36526",E730,"&lt;"&amp;TODAY())+COUNTIFS(F730,"&gt;=36526",F730,"&lt;"&amp;TODAY())&gt;0),O730,"")</x:f>
      </x:c>
      <x:c r="K730" t="str">
        <x:f>IF(AND(A730&lt;&gt;"",COUNTIFS(C730,"&gt;=36526",C730,TODAY())+COUNTIFS(D730,"&gt;=36526",D730,TODAY())+COUNTIFS(E730,"&gt;=36526",E730,TODAY())+COUNTIFS(F730,"&gt;=36526",F730,TODAY())&gt;0),P730,"")</x:f>
      </x:c>
      <x:c r="L730" t="str">
        <x:f>IF(AND(A730&lt;&gt;"",COUNTIFS(C730,"&gt;"&amp;TODAY(),C730,"&lt;="&amp;TODAY()+30)+COUNTIFS(D730,"&gt;"&amp;TODAY(),D730,"&lt;="&amp;TODAY()+30)+COUNTIFS(E730,"&gt;"&amp;TODAY(),E730,"&lt;="&amp;TODAY()+30)+COUNTIFS(F730,"&gt;"&amp;TODAY(),F730,"&lt;="&amp;TODAY()+30)&gt;0),Q730,"")</x:f>
      </x:c>
      <x:c r="M730" t="str">
        <x:f>IF(OR(LEFT(H730,15)="Missing dates; ",LEFT(H730,16)="Add N/A reason; ",H730="Add dates",H730="Add registration",H730="Check date format"),R730,"")</x:f>
      </x:c>
      <x:c r="N730" t="str">
        <x:f>IF(COUNTIFS(C730:F730,"Reviewed N/A")&gt;0,S730,"")</x:f>
      </x:c>
      <x:c r="O730" t="n">
        <x:f>O729+IF(AND(A730&lt;&gt;"",COUNTIFS(C730,"&gt;=36526",C730,"&lt;"&amp;TODAY())+COUNTIFS(D730,"&gt;=36526",D730,"&lt;"&amp;TODAY())+COUNTIFS(E730,"&gt;=36526",E730,"&lt;"&amp;TODAY())+COUNTIFS(F730,"&gt;=36526",F730,"&lt;"&amp;TODAY())&gt;0),1,0)</x:f>
        <x:v>0</x:v>
      </x:c>
      <x:c r="P730" t="n">
        <x:f>P729+IF(AND(A730&lt;&gt;"",COUNTIFS(C730,"&gt;=36526",C730,TODAY())+COUNTIFS(D730,"&gt;=36526",D730,TODAY())+COUNTIFS(E730,"&gt;=36526",E730,TODAY())+COUNTIFS(F730,"&gt;=36526",F730,TODAY())&gt;0),1,0)</x:f>
        <x:v>0</x:v>
      </x:c>
      <x:c r="Q730" t="n">
        <x:f>Q729+IF(AND(A730&lt;&gt;"",COUNTIFS(C730,"&gt;"&amp;TODAY(),C730,"&lt;="&amp;TODAY()+30)+COUNTIFS(D730,"&gt;"&amp;TODAY(),D730,"&lt;="&amp;TODAY()+30)+COUNTIFS(E730,"&gt;"&amp;TODAY(),E730,"&lt;="&amp;TODAY()+30)+COUNTIFS(F730,"&gt;"&amp;TODAY(),F730,"&lt;="&amp;TODAY()+30)&gt;0),1,0)</x:f>
        <x:v>0</x:v>
      </x:c>
      <x:c r="R730" t="n">
        <x:f>R729+IF(OR(LEFT(H730,15)="Missing dates; ",LEFT(H730,16)="Add N/A reason; ",H730="Add dates",H730="Add registration",H730="Check date format"),1,0)</x:f>
        <x:v>0</x:v>
      </x:c>
      <x:c r="S730" t="n">
        <x:f>S729+IF(COUNTIFS(C730:F730,"Reviewed N/A")&gt;0,1,0)</x:f>
        <x:v>0</x:v>
      </x:c>
    </x:row>
    <x:row r="731" ht="48" customHeight="1">
      <x:c r="A731" s="52"/>
      <x:c r="B731" s="52"/>
      <x:c r="C731" s="53"/>
      <x:c r="D731" s="53"/>
      <x:c r="E731" s="53"/>
      <x:c r="F731" s="53"/>
      <x:c r="G731" s="52"/>
      <x:c r="H731" s="21" t="str">
        <x:f>IF(COUNTA(A731:G731,I731)=0,"",IF(A731="","Add registration",IF(OR(COUNTA(C731:F731)&gt;COUNT(C731:F731)+COUNTIFS(C731:F731,"Reviewed N/A"),AND(COUNT(C731:F731)&gt;0,OR(MIN(C731:F731)&lt;36526,MAX(C731:F731)&gt;109574))),"Check date format",IF(AND(COUNTIFS(C731:F731,"Reviewed N/A")&gt;0,I731=""),"Add N/A reason; ","")&amp;IF(COUNT(C731:F731)=0,IF(COUNTIFS(C731:F731,"Reviewed N/A")=4,"No applicable dates recorded","Add dates"),IF(COUNT(C731:F731)+COUNTIFS(C731:F731,"Reviewed N/A")&lt;4,"Missing dates; ","")&amp;IF(MIN(C731:F731)&lt;TODAY(),"Overdue: ",IF(MIN(C731:F731)=TODAY(),"Due today: ",IF(MIN(C731:F731)&lt;=TODAY()+30,"Due within 30 days: ","Next: ")))&amp;INDEX($C$8:$F$8,1,MATCH(MIN(C731:F731),C731:F731,0))&amp;" "&amp;TEXT(MIN(C731:F731),"dd mmm yyyy")))))</x:f>
      </x:c>
      <x:c r="I731" s="52"/>
      <x:c r="J731" t="str">
        <x:f>IF(AND(A731&lt;&gt;"",COUNTIFS(C731,"&gt;=36526",C731,"&lt;"&amp;TODAY())+COUNTIFS(D731,"&gt;=36526",D731,"&lt;"&amp;TODAY())+COUNTIFS(E731,"&gt;=36526",E731,"&lt;"&amp;TODAY())+COUNTIFS(F731,"&gt;=36526",F731,"&lt;"&amp;TODAY())&gt;0),O731,"")</x:f>
      </x:c>
      <x:c r="K731" t="str">
        <x:f>IF(AND(A731&lt;&gt;"",COUNTIFS(C731,"&gt;=36526",C731,TODAY())+COUNTIFS(D731,"&gt;=36526",D731,TODAY())+COUNTIFS(E731,"&gt;=36526",E731,TODAY())+COUNTIFS(F731,"&gt;=36526",F731,TODAY())&gt;0),P731,"")</x:f>
      </x:c>
      <x:c r="L731" t="str">
        <x:f>IF(AND(A731&lt;&gt;"",COUNTIFS(C731,"&gt;"&amp;TODAY(),C731,"&lt;="&amp;TODAY()+30)+COUNTIFS(D731,"&gt;"&amp;TODAY(),D731,"&lt;="&amp;TODAY()+30)+COUNTIFS(E731,"&gt;"&amp;TODAY(),E731,"&lt;="&amp;TODAY()+30)+COUNTIFS(F731,"&gt;"&amp;TODAY(),F731,"&lt;="&amp;TODAY()+30)&gt;0),Q731,"")</x:f>
      </x:c>
      <x:c r="M731" t="str">
        <x:f>IF(OR(LEFT(H731,15)="Missing dates; ",LEFT(H731,16)="Add N/A reason; ",H731="Add dates",H731="Add registration",H731="Check date format"),R731,"")</x:f>
      </x:c>
      <x:c r="N731" t="str">
        <x:f>IF(COUNTIFS(C731:F731,"Reviewed N/A")&gt;0,S731,"")</x:f>
      </x:c>
      <x:c r="O731" t="n">
        <x:f>O730+IF(AND(A731&lt;&gt;"",COUNTIFS(C731,"&gt;=36526",C731,"&lt;"&amp;TODAY())+COUNTIFS(D731,"&gt;=36526",D731,"&lt;"&amp;TODAY())+COUNTIFS(E731,"&gt;=36526",E731,"&lt;"&amp;TODAY())+COUNTIFS(F731,"&gt;=36526",F731,"&lt;"&amp;TODAY())&gt;0),1,0)</x:f>
        <x:v>0</x:v>
      </x:c>
      <x:c r="P731" t="n">
        <x:f>P730+IF(AND(A731&lt;&gt;"",COUNTIFS(C731,"&gt;=36526",C731,TODAY())+COUNTIFS(D731,"&gt;=36526",D731,TODAY())+COUNTIFS(E731,"&gt;=36526",E731,TODAY())+COUNTIFS(F731,"&gt;=36526",F731,TODAY())&gt;0),1,0)</x:f>
        <x:v>0</x:v>
      </x:c>
      <x:c r="Q731" t="n">
        <x:f>Q730+IF(AND(A731&lt;&gt;"",COUNTIFS(C731,"&gt;"&amp;TODAY(),C731,"&lt;="&amp;TODAY()+30)+COUNTIFS(D731,"&gt;"&amp;TODAY(),D731,"&lt;="&amp;TODAY()+30)+COUNTIFS(E731,"&gt;"&amp;TODAY(),E731,"&lt;="&amp;TODAY()+30)+COUNTIFS(F731,"&gt;"&amp;TODAY(),F731,"&lt;="&amp;TODAY()+30)&gt;0),1,0)</x:f>
        <x:v>0</x:v>
      </x:c>
      <x:c r="R731" t="n">
        <x:f>R730+IF(OR(LEFT(H731,15)="Missing dates; ",LEFT(H731,16)="Add N/A reason; ",H731="Add dates",H731="Add registration",H731="Check date format"),1,0)</x:f>
        <x:v>0</x:v>
      </x:c>
      <x:c r="S731" t="n">
        <x:f>S730+IF(COUNTIFS(C731:F731,"Reviewed N/A")&gt;0,1,0)</x:f>
        <x:v>0</x:v>
      </x:c>
    </x:row>
    <x:row r="732" ht="48" customHeight="1">
      <x:c r="A732" s="52"/>
      <x:c r="B732" s="52"/>
      <x:c r="C732" s="53"/>
      <x:c r="D732" s="53"/>
      <x:c r="E732" s="53"/>
      <x:c r="F732" s="53"/>
      <x:c r="G732" s="52"/>
      <x:c r="H732" s="21" t="str">
        <x:f>IF(COUNTA(A732:G732,I732)=0,"",IF(A732="","Add registration",IF(OR(COUNTA(C732:F732)&gt;COUNT(C732:F732)+COUNTIFS(C732:F732,"Reviewed N/A"),AND(COUNT(C732:F732)&gt;0,OR(MIN(C732:F732)&lt;36526,MAX(C732:F732)&gt;109574))),"Check date format",IF(AND(COUNTIFS(C732:F732,"Reviewed N/A")&gt;0,I732=""),"Add N/A reason; ","")&amp;IF(COUNT(C732:F732)=0,IF(COUNTIFS(C732:F732,"Reviewed N/A")=4,"No applicable dates recorded","Add dates"),IF(COUNT(C732:F732)+COUNTIFS(C732:F732,"Reviewed N/A")&lt;4,"Missing dates; ","")&amp;IF(MIN(C732:F732)&lt;TODAY(),"Overdue: ",IF(MIN(C732:F732)=TODAY(),"Due today: ",IF(MIN(C732:F732)&lt;=TODAY()+30,"Due within 30 days: ","Next: ")))&amp;INDEX($C$8:$F$8,1,MATCH(MIN(C732:F732),C732:F732,0))&amp;" "&amp;TEXT(MIN(C732:F732),"dd mmm yyyy")))))</x:f>
      </x:c>
      <x:c r="I732" s="52"/>
      <x:c r="J732" t="str">
        <x:f>IF(AND(A732&lt;&gt;"",COUNTIFS(C732,"&gt;=36526",C732,"&lt;"&amp;TODAY())+COUNTIFS(D732,"&gt;=36526",D732,"&lt;"&amp;TODAY())+COUNTIFS(E732,"&gt;=36526",E732,"&lt;"&amp;TODAY())+COUNTIFS(F732,"&gt;=36526",F732,"&lt;"&amp;TODAY())&gt;0),O732,"")</x:f>
      </x:c>
      <x:c r="K732" t="str">
        <x:f>IF(AND(A732&lt;&gt;"",COUNTIFS(C732,"&gt;=36526",C732,TODAY())+COUNTIFS(D732,"&gt;=36526",D732,TODAY())+COUNTIFS(E732,"&gt;=36526",E732,TODAY())+COUNTIFS(F732,"&gt;=36526",F732,TODAY())&gt;0),P732,"")</x:f>
      </x:c>
      <x:c r="L732" t="str">
        <x:f>IF(AND(A732&lt;&gt;"",COUNTIFS(C732,"&gt;"&amp;TODAY(),C732,"&lt;="&amp;TODAY()+30)+COUNTIFS(D732,"&gt;"&amp;TODAY(),D732,"&lt;="&amp;TODAY()+30)+COUNTIFS(E732,"&gt;"&amp;TODAY(),E732,"&lt;="&amp;TODAY()+30)+COUNTIFS(F732,"&gt;"&amp;TODAY(),F732,"&lt;="&amp;TODAY()+30)&gt;0),Q732,"")</x:f>
      </x:c>
      <x:c r="M732" t="str">
        <x:f>IF(OR(LEFT(H732,15)="Missing dates; ",LEFT(H732,16)="Add N/A reason; ",H732="Add dates",H732="Add registration",H732="Check date format"),R732,"")</x:f>
      </x:c>
      <x:c r="N732" t="str">
        <x:f>IF(COUNTIFS(C732:F732,"Reviewed N/A")&gt;0,S732,"")</x:f>
      </x:c>
      <x:c r="O732" t="n">
        <x:f>O731+IF(AND(A732&lt;&gt;"",COUNTIFS(C732,"&gt;=36526",C732,"&lt;"&amp;TODAY())+COUNTIFS(D732,"&gt;=36526",D732,"&lt;"&amp;TODAY())+COUNTIFS(E732,"&gt;=36526",E732,"&lt;"&amp;TODAY())+COUNTIFS(F732,"&gt;=36526",F732,"&lt;"&amp;TODAY())&gt;0),1,0)</x:f>
        <x:v>0</x:v>
      </x:c>
      <x:c r="P732" t="n">
        <x:f>P731+IF(AND(A732&lt;&gt;"",COUNTIFS(C732,"&gt;=36526",C732,TODAY())+COUNTIFS(D732,"&gt;=36526",D732,TODAY())+COUNTIFS(E732,"&gt;=36526",E732,TODAY())+COUNTIFS(F732,"&gt;=36526",F732,TODAY())&gt;0),1,0)</x:f>
        <x:v>0</x:v>
      </x:c>
      <x:c r="Q732" t="n">
        <x:f>Q731+IF(AND(A732&lt;&gt;"",COUNTIFS(C732,"&gt;"&amp;TODAY(),C732,"&lt;="&amp;TODAY()+30)+COUNTIFS(D732,"&gt;"&amp;TODAY(),D732,"&lt;="&amp;TODAY()+30)+COUNTIFS(E732,"&gt;"&amp;TODAY(),E732,"&lt;="&amp;TODAY()+30)+COUNTIFS(F732,"&gt;"&amp;TODAY(),F732,"&lt;="&amp;TODAY()+30)&gt;0),1,0)</x:f>
        <x:v>0</x:v>
      </x:c>
      <x:c r="R732" t="n">
        <x:f>R731+IF(OR(LEFT(H732,15)="Missing dates; ",LEFT(H732,16)="Add N/A reason; ",H732="Add dates",H732="Add registration",H732="Check date format"),1,0)</x:f>
        <x:v>0</x:v>
      </x:c>
      <x:c r="S732" t="n">
        <x:f>S731+IF(COUNTIFS(C732:F732,"Reviewed N/A")&gt;0,1,0)</x:f>
        <x:v>0</x:v>
      </x:c>
    </x:row>
    <x:row r="733" ht="48" customHeight="1">
      <x:c r="A733" s="52"/>
      <x:c r="B733" s="52"/>
      <x:c r="C733" s="53"/>
      <x:c r="D733" s="53"/>
      <x:c r="E733" s="53"/>
      <x:c r="F733" s="53"/>
      <x:c r="G733" s="52"/>
      <x:c r="H733" s="21" t="str">
        <x:f>IF(COUNTA(A733:G733,I733)=0,"",IF(A733="","Add registration",IF(OR(COUNTA(C733:F733)&gt;COUNT(C733:F733)+COUNTIFS(C733:F733,"Reviewed N/A"),AND(COUNT(C733:F733)&gt;0,OR(MIN(C733:F733)&lt;36526,MAX(C733:F733)&gt;109574))),"Check date format",IF(AND(COUNTIFS(C733:F733,"Reviewed N/A")&gt;0,I733=""),"Add N/A reason; ","")&amp;IF(COUNT(C733:F733)=0,IF(COUNTIFS(C733:F733,"Reviewed N/A")=4,"No applicable dates recorded","Add dates"),IF(COUNT(C733:F733)+COUNTIFS(C733:F733,"Reviewed N/A")&lt;4,"Missing dates; ","")&amp;IF(MIN(C733:F733)&lt;TODAY(),"Overdue: ",IF(MIN(C733:F733)=TODAY(),"Due today: ",IF(MIN(C733:F733)&lt;=TODAY()+30,"Due within 30 days: ","Next: ")))&amp;INDEX($C$8:$F$8,1,MATCH(MIN(C733:F733),C733:F733,0))&amp;" "&amp;TEXT(MIN(C733:F733),"dd mmm yyyy")))))</x:f>
      </x:c>
      <x:c r="I733" s="52"/>
      <x:c r="J733" t="str">
        <x:f>IF(AND(A733&lt;&gt;"",COUNTIFS(C733,"&gt;=36526",C733,"&lt;"&amp;TODAY())+COUNTIFS(D733,"&gt;=36526",D733,"&lt;"&amp;TODAY())+COUNTIFS(E733,"&gt;=36526",E733,"&lt;"&amp;TODAY())+COUNTIFS(F733,"&gt;=36526",F733,"&lt;"&amp;TODAY())&gt;0),O733,"")</x:f>
      </x:c>
      <x:c r="K733" t="str">
        <x:f>IF(AND(A733&lt;&gt;"",COUNTIFS(C733,"&gt;=36526",C733,TODAY())+COUNTIFS(D733,"&gt;=36526",D733,TODAY())+COUNTIFS(E733,"&gt;=36526",E733,TODAY())+COUNTIFS(F733,"&gt;=36526",F733,TODAY())&gt;0),P733,"")</x:f>
      </x:c>
      <x:c r="L733" t="str">
        <x:f>IF(AND(A733&lt;&gt;"",COUNTIFS(C733,"&gt;"&amp;TODAY(),C733,"&lt;="&amp;TODAY()+30)+COUNTIFS(D733,"&gt;"&amp;TODAY(),D733,"&lt;="&amp;TODAY()+30)+COUNTIFS(E733,"&gt;"&amp;TODAY(),E733,"&lt;="&amp;TODAY()+30)+COUNTIFS(F733,"&gt;"&amp;TODAY(),F733,"&lt;="&amp;TODAY()+30)&gt;0),Q733,"")</x:f>
      </x:c>
      <x:c r="M733" t="str">
        <x:f>IF(OR(LEFT(H733,15)="Missing dates; ",LEFT(H733,16)="Add N/A reason; ",H733="Add dates",H733="Add registration",H733="Check date format"),R733,"")</x:f>
      </x:c>
      <x:c r="N733" t="str">
        <x:f>IF(COUNTIFS(C733:F733,"Reviewed N/A")&gt;0,S733,"")</x:f>
      </x:c>
      <x:c r="O733" t="n">
        <x:f>O732+IF(AND(A733&lt;&gt;"",COUNTIFS(C733,"&gt;=36526",C733,"&lt;"&amp;TODAY())+COUNTIFS(D733,"&gt;=36526",D733,"&lt;"&amp;TODAY())+COUNTIFS(E733,"&gt;=36526",E733,"&lt;"&amp;TODAY())+COUNTIFS(F733,"&gt;=36526",F733,"&lt;"&amp;TODAY())&gt;0),1,0)</x:f>
        <x:v>0</x:v>
      </x:c>
      <x:c r="P733" t="n">
        <x:f>P732+IF(AND(A733&lt;&gt;"",COUNTIFS(C733,"&gt;=36526",C733,TODAY())+COUNTIFS(D733,"&gt;=36526",D733,TODAY())+COUNTIFS(E733,"&gt;=36526",E733,TODAY())+COUNTIFS(F733,"&gt;=36526",F733,TODAY())&gt;0),1,0)</x:f>
        <x:v>0</x:v>
      </x:c>
      <x:c r="Q733" t="n">
        <x:f>Q732+IF(AND(A733&lt;&gt;"",COUNTIFS(C733,"&gt;"&amp;TODAY(),C733,"&lt;="&amp;TODAY()+30)+COUNTIFS(D733,"&gt;"&amp;TODAY(),D733,"&lt;="&amp;TODAY()+30)+COUNTIFS(E733,"&gt;"&amp;TODAY(),E733,"&lt;="&amp;TODAY()+30)+COUNTIFS(F733,"&gt;"&amp;TODAY(),F733,"&lt;="&amp;TODAY()+30)&gt;0),1,0)</x:f>
        <x:v>0</x:v>
      </x:c>
      <x:c r="R733" t="n">
        <x:f>R732+IF(OR(LEFT(H733,15)="Missing dates; ",LEFT(H733,16)="Add N/A reason; ",H733="Add dates",H733="Add registration",H733="Check date format"),1,0)</x:f>
        <x:v>0</x:v>
      </x:c>
      <x:c r="S733" t="n">
        <x:f>S732+IF(COUNTIFS(C733:F733,"Reviewed N/A")&gt;0,1,0)</x:f>
        <x:v>0</x:v>
      </x:c>
    </x:row>
    <x:row r="734" ht="48" customHeight="1">
      <x:c r="A734" s="52"/>
      <x:c r="B734" s="52"/>
      <x:c r="C734" s="53"/>
      <x:c r="D734" s="53"/>
      <x:c r="E734" s="53"/>
      <x:c r="F734" s="53"/>
      <x:c r="G734" s="52"/>
      <x:c r="H734" s="21" t="str">
        <x:f>IF(COUNTA(A734:G734,I734)=0,"",IF(A734="","Add registration",IF(OR(COUNTA(C734:F734)&gt;COUNT(C734:F734)+COUNTIFS(C734:F734,"Reviewed N/A"),AND(COUNT(C734:F734)&gt;0,OR(MIN(C734:F734)&lt;36526,MAX(C734:F734)&gt;109574))),"Check date format",IF(AND(COUNTIFS(C734:F734,"Reviewed N/A")&gt;0,I734=""),"Add N/A reason; ","")&amp;IF(COUNT(C734:F734)=0,IF(COUNTIFS(C734:F734,"Reviewed N/A")=4,"No applicable dates recorded","Add dates"),IF(COUNT(C734:F734)+COUNTIFS(C734:F734,"Reviewed N/A")&lt;4,"Missing dates; ","")&amp;IF(MIN(C734:F734)&lt;TODAY(),"Overdue: ",IF(MIN(C734:F734)=TODAY(),"Due today: ",IF(MIN(C734:F734)&lt;=TODAY()+30,"Due within 30 days: ","Next: ")))&amp;INDEX($C$8:$F$8,1,MATCH(MIN(C734:F734),C734:F734,0))&amp;" "&amp;TEXT(MIN(C734:F734),"dd mmm yyyy")))))</x:f>
      </x:c>
      <x:c r="I734" s="52"/>
      <x:c r="J734" t="str">
        <x:f>IF(AND(A734&lt;&gt;"",COUNTIFS(C734,"&gt;=36526",C734,"&lt;"&amp;TODAY())+COUNTIFS(D734,"&gt;=36526",D734,"&lt;"&amp;TODAY())+COUNTIFS(E734,"&gt;=36526",E734,"&lt;"&amp;TODAY())+COUNTIFS(F734,"&gt;=36526",F734,"&lt;"&amp;TODAY())&gt;0),O734,"")</x:f>
      </x:c>
      <x:c r="K734" t="str">
        <x:f>IF(AND(A734&lt;&gt;"",COUNTIFS(C734,"&gt;=36526",C734,TODAY())+COUNTIFS(D734,"&gt;=36526",D734,TODAY())+COUNTIFS(E734,"&gt;=36526",E734,TODAY())+COUNTIFS(F734,"&gt;=36526",F734,TODAY())&gt;0),P734,"")</x:f>
      </x:c>
      <x:c r="L734" t="str">
        <x:f>IF(AND(A734&lt;&gt;"",COUNTIFS(C734,"&gt;"&amp;TODAY(),C734,"&lt;="&amp;TODAY()+30)+COUNTIFS(D734,"&gt;"&amp;TODAY(),D734,"&lt;="&amp;TODAY()+30)+COUNTIFS(E734,"&gt;"&amp;TODAY(),E734,"&lt;="&amp;TODAY()+30)+COUNTIFS(F734,"&gt;"&amp;TODAY(),F734,"&lt;="&amp;TODAY()+30)&gt;0),Q734,"")</x:f>
      </x:c>
      <x:c r="M734" t="str">
        <x:f>IF(OR(LEFT(H734,15)="Missing dates; ",LEFT(H734,16)="Add N/A reason; ",H734="Add dates",H734="Add registration",H734="Check date format"),R734,"")</x:f>
      </x:c>
      <x:c r="N734" t="str">
        <x:f>IF(COUNTIFS(C734:F734,"Reviewed N/A")&gt;0,S734,"")</x:f>
      </x:c>
      <x:c r="O734" t="n">
        <x:f>O733+IF(AND(A734&lt;&gt;"",COUNTIFS(C734,"&gt;=36526",C734,"&lt;"&amp;TODAY())+COUNTIFS(D734,"&gt;=36526",D734,"&lt;"&amp;TODAY())+COUNTIFS(E734,"&gt;=36526",E734,"&lt;"&amp;TODAY())+COUNTIFS(F734,"&gt;=36526",F734,"&lt;"&amp;TODAY())&gt;0),1,0)</x:f>
        <x:v>0</x:v>
      </x:c>
      <x:c r="P734" t="n">
        <x:f>P733+IF(AND(A734&lt;&gt;"",COUNTIFS(C734,"&gt;=36526",C734,TODAY())+COUNTIFS(D734,"&gt;=36526",D734,TODAY())+COUNTIFS(E734,"&gt;=36526",E734,TODAY())+COUNTIFS(F734,"&gt;=36526",F734,TODAY())&gt;0),1,0)</x:f>
        <x:v>0</x:v>
      </x:c>
      <x:c r="Q734" t="n">
        <x:f>Q733+IF(AND(A734&lt;&gt;"",COUNTIFS(C734,"&gt;"&amp;TODAY(),C734,"&lt;="&amp;TODAY()+30)+COUNTIFS(D734,"&gt;"&amp;TODAY(),D734,"&lt;="&amp;TODAY()+30)+COUNTIFS(E734,"&gt;"&amp;TODAY(),E734,"&lt;="&amp;TODAY()+30)+COUNTIFS(F734,"&gt;"&amp;TODAY(),F734,"&lt;="&amp;TODAY()+30)&gt;0),1,0)</x:f>
        <x:v>0</x:v>
      </x:c>
      <x:c r="R734" t="n">
        <x:f>R733+IF(OR(LEFT(H734,15)="Missing dates; ",LEFT(H734,16)="Add N/A reason; ",H734="Add dates",H734="Add registration",H734="Check date format"),1,0)</x:f>
        <x:v>0</x:v>
      </x:c>
      <x:c r="S734" t="n">
        <x:f>S733+IF(COUNTIFS(C734:F734,"Reviewed N/A")&gt;0,1,0)</x:f>
        <x:v>0</x:v>
      </x:c>
    </x:row>
    <x:row r="735" ht="48" customHeight="1">
      <x:c r="A735" s="52"/>
      <x:c r="B735" s="52"/>
      <x:c r="C735" s="53"/>
      <x:c r="D735" s="53"/>
      <x:c r="E735" s="53"/>
      <x:c r="F735" s="53"/>
      <x:c r="G735" s="52"/>
      <x:c r="H735" s="21" t="str">
        <x:f>IF(COUNTA(A735:G735,I735)=0,"",IF(A735="","Add registration",IF(OR(COUNTA(C735:F735)&gt;COUNT(C735:F735)+COUNTIFS(C735:F735,"Reviewed N/A"),AND(COUNT(C735:F735)&gt;0,OR(MIN(C735:F735)&lt;36526,MAX(C735:F735)&gt;109574))),"Check date format",IF(AND(COUNTIFS(C735:F735,"Reviewed N/A")&gt;0,I735=""),"Add N/A reason; ","")&amp;IF(COUNT(C735:F735)=0,IF(COUNTIFS(C735:F735,"Reviewed N/A")=4,"No applicable dates recorded","Add dates"),IF(COUNT(C735:F735)+COUNTIFS(C735:F735,"Reviewed N/A")&lt;4,"Missing dates; ","")&amp;IF(MIN(C735:F735)&lt;TODAY(),"Overdue: ",IF(MIN(C735:F735)=TODAY(),"Due today: ",IF(MIN(C735:F735)&lt;=TODAY()+30,"Due within 30 days: ","Next: ")))&amp;INDEX($C$8:$F$8,1,MATCH(MIN(C735:F735),C735:F735,0))&amp;" "&amp;TEXT(MIN(C735:F735),"dd mmm yyyy")))))</x:f>
      </x:c>
      <x:c r="I735" s="52"/>
      <x:c r="J735" t="str">
        <x:f>IF(AND(A735&lt;&gt;"",COUNTIFS(C735,"&gt;=36526",C735,"&lt;"&amp;TODAY())+COUNTIFS(D735,"&gt;=36526",D735,"&lt;"&amp;TODAY())+COUNTIFS(E735,"&gt;=36526",E735,"&lt;"&amp;TODAY())+COUNTIFS(F735,"&gt;=36526",F735,"&lt;"&amp;TODAY())&gt;0),O735,"")</x:f>
      </x:c>
      <x:c r="K735" t="str">
        <x:f>IF(AND(A735&lt;&gt;"",COUNTIFS(C735,"&gt;=36526",C735,TODAY())+COUNTIFS(D735,"&gt;=36526",D735,TODAY())+COUNTIFS(E735,"&gt;=36526",E735,TODAY())+COUNTIFS(F735,"&gt;=36526",F735,TODAY())&gt;0),P735,"")</x:f>
      </x:c>
      <x:c r="L735" t="str">
        <x:f>IF(AND(A735&lt;&gt;"",COUNTIFS(C735,"&gt;"&amp;TODAY(),C735,"&lt;="&amp;TODAY()+30)+COUNTIFS(D735,"&gt;"&amp;TODAY(),D735,"&lt;="&amp;TODAY()+30)+COUNTIFS(E735,"&gt;"&amp;TODAY(),E735,"&lt;="&amp;TODAY()+30)+COUNTIFS(F735,"&gt;"&amp;TODAY(),F735,"&lt;="&amp;TODAY()+30)&gt;0),Q735,"")</x:f>
      </x:c>
      <x:c r="M735" t="str">
        <x:f>IF(OR(LEFT(H735,15)="Missing dates; ",LEFT(H735,16)="Add N/A reason; ",H735="Add dates",H735="Add registration",H735="Check date format"),R735,"")</x:f>
      </x:c>
      <x:c r="N735" t="str">
        <x:f>IF(COUNTIFS(C735:F735,"Reviewed N/A")&gt;0,S735,"")</x:f>
      </x:c>
      <x:c r="O735" t="n">
        <x:f>O734+IF(AND(A735&lt;&gt;"",COUNTIFS(C735,"&gt;=36526",C735,"&lt;"&amp;TODAY())+COUNTIFS(D735,"&gt;=36526",D735,"&lt;"&amp;TODAY())+COUNTIFS(E735,"&gt;=36526",E735,"&lt;"&amp;TODAY())+COUNTIFS(F735,"&gt;=36526",F735,"&lt;"&amp;TODAY())&gt;0),1,0)</x:f>
        <x:v>0</x:v>
      </x:c>
      <x:c r="P735" t="n">
        <x:f>P734+IF(AND(A735&lt;&gt;"",COUNTIFS(C735,"&gt;=36526",C735,TODAY())+COUNTIFS(D735,"&gt;=36526",D735,TODAY())+COUNTIFS(E735,"&gt;=36526",E735,TODAY())+COUNTIFS(F735,"&gt;=36526",F735,TODAY())&gt;0),1,0)</x:f>
        <x:v>0</x:v>
      </x:c>
      <x:c r="Q735" t="n">
        <x:f>Q734+IF(AND(A735&lt;&gt;"",COUNTIFS(C735,"&gt;"&amp;TODAY(),C735,"&lt;="&amp;TODAY()+30)+COUNTIFS(D735,"&gt;"&amp;TODAY(),D735,"&lt;="&amp;TODAY()+30)+COUNTIFS(E735,"&gt;"&amp;TODAY(),E735,"&lt;="&amp;TODAY()+30)+COUNTIFS(F735,"&gt;"&amp;TODAY(),F735,"&lt;="&amp;TODAY()+30)&gt;0),1,0)</x:f>
        <x:v>0</x:v>
      </x:c>
      <x:c r="R735" t="n">
        <x:f>R734+IF(OR(LEFT(H735,15)="Missing dates; ",LEFT(H735,16)="Add N/A reason; ",H735="Add dates",H735="Add registration",H735="Check date format"),1,0)</x:f>
        <x:v>0</x:v>
      </x:c>
      <x:c r="S735" t="n">
        <x:f>S734+IF(COUNTIFS(C735:F735,"Reviewed N/A")&gt;0,1,0)</x:f>
        <x:v>0</x:v>
      </x:c>
    </x:row>
    <x:row r="736" ht="48" customHeight="1">
      <x:c r="A736" s="52"/>
      <x:c r="B736" s="52"/>
      <x:c r="C736" s="53"/>
      <x:c r="D736" s="53"/>
      <x:c r="E736" s="53"/>
      <x:c r="F736" s="53"/>
      <x:c r="G736" s="52"/>
      <x:c r="H736" s="21" t="str">
        <x:f>IF(COUNTA(A736:G736,I736)=0,"",IF(A736="","Add registration",IF(OR(COUNTA(C736:F736)&gt;COUNT(C736:F736)+COUNTIFS(C736:F736,"Reviewed N/A"),AND(COUNT(C736:F736)&gt;0,OR(MIN(C736:F736)&lt;36526,MAX(C736:F736)&gt;109574))),"Check date format",IF(AND(COUNTIFS(C736:F736,"Reviewed N/A")&gt;0,I736=""),"Add N/A reason; ","")&amp;IF(COUNT(C736:F736)=0,IF(COUNTIFS(C736:F736,"Reviewed N/A")=4,"No applicable dates recorded","Add dates"),IF(COUNT(C736:F736)+COUNTIFS(C736:F736,"Reviewed N/A")&lt;4,"Missing dates; ","")&amp;IF(MIN(C736:F736)&lt;TODAY(),"Overdue: ",IF(MIN(C736:F736)=TODAY(),"Due today: ",IF(MIN(C736:F736)&lt;=TODAY()+30,"Due within 30 days: ","Next: ")))&amp;INDEX($C$8:$F$8,1,MATCH(MIN(C736:F736),C736:F736,0))&amp;" "&amp;TEXT(MIN(C736:F736),"dd mmm yyyy")))))</x:f>
      </x:c>
      <x:c r="I736" s="52"/>
      <x:c r="J736" t="str">
        <x:f>IF(AND(A736&lt;&gt;"",COUNTIFS(C736,"&gt;=36526",C736,"&lt;"&amp;TODAY())+COUNTIFS(D736,"&gt;=36526",D736,"&lt;"&amp;TODAY())+COUNTIFS(E736,"&gt;=36526",E736,"&lt;"&amp;TODAY())+COUNTIFS(F736,"&gt;=36526",F736,"&lt;"&amp;TODAY())&gt;0),O736,"")</x:f>
      </x:c>
      <x:c r="K736" t="str">
        <x:f>IF(AND(A736&lt;&gt;"",COUNTIFS(C736,"&gt;=36526",C736,TODAY())+COUNTIFS(D736,"&gt;=36526",D736,TODAY())+COUNTIFS(E736,"&gt;=36526",E736,TODAY())+COUNTIFS(F736,"&gt;=36526",F736,TODAY())&gt;0),P736,"")</x:f>
      </x:c>
      <x:c r="L736" t="str">
        <x:f>IF(AND(A736&lt;&gt;"",COUNTIFS(C736,"&gt;"&amp;TODAY(),C736,"&lt;="&amp;TODAY()+30)+COUNTIFS(D736,"&gt;"&amp;TODAY(),D736,"&lt;="&amp;TODAY()+30)+COUNTIFS(E736,"&gt;"&amp;TODAY(),E736,"&lt;="&amp;TODAY()+30)+COUNTIFS(F736,"&gt;"&amp;TODAY(),F736,"&lt;="&amp;TODAY()+30)&gt;0),Q736,"")</x:f>
      </x:c>
      <x:c r="M736" t="str">
        <x:f>IF(OR(LEFT(H736,15)="Missing dates; ",LEFT(H736,16)="Add N/A reason; ",H736="Add dates",H736="Add registration",H736="Check date format"),R736,"")</x:f>
      </x:c>
      <x:c r="N736" t="str">
        <x:f>IF(COUNTIFS(C736:F736,"Reviewed N/A")&gt;0,S736,"")</x:f>
      </x:c>
      <x:c r="O736" t="n">
        <x:f>O735+IF(AND(A736&lt;&gt;"",COUNTIFS(C736,"&gt;=36526",C736,"&lt;"&amp;TODAY())+COUNTIFS(D736,"&gt;=36526",D736,"&lt;"&amp;TODAY())+COUNTIFS(E736,"&gt;=36526",E736,"&lt;"&amp;TODAY())+COUNTIFS(F736,"&gt;=36526",F736,"&lt;"&amp;TODAY())&gt;0),1,0)</x:f>
        <x:v>0</x:v>
      </x:c>
      <x:c r="P736" t="n">
        <x:f>P735+IF(AND(A736&lt;&gt;"",COUNTIFS(C736,"&gt;=36526",C736,TODAY())+COUNTIFS(D736,"&gt;=36526",D736,TODAY())+COUNTIFS(E736,"&gt;=36526",E736,TODAY())+COUNTIFS(F736,"&gt;=36526",F736,TODAY())&gt;0),1,0)</x:f>
        <x:v>0</x:v>
      </x:c>
      <x:c r="Q736" t="n">
        <x:f>Q735+IF(AND(A736&lt;&gt;"",COUNTIFS(C736,"&gt;"&amp;TODAY(),C736,"&lt;="&amp;TODAY()+30)+COUNTIFS(D736,"&gt;"&amp;TODAY(),D736,"&lt;="&amp;TODAY()+30)+COUNTIFS(E736,"&gt;"&amp;TODAY(),E736,"&lt;="&amp;TODAY()+30)+COUNTIFS(F736,"&gt;"&amp;TODAY(),F736,"&lt;="&amp;TODAY()+30)&gt;0),1,0)</x:f>
        <x:v>0</x:v>
      </x:c>
      <x:c r="R736" t="n">
        <x:f>R735+IF(OR(LEFT(H736,15)="Missing dates; ",LEFT(H736,16)="Add N/A reason; ",H736="Add dates",H736="Add registration",H736="Check date format"),1,0)</x:f>
        <x:v>0</x:v>
      </x:c>
      <x:c r="S736" t="n">
        <x:f>S735+IF(COUNTIFS(C736:F736,"Reviewed N/A")&gt;0,1,0)</x:f>
        <x:v>0</x:v>
      </x:c>
    </x:row>
    <x:row r="737" ht="48" customHeight="1">
      <x:c r="A737" s="52"/>
      <x:c r="B737" s="52"/>
      <x:c r="C737" s="53"/>
      <x:c r="D737" s="53"/>
      <x:c r="E737" s="53"/>
      <x:c r="F737" s="53"/>
      <x:c r="G737" s="52"/>
      <x:c r="H737" s="21" t="str">
        <x:f>IF(COUNTA(A737:G737,I737)=0,"",IF(A737="","Add registration",IF(OR(COUNTA(C737:F737)&gt;COUNT(C737:F737)+COUNTIFS(C737:F737,"Reviewed N/A"),AND(COUNT(C737:F737)&gt;0,OR(MIN(C737:F737)&lt;36526,MAX(C737:F737)&gt;109574))),"Check date format",IF(AND(COUNTIFS(C737:F737,"Reviewed N/A")&gt;0,I737=""),"Add N/A reason; ","")&amp;IF(COUNT(C737:F737)=0,IF(COUNTIFS(C737:F737,"Reviewed N/A")=4,"No applicable dates recorded","Add dates"),IF(COUNT(C737:F737)+COUNTIFS(C737:F737,"Reviewed N/A")&lt;4,"Missing dates; ","")&amp;IF(MIN(C737:F737)&lt;TODAY(),"Overdue: ",IF(MIN(C737:F737)=TODAY(),"Due today: ",IF(MIN(C737:F737)&lt;=TODAY()+30,"Due within 30 days: ","Next: ")))&amp;INDEX($C$8:$F$8,1,MATCH(MIN(C737:F737),C737:F737,0))&amp;" "&amp;TEXT(MIN(C737:F737),"dd mmm yyyy")))))</x:f>
      </x:c>
      <x:c r="I737" s="52"/>
      <x:c r="J737" t="str">
        <x:f>IF(AND(A737&lt;&gt;"",COUNTIFS(C737,"&gt;=36526",C737,"&lt;"&amp;TODAY())+COUNTIFS(D737,"&gt;=36526",D737,"&lt;"&amp;TODAY())+COUNTIFS(E737,"&gt;=36526",E737,"&lt;"&amp;TODAY())+COUNTIFS(F737,"&gt;=36526",F737,"&lt;"&amp;TODAY())&gt;0),O737,"")</x:f>
      </x:c>
      <x:c r="K737" t="str">
        <x:f>IF(AND(A737&lt;&gt;"",COUNTIFS(C737,"&gt;=36526",C737,TODAY())+COUNTIFS(D737,"&gt;=36526",D737,TODAY())+COUNTIFS(E737,"&gt;=36526",E737,TODAY())+COUNTIFS(F737,"&gt;=36526",F737,TODAY())&gt;0),P737,"")</x:f>
      </x:c>
      <x:c r="L737" t="str">
        <x:f>IF(AND(A737&lt;&gt;"",COUNTIFS(C737,"&gt;"&amp;TODAY(),C737,"&lt;="&amp;TODAY()+30)+COUNTIFS(D737,"&gt;"&amp;TODAY(),D737,"&lt;="&amp;TODAY()+30)+COUNTIFS(E737,"&gt;"&amp;TODAY(),E737,"&lt;="&amp;TODAY()+30)+COUNTIFS(F737,"&gt;"&amp;TODAY(),F737,"&lt;="&amp;TODAY()+30)&gt;0),Q737,"")</x:f>
      </x:c>
      <x:c r="M737" t="str">
        <x:f>IF(OR(LEFT(H737,15)="Missing dates; ",LEFT(H737,16)="Add N/A reason; ",H737="Add dates",H737="Add registration",H737="Check date format"),R737,"")</x:f>
      </x:c>
      <x:c r="N737" t="str">
        <x:f>IF(COUNTIFS(C737:F737,"Reviewed N/A")&gt;0,S737,"")</x:f>
      </x:c>
      <x:c r="O737" t="n">
        <x:f>O736+IF(AND(A737&lt;&gt;"",COUNTIFS(C737,"&gt;=36526",C737,"&lt;"&amp;TODAY())+COUNTIFS(D737,"&gt;=36526",D737,"&lt;"&amp;TODAY())+COUNTIFS(E737,"&gt;=36526",E737,"&lt;"&amp;TODAY())+COUNTIFS(F737,"&gt;=36526",F737,"&lt;"&amp;TODAY())&gt;0),1,0)</x:f>
        <x:v>0</x:v>
      </x:c>
      <x:c r="P737" t="n">
        <x:f>P736+IF(AND(A737&lt;&gt;"",COUNTIFS(C737,"&gt;=36526",C737,TODAY())+COUNTIFS(D737,"&gt;=36526",D737,TODAY())+COUNTIFS(E737,"&gt;=36526",E737,TODAY())+COUNTIFS(F737,"&gt;=36526",F737,TODAY())&gt;0),1,0)</x:f>
        <x:v>0</x:v>
      </x:c>
      <x:c r="Q737" t="n">
        <x:f>Q736+IF(AND(A737&lt;&gt;"",COUNTIFS(C737,"&gt;"&amp;TODAY(),C737,"&lt;="&amp;TODAY()+30)+COUNTIFS(D737,"&gt;"&amp;TODAY(),D737,"&lt;="&amp;TODAY()+30)+COUNTIFS(E737,"&gt;"&amp;TODAY(),E737,"&lt;="&amp;TODAY()+30)+COUNTIFS(F737,"&gt;"&amp;TODAY(),F737,"&lt;="&amp;TODAY()+30)&gt;0),1,0)</x:f>
        <x:v>0</x:v>
      </x:c>
      <x:c r="R737" t="n">
        <x:f>R736+IF(OR(LEFT(H737,15)="Missing dates; ",LEFT(H737,16)="Add N/A reason; ",H737="Add dates",H737="Add registration",H737="Check date format"),1,0)</x:f>
        <x:v>0</x:v>
      </x:c>
      <x:c r="S737" t="n">
        <x:f>S736+IF(COUNTIFS(C737:F737,"Reviewed N/A")&gt;0,1,0)</x:f>
        <x:v>0</x:v>
      </x:c>
    </x:row>
    <x:row r="738" ht="48" customHeight="1">
      <x:c r="A738" s="52"/>
      <x:c r="B738" s="52"/>
      <x:c r="C738" s="53"/>
      <x:c r="D738" s="53"/>
      <x:c r="E738" s="53"/>
      <x:c r="F738" s="53"/>
      <x:c r="G738" s="52"/>
      <x:c r="H738" s="21" t="str">
        <x:f>IF(COUNTA(A738:G738,I738)=0,"",IF(A738="","Add registration",IF(OR(COUNTA(C738:F738)&gt;COUNT(C738:F738)+COUNTIFS(C738:F738,"Reviewed N/A"),AND(COUNT(C738:F738)&gt;0,OR(MIN(C738:F738)&lt;36526,MAX(C738:F738)&gt;109574))),"Check date format",IF(AND(COUNTIFS(C738:F738,"Reviewed N/A")&gt;0,I738=""),"Add N/A reason; ","")&amp;IF(COUNT(C738:F738)=0,IF(COUNTIFS(C738:F738,"Reviewed N/A")=4,"No applicable dates recorded","Add dates"),IF(COUNT(C738:F738)+COUNTIFS(C738:F738,"Reviewed N/A")&lt;4,"Missing dates; ","")&amp;IF(MIN(C738:F738)&lt;TODAY(),"Overdue: ",IF(MIN(C738:F738)=TODAY(),"Due today: ",IF(MIN(C738:F738)&lt;=TODAY()+30,"Due within 30 days: ","Next: ")))&amp;INDEX($C$8:$F$8,1,MATCH(MIN(C738:F738),C738:F738,0))&amp;" "&amp;TEXT(MIN(C738:F738),"dd mmm yyyy")))))</x:f>
      </x:c>
      <x:c r="I738" s="52"/>
      <x:c r="J738" t="str">
        <x:f>IF(AND(A738&lt;&gt;"",COUNTIFS(C738,"&gt;=36526",C738,"&lt;"&amp;TODAY())+COUNTIFS(D738,"&gt;=36526",D738,"&lt;"&amp;TODAY())+COUNTIFS(E738,"&gt;=36526",E738,"&lt;"&amp;TODAY())+COUNTIFS(F738,"&gt;=36526",F738,"&lt;"&amp;TODAY())&gt;0),O738,"")</x:f>
      </x:c>
      <x:c r="K738" t="str">
        <x:f>IF(AND(A738&lt;&gt;"",COUNTIFS(C738,"&gt;=36526",C738,TODAY())+COUNTIFS(D738,"&gt;=36526",D738,TODAY())+COUNTIFS(E738,"&gt;=36526",E738,TODAY())+COUNTIFS(F738,"&gt;=36526",F738,TODAY())&gt;0),P738,"")</x:f>
      </x:c>
      <x:c r="L738" t="str">
        <x:f>IF(AND(A738&lt;&gt;"",COUNTIFS(C738,"&gt;"&amp;TODAY(),C738,"&lt;="&amp;TODAY()+30)+COUNTIFS(D738,"&gt;"&amp;TODAY(),D738,"&lt;="&amp;TODAY()+30)+COUNTIFS(E738,"&gt;"&amp;TODAY(),E738,"&lt;="&amp;TODAY()+30)+COUNTIFS(F738,"&gt;"&amp;TODAY(),F738,"&lt;="&amp;TODAY()+30)&gt;0),Q738,"")</x:f>
      </x:c>
      <x:c r="M738" t="str">
        <x:f>IF(OR(LEFT(H738,15)="Missing dates; ",LEFT(H738,16)="Add N/A reason; ",H738="Add dates",H738="Add registration",H738="Check date format"),R738,"")</x:f>
      </x:c>
      <x:c r="N738" t="str">
        <x:f>IF(COUNTIFS(C738:F738,"Reviewed N/A")&gt;0,S738,"")</x:f>
      </x:c>
      <x:c r="O738" t="n">
        <x:f>O737+IF(AND(A738&lt;&gt;"",COUNTIFS(C738,"&gt;=36526",C738,"&lt;"&amp;TODAY())+COUNTIFS(D738,"&gt;=36526",D738,"&lt;"&amp;TODAY())+COUNTIFS(E738,"&gt;=36526",E738,"&lt;"&amp;TODAY())+COUNTIFS(F738,"&gt;=36526",F738,"&lt;"&amp;TODAY())&gt;0),1,0)</x:f>
        <x:v>0</x:v>
      </x:c>
      <x:c r="P738" t="n">
        <x:f>P737+IF(AND(A738&lt;&gt;"",COUNTIFS(C738,"&gt;=36526",C738,TODAY())+COUNTIFS(D738,"&gt;=36526",D738,TODAY())+COUNTIFS(E738,"&gt;=36526",E738,TODAY())+COUNTIFS(F738,"&gt;=36526",F738,TODAY())&gt;0),1,0)</x:f>
        <x:v>0</x:v>
      </x:c>
      <x:c r="Q738" t="n">
        <x:f>Q737+IF(AND(A738&lt;&gt;"",COUNTIFS(C738,"&gt;"&amp;TODAY(),C738,"&lt;="&amp;TODAY()+30)+COUNTIFS(D738,"&gt;"&amp;TODAY(),D738,"&lt;="&amp;TODAY()+30)+COUNTIFS(E738,"&gt;"&amp;TODAY(),E738,"&lt;="&amp;TODAY()+30)+COUNTIFS(F738,"&gt;"&amp;TODAY(),F738,"&lt;="&amp;TODAY()+30)&gt;0),1,0)</x:f>
        <x:v>0</x:v>
      </x:c>
      <x:c r="R738" t="n">
        <x:f>R737+IF(OR(LEFT(H738,15)="Missing dates; ",LEFT(H738,16)="Add N/A reason; ",H738="Add dates",H738="Add registration",H738="Check date format"),1,0)</x:f>
        <x:v>0</x:v>
      </x:c>
      <x:c r="S738" t="n">
        <x:f>S737+IF(COUNTIFS(C738:F738,"Reviewed N/A")&gt;0,1,0)</x:f>
        <x:v>0</x:v>
      </x:c>
    </x:row>
    <x:row r="739" ht="48" customHeight="1">
      <x:c r="A739" s="52"/>
      <x:c r="B739" s="52"/>
      <x:c r="C739" s="53"/>
      <x:c r="D739" s="53"/>
      <x:c r="E739" s="53"/>
      <x:c r="F739" s="53"/>
      <x:c r="G739" s="52"/>
      <x:c r="H739" s="21" t="str">
        <x:f>IF(COUNTA(A739:G739,I739)=0,"",IF(A739="","Add registration",IF(OR(COUNTA(C739:F739)&gt;COUNT(C739:F739)+COUNTIFS(C739:F739,"Reviewed N/A"),AND(COUNT(C739:F739)&gt;0,OR(MIN(C739:F739)&lt;36526,MAX(C739:F739)&gt;109574))),"Check date format",IF(AND(COUNTIFS(C739:F739,"Reviewed N/A")&gt;0,I739=""),"Add N/A reason; ","")&amp;IF(COUNT(C739:F739)=0,IF(COUNTIFS(C739:F739,"Reviewed N/A")=4,"No applicable dates recorded","Add dates"),IF(COUNT(C739:F739)+COUNTIFS(C739:F739,"Reviewed N/A")&lt;4,"Missing dates; ","")&amp;IF(MIN(C739:F739)&lt;TODAY(),"Overdue: ",IF(MIN(C739:F739)=TODAY(),"Due today: ",IF(MIN(C739:F739)&lt;=TODAY()+30,"Due within 30 days: ","Next: ")))&amp;INDEX($C$8:$F$8,1,MATCH(MIN(C739:F739),C739:F739,0))&amp;" "&amp;TEXT(MIN(C739:F739),"dd mmm yyyy")))))</x:f>
      </x:c>
      <x:c r="I739" s="52"/>
      <x:c r="J739" t="str">
        <x:f>IF(AND(A739&lt;&gt;"",COUNTIFS(C739,"&gt;=36526",C739,"&lt;"&amp;TODAY())+COUNTIFS(D739,"&gt;=36526",D739,"&lt;"&amp;TODAY())+COUNTIFS(E739,"&gt;=36526",E739,"&lt;"&amp;TODAY())+COUNTIFS(F739,"&gt;=36526",F739,"&lt;"&amp;TODAY())&gt;0),O739,"")</x:f>
      </x:c>
      <x:c r="K739" t="str">
        <x:f>IF(AND(A739&lt;&gt;"",COUNTIFS(C739,"&gt;=36526",C739,TODAY())+COUNTIFS(D739,"&gt;=36526",D739,TODAY())+COUNTIFS(E739,"&gt;=36526",E739,TODAY())+COUNTIFS(F739,"&gt;=36526",F739,TODAY())&gt;0),P739,"")</x:f>
      </x:c>
      <x:c r="L739" t="str">
        <x:f>IF(AND(A739&lt;&gt;"",COUNTIFS(C739,"&gt;"&amp;TODAY(),C739,"&lt;="&amp;TODAY()+30)+COUNTIFS(D739,"&gt;"&amp;TODAY(),D739,"&lt;="&amp;TODAY()+30)+COUNTIFS(E739,"&gt;"&amp;TODAY(),E739,"&lt;="&amp;TODAY()+30)+COUNTIFS(F739,"&gt;"&amp;TODAY(),F739,"&lt;="&amp;TODAY()+30)&gt;0),Q739,"")</x:f>
      </x:c>
      <x:c r="M739" t="str">
        <x:f>IF(OR(LEFT(H739,15)="Missing dates; ",LEFT(H739,16)="Add N/A reason; ",H739="Add dates",H739="Add registration",H739="Check date format"),R739,"")</x:f>
      </x:c>
      <x:c r="N739" t="str">
        <x:f>IF(COUNTIFS(C739:F739,"Reviewed N/A")&gt;0,S739,"")</x:f>
      </x:c>
      <x:c r="O739" t="n">
        <x:f>O738+IF(AND(A739&lt;&gt;"",COUNTIFS(C739,"&gt;=36526",C739,"&lt;"&amp;TODAY())+COUNTIFS(D739,"&gt;=36526",D739,"&lt;"&amp;TODAY())+COUNTIFS(E739,"&gt;=36526",E739,"&lt;"&amp;TODAY())+COUNTIFS(F739,"&gt;=36526",F739,"&lt;"&amp;TODAY())&gt;0),1,0)</x:f>
        <x:v>0</x:v>
      </x:c>
      <x:c r="P739" t="n">
        <x:f>P738+IF(AND(A739&lt;&gt;"",COUNTIFS(C739,"&gt;=36526",C739,TODAY())+COUNTIFS(D739,"&gt;=36526",D739,TODAY())+COUNTIFS(E739,"&gt;=36526",E739,TODAY())+COUNTIFS(F739,"&gt;=36526",F739,TODAY())&gt;0),1,0)</x:f>
        <x:v>0</x:v>
      </x:c>
      <x:c r="Q739" t="n">
        <x:f>Q738+IF(AND(A739&lt;&gt;"",COUNTIFS(C739,"&gt;"&amp;TODAY(),C739,"&lt;="&amp;TODAY()+30)+COUNTIFS(D739,"&gt;"&amp;TODAY(),D739,"&lt;="&amp;TODAY()+30)+COUNTIFS(E739,"&gt;"&amp;TODAY(),E739,"&lt;="&amp;TODAY()+30)+COUNTIFS(F739,"&gt;"&amp;TODAY(),F739,"&lt;="&amp;TODAY()+30)&gt;0),1,0)</x:f>
        <x:v>0</x:v>
      </x:c>
      <x:c r="R739" t="n">
        <x:f>R738+IF(OR(LEFT(H739,15)="Missing dates; ",LEFT(H739,16)="Add N/A reason; ",H739="Add dates",H739="Add registration",H739="Check date format"),1,0)</x:f>
        <x:v>0</x:v>
      </x:c>
      <x:c r="S739" t="n">
        <x:f>S738+IF(COUNTIFS(C739:F739,"Reviewed N/A")&gt;0,1,0)</x:f>
        <x:v>0</x:v>
      </x:c>
    </x:row>
    <x:row r="740" ht="48" customHeight="1">
      <x:c r="A740" s="52"/>
      <x:c r="B740" s="52"/>
      <x:c r="C740" s="53"/>
      <x:c r="D740" s="53"/>
      <x:c r="E740" s="53"/>
      <x:c r="F740" s="53"/>
      <x:c r="G740" s="52"/>
      <x:c r="H740" s="21" t="str">
        <x:f>IF(COUNTA(A740:G740,I740)=0,"",IF(A740="","Add registration",IF(OR(COUNTA(C740:F740)&gt;COUNT(C740:F740)+COUNTIFS(C740:F740,"Reviewed N/A"),AND(COUNT(C740:F740)&gt;0,OR(MIN(C740:F740)&lt;36526,MAX(C740:F740)&gt;109574))),"Check date format",IF(AND(COUNTIFS(C740:F740,"Reviewed N/A")&gt;0,I740=""),"Add N/A reason; ","")&amp;IF(COUNT(C740:F740)=0,IF(COUNTIFS(C740:F740,"Reviewed N/A")=4,"No applicable dates recorded","Add dates"),IF(COUNT(C740:F740)+COUNTIFS(C740:F740,"Reviewed N/A")&lt;4,"Missing dates; ","")&amp;IF(MIN(C740:F740)&lt;TODAY(),"Overdue: ",IF(MIN(C740:F740)=TODAY(),"Due today: ",IF(MIN(C740:F740)&lt;=TODAY()+30,"Due within 30 days: ","Next: ")))&amp;INDEX($C$8:$F$8,1,MATCH(MIN(C740:F740),C740:F740,0))&amp;" "&amp;TEXT(MIN(C740:F740),"dd mmm yyyy")))))</x:f>
      </x:c>
      <x:c r="I740" s="52"/>
      <x:c r="J740" t="str">
        <x:f>IF(AND(A740&lt;&gt;"",COUNTIFS(C740,"&gt;=36526",C740,"&lt;"&amp;TODAY())+COUNTIFS(D740,"&gt;=36526",D740,"&lt;"&amp;TODAY())+COUNTIFS(E740,"&gt;=36526",E740,"&lt;"&amp;TODAY())+COUNTIFS(F740,"&gt;=36526",F740,"&lt;"&amp;TODAY())&gt;0),O740,"")</x:f>
      </x:c>
      <x:c r="K740" t="str">
        <x:f>IF(AND(A740&lt;&gt;"",COUNTIFS(C740,"&gt;=36526",C740,TODAY())+COUNTIFS(D740,"&gt;=36526",D740,TODAY())+COUNTIFS(E740,"&gt;=36526",E740,TODAY())+COUNTIFS(F740,"&gt;=36526",F740,TODAY())&gt;0),P740,"")</x:f>
      </x:c>
      <x:c r="L740" t="str">
        <x:f>IF(AND(A740&lt;&gt;"",COUNTIFS(C740,"&gt;"&amp;TODAY(),C740,"&lt;="&amp;TODAY()+30)+COUNTIFS(D740,"&gt;"&amp;TODAY(),D740,"&lt;="&amp;TODAY()+30)+COUNTIFS(E740,"&gt;"&amp;TODAY(),E740,"&lt;="&amp;TODAY()+30)+COUNTIFS(F740,"&gt;"&amp;TODAY(),F740,"&lt;="&amp;TODAY()+30)&gt;0),Q740,"")</x:f>
      </x:c>
      <x:c r="M740" t="str">
        <x:f>IF(OR(LEFT(H740,15)="Missing dates; ",LEFT(H740,16)="Add N/A reason; ",H740="Add dates",H740="Add registration",H740="Check date format"),R740,"")</x:f>
      </x:c>
      <x:c r="N740" t="str">
        <x:f>IF(COUNTIFS(C740:F740,"Reviewed N/A")&gt;0,S740,"")</x:f>
      </x:c>
      <x:c r="O740" t="n">
        <x:f>O739+IF(AND(A740&lt;&gt;"",COUNTIFS(C740,"&gt;=36526",C740,"&lt;"&amp;TODAY())+COUNTIFS(D740,"&gt;=36526",D740,"&lt;"&amp;TODAY())+COUNTIFS(E740,"&gt;=36526",E740,"&lt;"&amp;TODAY())+COUNTIFS(F740,"&gt;=36526",F740,"&lt;"&amp;TODAY())&gt;0),1,0)</x:f>
        <x:v>0</x:v>
      </x:c>
      <x:c r="P740" t="n">
        <x:f>P739+IF(AND(A740&lt;&gt;"",COUNTIFS(C740,"&gt;=36526",C740,TODAY())+COUNTIFS(D740,"&gt;=36526",D740,TODAY())+COUNTIFS(E740,"&gt;=36526",E740,TODAY())+COUNTIFS(F740,"&gt;=36526",F740,TODAY())&gt;0),1,0)</x:f>
        <x:v>0</x:v>
      </x:c>
      <x:c r="Q740" t="n">
        <x:f>Q739+IF(AND(A740&lt;&gt;"",COUNTIFS(C740,"&gt;"&amp;TODAY(),C740,"&lt;="&amp;TODAY()+30)+COUNTIFS(D740,"&gt;"&amp;TODAY(),D740,"&lt;="&amp;TODAY()+30)+COUNTIFS(E740,"&gt;"&amp;TODAY(),E740,"&lt;="&amp;TODAY()+30)+COUNTIFS(F740,"&gt;"&amp;TODAY(),F740,"&lt;="&amp;TODAY()+30)&gt;0),1,0)</x:f>
        <x:v>0</x:v>
      </x:c>
      <x:c r="R740" t="n">
        <x:f>R739+IF(OR(LEFT(H740,15)="Missing dates; ",LEFT(H740,16)="Add N/A reason; ",H740="Add dates",H740="Add registration",H740="Check date format"),1,0)</x:f>
        <x:v>0</x:v>
      </x:c>
      <x:c r="S740" t="n">
        <x:f>S739+IF(COUNTIFS(C740:F740,"Reviewed N/A")&gt;0,1,0)</x:f>
        <x:v>0</x:v>
      </x:c>
    </x:row>
    <x:row r="741" ht="48" customHeight="1">
      <x:c r="A741" s="52"/>
      <x:c r="B741" s="52"/>
      <x:c r="C741" s="53"/>
      <x:c r="D741" s="53"/>
      <x:c r="E741" s="53"/>
      <x:c r="F741" s="53"/>
      <x:c r="G741" s="52"/>
      <x:c r="H741" s="21" t="str">
        <x:f>IF(COUNTA(A741:G741,I741)=0,"",IF(A741="","Add registration",IF(OR(COUNTA(C741:F741)&gt;COUNT(C741:F741)+COUNTIFS(C741:F741,"Reviewed N/A"),AND(COUNT(C741:F741)&gt;0,OR(MIN(C741:F741)&lt;36526,MAX(C741:F741)&gt;109574))),"Check date format",IF(AND(COUNTIFS(C741:F741,"Reviewed N/A")&gt;0,I741=""),"Add N/A reason; ","")&amp;IF(COUNT(C741:F741)=0,IF(COUNTIFS(C741:F741,"Reviewed N/A")=4,"No applicable dates recorded","Add dates"),IF(COUNT(C741:F741)+COUNTIFS(C741:F741,"Reviewed N/A")&lt;4,"Missing dates; ","")&amp;IF(MIN(C741:F741)&lt;TODAY(),"Overdue: ",IF(MIN(C741:F741)=TODAY(),"Due today: ",IF(MIN(C741:F741)&lt;=TODAY()+30,"Due within 30 days: ","Next: ")))&amp;INDEX($C$8:$F$8,1,MATCH(MIN(C741:F741),C741:F741,0))&amp;" "&amp;TEXT(MIN(C741:F741),"dd mmm yyyy")))))</x:f>
      </x:c>
      <x:c r="I741" s="52"/>
      <x:c r="J741" t="str">
        <x:f>IF(AND(A741&lt;&gt;"",COUNTIFS(C741,"&gt;=36526",C741,"&lt;"&amp;TODAY())+COUNTIFS(D741,"&gt;=36526",D741,"&lt;"&amp;TODAY())+COUNTIFS(E741,"&gt;=36526",E741,"&lt;"&amp;TODAY())+COUNTIFS(F741,"&gt;=36526",F741,"&lt;"&amp;TODAY())&gt;0),O741,"")</x:f>
      </x:c>
      <x:c r="K741" t="str">
        <x:f>IF(AND(A741&lt;&gt;"",COUNTIFS(C741,"&gt;=36526",C741,TODAY())+COUNTIFS(D741,"&gt;=36526",D741,TODAY())+COUNTIFS(E741,"&gt;=36526",E741,TODAY())+COUNTIFS(F741,"&gt;=36526",F741,TODAY())&gt;0),P741,"")</x:f>
      </x:c>
      <x:c r="L741" t="str">
        <x:f>IF(AND(A741&lt;&gt;"",COUNTIFS(C741,"&gt;"&amp;TODAY(),C741,"&lt;="&amp;TODAY()+30)+COUNTIFS(D741,"&gt;"&amp;TODAY(),D741,"&lt;="&amp;TODAY()+30)+COUNTIFS(E741,"&gt;"&amp;TODAY(),E741,"&lt;="&amp;TODAY()+30)+COUNTIFS(F741,"&gt;"&amp;TODAY(),F741,"&lt;="&amp;TODAY()+30)&gt;0),Q741,"")</x:f>
      </x:c>
      <x:c r="M741" t="str">
        <x:f>IF(OR(LEFT(H741,15)="Missing dates; ",LEFT(H741,16)="Add N/A reason; ",H741="Add dates",H741="Add registration",H741="Check date format"),R741,"")</x:f>
      </x:c>
      <x:c r="N741" t="str">
        <x:f>IF(COUNTIFS(C741:F741,"Reviewed N/A")&gt;0,S741,"")</x:f>
      </x:c>
      <x:c r="O741" t="n">
        <x:f>O740+IF(AND(A741&lt;&gt;"",COUNTIFS(C741,"&gt;=36526",C741,"&lt;"&amp;TODAY())+COUNTIFS(D741,"&gt;=36526",D741,"&lt;"&amp;TODAY())+COUNTIFS(E741,"&gt;=36526",E741,"&lt;"&amp;TODAY())+COUNTIFS(F741,"&gt;=36526",F741,"&lt;"&amp;TODAY())&gt;0),1,0)</x:f>
        <x:v>0</x:v>
      </x:c>
      <x:c r="P741" t="n">
        <x:f>P740+IF(AND(A741&lt;&gt;"",COUNTIFS(C741,"&gt;=36526",C741,TODAY())+COUNTIFS(D741,"&gt;=36526",D741,TODAY())+COUNTIFS(E741,"&gt;=36526",E741,TODAY())+COUNTIFS(F741,"&gt;=36526",F741,TODAY())&gt;0),1,0)</x:f>
        <x:v>0</x:v>
      </x:c>
      <x:c r="Q741" t="n">
        <x:f>Q740+IF(AND(A741&lt;&gt;"",COUNTIFS(C741,"&gt;"&amp;TODAY(),C741,"&lt;="&amp;TODAY()+30)+COUNTIFS(D741,"&gt;"&amp;TODAY(),D741,"&lt;="&amp;TODAY()+30)+COUNTIFS(E741,"&gt;"&amp;TODAY(),E741,"&lt;="&amp;TODAY()+30)+COUNTIFS(F741,"&gt;"&amp;TODAY(),F741,"&lt;="&amp;TODAY()+30)&gt;0),1,0)</x:f>
        <x:v>0</x:v>
      </x:c>
      <x:c r="R741" t="n">
        <x:f>R740+IF(OR(LEFT(H741,15)="Missing dates; ",LEFT(H741,16)="Add N/A reason; ",H741="Add dates",H741="Add registration",H741="Check date format"),1,0)</x:f>
        <x:v>0</x:v>
      </x:c>
      <x:c r="S741" t="n">
        <x:f>S740+IF(COUNTIFS(C741:F741,"Reviewed N/A")&gt;0,1,0)</x:f>
        <x:v>0</x:v>
      </x:c>
    </x:row>
    <x:row r="742" ht="48" customHeight="1">
      <x:c r="A742" s="52"/>
      <x:c r="B742" s="52"/>
      <x:c r="C742" s="53"/>
      <x:c r="D742" s="53"/>
      <x:c r="E742" s="53"/>
      <x:c r="F742" s="53"/>
      <x:c r="G742" s="52"/>
      <x:c r="H742" s="21" t="str">
        <x:f>IF(COUNTA(A742:G742,I742)=0,"",IF(A742="","Add registration",IF(OR(COUNTA(C742:F742)&gt;COUNT(C742:F742)+COUNTIFS(C742:F742,"Reviewed N/A"),AND(COUNT(C742:F742)&gt;0,OR(MIN(C742:F742)&lt;36526,MAX(C742:F742)&gt;109574))),"Check date format",IF(AND(COUNTIFS(C742:F742,"Reviewed N/A")&gt;0,I742=""),"Add N/A reason; ","")&amp;IF(COUNT(C742:F742)=0,IF(COUNTIFS(C742:F742,"Reviewed N/A")=4,"No applicable dates recorded","Add dates"),IF(COUNT(C742:F742)+COUNTIFS(C742:F742,"Reviewed N/A")&lt;4,"Missing dates; ","")&amp;IF(MIN(C742:F742)&lt;TODAY(),"Overdue: ",IF(MIN(C742:F742)=TODAY(),"Due today: ",IF(MIN(C742:F742)&lt;=TODAY()+30,"Due within 30 days: ","Next: ")))&amp;INDEX($C$8:$F$8,1,MATCH(MIN(C742:F742),C742:F742,0))&amp;" "&amp;TEXT(MIN(C742:F742),"dd mmm yyyy")))))</x:f>
      </x:c>
      <x:c r="I742" s="52"/>
      <x:c r="J742" t="str">
        <x:f>IF(AND(A742&lt;&gt;"",COUNTIFS(C742,"&gt;=36526",C742,"&lt;"&amp;TODAY())+COUNTIFS(D742,"&gt;=36526",D742,"&lt;"&amp;TODAY())+COUNTIFS(E742,"&gt;=36526",E742,"&lt;"&amp;TODAY())+COUNTIFS(F742,"&gt;=36526",F742,"&lt;"&amp;TODAY())&gt;0),O742,"")</x:f>
      </x:c>
      <x:c r="K742" t="str">
        <x:f>IF(AND(A742&lt;&gt;"",COUNTIFS(C742,"&gt;=36526",C742,TODAY())+COUNTIFS(D742,"&gt;=36526",D742,TODAY())+COUNTIFS(E742,"&gt;=36526",E742,TODAY())+COUNTIFS(F742,"&gt;=36526",F742,TODAY())&gt;0),P742,"")</x:f>
      </x:c>
      <x:c r="L742" t="str">
        <x:f>IF(AND(A742&lt;&gt;"",COUNTIFS(C742,"&gt;"&amp;TODAY(),C742,"&lt;="&amp;TODAY()+30)+COUNTIFS(D742,"&gt;"&amp;TODAY(),D742,"&lt;="&amp;TODAY()+30)+COUNTIFS(E742,"&gt;"&amp;TODAY(),E742,"&lt;="&amp;TODAY()+30)+COUNTIFS(F742,"&gt;"&amp;TODAY(),F742,"&lt;="&amp;TODAY()+30)&gt;0),Q742,"")</x:f>
      </x:c>
      <x:c r="M742" t="str">
        <x:f>IF(OR(LEFT(H742,15)="Missing dates; ",LEFT(H742,16)="Add N/A reason; ",H742="Add dates",H742="Add registration",H742="Check date format"),R742,"")</x:f>
      </x:c>
      <x:c r="N742" t="str">
        <x:f>IF(COUNTIFS(C742:F742,"Reviewed N/A")&gt;0,S742,"")</x:f>
      </x:c>
      <x:c r="O742" t="n">
        <x:f>O741+IF(AND(A742&lt;&gt;"",COUNTIFS(C742,"&gt;=36526",C742,"&lt;"&amp;TODAY())+COUNTIFS(D742,"&gt;=36526",D742,"&lt;"&amp;TODAY())+COUNTIFS(E742,"&gt;=36526",E742,"&lt;"&amp;TODAY())+COUNTIFS(F742,"&gt;=36526",F742,"&lt;"&amp;TODAY())&gt;0),1,0)</x:f>
        <x:v>0</x:v>
      </x:c>
      <x:c r="P742" t="n">
        <x:f>P741+IF(AND(A742&lt;&gt;"",COUNTIFS(C742,"&gt;=36526",C742,TODAY())+COUNTIFS(D742,"&gt;=36526",D742,TODAY())+COUNTIFS(E742,"&gt;=36526",E742,TODAY())+COUNTIFS(F742,"&gt;=36526",F742,TODAY())&gt;0),1,0)</x:f>
        <x:v>0</x:v>
      </x:c>
      <x:c r="Q742" t="n">
        <x:f>Q741+IF(AND(A742&lt;&gt;"",COUNTIFS(C742,"&gt;"&amp;TODAY(),C742,"&lt;="&amp;TODAY()+30)+COUNTIFS(D742,"&gt;"&amp;TODAY(),D742,"&lt;="&amp;TODAY()+30)+COUNTIFS(E742,"&gt;"&amp;TODAY(),E742,"&lt;="&amp;TODAY()+30)+COUNTIFS(F742,"&gt;"&amp;TODAY(),F742,"&lt;="&amp;TODAY()+30)&gt;0),1,0)</x:f>
        <x:v>0</x:v>
      </x:c>
      <x:c r="R742" t="n">
        <x:f>R741+IF(OR(LEFT(H742,15)="Missing dates; ",LEFT(H742,16)="Add N/A reason; ",H742="Add dates",H742="Add registration",H742="Check date format"),1,0)</x:f>
        <x:v>0</x:v>
      </x:c>
      <x:c r="S742" t="n">
        <x:f>S741+IF(COUNTIFS(C742:F742,"Reviewed N/A")&gt;0,1,0)</x:f>
        <x:v>0</x:v>
      </x:c>
    </x:row>
    <x:row r="743" ht="48" customHeight="1">
      <x:c r="A743" s="52"/>
      <x:c r="B743" s="52"/>
      <x:c r="C743" s="53"/>
      <x:c r="D743" s="53"/>
      <x:c r="E743" s="53"/>
      <x:c r="F743" s="53"/>
      <x:c r="G743" s="52"/>
      <x:c r="H743" s="21" t="str">
        <x:f>IF(COUNTA(A743:G743,I743)=0,"",IF(A743="","Add registration",IF(OR(COUNTA(C743:F743)&gt;COUNT(C743:F743)+COUNTIFS(C743:F743,"Reviewed N/A"),AND(COUNT(C743:F743)&gt;0,OR(MIN(C743:F743)&lt;36526,MAX(C743:F743)&gt;109574))),"Check date format",IF(AND(COUNTIFS(C743:F743,"Reviewed N/A")&gt;0,I743=""),"Add N/A reason; ","")&amp;IF(COUNT(C743:F743)=0,IF(COUNTIFS(C743:F743,"Reviewed N/A")=4,"No applicable dates recorded","Add dates"),IF(COUNT(C743:F743)+COUNTIFS(C743:F743,"Reviewed N/A")&lt;4,"Missing dates; ","")&amp;IF(MIN(C743:F743)&lt;TODAY(),"Overdue: ",IF(MIN(C743:F743)=TODAY(),"Due today: ",IF(MIN(C743:F743)&lt;=TODAY()+30,"Due within 30 days: ","Next: ")))&amp;INDEX($C$8:$F$8,1,MATCH(MIN(C743:F743),C743:F743,0))&amp;" "&amp;TEXT(MIN(C743:F743),"dd mmm yyyy")))))</x:f>
      </x:c>
      <x:c r="I743" s="52"/>
      <x:c r="J743" t="str">
        <x:f>IF(AND(A743&lt;&gt;"",COUNTIFS(C743,"&gt;=36526",C743,"&lt;"&amp;TODAY())+COUNTIFS(D743,"&gt;=36526",D743,"&lt;"&amp;TODAY())+COUNTIFS(E743,"&gt;=36526",E743,"&lt;"&amp;TODAY())+COUNTIFS(F743,"&gt;=36526",F743,"&lt;"&amp;TODAY())&gt;0),O743,"")</x:f>
      </x:c>
      <x:c r="K743" t="str">
        <x:f>IF(AND(A743&lt;&gt;"",COUNTIFS(C743,"&gt;=36526",C743,TODAY())+COUNTIFS(D743,"&gt;=36526",D743,TODAY())+COUNTIFS(E743,"&gt;=36526",E743,TODAY())+COUNTIFS(F743,"&gt;=36526",F743,TODAY())&gt;0),P743,"")</x:f>
      </x:c>
      <x:c r="L743" t="str">
        <x:f>IF(AND(A743&lt;&gt;"",COUNTIFS(C743,"&gt;"&amp;TODAY(),C743,"&lt;="&amp;TODAY()+30)+COUNTIFS(D743,"&gt;"&amp;TODAY(),D743,"&lt;="&amp;TODAY()+30)+COUNTIFS(E743,"&gt;"&amp;TODAY(),E743,"&lt;="&amp;TODAY()+30)+COUNTIFS(F743,"&gt;"&amp;TODAY(),F743,"&lt;="&amp;TODAY()+30)&gt;0),Q743,"")</x:f>
      </x:c>
      <x:c r="M743" t="str">
        <x:f>IF(OR(LEFT(H743,15)="Missing dates; ",LEFT(H743,16)="Add N/A reason; ",H743="Add dates",H743="Add registration",H743="Check date format"),R743,"")</x:f>
      </x:c>
      <x:c r="N743" t="str">
        <x:f>IF(COUNTIFS(C743:F743,"Reviewed N/A")&gt;0,S743,"")</x:f>
      </x:c>
      <x:c r="O743" t="n">
        <x:f>O742+IF(AND(A743&lt;&gt;"",COUNTIFS(C743,"&gt;=36526",C743,"&lt;"&amp;TODAY())+COUNTIFS(D743,"&gt;=36526",D743,"&lt;"&amp;TODAY())+COUNTIFS(E743,"&gt;=36526",E743,"&lt;"&amp;TODAY())+COUNTIFS(F743,"&gt;=36526",F743,"&lt;"&amp;TODAY())&gt;0),1,0)</x:f>
        <x:v>0</x:v>
      </x:c>
      <x:c r="P743" t="n">
        <x:f>P742+IF(AND(A743&lt;&gt;"",COUNTIFS(C743,"&gt;=36526",C743,TODAY())+COUNTIFS(D743,"&gt;=36526",D743,TODAY())+COUNTIFS(E743,"&gt;=36526",E743,TODAY())+COUNTIFS(F743,"&gt;=36526",F743,TODAY())&gt;0),1,0)</x:f>
        <x:v>0</x:v>
      </x:c>
      <x:c r="Q743" t="n">
        <x:f>Q742+IF(AND(A743&lt;&gt;"",COUNTIFS(C743,"&gt;"&amp;TODAY(),C743,"&lt;="&amp;TODAY()+30)+COUNTIFS(D743,"&gt;"&amp;TODAY(),D743,"&lt;="&amp;TODAY()+30)+COUNTIFS(E743,"&gt;"&amp;TODAY(),E743,"&lt;="&amp;TODAY()+30)+COUNTIFS(F743,"&gt;"&amp;TODAY(),F743,"&lt;="&amp;TODAY()+30)&gt;0),1,0)</x:f>
        <x:v>0</x:v>
      </x:c>
      <x:c r="R743" t="n">
        <x:f>R742+IF(OR(LEFT(H743,15)="Missing dates; ",LEFT(H743,16)="Add N/A reason; ",H743="Add dates",H743="Add registration",H743="Check date format"),1,0)</x:f>
        <x:v>0</x:v>
      </x:c>
      <x:c r="S743" t="n">
        <x:f>S742+IF(COUNTIFS(C743:F743,"Reviewed N/A")&gt;0,1,0)</x:f>
        <x:v>0</x:v>
      </x:c>
    </x:row>
    <x:row r="744" ht="48" customHeight="1">
      <x:c r="A744" s="52"/>
      <x:c r="B744" s="52"/>
      <x:c r="C744" s="53"/>
      <x:c r="D744" s="53"/>
      <x:c r="E744" s="53"/>
      <x:c r="F744" s="53"/>
      <x:c r="G744" s="52"/>
      <x:c r="H744" s="21" t="str">
        <x:f>IF(COUNTA(A744:G744,I744)=0,"",IF(A744="","Add registration",IF(OR(COUNTA(C744:F744)&gt;COUNT(C744:F744)+COUNTIFS(C744:F744,"Reviewed N/A"),AND(COUNT(C744:F744)&gt;0,OR(MIN(C744:F744)&lt;36526,MAX(C744:F744)&gt;109574))),"Check date format",IF(AND(COUNTIFS(C744:F744,"Reviewed N/A")&gt;0,I744=""),"Add N/A reason; ","")&amp;IF(COUNT(C744:F744)=0,IF(COUNTIFS(C744:F744,"Reviewed N/A")=4,"No applicable dates recorded","Add dates"),IF(COUNT(C744:F744)+COUNTIFS(C744:F744,"Reviewed N/A")&lt;4,"Missing dates; ","")&amp;IF(MIN(C744:F744)&lt;TODAY(),"Overdue: ",IF(MIN(C744:F744)=TODAY(),"Due today: ",IF(MIN(C744:F744)&lt;=TODAY()+30,"Due within 30 days: ","Next: ")))&amp;INDEX($C$8:$F$8,1,MATCH(MIN(C744:F744),C744:F744,0))&amp;" "&amp;TEXT(MIN(C744:F744),"dd mmm yyyy")))))</x:f>
      </x:c>
      <x:c r="I744" s="52"/>
      <x:c r="J744" t="str">
        <x:f>IF(AND(A744&lt;&gt;"",COUNTIFS(C744,"&gt;=36526",C744,"&lt;"&amp;TODAY())+COUNTIFS(D744,"&gt;=36526",D744,"&lt;"&amp;TODAY())+COUNTIFS(E744,"&gt;=36526",E744,"&lt;"&amp;TODAY())+COUNTIFS(F744,"&gt;=36526",F744,"&lt;"&amp;TODAY())&gt;0),O744,"")</x:f>
      </x:c>
      <x:c r="K744" t="str">
        <x:f>IF(AND(A744&lt;&gt;"",COUNTIFS(C744,"&gt;=36526",C744,TODAY())+COUNTIFS(D744,"&gt;=36526",D744,TODAY())+COUNTIFS(E744,"&gt;=36526",E744,TODAY())+COUNTIFS(F744,"&gt;=36526",F744,TODAY())&gt;0),P744,"")</x:f>
      </x:c>
      <x:c r="L744" t="str">
        <x:f>IF(AND(A744&lt;&gt;"",COUNTIFS(C744,"&gt;"&amp;TODAY(),C744,"&lt;="&amp;TODAY()+30)+COUNTIFS(D744,"&gt;"&amp;TODAY(),D744,"&lt;="&amp;TODAY()+30)+COUNTIFS(E744,"&gt;"&amp;TODAY(),E744,"&lt;="&amp;TODAY()+30)+COUNTIFS(F744,"&gt;"&amp;TODAY(),F744,"&lt;="&amp;TODAY()+30)&gt;0),Q744,"")</x:f>
      </x:c>
      <x:c r="M744" t="str">
        <x:f>IF(OR(LEFT(H744,15)="Missing dates; ",LEFT(H744,16)="Add N/A reason; ",H744="Add dates",H744="Add registration",H744="Check date format"),R744,"")</x:f>
      </x:c>
      <x:c r="N744" t="str">
        <x:f>IF(COUNTIFS(C744:F744,"Reviewed N/A")&gt;0,S744,"")</x:f>
      </x:c>
      <x:c r="O744" t="n">
        <x:f>O743+IF(AND(A744&lt;&gt;"",COUNTIFS(C744,"&gt;=36526",C744,"&lt;"&amp;TODAY())+COUNTIFS(D744,"&gt;=36526",D744,"&lt;"&amp;TODAY())+COUNTIFS(E744,"&gt;=36526",E744,"&lt;"&amp;TODAY())+COUNTIFS(F744,"&gt;=36526",F744,"&lt;"&amp;TODAY())&gt;0),1,0)</x:f>
        <x:v>0</x:v>
      </x:c>
      <x:c r="P744" t="n">
        <x:f>P743+IF(AND(A744&lt;&gt;"",COUNTIFS(C744,"&gt;=36526",C744,TODAY())+COUNTIFS(D744,"&gt;=36526",D744,TODAY())+COUNTIFS(E744,"&gt;=36526",E744,TODAY())+COUNTIFS(F744,"&gt;=36526",F744,TODAY())&gt;0),1,0)</x:f>
        <x:v>0</x:v>
      </x:c>
      <x:c r="Q744" t="n">
        <x:f>Q743+IF(AND(A744&lt;&gt;"",COUNTIFS(C744,"&gt;"&amp;TODAY(),C744,"&lt;="&amp;TODAY()+30)+COUNTIFS(D744,"&gt;"&amp;TODAY(),D744,"&lt;="&amp;TODAY()+30)+COUNTIFS(E744,"&gt;"&amp;TODAY(),E744,"&lt;="&amp;TODAY()+30)+COUNTIFS(F744,"&gt;"&amp;TODAY(),F744,"&lt;="&amp;TODAY()+30)&gt;0),1,0)</x:f>
        <x:v>0</x:v>
      </x:c>
      <x:c r="R744" t="n">
        <x:f>R743+IF(OR(LEFT(H744,15)="Missing dates; ",LEFT(H744,16)="Add N/A reason; ",H744="Add dates",H744="Add registration",H744="Check date format"),1,0)</x:f>
        <x:v>0</x:v>
      </x:c>
      <x:c r="S744" t="n">
        <x:f>S743+IF(COUNTIFS(C744:F744,"Reviewed N/A")&gt;0,1,0)</x:f>
        <x:v>0</x:v>
      </x:c>
    </x:row>
    <x:row r="745" ht="48" customHeight="1">
      <x:c r="A745" s="52"/>
      <x:c r="B745" s="52"/>
      <x:c r="C745" s="53"/>
      <x:c r="D745" s="53"/>
      <x:c r="E745" s="53"/>
      <x:c r="F745" s="53"/>
      <x:c r="G745" s="52"/>
      <x:c r="H745" s="21" t="str">
        <x:f>IF(COUNTA(A745:G745,I745)=0,"",IF(A745="","Add registration",IF(OR(COUNTA(C745:F745)&gt;COUNT(C745:F745)+COUNTIFS(C745:F745,"Reviewed N/A"),AND(COUNT(C745:F745)&gt;0,OR(MIN(C745:F745)&lt;36526,MAX(C745:F745)&gt;109574))),"Check date format",IF(AND(COUNTIFS(C745:F745,"Reviewed N/A")&gt;0,I745=""),"Add N/A reason; ","")&amp;IF(COUNT(C745:F745)=0,IF(COUNTIFS(C745:F745,"Reviewed N/A")=4,"No applicable dates recorded","Add dates"),IF(COUNT(C745:F745)+COUNTIFS(C745:F745,"Reviewed N/A")&lt;4,"Missing dates; ","")&amp;IF(MIN(C745:F745)&lt;TODAY(),"Overdue: ",IF(MIN(C745:F745)=TODAY(),"Due today: ",IF(MIN(C745:F745)&lt;=TODAY()+30,"Due within 30 days: ","Next: ")))&amp;INDEX($C$8:$F$8,1,MATCH(MIN(C745:F745),C745:F745,0))&amp;" "&amp;TEXT(MIN(C745:F745),"dd mmm yyyy")))))</x:f>
      </x:c>
      <x:c r="I745" s="52"/>
      <x:c r="J745" t="str">
        <x:f>IF(AND(A745&lt;&gt;"",COUNTIFS(C745,"&gt;=36526",C745,"&lt;"&amp;TODAY())+COUNTIFS(D745,"&gt;=36526",D745,"&lt;"&amp;TODAY())+COUNTIFS(E745,"&gt;=36526",E745,"&lt;"&amp;TODAY())+COUNTIFS(F745,"&gt;=36526",F745,"&lt;"&amp;TODAY())&gt;0),O745,"")</x:f>
      </x:c>
      <x:c r="K745" t="str">
        <x:f>IF(AND(A745&lt;&gt;"",COUNTIFS(C745,"&gt;=36526",C745,TODAY())+COUNTIFS(D745,"&gt;=36526",D745,TODAY())+COUNTIFS(E745,"&gt;=36526",E745,TODAY())+COUNTIFS(F745,"&gt;=36526",F745,TODAY())&gt;0),P745,"")</x:f>
      </x:c>
      <x:c r="L745" t="str">
        <x:f>IF(AND(A745&lt;&gt;"",COUNTIFS(C745,"&gt;"&amp;TODAY(),C745,"&lt;="&amp;TODAY()+30)+COUNTIFS(D745,"&gt;"&amp;TODAY(),D745,"&lt;="&amp;TODAY()+30)+COUNTIFS(E745,"&gt;"&amp;TODAY(),E745,"&lt;="&amp;TODAY()+30)+COUNTIFS(F745,"&gt;"&amp;TODAY(),F745,"&lt;="&amp;TODAY()+30)&gt;0),Q745,"")</x:f>
      </x:c>
      <x:c r="M745" t="str">
        <x:f>IF(OR(LEFT(H745,15)="Missing dates; ",LEFT(H745,16)="Add N/A reason; ",H745="Add dates",H745="Add registration",H745="Check date format"),R745,"")</x:f>
      </x:c>
      <x:c r="N745" t="str">
        <x:f>IF(COUNTIFS(C745:F745,"Reviewed N/A")&gt;0,S745,"")</x:f>
      </x:c>
      <x:c r="O745" t="n">
        <x:f>O744+IF(AND(A745&lt;&gt;"",COUNTIFS(C745,"&gt;=36526",C745,"&lt;"&amp;TODAY())+COUNTIFS(D745,"&gt;=36526",D745,"&lt;"&amp;TODAY())+COUNTIFS(E745,"&gt;=36526",E745,"&lt;"&amp;TODAY())+COUNTIFS(F745,"&gt;=36526",F745,"&lt;"&amp;TODAY())&gt;0),1,0)</x:f>
        <x:v>0</x:v>
      </x:c>
      <x:c r="P745" t="n">
        <x:f>P744+IF(AND(A745&lt;&gt;"",COUNTIFS(C745,"&gt;=36526",C745,TODAY())+COUNTIFS(D745,"&gt;=36526",D745,TODAY())+COUNTIFS(E745,"&gt;=36526",E745,TODAY())+COUNTIFS(F745,"&gt;=36526",F745,TODAY())&gt;0),1,0)</x:f>
        <x:v>0</x:v>
      </x:c>
      <x:c r="Q745" t="n">
        <x:f>Q744+IF(AND(A745&lt;&gt;"",COUNTIFS(C745,"&gt;"&amp;TODAY(),C745,"&lt;="&amp;TODAY()+30)+COUNTIFS(D745,"&gt;"&amp;TODAY(),D745,"&lt;="&amp;TODAY()+30)+COUNTIFS(E745,"&gt;"&amp;TODAY(),E745,"&lt;="&amp;TODAY()+30)+COUNTIFS(F745,"&gt;"&amp;TODAY(),F745,"&lt;="&amp;TODAY()+30)&gt;0),1,0)</x:f>
        <x:v>0</x:v>
      </x:c>
      <x:c r="R745" t="n">
        <x:f>R744+IF(OR(LEFT(H745,15)="Missing dates; ",LEFT(H745,16)="Add N/A reason; ",H745="Add dates",H745="Add registration",H745="Check date format"),1,0)</x:f>
        <x:v>0</x:v>
      </x:c>
      <x:c r="S745" t="n">
        <x:f>S744+IF(COUNTIFS(C745:F745,"Reviewed N/A")&gt;0,1,0)</x:f>
        <x:v>0</x:v>
      </x:c>
    </x:row>
    <x:row r="746" ht="48" customHeight="1">
      <x:c r="A746" s="52"/>
      <x:c r="B746" s="52"/>
      <x:c r="C746" s="53"/>
      <x:c r="D746" s="53"/>
      <x:c r="E746" s="53"/>
      <x:c r="F746" s="53"/>
      <x:c r="G746" s="52"/>
      <x:c r="H746" s="21" t="str">
        <x:f>IF(COUNTA(A746:G746,I746)=0,"",IF(A746="","Add registration",IF(OR(COUNTA(C746:F746)&gt;COUNT(C746:F746)+COUNTIFS(C746:F746,"Reviewed N/A"),AND(COUNT(C746:F746)&gt;0,OR(MIN(C746:F746)&lt;36526,MAX(C746:F746)&gt;109574))),"Check date format",IF(AND(COUNTIFS(C746:F746,"Reviewed N/A")&gt;0,I746=""),"Add N/A reason; ","")&amp;IF(COUNT(C746:F746)=0,IF(COUNTIFS(C746:F746,"Reviewed N/A")=4,"No applicable dates recorded","Add dates"),IF(COUNT(C746:F746)+COUNTIFS(C746:F746,"Reviewed N/A")&lt;4,"Missing dates; ","")&amp;IF(MIN(C746:F746)&lt;TODAY(),"Overdue: ",IF(MIN(C746:F746)=TODAY(),"Due today: ",IF(MIN(C746:F746)&lt;=TODAY()+30,"Due within 30 days: ","Next: ")))&amp;INDEX($C$8:$F$8,1,MATCH(MIN(C746:F746),C746:F746,0))&amp;" "&amp;TEXT(MIN(C746:F746),"dd mmm yyyy")))))</x:f>
      </x:c>
      <x:c r="I746" s="52"/>
      <x:c r="J746" t="str">
        <x:f>IF(AND(A746&lt;&gt;"",COUNTIFS(C746,"&gt;=36526",C746,"&lt;"&amp;TODAY())+COUNTIFS(D746,"&gt;=36526",D746,"&lt;"&amp;TODAY())+COUNTIFS(E746,"&gt;=36526",E746,"&lt;"&amp;TODAY())+COUNTIFS(F746,"&gt;=36526",F746,"&lt;"&amp;TODAY())&gt;0),O746,"")</x:f>
      </x:c>
      <x:c r="K746" t="str">
        <x:f>IF(AND(A746&lt;&gt;"",COUNTIFS(C746,"&gt;=36526",C746,TODAY())+COUNTIFS(D746,"&gt;=36526",D746,TODAY())+COUNTIFS(E746,"&gt;=36526",E746,TODAY())+COUNTIFS(F746,"&gt;=36526",F746,TODAY())&gt;0),P746,"")</x:f>
      </x:c>
      <x:c r="L746" t="str">
        <x:f>IF(AND(A746&lt;&gt;"",COUNTIFS(C746,"&gt;"&amp;TODAY(),C746,"&lt;="&amp;TODAY()+30)+COUNTIFS(D746,"&gt;"&amp;TODAY(),D746,"&lt;="&amp;TODAY()+30)+COUNTIFS(E746,"&gt;"&amp;TODAY(),E746,"&lt;="&amp;TODAY()+30)+COUNTIFS(F746,"&gt;"&amp;TODAY(),F746,"&lt;="&amp;TODAY()+30)&gt;0),Q746,"")</x:f>
      </x:c>
      <x:c r="M746" t="str">
        <x:f>IF(OR(LEFT(H746,15)="Missing dates; ",LEFT(H746,16)="Add N/A reason; ",H746="Add dates",H746="Add registration",H746="Check date format"),R746,"")</x:f>
      </x:c>
      <x:c r="N746" t="str">
        <x:f>IF(COUNTIFS(C746:F746,"Reviewed N/A")&gt;0,S746,"")</x:f>
      </x:c>
      <x:c r="O746" t="n">
        <x:f>O745+IF(AND(A746&lt;&gt;"",COUNTIFS(C746,"&gt;=36526",C746,"&lt;"&amp;TODAY())+COUNTIFS(D746,"&gt;=36526",D746,"&lt;"&amp;TODAY())+COUNTIFS(E746,"&gt;=36526",E746,"&lt;"&amp;TODAY())+COUNTIFS(F746,"&gt;=36526",F746,"&lt;"&amp;TODAY())&gt;0),1,0)</x:f>
        <x:v>0</x:v>
      </x:c>
      <x:c r="P746" t="n">
        <x:f>P745+IF(AND(A746&lt;&gt;"",COUNTIFS(C746,"&gt;=36526",C746,TODAY())+COUNTIFS(D746,"&gt;=36526",D746,TODAY())+COUNTIFS(E746,"&gt;=36526",E746,TODAY())+COUNTIFS(F746,"&gt;=36526",F746,TODAY())&gt;0),1,0)</x:f>
        <x:v>0</x:v>
      </x:c>
      <x:c r="Q746" t="n">
        <x:f>Q745+IF(AND(A746&lt;&gt;"",COUNTIFS(C746,"&gt;"&amp;TODAY(),C746,"&lt;="&amp;TODAY()+30)+COUNTIFS(D746,"&gt;"&amp;TODAY(),D746,"&lt;="&amp;TODAY()+30)+COUNTIFS(E746,"&gt;"&amp;TODAY(),E746,"&lt;="&amp;TODAY()+30)+COUNTIFS(F746,"&gt;"&amp;TODAY(),F746,"&lt;="&amp;TODAY()+30)&gt;0),1,0)</x:f>
        <x:v>0</x:v>
      </x:c>
      <x:c r="R746" t="n">
        <x:f>R745+IF(OR(LEFT(H746,15)="Missing dates; ",LEFT(H746,16)="Add N/A reason; ",H746="Add dates",H746="Add registration",H746="Check date format"),1,0)</x:f>
        <x:v>0</x:v>
      </x:c>
      <x:c r="S746" t="n">
        <x:f>S745+IF(COUNTIFS(C746:F746,"Reviewed N/A")&gt;0,1,0)</x:f>
        <x:v>0</x:v>
      </x:c>
    </x:row>
    <x:row r="747" ht="48" customHeight="1">
      <x:c r="A747" s="52"/>
      <x:c r="B747" s="52"/>
      <x:c r="C747" s="53"/>
      <x:c r="D747" s="53"/>
      <x:c r="E747" s="53"/>
      <x:c r="F747" s="53"/>
      <x:c r="G747" s="52"/>
      <x:c r="H747" s="21" t="str">
        <x:f>IF(COUNTA(A747:G747,I747)=0,"",IF(A747="","Add registration",IF(OR(COUNTA(C747:F747)&gt;COUNT(C747:F747)+COUNTIFS(C747:F747,"Reviewed N/A"),AND(COUNT(C747:F747)&gt;0,OR(MIN(C747:F747)&lt;36526,MAX(C747:F747)&gt;109574))),"Check date format",IF(AND(COUNTIFS(C747:F747,"Reviewed N/A")&gt;0,I747=""),"Add N/A reason; ","")&amp;IF(COUNT(C747:F747)=0,IF(COUNTIFS(C747:F747,"Reviewed N/A")=4,"No applicable dates recorded","Add dates"),IF(COUNT(C747:F747)+COUNTIFS(C747:F747,"Reviewed N/A")&lt;4,"Missing dates; ","")&amp;IF(MIN(C747:F747)&lt;TODAY(),"Overdue: ",IF(MIN(C747:F747)=TODAY(),"Due today: ",IF(MIN(C747:F747)&lt;=TODAY()+30,"Due within 30 days: ","Next: ")))&amp;INDEX($C$8:$F$8,1,MATCH(MIN(C747:F747),C747:F747,0))&amp;" "&amp;TEXT(MIN(C747:F747),"dd mmm yyyy")))))</x:f>
      </x:c>
      <x:c r="I747" s="52"/>
      <x:c r="J747" t="str">
        <x:f>IF(AND(A747&lt;&gt;"",COUNTIFS(C747,"&gt;=36526",C747,"&lt;"&amp;TODAY())+COUNTIFS(D747,"&gt;=36526",D747,"&lt;"&amp;TODAY())+COUNTIFS(E747,"&gt;=36526",E747,"&lt;"&amp;TODAY())+COUNTIFS(F747,"&gt;=36526",F747,"&lt;"&amp;TODAY())&gt;0),O747,"")</x:f>
      </x:c>
      <x:c r="K747" t="str">
        <x:f>IF(AND(A747&lt;&gt;"",COUNTIFS(C747,"&gt;=36526",C747,TODAY())+COUNTIFS(D747,"&gt;=36526",D747,TODAY())+COUNTIFS(E747,"&gt;=36526",E747,TODAY())+COUNTIFS(F747,"&gt;=36526",F747,TODAY())&gt;0),P747,"")</x:f>
      </x:c>
      <x:c r="L747" t="str">
        <x:f>IF(AND(A747&lt;&gt;"",COUNTIFS(C747,"&gt;"&amp;TODAY(),C747,"&lt;="&amp;TODAY()+30)+COUNTIFS(D747,"&gt;"&amp;TODAY(),D747,"&lt;="&amp;TODAY()+30)+COUNTIFS(E747,"&gt;"&amp;TODAY(),E747,"&lt;="&amp;TODAY()+30)+COUNTIFS(F747,"&gt;"&amp;TODAY(),F747,"&lt;="&amp;TODAY()+30)&gt;0),Q747,"")</x:f>
      </x:c>
      <x:c r="M747" t="str">
        <x:f>IF(OR(LEFT(H747,15)="Missing dates; ",LEFT(H747,16)="Add N/A reason; ",H747="Add dates",H747="Add registration",H747="Check date format"),R747,"")</x:f>
      </x:c>
      <x:c r="N747" t="str">
        <x:f>IF(COUNTIFS(C747:F747,"Reviewed N/A")&gt;0,S747,"")</x:f>
      </x:c>
      <x:c r="O747" t="n">
        <x:f>O746+IF(AND(A747&lt;&gt;"",COUNTIFS(C747,"&gt;=36526",C747,"&lt;"&amp;TODAY())+COUNTIFS(D747,"&gt;=36526",D747,"&lt;"&amp;TODAY())+COUNTIFS(E747,"&gt;=36526",E747,"&lt;"&amp;TODAY())+COUNTIFS(F747,"&gt;=36526",F747,"&lt;"&amp;TODAY())&gt;0),1,0)</x:f>
        <x:v>0</x:v>
      </x:c>
      <x:c r="P747" t="n">
        <x:f>P746+IF(AND(A747&lt;&gt;"",COUNTIFS(C747,"&gt;=36526",C747,TODAY())+COUNTIFS(D747,"&gt;=36526",D747,TODAY())+COUNTIFS(E747,"&gt;=36526",E747,TODAY())+COUNTIFS(F747,"&gt;=36526",F747,TODAY())&gt;0),1,0)</x:f>
        <x:v>0</x:v>
      </x:c>
      <x:c r="Q747" t="n">
        <x:f>Q746+IF(AND(A747&lt;&gt;"",COUNTIFS(C747,"&gt;"&amp;TODAY(),C747,"&lt;="&amp;TODAY()+30)+COUNTIFS(D747,"&gt;"&amp;TODAY(),D747,"&lt;="&amp;TODAY()+30)+COUNTIFS(E747,"&gt;"&amp;TODAY(),E747,"&lt;="&amp;TODAY()+30)+COUNTIFS(F747,"&gt;"&amp;TODAY(),F747,"&lt;="&amp;TODAY()+30)&gt;0),1,0)</x:f>
        <x:v>0</x:v>
      </x:c>
      <x:c r="R747" t="n">
        <x:f>R746+IF(OR(LEFT(H747,15)="Missing dates; ",LEFT(H747,16)="Add N/A reason; ",H747="Add dates",H747="Add registration",H747="Check date format"),1,0)</x:f>
        <x:v>0</x:v>
      </x:c>
      <x:c r="S747" t="n">
        <x:f>S746+IF(COUNTIFS(C747:F747,"Reviewed N/A")&gt;0,1,0)</x:f>
        <x:v>0</x:v>
      </x:c>
    </x:row>
    <x:row r="748" ht="48" customHeight="1">
      <x:c r="A748" s="52"/>
      <x:c r="B748" s="52"/>
      <x:c r="C748" s="53"/>
      <x:c r="D748" s="53"/>
      <x:c r="E748" s="53"/>
      <x:c r="F748" s="53"/>
      <x:c r="G748" s="52"/>
      <x:c r="H748" s="21" t="str">
        <x:f>IF(COUNTA(A748:G748,I748)=0,"",IF(A748="","Add registration",IF(OR(COUNTA(C748:F748)&gt;COUNT(C748:F748)+COUNTIFS(C748:F748,"Reviewed N/A"),AND(COUNT(C748:F748)&gt;0,OR(MIN(C748:F748)&lt;36526,MAX(C748:F748)&gt;109574))),"Check date format",IF(AND(COUNTIFS(C748:F748,"Reviewed N/A")&gt;0,I748=""),"Add N/A reason; ","")&amp;IF(COUNT(C748:F748)=0,IF(COUNTIFS(C748:F748,"Reviewed N/A")=4,"No applicable dates recorded","Add dates"),IF(COUNT(C748:F748)+COUNTIFS(C748:F748,"Reviewed N/A")&lt;4,"Missing dates; ","")&amp;IF(MIN(C748:F748)&lt;TODAY(),"Overdue: ",IF(MIN(C748:F748)=TODAY(),"Due today: ",IF(MIN(C748:F748)&lt;=TODAY()+30,"Due within 30 days: ","Next: ")))&amp;INDEX($C$8:$F$8,1,MATCH(MIN(C748:F748),C748:F748,0))&amp;" "&amp;TEXT(MIN(C748:F748),"dd mmm yyyy")))))</x:f>
      </x:c>
      <x:c r="I748" s="52"/>
      <x:c r="J748" t="str">
        <x:f>IF(AND(A748&lt;&gt;"",COUNTIFS(C748,"&gt;=36526",C748,"&lt;"&amp;TODAY())+COUNTIFS(D748,"&gt;=36526",D748,"&lt;"&amp;TODAY())+COUNTIFS(E748,"&gt;=36526",E748,"&lt;"&amp;TODAY())+COUNTIFS(F748,"&gt;=36526",F748,"&lt;"&amp;TODAY())&gt;0),O748,"")</x:f>
      </x:c>
      <x:c r="K748" t="str">
        <x:f>IF(AND(A748&lt;&gt;"",COUNTIFS(C748,"&gt;=36526",C748,TODAY())+COUNTIFS(D748,"&gt;=36526",D748,TODAY())+COUNTIFS(E748,"&gt;=36526",E748,TODAY())+COUNTIFS(F748,"&gt;=36526",F748,TODAY())&gt;0),P748,"")</x:f>
      </x:c>
      <x:c r="L748" t="str">
        <x:f>IF(AND(A748&lt;&gt;"",COUNTIFS(C748,"&gt;"&amp;TODAY(),C748,"&lt;="&amp;TODAY()+30)+COUNTIFS(D748,"&gt;"&amp;TODAY(),D748,"&lt;="&amp;TODAY()+30)+COUNTIFS(E748,"&gt;"&amp;TODAY(),E748,"&lt;="&amp;TODAY()+30)+COUNTIFS(F748,"&gt;"&amp;TODAY(),F748,"&lt;="&amp;TODAY()+30)&gt;0),Q748,"")</x:f>
      </x:c>
      <x:c r="M748" t="str">
        <x:f>IF(OR(LEFT(H748,15)="Missing dates; ",LEFT(H748,16)="Add N/A reason; ",H748="Add dates",H748="Add registration",H748="Check date format"),R748,"")</x:f>
      </x:c>
      <x:c r="N748" t="str">
        <x:f>IF(COUNTIFS(C748:F748,"Reviewed N/A")&gt;0,S748,"")</x:f>
      </x:c>
      <x:c r="O748" t="n">
        <x:f>O747+IF(AND(A748&lt;&gt;"",COUNTIFS(C748,"&gt;=36526",C748,"&lt;"&amp;TODAY())+COUNTIFS(D748,"&gt;=36526",D748,"&lt;"&amp;TODAY())+COUNTIFS(E748,"&gt;=36526",E748,"&lt;"&amp;TODAY())+COUNTIFS(F748,"&gt;=36526",F748,"&lt;"&amp;TODAY())&gt;0),1,0)</x:f>
        <x:v>0</x:v>
      </x:c>
      <x:c r="P748" t="n">
        <x:f>P747+IF(AND(A748&lt;&gt;"",COUNTIFS(C748,"&gt;=36526",C748,TODAY())+COUNTIFS(D748,"&gt;=36526",D748,TODAY())+COUNTIFS(E748,"&gt;=36526",E748,TODAY())+COUNTIFS(F748,"&gt;=36526",F748,TODAY())&gt;0),1,0)</x:f>
        <x:v>0</x:v>
      </x:c>
      <x:c r="Q748" t="n">
        <x:f>Q747+IF(AND(A748&lt;&gt;"",COUNTIFS(C748,"&gt;"&amp;TODAY(),C748,"&lt;="&amp;TODAY()+30)+COUNTIFS(D748,"&gt;"&amp;TODAY(),D748,"&lt;="&amp;TODAY()+30)+COUNTIFS(E748,"&gt;"&amp;TODAY(),E748,"&lt;="&amp;TODAY()+30)+COUNTIFS(F748,"&gt;"&amp;TODAY(),F748,"&lt;="&amp;TODAY()+30)&gt;0),1,0)</x:f>
        <x:v>0</x:v>
      </x:c>
      <x:c r="R748" t="n">
        <x:f>R747+IF(OR(LEFT(H748,15)="Missing dates; ",LEFT(H748,16)="Add N/A reason; ",H748="Add dates",H748="Add registration",H748="Check date format"),1,0)</x:f>
        <x:v>0</x:v>
      </x:c>
      <x:c r="S748" t="n">
        <x:f>S747+IF(COUNTIFS(C748:F748,"Reviewed N/A")&gt;0,1,0)</x:f>
        <x:v>0</x:v>
      </x:c>
    </x:row>
    <x:row r="749" ht="48" customHeight="1">
      <x:c r="A749" s="52"/>
      <x:c r="B749" s="52"/>
      <x:c r="C749" s="53"/>
      <x:c r="D749" s="53"/>
      <x:c r="E749" s="53"/>
      <x:c r="F749" s="53"/>
      <x:c r="G749" s="52"/>
      <x:c r="H749" s="21" t="str">
        <x:f>IF(COUNTA(A749:G749,I749)=0,"",IF(A749="","Add registration",IF(OR(COUNTA(C749:F749)&gt;COUNT(C749:F749)+COUNTIFS(C749:F749,"Reviewed N/A"),AND(COUNT(C749:F749)&gt;0,OR(MIN(C749:F749)&lt;36526,MAX(C749:F749)&gt;109574))),"Check date format",IF(AND(COUNTIFS(C749:F749,"Reviewed N/A")&gt;0,I749=""),"Add N/A reason; ","")&amp;IF(COUNT(C749:F749)=0,IF(COUNTIFS(C749:F749,"Reviewed N/A")=4,"No applicable dates recorded","Add dates"),IF(COUNT(C749:F749)+COUNTIFS(C749:F749,"Reviewed N/A")&lt;4,"Missing dates; ","")&amp;IF(MIN(C749:F749)&lt;TODAY(),"Overdue: ",IF(MIN(C749:F749)=TODAY(),"Due today: ",IF(MIN(C749:F749)&lt;=TODAY()+30,"Due within 30 days: ","Next: ")))&amp;INDEX($C$8:$F$8,1,MATCH(MIN(C749:F749),C749:F749,0))&amp;" "&amp;TEXT(MIN(C749:F749),"dd mmm yyyy")))))</x:f>
      </x:c>
      <x:c r="I749" s="52"/>
      <x:c r="J749" t="str">
        <x:f>IF(AND(A749&lt;&gt;"",COUNTIFS(C749,"&gt;=36526",C749,"&lt;"&amp;TODAY())+COUNTIFS(D749,"&gt;=36526",D749,"&lt;"&amp;TODAY())+COUNTIFS(E749,"&gt;=36526",E749,"&lt;"&amp;TODAY())+COUNTIFS(F749,"&gt;=36526",F749,"&lt;"&amp;TODAY())&gt;0),O749,"")</x:f>
      </x:c>
      <x:c r="K749" t="str">
        <x:f>IF(AND(A749&lt;&gt;"",COUNTIFS(C749,"&gt;=36526",C749,TODAY())+COUNTIFS(D749,"&gt;=36526",D749,TODAY())+COUNTIFS(E749,"&gt;=36526",E749,TODAY())+COUNTIFS(F749,"&gt;=36526",F749,TODAY())&gt;0),P749,"")</x:f>
      </x:c>
      <x:c r="L749" t="str">
        <x:f>IF(AND(A749&lt;&gt;"",COUNTIFS(C749,"&gt;"&amp;TODAY(),C749,"&lt;="&amp;TODAY()+30)+COUNTIFS(D749,"&gt;"&amp;TODAY(),D749,"&lt;="&amp;TODAY()+30)+COUNTIFS(E749,"&gt;"&amp;TODAY(),E749,"&lt;="&amp;TODAY()+30)+COUNTIFS(F749,"&gt;"&amp;TODAY(),F749,"&lt;="&amp;TODAY()+30)&gt;0),Q749,"")</x:f>
      </x:c>
      <x:c r="M749" t="str">
        <x:f>IF(OR(LEFT(H749,15)="Missing dates; ",LEFT(H749,16)="Add N/A reason; ",H749="Add dates",H749="Add registration",H749="Check date format"),R749,"")</x:f>
      </x:c>
      <x:c r="N749" t="str">
        <x:f>IF(COUNTIFS(C749:F749,"Reviewed N/A")&gt;0,S749,"")</x:f>
      </x:c>
      <x:c r="O749" t="n">
        <x:f>O748+IF(AND(A749&lt;&gt;"",COUNTIFS(C749,"&gt;=36526",C749,"&lt;"&amp;TODAY())+COUNTIFS(D749,"&gt;=36526",D749,"&lt;"&amp;TODAY())+COUNTIFS(E749,"&gt;=36526",E749,"&lt;"&amp;TODAY())+COUNTIFS(F749,"&gt;=36526",F749,"&lt;"&amp;TODAY())&gt;0),1,0)</x:f>
        <x:v>0</x:v>
      </x:c>
      <x:c r="P749" t="n">
        <x:f>P748+IF(AND(A749&lt;&gt;"",COUNTIFS(C749,"&gt;=36526",C749,TODAY())+COUNTIFS(D749,"&gt;=36526",D749,TODAY())+COUNTIFS(E749,"&gt;=36526",E749,TODAY())+COUNTIFS(F749,"&gt;=36526",F749,TODAY())&gt;0),1,0)</x:f>
        <x:v>0</x:v>
      </x:c>
      <x:c r="Q749" t="n">
        <x:f>Q748+IF(AND(A749&lt;&gt;"",COUNTIFS(C749,"&gt;"&amp;TODAY(),C749,"&lt;="&amp;TODAY()+30)+COUNTIFS(D749,"&gt;"&amp;TODAY(),D749,"&lt;="&amp;TODAY()+30)+COUNTIFS(E749,"&gt;"&amp;TODAY(),E749,"&lt;="&amp;TODAY()+30)+COUNTIFS(F749,"&gt;"&amp;TODAY(),F749,"&lt;="&amp;TODAY()+30)&gt;0),1,0)</x:f>
        <x:v>0</x:v>
      </x:c>
      <x:c r="R749" t="n">
        <x:f>R748+IF(OR(LEFT(H749,15)="Missing dates; ",LEFT(H749,16)="Add N/A reason; ",H749="Add dates",H749="Add registration",H749="Check date format"),1,0)</x:f>
        <x:v>0</x:v>
      </x:c>
      <x:c r="S749" t="n">
        <x:f>S748+IF(COUNTIFS(C749:F749,"Reviewed N/A")&gt;0,1,0)</x:f>
        <x:v>0</x:v>
      </x:c>
    </x:row>
    <x:row r="750" ht="48" customHeight="1">
      <x:c r="A750" s="52"/>
      <x:c r="B750" s="52"/>
      <x:c r="C750" s="53"/>
      <x:c r="D750" s="53"/>
      <x:c r="E750" s="53"/>
      <x:c r="F750" s="53"/>
      <x:c r="G750" s="52"/>
      <x:c r="H750" s="21" t="str">
        <x:f>IF(COUNTA(A750:G750,I750)=0,"",IF(A750="","Add registration",IF(OR(COUNTA(C750:F750)&gt;COUNT(C750:F750)+COUNTIFS(C750:F750,"Reviewed N/A"),AND(COUNT(C750:F750)&gt;0,OR(MIN(C750:F750)&lt;36526,MAX(C750:F750)&gt;109574))),"Check date format",IF(AND(COUNTIFS(C750:F750,"Reviewed N/A")&gt;0,I750=""),"Add N/A reason; ","")&amp;IF(COUNT(C750:F750)=0,IF(COUNTIFS(C750:F750,"Reviewed N/A")=4,"No applicable dates recorded","Add dates"),IF(COUNT(C750:F750)+COUNTIFS(C750:F750,"Reviewed N/A")&lt;4,"Missing dates; ","")&amp;IF(MIN(C750:F750)&lt;TODAY(),"Overdue: ",IF(MIN(C750:F750)=TODAY(),"Due today: ",IF(MIN(C750:F750)&lt;=TODAY()+30,"Due within 30 days: ","Next: ")))&amp;INDEX($C$8:$F$8,1,MATCH(MIN(C750:F750),C750:F750,0))&amp;" "&amp;TEXT(MIN(C750:F750),"dd mmm yyyy")))))</x:f>
      </x:c>
      <x:c r="I750" s="52"/>
      <x:c r="J750" t="str">
        <x:f>IF(AND(A750&lt;&gt;"",COUNTIFS(C750,"&gt;=36526",C750,"&lt;"&amp;TODAY())+COUNTIFS(D750,"&gt;=36526",D750,"&lt;"&amp;TODAY())+COUNTIFS(E750,"&gt;=36526",E750,"&lt;"&amp;TODAY())+COUNTIFS(F750,"&gt;=36526",F750,"&lt;"&amp;TODAY())&gt;0),O750,"")</x:f>
      </x:c>
      <x:c r="K750" t="str">
        <x:f>IF(AND(A750&lt;&gt;"",COUNTIFS(C750,"&gt;=36526",C750,TODAY())+COUNTIFS(D750,"&gt;=36526",D750,TODAY())+COUNTIFS(E750,"&gt;=36526",E750,TODAY())+COUNTIFS(F750,"&gt;=36526",F750,TODAY())&gt;0),P750,"")</x:f>
      </x:c>
      <x:c r="L750" t="str">
        <x:f>IF(AND(A750&lt;&gt;"",COUNTIFS(C750,"&gt;"&amp;TODAY(),C750,"&lt;="&amp;TODAY()+30)+COUNTIFS(D750,"&gt;"&amp;TODAY(),D750,"&lt;="&amp;TODAY()+30)+COUNTIFS(E750,"&gt;"&amp;TODAY(),E750,"&lt;="&amp;TODAY()+30)+COUNTIFS(F750,"&gt;"&amp;TODAY(),F750,"&lt;="&amp;TODAY()+30)&gt;0),Q750,"")</x:f>
      </x:c>
      <x:c r="M750" t="str">
        <x:f>IF(OR(LEFT(H750,15)="Missing dates; ",LEFT(H750,16)="Add N/A reason; ",H750="Add dates",H750="Add registration",H750="Check date format"),R750,"")</x:f>
      </x:c>
      <x:c r="N750" t="str">
        <x:f>IF(COUNTIFS(C750:F750,"Reviewed N/A")&gt;0,S750,"")</x:f>
      </x:c>
      <x:c r="O750" t="n">
        <x:f>O749+IF(AND(A750&lt;&gt;"",COUNTIFS(C750,"&gt;=36526",C750,"&lt;"&amp;TODAY())+COUNTIFS(D750,"&gt;=36526",D750,"&lt;"&amp;TODAY())+COUNTIFS(E750,"&gt;=36526",E750,"&lt;"&amp;TODAY())+COUNTIFS(F750,"&gt;=36526",F750,"&lt;"&amp;TODAY())&gt;0),1,0)</x:f>
        <x:v>0</x:v>
      </x:c>
      <x:c r="P750" t="n">
        <x:f>P749+IF(AND(A750&lt;&gt;"",COUNTIFS(C750,"&gt;=36526",C750,TODAY())+COUNTIFS(D750,"&gt;=36526",D750,TODAY())+COUNTIFS(E750,"&gt;=36526",E750,TODAY())+COUNTIFS(F750,"&gt;=36526",F750,TODAY())&gt;0),1,0)</x:f>
        <x:v>0</x:v>
      </x:c>
      <x:c r="Q750" t="n">
        <x:f>Q749+IF(AND(A750&lt;&gt;"",COUNTIFS(C750,"&gt;"&amp;TODAY(),C750,"&lt;="&amp;TODAY()+30)+COUNTIFS(D750,"&gt;"&amp;TODAY(),D750,"&lt;="&amp;TODAY()+30)+COUNTIFS(E750,"&gt;"&amp;TODAY(),E750,"&lt;="&amp;TODAY()+30)+COUNTIFS(F750,"&gt;"&amp;TODAY(),F750,"&lt;="&amp;TODAY()+30)&gt;0),1,0)</x:f>
        <x:v>0</x:v>
      </x:c>
      <x:c r="R750" t="n">
        <x:f>R749+IF(OR(LEFT(H750,15)="Missing dates; ",LEFT(H750,16)="Add N/A reason; ",H750="Add dates",H750="Add registration",H750="Check date format"),1,0)</x:f>
        <x:v>0</x:v>
      </x:c>
      <x:c r="S750" t="n">
        <x:f>S749+IF(COUNTIFS(C750:F750,"Reviewed N/A")&gt;0,1,0)</x:f>
        <x:v>0</x:v>
      </x:c>
    </x:row>
    <x:row r="751" ht="48" customHeight="1">
      <x:c r="A751" s="52"/>
      <x:c r="B751" s="52"/>
      <x:c r="C751" s="53"/>
      <x:c r="D751" s="53"/>
      <x:c r="E751" s="53"/>
      <x:c r="F751" s="53"/>
      <x:c r="G751" s="52"/>
      <x:c r="H751" s="21" t="str">
        <x:f>IF(COUNTA(A751:G751,I751)=0,"",IF(A751="","Add registration",IF(OR(COUNTA(C751:F751)&gt;COUNT(C751:F751)+COUNTIFS(C751:F751,"Reviewed N/A"),AND(COUNT(C751:F751)&gt;0,OR(MIN(C751:F751)&lt;36526,MAX(C751:F751)&gt;109574))),"Check date format",IF(AND(COUNTIFS(C751:F751,"Reviewed N/A")&gt;0,I751=""),"Add N/A reason; ","")&amp;IF(COUNT(C751:F751)=0,IF(COUNTIFS(C751:F751,"Reviewed N/A")=4,"No applicable dates recorded","Add dates"),IF(COUNT(C751:F751)+COUNTIFS(C751:F751,"Reviewed N/A")&lt;4,"Missing dates; ","")&amp;IF(MIN(C751:F751)&lt;TODAY(),"Overdue: ",IF(MIN(C751:F751)=TODAY(),"Due today: ",IF(MIN(C751:F751)&lt;=TODAY()+30,"Due within 30 days: ","Next: ")))&amp;INDEX($C$8:$F$8,1,MATCH(MIN(C751:F751),C751:F751,0))&amp;" "&amp;TEXT(MIN(C751:F751),"dd mmm yyyy")))))</x:f>
      </x:c>
      <x:c r="I751" s="52"/>
      <x:c r="J751" t="str">
        <x:f>IF(AND(A751&lt;&gt;"",COUNTIFS(C751,"&gt;=36526",C751,"&lt;"&amp;TODAY())+COUNTIFS(D751,"&gt;=36526",D751,"&lt;"&amp;TODAY())+COUNTIFS(E751,"&gt;=36526",E751,"&lt;"&amp;TODAY())+COUNTIFS(F751,"&gt;=36526",F751,"&lt;"&amp;TODAY())&gt;0),O751,"")</x:f>
      </x:c>
      <x:c r="K751" t="str">
        <x:f>IF(AND(A751&lt;&gt;"",COUNTIFS(C751,"&gt;=36526",C751,TODAY())+COUNTIFS(D751,"&gt;=36526",D751,TODAY())+COUNTIFS(E751,"&gt;=36526",E751,TODAY())+COUNTIFS(F751,"&gt;=36526",F751,TODAY())&gt;0),P751,"")</x:f>
      </x:c>
      <x:c r="L751" t="str">
        <x:f>IF(AND(A751&lt;&gt;"",COUNTIFS(C751,"&gt;"&amp;TODAY(),C751,"&lt;="&amp;TODAY()+30)+COUNTIFS(D751,"&gt;"&amp;TODAY(),D751,"&lt;="&amp;TODAY()+30)+COUNTIFS(E751,"&gt;"&amp;TODAY(),E751,"&lt;="&amp;TODAY()+30)+COUNTIFS(F751,"&gt;"&amp;TODAY(),F751,"&lt;="&amp;TODAY()+30)&gt;0),Q751,"")</x:f>
      </x:c>
      <x:c r="M751" t="str">
        <x:f>IF(OR(LEFT(H751,15)="Missing dates; ",LEFT(H751,16)="Add N/A reason; ",H751="Add dates",H751="Add registration",H751="Check date format"),R751,"")</x:f>
      </x:c>
      <x:c r="N751" t="str">
        <x:f>IF(COUNTIFS(C751:F751,"Reviewed N/A")&gt;0,S751,"")</x:f>
      </x:c>
      <x:c r="O751" t="n">
        <x:f>O750+IF(AND(A751&lt;&gt;"",COUNTIFS(C751,"&gt;=36526",C751,"&lt;"&amp;TODAY())+COUNTIFS(D751,"&gt;=36526",D751,"&lt;"&amp;TODAY())+COUNTIFS(E751,"&gt;=36526",E751,"&lt;"&amp;TODAY())+COUNTIFS(F751,"&gt;=36526",F751,"&lt;"&amp;TODAY())&gt;0),1,0)</x:f>
        <x:v>0</x:v>
      </x:c>
      <x:c r="P751" t="n">
        <x:f>P750+IF(AND(A751&lt;&gt;"",COUNTIFS(C751,"&gt;=36526",C751,TODAY())+COUNTIFS(D751,"&gt;=36526",D751,TODAY())+COUNTIFS(E751,"&gt;=36526",E751,TODAY())+COUNTIFS(F751,"&gt;=36526",F751,TODAY())&gt;0),1,0)</x:f>
        <x:v>0</x:v>
      </x:c>
      <x:c r="Q751" t="n">
        <x:f>Q750+IF(AND(A751&lt;&gt;"",COUNTIFS(C751,"&gt;"&amp;TODAY(),C751,"&lt;="&amp;TODAY()+30)+COUNTIFS(D751,"&gt;"&amp;TODAY(),D751,"&lt;="&amp;TODAY()+30)+COUNTIFS(E751,"&gt;"&amp;TODAY(),E751,"&lt;="&amp;TODAY()+30)+COUNTIFS(F751,"&gt;"&amp;TODAY(),F751,"&lt;="&amp;TODAY()+30)&gt;0),1,0)</x:f>
        <x:v>0</x:v>
      </x:c>
      <x:c r="R751" t="n">
        <x:f>R750+IF(OR(LEFT(H751,15)="Missing dates; ",LEFT(H751,16)="Add N/A reason; ",H751="Add dates",H751="Add registration",H751="Check date format"),1,0)</x:f>
        <x:v>0</x:v>
      </x:c>
      <x:c r="S751" t="n">
        <x:f>S750+IF(COUNTIFS(C751:F751,"Reviewed N/A")&gt;0,1,0)</x:f>
        <x:v>0</x:v>
      </x:c>
    </x:row>
    <x:row r="752" ht="48" customHeight="1">
      <x:c r="A752" s="52"/>
      <x:c r="B752" s="52"/>
      <x:c r="C752" s="53"/>
      <x:c r="D752" s="53"/>
      <x:c r="E752" s="53"/>
      <x:c r="F752" s="53"/>
      <x:c r="G752" s="52"/>
      <x:c r="H752" s="21" t="str">
        <x:f>IF(COUNTA(A752:G752,I752)=0,"",IF(A752="","Add registration",IF(OR(COUNTA(C752:F752)&gt;COUNT(C752:F752)+COUNTIFS(C752:F752,"Reviewed N/A"),AND(COUNT(C752:F752)&gt;0,OR(MIN(C752:F752)&lt;36526,MAX(C752:F752)&gt;109574))),"Check date format",IF(AND(COUNTIFS(C752:F752,"Reviewed N/A")&gt;0,I752=""),"Add N/A reason; ","")&amp;IF(COUNT(C752:F752)=0,IF(COUNTIFS(C752:F752,"Reviewed N/A")=4,"No applicable dates recorded","Add dates"),IF(COUNT(C752:F752)+COUNTIFS(C752:F752,"Reviewed N/A")&lt;4,"Missing dates; ","")&amp;IF(MIN(C752:F752)&lt;TODAY(),"Overdue: ",IF(MIN(C752:F752)=TODAY(),"Due today: ",IF(MIN(C752:F752)&lt;=TODAY()+30,"Due within 30 days: ","Next: ")))&amp;INDEX($C$8:$F$8,1,MATCH(MIN(C752:F752),C752:F752,0))&amp;" "&amp;TEXT(MIN(C752:F752),"dd mmm yyyy")))))</x:f>
      </x:c>
      <x:c r="I752" s="52"/>
      <x:c r="J752" t="str">
        <x:f>IF(AND(A752&lt;&gt;"",COUNTIFS(C752,"&gt;=36526",C752,"&lt;"&amp;TODAY())+COUNTIFS(D752,"&gt;=36526",D752,"&lt;"&amp;TODAY())+COUNTIFS(E752,"&gt;=36526",E752,"&lt;"&amp;TODAY())+COUNTIFS(F752,"&gt;=36526",F752,"&lt;"&amp;TODAY())&gt;0),O752,"")</x:f>
      </x:c>
      <x:c r="K752" t="str">
        <x:f>IF(AND(A752&lt;&gt;"",COUNTIFS(C752,"&gt;=36526",C752,TODAY())+COUNTIFS(D752,"&gt;=36526",D752,TODAY())+COUNTIFS(E752,"&gt;=36526",E752,TODAY())+COUNTIFS(F752,"&gt;=36526",F752,TODAY())&gt;0),P752,"")</x:f>
      </x:c>
      <x:c r="L752" t="str">
        <x:f>IF(AND(A752&lt;&gt;"",COUNTIFS(C752,"&gt;"&amp;TODAY(),C752,"&lt;="&amp;TODAY()+30)+COUNTIFS(D752,"&gt;"&amp;TODAY(),D752,"&lt;="&amp;TODAY()+30)+COUNTIFS(E752,"&gt;"&amp;TODAY(),E752,"&lt;="&amp;TODAY()+30)+COUNTIFS(F752,"&gt;"&amp;TODAY(),F752,"&lt;="&amp;TODAY()+30)&gt;0),Q752,"")</x:f>
      </x:c>
      <x:c r="M752" t="str">
        <x:f>IF(OR(LEFT(H752,15)="Missing dates; ",LEFT(H752,16)="Add N/A reason; ",H752="Add dates",H752="Add registration",H752="Check date format"),R752,"")</x:f>
      </x:c>
      <x:c r="N752" t="str">
        <x:f>IF(COUNTIFS(C752:F752,"Reviewed N/A")&gt;0,S752,"")</x:f>
      </x:c>
      <x:c r="O752" t="n">
        <x:f>O751+IF(AND(A752&lt;&gt;"",COUNTIFS(C752,"&gt;=36526",C752,"&lt;"&amp;TODAY())+COUNTIFS(D752,"&gt;=36526",D752,"&lt;"&amp;TODAY())+COUNTIFS(E752,"&gt;=36526",E752,"&lt;"&amp;TODAY())+COUNTIFS(F752,"&gt;=36526",F752,"&lt;"&amp;TODAY())&gt;0),1,0)</x:f>
        <x:v>0</x:v>
      </x:c>
      <x:c r="P752" t="n">
        <x:f>P751+IF(AND(A752&lt;&gt;"",COUNTIFS(C752,"&gt;=36526",C752,TODAY())+COUNTIFS(D752,"&gt;=36526",D752,TODAY())+COUNTIFS(E752,"&gt;=36526",E752,TODAY())+COUNTIFS(F752,"&gt;=36526",F752,TODAY())&gt;0),1,0)</x:f>
        <x:v>0</x:v>
      </x:c>
      <x:c r="Q752" t="n">
        <x:f>Q751+IF(AND(A752&lt;&gt;"",COUNTIFS(C752,"&gt;"&amp;TODAY(),C752,"&lt;="&amp;TODAY()+30)+COUNTIFS(D752,"&gt;"&amp;TODAY(),D752,"&lt;="&amp;TODAY()+30)+COUNTIFS(E752,"&gt;"&amp;TODAY(),E752,"&lt;="&amp;TODAY()+30)+COUNTIFS(F752,"&gt;"&amp;TODAY(),F752,"&lt;="&amp;TODAY()+30)&gt;0),1,0)</x:f>
        <x:v>0</x:v>
      </x:c>
      <x:c r="R752" t="n">
        <x:f>R751+IF(OR(LEFT(H752,15)="Missing dates; ",LEFT(H752,16)="Add N/A reason; ",H752="Add dates",H752="Add registration",H752="Check date format"),1,0)</x:f>
        <x:v>0</x:v>
      </x:c>
      <x:c r="S752" t="n">
        <x:f>S751+IF(COUNTIFS(C752:F752,"Reviewed N/A")&gt;0,1,0)</x:f>
        <x:v>0</x:v>
      </x:c>
    </x:row>
    <x:row r="753" ht="48" customHeight="1">
      <x:c r="A753" s="52"/>
      <x:c r="B753" s="52"/>
      <x:c r="C753" s="53"/>
      <x:c r="D753" s="53"/>
      <x:c r="E753" s="53"/>
      <x:c r="F753" s="53"/>
      <x:c r="G753" s="52"/>
      <x:c r="H753" s="21" t="str">
        <x:f>IF(COUNTA(A753:G753,I753)=0,"",IF(A753="","Add registration",IF(OR(COUNTA(C753:F753)&gt;COUNT(C753:F753)+COUNTIFS(C753:F753,"Reviewed N/A"),AND(COUNT(C753:F753)&gt;0,OR(MIN(C753:F753)&lt;36526,MAX(C753:F753)&gt;109574))),"Check date format",IF(AND(COUNTIFS(C753:F753,"Reviewed N/A")&gt;0,I753=""),"Add N/A reason; ","")&amp;IF(COUNT(C753:F753)=0,IF(COUNTIFS(C753:F753,"Reviewed N/A")=4,"No applicable dates recorded","Add dates"),IF(COUNT(C753:F753)+COUNTIFS(C753:F753,"Reviewed N/A")&lt;4,"Missing dates; ","")&amp;IF(MIN(C753:F753)&lt;TODAY(),"Overdue: ",IF(MIN(C753:F753)=TODAY(),"Due today: ",IF(MIN(C753:F753)&lt;=TODAY()+30,"Due within 30 days: ","Next: ")))&amp;INDEX($C$8:$F$8,1,MATCH(MIN(C753:F753),C753:F753,0))&amp;" "&amp;TEXT(MIN(C753:F753),"dd mmm yyyy")))))</x:f>
      </x:c>
      <x:c r="I753" s="52"/>
      <x:c r="J753" t="str">
        <x:f>IF(AND(A753&lt;&gt;"",COUNTIFS(C753,"&gt;=36526",C753,"&lt;"&amp;TODAY())+COUNTIFS(D753,"&gt;=36526",D753,"&lt;"&amp;TODAY())+COUNTIFS(E753,"&gt;=36526",E753,"&lt;"&amp;TODAY())+COUNTIFS(F753,"&gt;=36526",F753,"&lt;"&amp;TODAY())&gt;0),O753,"")</x:f>
      </x:c>
      <x:c r="K753" t="str">
        <x:f>IF(AND(A753&lt;&gt;"",COUNTIFS(C753,"&gt;=36526",C753,TODAY())+COUNTIFS(D753,"&gt;=36526",D753,TODAY())+COUNTIFS(E753,"&gt;=36526",E753,TODAY())+COUNTIFS(F753,"&gt;=36526",F753,TODAY())&gt;0),P753,"")</x:f>
      </x:c>
      <x:c r="L753" t="str">
        <x:f>IF(AND(A753&lt;&gt;"",COUNTIFS(C753,"&gt;"&amp;TODAY(),C753,"&lt;="&amp;TODAY()+30)+COUNTIFS(D753,"&gt;"&amp;TODAY(),D753,"&lt;="&amp;TODAY()+30)+COUNTIFS(E753,"&gt;"&amp;TODAY(),E753,"&lt;="&amp;TODAY()+30)+COUNTIFS(F753,"&gt;"&amp;TODAY(),F753,"&lt;="&amp;TODAY()+30)&gt;0),Q753,"")</x:f>
      </x:c>
      <x:c r="M753" t="str">
        <x:f>IF(OR(LEFT(H753,15)="Missing dates; ",LEFT(H753,16)="Add N/A reason; ",H753="Add dates",H753="Add registration",H753="Check date format"),R753,"")</x:f>
      </x:c>
      <x:c r="N753" t="str">
        <x:f>IF(COUNTIFS(C753:F753,"Reviewed N/A")&gt;0,S753,"")</x:f>
      </x:c>
      <x:c r="O753" t="n">
        <x:f>O752+IF(AND(A753&lt;&gt;"",COUNTIFS(C753,"&gt;=36526",C753,"&lt;"&amp;TODAY())+COUNTIFS(D753,"&gt;=36526",D753,"&lt;"&amp;TODAY())+COUNTIFS(E753,"&gt;=36526",E753,"&lt;"&amp;TODAY())+COUNTIFS(F753,"&gt;=36526",F753,"&lt;"&amp;TODAY())&gt;0),1,0)</x:f>
        <x:v>0</x:v>
      </x:c>
      <x:c r="P753" t="n">
        <x:f>P752+IF(AND(A753&lt;&gt;"",COUNTIFS(C753,"&gt;=36526",C753,TODAY())+COUNTIFS(D753,"&gt;=36526",D753,TODAY())+COUNTIFS(E753,"&gt;=36526",E753,TODAY())+COUNTIFS(F753,"&gt;=36526",F753,TODAY())&gt;0),1,0)</x:f>
        <x:v>0</x:v>
      </x:c>
      <x:c r="Q753" t="n">
        <x:f>Q752+IF(AND(A753&lt;&gt;"",COUNTIFS(C753,"&gt;"&amp;TODAY(),C753,"&lt;="&amp;TODAY()+30)+COUNTIFS(D753,"&gt;"&amp;TODAY(),D753,"&lt;="&amp;TODAY()+30)+COUNTIFS(E753,"&gt;"&amp;TODAY(),E753,"&lt;="&amp;TODAY()+30)+COUNTIFS(F753,"&gt;"&amp;TODAY(),F753,"&lt;="&amp;TODAY()+30)&gt;0),1,0)</x:f>
        <x:v>0</x:v>
      </x:c>
      <x:c r="R753" t="n">
        <x:f>R752+IF(OR(LEFT(H753,15)="Missing dates; ",LEFT(H753,16)="Add N/A reason; ",H753="Add dates",H753="Add registration",H753="Check date format"),1,0)</x:f>
        <x:v>0</x:v>
      </x:c>
      <x:c r="S753" t="n">
        <x:f>S752+IF(COUNTIFS(C753:F753,"Reviewed N/A")&gt;0,1,0)</x:f>
        <x:v>0</x:v>
      </x:c>
    </x:row>
    <x:row r="754" ht="48" customHeight="1">
      <x:c r="A754" s="52"/>
      <x:c r="B754" s="52"/>
      <x:c r="C754" s="53"/>
      <x:c r="D754" s="53"/>
      <x:c r="E754" s="53"/>
      <x:c r="F754" s="53"/>
      <x:c r="G754" s="52"/>
      <x:c r="H754" s="21" t="str">
        <x:f>IF(COUNTA(A754:G754,I754)=0,"",IF(A754="","Add registration",IF(OR(COUNTA(C754:F754)&gt;COUNT(C754:F754)+COUNTIFS(C754:F754,"Reviewed N/A"),AND(COUNT(C754:F754)&gt;0,OR(MIN(C754:F754)&lt;36526,MAX(C754:F754)&gt;109574))),"Check date format",IF(AND(COUNTIFS(C754:F754,"Reviewed N/A")&gt;0,I754=""),"Add N/A reason; ","")&amp;IF(COUNT(C754:F754)=0,IF(COUNTIFS(C754:F754,"Reviewed N/A")=4,"No applicable dates recorded","Add dates"),IF(COUNT(C754:F754)+COUNTIFS(C754:F754,"Reviewed N/A")&lt;4,"Missing dates; ","")&amp;IF(MIN(C754:F754)&lt;TODAY(),"Overdue: ",IF(MIN(C754:F754)=TODAY(),"Due today: ",IF(MIN(C754:F754)&lt;=TODAY()+30,"Due within 30 days: ","Next: ")))&amp;INDEX($C$8:$F$8,1,MATCH(MIN(C754:F754),C754:F754,0))&amp;" "&amp;TEXT(MIN(C754:F754),"dd mmm yyyy")))))</x:f>
      </x:c>
      <x:c r="I754" s="52"/>
      <x:c r="J754" t="str">
        <x:f>IF(AND(A754&lt;&gt;"",COUNTIFS(C754,"&gt;=36526",C754,"&lt;"&amp;TODAY())+COUNTIFS(D754,"&gt;=36526",D754,"&lt;"&amp;TODAY())+COUNTIFS(E754,"&gt;=36526",E754,"&lt;"&amp;TODAY())+COUNTIFS(F754,"&gt;=36526",F754,"&lt;"&amp;TODAY())&gt;0),O754,"")</x:f>
      </x:c>
      <x:c r="K754" t="str">
        <x:f>IF(AND(A754&lt;&gt;"",COUNTIFS(C754,"&gt;=36526",C754,TODAY())+COUNTIFS(D754,"&gt;=36526",D754,TODAY())+COUNTIFS(E754,"&gt;=36526",E754,TODAY())+COUNTIFS(F754,"&gt;=36526",F754,TODAY())&gt;0),P754,"")</x:f>
      </x:c>
      <x:c r="L754" t="str">
        <x:f>IF(AND(A754&lt;&gt;"",COUNTIFS(C754,"&gt;"&amp;TODAY(),C754,"&lt;="&amp;TODAY()+30)+COUNTIFS(D754,"&gt;"&amp;TODAY(),D754,"&lt;="&amp;TODAY()+30)+COUNTIFS(E754,"&gt;"&amp;TODAY(),E754,"&lt;="&amp;TODAY()+30)+COUNTIFS(F754,"&gt;"&amp;TODAY(),F754,"&lt;="&amp;TODAY()+30)&gt;0),Q754,"")</x:f>
      </x:c>
      <x:c r="M754" t="str">
        <x:f>IF(OR(LEFT(H754,15)="Missing dates; ",LEFT(H754,16)="Add N/A reason; ",H754="Add dates",H754="Add registration",H754="Check date format"),R754,"")</x:f>
      </x:c>
      <x:c r="N754" t="str">
        <x:f>IF(COUNTIFS(C754:F754,"Reviewed N/A")&gt;0,S754,"")</x:f>
      </x:c>
      <x:c r="O754" t="n">
        <x:f>O753+IF(AND(A754&lt;&gt;"",COUNTIFS(C754,"&gt;=36526",C754,"&lt;"&amp;TODAY())+COUNTIFS(D754,"&gt;=36526",D754,"&lt;"&amp;TODAY())+COUNTIFS(E754,"&gt;=36526",E754,"&lt;"&amp;TODAY())+COUNTIFS(F754,"&gt;=36526",F754,"&lt;"&amp;TODAY())&gt;0),1,0)</x:f>
        <x:v>0</x:v>
      </x:c>
      <x:c r="P754" t="n">
        <x:f>P753+IF(AND(A754&lt;&gt;"",COUNTIFS(C754,"&gt;=36526",C754,TODAY())+COUNTIFS(D754,"&gt;=36526",D754,TODAY())+COUNTIFS(E754,"&gt;=36526",E754,TODAY())+COUNTIFS(F754,"&gt;=36526",F754,TODAY())&gt;0),1,0)</x:f>
        <x:v>0</x:v>
      </x:c>
      <x:c r="Q754" t="n">
        <x:f>Q753+IF(AND(A754&lt;&gt;"",COUNTIFS(C754,"&gt;"&amp;TODAY(),C754,"&lt;="&amp;TODAY()+30)+COUNTIFS(D754,"&gt;"&amp;TODAY(),D754,"&lt;="&amp;TODAY()+30)+COUNTIFS(E754,"&gt;"&amp;TODAY(),E754,"&lt;="&amp;TODAY()+30)+COUNTIFS(F754,"&gt;"&amp;TODAY(),F754,"&lt;="&amp;TODAY()+30)&gt;0),1,0)</x:f>
        <x:v>0</x:v>
      </x:c>
      <x:c r="R754" t="n">
        <x:f>R753+IF(OR(LEFT(H754,15)="Missing dates; ",LEFT(H754,16)="Add N/A reason; ",H754="Add dates",H754="Add registration",H754="Check date format"),1,0)</x:f>
        <x:v>0</x:v>
      </x:c>
      <x:c r="S754" t="n">
        <x:f>S753+IF(COUNTIFS(C754:F754,"Reviewed N/A")&gt;0,1,0)</x:f>
        <x:v>0</x:v>
      </x:c>
    </x:row>
    <x:row r="755" ht="48" customHeight="1">
      <x:c r="A755" s="52"/>
      <x:c r="B755" s="52"/>
      <x:c r="C755" s="53"/>
      <x:c r="D755" s="53"/>
      <x:c r="E755" s="53"/>
      <x:c r="F755" s="53"/>
      <x:c r="G755" s="52"/>
      <x:c r="H755" s="21" t="str">
        <x:f>IF(COUNTA(A755:G755,I755)=0,"",IF(A755="","Add registration",IF(OR(COUNTA(C755:F755)&gt;COUNT(C755:F755)+COUNTIFS(C755:F755,"Reviewed N/A"),AND(COUNT(C755:F755)&gt;0,OR(MIN(C755:F755)&lt;36526,MAX(C755:F755)&gt;109574))),"Check date format",IF(AND(COUNTIFS(C755:F755,"Reviewed N/A")&gt;0,I755=""),"Add N/A reason; ","")&amp;IF(COUNT(C755:F755)=0,IF(COUNTIFS(C755:F755,"Reviewed N/A")=4,"No applicable dates recorded","Add dates"),IF(COUNT(C755:F755)+COUNTIFS(C755:F755,"Reviewed N/A")&lt;4,"Missing dates; ","")&amp;IF(MIN(C755:F755)&lt;TODAY(),"Overdue: ",IF(MIN(C755:F755)=TODAY(),"Due today: ",IF(MIN(C755:F755)&lt;=TODAY()+30,"Due within 30 days: ","Next: ")))&amp;INDEX($C$8:$F$8,1,MATCH(MIN(C755:F755),C755:F755,0))&amp;" "&amp;TEXT(MIN(C755:F755),"dd mmm yyyy")))))</x:f>
      </x:c>
      <x:c r="I755" s="52"/>
      <x:c r="J755" t="str">
        <x:f>IF(AND(A755&lt;&gt;"",COUNTIFS(C755,"&gt;=36526",C755,"&lt;"&amp;TODAY())+COUNTIFS(D755,"&gt;=36526",D755,"&lt;"&amp;TODAY())+COUNTIFS(E755,"&gt;=36526",E755,"&lt;"&amp;TODAY())+COUNTIFS(F755,"&gt;=36526",F755,"&lt;"&amp;TODAY())&gt;0),O755,"")</x:f>
      </x:c>
      <x:c r="K755" t="str">
        <x:f>IF(AND(A755&lt;&gt;"",COUNTIFS(C755,"&gt;=36526",C755,TODAY())+COUNTIFS(D755,"&gt;=36526",D755,TODAY())+COUNTIFS(E755,"&gt;=36526",E755,TODAY())+COUNTIFS(F755,"&gt;=36526",F755,TODAY())&gt;0),P755,"")</x:f>
      </x:c>
      <x:c r="L755" t="str">
        <x:f>IF(AND(A755&lt;&gt;"",COUNTIFS(C755,"&gt;"&amp;TODAY(),C755,"&lt;="&amp;TODAY()+30)+COUNTIFS(D755,"&gt;"&amp;TODAY(),D755,"&lt;="&amp;TODAY()+30)+COUNTIFS(E755,"&gt;"&amp;TODAY(),E755,"&lt;="&amp;TODAY()+30)+COUNTIFS(F755,"&gt;"&amp;TODAY(),F755,"&lt;="&amp;TODAY()+30)&gt;0),Q755,"")</x:f>
      </x:c>
      <x:c r="M755" t="str">
        <x:f>IF(OR(LEFT(H755,15)="Missing dates; ",LEFT(H755,16)="Add N/A reason; ",H755="Add dates",H755="Add registration",H755="Check date format"),R755,"")</x:f>
      </x:c>
      <x:c r="N755" t="str">
        <x:f>IF(COUNTIFS(C755:F755,"Reviewed N/A")&gt;0,S755,"")</x:f>
      </x:c>
      <x:c r="O755" t="n">
        <x:f>O754+IF(AND(A755&lt;&gt;"",COUNTIFS(C755,"&gt;=36526",C755,"&lt;"&amp;TODAY())+COUNTIFS(D755,"&gt;=36526",D755,"&lt;"&amp;TODAY())+COUNTIFS(E755,"&gt;=36526",E755,"&lt;"&amp;TODAY())+COUNTIFS(F755,"&gt;=36526",F755,"&lt;"&amp;TODAY())&gt;0),1,0)</x:f>
        <x:v>0</x:v>
      </x:c>
      <x:c r="P755" t="n">
        <x:f>P754+IF(AND(A755&lt;&gt;"",COUNTIFS(C755,"&gt;=36526",C755,TODAY())+COUNTIFS(D755,"&gt;=36526",D755,TODAY())+COUNTIFS(E755,"&gt;=36526",E755,TODAY())+COUNTIFS(F755,"&gt;=36526",F755,TODAY())&gt;0),1,0)</x:f>
        <x:v>0</x:v>
      </x:c>
      <x:c r="Q755" t="n">
        <x:f>Q754+IF(AND(A755&lt;&gt;"",COUNTIFS(C755,"&gt;"&amp;TODAY(),C755,"&lt;="&amp;TODAY()+30)+COUNTIFS(D755,"&gt;"&amp;TODAY(),D755,"&lt;="&amp;TODAY()+30)+COUNTIFS(E755,"&gt;"&amp;TODAY(),E755,"&lt;="&amp;TODAY()+30)+COUNTIFS(F755,"&gt;"&amp;TODAY(),F755,"&lt;="&amp;TODAY()+30)&gt;0),1,0)</x:f>
        <x:v>0</x:v>
      </x:c>
      <x:c r="R755" t="n">
        <x:f>R754+IF(OR(LEFT(H755,15)="Missing dates; ",LEFT(H755,16)="Add N/A reason; ",H755="Add dates",H755="Add registration",H755="Check date format"),1,0)</x:f>
        <x:v>0</x:v>
      </x:c>
      <x:c r="S755" t="n">
        <x:f>S754+IF(COUNTIFS(C755:F755,"Reviewed N/A")&gt;0,1,0)</x:f>
        <x:v>0</x:v>
      </x:c>
    </x:row>
    <x:row r="756" ht="48" customHeight="1">
      <x:c r="A756" s="52"/>
      <x:c r="B756" s="52"/>
      <x:c r="C756" s="53"/>
      <x:c r="D756" s="53"/>
      <x:c r="E756" s="53"/>
      <x:c r="F756" s="53"/>
      <x:c r="G756" s="52"/>
      <x:c r="H756" s="21" t="str">
        <x:f>IF(COUNTA(A756:G756,I756)=0,"",IF(A756="","Add registration",IF(OR(COUNTA(C756:F756)&gt;COUNT(C756:F756)+COUNTIFS(C756:F756,"Reviewed N/A"),AND(COUNT(C756:F756)&gt;0,OR(MIN(C756:F756)&lt;36526,MAX(C756:F756)&gt;109574))),"Check date format",IF(AND(COUNTIFS(C756:F756,"Reviewed N/A")&gt;0,I756=""),"Add N/A reason; ","")&amp;IF(COUNT(C756:F756)=0,IF(COUNTIFS(C756:F756,"Reviewed N/A")=4,"No applicable dates recorded","Add dates"),IF(COUNT(C756:F756)+COUNTIFS(C756:F756,"Reviewed N/A")&lt;4,"Missing dates; ","")&amp;IF(MIN(C756:F756)&lt;TODAY(),"Overdue: ",IF(MIN(C756:F756)=TODAY(),"Due today: ",IF(MIN(C756:F756)&lt;=TODAY()+30,"Due within 30 days: ","Next: ")))&amp;INDEX($C$8:$F$8,1,MATCH(MIN(C756:F756),C756:F756,0))&amp;" "&amp;TEXT(MIN(C756:F756),"dd mmm yyyy")))))</x:f>
      </x:c>
      <x:c r="I756" s="52"/>
      <x:c r="J756" t="str">
        <x:f>IF(AND(A756&lt;&gt;"",COUNTIFS(C756,"&gt;=36526",C756,"&lt;"&amp;TODAY())+COUNTIFS(D756,"&gt;=36526",D756,"&lt;"&amp;TODAY())+COUNTIFS(E756,"&gt;=36526",E756,"&lt;"&amp;TODAY())+COUNTIFS(F756,"&gt;=36526",F756,"&lt;"&amp;TODAY())&gt;0),O756,"")</x:f>
      </x:c>
      <x:c r="K756" t="str">
        <x:f>IF(AND(A756&lt;&gt;"",COUNTIFS(C756,"&gt;=36526",C756,TODAY())+COUNTIFS(D756,"&gt;=36526",D756,TODAY())+COUNTIFS(E756,"&gt;=36526",E756,TODAY())+COUNTIFS(F756,"&gt;=36526",F756,TODAY())&gt;0),P756,"")</x:f>
      </x:c>
      <x:c r="L756" t="str">
        <x:f>IF(AND(A756&lt;&gt;"",COUNTIFS(C756,"&gt;"&amp;TODAY(),C756,"&lt;="&amp;TODAY()+30)+COUNTIFS(D756,"&gt;"&amp;TODAY(),D756,"&lt;="&amp;TODAY()+30)+COUNTIFS(E756,"&gt;"&amp;TODAY(),E756,"&lt;="&amp;TODAY()+30)+COUNTIFS(F756,"&gt;"&amp;TODAY(),F756,"&lt;="&amp;TODAY()+30)&gt;0),Q756,"")</x:f>
      </x:c>
      <x:c r="M756" t="str">
        <x:f>IF(OR(LEFT(H756,15)="Missing dates; ",LEFT(H756,16)="Add N/A reason; ",H756="Add dates",H756="Add registration",H756="Check date format"),R756,"")</x:f>
      </x:c>
      <x:c r="N756" t="str">
        <x:f>IF(COUNTIFS(C756:F756,"Reviewed N/A")&gt;0,S756,"")</x:f>
      </x:c>
      <x:c r="O756" t="n">
        <x:f>O755+IF(AND(A756&lt;&gt;"",COUNTIFS(C756,"&gt;=36526",C756,"&lt;"&amp;TODAY())+COUNTIFS(D756,"&gt;=36526",D756,"&lt;"&amp;TODAY())+COUNTIFS(E756,"&gt;=36526",E756,"&lt;"&amp;TODAY())+COUNTIFS(F756,"&gt;=36526",F756,"&lt;"&amp;TODAY())&gt;0),1,0)</x:f>
        <x:v>0</x:v>
      </x:c>
      <x:c r="P756" t="n">
        <x:f>P755+IF(AND(A756&lt;&gt;"",COUNTIFS(C756,"&gt;=36526",C756,TODAY())+COUNTIFS(D756,"&gt;=36526",D756,TODAY())+COUNTIFS(E756,"&gt;=36526",E756,TODAY())+COUNTIFS(F756,"&gt;=36526",F756,TODAY())&gt;0),1,0)</x:f>
        <x:v>0</x:v>
      </x:c>
      <x:c r="Q756" t="n">
        <x:f>Q755+IF(AND(A756&lt;&gt;"",COUNTIFS(C756,"&gt;"&amp;TODAY(),C756,"&lt;="&amp;TODAY()+30)+COUNTIFS(D756,"&gt;"&amp;TODAY(),D756,"&lt;="&amp;TODAY()+30)+COUNTIFS(E756,"&gt;"&amp;TODAY(),E756,"&lt;="&amp;TODAY()+30)+COUNTIFS(F756,"&gt;"&amp;TODAY(),F756,"&lt;="&amp;TODAY()+30)&gt;0),1,0)</x:f>
        <x:v>0</x:v>
      </x:c>
      <x:c r="R756" t="n">
        <x:f>R755+IF(OR(LEFT(H756,15)="Missing dates; ",LEFT(H756,16)="Add N/A reason; ",H756="Add dates",H756="Add registration",H756="Check date format"),1,0)</x:f>
        <x:v>0</x:v>
      </x:c>
      <x:c r="S756" t="n">
        <x:f>S755+IF(COUNTIFS(C756:F756,"Reviewed N/A")&gt;0,1,0)</x:f>
        <x:v>0</x:v>
      </x:c>
    </x:row>
    <x:row r="757" ht="48" customHeight="1">
      <x:c r="A757" s="52"/>
      <x:c r="B757" s="52"/>
      <x:c r="C757" s="53"/>
      <x:c r="D757" s="53"/>
      <x:c r="E757" s="53"/>
      <x:c r="F757" s="53"/>
      <x:c r="G757" s="52"/>
      <x:c r="H757" s="21" t="str">
        <x:f>IF(COUNTA(A757:G757,I757)=0,"",IF(A757="","Add registration",IF(OR(COUNTA(C757:F757)&gt;COUNT(C757:F757)+COUNTIFS(C757:F757,"Reviewed N/A"),AND(COUNT(C757:F757)&gt;0,OR(MIN(C757:F757)&lt;36526,MAX(C757:F757)&gt;109574))),"Check date format",IF(AND(COUNTIFS(C757:F757,"Reviewed N/A")&gt;0,I757=""),"Add N/A reason; ","")&amp;IF(COUNT(C757:F757)=0,IF(COUNTIFS(C757:F757,"Reviewed N/A")=4,"No applicable dates recorded","Add dates"),IF(COUNT(C757:F757)+COUNTIFS(C757:F757,"Reviewed N/A")&lt;4,"Missing dates; ","")&amp;IF(MIN(C757:F757)&lt;TODAY(),"Overdue: ",IF(MIN(C757:F757)=TODAY(),"Due today: ",IF(MIN(C757:F757)&lt;=TODAY()+30,"Due within 30 days: ","Next: ")))&amp;INDEX($C$8:$F$8,1,MATCH(MIN(C757:F757),C757:F757,0))&amp;" "&amp;TEXT(MIN(C757:F757),"dd mmm yyyy")))))</x:f>
      </x:c>
      <x:c r="I757" s="52"/>
      <x:c r="J757" t="str">
        <x:f>IF(AND(A757&lt;&gt;"",COUNTIFS(C757,"&gt;=36526",C757,"&lt;"&amp;TODAY())+COUNTIFS(D757,"&gt;=36526",D757,"&lt;"&amp;TODAY())+COUNTIFS(E757,"&gt;=36526",E757,"&lt;"&amp;TODAY())+COUNTIFS(F757,"&gt;=36526",F757,"&lt;"&amp;TODAY())&gt;0),O757,"")</x:f>
      </x:c>
      <x:c r="K757" t="str">
        <x:f>IF(AND(A757&lt;&gt;"",COUNTIFS(C757,"&gt;=36526",C757,TODAY())+COUNTIFS(D757,"&gt;=36526",D757,TODAY())+COUNTIFS(E757,"&gt;=36526",E757,TODAY())+COUNTIFS(F757,"&gt;=36526",F757,TODAY())&gt;0),P757,"")</x:f>
      </x:c>
      <x:c r="L757" t="str">
        <x:f>IF(AND(A757&lt;&gt;"",COUNTIFS(C757,"&gt;"&amp;TODAY(),C757,"&lt;="&amp;TODAY()+30)+COUNTIFS(D757,"&gt;"&amp;TODAY(),D757,"&lt;="&amp;TODAY()+30)+COUNTIFS(E757,"&gt;"&amp;TODAY(),E757,"&lt;="&amp;TODAY()+30)+COUNTIFS(F757,"&gt;"&amp;TODAY(),F757,"&lt;="&amp;TODAY()+30)&gt;0),Q757,"")</x:f>
      </x:c>
      <x:c r="M757" t="str">
        <x:f>IF(OR(LEFT(H757,15)="Missing dates; ",LEFT(H757,16)="Add N/A reason; ",H757="Add dates",H757="Add registration",H757="Check date format"),R757,"")</x:f>
      </x:c>
      <x:c r="N757" t="str">
        <x:f>IF(COUNTIFS(C757:F757,"Reviewed N/A")&gt;0,S757,"")</x:f>
      </x:c>
      <x:c r="O757" t="n">
        <x:f>O756+IF(AND(A757&lt;&gt;"",COUNTIFS(C757,"&gt;=36526",C757,"&lt;"&amp;TODAY())+COUNTIFS(D757,"&gt;=36526",D757,"&lt;"&amp;TODAY())+COUNTIFS(E757,"&gt;=36526",E757,"&lt;"&amp;TODAY())+COUNTIFS(F757,"&gt;=36526",F757,"&lt;"&amp;TODAY())&gt;0),1,0)</x:f>
        <x:v>0</x:v>
      </x:c>
      <x:c r="P757" t="n">
        <x:f>P756+IF(AND(A757&lt;&gt;"",COUNTIFS(C757,"&gt;=36526",C757,TODAY())+COUNTIFS(D757,"&gt;=36526",D757,TODAY())+COUNTIFS(E757,"&gt;=36526",E757,TODAY())+COUNTIFS(F757,"&gt;=36526",F757,TODAY())&gt;0),1,0)</x:f>
        <x:v>0</x:v>
      </x:c>
      <x:c r="Q757" t="n">
        <x:f>Q756+IF(AND(A757&lt;&gt;"",COUNTIFS(C757,"&gt;"&amp;TODAY(),C757,"&lt;="&amp;TODAY()+30)+COUNTIFS(D757,"&gt;"&amp;TODAY(),D757,"&lt;="&amp;TODAY()+30)+COUNTIFS(E757,"&gt;"&amp;TODAY(),E757,"&lt;="&amp;TODAY()+30)+COUNTIFS(F757,"&gt;"&amp;TODAY(),F757,"&lt;="&amp;TODAY()+30)&gt;0),1,0)</x:f>
        <x:v>0</x:v>
      </x:c>
      <x:c r="R757" t="n">
        <x:f>R756+IF(OR(LEFT(H757,15)="Missing dates; ",LEFT(H757,16)="Add N/A reason; ",H757="Add dates",H757="Add registration",H757="Check date format"),1,0)</x:f>
        <x:v>0</x:v>
      </x:c>
      <x:c r="S757" t="n">
        <x:f>S756+IF(COUNTIFS(C757:F757,"Reviewed N/A")&gt;0,1,0)</x:f>
        <x:v>0</x:v>
      </x:c>
    </x:row>
    <x:row r="758" ht="48" customHeight="1">
      <x:c r="A758" s="52"/>
      <x:c r="B758" s="52"/>
      <x:c r="C758" s="53"/>
      <x:c r="D758" s="53"/>
      <x:c r="E758" s="53"/>
      <x:c r="F758" s="53"/>
      <x:c r="G758" s="52"/>
      <x:c r="H758" s="21" t="str">
        <x:f>IF(COUNTA(A758:G758,I758)=0,"",IF(A758="","Add registration",IF(OR(COUNTA(C758:F758)&gt;COUNT(C758:F758)+COUNTIFS(C758:F758,"Reviewed N/A"),AND(COUNT(C758:F758)&gt;0,OR(MIN(C758:F758)&lt;36526,MAX(C758:F758)&gt;109574))),"Check date format",IF(AND(COUNTIFS(C758:F758,"Reviewed N/A")&gt;0,I758=""),"Add N/A reason; ","")&amp;IF(COUNT(C758:F758)=0,IF(COUNTIFS(C758:F758,"Reviewed N/A")=4,"No applicable dates recorded","Add dates"),IF(COUNT(C758:F758)+COUNTIFS(C758:F758,"Reviewed N/A")&lt;4,"Missing dates; ","")&amp;IF(MIN(C758:F758)&lt;TODAY(),"Overdue: ",IF(MIN(C758:F758)=TODAY(),"Due today: ",IF(MIN(C758:F758)&lt;=TODAY()+30,"Due within 30 days: ","Next: ")))&amp;INDEX($C$8:$F$8,1,MATCH(MIN(C758:F758),C758:F758,0))&amp;" "&amp;TEXT(MIN(C758:F758),"dd mmm yyyy")))))</x:f>
      </x:c>
      <x:c r="I758" s="52"/>
      <x:c r="J758" t="str">
        <x:f>IF(AND(A758&lt;&gt;"",COUNTIFS(C758,"&gt;=36526",C758,"&lt;"&amp;TODAY())+COUNTIFS(D758,"&gt;=36526",D758,"&lt;"&amp;TODAY())+COUNTIFS(E758,"&gt;=36526",E758,"&lt;"&amp;TODAY())+COUNTIFS(F758,"&gt;=36526",F758,"&lt;"&amp;TODAY())&gt;0),O758,"")</x:f>
      </x:c>
      <x:c r="K758" t="str">
        <x:f>IF(AND(A758&lt;&gt;"",COUNTIFS(C758,"&gt;=36526",C758,TODAY())+COUNTIFS(D758,"&gt;=36526",D758,TODAY())+COUNTIFS(E758,"&gt;=36526",E758,TODAY())+COUNTIFS(F758,"&gt;=36526",F758,TODAY())&gt;0),P758,"")</x:f>
      </x:c>
      <x:c r="L758" t="str">
        <x:f>IF(AND(A758&lt;&gt;"",COUNTIFS(C758,"&gt;"&amp;TODAY(),C758,"&lt;="&amp;TODAY()+30)+COUNTIFS(D758,"&gt;"&amp;TODAY(),D758,"&lt;="&amp;TODAY()+30)+COUNTIFS(E758,"&gt;"&amp;TODAY(),E758,"&lt;="&amp;TODAY()+30)+COUNTIFS(F758,"&gt;"&amp;TODAY(),F758,"&lt;="&amp;TODAY()+30)&gt;0),Q758,"")</x:f>
      </x:c>
      <x:c r="M758" t="str">
        <x:f>IF(OR(LEFT(H758,15)="Missing dates; ",LEFT(H758,16)="Add N/A reason; ",H758="Add dates",H758="Add registration",H758="Check date format"),R758,"")</x:f>
      </x:c>
      <x:c r="N758" t="str">
        <x:f>IF(COUNTIFS(C758:F758,"Reviewed N/A")&gt;0,S758,"")</x:f>
      </x:c>
      <x:c r="O758" t="n">
        <x:f>O757+IF(AND(A758&lt;&gt;"",COUNTIFS(C758,"&gt;=36526",C758,"&lt;"&amp;TODAY())+COUNTIFS(D758,"&gt;=36526",D758,"&lt;"&amp;TODAY())+COUNTIFS(E758,"&gt;=36526",E758,"&lt;"&amp;TODAY())+COUNTIFS(F758,"&gt;=36526",F758,"&lt;"&amp;TODAY())&gt;0),1,0)</x:f>
        <x:v>0</x:v>
      </x:c>
      <x:c r="P758" t="n">
        <x:f>P757+IF(AND(A758&lt;&gt;"",COUNTIFS(C758,"&gt;=36526",C758,TODAY())+COUNTIFS(D758,"&gt;=36526",D758,TODAY())+COUNTIFS(E758,"&gt;=36526",E758,TODAY())+COUNTIFS(F758,"&gt;=36526",F758,TODAY())&gt;0),1,0)</x:f>
        <x:v>0</x:v>
      </x:c>
      <x:c r="Q758" t="n">
        <x:f>Q757+IF(AND(A758&lt;&gt;"",COUNTIFS(C758,"&gt;"&amp;TODAY(),C758,"&lt;="&amp;TODAY()+30)+COUNTIFS(D758,"&gt;"&amp;TODAY(),D758,"&lt;="&amp;TODAY()+30)+COUNTIFS(E758,"&gt;"&amp;TODAY(),E758,"&lt;="&amp;TODAY()+30)+COUNTIFS(F758,"&gt;"&amp;TODAY(),F758,"&lt;="&amp;TODAY()+30)&gt;0),1,0)</x:f>
        <x:v>0</x:v>
      </x:c>
      <x:c r="R758" t="n">
        <x:f>R757+IF(OR(LEFT(H758,15)="Missing dates; ",LEFT(H758,16)="Add N/A reason; ",H758="Add dates",H758="Add registration",H758="Check date format"),1,0)</x:f>
        <x:v>0</x:v>
      </x:c>
      <x:c r="S758" t="n">
        <x:f>S757+IF(COUNTIFS(C758:F758,"Reviewed N/A")&gt;0,1,0)</x:f>
        <x:v>0</x:v>
      </x:c>
    </x:row>
    <x:row r="759" ht="48" customHeight="1">
      <x:c r="A759" s="52"/>
      <x:c r="B759" s="52"/>
      <x:c r="C759" s="53"/>
      <x:c r="D759" s="53"/>
      <x:c r="E759" s="53"/>
      <x:c r="F759" s="53"/>
      <x:c r="G759" s="52"/>
      <x:c r="H759" s="21" t="str">
        <x:f>IF(COUNTA(A759:G759,I759)=0,"",IF(A759="","Add registration",IF(OR(COUNTA(C759:F759)&gt;COUNT(C759:F759)+COUNTIFS(C759:F759,"Reviewed N/A"),AND(COUNT(C759:F759)&gt;0,OR(MIN(C759:F759)&lt;36526,MAX(C759:F759)&gt;109574))),"Check date format",IF(AND(COUNTIFS(C759:F759,"Reviewed N/A")&gt;0,I759=""),"Add N/A reason; ","")&amp;IF(COUNT(C759:F759)=0,IF(COUNTIFS(C759:F759,"Reviewed N/A")=4,"No applicable dates recorded","Add dates"),IF(COUNT(C759:F759)+COUNTIFS(C759:F759,"Reviewed N/A")&lt;4,"Missing dates; ","")&amp;IF(MIN(C759:F759)&lt;TODAY(),"Overdue: ",IF(MIN(C759:F759)=TODAY(),"Due today: ",IF(MIN(C759:F759)&lt;=TODAY()+30,"Due within 30 days: ","Next: ")))&amp;INDEX($C$8:$F$8,1,MATCH(MIN(C759:F759),C759:F759,0))&amp;" "&amp;TEXT(MIN(C759:F759),"dd mmm yyyy")))))</x:f>
      </x:c>
      <x:c r="I759" s="52"/>
      <x:c r="J759" t="str">
        <x:f>IF(AND(A759&lt;&gt;"",COUNTIFS(C759,"&gt;=36526",C759,"&lt;"&amp;TODAY())+COUNTIFS(D759,"&gt;=36526",D759,"&lt;"&amp;TODAY())+COUNTIFS(E759,"&gt;=36526",E759,"&lt;"&amp;TODAY())+COUNTIFS(F759,"&gt;=36526",F759,"&lt;"&amp;TODAY())&gt;0),O759,"")</x:f>
      </x:c>
      <x:c r="K759" t="str">
        <x:f>IF(AND(A759&lt;&gt;"",COUNTIFS(C759,"&gt;=36526",C759,TODAY())+COUNTIFS(D759,"&gt;=36526",D759,TODAY())+COUNTIFS(E759,"&gt;=36526",E759,TODAY())+COUNTIFS(F759,"&gt;=36526",F759,TODAY())&gt;0),P759,"")</x:f>
      </x:c>
      <x:c r="L759" t="str">
        <x:f>IF(AND(A759&lt;&gt;"",COUNTIFS(C759,"&gt;"&amp;TODAY(),C759,"&lt;="&amp;TODAY()+30)+COUNTIFS(D759,"&gt;"&amp;TODAY(),D759,"&lt;="&amp;TODAY()+30)+COUNTIFS(E759,"&gt;"&amp;TODAY(),E759,"&lt;="&amp;TODAY()+30)+COUNTIFS(F759,"&gt;"&amp;TODAY(),F759,"&lt;="&amp;TODAY()+30)&gt;0),Q759,"")</x:f>
      </x:c>
      <x:c r="M759" t="str">
        <x:f>IF(OR(LEFT(H759,15)="Missing dates; ",LEFT(H759,16)="Add N/A reason; ",H759="Add dates",H759="Add registration",H759="Check date format"),R759,"")</x:f>
      </x:c>
      <x:c r="N759" t="str">
        <x:f>IF(COUNTIFS(C759:F759,"Reviewed N/A")&gt;0,S759,"")</x:f>
      </x:c>
      <x:c r="O759" t="n">
        <x:f>O758+IF(AND(A759&lt;&gt;"",COUNTIFS(C759,"&gt;=36526",C759,"&lt;"&amp;TODAY())+COUNTIFS(D759,"&gt;=36526",D759,"&lt;"&amp;TODAY())+COUNTIFS(E759,"&gt;=36526",E759,"&lt;"&amp;TODAY())+COUNTIFS(F759,"&gt;=36526",F759,"&lt;"&amp;TODAY())&gt;0),1,0)</x:f>
        <x:v>0</x:v>
      </x:c>
      <x:c r="P759" t="n">
        <x:f>P758+IF(AND(A759&lt;&gt;"",COUNTIFS(C759,"&gt;=36526",C759,TODAY())+COUNTIFS(D759,"&gt;=36526",D759,TODAY())+COUNTIFS(E759,"&gt;=36526",E759,TODAY())+COUNTIFS(F759,"&gt;=36526",F759,TODAY())&gt;0),1,0)</x:f>
        <x:v>0</x:v>
      </x:c>
      <x:c r="Q759" t="n">
        <x:f>Q758+IF(AND(A759&lt;&gt;"",COUNTIFS(C759,"&gt;"&amp;TODAY(),C759,"&lt;="&amp;TODAY()+30)+COUNTIFS(D759,"&gt;"&amp;TODAY(),D759,"&lt;="&amp;TODAY()+30)+COUNTIFS(E759,"&gt;"&amp;TODAY(),E759,"&lt;="&amp;TODAY()+30)+COUNTIFS(F759,"&gt;"&amp;TODAY(),F759,"&lt;="&amp;TODAY()+30)&gt;0),1,0)</x:f>
        <x:v>0</x:v>
      </x:c>
      <x:c r="R759" t="n">
        <x:f>R758+IF(OR(LEFT(H759,15)="Missing dates; ",LEFT(H759,16)="Add N/A reason; ",H759="Add dates",H759="Add registration",H759="Check date format"),1,0)</x:f>
        <x:v>0</x:v>
      </x:c>
      <x:c r="S759" t="n">
        <x:f>S758+IF(COUNTIFS(C759:F759,"Reviewed N/A")&gt;0,1,0)</x:f>
        <x:v>0</x:v>
      </x:c>
    </x:row>
    <x:row r="760" ht="48" customHeight="1">
      <x:c r="A760" s="52"/>
      <x:c r="B760" s="52"/>
      <x:c r="C760" s="53"/>
      <x:c r="D760" s="53"/>
      <x:c r="E760" s="53"/>
      <x:c r="F760" s="53"/>
      <x:c r="G760" s="52"/>
      <x:c r="H760" s="21" t="str">
        <x:f>IF(COUNTA(A760:G760,I760)=0,"",IF(A760="","Add registration",IF(OR(COUNTA(C760:F760)&gt;COUNT(C760:F760)+COUNTIFS(C760:F760,"Reviewed N/A"),AND(COUNT(C760:F760)&gt;0,OR(MIN(C760:F760)&lt;36526,MAX(C760:F760)&gt;109574))),"Check date format",IF(AND(COUNTIFS(C760:F760,"Reviewed N/A")&gt;0,I760=""),"Add N/A reason; ","")&amp;IF(COUNT(C760:F760)=0,IF(COUNTIFS(C760:F760,"Reviewed N/A")=4,"No applicable dates recorded","Add dates"),IF(COUNT(C760:F760)+COUNTIFS(C760:F760,"Reviewed N/A")&lt;4,"Missing dates; ","")&amp;IF(MIN(C760:F760)&lt;TODAY(),"Overdue: ",IF(MIN(C760:F760)=TODAY(),"Due today: ",IF(MIN(C760:F760)&lt;=TODAY()+30,"Due within 30 days: ","Next: ")))&amp;INDEX($C$8:$F$8,1,MATCH(MIN(C760:F760),C760:F760,0))&amp;" "&amp;TEXT(MIN(C760:F760),"dd mmm yyyy")))))</x:f>
      </x:c>
      <x:c r="I760" s="52"/>
      <x:c r="J760" t="str">
        <x:f>IF(AND(A760&lt;&gt;"",COUNTIFS(C760,"&gt;=36526",C760,"&lt;"&amp;TODAY())+COUNTIFS(D760,"&gt;=36526",D760,"&lt;"&amp;TODAY())+COUNTIFS(E760,"&gt;=36526",E760,"&lt;"&amp;TODAY())+COUNTIFS(F760,"&gt;=36526",F760,"&lt;"&amp;TODAY())&gt;0),O760,"")</x:f>
      </x:c>
      <x:c r="K760" t="str">
        <x:f>IF(AND(A760&lt;&gt;"",COUNTIFS(C760,"&gt;=36526",C760,TODAY())+COUNTIFS(D760,"&gt;=36526",D760,TODAY())+COUNTIFS(E760,"&gt;=36526",E760,TODAY())+COUNTIFS(F760,"&gt;=36526",F760,TODAY())&gt;0),P760,"")</x:f>
      </x:c>
      <x:c r="L760" t="str">
        <x:f>IF(AND(A760&lt;&gt;"",COUNTIFS(C760,"&gt;"&amp;TODAY(),C760,"&lt;="&amp;TODAY()+30)+COUNTIFS(D760,"&gt;"&amp;TODAY(),D760,"&lt;="&amp;TODAY()+30)+COUNTIFS(E760,"&gt;"&amp;TODAY(),E760,"&lt;="&amp;TODAY()+30)+COUNTIFS(F760,"&gt;"&amp;TODAY(),F760,"&lt;="&amp;TODAY()+30)&gt;0),Q760,"")</x:f>
      </x:c>
      <x:c r="M760" t="str">
        <x:f>IF(OR(LEFT(H760,15)="Missing dates; ",LEFT(H760,16)="Add N/A reason; ",H760="Add dates",H760="Add registration",H760="Check date format"),R760,"")</x:f>
      </x:c>
      <x:c r="N760" t="str">
        <x:f>IF(COUNTIFS(C760:F760,"Reviewed N/A")&gt;0,S760,"")</x:f>
      </x:c>
      <x:c r="O760" t="n">
        <x:f>O759+IF(AND(A760&lt;&gt;"",COUNTIFS(C760,"&gt;=36526",C760,"&lt;"&amp;TODAY())+COUNTIFS(D760,"&gt;=36526",D760,"&lt;"&amp;TODAY())+COUNTIFS(E760,"&gt;=36526",E760,"&lt;"&amp;TODAY())+COUNTIFS(F760,"&gt;=36526",F760,"&lt;"&amp;TODAY())&gt;0),1,0)</x:f>
        <x:v>0</x:v>
      </x:c>
      <x:c r="P760" t="n">
        <x:f>P759+IF(AND(A760&lt;&gt;"",COUNTIFS(C760,"&gt;=36526",C760,TODAY())+COUNTIFS(D760,"&gt;=36526",D760,TODAY())+COUNTIFS(E760,"&gt;=36526",E760,TODAY())+COUNTIFS(F760,"&gt;=36526",F760,TODAY())&gt;0),1,0)</x:f>
        <x:v>0</x:v>
      </x:c>
      <x:c r="Q760" t="n">
        <x:f>Q759+IF(AND(A760&lt;&gt;"",COUNTIFS(C760,"&gt;"&amp;TODAY(),C760,"&lt;="&amp;TODAY()+30)+COUNTIFS(D760,"&gt;"&amp;TODAY(),D760,"&lt;="&amp;TODAY()+30)+COUNTIFS(E760,"&gt;"&amp;TODAY(),E760,"&lt;="&amp;TODAY()+30)+COUNTIFS(F760,"&gt;"&amp;TODAY(),F760,"&lt;="&amp;TODAY()+30)&gt;0),1,0)</x:f>
        <x:v>0</x:v>
      </x:c>
      <x:c r="R760" t="n">
        <x:f>R759+IF(OR(LEFT(H760,15)="Missing dates; ",LEFT(H760,16)="Add N/A reason; ",H760="Add dates",H760="Add registration",H760="Check date format"),1,0)</x:f>
        <x:v>0</x:v>
      </x:c>
      <x:c r="S760" t="n">
        <x:f>S759+IF(COUNTIFS(C760:F760,"Reviewed N/A")&gt;0,1,0)</x:f>
        <x:v>0</x:v>
      </x:c>
    </x:row>
    <x:row r="761" ht="48" customHeight="1">
      <x:c r="A761" s="52"/>
      <x:c r="B761" s="52"/>
      <x:c r="C761" s="53"/>
      <x:c r="D761" s="53"/>
      <x:c r="E761" s="53"/>
      <x:c r="F761" s="53"/>
      <x:c r="G761" s="52"/>
      <x:c r="H761" s="21" t="str">
        <x:f>IF(COUNTA(A761:G761,I761)=0,"",IF(A761="","Add registration",IF(OR(COUNTA(C761:F761)&gt;COUNT(C761:F761)+COUNTIFS(C761:F761,"Reviewed N/A"),AND(COUNT(C761:F761)&gt;0,OR(MIN(C761:F761)&lt;36526,MAX(C761:F761)&gt;109574))),"Check date format",IF(AND(COUNTIFS(C761:F761,"Reviewed N/A")&gt;0,I761=""),"Add N/A reason; ","")&amp;IF(COUNT(C761:F761)=0,IF(COUNTIFS(C761:F761,"Reviewed N/A")=4,"No applicable dates recorded","Add dates"),IF(COUNT(C761:F761)+COUNTIFS(C761:F761,"Reviewed N/A")&lt;4,"Missing dates; ","")&amp;IF(MIN(C761:F761)&lt;TODAY(),"Overdue: ",IF(MIN(C761:F761)=TODAY(),"Due today: ",IF(MIN(C761:F761)&lt;=TODAY()+30,"Due within 30 days: ","Next: ")))&amp;INDEX($C$8:$F$8,1,MATCH(MIN(C761:F761),C761:F761,0))&amp;" "&amp;TEXT(MIN(C761:F761),"dd mmm yyyy")))))</x:f>
      </x:c>
      <x:c r="I761" s="52"/>
      <x:c r="J761" t="str">
        <x:f>IF(AND(A761&lt;&gt;"",COUNTIFS(C761,"&gt;=36526",C761,"&lt;"&amp;TODAY())+COUNTIFS(D761,"&gt;=36526",D761,"&lt;"&amp;TODAY())+COUNTIFS(E761,"&gt;=36526",E761,"&lt;"&amp;TODAY())+COUNTIFS(F761,"&gt;=36526",F761,"&lt;"&amp;TODAY())&gt;0),O761,"")</x:f>
      </x:c>
      <x:c r="K761" t="str">
        <x:f>IF(AND(A761&lt;&gt;"",COUNTIFS(C761,"&gt;=36526",C761,TODAY())+COUNTIFS(D761,"&gt;=36526",D761,TODAY())+COUNTIFS(E761,"&gt;=36526",E761,TODAY())+COUNTIFS(F761,"&gt;=36526",F761,TODAY())&gt;0),P761,"")</x:f>
      </x:c>
      <x:c r="L761" t="str">
        <x:f>IF(AND(A761&lt;&gt;"",COUNTIFS(C761,"&gt;"&amp;TODAY(),C761,"&lt;="&amp;TODAY()+30)+COUNTIFS(D761,"&gt;"&amp;TODAY(),D761,"&lt;="&amp;TODAY()+30)+COUNTIFS(E761,"&gt;"&amp;TODAY(),E761,"&lt;="&amp;TODAY()+30)+COUNTIFS(F761,"&gt;"&amp;TODAY(),F761,"&lt;="&amp;TODAY()+30)&gt;0),Q761,"")</x:f>
      </x:c>
      <x:c r="M761" t="str">
        <x:f>IF(OR(LEFT(H761,15)="Missing dates; ",LEFT(H761,16)="Add N/A reason; ",H761="Add dates",H761="Add registration",H761="Check date format"),R761,"")</x:f>
      </x:c>
      <x:c r="N761" t="str">
        <x:f>IF(COUNTIFS(C761:F761,"Reviewed N/A")&gt;0,S761,"")</x:f>
      </x:c>
      <x:c r="O761" t="n">
        <x:f>O760+IF(AND(A761&lt;&gt;"",COUNTIFS(C761,"&gt;=36526",C761,"&lt;"&amp;TODAY())+COUNTIFS(D761,"&gt;=36526",D761,"&lt;"&amp;TODAY())+COUNTIFS(E761,"&gt;=36526",E761,"&lt;"&amp;TODAY())+COUNTIFS(F761,"&gt;=36526",F761,"&lt;"&amp;TODAY())&gt;0),1,0)</x:f>
        <x:v>0</x:v>
      </x:c>
      <x:c r="P761" t="n">
        <x:f>P760+IF(AND(A761&lt;&gt;"",COUNTIFS(C761,"&gt;=36526",C761,TODAY())+COUNTIFS(D761,"&gt;=36526",D761,TODAY())+COUNTIFS(E761,"&gt;=36526",E761,TODAY())+COUNTIFS(F761,"&gt;=36526",F761,TODAY())&gt;0),1,0)</x:f>
        <x:v>0</x:v>
      </x:c>
      <x:c r="Q761" t="n">
        <x:f>Q760+IF(AND(A761&lt;&gt;"",COUNTIFS(C761,"&gt;"&amp;TODAY(),C761,"&lt;="&amp;TODAY()+30)+COUNTIFS(D761,"&gt;"&amp;TODAY(),D761,"&lt;="&amp;TODAY()+30)+COUNTIFS(E761,"&gt;"&amp;TODAY(),E761,"&lt;="&amp;TODAY()+30)+COUNTIFS(F761,"&gt;"&amp;TODAY(),F761,"&lt;="&amp;TODAY()+30)&gt;0),1,0)</x:f>
        <x:v>0</x:v>
      </x:c>
      <x:c r="R761" t="n">
        <x:f>R760+IF(OR(LEFT(H761,15)="Missing dates; ",LEFT(H761,16)="Add N/A reason; ",H761="Add dates",H761="Add registration",H761="Check date format"),1,0)</x:f>
        <x:v>0</x:v>
      </x:c>
      <x:c r="S761" t="n">
        <x:f>S760+IF(COUNTIFS(C761:F761,"Reviewed N/A")&gt;0,1,0)</x:f>
        <x:v>0</x:v>
      </x:c>
    </x:row>
    <x:row r="762" ht="48" customHeight="1">
      <x:c r="A762" s="52"/>
      <x:c r="B762" s="52"/>
      <x:c r="C762" s="53"/>
      <x:c r="D762" s="53"/>
      <x:c r="E762" s="53"/>
      <x:c r="F762" s="53"/>
      <x:c r="G762" s="52"/>
      <x:c r="H762" s="21" t="str">
        <x:f>IF(COUNTA(A762:G762,I762)=0,"",IF(A762="","Add registration",IF(OR(COUNTA(C762:F762)&gt;COUNT(C762:F762)+COUNTIFS(C762:F762,"Reviewed N/A"),AND(COUNT(C762:F762)&gt;0,OR(MIN(C762:F762)&lt;36526,MAX(C762:F762)&gt;109574))),"Check date format",IF(AND(COUNTIFS(C762:F762,"Reviewed N/A")&gt;0,I762=""),"Add N/A reason; ","")&amp;IF(COUNT(C762:F762)=0,IF(COUNTIFS(C762:F762,"Reviewed N/A")=4,"No applicable dates recorded","Add dates"),IF(COUNT(C762:F762)+COUNTIFS(C762:F762,"Reviewed N/A")&lt;4,"Missing dates; ","")&amp;IF(MIN(C762:F762)&lt;TODAY(),"Overdue: ",IF(MIN(C762:F762)=TODAY(),"Due today: ",IF(MIN(C762:F762)&lt;=TODAY()+30,"Due within 30 days: ","Next: ")))&amp;INDEX($C$8:$F$8,1,MATCH(MIN(C762:F762),C762:F762,0))&amp;" "&amp;TEXT(MIN(C762:F762),"dd mmm yyyy")))))</x:f>
      </x:c>
      <x:c r="I762" s="52"/>
      <x:c r="J762" t="str">
        <x:f>IF(AND(A762&lt;&gt;"",COUNTIFS(C762,"&gt;=36526",C762,"&lt;"&amp;TODAY())+COUNTIFS(D762,"&gt;=36526",D762,"&lt;"&amp;TODAY())+COUNTIFS(E762,"&gt;=36526",E762,"&lt;"&amp;TODAY())+COUNTIFS(F762,"&gt;=36526",F762,"&lt;"&amp;TODAY())&gt;0),O762,"")</x:f>
      </x:c>
      <x:c r="K762" t="str">
        <x:f>IF(AND(A762&lt;&gt;"",COUNTIFS(C762,"&gt;=36526",C762,TODAY())+COUNTIFS(D762,"&gt;=36526",D762,TODAY())+COUNTIFS(E762,"&gt;=36526",E762,TODAY())+COUNTIFS(F762,"&gt;=36526",F762,TODAY())&gt;0),P762,"")</x:f>
      </x:c>
      <x:c r="L762" t="str">
        <x:f>IF(AND(A762&lt;&gt;"",COUNTIFS(C762,"&gt;"&amp;TODAY(),C762,"&lt;="&amp;TODAY()+30)+COUNTIFS(D762,"&gt;"&amp;TODAY(),D762,"&lt;="&amp;TODAY()+30)+COUNTIFS(E762,"&gt;"&amp;TODAY(),E762,"&lt;="&amp;TODAY()+30)+COUNTIFS(F762,"&gt;"&amp;TODAY(),F762,"&lt;="&amp;TODAY()+30)&gt;0),Q762,"")</x:f>
      </x:c>
      <x:c r="M762" t="str">
        <x:f>IF(OR(LEFT(H762,15)="Missing dates; ",LEFT(H762,16)="Add N/A reason; ",H762="Add dates",H762="Add registration",H762="Check date format"),R762,"")</x:f>
      </x:c>
      <x:c r="N762" t="str">
        <x:f>IF(COUNTIFS(C762:F762,"Reviewed N/A")&gt;0,S762,"")</x:f>
      </x:c>
      <x:c r="O762" t="n">
        <x:f>O761+IF(AND(A762&lt;&gt;"",COUNTIFS(C762,"&gt;=36526",C762,"&lt;"&amp;TODAY())+COUNTIFS(D762,"&gt;=36526",D762,"&lt;"&amp;TODAY())+COUNTIFS(E762,"&gt;=36526",E762,"&lt;"&amp;TODAY())+COUNTIFS(F762,"&gt;=36526",F762,"&lt;"&amp;TODAY())&gt;0),1,0)</x:f>
        <x:v>0</x:v>
      </x:c>
      <x:c r="P762" t="n">
        <x:f>P761+IF(AND(A762&lt;&gt;"",COUNTIFS(C762,"&gt;=36526",C762,TODAY())+COUNTIFS(D762,"&gt;=36526",D762,TODAY())+COUNTIFS(E762,"&gt;=36526",E762,TODAY())+COUNTIFS(F762,"&gt;=36526",F762,TODAY())&gt;0),1,0)</x:f>
        <x:v>0</x:v>
      </x:c>
      <x:c r="Q762" t="n">
        <x:f>Q761+IF(AND(A762&lt;&gt;"",COUNTIFS(C762,"&gt;"&amp;TODAY(),C762,"&lt;="&amp;TODAY()+30)+COUNTIFS(D762,"&gt;"&amp;TODAY(),D762,"&lt;="&amp;TODAY()+30)+COUNTIFS(E762,"&gt;"&amp;TODAY(),E762,"&lt;="&amp;TODAY()+30)+COUNTIFS(F762,"&gt;"&amp;TODAY(),F762,"&lt;="&amp;TODAY()+30)&gt;0),1,0)</x:f>
        <x:v>0</x:v>
      </x:c>
      <x:c r="R762" t="n">
        <x:f>R761+IF(OR(LEFT(H762,15)="Missing dates; ",LEFT(H762,16)="Add N/A reason; ",H762="Add dates",H762="Add registration",H762="Check date format"),1,0)</x:f>
        <x:v>0</x:v>
      </x:c>
      <x:c r="S762" t="n">
        <x:f>S761+IF(COUNTIFS(C762:F762,"Reviewed N/A")&gt;0,1,0)</x:f>
        <x:v>0</x:v>
      </x:c>
    </x:row>
    <x:row r="763" ht="48" customHeight="1">
      <x:c r="A763" s="52"/>
      <x:c r="B763" s="52"/>
      <x:c r="C763" s="53"/>
      <x:c r="D763" s="53"/>
      <x:c r="E763" s="53"/>
      <x:c r="F763" s="53"/>
      <x:c r="G763" s="52"/>
      <x:c r="H763" s="21" t="str">
        <x:f>IF(COUNTA(A763:G763,I763)=0,"",IF(A763="","Add registration",IF(OR(COUNTA(C763:F763)&gt;COUNT(C763:F763)+COUNTIFS(C763:F763,"Reviewed N/A"),AND(COUNT(C763:F763)&gt;0,OR(MIN(C763:F763)&lt;36526,MAX(C763:F763)&gt;109574))),"Check date format",IF(AND(COUNTIFS(C763:F763,"Reviewed N/A")&gt;0,I763=""),"Add N/A reason; ","")&amp;IF(COUNT(C763:F763)=0,IF(COUNTIFS(C763:F763,"Reviewed N/A")=4,"No applicable dates recorded","Add dates"),IF(COUNT(C763:F763)+COUNTIFS(C763:F763,"Reviewed N/A")&lt;4,"Missing dates; ","")&amp;IF(MIN(C763:F763)&lt;TODAY(),"Overdue: ",IF(MIN(C763:F763)=TODAY(),"Due today: ",IF(MIN(C763:F763)&lt;=TODAY()+30,"Due within 30 days: ","Next: ")))&amp;INDEX($C$8:$F$8,1,MATCH(MIN(C763:F763),C763:F763,0))&amp;" "&amp;TEXT(MIN(C763:F763),"dd mmm yyyy")))))</x:f>
      </x:c>
      <x:c r="I763" s="52"/>
      <x:c r="J763" t="str">
        <x:f>IF(AND(A763&lt;&gt;"",COUNTIFS(C763,"&gt;=36526",C763,"&lt;"&amp;TODAY())+COUNTIFS(D763,"&gt;=36526",D763,"&lt;"&amp;TODAY())+COUNTIFS(E763,"&gt;=36526",E763,"&lt;"&amp;TODAY())+COUNTIFS(F763,"&gt;=36526",F763,"&lt;"&amp;TODAY())&gt;0),O763,"")</x:f>
      </x:c>
      <x:c r="K763" t="str">
        <x:f>IF(AND(A763&lt;&gt;"",COUNTIFS(C763,"&gt;=36526",C763,TODAY())+COUNTIFS(D763,"&gt;=36526",D763,TODAY())+COUNTIFS(E763,"&gt;=36526",E763,TODAY())+COUNTIFS(F763,"&gt;=36526",F763,TODAY())&gt;0),P763,"")</x:f>
      </x:c>
      <x:c r="L763" t="str">
        <x:f>IF(AND(A763&lt;&gt;"",COUNTIFS(C763,"&gt;"&amp;TODAY(),C763,"&lt;="&amp;TODAY()+30)+COUNTIFS(D763,"&gt;"&amp;TODAY(),D763,"&lt;="&amp;TODAY()+30)+COUNTIFS(E763,"&gt;"&amp;TODAY(),E763,"&lt;="&amp;TODAY()+30)+COUNTIFS(F763,"&gt;"&amp;TODAY(),F763,"&lt;="&amp;TODAY()+30)&gt;0),Q763,"")</x:f>
      </x:c>
      <x:c r="M763" t="str">
        <x:f>IF(OR(LEFT(H763,15)="Missing dates; ",LEFT(H763,16)="Add N/A reason; ",H763="Add dates",H763="Add registration",H763="Check date format"),R763,"")</x:f>
      </x:c>
      <x:c r="N763" t="str">
        <x:f>IF(COUNTIFS(C763:F763,"Reviewed N/A")&gt;0,S763,"")</x:f>
      </x:c>
      <x:c r="O763" t="n">
        <x:f>O762+IF(AND(A763&lt;&gt;"",COUNTIFS(C763,"&gt;=36526",C763,"&lt;"&amp;TODAY())+COUNTIFS(D763,"&gt;=36526",D763,"&lt;"&amp;TODAY())+COUNTIFS(E763,"&gt;=36526",E763,"&lt;"&amp;TODAY())+COUNTIFS(F763,"&gt;=36526",F763,"&lt;"&amp;TODAY())&gt;0),1,0)</x:f>
        <x:v>0</x:v>
      </x:c>
      <x:c r="P763" t="n">
        <x:f>P762+IF(AND(A763&lt;&gt;"",COUNTIFS(C763,"&gt;=36526",C763,TODAY())+COUNTIFS(D763,"&gt;=36526",D763,TODAY())+COUNTIFS(E763,"&gt;=36526",E763,TODAY())+COUNTIFS(F763,"&gt;=36526",F763,TODAY())&gt;0),1,0)</x:f>
        <x:v>0</x:v>
      </x:c>
      <x:c r="Q763" t="n">
        <x:f>Q762+IF(AND(A763&lt;&gt;"",COUNTIFS(C763,"&gt;"&amp;TODAY(),C763,"&lt;="&amp;TODAY()+30)+COUNTIFS(D763,"&gt;"&amp;TODAY(),D763,"&lt;="&amp;TODAY()+30)+COUNTIFS(E763,"&gt;"&amp;TODAY(),E763,"&lt;="&amp;TODAY()+30)+COUNTIFS(F763,"&gt;"&amp;TODAY(),F763,"&lt;="&amp;TODAY()+30)&gt;0),1,0)</x:f>
        <x:v>0</x:v>
      </x:c>
      <x:c r="R763" t="n">
        <x:f>R762+IF(OR(LEFT(H763,15)="Missing dates; ",LEFT(H763,16)="Add N/A reason; ",H763="Add dates",H763="Add registration",H763="Check date format"),1,0)</x:f>
        <x:v>0</x:v>
      </x:c>
      <x:c r="S763" t="n">
        <x:f>S762+IF(COUNTIFS(C763:F763,"Reviewed N/A")&gt;0,1,0)</x:f>
        <x:v>0</x:v>
      </x:c>
    </x:row>
    <x:row r="764" ht="48" customHeight="1">
      <x:c r="A764" s="52"/>
      <x:c r="B764" s="52"/>
      <x:c r="C764" s="53"/>
      <x:c r="D764" s="53"/>
      <x:c r="E764" s="53"/>
      <x:c r="F764" s="53"/>
      <x:c r="G764" s="52"/>
      <x:c r="H764" s="21" t="str">
        <x:f>IF(COUNTA(A764:G764,I764)=0,"",IF(A764="","Add registration",IF(OR(COUNTA(C764:F764)&gt;COUNT(C764:F764)+COUNTIFS(C764:F764,"Reviewed N/A"),AND(COUNT(C764:F764)&gt;0,OR(MIN(C764:F764)&lt;36526,MAX(C764:F764)&gt;109574))),"Check date format",IF(AND(COUNTIFS(C764:F764,"Reviewed N/A")&gt;0,I764=""),"Add N/A reason; ","")&amp;IF(COUNT(C764:F764)=0,IF(COUNTIFS(C764:F764,"Reviewed N/A")=4,"No applicable dates recorded","Add dates"),IF(COUNT(C764:F764)+COUNTIFS(C764:F764,"Reviewed N/A")&lt;4,"Missing dates; ","")&amp;IF(MIN(C764:F764)&lt;TODAY(),"Overdue: ",IF(MIN(C764:F764)=TODAY(),"Due today: ",IF(MIN(C764:F764)&lt;=TODAY()+30,"Due within 30 days: ","Next: ")))&amp;INDEX($C$8:$F$8,1,MATCH(MIN(C764:F764),C764:F764,0))&amp;" "&amp;TEXT(MIN(C764:F764),"dd mmm yyyy")))))</x:f>
      </x:c>
      <x:c r="I764" s="52"/>
      <x:c r="J764" t="str">
        <x:f>IF(AND(A764&lt;&gt;"",COUNTIFS(C764,"&gt;=36526",C764,"&lt;"&amp;TODAY())+COUNTIFS(D764,"&gt;=36526",D764,"&lt;"&amp;TODAY())+COUNTIFS(E764,"&gt;=36526",E764,"&lt;"&amp;TODAY())+COUNTIFS(F764,"&gt;=36526",F764,"&lt;"&amp;TODAY())&gt;0),O764,"")</x:f>
      </x:c>
      <x:c r="K764" t="str">
        <x:f>IF(AND(A764&lt;&gt;"",COUNTIFS(C764,"&gt;=36526",C764,TODAY())+COUNTIFS(D764,"&gt;=36526",D764,TODAY())+COUNTIFS(E764,"&gt;=36526",E764,TODAY())+COUNTIFS(F764,"&gt;=36526",F764,TODAY())&gt;0),P764,"")</x:f>
      </x:c>
      <x:c r="L764" t="str">
        <x:f>IF(AND(A764&lt;&gt;"",COUNTIFS(C764,"&gt;"&amp;TODAY(),C764,"&lt;="&amp;TODAY()+30)+COUNTIFS(D764,"&gt;"&amp;TODAY(),D764,"&lt;="&amp;TODAY()+30)+COUNTIFS(E764,"&gt;"&amp;TODAY(),E764,"&lt;="&amp;TODAY()+30)+COUNTIFS(F764,"&gt;"&amp;TODAY(),F764,"&lt;="&amp;TODAY()+30)&gt;0),Q764,"")</x:f>
      </x:c>
      <x:c r="M764" t="str">
        <x:f>IF(OR(LEFT(H764,15)="Missing dates; ",LEFT(H764,16)="Add N/A reason; ",H764="Add dates",H764="Add registration",H764="Check date format"),R764,"")</x:f>
      </x:c>
      <x:c r="N764" t="str">
        <x:f>IF(COUNTIFS(C764:F764,"Reviewed N/A")&gt;0,S764,"")</x:f>
      </x:c>
      <x:c r="O764" t="n">
        <x:f>O763+IF(AND(A764&lt;&gt;"",COUNTIFS(C764,"&gt;=36526",C764,"&lt;"&amp;TODAY())+COUNTIFS(D764,"&gt;=36526",D764,"&lt;"&amp;TODAY())+COUNTIFS(E764,"&gt;=36526",E764,"&lt;"&amp;TODAY())+COUNTIFS(F764,"&gt;=36526",F764,"&lt;"&amp;TODAY())&gt;0),1,0)</x:f>
        <x:v>0</x:v>
      </x:c>
      <x:c r="P764" t="n">
        <x:f>P763+IF(AND(A764&lt;&gt;"",COUNTIFS(C764,"&gt;=36526",C764,TODAY())+COUNTIFS(D764,"&gt;=36526",D764,TODAY())+COUNTIFS(E764,"&gt;=36526",E764,TODAY())+COUNTIFS(F764,"&gt;=36526",F764,TODAY())&gt;0),1,0)</x:f>
        <x:v>0</x:v>
      </x:c>
      <x:c r="Q764" t="n">
        <x:f>Q763+IF(AND(A764&lt;&gt;"",COUNTIFS(C764,"&gt;"&amp;TODAY(),C764,"&lt;="&amp;TODAY()+30)+COUNTIFS(D764,"&gt;"&amp;TODAY(),D764,"&lt;="&amp;TODAY()+30)+COUNTIFS(E764,"&gt;"&amp;TODAY(),E764,"&lt;="&amp;TODAY()+30)+COUNTIFS(F764,"&gt;"&amp;TODAY(),F764,"&lt;="&amp;TODAY()+30)&gt;0),1,0)</x:f>
        <x:v>0</x:v>
      </x:c>
      <x:c r="R764" t="n">
        <x:f>R763+IF(OR(LEFT(H764,15)="Missing dates; ",LEFT(H764,16)="Add N/A reason; ",H764="Add dates",H764="Add registration",H764="Check date format"),1,0)</x:f>
        <x:v>0</x:v>
      </x:c>
      <x:c r="S764" t="n">
        <x:f>S763+IF(COUNTIFS(C764:F764,"Reviewed N/A")&gt;0,1,0)</x:f>
        <x:v>0</x:v>
      </x:c>
    </x:row>
    <x:row r="765" ht="48" customHeight="1">
      <x:c r="A765" s="52"/>
      <x:c r="B765" s="52"/>
      <x:c r="C765" s="53"/>
      <x:c r="D765" s="53"/>
      <x:c r="E765" s="53"/>
      <x:c r="F765" s="53"/>
      <x:c r="G765" s="52"/>
      <x:c r="H765" s="21" t="str">
        <x:f>IF(COUNTA(A765:G765,I765)=0,"",IF(A765="","Add registration",IF(OR(COUNTA(C765:F765)&gt;COUNT(C765:F765)+COUNTIFS(C765:F765,"Reviewed N/A"),AND(COUNT(C765:F765)&gt;0,OR(MIN(C765:F765)&lt;36526,MAX(C765:F765)&gt;109574))),"Check date format",IF(AND(COUNTIFS(C765:F765,"Reviewed N/A")&gt;0,I765=""),"Add N/A reason; ","")&amp;IF(COUNT(C765:F765)=0,IF(COUNTIFS(C765:F765,"Reviewed N/A")=4,"No applicable dates recorded","Add dates"),IF(COUNT(C765:F765)+COUNTIFS(C765:F765,"Reviewed N/A")&lt;4,"Missing dates; ","")&amp;IF(MIN(C765:F765)&lt;TODAY(),"Overdue: ",IF(MIN(C765:F765)=TODAY(),"Due today: ",IF(MIN(C765:F765)&lt;=TODAY()+30,"Due within 30 days: ","Next: ")))&amp;INDEX($C$8:$F$8,1,MATCH(MIN(C765:F765),C765:F765,0))&amp;" "&amp;TEXT(MIN(C765:F765),"dd mmm yyyy")))))</x:f>
      </x:c>
      <x:c r="I765" s="52"/>
      <x:c r="J765" t="str">
        <x:f>IF(AND(A765&lt;&gt;"",COUNTIFS(C765,"&gt;=36526",C765,"&lt;"&amp;TODAY())+COUNTIFS(D765,"&gt;=36526",D765,"&lt;"&amp;TODAY())+COUNTIFS(E765,"&gt;=36526",E765,"&lt;"&amp;TODAY())+COUNTIFS(F765,"&gt;=36526",F765,"&lt;"&amp;TODAY())&gt;0),O765,"")</x:f>
      </x:c>
      <x:c r="K765" t="str">
        <x:f>IF(AND(A765&lt;&gt;"",COUNTIFS(C765,"&gt;=36526",C765,TODAY())+COUNTIFS(D765,"&gt;=36526",D765,TODAY())+COUNTIFS(E765,"&gt;=36526",E765,TODAY())+COUNTIFS(F765,"&gt;=36526",F765,TODAY())&gt;0),P765,"")</x:f>
      </x:c>
      <x:c r="L765" t="str">
        <x:f>IF(AND(A765&lt;&gt;"",COUNTIFS(C765,"&gt;"&amp;TODAY(),C765,"&lt;="&amp;TODAY()+30)+COUNTIFS(D765,"&gt;"&amp;TODAY(),D765,"&lt;="&amp;TODAY()+30)+COUNTIFS(E765,"&gt;"&amp;TODAY(),E765,"&lt;="&amp;TODAY()+30)+COUNTIFS(F765,"&gt;"&amp;TODAY(),F765,"&lt;="&amp;TODAY()+30)&gt;0),Q765,"")</x:f>
      </x:c>
      <x:c r="M765" t="str">
        <x:f>IF(OR(LEFT(H765,15)="Missing dates; ",LEFT(H765,16)="Add N/A reason; ",H765="Add dates",H765="Add registration",H765="Check date format"),R765,"")</x:f>
      </x:c>
      <x:c r="N765" t="str">
        <x:f>IF(COUNTIFS(C765:F765,"Reviewed N/A")&gt;0,S765,"")</x:f>
      </x:c>
      <x:c r="O765" t="n">
        <x:f>O764+IF(AND(A765&lt;&gt;"",COUNTIFS(C765,"&gt;=36526",C765,"&lt;"&amp;TODAY())+COUNTIFS(D765,"&gt;=36526",D765,"&lt;"&amp;TODAY())+COUNTIFS(E765,"&gt;=36526",E765,"&lt;"&amp;TODAY())+COUNTIFS(F765,"&gt;=36526",F765,"&lt;"&amp;TODAY())&gt;0),1,0)</x:f>
        <x:v>0</x:v>
      </x:c>
      <x:c r="P765" t="n">
        <x:f>P764+IF(AND(A765&lt;&gt;"",COUNTIFS(C765,"&gt;=36526",C765,TODAY())+COUNTIFS(D765,"&gt;=36526",D765,TODAY())+COUNTIFS(E765,"&gt;=36526",E765,TODAY())+COUNTIFS(F765,"&gt;=36526",F765,TODAY())&gt;0),1,0)</x:f>
        <x:v>0</x:v>
      </x:c>
      <x:c r="Q765" t="n">
        <x:f>Q764+IF(AND(A765&lt;&gt;"",COUNTIFS(C765,"&gt;"&amp;TODAY(),C765,"&lt;="&amp;TODAY()+30)+COUNTIFS(D765,"&gt;"&amp;TODAY(),D765,"&lt;="&amp;TODAY()+30)+COUNTIFS(E765,"&gt;"&amp;TODAY(),E765,"&lt;="&amp;TODAY()+30)+COUNTIFS(F765,"&gt;"&amp;TODAY(),F765,"&lt;="&amp;TODAY()+30)&gt;0),1,0)</x:f>
        <x:v>0</x:v>
      </x:c>
      <x:c r="R765" t="n">
        <x:f>R764+IF(OR(LEFT(H765,15)="Missing dates; ",LEFT(H765,16)="Add N/A reason; ",H765="Add dates",H765="Add registration",H765="Check date format"),1,0)</x:f>
        <x:v>0</x:v>
      </x:c>
      <x:c r="S765" t="n">
        <x:f>S764+IF(COUNTIFS(C765:F765,"Reviewed N/A")&gt;0,1,0)</x:f>
        <x:v>0</x:v>
      </x:c>
    </x:row>
    <x:row r="766" ht="48" customHeight="1">
      <x:c r="A766" s="52"/>
      <x:c r="B766" s="52"/>
      <x:c r="C766" s="53"/>
      <x:c r="D766" s="53"/>
      <x:c r="E766" s="53"/>
      <x:c r="F766" s="53"/>
      <x:c r="G766" s="52"/>
      <x:c r="H766" s="21" t="str">
        <x:f>IF(COUNTA(A766:G766,I766)=0,"",IF(A766="","Add registration",IF(OR(COUNTA(C766:F766)&gt;COUNT(C766:F766)+COUNTIFS(C766:F766,"Reviewed N/A"),AND(COUNT(C766:F766)&gt;0,OR(MIN(C766:F766)&lt;36526,MAX(C766:F766)&gt;109574))),"Check date format",IF(AND(COUNTIFS(C766:F766,"Reviewed N/A")&gt;0,I766=""),"Add N/A reason; ","")&amp;IF(COUNT(C766:F766)=0,IF(COUNTIFS(C766:F766,"Reviewed N/A")=4,"No applicable dates recorded","Add dates"),IF(COUNT(C766:F766)+COUNTIFS(C766:F766,"Reviewed N/A")&lt;4,"Missing dates; ","")&amp;IF(MIN(C766:F766)&lt;TODAY(),"Overdue: ",IF(MIN(C766:F766)=TODAY(),"Due today: ",IF(MIN(C766:F766)&lt;=TODAY()+30,"Due within 30 days: ","Next: ")))&amp;INDEX($C$8:$F$8,1,MATCH(MIN(C766:F766),C766:F766,0))&amp;" "&amp;TEXT(MIN(C766:F766),"dd mmm yyyy")))))</x:f>
      </x:c>
      <x:c r="I766" s="52"/>
      <x:c r="J766" t="str">
        <x:f>IF(AND(A766&lt;&gt;"",COUNTIFS(C766,"&gt;=36526",C766,"&lt;"&amp;TODAY())+COUNTIFS(D766,"&gt;=36526",D766,"&lt;"&amp;TODAY())+COUNTIFS(E766,"&gt;=36526",E766,"&lt;"&amp;TODAY())+COUNTIFS(F766,"&gt;=36526",F766,"&lt;"&amp;TODAY())&gt;0),O766,"")</x:f>
      </x:c>
      <x:c r="K766" t="str">
        <x:f>IF(AND(A766&lt;&gt;"",COUNTIFS(C766,"&gt;=36526",C766,TODAY())+COUNTIFS(D766,"&gt;=36526",D766,TODAY())+COUNTIFS(E766,"&gt;=36526",E766,TODAY())+COUNTIFS(F766,"&gt;=36526",F766,TODAY())&gt;0),P766,"")</x:f>
      </x:c>
      <x:c r="L766" t="str">
        <x:f>IF(AND(A766&lt;&gt;"",COUNTIFS(C766,"&gt;"&amp;TODAY(),C766,"&lt;="&amp;TODAY()+30)+COUNTIFS(D766,"&gt;"&amp;TODAY(),D766,"&lt;="&amp;TODAY()+30)+COUNTIFS(E766,"&gt;"&amp;TODAY(),E766,"&lt;="&amp;TODAY()+30)+COUNTIFS(F766,"&gt;"&amp;TODAY(),F766,"&lt;="&amp;TODAY()+30)&gt;0),Q766,"")</x:f>
      </x:c>
      <x:c r="M766" t="str">
        <x:f>IF(OR(LEFT(H766,15)="Missing dates; ",LEFT(H766,16)="Add N/A reason; ",H766="Add dates",H766="Add registration",H766="Check date format"),R766,"")</x:f>
      </x:c>
      <x:c r="N766" t="str">
        <x:f>IF(COUNTIFS(C766:F766,"Reviewed N/A")&gt;0,S766,"")</x:f>
      </x:c>
      <x:c r="O766" t="n">
        <x:f>O765+IF(AND(A766&lt;&gt;"",COUNTIFS(C766,"&gt;=36526",C766,"&lt;"&amp;TODAY())+COUNTIFS(D766,"&gt;=36526",D766,"&lt;"&amp;TODAY())+COUNTIFS(E766,"&gt;=36526",E766,"&lt;"&amp;TODAY())+COUNTIFS(F766,"&gt;=36526",F766,"&lt;"&amp;TODAY())&gt;0),1,0)</x:f>
        <x:v>0</x:v>
      </x:c>
      <x:c r="P766" t="n">
        <x:f>P765+IF(AND(A766&lt;&gt;"",COUNTIFS(C766,"&gt;=36526",C766,TODAY())+COUNTIFS(D766,"&gt;=36526",D766,TODAY())+COUNTIFS(E766,"&gt;=36526",E766,TODAY())+COUNTIFS(F766,"&gt;=36526",F766,TODAY())&gt;0),1,0)</x:f>
        <x:v>0</x:v>
      </x:c>
      <x:c r="Q766" t="n">
        <x:f>Q765+IF(AND(A766&lt;&gt;"",COUNTIFS(C766,"&gt;"&amp;TODAY(),C766,"&lt;="&amp;TODAY()+30)+COUNTIFS(D766,"&gt;"&amp;TODAY(),D766,"&lt;="&amp;TODAY()+30)+COUNTIFS(E766,"&gt;"&amp;TODAY(),E766,"&lt;="&amp;TODAY()+30)+COUNTIFS(F766,"&gt;"&amp;TODAY(),F766,"&lt;="&amp;TODAY()+30)&gt;0),1,0)</x:f>
        <x:v>0</x:v>
      </x:c>
      <x:c r="R766" t="n">
        <x:f>R765+IF(OR(LEFT(H766,15)="Missing dates; ",LEFT(H766,16)="Add N/A reason; ",H766="Add dates",H766="Add registration",H766="Check date format"),1,0)</x:f>
        <x:v>0</x:v>
      </x:c>
      <x:c r="S766" t="n">
        <x:f>S765+IF(COUNTIFS(C766:F766,"Reviewed N/A")&gt;0,1,0)</x:f>
        <x:v>0</x:v>
      </x:c>
    </x:row>
    <x:row r="767" ht="48" customHeight="1">
      <x:c r="A767" s="52"/>
      <x:c r="B767" s="52"/>
      <x:c r="C767" s="53"/>
      <x:c r="D767" s="53"/>
      <x:c r="E767" s="53"/>
      <x:c r="F767" s="53"/>
      <x:c r="G767" s="52"/>
      <x:c r="H767" s="21" t="str">
        <x:f>IF(COUNTA(A767:G767,I767)=0,"",IF(A767="","Add registration",IF(OR(COUNTA(C767:F767)&gt;COUNT(C767:F767)+COUNTIFS(C767:F767,"Reviewed N/A"),AND(COUNT(C767:F767)&gt;0,OR(MIN(C767:F767)&lt;36526,MAX(C767:F767)&gt;109574))),"Check date format",IF(AND(COUNTIFS(C767:F767,"Reviewed N/A")&gt;0,I767=""),"Add N/A reason; ","")&amp;IF(COUNT(C767:F767)=0,IF(COUNTIFS(C767:F767,"Reviewed N/A")=4,"No applicable dates recorded","Add dates"),IF(COUNT(C767:F767)+COUNTIFS(C767:F767,"Reviewed N/A")&lt;4,"Missing dates; ","")&amp;IF(MIN(C767:F767)&lt;TODAY(),"Overdue: ",IF(MIN(C767:F767)=TODAY(),"Due today: ",IF(MIN(C767:F767)&lt;=TODAY()+30,"Due within 30 days: ","Next: ")))&amp;INDEX($C$8:$F$8,1,MATCH(MIN(C767:F767),C767:F767,0))&amp;" "&amp;TEXT(MIN(C767:F767),"dd mmm yyyy")))))</x:f>
      </x:c>
      <x:c r="I767" s="52"/>
      <x:c r="J767" t="str">
        <x:f>IF(AND(A767&lt;&gt;"",COUNTIFS(C767,"&gt;=36526",C767,"&lt;"&amp;TODAY())+COUNTIFS(D767,"&gt;=36526",D767,"&lt;"&amp;TODAY())+COUNTIFS(E767,"&gt;=36526",E767,"&lt;"&amp;TODAY())+COUNTIFS(F767,"&gt;=36526",F767,"&lt;"&amp;TODAY())&gt;0),O767,"")</x:f>
      </x:c>
      <x:c r="K767" t="str">
        <x:f>IF(AND(A767&lt;&gt;"",COUNTIFS(C767,"&gt;=36526",C767,TODAY())+COUNTIFS(D767,"&gt;=36526",D767,TODAY())+COUNTIFS(E767,"&gt;=36526",E767,TODAY())+COUNTIFS(F767,"&gt;=36526",F767,TODAY())&gt;0),P767,"")</x:f>
      </x:c>
      <x:c r="L767" t="str">
        <x:f>IF(AND(A767&lt;&gt;"",COUNTIFS(C767,"&gt;"&amp;TODAY(),C767,"&lt;="&amp;TODAY()+30)+COUNTIFS(D767,"&gt;"&amp;TODAY(),D767,"&lt;="&amp;TODAY()+30)+COUNTIFS(E767,"&gt;"&amp;TODAY(),E767,"&lt;="&amp;TODAY()+30)+COUNTIFS(F767,"&gt;"&amp;TODAY(),F767,"&lt;="&amp;TODAY()+30)&gt;0),Q767,"")</x:f>
      </x:c>
      <x:c r="M767" t="str">
        <x:f>IF(OR(LEFT(H767,15)="Missing dates; ",LEFT(H767,16)="Add N/A reason; ",H767="Add dates",H767="Add registration",H767="Check date format"),R767,"")</x:f>
      </x:c>
      <x:c r="N767" t="str">
        <x:f>IF(COUNTIFS(C767:F767,"Reviewed N/A")&gt;0,S767,"")</x:f>
      </x:c>
      <x:c r="O767" t="n">
        <x:f>O766+IF(AND(A767&lt;&gt;"",COUNTIFS(C767,"&gt;=36526",C767,"&lt;"&amp;TODAY())+COUNTIFS(D767,"&gt;=36526",D767,"&lt;"&amp;TODAY())+COUNTIFS(E767,"&gt;=36526",E767,"&lt;"&amp;TODAY())+COUNTIFS(F767,"&gt;=36526",F767,"&lt;"&amp;TODAY())&gt;0),1,0)</x:f>
        <x:v>0</x:v>
      </x:c>
      <x:c r="P767" t="n">
        <x:f>P766+IF(AND(A767&lt;&gt;"",COUNTIFS(C767,"&gt;=36526",C767,TODAY())+COUNTIFS(D767,"&gt;=36526",D767,TODAY())+COUNTIFS(E767,"&gt;=36526",E767,TODAY())+COUNTIFS(F767,"&gt;=36526",F767,TODAY())&gt;0),1,0)</x:f>
        <x:v>0</x:v>
      </x:c>
      <x:c r="Q767" t="n">
        <x:f>Q766+IF(AND(A767&lt;&gt;"",COUNTIFS(C767,"&gt;"&amp;TODAY(),C767,"&lt;="&amp;TODAY()+30)+COUNTIFS(D767,"&gt;"&amp;TODAY(),D767,"&lt;="&amp;TODAY()+30)+COUNTIFS(E767,"&gt;"&amp;TODAY(),E767,"&lt;="&amp;TODAY()+30)+COUNTIFS(F767,"&gt;"&amp;TODAY(),F767,"&lt;="&amp;TODAY()+30)&gt;0),1,0)</x:f>
        <x:v>0</x:v>
      </x:c>
      <x:c r="R767" t="n">
        <x:f>R766+IF(OR(LEFT(H767,15)="Missing dates; ",LEFT(H767,16)="Add N/A reason; ",H767="Add dates",H767="Add registration",H767="Check date format"),1,0)</x:f>
        <x:v>0</x:v>
      </x:c>
      <x:c r="S767" t="n">
        <x:f>S766+IF(COUNTIFS(C767:F767,"Reviewed N/A")&gt;0,1,0)</x:f>
        <x:v>0</x:v>
      </x:c>
    </x:row>
    <x:row r="768" ht="48" customHeight="1">
      <x:c r="A768" s="52"/>
      <x:c r="B768" s="52"/>
      <x:c r="C768" s="53"/>
      <x:c r="D768" s="53"/>
      <x:c r="E768" s="53"/>
      <x:c r="F768" s="53"/>
      <x:c r="G768" s="52"/>
      <x:c r="H768" s="21" t="str">
        <x:f>IF(COUNTA(A768:G768,I768)=0,"",IF(A768="","Add registration",IF(OR(COUNTA(C768:F768)&gt;COUNT(C768:F768)+COUNTIFS(C768:F768,"Reviewed N/A"),AND(COUNT(C768:F768)&gt;0,OR(MIN(C768:F768)&lt;36526,MAX(C768:F768)&gt;109574))),"Check date format",IF(AND(COUNTIFS(C768:F768,"Reviewed N/A")&gt;0,I768=""),"Add N/A reason; ","")&amp;IF(COUNT(C768:F768)=0,IF(COUNTIFS(C768:F768,"Reviewed N/A")=4,"No applicable dates recorded","Add dates"),IF(COUNT(C768:F768)+COUNTIFS(C768:F768,"Reviewed N/A")&lt;4,"Missing dates; ","")&amp;IF(MIN(C768:F768)&lt;TODAY(),"Overdue: ",IF(MIN(C768:F768)=TODAY(),"Due today: ",IF(MIN(C768:F768)&lt;=TODAY()+30,"Due within 30 days: ","Next: ")))&amp;INDEX($C$8:$F$8,1,MATCH(MIN(C768:F768),C768:F768,0))&amp;" "&amp;TEXT(MIN(C768:F768),"dd mmm yyyy")))))</x:f>
      </x:c>
      <x:c r="I768" s="52"/>
      <x:c r="J768" t="str">
        <x:f>IF(AND(A768&lt;&gt;"",COUNTIFS(C768,"&gt;=36526",C768,"&lt;"&amp;TODAY())+COUNTIFS(D768,"&gt;=36526",D768,"&lt;"&amp;TODAY())+COUNTIFS(E768,"&gt;=36526",E768,"&lt;"&amp;TODAY())+COUNTIFS(F768,"&gt;=36526",F768,"&lt;"&amp;TODAY())&gt;0),O768,"")</x:f>
      </x:c>
      <x:c r="K768" t="str">
        <x:f>IF(AND(A768&lt;&gt;"",COUNTIFS(C768,"&gt;=36526",C768,TODAY())+COUNTIFS(D768,"&gt;=36526",D768,TODAY())+COUNTIFS(E768,"&gt;=36526",E768,TODAY())+COUNTIFS(F768,"&gt;=36526",F768,TODAY())&gt;0),P768,"")</x:f>
      </x:c>
      <x:c r="L768" t="str">
        <x:f>IF(AND(A768&lt;&gt;"",COUNTIFS(C768,"&gt;"&amp;TODAY(),C768,"&lt;="&amp;TODAY()+30)+COUNTIFS(D768,"&gt;"&amp;TODAY(),D768,"&lt;="&amp;TODAY()+30)+COUNTIFS(E768,"&gt;"&amp;TODAY(),E768,"&lt;="&amp;TODAY()+30)+COUNTIFS(F768,"&gt;"&amp;TODAY(),F768,"&lt;="&amp;TODAY()+30)&gt;0),Q768,"")</x:f>
      </x:c>
      <x:c r="M768" t="str">
        <x:f>IF(OR(LEFT(H768,15)="Missing dates; ",LEFT(H768,16)="Add N/A reason; ",H768="Add dates",H768="Add registration",H768="Check date format"),R768,"")</x:f>
      </x:c>
      <x:c r="N768" t="str">
        <x:f>IF(COUNTIFS(C768:F768,"Reviewed N/A")&gt;0,S768,"")</x:f>
      </x:c>
      <x:c r="O768" t="n">
        <x:f>O767+IF(AND(A768&lt;&gt;"",COUNTIFS(C768,"&gt;=36526",C768,"&lt;"&amp;TODAY())+COUNTIFS(D768,"&gt;=36526",D768,"&lt;"&amp;TODAY())+COUNTIFS(E768,"&gt;=36526",E768,"&lt;"&amp;TODAY())+COUNTIFS(F768,"&gt;=36526",F768,"&lt;"&amp;TODAY())&gt;0),1,0)</x:f>
        <x:v>0</x:v>
      </x:c>
      <x:c r="P768" t="n">
        <x:f>P767+IF(AND(A768&lt;&gt;"",COUNTIFS(C768,"&gt;=36526",C768,TODAY())+COUNTIFS(D768,"&gt;=36526",D768,TODAY())+COUNTIFS(E768,"&gt;=36526",E768,TODAY())+COUNTIFS(F768,"&gt;=36526",F768,TODAY())&gt;0),1,0)</x:f>
        <x:v>0</x:v>
      </x:c>
      <x:c r="Q768" t="n">
        <x:f>Q767+IF(AND(A768&lt;&gt;"",COUNTIFS(C768,"&gt;"&amp;TODAY(),C768,"&lt;="&amp;TODAY()+30)+COUNTIFS(D768,"&gt;"&amp;TODAY(),D768,"&lt;="&amp;TODAY()+30)+COUNTIFS(E768,"&gt;"&amp;TODAY(),E768,"&lt;="&amp;TODAY()+30)+COUNTIFS(F768,"&gt;"&amp;TODAY(),F768,"&lt;="&amp;TODAY()+30)&gt;0),1,0)</x:f>
        <x:v>0</x:v>
      </x:c>
      <x:c r="R768" t="n">
        <x:f>R767+IF(OR(LEFT(H768,15)="Missing dates; ",LEFT(H768,16)="Add N/A reason; ",H768="Add dates",H768="Add registration",H768="Check date format"),1,0)</x:f>
        <x:v>0</x:v>
      </x:c>
      <x:c r="S768" t="n">
        <x:f>S767+IF(COUNTIFS(C768:F768,"Reviewed N/A")&gt;0,1,0)</x:f>
        <x:v>0</x:v>
      </x:c>
    </x:row>
    <x:row r="769" ht="48" customHeight="1">
      <x:c r="A769" s="52"/>
      <x:c r="B769" s="52"/>
      <x:c r="C769" s="53"/>
      <x:c r="D769" s="53"/>
      <x:c r="E769" s="53"/>
      <x:c r="F769" s="53"/>
      <x:c r="G769" s="52"/>
      <x:c r="H769" s="21" t="str">
        <x:f>IF(COUNTA(A769:G769,I769)=0,"",IF(A769="","Add registration",IF(OR(COUNTA(C769:F769)&gt;COUNT(C769:F769)+COUNTIFS(C769:F769,"Reviewed N/A"),AND(COUNT(C769:F769)&gt;0,OR(MIN(C769:F769)&lt;36526,MAX(C769:F769)&gt;109574))),"Check date format",IF(AND(COUNTIFS(C769:F769,"Reviewed N/A")&gt;0,I769=""),"Add N/A reason; ","")&amp;IF(COUNT(C769:F769)=0,IF(COUNTIFS(C769:F769,"Reviewed N/A")=4,"No applicable dates recorded","Add dates"),IF(COUNT(C769:F769)+COUNTIFS(C769:F769,"Reviewed N/A")&lt;4,"Missing dates; ","")&amp;IF(MIN(C769:F769)&lt;TODAY(),"Overdue: ",IF(MIN(C769:F769)=TODAY(),"Due today: ",IF(MIN(C769:F769)&lt;=TODAY()+30,"Due within 30 days: ","Next: ")))&amp;INDEX($C$8:$F$8,1,MATCH(MIN(C769:F769),C769:F769,0))&amp;" "&amp;TEXT(MIN(C769:F769),"dd mmm yyyy")))))</x:f>
      </x:c>
      <x:c r="I769" s="52"/>
      <x:c r="J769" t="str">
        <x:f>IF(AND(A769&lt;&gt;"",COUNTIFS(C769,"&gt;=36526",C769,"&lt;"&amp;TODAY())+COUNTIFS(D769,"&gt;=36526",D769,"&lt;"&amp;TODAY())+COUNTIFS(E769,"&gt;=36526",E769,"&lt;"&amp;TODAY())+COUNTIFS(F769,"&gt;=36526",F769,"&lt;"&amp;TODAY())&gt;0),O769,"")</x:f>
      </x:c>
      <x:c r="K769" t="str">
        <x:f>IF(AND(A769&lt;&gt;"",COUNTIFS(C769,"&gt;=36526",C769,TODAY())+COUNTIFS(D769,"&gt;=36526",D769,TODAY())+COUNTIFS(E769,"&gt;=36526",E769,TODAY())+COUNTIFS(F769,"&gt;=36526",F769,TODAY())&gt;0),P769,"")</x:f>
      </x:c>
      <x:c r="L769" t="str">
        <x:f>IF(AND(A769&lt;&gt;"",COUNTIFS(C769,"&gt;"&amp;TODAY(),C769,"&lt;="&amp;TODAY()+30)+COUNTIFS(D769,"&gt;"&amp;TODAY(),D769,"&lt;="&amp;TODAY()+30)+COUNTIFS(E769,"&gt;"&amp;TODAY(),E769,"&lt;="&amp;TODAY()+30)+COUNTIFS(F769,"&gt;"&amp;TODAY(),F769,"&lt;="&amp;TODAY()+30)&gt;0),Q769,"")</x:f>
      </x:c>
      <x:c r="M769" t="str">
        <x:f>IF(OR(LEFT(H769,15)="Missing dates; ",LEFT(H769,16)="Add N/A reason; ",H769="Add dates",H769="Add registration",H769="Check date format"),R769,"")</x:f>
      </x:c>
      <x:c r="N769" t="str">
        <x:f>IF(COUNTIFS(C769:F769,"Reviewed N/A")&gt;0,S769,"")</x:f>
      </x:c>
      <x:c r="O769" t="n">
        <x:f>O768+IF(AND(A769&lt;&gt;"",COUNTIFS(C769,"&gt;=36526",C769,"&lt;"&amp;TODAY())+COUNTIFS(D769,"&gt;=36526",D769,"&lt;"&amp;TODAY())+COUNTIFS(E769,"&gt;=36526",E769,"&lt;"&amp;TODAY())+COUNTIFS(F769,"&gt;=36526",F769,"&lt;"&amp;TODAY())&gt;0),1,0)</x:f>
        <x:v>0</x:v>
      </x:c>
      <x:c r="P769" t="n">
        <x:f>P768+IF(AND(A769&lt;&gt;"",COUNTIFS(C769,"&gt;=36526",C769,TODAY())+COUNTIFS(D769,"&gt;=36526",D769,TODAY())+COUNTIFS(E769,"&gt;=36526",E769,TODAY())+COUNTIFS(F769,"&gt;=36526",F769,TODAY())&gt;0),1,0)</x:f>
        <x:v>0</x:v>
      </x:c>
      <x:c r="Q769" t="n">
        <x:f>Q768+IF(AND(A769&lt;&gt;"",COUNTIFS(C769,"&gt;"&amp;TODAY(),C769,"&lt;="&amp;TODAY()+30)+COUNTIFS(D769,"&gt;"&amp;TODAY(),D769,"&lt;="&amp;TODAY()+30)+COUNTIFS(E769,"&gt;"&amp;TODAY(),E769,"&lt;="&amp;TODAY()+30)+COUNTIFS(F769,"&gt;"&amp;TODAY(),F769,"&lt;="&amp;TODAY()+30)&gt;0),1,0)</x:f>
        <x:v>0</x:v>
      </x:c>
      <x:c r="R769" t="n">
        <x:f>R768+IF(OR(LEFT(H769,15)="Missing dates; ",LEFT(H769,16)="Add N/A reason; ",H769="Add dates",H769="Add registration",H769="Check date format"),1,0)</x:f>
        <x:v>0</x:v>
      </x:c>
      <x:c r="S769" t="n">
        <x:f>S768+IF(COUNTIFS(C769:F769,"Reviewed N/A")&gt;0,1,0)</x:f>
        <x:v>0</x:v>
      </x:c>
    </x:row>
    <x:row r="770" ht="48" customHeight="1">
      <x:c r="A770" s="52"/>
      <x:c r="B770" s="52"/>
      <x:c r="C770" s="53"/>
      <x:c r="D770" s="53"/>
      <x:c r="E770" s="53"/>
      <x:c r="F770" s="53"/>
      <x:c r="G770" s="52"/>
      <x:c r="H770" s="21" t="str">
        <x:f>IF(COUNTA(A770:G770,I770)=0,"",IF(A770="","Add registration",IF(OR(COUNTA(C770:F770)&gt;COUNT(C770:F770)+COUNTIFS(C770:F770,"Reviewed N/A"),AND(COUNT(C770:F770)&gt;0,OR(MIN(C770:F770)&lt;36526,MAX(C770:F770)&gt;109574))),"Check date format",IF(AND(COUNTIFS(C770:F770,"Reviewed N/A")&gt;0,I770=""),"Add N/A reason; ","")&amp;IF(COUNT(C770:F770)=0,IF(COUNTIFS(C770:F770,"Reviewed N/A")=4,"No applicable dates recorded","Add dates"),IF(COUNT(C770:F770)+COUNTIFS(C770:F770,"Reviewed N/A")&lt;4,"Missing dates; ","")&amp;IF(MIN(C770:F770)&lt;TODAY(),"Overdue: ",IF(MIN(C770:F770)=TODAY(),"Due today: ",IF(MIN(C770:F770)&lt;=TODAY()+30,"Due within 30 days: ","Next: ")))&amp;INDEX($C$8:$F$8,1,MATCH(MIN(C770:F770),C770:F770,0))&amp;" "&amp;TEXT(MIN(C770:F770),"dd mmm yyyy")))))</x:f>
      </x:c>
      <x:c r="I770" s="52"/>
      <x:c r="J770" t="str">
        <x:f>IF(AND(A770&lt;&gt;"",COUNTIFS(C770,"&gt;=36526",C770,"&lt;"&amp;TODAY())+COUNTIFS(D770,"&gt;=36526",D770,"&lt;"&amp;TODAY())+COUNTIFS(E770,"&gt;=36526",E770,"&lt;"&amp;TODAY())+COUNTIFS(F770,"&gt;=36526",F770,"&lt;"&amp;TODAY())&gt;0),O770,"")</x:f>
      </x:c>
      <x:c r="K770" t="str">
        <x:f>IF(AND(A770&lt;&gt;"",COUNTIFS(C770,"&gt;=36526",C770,TODAY())+COUNTIFS(D770,"&gt;=36526",D770,TODAY())+COUNTIFS(E770,"&gt;=36526",E770,TODAY())+COUNTIFS(F770,"&gt;=36526",F770,TODAY())&gt;0),P770,"")</x:f>
      </x:c>
      <x:c r="L770" t="str">
        <x:f>IF(AND(A770&lt;&gt;"",COUNTIFS(C770,"&gt;"&amp;TODAY(),C770,"&lt;="&amp;TODAY()+30)+COUNTIFS(D770,"&gt;"&amp;TODAY(),D770,"&lt;="&amp;TODAY()+30)+COUNTIFS(E770,"&gt;"&amp;TODAY(),E770,"&lt;="&amp;TODAY()+30)+COUNTIFS(F770,"&gt;"&amp;TODAY(),F770,"&lt;="&amp;TODAY()+30)&gt;0),Q770,"")</x:f>
      </x:c>
      <x:c r="M770" t="str">
        <x:f>IF(OR(LEFT(H770,15)="Missing dates; ",LEFT(H770,16)="Add N/A reason; ",H770="Add dates",H770="Add registration",H770="Check date format"),R770,"")</x:f>
      </x:c>
      <x:c r="N770" t="str">
        <x:f>IF(COUNTIFS(C770:F770,"Reviewed N/A")&gt;0,S770,"")</x:f>
      </x:c>
      <x:c r="O770" t="n">
        <x:f>O769+IF(AND(A770&lt;&gt;"",COUNTIFS(C770,"&gt;=36526",C770,"&lt;"&amp;TODAY())+COUNTIFS(D770,"&gt;=36526",D770,"&lt;"&amp;TODAY())+COUNTIFS(E770,"&gt;=36526",E770,"&lt;"&amp;TODAY())+COUNTIFS(F770,"&gt;=36526",F770,"&lt;"&amp;TODAY())&gt;0),1,0)</x:f>
        <x:v>0</x:v>
      </x:c>
      <x:c r="P770" t="n">
        <x:f>P769+IF(AND(A770&lt;&gt;"",COUNTIFS(C770,"&gt;=36526",C770,TODAY())+COUNTIFS(D770,"&gt;=36526",D770,TODAY())+COUNTIFS(E770,"&gt;=36526",E770,TODAY())+COUNTIFS(F770,"&gt;=36526",F770,TODAY())&gt;0),1,0)</x:f>
        <x:v>0</x:v>
      </x:c>
      <x:c r="Q770" t="n">
        <x:f>Q769+IF(AND(A770&lt;&gt;"",COUNTIFS(C770,"&gt;"&amp;TODAY(),C770,"&lt;="&amp;TODAY()+30)+COUNTIFS(D770,"&gt;"&amp;TODAY(),D770,"&lt;="&amp;TODAY()+30)+COUNTIFS(E770,"&gt;"&amp;TODAY(),E770,"&lt;="&amp;TODAY()+30)+COUNTIFS(F770,"&gt;"&amp;TODAY(),F770,"&lt;="&amp;TODAY()+30)&gt;0),1,0)</x:f>
        <x:v>0</x:v>
      </x:c>
      <x:c r="R770" t="n">
        <x:f>R769+IF(OR(LEFT(H770,15)="Missing dates; ",LEFT(H770,16)="Add N/A reason; ",H770="Add dates",H770="Add registration",H770="Check date format"),1,0)</x:f>
        <x:v>0</x:v>
      </x:c>
      <x:c r="S770" t="n">
        <x:f>S769+IF(COUNTIFS(C770:F770,"Reviewed N/A")&gt;0,1,0)</x:f>
        <x:v>0</x:v>
      </x:c>
    </x:row>
    <x:row r="771" ht="48" customHeight="1">
      <x:c r="A771" s="52"/>
      <x:c r="B771" s="52"/>
      <x:c r="C771" s="53"/>
      <x:c r="D771" s="53"/>
      <x:c r="E771" s="53"/>
      <x:c r="F771" s="53"/>
      <x:c r="G771" s="52"/>
      <x:c r="H771" s="21" t="str">
        <x:f>IF(COUNTA(A771:G771,I771)=0,"",IF(A771="","Add registration",IF(OR(COUNTA(C771:F771)&gt;COUNT(C771:F771)+COUNTIFS(C771:F771,"Reviewed N/A"),AND(COUNT(C771:F771)&gt;0,OR(MIN(C771:F771)&lt;36526,MAX(C771:F771)&gt;109574))),"Check date format",IF(AND(COUNTIFS(C771:F771,"Reviewed N/A")&gt;0,I771=""),"Add N/A reason; ","")&amp;IF(COUNT(C771:F771)=0,IF(COUNTIFS(C771:F771,"Reviewed N/A")=4,"No applicable dates recorded","Add dates"),IF(COUNT(C771:F771)+COUNTIFS(C771:F771,"Reviewed N/A")&lt;4,"Missing dates; ","")&amp;IF(MIN(C771:F771)&lt;TODAY(),"Overdue: ",IF(MIN(C771:F771)=TODAY(),"Due today: ",IF(MIN(C771:F771)&lt;=TODAY()+30,"Due within 30 days: ","Next: ")))&amp;INDEX($C$8:$F$8,1,MATCH(MIN(C771:F771),C771:F771,0))&amp;" "&amp;TEXT(MIN(C771:F771),"dd mmm yyyy")))))</x:f>
      </x:c>
      <x:c r="I771" s="52"/>
      <x:c r="J771" t="str">
        <x:f>IF(AND(A771&lt;&gt;"",COUNTIFS(C771,"&gt;=36526",C771,"&lt;"&amp;TODAY())+COUNTIFS(D771,"&gt;=36526",D771,"&lt;"&amp;TODAY())+COUNTIFS(E771,"&gt;=36526",E771,"&lt;"&amp;TODAY())+COUNTIFS(F771,"&gt;=36526",F771,"&lt;"&amp;TODAY())&gt;0),O771,"")</x:f>
      </x:c>
      <x:c r="K771" t="str">
        <x:f>IF(AND(A771&lt;&gt;"",COUNTIFS(C771,"&gt;=36526",C771,TODAY())+COUNTIFS(D771,"&gt;=36526",D771,TODAY())+COUNTIFS(E771,"&gt;=36526",E771,TODAY())+COUNTIFS(F771,"&gt;=36526",F771,TODAY())&gt;0),P771,"")</x:f>
      </x:c>
      <x:c r="L771" t="str">
        <x:f>IF(AND(A771&lt;&gt;"",COUNTIFS(C771,"&gt;"&amp;TODAY(),C771,"&lt;="&amp;TODAY()+30)+COUNTIFS(D771,"&gt;"&amp;TODAY(),D771,"&lt;="&amp;TODAY()+30)+COUNTIFS(E771,"&gt;"&amp;TODAY(),E771,"&lt;="&amp;TODAY()+30)+COUNTIFS(F771,"&gt;"&amp;TODAY(),F771,"&lt;="&amp;TODAY()+30)&gt;0),Q771,"")</x:f>
      </x:c>
      <x:c r="M771" t="str">
        <x:f>IF(OR(LEFT(H771,15)="Missing dates; ",LEFT(H771,16)="Add N/A reason; ",H771="Add dates",H771="Add registration",H771="Check date format"),R771,"")</x:f>
      </x:c>
      <x:c r="N771" t="str">
        <x:f>IF(COUNTIFS(C771:F771,"Reviewed N/A")&gt;0,S771,"")</x:f>
      </x:c>
      <x:c r="O771" t="n">
        <x:f>O770+IF(AND(A771&lt;&gt;"",COUNTIFS(C771,"&gt;=36526",C771,"&lt;"&amp;TODAY())+COUNTIFS(D771,"&gt;=36526",D771,"&lt;"&amp;TODAY())+COUNTIFS(E771,"&gt;=36526",E771,"&lt;"&amp;TODAY())+COUNTIFS(F771,"&gt;=36526",F771,"&lt;"&amp;TODAY())&gt;0),1,0)</x:f>
        <x:v>0</x:v>
      </x:c>
      <x:c r="P771" t="n">
        <x:f>P770+IF(AND(A771&lt;&gt;"",COUNTIFS(C771,"&gt;=36526",C771,TODAY())+COUNTIFS(D771,"&gt;=36526",D771,TODAY())+COUNTIFS(E771,"&gt;=36526",E771,TODAY())+COUNTIFS(F771,"&gt;=36526",F771,TODAY())&gt;0),1,0)</x:f>
        <x:v>0</x:v>
      </x:c>
      <x:c r="Q771" t="n">
        <x:f>Q770+IF(AND(A771&lt;&gt;"",COUNTIFS(C771,"&gt;"&amp;TODAY(),C771,"&lt;="&amp;TODAY()+30)+COUNTIFS(D771,"&gt;"&amp;TODAY(),D771,"&lt;="&amp;TODAY()+30)+COUNTIFS(E771,"&gt;"&amp;TODAY(),E771,"&lt;="&amp;TODAY()+30)+COUNTIFS(F771,"&gt;"&amp;TODAY(),F771,"&lt;="&amp;TODAY()+30)&gt;0),1,0)</x:f>
        <x:v>0</x:v>
      </x:c>
      <x:c r="R771" t="n">
        <x:f>R770+IF(OR(LEFT(H771,15)="Missing dates; ",LEFT(H771,16)="Add N/A reason; ",H771="Add dates",H771="Add registration",H771="Check date format"),1,0)</x:f>
        <x:v>0</x:v>
      </x:c>
      <x:c r="S771" t="n">
        <x:f>S770+IF(COUNTIFS(C771:F771,"Reviewed N/A")&gt;0,1,0)</x:f>
        <x:v>0</x:v>
      </x:c>
    </x:row>
    <x:row r="772" ht="48" customHeight="1">
      <x:c r="A772" s="52"/>
      <x:c r="B772" s="52"/>
      <x:c r="C772" s="53"/>
      <x:c r="D772" s="53"/>
      <x:c r="E772" s="53"/>
      <x:c r="F772" s="53"/>
      <x:c r="G772" s="52"/>
      <x:c r="H772" s="21" t="str">
        <x:f>IF(COUNTA(A772:G772,I772)=0,"",IF(A772="","Add registration",IF(OR(COUNTA(C772:F772)&gt;COUNT(C772:F772)+COUNTIFS(C772:F772,"Reviewed N/A"),AND(COUNT(C772:F772)&gt;0,OR(MIN(C772:F772)&lt;36526,MAX(C772:F772)&gt;109574))),"Check date format",IF(AND(COUNTIFS(C772:F772,"Reviewed N/A")&gt;0,I772=""),"Add N/A reason; ","")&amp;IF(COUNT(C772:F772)=0,IF(COUNTIFS(C772:F772,"Reviewed N/A")=4,"No applicable dates recorded","Add dates"),IF(COUNT(C772:F772)+COUNTIFS(C772:F772,"Reviewed N/A")&lt;4,"Missing dates; ","")&amp;IF(MIN(C772:F772)&lt;TODAY(),"Overdue: ",IF(MIN(C772:F772)=TODAY(),"Due today: ",IF(MIN(C772:F772)&lt;=TODAY()+30,"Due within 30 days: ","Next: ")))&amp;INDEX($C$8:$F$8,1,MATCH(MIN(C772:F772),C772:F772,0))&amp;" "&amp;TEXT(MIN(C772:F772),"dd mmm yyyy")))))</x:f>
      </x:c>
      <x:c r="I772" s="52"/>
      <x:c r="J772" t="str">
        <x:f>IF(AND(A772&lt;&gt;"",COUNTIFS(C772,"&gt;=36526",C772,"&lt;"&amp;TODAY())+COUNTIFS(D772,"&gt;=36526",D772,"&lt;"&amp;TODAY())+COUNTIFS(E772,"&gt;=36526",E772,"&lt;"&amp;TODAY())+COUNTIFS(F772,"&gt;=36526",F772,"&lt;"&amp;TODAY())&gt;0),O772,"")</x:f>
      </x:c>
      <x:c r="K772" t="str">
        <x:f>IF(AND(A772&lt;&gt;"",COUNTIFS(C772,"&gt;=36526",C772,TODAY())+COUNTIFS(D772,"&gt;=36526",D772,TODAY())+COUNTIFS(E772,"&gt;=36526",E772,TODAY())+COUNTIFS(F772,"&gt;=36526",F772,TODAY())&gt;0),P772,"")</x:f>
      </x:c>
      <x:c r="L772" t="str">
        <x:f>IF(AND(A772&lt;&gt;"",COUNTIFS(C772,"&gt;"&amp;TODAY(),C772,"&lt;="&amp;TODAY()+30)+COUNTIFS(D772,"&gt;"&amp;TODAY(),D772,"&lt;="&amp;TODAY()+30)+COUNTIFS(E772,"&gt;"&amp;TODAY(),E772,"&lt;="&amp;TODAY()+30)+COUNTIFS(F772,"&gt;"&amp;TODAY(),F772,"&lt;="&amp;TODAY()+30)&gt;0),Q772,"")</x:f>
      </x:c>
      <x:c r="M772" t="str">
        <x:f>IF(OR(LEFT(H772,15)="Missing dates; ",LEFT(H772,16)="Add N/A reason; ",H772="Add dates",H772="Add registration",H772="Check date format"),R772,"")</x:f>
      </x:c>
      <x:c r="N772" t="str">
        <x:f>IF(COUNTIFS(C772:F772,"Reviewed N/A")&gt;0,S772,"")</x:f>
      </x:c>
      <x:c r="O772" t="n">
        <x:f>O771+IF(AND(A772&lt;&gt;"",COUNTIFS(C772,"&gt;=36526",C772,"&lt;"&amp;TODAY())+COUNTIFS(D772,"&gt;=36526",D772,"&lt;"&amp;TODAY())+COUNTIFS(E772,"&gt;=36526",E772,"&lt;"&amp;TODAY())+COUNTIFS(F772,"&gt;=36526",F772,"&lt;"&amp;TODAY())&gt;0),1,0)</x:f>
        <x:v>0</x:v>
      </x:c>
      <x:c r="P772" t="n">
        <x:f>P771+IF(AND(A772&lt;&gt;"",COUNTIFS(C772,"&gt;=36526",C772,TODAY())+COUNTIFS(D772,"&gt;=36526",D772,TODAY())+COUNTIFS(E772,"&gt;=36526",E772,TODAY())+COUNTIFS(F772,"&gt;=36526",F772,TODAY())&gt;0),1,0)</x:f>
        <x:v>0</x:v>
      </x:c>
      <x:c r="Q772" t="n">
        <x:f>Q771+IF(AND(A772&lt;&gt;"",COUNTIFS(C772,"&gt;"&amp;TODAY(),C772,"&lt;="&amp;TODAY()+30)+COUNTIFS(D772,"&gt;"&amp;TODAY(),D772,"&lt;="&amp;TODAY()+30)+COUNTIFS(E772,"&gt;"&amp;TODAY(),E772,"&lt;="&amp;TODAY()+30)+COUNTIFS(F772,"&gt;"&amp;TODAY(),F772,"&lt;="&amp;TODAY()+30)&gt;0),1,0)</x:f>
        <x:v>0</x:v>
      </x:c>
      <x:c r="R772" t="n">
        <x:f>R771+IF(OR(LEFT(H772,15)="Missing dates; ",LEFT(H772,16)="Add N/A reason; ",H772="Add dates",H772="Add registration",H772="Check date format"),1,0)</x:f>
        <x:v>0</x:v>
      </x:c>
      <x:c r="S772" t="n">
        <x:f>S771+IF(COUNTIFS(C772:F772,"Reviewed N/A")&gt;0,1,0)</x:f>
        <x:v>0</x:v>
      </x:c>
    </x:row>
    <x:row r="773" ht="48" customHeight="1">
      <x:c r="A773" s="52"/>
      <x:c r="B773" s="52"/>
      <x:c r="C773" s="53"/>
      <x:c r="D773" s="53"/>
      <x:c r="E773" s="53"/>
      <x:c r="F773" s="53"/>
      <x:c r="G773" s="52"/>
      <x:c r="H773" s="21" t="str">
        <x:f>IF(COUNTA(A773:G773,I773)=0,"",IF(A773="","Add registration",IF(OR(COUNTA(C773:F773)&gt;COUNT(C773:F773)+COUNTIFS(C773:F773,"Reviewed N/A"),AND(COUNT(C773:F773)&gt;0,OR(MIN(C773:F773)&lt;36526,MAX(C773:F773)&gt;109574))),"Check date format",IF(AND(COUNTIFS(C773:F773,"Reviewed N/A")&gt;0,I773=""),"Add N/A reason; ","")&amp;IF(COUNT(C773:F773)=0,IF(COUNTIFS(C773:F773,"Reviewed N/A")=4,"No applicable dates recorded","Add dates"),IF(COUNT(C773:F773)+COUNTIFS(C773:F773,"Reviewed N/A")&lt;4,"Missing dates; ","")&amp;IF(MIN(C773:F773)&lt;TODAY(),"Overdue: ",IF(MIN(C773:F773)=TODAY(),"Due today: ",IF(MIN(C773:F773)&lt;=TODAY()+30,"Due within 30 days: ","Next: ")))&amp;INDEX($C$8:$F$8,1,MATCH(MIN(C773:F773),C773:F773,0))&amp;" "&amp;TEXT(MIN(C773:F773),"dd mmm yyyy")))))</x:f>
      </x:c>
      <x:c r="I773" s="52"/>
      <x:c r="J773" t="str">
        <x:f>IF(AND(A773&lt;&gt;"",COUNTIFS(C773,"&gt;=36526",C773,"&lt;"&amp;TODAY())+COUNTIFS(D773,"&gt;=36526",D773,"&lt;"&amp;TODAY())+COUNTIFS(E773,"&gt;=36526",E773,"&lt;"&amp;TODAY())+COUNTIFS(F773,"&gt;=36526",F773,"&lt;"&amp;TODAY())&gt;0),O773,"")</x:f>
      </x:c>
      <x:c r="K773" t="str">
        <x:f>IF(AND(A773&lt;&gt;"",COUNTIFS(C773,"&gt;=36526",C773,TODAY())+COUNTIFS(D773,"&gt;=36526",D773,TODAY())+COUNTIFS(E773,"&gt;=36526",E773,TODAY())+COUNTIFS(F773,"&gt;=36526",F773,TODAY())&gt;0),P773,"")</x:f>
      </x:c>
      <x:c r="L773" t="str">
        <x:f>IF(AND(A773&lt;&gt;"",COUNTIFS(C773,"&gt;"&amp;TODAY(),C773,"&lt;="&amp;TODAY()+30)+COUNTIFS(D773,"&gt;"&amp;TODAY(),D773,"&lt;="&amp;TODAY()+30)+COUNTIFS(E773,"&gt;"&amp;TODAY(),E773,"&lt;="&amp;TODAY()+30)+COUNTIFS(F773,"&gt;"&amp;TODAY(),F773,"&lt;="&amp;TODAY()+30)&gt;0),Q773,"")</x:f>
      </x:c>
      <x:c r="M773" t="str">
        <x:f>IF(OR(LEFT(H773,15)="Missing dates; ",LEFT(H773,16)="Add N/A reason; ",H773="Add dates",H773="Add registration",H773="Check date format"),R773,"")</x:f>
      </x:c>
      <x:c r="N773" t="str">
        <x:f>IF(COUNTIFS(C773:F773,"Reviewed N/A")&gt;0,S773,"")</x:f>
      </x:c>
      <x:c r="O773" t="n">
        <x:f>O772+IF(AND(A773&lt;&gt;"",COUNTIFS(C773,"&gt;=36526",C773,"&lt;"&amp;TODAY())+COUNTIFS(D773,"&gt;=36526",D773,"&lt;"&amp;TODAY())+COUNTIFS(E773,"&gt;=36526",E773,"&lt;"&amp;TODAY())+COUNTIFS(F773,"&gt;=36526",F773,"&lt;"&amp;TODAY())&gt;0),1,0)</x:f>
        <x:v>0</x:v>
      </x:c>
      <x:c r="P773" t="n">
        <x:f>P772+IF(AND(A773&lt;&gt;"",COUNTIFS(C773,"&gt;=36526",C773,TODAY())+COUNTIFS(D773,"&gt;=36526",D773,TODAY())+COUNTIFS(E773,"&gt;=36526",E773,TODAY())+COUNTIFS(F773,"&gt;=36526",F773,TODAY())&gt;0),1,0)</x:f>
        <x:v>0</x:v>
      </x:c>
      <x:c r="Q773" t="n">
        <x:f>Q772+IF(AND(A773&lt;&gt;"",COUNTIFS(C773,"&gt;"&amp;TODAY(),C773,"&lt;="&amp;TODAY()+30)+COUNTIFS(D773,"&gt;"&amp;TODAY(),D773,"&lt;="&amp;TODAY()+30)+COUNTIFS(E773,"&gt;"&amp;TODAY(),E773,"&lt;="&amp;TODAY()+30)+COUNTIFS(F773,"&gt;"&amp;TODAY(),F773,"&lt;="&amp;TODAY()+30)&gt;0),1,0)</x:f>
        <x:v>0</x:v>
      </x:c>
      <x:c r="R773" t="n">
        <x:f>R772+IF(OR(LEFT(H773,15)="Missing dates; ",LEFT(H773,16)="Add N/A reason; ",H773="Add dates",H773="Add registration",H773="Check date format"),1,0)</x:f>
        <x:v>0</x:v>
      </x:c>
      <x:c r="S773" t="n">
        <x:f>S772+IF(COUNTIFS(C773:F773,"Reviewed N/A")&gt;0,1,0)</x:f>
        <x:v>0</x:v>
      </x:c>
    </x:row>
    <x:row r="774" ht="48" customHeight="1">
      <x:c r="A774" s="52"/>
      <x:c r="B774" s="52"/>
      <x:c r="C774" s="53"/>
      <x:c r="D774" s="53"/>
      <x:c r="E774" s="53"/>
      <x:c r="F774" s="53"/>
      <x:c r="G774" s="52"/>
      <x:c r="H774" s="21" t="str">
        <x:f>IF(COUNTA(A774:G774,I774)=0,"",IF(A774="","Add registration",IF(OR(COUNTA(C774:F774)&gt;COUNT(C774:F774)+COUNTIFS(C774:F774,"Reviewed N/A"),AND(COUNT(C774:F774)&gt;0,OR(MIN(C774:F774)&lt;36526,MAX(C774:F774)&gt;109574))),"Check date format",IF(AND(COUNTIFS(C774:F774,"Reviewed N/A")&gt;0,I774=""),"Add N/A reason; ","")&amp;IF(COUNT(C774:F774)=0,IF(COUNTIFS(C774:F774,"Reviewed N/A")=4,"No applicable dates recorded","Add dates"),IF(COUNT(C774:F774)+COUNTIFS(C774:F774,"Reviewed N/A")&lt;4,"Missing dates; ","")&amp;IF(MIN(C774:F774)&lt;TODAY(),"Overdue: ",IF(MIN(C774:F774)=TODAY(),"Due today: ",IF(MIN(C774:F774)&lt;=TODAY()+30,"Due within 30 days: ","Next: ")))&amp;INDEX($C$8:$F$8,1,MATCH(MIN(C774:F774),C774:F774,0))&amp;" "&amp;TEXT(MIN(C774:F774),"dd mmm yyyy")))))</x:f>
      </x:c>
      <x:c r="I774" s="52"/>
      <x:c r="J774" t="str">
        <x:f>IF(AND(A774&lt;&gt;"",COUNTIFS(C774,"&gt;=36526",C774,"&lt;"&amp;TODAY())+COUNTIFS(D774,"&gt;=36526",D774,"&lt;"&amp;TODAY())+COUNTIFS(E774,"&gt;=36526",E774,"&lt;"&amp;TODAY())+COUNTIFS(F774,"&gt;=36526",F774,"&lt;"&amp;TODAY())&gt;0),O774,"")</x:f>
      </x:c>
      <x:c r="K774" t="str">
        <x:f>IF(AND(A774&lt;&gt;"",COUNTIFS(C774,"&gt;=36526",C774,TODAY())+COUNTIFS(D774,"&gt;=36526",D774,TODAY())+COUNTIFS(E774,"&gt;=36526",E774,TODAY())+COUNTIFS(F774,"&gt;=36526",F774,TODAY())&gt;0),P774,"")</x:f>
      </x:c>
      <x:c r="L774" t="str">
        <x:f>IF(AND(A774&lt;&gt;"",COUNTIFS(C774,"&gt;"&amp;TODAY(),C774,"&lt;="&amp;TODAY()+30)+COUNTIFS(D774,"&gt;"&amp;TODAY(),D774,"&lt;="&amp;TODAY()+30)+COUNTIFS(E774,"&gt;"&amp;TODAY(),E774,"&lt;="&amp;TODAY()+30)+COUNTIFS(F774,"&gt;"&amp;TODAY(),F774,"&lt;="&amp;TODAY()+30)&gt;0),Q774,"")</x:f>
      </x:c>
      <x:c r="M774" t="str">
        <x:f>IF(OR(LEFT(H774,15)="Missing dates; ",LEFT(H774,16)="Add N/A reason; ",H774="Add dates",H774="Add registration",H774="Check date format"),R774,"")</x:f>
      </x:c>
      <x:c r="N774" t="str">
        <x:f>IF(COUNTIFS(C774:F774,"Reviewed N/A")&gt;0,S774,"")</x:f>
      </x:c>
      <x:c r="O774" t="n">
        <x:f>O773+IF(AND(A774&lt;&gt;"",COUNTIFS(C774,"&gt;=36526",C774,"&lt;"&amp;TODAY())+COUNTIFS(D774,"&gt;=36526",D774,"&lt;"&amp;TODAY())+COUNTIFS(E774,"&gt;=36526",E774,"&lt;"&amp;TODAY())+COUNTIFS(F774,"&gt;=36526",F774,"&lt;"&amp;TODAY())&gt;0),1,0)</x:f>
        <x:v>0</x:v>
      </x:c>
      <x:c r="P774" t="n">
        <x:f>P773+IF(AND(A774&lt;&gt;"",COUNTIFS(C774,"&gt;=36526",C774,TODAY())+COUNTIFS(D774,"&gt;=36526",D774,TODAY())+COUNTIFS(E774,"&gt;=36526",E774,TODAY())+COUNTIFS(F774,"&gt;=36526",F774,TODAY())&gt;0),1,0)</x:f>
        <x:v>0</x:v>
      </x:c>
      <x:c r="Q774" t="n">
        <x:f>Q773+IF(AND(A774&lt;&gt;"",COUNTIFS(C774,"&gt;"&amp;TODAY(),C774,"&lt;="&amp;TODAY()+30)+COUNTIFS(D774,"&gt;"&amp;TODAY(),D774,"&lt;="&amp;TODAY()+30)+COUNTIFS(E774,"&gt;"&amp;TODAY(),E774,"&lt;="&amp;TODAY()+30)+COUNTIFS(F774,"&gt;"&amp;TODAY(),F774,"&lt;="&amp;TODAY()+30)&gt;0),1,0)</x:f>
        <x:v>0</x:v>
      </x:c>
      <x:c r="R774" t="n">
        <x:f>R773+IF(OR(LEFT(H774,15)="Missing dates; ",LEFT(H774,16)="Add N/A reason; ",H774="Add dates",H774="Add registration",H774="Check date format"),1,0)</x:f>
        <x:v>0</x:v>
      </x:c>
      <x:c r="S774" t="n">
        <x:f>S773+IF(COUNTIFS(C774:F774,"Reviewed N/A")&gt;0,1,0)</x:f>
        <x:v>0</x:v>
      </x:c>
    </x:row>
    <x:row r="775" ht="48" customHeight="1">
      <x:c r="A775" s="52"/>
      <x:c r="B775" s="52"/>
      <x:c r="C775" s="53"/>
      <x:c r="D775" s="53"/>
      <x:c r="E775" s="53"/>
      <x:c r="F775" s="53"/>
      <x:c r="G775" s="52"/>
      <x:c r="H775" s="21" t="str">
        <x:f>IF(COUNTA(A775:G775,I775)=0,"",IF(A775="","Add registration",IF(OR(COUNTA(C775:F775)&gt;COUNT(C775:F775)+COUNTIFS(C775:F775,"Reviewed N/A"),AND(COUNT(C775:F775)&gt;0,OR(MIN(C775:F775)&lt;36526,MAX(C775:F775)&gt;109574))),"Check date format",IF(AND(COUNTIFS(C775:F775,"Reviewed N/A")&gt;0,I775=""),"Add N/A reason; ","")&amp;IF(COUNT(C775:F775)=0,IF(COUNTIFS(C775:F775,"Reviewed N/A")=4,"No applicable dates recorded","Add dates"),IF(COUNT(C775:F775)+COUNTIFS(C775:F775,"Reviewed N/A")&lt;4,"Missing dates; ","")&amp;IF(MIN(C775:F775)&lt;TODAY(),"Overdue: ",IF(MIN(C775:F775)=TODAY(),"Due today: ",IF(MIN(C775:F775)&lt;=TODAY()+30,"Due within 30 days: ","Next: ")))&amp;INDEX($C$8:$F$8,1,MATCH(MIN(C775:F775),C775:F775,0))&amp;" "&amp;TEXT(MIN(C775:F775),"dd mmm yyyy")))))</x:f>
      </x:c>
      <x:c r="I775" s="52"/>
      <x:c r="J775" t="str">
        <x:f>IF(AND(A775&lt;&gt;"",COUNTIFS(C775,"&gt;=36526",C775,"&lt;"&amp;TODAY())+COUNTIFS(D775,"&gt;=36526",D775,"&lt;"&amp;TODAY())+COUNTIFS(E775,"&gt;=36526",E775,"&lt;"&amp;TODAY())+COUNTIFS(F775,"&gt;=36526",F775,"&lt;"&amp;TODAY())&gt;0),O775,"")</x:f>
      </x:c>
      <x:c r="K775" t="str">
        <x:f>IF(AND(A775&lt;&gt;"",COUNTIFS(C775,"&gt;=36526",C775,TODAY())+COUNTIFS(D775,"&gt;=36526",D775,TODAY())+COUNTIFS(E775,"&gt;=36526",E775,TODAY())+COUNTIFS(F775,"&gt;=36526",F775,TODAY())&gt;0),P775,"")</x:f>
      </x:c>
      <x:c r="L775" t="str">
        <x:f>IF(AND(A775&lt;&gt;"",COUNTIFS(C775,"&gt;"&amp;TODAY(),C775,"&lt;="&amp;TODAY()+30)+COUNTIFS(D775,"&gt;"&amp;TODAY(),D775,"&lt;="&amp;TODAY()+30)+COUNTIFS(E775,"&gt;"&amp;TODAY(),E775,"&lt;="&amp;TODAY()+30)+COUNTIFS(F775,"&gt;"&amp;TODAY(),F775,"&lt;="&amp;TODAY()+30)&gt;0),Q775,"")</x:f>
      </x:c>
      <x:c r="M775" t="str">
        <x:f>IF(OR(LEFT(H775,15)="Missing dates; ",LEFT(H775,16)="Add N/A reason; ",H775="Add dates",H775="Add registration",H775="Check date format"),R775,"")</x:f>
      </x:c>
      <x:c r="N775" t="str">
        <x:f>IF(COUNTIFS(C775:F775,"Reviewed N/A")&gt;0,S775,"")</x:f>
      </x:c>
      <x:c r="O775" t="n">
        <x:f>O774+IF(AND(A775&lt;&gt;"",COUNTIFS(C775,"&gt;=36526",C775,"&lt;"&amp;TODAY())+COUNTIFS(D775,"&gt;=36526",D775,"&lt;"&amp;TODAY())+COUNTIFS(E775,"&gt;=36526",E775,"&lt;"&amp;TODAY())+COUNTIFS(F775,"&gt;=36526",F775,"&lt;"&amp;TODAY())&gt;0),1,0)</x:f>
        <x:v>0</x:v>
      </x:c>
      <x:c r="P775" t="n">
        <x:f>P774+IF(AND(A775&lt;&gt;"",COUNTIFS(C775,"&gt;=36526",C775,TODAY())+COUNTIFS(D775,"&gt;=36526",D775,TODAY())+COUNTIFS(E775,"&gt;=36526",E775,TODAY())+COUNTIFS(F775,"&gt;=36526",F775,TODAY())&gt;0),1,0)</x:f>
        <x:v>0</x:v>
      </x:c>
      <x:c r="Q775" t="n">
        <x:f>Q774+IF(AND(A775&lt;&gt;"",COUNTIFS(C775,"&gt;"&amp;TODAY(),C775,"&lt;="&amp;TODAY()+30)+COUNTIFS(D775,"&gt;"&amp;TODAY(),D775,"&lt;="&amp;TODAY()+30)+COUNTIFS(E775,"&gt;"&amp;TODAY(),E775,"&lt;="&amp;TODAY()+30)+COUNTIFS(F775,"&gt;"&amp;TODAY(),F775,"&lt;="&amp;TODAY()+30)&gt;0),1,0)</x:f>
        <x:v>0</x:v>
      </x:c>
      <x:c r="R775" t="n">
        <x:f>R774+IF(OR(LEFT(H775,15)="Missing dates; ",LEFT(H775,16)="Add N/A reason; ",H775="Add dates",H775="Add registration",H775="Check date format"),1,0)</x:f>
        <x:v>0</x:v>
      </x:c>
      <x:c r="S775" t="n">
        <x:f>S774+IF(COUNTIFS(C775:F775,"Reviewed N/A")&gt;0,1,0)</x:f>
        <x:v>0</x:v>
      </x:c>
    </x:row>
    <x:row r="776" ht="48" customHeight="1">
      <x:c r="A776" s="52"/>
      <x:c r="B776" s="52"/>
      <x:c r="C776" s="53"/>
      <x:c r="D776" s="53"/>
      <x:c r="E776" s="53"/>
      <x:c r="F776" s="53"/>
      <x:c r="G776" s="52"/>
      <x:c r="H776" s="21" t="str">
        <x:f>IF(COUNTA(A776:G776,I776)=0,"",IF(A776="","Add registration",IF(OR(COUNTA(C776:F776)&gt;COUNT(C776:F776)+COUNTIFS(C776:F776,"Reviewed N/A"),AND(COUNT(C776:F776)&gt;0,OR(MIN(C776:F776)&lt;36526,MAX(C776:F776)&gt;109574))),"Check date format",IF(AND(COUNTIFS(C776:F776,"Reviewed N/A")&gt;0,I776=""),"Add N/A reason; ","")&amp;IF(COUNT(C776:F776)=0,IF(COUNTIFS(C776:F776,"Reviewed N/A")=4,"No applicable dates recorded","Add dates"),IF(COUNT(C776:F776)+COUNTIFS(C776:F776,"Reviewed N/A")&lt;4,"Missing dates; ","")&amp;IF(MIN(C776:F776)&lt;TODAY(),"Overdue: ",IF(MIN(C776:F776)=TODAY(),"Due today: ",IF(MIN(C776:F776)&lt;=TODAY()+30,"Due within 30 days: ","Next: ")))&amp;INDEX($C$8:$F$8,1,MATCH(MIN(C776:F776),C776:F776,0))&amp;" "&amp;TEXT(MIN(C776:F776),"dd mmm yyyy")))))</x:f>
      </x:c>
      <x:c r="I776" s="52"/>
      <x:c r="J776" t="str">
        <x:f>IF(AND(A776&lt;&gt;"",COUNTIFS(C776,"&gt;=36526",C776,"&lt;"&amp;TODAY())+COUNTIFS(D776,"&gt;=36526",D776,"&lt;"&amp;TODAY())+COUNTIFS(E776,"&gt;=36526",E776,"&lt;"&amp;TODAY())+COUNTIFS(F776,"&gt;=36526",F776,"&lt;"&amp;TODAY())&gt;0),O776,"")</x:f>
      </x:c>
      <x:c r="K776" t="str">
        <x:f>IF(AND(A776&lt;&gt;"",COUNTIFS(C776,"&gt;=36526",C776,TODAY())+COUNTIFS(D776,"&gt;=36526",D776,TODAY())+COUNTIFS(E776,"&gt;=36526",E776,TODAY())+COUNTIFS(F776,"&gt;=36526",F776,TODAY())&gt;0),P776,"")</x:f>
      </x:c>
      <x:c r="L776" t="str">
        <x:f>IF(AND(A776&lt;&gt;"",COUNTIFS(C776,"&gt;"&amp;TODAY(),C776,"&lt;="&amp;TODAY()+30)+COUNTIFS(D776,"&gt;"&amp;TODAY(),D776,"&lt;="&amp;TODAY()+30)+COUNTIFS(E776,"&gt;"&amp;TODAY(),E776,"&lt;="&amp;TODAY()+30)+COUNTIFS(F776,"&gt;"&amp;TODAY(),F776,"&lt;="&amp;TODAY()+30)&gt;0),Q776,"")</x:f>
      </x:c>
      <x:c r="M776" t="str">
        <x:f>IF(OR(LEFT(H776,15)="Missing dates; ",LEFT(H776,16)="Add N/A reason; ",H776="Add dates",H776="Add registration",H776="Check date format"),R776,"")</x:f>
      </x:c>
      <x:c r="N776" t="str">
        <x:f>IF(COUNTIFS(C776:F776,"Reviewed N/A")&gt;0,S776,"")</x:f>
      </x:c>
      <x:c r="O776" t="n">
        <x:f>O775+IF(AND(A776&lt;&gt;"",COUNTIFS(C776,"&gt;=36526",C776,"&lt;"&amp;TODAY())+COUNTIFS(D776,"&gt;=36526",D776,"&lt;"&amp;TODAY())+COUNTIFS(E776,"&gt;=36526",E776,"&lt;"&amp;TODAY())+COUNTIFS(F776,"&gt;=36526",F776,"&lt;"&amp;TODAY())&gt;0),1,0)</x:f>
        <x:v>0</x:v>
      </x:c>
      <x:c r="P776" t="n">
        <x:f>P775+IF(AND(A776&lt;&gt;"",COUNTIFS(C776,"&gt;=36526",C776,TODAY())+COUNTIFS(D776,"&gt;=36526",D776,TODAY())+COUNTIFS(E776,"&gt;=36526",E776,TODAY())+COUNTIFS(F776,"&gt;=36526",F776,TODAY())&gt;0),1,0)</x:f>
        <x:v>0</x:v>
      </x:c>
      <x:c r="Q776" t="n">
        <x:f>Q775+IF(AND(A776&lt;&gt;"",COUNTIFS(C776,"&gt;"&amp;TODAY(),C776,"&lt;="&amp;TODAY()+30)+COUNTIFS(D776,"&gt;"&amp;TODAY(),D776,"&lt;="&amp;TODAY()+30)+COUNTIFS(E776,"&gt;"&amp;TODAY(),E776,"&lt;="&amp;TODAY()+30)+COUNTIFS(F776,"&gt;"&amp;TODAY(),F776,"&lt;="&amp;TODAY()+30)&gt;0),1,0)</x:f>
        <x:v>0</x:v>
      </x:c>
      <x:c r="R776" t="n">
        <x:f>R775+IF(OR(LEFT(H776,15)="Missing dates; ",LEFT(H776,16)="Add N/A reason; ",H776="Add dates",H776="Add registration",H776="Check date format"),1,0)</x:f>
        <x:v>0</x:v>
      </x:c>
      <x:c r="S776" t="n">
        <x:f>S775+IF(COUNTIFS(C776:F776,"Reviewed N/A")&gt;0,1,0)</x:f>
        <x:v>0</x:v>
      </x:c>
    </x:row>
    <x:row r="777" ht="48" customHeight="1">
      <x:c r="A777" s="52"/>
      <x:c r="B777" s="52"/>
      <x:c r="C777" s="53"/>
      <x:c r="D777" s="53"/>
      <x:c r="E777" s="53"/>
      <x:c r="F777" s="53"/>
      <x:c r="G777" s="52"/>
      <x:c r="H777" s="21" t="str">
        <x:f>IF(COUNTA(A777:G777,I777)=0,"",IF(A777="","Add registration",IF(OR(COUNTA(C777:F777)&gt;COUNT(C777:F777)+COUNTIFS(C777:F777,"Reviewed N/A"),AND(COUNT(C777:F777)&gt;0,OR(MIN(C777:F777)&lt;36526,MAX(C777:F777)&gt;109574))),"Check date format",IF(AND(COUNTIFS(C777:F777,"Reviewed N/A")&gt;0,I777=""),"Add N/A reason; ","")&amp;IF(COUNT(C777:F777)=0,IF(COUNTIFS(C777:F777,"Reviewed N/A")=4,"No applicable dates recorded","Add dates"),IF(COUNT(C777:F777)+COUNTIFS(C777:F777,"Reviewed N/A")&lt;4,"Missing dates; ","")&amp;IF(MIN(C777:F777)&lt;TODAY(),"Overdue: ",IF(MIN(C777:F777)=TODAY(),"Due today: ",IF(MIN(C777:F777)&lt;=TODAY()+30,"Due within 30 days: ","Next: ")))&amp;INDEX($C$8:$F$8,1,MATCH(MIN(C777:F777),C777:F777,0))&amp;" "&amp;TEXT(MIN(C777:F777),"dd mmm yyyy")))))</x:f>
      </x:c>
      <x:c r="I777" s="52"/>
      <x:c r="J777" t="str">
        <x:f>IF(AND(A777&lt;&gt;"",COUNTIFS(C777,"&gt;=36526",C777,"&lt;"&amp;TODAY())+COUNTIFS(D777,"&gt;=36526",D777,"&lt;"&amp;TODAY())+COUNTIFS(E777,"&gt;=36526",E777,"&lt;"&amp;TODAY())+COUNTIFS(F777,"&gt;=36526",F777,"&lt;"&amp;TODAY())&gt;0),O777,"")</x:f>
      </x:c>
      <x:c r="K777" t="str">
        <x:f>IF(AND(A777&lt;&gt;"",COUNTIFS(C777,"&gt;=36526",C777,TODAY())+COUNTIFS(D777,"&gt;=36526",D777,TODAY())+COUNTIFS(E777,"&gt;=36526",E777,TODAY())+COUNTIFS(F777,"&gt;=36526",F777,TODAY())&gt;0),P777,"")</x:f>
      </x:c>
      <x:c r="L777" t="str">
        <x:f>IF(AND(A777&lt;&gt;"",COUNTIFS(C777,"&gt;"&amp;TODAY(),C777,"&lt;="&amp;TODAY()+30)+COUNTIFS(D777,"&gt;"&amp;TODAY(),D777,"&lt;="&amp;TODAY()+30)+COUNTIFS(E777,"&gt;"&amp;TODAY(),E777,"&lt;="&amp;TODAY()+30)+COUNTIFS(F777,"&gt;"&amp;TODAY(),F777,"&lt;="&amp;TODAY()+30)&gt;0),Q777,"")</x:f>
      </x:c>
      <x:c r="M777" t="str">
        <x:f>IF(OR(LEFT(H777,15)="Missing dates; ",LEFT(H777,16)="Add N/A reason; ",H777="Add dates",H777="Add registration",H777="Check date format"),R777,"")</x:f>
      </x:c>
      <x:c r="N777" t="str">
        <x:f>IF(COUNTIFS(C777:F777,"Reviewed N/A")&gt;0,S777,"")</x:f>
      </x:c>
      <x:c r="O777" t="n">
        <x:f>O776+IF(AND(A777&lt;&gt;"",COUNTIFS(C777,"&gt;=36526",C777,"&lt;"&amp;TODAY())+COUNTIFS(D777,"&gt;=36526",D777,"&lt;"&amp;TODAY())+COUNTIFS(E777,"&gt;=36526",E777,"&lt;"&amp;TODAY())+COUNTIFS(F777,"&gt;=36526",F777,"&lt;"&amp;TODAY())&gt;0),1,0)</x:f>
        <x:v>0</x:v>
      </x:c>
      <x:c r="P777" t="n">
        <x:f>P776+IF(AND(A777&lt;&gt;"",COUNTIFS(C777,"&gt;=36526",C777,TODAY())+COUNTIFS(D777,"&gt;=36526",D777,TODAY())+COUNTIFS(E777,"&gt;=36526",E777,TODAY())+COUNTIFS(F777,"&gt;=36526",F777,TODAY())&gt;0),1,0)</x:f>
        <x:v>0</x:v>
      </x:c>
      <x:c r="Q777" t="n">
        <x:f>Q776+IF(AND(A777&lt;&gt;"",COUNTIFS(C777,"&gt;"&amp;TODAY(),C777,"&lt;="&amp;TODAY()+30)+COUNTIFS(D777,"&gt;"&amp;TODAY(),D777,"&lt;="&amp;TODAY()+30)+COUNTIFS(E777,"&gt;"&amp;TODAY(),E777,"&lt;="&amp;TODAY()+30)+COUNTIFS(F777,"&gt;"&amp;TODAY(),F777,"&lt;="&amp;TODAY()+30)&gt;0),1,0)</x:f>
        <x:v>0</x:v>
      </x:c>
      <x:c r="R777" t="n">
        <x:f>R776+IF(OR(LEFT(H777,15)="Missing dates; ",LEFT(H777,16)="Add N/A reason; ",H777="Add dates",H777="Add registration",H777="Check date format"),1,0)</x:f>
        <x:v>0</x:v>
      </x:c>
      <x:c r="S777" t="n">
        <x:f>S776+IF(COUNTIFS(C777:F777,"Reviewed N/A")&gt;0,1,0)</x:f>
        <x:v>0</x:v>
      </x:c>
    </x:row>
    <x:row r="778" ht="48" customHeight="1">
      <x:c r="A778" s="52"/>
      <x:c r="B778" s="52"/>
      <x:c r="C778" s="53"/>
      <x:c r="D778" s="53"/>
      <x:c r="E778" s="53"/>
      <x:c r="F778" s="53"/>
      <x:c r="G778" s="52"/>
      <x:c r="H778" s="21" t="str">
        <x:f>IF(COUNTA(A778:G778,I778)=0,"",IF(A778="","Add registration",IF(OR(COUNTA(C778:F778)&gt;COUNT(C778:F778)+COUNTIFS(C778:F778,"Reviewed N/A"),AND(COUNT(C778:F778)&gt;0,OR(MIN(C778:F778)&lt;36526,MAX(C778:F778)&gt;109574))),"Check date format",IF(AND(COUNTIFS(C778:F778,"Reviewed N/A")&gt;0,I778=""),"Add N/A reason; ","")&amp;IF(COUNT(C778:F778)=0,IF(COUNTIFS(C778:F778,"Reviewed N/A")=4,"No applicable dates recorded","Add dates"),IF(COUNT(C778:F778)+COUNTIFS(C778:F778,"Reviewed N/A")&lt;4,"Missing dates; ","")&amp;IF(MIN(C778:F778)&lt;TODAY(),"Overdue: ",IF(MIN(C778:F778)=TODAY(),"Due today: ",IF(MIN(C778:F778)&lt;=TODAY()+30,"Due within 30 days: ","Next: ")))&amp;INDEX($C$8:$F$8,1,MATCH(MIN(C778:F778),C778:F778,0))&amp;" "&amp;TEXT(MIN(C778:F778),"dd mmm yyyy")))))</x:f>
      </x:c>
      <x:c r="I778" s="52"/>
      <x:c r="J778" t="str">
        <x:f>IF(AND(A778&lt;&gt;"",COUNTIFS(C778,"&gt;=36526",C778,"&lt;"&amp;TODAY())+COUNTIFS(D778,"&gt;=36526",D778,"&lt;"&amp;TODAY())+COUNTIFS(E778,"&gt;=36526",E778,"&lt;"&amp;TODAY())+COUNTIFS(F778,"&gt;=36526",F778,"&lt;"&amp;TODAY())&gt;0),O778,"")</x:f>
      </x:c>
      <x:c r="K778" t="str">
        <x:f>IF(AND(A778&lt;&gt;"",COUNTIFS(C778,"&gt;=36526",C778,TODAY())+COUNTIFS(D778,"&gt;=36526",D778,TODAY())+COUNTIFS(E778,"&gt;=36526",E778,TODAY())+COUNTIFS(F778,"&gt;=36526",F778,TODAY())&gt;0),P778,"")</x:f>
      </x:c>
      <x:c r="L778" t="str">
        <x:f>IF(AND(A778&lt;&gt;"",COUNTIFS(C778,"&gt;"&amp;TODAY(),C778,"&lt;="&amp;TODAY()+30)+COUNTIFS(D778,"&gt;"&amp;TODAY(),D778,"&lt;="&amp;TODAY()+30)+COUNTIFS(E778,"&gt;"&amp;TODAY(),E778,"&lt;="&amp;TODAY()+30)+COUNTIFS(F778,"&gt;"&amp;TODAY(),F778,"&lt;="&amp;TODAY()+30)&gt;0),Q778,"")</x:f>
      </x:c>
      <x:c r="M778" t="str">
        <x:f>IF(OR(LEFT(H778,15)="Missing dates; ",LEFT(H778,16)="Add N/A reason; ",H778="Add dates",H778="Add registration",H778="Check date format"),R778,"")</x:f>
      </x:c>
      <x:c r="N778" t="str">
        <x:f>IF(COUNTIFS(C778:F778,"Reviewed N/A")&gt;0,S778,"")</x:f>
      </x:c>
      <x:c r="O778" t="n">
        <x:f>O777+IF(AND(A778&lt;&gt;"",COUNTIFS(C778,"&gt;=36526",C778,"&lt;"&amp;TODAY())+COUNTIFS(D778,"&gt;=36526",D778,"&lt;"&amp;TODAY())+COUNTIFS(E778,"&gt;=36526",E778,"&lt;"&amp;TODAY())+COUNTIFS(F778,"&gt;=36526",F778,"&lt;"&amp;TODAY())&gt;0),1,0)</x:f>
        <x:v>0</x:v>
      </x:c>
      <x:c r="P778" t="n">
        <x:f>P777+IF(AND(A778&lt;&gt;"",COUNTIFS(C778,"&gt;=36526",C778,TODAY())+COUNTIFS(D778,"&gt;=36526",D778,TODAY())+COUNTIFS(E778,"&gt;=36526",E778,TODAY())+COUNTIFS(F778,"&gt;=36526",F778,TODAY())&gt;0),1,0)</x:f>
        <x:v>0</x:v>
      </x:c>
      <x:c r="Q778" t="n">
        <x:f>Q777+IF(AND(A778&lt;&gt;"",COUNTIFS(C778,"&gt;"&amp;TODAY(),C778,"&lt;="&amp;TODAY()+30)+COUNTIFS(D778,"&gt;"&amp;TODAY(),D778,"&lt;="&amp;TODAY()+30)+COUNTIFS(E778,"&gt;"&amp;TODAY(),E778,"&lt;="&amp;TODAY()+30)+COUNTIFS(F778,"&gt;"&amp;TODAY(),F778,"&lt;="&amp;TODAY()+30)&gt;0),1,0)</x:f>
        <x:v>0</x:v>
      </x:c>
      <x:c r="R778" t="n">
        <x:f>R777+IF(OR(LEFT(H778,15)="Missing dates; ",LEFT(H778,16)="Add N/A reason; ",H778="Add dates",H778="Add registration",H778="Check date format"),1,0)</x:f>
        <x:v>0</x:v>
      </x:c>
      <x:c r="S778" t="n">
        <x:f>S777+IF(COUNTIFS(C778:F778,"Reviewed N/A")&gt;0,1,0)</x:f>
        <x:v>0</x:v>
      </x:c>
    </x:row>
    <x:row r="779" ht="48" customHeight="1">
      <x:c r="A779" s="52"/>
      <x:c r="B779" s="52"/>
      <x:c r="C779" s="53"/>
      <x:c r="D779" s="53"/>
      <x:c r="E779" s="53"/>
      <x:c r="F779" s="53"/>
      <x:c r="G779" s="52"/>
      <x:c r="H779" s="21" t="str">
        <x:f>IF(COUNTA(A779:G779,I779)=0,"",IF(A779="","Add registration",IF(OR(COUNTA(C779:F779)&gt;COUNT(C779:F779)+COUNTIFS(C779:F779,"Reviewed N/A"),AND(COUNT(C779:F779)&gt;0,OR(MIN(C779:F779)&lt;36526,MAX(C779:F779)&gt;109574))),"Check date format",IF(AND(COUNTIFS(C779:F779,"Reviewed N/A")&gt;0,I779=""),"Add N/A reason; ","")&amp;IF(COUNT(C779:F779)=0,IF(COUNTIFS(C779:F779,"Reviewed N/A")=4,"No applicable dates recorded","Add dates"),IF(COUNT(C779:F779)+COUNTIFS(C779:F779,"Reviewed N/A")&lt;4,"Missing dates; ","")&amp;IF(MIN(C779:F779)&lt;TODAY(),"Overdue: ",IF(MIN(C779:F779)=TODAY(),"Due today: ",IF(MIN(C779:F779)&lt;=TODAY()+30,"Due within 30 days: ","Next: ")))&amp;INDEX($C$8:$F$8,1,MATCH(MIN(C779:F779),C779:F779,0))&amp;" "&amp;TEXT(MIN(C779:F779),"dd mmm yyyy")))))</x:f>
      </x:c>
      <x:c r="I779" s="52"/>
      <x:c r="J779" t="str">
        <x:f>IF(AND(A779&lt;&gt;"",COUNTIFS(C779,"&gt;=36526",C779,"&lt;"&amp;TODAY())+COUNTIFS(D779,"&gt;=36526",D779,"&lt;"&amp;TODAY())+COUNTIFS(E779,"&gt;=36526",E779,"&lt;"&amp;TODAY())+COUNTIFS(F779,"&gt;=36526",F779,"&lt;"&amp;TODAY())&gt;0),O779,"")</x:f>
      </x:c>
      <x:c r="K779" t="str">
        <x:f>IF(AND(A779&lt;&gt;"",COUNTIFS(C779,"&gt;=36526",C779,TODAY())+COUNTIFS(D779,"&gt;=36526",D779,TODAY())+COUNTIFS(E779,"&gt;=36526",E779,TODAY())+COUNTIFS(F779,"&gt;=36526",F779,TODAY())&gt;0),P779,"")</x:f>
      </x:c>
      <x:c r="L779" t="str">
        <x:f>IF(AND(A779&lt;&gt;"",COUNTIFS(C779,"&gt;"&amp;TODAY(),C779,"&lt;="&amp;TODAY()+30)+COUNTIFS(D779,"&gt;"&amp;TODAY(),D779,"&lt;="&amp;TODAY()+30)+COUNTIFS(E779,"&gt;"&amp;TODAY(),E779,"&lt;="&amp;TODAY()+30)+COUNTIFS(F779,"&gt;"&amp;TODAY(),F779,"&lt;="&amp;TODAY()+30)&gt;0),Q779,"")</x:f>
      </x:c>
      <x:c r="M779" t="str">
        <x:f>IF(OR(LEFT(H779,15)="Missing dates; ",LEFT(H779,16)="Add N/A reason; ",H779="Add dates",H779="Add registration",H779="Check date format"),R779,"")</x:f>
      </x:c>
      <x:c r="N779" t="str">
        <x:f>IF(COUNTIFS(C779:F779,"Reviewed N/A")&gt;0,S779,"")</x:f>
      </x:c>
      <x:c r="O779" t="n">
        <x:f>O778+IF(AND(A779&lt;&gt;"",COUNTIFS(C779,"&gt;=36526",C779,"&lt;"&amp;TODAY())+COUNTIFS(D779,"&gt;=36526",D779,"&lt;"&amp;TODAY())+COUNTIFS(E779,"&gt;=36526",E779,"&lt;"&amp;TODAY())+COUNTIFS(F779,"&gt;=36526",F779,"&lt;"&amp;TODAY())&gt;0),1,0)</x:f>
        <x:v>0</x:v>
      </x:c>
      <x:c r="P779" t="n">
        <x:f>P778+IF(AND(A779&lt;&gt;"",COUNTIFS(C779,"&gt;=36526",C779,TODAY())+COUNTIFS(D779,"&gt;=36526",D779,TODAY())+COUNTIFS(E779,"&gt;=36526",E779,TODAY())+COUNTIFS(F779,"&gt;=36526",F779,TODAY())&gt;0),1,0)</x:f>
        <x:v>0</x:v>
      </x:c>
      <x:c r="Q779" t="n">
        <x:f>Q778+IF(AND(A779&lt;&gt;"",COUNTIFS(C779,"&gt;"&amp;TODAY(),C779,"&lt;="&amp;TODAY()+30)+COUNTIFS(D779,"&gt;"&amp;TODAY(),D779,"&lt;="&amp;TODAY()+30)+COUNTIFS(E779,"&gt;"&amp;TODAY(),E779,"&lt;="&amp;TODAY()+30)+COUNTIFS(F779,"&gt;"&amp;TODAY(),F779,"&lt;="&amp;TODAY()+30)&gt;0),1,0)</x:f>
        <x:v>0</x:v>
      </x:c>
      <x:c r="R779" t="n">
        <x:f>R778+IF(OR(LEFT(H779,15)="Missing dates; ",LEFT(H779,16)="Add N/A reason; ",H779="Add dates",H779="Add registration",H779="Check date format"),1,0)</x:f>
        <x:v>0</x:v>
      </x:c>
      <x:c r="S779" t="n">
        <x:f>S778+IF(COUNTIFS(C779:F779,"Reviewed N/A")&gt;0,1,0)</x:f>
        <x:v>0</x:v>
      </x:c>
    </x:row>
    <x:row r="780" ht="48" customHeight="1">
      <x:c r="A780" s="52"/>
      <x:c r="B780" s="52"/>
      <x:c r="C780" s="53"/>
      <x:c r="D780" s="53"/>
      <x:c r="E780" s="53"/>
      <x:c r="F780" s="53"/>
      <x:c r="G780" s="52"/>
      <x:c r="H780" s="21" t="str">
        <x:f>IF(COUNTA(A780:G780,I780)=0,"",IF(A780="","Add registration",IF(OR(COUNTA(C780:F780)&gt;COUNT(C780:F780)+COUNTIFS(C780:F780,"Reviewed N/A"),AND(COUNT(C780:F780)&gt;0,OR(MIN(C780:F780)&lt;36526,MAX(C780:F780)&gt;109574))),"Check date format",IF(AND(COUNTIFS(C780:F780,"Reviewed N/A")&gt;0,I780=""),"Add N/A reason; ","")&amp;IF(COUNT(C780:F780)=0,IF(COUNTIFS(C780:F780,"Reviewed N/A")=4,"No applicable dates recorded","Add dates"),IF(COUNT(C780:F780)+COUNTIFS(C780:F780,"Reviewed N/A")&lt;4,"Missing dates; ","")&amp;IF(MIN(C780:F780)&lt;TODAY(),"Overdue: ",IF(MIN(C780:F780)=TODAY(),"Due today: ",IF(MIN(C780:F780)&lt;=TODAY()+30,"Due within 30 days: ","Next: ")))&amp;INDEX($C$8:$F$8,1,MATCH(MIN(C780:F780),C780:F780,0))&amp;" "&amp;TEXT(MIN(C780:F780),"dd mmm yyyy")))))</x:f>
      </x:c>
      <x:c r="I780" s="52"/>
      <x:c r="J780" t="str">
        <x:f>IF(AND(A780&lt;&gt;"",COUNTIFS(C780,"&gt;=36526",C780,"&lt;"&amp;TODAY())+COUNTIFS(D780,"&gt;=36526",D780,"&lt;"&amp;TODAY())+COUNTIFS(E780,"&gt;=36526",E780,"&lt;"&amp;TODAY())+COUNTIFS(F780,"&gt;=36526",F780,"&lt;"&amp;TODAY())&gt;0),O780,"")</x:f>
      </x:c>
      <x:c r="K780" t="str">
        <x:f>IF(AND(A780&lt;&gt;"",COUNTIFS(C780,"&gt;=36526",C780,TODAY())+COUNTIFS(D780,"&gt;=36526",D780,TODAY())+COUNTIFS(E780,"&gt;=36526",E780,TODAY())+COUNTIFS(F780,"&gt;=36526",F780,TODAY())&gt;0),P780,"")</x:f>
      </x:c>
      <x:c r="L780" t="str">
        <x:f>IF(AND(A780&lt;&gt;"",COUNTIFS(C780,"&gt;"&amp;TODAY(),C780,"&lt;="&amp;TODAY()+30)+COUNTIFS(D780,"&gt;"&amp;TODAY(),D780,"&lt;="&amp;TODAY()+30)+COUNTIFS(E780,"&gt;"&amp;TODAY(),E780,"&lt;="&amp;TODAY()+30)+COUNTIFS(F780,"&gt;"&amp;TODAY(),F780,"&lt;="&amp;TODAY()+30)&gt;0),Q780,"")</x:f>
      </x:c>
      <x:c r="M780" t="str">
        <x:f>IF(OR(LEFT(H780,15)="Missing dates; ",LEFT(H780,16)="Add N/A reason; ",H780="Add dates",H780="Add registration",H780="Check date format"),R780,"")</x:f>
      </x:c>
      <x:c r="N780" t="str">
        <x:f>IF(COUNTIFS(C780:F780,"Reviewed N/A")&gt;0,S780,"")</x:f>
      </x:c>
      <x:c r="O780" t="n">
        <x:f>O779+IF(AND(A780&lt;&gt;"",COUNTIFS(C780,"&gt;=36526",C780,"&lt;"&amp;TODAY())+COUNTIFS(D780,"&gt;=36526",D780,"&lt;"&amp;TODAY())+COUNTIFS(E780,"&gt;=36526",E780,"&lt;"&amp;TODAY())+COUNTIFS(F780,"&gt;=36526",F780,"&lt;"&amp;TODAY())&gt;0),1,0)</x:f>
        <x:v>0</x:v>
      </x:c>
      <x:c r="P780" t="n">
        <x:f>P779+IF(AND(A780&lt;&gt;"",COUNTIFS(C780,"&gt;=36526",C780,TODAY())+COUNTIFS(D780,"&gt;=36526",D780,TODAY())+COUNTIFS(E780,"&gt;=36526",E780,TODAY())+COUNTIFS(F780,"&gt;=36526",F780,TODAY())&gt;0),1,0)</x:f>
        <x:v>0</x:v>
      </x:c>
      <x:c r="Q780" t="n">
        <x:f>Q779+IF(AND(A780&lt;&gt;"",COUNTIFS(C780,"&gt;"&amp;TODAY(),C780,"&lt;="&amp;TODAY()+30)+COUNTIFS(D780,"&gt;"&amp;TODAY(),D780,"&lt;="&amp;TODAY()+30)+COUNTIFS(E780,"&gt;"&amp;TODAY(),E780,"&lt;="&amp;TODAY()+30)+COUNTIFS(F780,"&gt;"&amp;TODAY(),F780,"&lt;="&amp;TODAY()+30)&gt;0),1,0)</x:f>
        <x:v>0</x:v>
      </x:c>
      <x:c r="R780" t="n">
        <x:f>R779+IF(OR(LEFT(H780,15)="Missing dates; ",LEFT(H780,16)="Add N/A reason; ",H780="Add dates",H780="Add registration",H780="Check date format"),1,0)</x:f>
        <x:v>0</x:v>
      </x:c>
      <x:c r="S780" t="n">
        <x:f>S779+IF(COUNTIFS(C780:F780,"Reviewed N/A")&gt;0,1,0)</x:f>
        <x:v>0</x:v>
      </x:c>
    </x:row>
    <x:row r="781" ht="48" customHeight="1">
      <x:c r="A781" s="52"/>
      <x:c r="B781" s="52"/>
      <x:c r="C781" s="53"/>
      <x:c r="D781" s="53"/>
      <x:c r="E781" s="53"/>
      <x:c r="F781" s="53"/>
      <x:c r="G781" s="52"/>
      <x:c r="H781" s="21" t="str">
        <x:f>IF(COUNTA(A781:G781,I781)=0,"",IF(A781="","Add registration",IF(OR(COUNTA(C781:F781)&gt;COUNT(C781:F781)+COUNTIFS(C781:F781,"Reviewed N/A"),AND(COUNT(C781:F781)&gt;0,OR(MIN(C781:F781)&lt;36526,MAX(C781:F781)&gt;109574))),"Check date format",IF(AND(COUNTIFS(C781:F781,"Reviewed N/A")&gt;0,I781=""),"Add N/A reason; ","")&amp;IF(COUNT(C781:F781)=0,IF(COUNTIFS(C781:F781,"Reviewed N/A")=4,"No applicable dates recorded","Add dates"),IF(COUNT(C781:F781)+COUNTIFS(C781:F781,"Reviewed N/A")&lt;4,"Missing dates; ","")&amp;IF(MIN(C781:F781)&lt;TODAY(),"Overdue: ",IF(MIN(C781:F781)=TODAY(),"Due today: ",IF(MIN(C781:F781)&lt;=TODAY()+30,"Due within 30 days: ","Next: ")))&amp;INDEX($C$8:$F$8,1,MATCH(MIN(C781:F781),C781:F781,0))&amp;" "&amp;TEXT(MIN(C781:F781),"dd mmm yyyy")))))</x:f>
      </x:c>
      <x:c r="I781" s="52"/>
      <x:c r="J781" t="str">
        <x:f>IF(AND(A781&lt;&gt;"",COUNTIFS(C781,"&gt;=36526",C781,"&lt;"&amp;TODAY())+COUNTIFS(D781,"&gt;=36526",D781,"&lt;"&amp;TODAY())+COUNTIFS(E781,"&gt;=36526",E781,"&lt;"&amp;TODAY())+COUNTIFS(F781,"&gt;=36526",F781,"&lt;"&amp;TODAY())&gt;0),O781,"")</x:f>
      </x:c>
      <x:c r="K781" t="str">
        <x:f>IF(AND(A781&lt;&gt;"",COUNTIFS(C781,"&gt;=36526",C781,TODAY())+COUNTIFS(D781,"&gt;=36526",D781,TODAY())+COUNTIFS(E781,"&gt;=36526",E781,TODAY())+COUNTIFS(F781,"&gt;=36526",F781,TODAY())&gt;0),P781,"")</x:f>
      </x:c>
      <x:c r="L781" t="str">
        <x:f>IF(AND(A781&lt;&gt;"",COUNTIFS(C781,"&gt;"&amp;TODAY(),C781,"&lt;="&amp;TODAY()+30)+COUNTIFS(D781,"&gt;"&amp;TODAY(),D781,"&lt;="&amp;TODAY()+30)+COUNTIFS(E781,"&gt;"&amp;TODAY(),E781,"&lt;="&amp;TODAY()+30)+COUNTIFS(F781,"&gt;"&amp;TODAY(),F781,"&lt;="&amp;TODAY()+30)&gt;0),Q781,"")</x:f>
      </x:c>
      <x:c r="M781" t="str">
        <x:f>IF(OR(LEFT(H781,15)="Missing dates; ",LEFT(H781,16)="Add N/A reason; ",H781="Add dates",H781="Add registration",H781="Check date format"),R781,"")</x:f>
      </x:c>
      <x:c r="N781" t="str">
        <x:f>IF(COUNTIFS(C781:F781,"Reviewed N/A")&gt;0,S781,"")</x:f>
      </x:c>
      <x:c r="O781" t="n">
        <x:f>O780+IF(AND(A781&lt;&gt;"",COUNTIFS(C781,"&gt;=36526",C781,"&lt;"&amp;TODAY())+COUNTIFS(D781,"&gt;=36526",D781,"&lt;"&amp;TODAY())+COUNTIFS(E781,"&gt;=36526",E781,"&lt;"&amp;TODAY())+COUNTIFS(F781,"&gt;=36526",F781,"&lt;"&amp;TODAY())&gt;0),1,0)</x:f>
        <x:v>0</x:v>
      </x:c>
      <x:c r="P781" t="n">
        <x:f>P780+IF(AND(A781&lt;&gt;"",COUNTIFS(C781,"&gt;=36526",C781,TODAY())+COUNTIFS(D781,"&gt;=36526",D781,TODAY())+COUNTIFS(E781,"&gt;=36526",E781,TODAY())+COUNTIFS(F781,"&gt;=36526",F781,TODAY())&gt;0),1,0)</x:f>
        <x:v>0</x:v>
      </x:c>
      <x:c r="Q781" t="n">
        <x:f>Q780+IF(AND(A781&lt;&gt;"",COUNTIFS(C781,"&gt;"&amp;TODAY(),C781,"&lt;="&amp;TODAY()+30)+COUNTIFS(D781,"&gt;"&amp;TODAY(),D781,"&lt;="&amp;TODAY()+30)+COUNTIFS(E781,"&gt;"&amp;TODAY(),E781,"&lt;="&amp;TODAY()+30)+COUNTIFS(F781,"&gt;"&amp;TODAY(),F781,"&lt;="&amp;TODAY()+30)&gt;0),1,0)</x:f>
        <x:v>0</x:v>
      </x:c>
      <x:c r="R781" t="n">
        <x:f>R780+IF(OR(LEFT(H781,15)="Missing dates; ",LEFT(H781,16)="Add N/A reason; ",H781="Add dates",H781="Add registration",H781="Check date format"),1,0)</x:f>
        <x:v>0</x:v>
      </x:c>
      <x:c r="S781" t="n">
        <x:f>S780+IF(COUNTIFS(C781:F781,"Reviewed N/A")&gt;0,1,0)</x:f>
        <x:v>0</x:v>
      </x:c>
    </x:row>
    <x:row r="782" ht="48" customHeight="1">
      <x:c r="A782" s="52"/>
      <x:c r="B782" s="52"/>
      <x:c r="C782" s="53"/>
      <x:c r="D782" s="53"/>
      <x:c r="E782" s="53"/>
      <x:c r="F782" s="53"/>
      <x:c r="G782" s="52"/>
      <x:c r="H782" s="21" t="str">
        <x:f>IF(COUNTA(A782:G782,I782)=0,"",IF(A782="","Add registration",IF(OR(COUNTA(C782:F782)&gt;COUNT(C782:F782)+COUNTIFS(C782:F782,"Reviewed N/A"),AND(COUNT(C782:F782)&gt;0,OR(MIN(C782:F782)&lt;36526,MAX(C782:F782)&gt;109574))),"Check date format",IF(AND(COUNTIFS(C782:F782,"Reviewed N/A")&gt;0,I782=""),"Add N/A reason; ","")&amp;IF(COUNT(C782:F782)=0,IF(COUNTIFS(C782:F782,"Reviewed N/A")=4,"No applicable dates recorded","Add dates"),IF(COUNT(C782:F782)+COUNTIFS(C782:F782,"Reviewed N/A")&lt;4,"Missing dates; ","")&amp;IF(MIN(C782:F782)&lt;TODAY(),"Overdue: ",IF(MIN(C782:F782)=TODAY(),"Due today: ",IF(MIN(C782:F782)&lt;=TODAY()+30,"Due within 30 days: ","Next: ")))&amp;INDEX($C$8:$F$8,1,MATCH(MIN(C782:F782),C782:F782,0))&amp;" "&amp;TEXT(MIN(C782:F782),"dd mmm yyyy")))))</x:f>
      </x:c>
      <x:c r="I782" s="52"/>
      <x:c r="J782" t="str">
        <x:f>IF(AND(A782&lt;&gt;"",COUNTIFS(C782,"&gt;=36526",C782,"&lt;"&amp;TODAY())+COUNTIFS(D782,"&gt;=36526",D782,"&lt;"&amp;TODAY())+COUNTIFS(E782,"&gt;=36526",E782,"&lt;"&amp;TODAY())+COUNTIFS(F782,"&gt;=36526",F782,"&lt;"&amp;TODAY())&gt;0),O782,"")</x:f>
      </x:c>
      <x:c r="K782" t="str">
        <x:f>IF(AND(A782&lt;&gt;"",COUNTIFS(C782,"&gt;=36526",C782,TODAY())+COUNTIFS(D782,"&gt;=36526",D782,TODAY())+COUNTIFS(E782,"&gt;=36526",E782,TODAY())+COUNTIFS(F782,"&gt;=36526",F782,TODAY())&gt;0),P782,"")</x:f>
      </x:c>
      <x:c r="L782" t="str">
        <x:f>IF(AND(A782&lt;&gt;"",COUNTIFS(C782,"&gt;"&amp;TODAY(),C782,"&lt;="&amp;TODAY()+30)+COUNTIFS(D782,"&gt;"&amp;TODAY(),D782,"&lt;="&amp;TODAY()+30)+COUNTIFS(E782,"&gt;"&amp;TODAY(),E782,"&lt;="&amp;TODAY()+30)+COUNTIFS(F782,"&gt;"&amp;TODAY(),F782,"&lt;="&amp;TODAY()+30)&gt;0),Q782,"")</x:f>
      </x:c>
      <x:c r="M782" t="str">
        <x:f>IF(OR(LEFT(H782,15)="Missing dates; ",LEFT(H782,16)="Add N/A reason; ",H782="Add dates",H782="Add registration",H782="Check date format"),R782,"")</x:f>
      </x:c>
      <x:c r="N782" t="str">
        <x:f>IF(COUNTIFS(C782:F782,"Reviewed N/A")&gt;0,S782,"")</x:f>
      </x:c>
      <x:c r="O782" t="n">
        <x:f>O781+IF(AND(A782&lt;&gt;"",COUNTIFS(C782,"&gt;=36526",C782,"&lt;"&amp;TODAY())+COUNTIFS(D782,"&gt;=36526",D782,"&lt;"&amp;TODAY())+COUNTIFS(E782,"&gt;=36526",E782,"&lt;"&amp;TODAY())+COUNTIFS(F782,"&gt;=36526",F782,"&lt;"&amp;TODAY())&gt;0),1,0)</x:f>
        <x:v>0</x:v>
      </x:c>
      <x:c r="P782" t="n">
        <x:f>P781+IF(AND(A782&lt;&gt;"",COUNTIFS(C782,"&gt;=36526",C782,TODAY())+COUNTIFS(D782,"&gt;=36526",D782,TODAY())+COUNTIFS(E782,"&gt;=36526",E782,TODAY())+COUNTIFS(F782,"&gt;=36526",F782,TODAY())&gt;0),1,0)</x:f>
        <x:v>0</x:v>
      </x:c>
      <x:c r="Q782" t="n">
        <x:f>Q781+IF(AND(A782&lt;&gt;"",COUNTIFS(C782,"&gt;"&amp;TODAY(),C782,"&lt;="&amp;TODAY()+30)+COUNTIFS(D782,"&gt;"&amp;TODAY(),D782,"&lt;="&amp;TODAY()+30)+COUNTIFS(E782,"&gt;"&amp;TODAY(),E782,"&lt;="&amp;TODAY()+30)+COUNTIFS(F782,"&gt;"&amp;TODAY(),F782,"&lt;="&amp;TODAY()+30)&gt;0),1,0)</x:f>
        <x:v>0</x:v>
      </x:c>
      <x:c r="R782" t="n">
        <x:f>R781+IF(OR(LEFT(H782,15)="Missing dates; ",LEFT(H782,16)="Add N/A reason; ",H782="Add dates",H782="Add registration",H782="Check date format"),1,0)</x:f>
        <x:v>0</x:v>
      </x:c>
      <x:c r="S782" t="n">
        <x:f>S781+IF(COUNTIFS(C782:F782,"Reviewed N/A")&gt;0,1,0)</x:f>
        <x:v>0</x:v>
      </x:c>
    </x:row>
    <x:row r="783" ht="48" customHeight="1">
      <x:c r="A783" s="52"/>
      <x:c r="B783" s="52"/>
      <x:c r="C783" s="53"/>
      <x:c r="D783" s="53"/>
      <x:c r="E783" s="53"/>
      <x:c r="F783" s="53"/>
      <x:c r="G783" s="52"/>
      <x:c r="H783" s="21" t="str">
        <x:f>IF(COUNTA(A783:G783,I783)=0,"",IF(A783="","Add registration",IF(OR(COUNTA(C783:F783)&gt;COUNT(C783:F783)+COUNTIFS(C783:F783,"Reviewed N/A"),AND(COUNT(C783:F783)&gt;0,OR(MIN(C783:F783)&lt;36526,MAX(C783:F783)&gt;109574))),"Check date format",IF(AND(COUNTIFS(C783:F783,"Reviewed N/A")&gt;0,I783=""),"Add N/A reason; ","")&amp;IF(COUNT(C783:F783)=0,IF(COUNTIFS(C783:F783,"Reviewed N/A")=4,"No applicable dates recorded","Add dates"),IF(COUNT(C783:F783)+COUNTIFS(C783:F783,"Reviewed N/A")&lt;4,"Missing dates; ","")&amp;IF(MIN(C783:F783)&lt;TODAY(),"Overdue: ",IF(MIN(C783:F783)=TODAY(),"Due today: ",IF(MIN(C783:F783)&lt;=TODAY()+30,"Due within 30 days: ","Next: ")))&amp;INDEX($C$8:$F$8,1,MATCH(MIN(C783:F783),C783:F783,0))&amp;" "&amp;TEXT(MIN(C783:F783),"dd mmm yyyy")))))</x:f>
      </x:c>
      <x:c r="I783" s="52"/>
      <x:c r="J783" t="str">
        <x:f>IF(AND(A783&lt;&gt;"",COUNTIFS(C783,"&gt;=36526",C783,"&lt;"&amp;TODAY())+COUNTIFS(D783,"&gt;=36526",D783,"&lt;"&amp;TODAY())+COUNTIFS(E783,"&gt;=36526",E783,"&lt;"&amp;TODAY())+COUNTIFS(F783,"&gt;=36526",F783,"&lt;"&amp;TODAY())&gt;0),O783,"")</x:f>
      </x:c>
      <x:c r="K783" t="str">
        <x:f>IF(AND(A783&lt;&gt;"",COUNTIFS(C783,"&gt;=36526",C783,TODAY())+COUNTIFS(D783,"&gt;=36526",D783,TODAY())+COUNTIFS(E783,"&gt;=36526",E783,TODAY())+COUNTIFS(F783,"&gt;=36526",F783,TODAY())&gt;0),P783,"")</x:f>
      </x:c>
      <x:c r="L783" t="str">
        <x:f>IF(AND(A783&lt;&gt;"",COUNTIFS(C783,"&gt;"&amp;TODAY(),C783,"&lt;="&amp;TODAY()+30)+COUNTIFS(D783,"&gt;"&amp;TODAY(),D783,"&lt;="&amp;TODAY()+30)+COUNTIFS(E783,"&gt;"&amp;TODAY(),E783,"&lt;="&amp;TODAY()+30)+COUNTIFS(F783,"&gt;"&amp;TODAY(),F783,"&lt;="&amp;TODAY()+30)&gt;0),Q783,"")</x:f>
      </x:c>
      <x:c r="M783" t="str">
        <x:f>IF(OR(LEFT(H783,15)="Missing dates; ",LEFT(H783,16)="Add N/A reason; ",H783="Add dates",H783="Add registration",H783="Check date format"),R783,"")</x:f>
      </x:c>
      <x:c r="N783" t="str">
        <x:f>IF(COUNTIFS(C783:F783,"Reviewed N/A")&gt;0,S783,"")</x:f>
      </x:c>
      <x:c r="O783" t="n">
        <x:f>O782+IF(AND(A783&lt;&gt;"",COUNTIFS(C783,"&gt;=36526",C783,"&lt;"&amp;TODAY())+COUNTIFS(D783,"&gt;=36526",D783,"&lt;"&amp;TODAY())+COUNTIFS(E783,"&gt;=36526",E783,"&lt;"&amp;TODAY())+COUNTIFS(F783,"&gt;=36526",F783,"&lt;"&amp;TODAY())&gt;0),1,0)</x:f>
        <x:v>0</x:v>
      </x:c>
      <x:c r="P783" t="n">
        <x:f>P782+IF(AND(A783&lt;&gt;"",COUNTIFS(C783,"&gt;=36526",C783,TODAY())+COUNTIFS(D783,"&gt;=36526",D783,TODAY())+COUNTIFS(E783,"&gt;=36526",E783,TODAY())+COUNTIFS(F783,"&gt;=36526",F783,TODAY())&gt;0),1,0)</x:f>
        <x:v>0</x:v>
      </x:c>
      <x:c r="Q783" t="n">
        <x:f>Q782+IF(AND(A783&lt;&gt;"",COUNTIFS(C783,"&gt;"&amp;TODAY(),C783,"&lt;="&amp;TODAY()+30)+COUNTIFS(D783,"&gt;"&amp;TODAY(),D783,"&lt;="&amp;TODAY()+30)+COUNTIFS(E783,"&gt;"&amp;TODAY(),E783,"&lt;="&amp;TODAY()+30)+COUNTIFS(F783,"&gt;"&amp;TODAY(),F783,"&lt;="&amp;TODAY()+30)&gt;0),1,0)</x:f>
        <x:v>0</x:v>
      </x:c>
      <x:c r="R783" t="n">
        <x:f>R782+IF(OR(LEFT(H783,15)="Missing dates; ",LEFT(H783,16)="Add N/A reason; ",H783="Add dates",H783="Add registration",H783="Check date format"),1,0)</x:f>
        <x:v>0</x:v>
      </x:c>
      <x:c r="S783" t="n">
        <x:f>S782+IF(COUNTIFS(C783:F783,"Reviewed N/A")&gt;0,1,0)</x:f>
        <x:v>0</x:v>
      </x:c>
    </x:row>
    <x:row r="784" ht="48" customHeight="1">
      <x:c r="A784" s="52"/>
      <x:c r="B784" s="52"/>
      <x:c r="C784" s="53"/>
      <x:c r="D784" s="53"/>
      <x:c r="E784" s="53"/>
      <x:c r="F784" s="53"/>
      <x:c r="G784" s="52"/>
      <x:c r="H784" s="21" t="str">
        <x:f>IF(COUNTA(A784:G784,I784)=0,"",IF(A784="","Add registration",IF(OR(COUNTA(C784:F784)&gt;COUNT(C784:F784)+COUNTIFS(C784:F784,"Reviewed N/A"),AND(COUNT(C784:F784)&gt;0,OR(MIN(C784:F784)&lt;36526,MAX(C784:F784)&gt;109574))),"Check date format",IF(AND(COUNTIFS(C784:F784,"Reviewed N/A")&gt;0,I784=""),"Add N/A reason; ","")&amp;IF(COUNT(C784:F784)=0,IF(COUNTIFS(C784:F784,"Reviewed N/A")=4,"No applicable dates recorded","Add dates"),IF(COUNT(C784:F784)+COUNTIFS(C784:F784,"Reviewed N/A")&lt;4,"Missing dates; ","")&amp;IF(MIN(C784:F784)&lt;TODAY(),"Overdue: ",IF(MIN(C784:F784)=TODAY(),"Due today: ",IF(MIN(C784:F784)&lt;=TODAY()+30,"Due within 30 days: ","Next: ")))&amp;INDEX($C$8:$F$8,1,MATCH(MIN(C784:F784),C784:F784,0))&amp;" "&amp;TEXT(MIN(C784:F784),"dd mmm yyyy")))))</x:f>
      </x:c>
      <x:c r="I784" s="52"/>
      <x:c r="J784" t="str">
        <x:f>IF(AND(A784&lt;&gt;"",COUNTIFS(C784,"&gt;=36526",C784,"&lt;"&amp;TODAY())+COUNTIFS(D784,"&gt;=36526",D784,"&lt;"&amp;TODAY())+COUNTIFS(E784,"&gt;=36526",E784,"&lt;"&amp;TODAY())+COUNTIFS(F784,"&gt;=36526",F784,"&lt;"&amp;TODAY())&gt;0),O784,"")</x:f>
      </x:c>
      <x:c r="K784" t="str">
        <x:f>IF(AND(A784&lt;&gt;"",COUNTIFS(C784,"&gt;=36526",C784,TODAY())+COUNTIFS(D784,"&gt;=36526",D784,TODAY())+COUNTIFS(E784,"&gt;=36526",E784,TODAY())+COUNTIFS(F784,"&gt;=36526",F784,TODAY())&gt;0),P784,"")</x:f>
      </x:c>
      <x:c r="L784" t="str">
        <x:f>IF(AND(A784&lt;&gt;"",COUNTIFS(C784,"&gt;"&amp;TODAY(),C784,"&lt;="&amp;TODAY()+30)+COUNTIFS(D784,"&gt;"&amp;TODAY(),D784,"&lt;="&amp;TODAY()+30)+COUNTIFS(E784,"&gt;"&amp;TODAY(),E784,"&lt;="&amp;TODAY()+30)+COUNTIFS(F784,"&gt;"&amp;TODAY(),F784,"&lt;="&amp;TODAY()+30)&gt;0),Q784,"")</x:f>
      </x:c>
      <x:c r="M784" t="str">
        <x:f>IF(OR(LEFT(H784,15)="Missing dates; ",LEFT(H784,16)="Add N/A reason; ",H784="Add dates",H784="Add registration",H784="Check date format"),R784,"")</x:f>
      </x:c>
      <x:c r="N784" t="str">
        <x:f>IF(COUNTIFS(C784:F784,"Reviewed N/A")&gt;0,S784,"")</x:f>
      </x:c>
      <x:c r="O784" t="n">
        <x:f>O783+IF(AND(A784&lt;&gt;"",COUNTIFS(C784,"&gt;=36526",C784,"&lt;"&amp;TODAY())+COUNTIFS(D784,"&gt;=36526",D784,"&lt;"&amp;TODAY())+COUNTIFS(E784,"&gt;=36526",E784,"&lt;"&amp;TODAY())+COUNTIFS(F784,"&gt;=36526",F784,"&lt;"&amp;TODAY())&gt;0),1,0)</x:f>
        <x:v>0</x:v>
      </x:c>
      <x:c r="P784" t="n">
        <x:f>P783+IF(AND(A784&lt;&gt;"",COUNTIFS(C784,"&gt;=36526",C784,TODAY())+COUNTIFS(D784,"&gt;=36526",D784,TODAY())+COUNTIFS(E784,"&gt;=36526",E784,TODAY())+COUNTIFS(F784,"&gt;=36526",F784,TODAY())&gt;0),1,0)</x:f>
        <x:v>0</x:v>
      </x:c>
      <x:c r="Q784" t="n">
        <x:f>Q783+IF(AND(A784&lt;&gt;"",COUNTIFS(C784,"&gt;"&amp;TODAY(),C784,"&lt;="&amp;TODAY()+30)+COUNTIFS(D784,"&gt;"&amp;TODAY(),D784,"&lt;="&amp;TODAY()+30)+COUNTIFS(E784,"&gt;"&amp;TODAY(),E784,"&lt;="&amp;TODAY()+30)+COUNTIFS(F784,"&gt;"&amp;TODAY(),F784,"&lt;="&amp;TODAY()+30)&gt;0),1,0)</x:f>
        <x:v>0</x:v>
      </x:c>
      <x:c r="R784" t="n">
        <x:f>R783+IF(OR(LEFT(H784,15)="Missing dates; ",LEFT(H784,16)="Add N/A reason; ",H784="Add dates",H784="Add registration",H784="Check date format"),1,0)</x:f>
        <x:v>0</x:v>
      </x:c>
      <x:c r="S784" t="n">
        <x:f>S783+IF(COUNTIFS(C784:F784,"Reviewed N/A")&gt;0,1,0)</x:f>
        <x:v>0</x:v>
      </x:c>
    </x:row>
    <x:row r="785" ht="48" customHeight="1">
      <x:c r="A785" s="52"/>
      <x:c r="B785" s="52"/>
      <x:c r="C785" s="53"/>
      <x:c r="D785" s="53"/>
      <x:c r="E785" s="53"/>
      <x:c r="F785" s="53"/>
      <x:c r="G785" s="52"/>
      <x:c r="H785" s="21" t="str">
        <x:f>IF(COUNTA(A785:G785,I785)=0,"",IF(A785="","Add registration",IF(OR(COUNTA(C785:F785)&gt;COUNT(C785:F785)+COUNTIFS(C785:F785,"Reviewed N/A"),AND(COUNT(C785:F785)&gt;0,OR(MIN(C785:F785)&lt;36526,MAX(C785:F785)&gt;109574))),"Check date format",IF(AND(COUNTIFS(C785:F785,"Reviewed N/A")&gt;0,I785=""),"Add N/A reason; ","")&amp;IF(COUNT(C785:F785)=0,IF(COUNTIFS(C785:F785,"Reviewed N/A")=4,"No applicable dates recorded","Add dates"),IF(COUNT(C785:F785)+COUNTIFS(C785:F785,"Reviewed N/A")&lt;4,"Missing dates; ","")&amp;IF(MIN(C785:F785)&lt;TODAY(),"Overdue: ",IF(MIN(C785:F785)=TODAY(),"Due today: ",IF(MIN(C785:F785)&lt;=TODAY()+30,"Due within 30 days: ","Next: ")))&amp;INDEX($C$8:$F$8,1,MATCH(MIN(C785:F785),C785:F785,0))&amp;" "&amp;TEXT(MIN(C785:F785),"dd mmm yyyy")))))</x:f>
      </x:c>
      <x:c r="I785" s="52"/>
      <x:c r="J785" t="str">
        <x:f>IF(AND(A785&lt;&gt;"",COUNTIFS(C785,"&gt;=36526",C785,"&lt;"&amp;TODAY())+COUNTIFS(D785,"&gt;=36526",D785,"&lt;"&amp;TODAY())+COUNTIFS(E785,"&gt;=36526",E785,"&lt;"&amp;TODAY())+COUNTIFS(F785,"&gt;=36526",F785,"&lt;"&amp;TODAY())&gt;0),O785,"")</x:f>
      </x:c>
      <x:c r="K785" t="str">
        <x:f>IF(AND(A785&lt;&gt;"",COUNTIFS(C785,"&gt;=36526",C785,TODAY())+COUNTIFS(D785,"&gt;=36526",D785,TODAY())+COUNTIFS(E785,"&gt;=36526",E785,TODAY())+COUNTIFS(F785,"&gt;=36526",F785,TODAY())&gt;0),P785,"")</x:f>
      </x:c>
      <x:c r="L785" t="str">
        <x:f>IF(AND(A785&lt;&gt;"",COUNTIFS(C785,"&gt;"&amp;TODAY(),C785,"&lt;="&amp;TODAY()+30)+COUNTIFS(D785,"&gt;"&amp;TODAY(),D785,"&lt;="&amp;TODAY()+30)+COUNTIFS(E785,"&gt;"&amp;TODAY(),E785,"&lt;="&amp;TODAY()+30)+COUNTIFS(F785,"&gt;"&amp;TODAY(),F785,"&lt;="&amp;TODAY()+30)&gt;0),Q785,"")</x:f>
      </x:c>
      <x:c r="M785" t="str">
        <x:f>IF(OR(LEFT(H785,15)="Missing dates; ",LEFT(H785,16)="Add N/A reason; ",H785="Add dates",H785="Add registration",H785="Check date format"),R785,"")</x:f>
      </x:c>
      <x:c r="N785" t="str">
        <x:f>IF(COUNTIFS(C785:F785,"Reviewed N/A")&gt;0,S785,"")</x:f>
      </x:c>
      <x:c r="O785" t="n">
        <x:f>O784+IF(AND(A785&lt;&gt;"",COUNTIFS(C785,"&gt;=36526",C785,"&lt;"&amp;TODAY())+COUNTIFS(D785,"&gt;=36526",D785,"&lt;"&amp;TODAY())+COUNTIFS(E785,"&gt;=36526",E785,"&lt;"&amp;TODAY())+COUNTIFS(F785,"&gt;=36526",F785,"&lt;"&amp;TODAY())&gt;0),1,0)</x:f>
        <x:v>0</x:v>
      </x:c>
      <x:c r="P785" t="n">
        <x:f>P784+IF(AND(A785&lt;&gt;"",COUNTIFS(C785,"&gt;=36526",C785,TODAY())+COUNTIFS(D785,"&gt;=36526",D785,TODAY())+COUNTIFS(E785,"&gt;=36526",E785,TODAY())+COUNTIFS(F785,"&gt;=36526",F785,TODAY())&gt;0),1,0)</x:f>
        <x:v>0</x:v>
      </x:c>
      <x:c r="Q785" t="n">
        <x:f>Q784+IF(AND(A785&lt;&gt;"",COUNTIFS(C785,"&gt;"&amp;TODAY(),C785,"&lt;="&amp;TODAY()+30)+COUNTIFS(D785,"&gt;"&amp;TODAY(),D785,"&lt;="&amp;TODAY()+30)+COUNTIFS(E785,"&gt;"&amp;TODAY(),E785,"&lt;="&amp;TODAY()+30)+COUNTIFS(F785,"&gt;"&amp;TODAY(),F785,"&lt;="&amp;TODAY()+30)&gt;0),1,0)</x:f>
        <x:v>0</x:v>
      </x:c>
      <x:c r="R785" t="n">
        <x:f>R784+IF(OR(LEFT(H785,15)="Missing dates; ",LEFT(H785,16)="Add N/A reason; ",H785="Add dates",H785="Add registration",H785="Check date format"),1,0)</x:f>
        <x:v>0</x:v>
      </x:c>
      <x:c r="S785" t="n">
        <x:f>S784+IF(COUNTIFS(C785:F785,"Reviewed N/A")&gt;0,1,0)</x:f>
        <x:v>0</x:v>
      </x:c>
    </x:row>
    <x:row r="786" ht="48" customHeight="1">
      <x:c r="A786" s="52"/>
      <x:c r="B786" s="52"/>
      <x:c r="C786" s="53"/>
      <x:c r="D786" s="53"/>
      <x:c r="E786" s="53"/>
      <x:c r="F786" s="53"/>
      <x:c r="G786" s="52"/>
      <x:c r="H786" s="21" t="str">
        <x:f>IF(COUNTA(A786:G786,I786)=0,"",IF(A786="","Add registration",IF(OR(COUNTA(C786:F786)&gt;COUNT(C786:F786)+COUNTIFS(C786:F786,"Reviewed N/A"),AND(COUNT(C786:F786)&gt;0,OR(MIN(C786:F786)&lt;36526,MAX(C786:F786)&gt;109574))),"Check date format",IF(AND(COUNTIFS(C786:F786,"Reviewed N/A")&gt;0,I786=""),"Add N/A reason; ","")&amp;IF(COUNT(C786:F786)=0,IF(COUNTIFS(C786:F786,"Reviewed N/A")=4,"No applicable dates recorded","Add dates"),IF(COUNT(C786:F786)+COUNTIFS(C786:F786,"Reviewed N/A")&lt;4,"Missing dates; ","")&amp;IF(MIN(C786:F786)&lt;TODAY(),"Overdue: ",IF(MIN(C786:F786)=TODAY(),"Due today: ",IF(MIN(C786:F786)&lt;=TODAY()+30,"Due within 30 days: ","Next: ")))&amp;INDEX($C$8:$F$8,1,MATCH(MIN(C786:F786),C786:F786,0))&amp;" "&amp;TEXT(MIN(C786:F786),"dd mmm yyyy")))))</x:f>
      </x:c>
      <x:c r="I786" s="52"/>
      <x:c r="J786" t="str">
        <x:f>IF(AND(A786&lt;&gt;"",COUNTIFS(C786,"&gt;=36526",C786,"&lt;"&amp;TODAY())+COUNTIFS(D786,"&gt;=36526",D786,"&lt;"&amp;TODAY())+COUNTIFS(E786,"&gt;=36526",E786,"&lt;"&amp;TODAY())+COUNTIFS(F786,"&gt;=36526",F786,"&lt;"&amp;TODAY())&gt;0),O786,"")</x:f>
      </x:c>
      <x:c r="K786" t="str">
        <x:f>IF(AND(A786&lt;&gt;"",COUNTIFS(C786,"&gt;=36526",C786,TODAY())+COUNTIFS(D786,"&gt;=36526",D786,TODAY())+COUNTIFS(E786,"&gt;=36526",E786,TODAY())+COUNTIFS(F786,"&gt;=36526",F786,TODAY())&gt;0),P786,"")</x:f>
      </x:c>
      <x:c r="L786" t="str">
        <x:f>IF(AND(A786&lt;&gt;"",COUNTIFS(C786,"&gt;"&amp;TODAY(),C786,"&lt;="&amp;TODAY()+30)+COUNTIFS(D786,"&gt;"&amp;TODAY(),D786,"&lt;="&amp;TODAY()+30)+COUNTIFS(E786,"&gt;"&amp;TODAY(),E786,"&lt;="&amp;TODAY()+30)+COUNTIFS(F786,"&gt;"&amp;TODAY(),F786,"&lt;="&amp;TODAY()+30)&gt;0),Q786,"")</x:f>
      </x:c>
      <x:c r="M786" t="str">
        <x:f>IF(OR(LEFT(H786,15)="Missing dates; ",LEFT(H786,16)="Add N/A reason; ",H786="Add dates",H786="Add registration",H786="Check date format"),R786,"")</x:f>
      </x:c>
      <x:c r="N786" t="str">
        <x:f>IF(COUNTIFS(C786:F786,"Reviewed N/A")&gt;0,S786,"")</x:f>
      </x:c>
      <x:c r="O786" t="n">
        <x:f>O785+IF(AND(A786&lt;&gt;"",COUNTIFS(C786,"&gt;=36526",C786,"&lt;"&amp;TODAY())+COUNTIFS(D786,"&gt;=36526",D786,"&lt;"&amp;TODAY())+COUNTIFS(E786,"&gt;=36526",E786,"&lt;"&amp;TODAY())+COUNTIFS(F786,"&gt;=36526",F786,"&lt;"&amp;TODAY())&gt;0),1,0)</x:f>
        <x:v>0</x:v>
      </x:c>
      <x:c r="P786" t="n">
        <x:f>P785+IF(AND(A786&lt;&gt;"",COUNTIFS(C786,"&gt;=36526",C786,TODAY())+COUNTIFS(D786,"&gt;=36526",D786,TODAY())+COUNTIFS(E786,"&gt;=36526",E786,TODAY())+COUNTIFS(F786,"&gt;=36526",F786,TODAY())&gt;0),1,0)</x:f>
        <x:v>0</x:v>
      </x:c>
      <x:c r="Q786" t="n">
        <x:f>Q785+IF(AND(A786&lt;&gt;"",COUNTIFS(C786,"&gt;"&amp;TODAY(),C786,"&lt;="&amp;TODAY()+30)+COUNTIFS(D786,"&gt;"&amp;TODAY(),D786,"&lt;="&amp;TODAY()+30)+COUNTIFS(E786,"&gt;"&amp;TODAY(),E786,"&lt;="&amp;TODAY()+30)+COUNTIFS(F786,"&gt;"&amp;TODAY(),F786,"&lt;="&amp;TODAY()+30)&gt;0),1,0)</x:f>
        <x:v>0</x:v>
      </x:c>
      <x:c r="R786" t="n">
        <x:f>R785+IF(OR(LEFT(H786,15)="Missing dates; ",LEFT(H786,16)="Add N/A reason; ",H786="Add dates",H786="Add registration",H786="Check date format"),1,0)</x:f>
        <x:v>0</x:v>
      </x:c>
      <x:c r="S786" t="n">
        <x:f>S785+IF(COUNTIFS(C786:F786,"Reviewed N/A")&gt;0,1,0)</x:f>
        <x:v>0</x:v>
      </x:c>
    </x:row>
    <x:row r="787" ht="48" customHeight="1">
      <x:c r="A787" s="52"/>
      <x:c r="B787" s="52"/>
      <x:c r="C787" s="53"/>
      <x:c r="D787" s="53"/>
      <x:c r="E787" s="53"/>
      <x:c r="F787" s="53"/>
      <x:c r="G787" s="52"/>
      <x:c r="H787" s="21" t="str">
        <x:f>IF(COUNTA(A787:G787,I787)=0,"",IF(A787="","Add registration",IF(OR(COUNTA(C787:F787)&gt;COUNT(C787:F787)+COUNTIFS(C787:F787,"Reviewed N/A"),AND(COUNT(C787:F787)&gt;0,OR(MIN(C787:F787)&lt;36526,MAX(C787:F787)&gt;109574))),"Check date format",IF(AND(COUNTIFS(C787:F787,"Reviewed N/A")&gt;0,I787=""),"Add N/A reason; ","")&amp;IF(COUNT(C787:F787)=0,IF(COUNTIFS(C787:F787,"Reviewed N/A")=4,"No applicable dates recorded","Add dates"),IF(COUNT(C787:F787)+COUNTIFS(C787:F787,"Reviewed N/A")&lt;4,"Missing dates; ","")&amp;IF(MIN(C787:F787)&lt;TODAY(),"Overdue: ",IF(MIN(C787:F787)=TODAY(),"Due today: ",IF(MIN(C787:F787)&lt;=TODAY()+30,"Due within 30 days: ","Next: ")))&amp;INDEX($C$8:$F$8,1,MATCH(MIN(C787:F787),C787:F787,0))&amp;" "&amp;TEXT(MIN(C787:F787),"dd mmm yyyy")))))</x:f>
      </x:c>
      <x:c r="I787" s="52"/>
      <x:c r="J787" t="str">
        <x:f>IF(AND(A787&lt;&gt;"",COUNTIFS(C787,"&gt;=36526",C787,"&lt;"&amp;TODAY())+COUNTIFS(D787,"&gt;=36526",D787,"&lt;"&amp;TODAY())+COUNTIFS(E787,"&gt;=36526",E787,"&lt;"&amp;TODAY())+COUNTIFS(F787,"&gt;=36526",F787,"&lt;"&amp;TODAY())&gt;0),O787,"")</x:f>
      </x:c>
      <x:c r="K787" t="str">
        <x:f>IF(AND(A787&lt;&gt;"",COUNTIFS(C787,"&gt;=36526",C787,TODAY())+COUNTIFS(D787,"&gt;=36526",D787,TODAY())+COUNTIFS(E787,"&gt;=36526",E787,TODAY())+COUNTIFS(F787,"&gt;=36526",F787,TODAY())&gt;0),P787,"")</x:f>
      </x:c>
      <x:c r="L787" t="str">
        <x:f>IF(AND(A787&lt;&gt;"",COUNTIFS(C787,"&gt;"&amp;TODAY(),C787,"&lt;="&amp;TODAY()+30)+COUNTIFS(D787,"&gt;"&amp;TODAY(),D787,"&lt;="&amp;TODAY()+30)+COUNTIFS(E787,"&gt;"&amp;TODAY(),E787,"&lt;="&amp;TODAY()+30)+COUNTIFS(F787,"&gt;"&amp;TODAY(),F787,"&lt;="&amp;TODAY()+30)&gt;0),Q787,"")</x:f>
      </x:c>
      <x:c r="M787" t="str">
        <x:f>IF(OR(LEFT(H787,15)="Missing dates; ",LEFT(H787,16)="Add N/A reason; ",H787="Add dates",H787="Add registration",H787="Check date format"),R787,"")</x:f>
      </x:c>
      <x:c r="N787" t="str">
        <x:f>IF(COUNTIFS(C787:F787,"Reviewed N/A")&gt;0,S787,"")</x:f>
      </x:c>
      <x:c r="O787" t="n">
        <x:f>O786+IF(AND(A787&lt;&gt;"",COUNTIFS(C787,"&gt;=36526",C787,"&lt;"&amp;TODAY())+COUNTIFS(D787,"&gt;=36526",D787,"&lt;"&amp;TODAY())+COUNTIFS(E787,"&gt;=36526",E787,"&lt;"&amp;TODAY())+COUNTIFS(F787,"&gt;=36526",F787,"&lt;"&amp;TODAY())&gt;0),1,0)</x:f>
        <x:v>0</x:v>
      </x:c>
      <x:c r="P787" t="n">
        <x:f>P786+IF(AND(A787&lt;&gt;"",COUNTIFS(C787,"&gt;=36526",C787,TODAY())+COUNTIFS(D787,"&gt;=36526",D787,TODAY())+COUNTIFS(E787,"&gt;=36526",E787,TODAY())+COUNTIFS(F787,"&gt;=36526",F787,TODAY())&gt;0),1,0)</x:f>
        <x:v>0</x:v>
      </x:c>
      <x:c r="Q787" t="n">
        <x:f>Q786+IF(AND(A787&lt;&gt;"",COUNTIFS(C787,"&gt;"&amp;TODAY(),C787,"&lt;="&amp;TODAY()+30)+COUNTIFS(D787,"&gt;"&amp;TODAY(),D787,"&lt;="&amp;TODAY()+30)+COUNTIFS(E787,"&gt;"&amp;TODAY(),E787,"&lt;="&amp;TODAY()+30)+COUNTIFS(F787,"&gt;"&amp;TODAY(),F787,"&lt;="&amp;TODAY()+30)&gt;0),1,0)</x:f>
        <x:v>0</x:v>
      </x:c>
      <x:c r="R787" t="n">
        <x:f>R786+IF(OR(LEFT(H787,15)="Missing dates; ",LEFT(H787,16)="Add N/A reason; ",H787="Add dates",H787="Add registration",H787="Check date format"),1,0)</x:f>
        <x:v>0</x:v>
      </x:c>
      <x:c r="S787" t="n">
        <x:f>S786+IF(COUNTIFS(C787:F787,"Reviewed N/A")&gt;0,1,0)</x:f>
        <x:v>0</x:v>
      </x:c>
    </x:row>
    <x:row r="788" ht="48" customHeight="1">
      <x:c r="A788" s="52"/>
      <x:c r="B788" s="52"/>
      <x:c r="C788" s="53"/>
      <x:c r="D788" s="53"/>
      <x:c r="E788" s="53"/>
      <x:c r="F788" s="53"/>
      <x:c r="G788" s="52"/>
      <x:c r="H788" s="21" t="str">
        <x:f>IF(COUNTA(A788:G788,I788)=0,"",IF(A788="","Add registration",IF(OR(COUNTA(C788:F788)&gt;COUNT(C788:F788)+COUNTIFS(C788:F788,"Reviewed N/A"),AND(COUNT(C788:F788)&gt;0,OR(MIN(C788:F788)&lt;36526,MAX(C788:F788)&gt;109574))),"Check date format",IF(AND(COUNTIFS(C788:F788,"Reviewed N/A")&gt;0,I788=""),"Add N/A reason; ","")&amp;IF(COUNT(C788:F788)=0,IF(COUNTIFS(C788:F788,"Reviewed N/A")=4,"No applicable dates recorded","Add dates"),IF(COUNT(C788:F788)+COUNTIFS(C788:F788,"Reviewed N/A")&lt;4,"Missing dates; ","")&amp;IF(MIN(C788:F788)&lt;TODAY(),"Overdue: ",IF(MIN(C788:F788)=TODAY(),"Due today: ",IF(MIN(C788:F788)&lt;=TODAY()+30,"Due within 30 days: ","Next: ")))&amp;INDEX($C$8:$F$8,1,MATCH(MIN(C788:F788),C788:F788,0))&amp;" "&amp;TEXT(MIN(C788:F788),"dd mmm yyyy")))))</x:f>
      </x:c>
      <x:c r="I788" s="52"/>
      <x:c r="J788" t="str">
        <x:f>IF(AND(A788&lt;&gt;"",COUNTIFS(C788,"&gt;=36526",C788,"&lt;"&amp;TODAY())+COUNTIFS(D788,"&gt;=36526",D788,"&lt;"&amp;TODAY())+COUNTIFS(E788,"&gt;=36526",E788,"&lt;"&amp;TODAY())+COUNTIFS(F788,"&gt;=36526",F788,"&lt;"&amp;TODAY())&gt;0),O788,"")</x:f>
      </x:c>
      <x:c r="K788" t="str">
        <x:f>IF(AND(A788&lt;&gt;"",COUNTIFS(C788,"&gt;=36526",C788,TODAY())+COUNTIFS(D788,"&gt;=36526",D788,TODAY())+COUNTIFS(E788,"&gt;=36526",E788,TODAY())+COUNTIFS(F788,"&gt;=36526",F788,TODAY())&gt;0),P788,"")</x:f>
      </x:c>
      <x:c r="L788" t="str">
        <x:f>IF(AND(A788&lt;&gt;"",COUNTIFS(C788,"&gt;"&amp;TODAY(),C788,"&lt;="&amp;TODAY()+30)+COUNTIFS(D788,"&gt;"&amp;TODAY(),D788,"&lt;="&amp;TODAY()+30)+COUNTIFS(E788,"&gt;"&amp;TODAY(),E788,"&lt;="&amp;TODAY()+30)+COUNTIFS(F788,"&gt;"&amp;TODAY(),F788,"&lt;="&amp;TODAY()+30)&gt;0),Q788,"")</x:f>
      </x:c>
      <x:c r="M788" t="str">
        <x:f>IF(OR(LEFT(H788,15)="Missing dates; ",LEFT(H788,16)="Add N/A reason; ",H788="Add dates",H788="Add registration",H788="Check date format"),R788,"")</x:f>
      </x:c>
      <x:c r="N788" t="str">
        <x:f>IF(COUNTIFS(C788:F788,"Reviewed N/A")&gt;0,S788,"")</x:f>
      </x:c>
      <x:c r="O788" t="n">
        <x:f>O787+IF(AND(A788&lt;&gt;"",COUNTIFS(C788,"&gt;=36526",C788,"&lt;"&amp;TODAY())+COUNTIFS(D788,"&gt;=36526",D788,"&lt;"&amp;TODAY())+COUNTIFS(E788,"&gt;=36526",E788,"&lt;"&amp;TODAY())+COUNTIFS(F788,"&gt;=36526",F788,"&lt;"&amp;TODAY())&gt;0),1,0)</x:f>
        <x:v>0</x:v>
      </x:c>
      <x:c r="P788" t="n">
        <x:f>P787+IF(AND(A788&lt;&gt;"",COUNTIFS(C788,"&gt;=36526",C788,TODAY())+COUNTIFS(D788,"&gt;=36526",D788,TODAY())+COUNTIFS(E788,"&gt;=36526",E788,TODAY())+COUNTIFS(F788,"&gt;=36526",F788,TODAY())&gt;0),1,0)</x:f>
        <x:v>0</x:v>
      </x:c>
      <x:c r="Q788" t="n">
        <x:f>Q787+IF(AND(A788&lt;&gt;"",COUNTIFS(C788,"&gt;"&amp;TODAY(),C788,"&lt;="&amp;TODAY()+30)+COUNTIFS(D788,"&gt;"&amp;TODAY(),D788,"&lt;="&amp;TODAY()+30)+COUNTIFS(E788,"&gt;"&amp;TODAY(),E788,"&lt;="&amp;TODAY()+30)+COUNTIFS(F788,"&gt;"&amp;TODAY(),F788,"&lt;="&amp;TODAY()+30)&gt;0),1,0)</x:f>
        <x:v>0</x:v>
      </x:c>
      <x:c r="R788" t="n">
        <x:f>R787+IF(OR(LEFT(H788,15)="Missing dates; ",LEFT(H788,16)="Add N/A reason; ",H788="Add dates",H788="Add registration",H788="Check date format"),1,0)</x:f>
        <x:v>0</x:v>
      </x:c>
      <x:c r="S788" t="n">
        <x:f>S787+IF(COUNTIFS(C788:F788,"Reviewed N/A")&gt;0,1,0)</x:f>
        <x:v>0</x:v>
      </x:c>
    </x:row>
    <x:row r="789" ht="48" customHeight="1">
      <x:c r="A789" s="52"/>
      <x:c r="B789" s="52"/>
      <x:c r="C789" s="53"/>
      <x:c r="D789" s="53"/>
      <x:c r="E789" s="53"/>
      <x:c r="F789" s="53"/>
      <x:c r="G789" s="52"/>
      <x:c r="H789" s="21" t="str">
        <x:f>IF(COUNTA(A789:G789,I789)=0,"",IF(A789="","Add registration",IF(OR(COUNTA(C789:F789)&gt;COUNT(C789:F789)+COUNTIFS(C789:F789,"Reviewed N/A"),AND(COUNT(C789:F789)&gt;0,OR(MIN(C789:F789)&lt;36526,MAX(C789:F789)&gt;109574))),"Check date format",IF(AND(COUNTIFS(C789:F789,"Reviewed N/A")&gt;0,I789=""),"Add N/A reason; ","")&amp;IF(COUNT(C789:F789)=0,IF(COUNTIFS(C789:F789,"Reviewed N/A")=4,"No applicable dates recorded","Add dates"),IF(COUNT(C789:F789)+COUNTIFS(C789:F789,"Reviewed N/A")&lt;4,"Missing dates; ","")&amp;IF(MIN(C789:F789)&lt;TODAY(),"Overdue: ",IF(MIN(C789:F789)=TODAY(),"Due today: ",IF(MIN(C789:F789)&lt;=TODAY()+30,"Due within 30 days: ","Next: ")))&amp;INDEX($C$8:$F$8,1,MATCH(MIN(C789:F789),C789:F789,0))&amp;" "&amp;TEXT(MIN(C789:F789),"dd mmm yyyy")))))</x:f>
      </x:c>
      <x:c r="I789" s="52"/>
      <x:c r="J789" t="str">
        <x:f>IF(AND(A789&lt;&gt;"",COUNTIFS(C789,"&gt;=36526",C789,"&lt;"&amp;TODAY())+COUNTIFS(D789,"&gt;=36526",D789,"&lt;"&amp;TODAY())+COUNTIFS(E789,"&gt;=36526",E789,"&lt;"&amp;TODAY())+COUNTIFS(F789,"&gt;=36526",F789,"&lt;"&amp;TODAY())&gt;0),O789,"")</x:f>
      </x:c>
      <x:c r="K789" t="str">
        <x:f>IF(AND(A789&lt;&gt;"",COUNTIFS(C789,"&gt;=36526",C789,TODAY())+COUNTIFS(D789,"&gt;=36526",D789,TODAY())+COUNTIFS(E789,"&gt;=36526",E789,TODAY())+COUNTIFS(F789,"&gt;=36526",F789,TODAY())&gt;0),P789,"")</x:f>
      </x:c>
      <x:c r="L789" t="str">
        <x:f>IF(AND(A789&lt;&gt;"",COUNTIFS(C789,"&gt;"&amp;TODAY(),C789,"&lt;="&amp;TODAY()+30)+COUNTIFS(D789,"&gt;"&amp;TODAY(),D789,"&lt;="&amp;TODAY()+30)+COUNTIFS(E789,"&gt;"&amp;TODAY(),E789,"&lt;="&amp;TODAY()+30)+COUNTIFS(F789,"&gt;"&amp;TODAY(),F789,"&lt;="&amp;TODAY()+30)&gt;0),Q789,"")</x:f>
      </x:c>
      <x:c r="M789" t="str">
        <x:f>IF(OR(LEFT(H789,15)="Missing dates; ",LEFT(H789,16)="Add N/A reason; ",H789="Add dates",H789="Add registration",H789="Check date format"),R789,"")</x:f>
      </x:c>
      <x:c r="N789" t="str">
        <x:f>IF(COUNTIFS(C789:F789,"Reviewed N/A")&gt;0,S789,"")</x:f>
      </x:c>
      <x:c r="O789" t="n">
        <x:f>O788+IF(AND(A789&lt;&gt;"",COUNTIFS(C789,"&gt;=36526",C789,"&lt;"&amp;TODAY())+COUNTIFS(D789,"&gt;=36526",D789,"&lt;"&amp;TODAY())+COUNTIFS(E789,"&gt;=36526",E789,"&lt;"&amp;TODAY())+COUNTIFS(F789,"&gt;=36526",F789,"&lt;"&amp;TODAY())&gt;0),1,0)</x:f>
        <x:v>0</x:v>
      </x:c>
      <x:c r="P789" t="n">
        <x:f>P788+IF(AND(A789&lt;&gt;"",COUNTIFS(C789,"&gt;=36526",C789,TODAY())+COUNTIFS(D789,"&gt;=36526",D789,TODAY())+COUNTIFS(E789,"&gt;=36526",E789,TODAY())+COUNTIFS(F789,"&gt;=36526",F789,TODAY())&gt;0),1,0)</x:f>
        <x:v>0</x:v>
      </x:c>
      <x:c r="Q789" t="n">
        <x:f>Q788+IF(AND(A789&lt;&gt;"",COUNTIFS(C789,"&gt;"&amp;TODAY(),C789,"&lt;="&amp;TODAY()+30)+COUNTIFS(D789,"&gt;"&amp;TODAY(),D789,"&lt;="&amp;TODAY()+30)+COUNTIFS(E789,"&gt;"&amp;TODAY(),E789,"&lt;="&amp;TODAY()+30)+COUNTIFS(F789,"&gt;"&amp;TODAY(),F789,"&lt;="&amp;TODAY()+30)&gt;0),1,0)</x:f>
        <x:v>0</x:v>
      </x:c>
      <x:c r="R789" t="n">
        <x:f>R788+IF(OR(LEFT(H789,15)="Missing dates; ",LEFT(H789,16)="Add N/A reason; ",H789="Add dates",H789="Add registration",H789="Check date format"),1,0)</x:f>
        <x:v>0</x:v>
      </x:c>
      <x:c r="S789" t="n">
        <x:f>S788+IF(COUNTIFS(C789:F789,"Reviewed N/A")&gt;0,1,0)</x:f>
        <x:v>0</x:v>
      </x:c>
    </x:row>
    <x:row r="790" ht="48" customHeight="1">
      <x:c r="A790" s="52"/>
      <x:c r="B790" s="52"/>
      <x:c r="C790" s="53"/>
      <x:c r="D790" s="53"/>
      <x:c r="E790" s="53"/>
      <x:c r="F790" s="53"/>
      <x:c r="G790" s="52"/>
      <x:c r="H790" s="21" t="str">
        <x:f>IF(COUNTA(A790:G790,I790)=0,"",IF(A790="","Add registration",IF(OR(COUNTA(C790:F790)&gt;COUNT(C790:F790)+COUNTIFS(C790:F790,"Reviewed N/A"),AND(COUNT(C790:F790)&gt;0,OR(MIN(C790:F790)&lt;36526,MAX(C790:F790)&gt;109574))),"Check date format",IF(AND(COUNTIFS(C790:F790,"Reviewed N/A")&gt;0,I790=""),"Add N/A reason; ","")&amp;IF(COUNT(C790:F790)=0,IF(COUNTIFS(C790:F790,"Reviewed N/A")=4,"No applicable dates recorded","Add dates"),IF(COUNT(C790:F790)+COUNTIFS(C790:F790,"Reviewed N/A")&lt;4,"Missing dates; ","")&amp;IF(MIN(C790:F790)&lt;TODAY(),"Overdue: ",IF(MIN(C790:F790)=TODAY(),"Due today: ",IF(MIN(C790:F790)&lt;=TODAY()+30,"Due within 30 days: ","Next: ")))&amp;INDEX($C$8:$F$8,1,MATCH(MIN(C790:F790),C790:F790,0))&amp;" "&amp;TEXT(MIN(C790:F790),"dd mmm yyyy")))))</x:f>
      </x:c>
      <x:c r="I790" s="52"/>
      <x:c r="J790" t="str">
        <x:f>IF(AND(A790&lt;&gt;"",COUNTIFS(C790,"&gt;=36526",C790,"&lt;"&amp;TODAY())+COUNTIFS(D790,"&gt;=36526",D790,"&lt;"&amp;TODAY())+COUNTIFS(E790,"&gt;=36526",E790,"&lt;"&amp;TODAY())+COUNTIFS(F790,"&gt;=36526",F790,"&lt;"&amp;TODAY())&gt;0),O790,"")</x:f>
      </x:c>
      <x:c r="K790" t="str">
        <x:f>IF(AND(A790&lt;&gt;"",COUNTIFS(C790,"&gt;=36526",C790,TODAY())+COUNTIFS(D790,"&gt;=36526",D790,TODAY())+COUNTIFS(E790,"&gt;=36526",E790,TODAY())+COUNTIFS(F790,"&gt;=36526",F790,TODAY())&gt;0),P790,"")</x:f>
      </x:c>
      <x:c r="L790" t="str">
        <x:f>IF(AND(A790&lt;&gt;"",COUNTIFS(C790,"&gt;"&amp;TODAY(),C790,"&lt;="&amp;TODAY()+30)+COUNTIFS(D790,"&gt;"&amp;TODAY(),D790,"&lt;="&amp;TODAY()+30)+COUNTIFS(E790,"&gt;"&amp;TODAY(),E790,"&lt;="&amp;TODAY()+30)+COUNTIFS(F790,"&gt;"&amp;TODAY(),F790,"&lt;="&amp;TODAY()+30)&gt;0),Q790,"")</x:f>
      </x:c>
      <x:c r="M790" t="str">
        <x:f>IF(OR(LEFT(H790,15)="Missing dates; ",LEFT(H790,16)="Add N/A reason; ",H790="Add dates",H790="Add registration",H790="Check date format"),R790,"")</x:f>
      </x:c>
      <x:c r="N790" t="str">
        <x:f>IF(COUNTIFS(C790:F790,"Reviewed N/A")&gt;0,S790,"")</x:f>
      </x:c>
      <x:c r="O790" t="n">
        <x:f>O789+IF(AND(A790&lt;&gt;"",COUNTIFS(C790,"&gt;=36526",C790,"&lt;"&amp;TODAY())+COUNTIFS(D790,"&gt;=36526",D790,"&lt;"&amp;TODAY())+COUNTIFS(E790,"&gt;=36526",E790,"&lt;"&amp;TODAY())+COUNTIFS(F790,"&gt;=36526",F790,"&lt;"&amp;TODAY())&gt;0),1,0)</x:f>
        <x:v>0</x:v>
      </x:c>
      <x:c r="P790" t="n">
        <x:f>P789+IF(AND(A790&lt;&gt;"",COUNTIFS(C790,"&gt;=36526",C790,TODAY())+COUNTIFS(D790,"&gt;=36526",D790,TODAY())+COUNTIFS(E790,"&gt;=36526",E790,TODAY())+COUNTIFS(F790,"&gt;=36526",F790,TODAY())&gt;0),1,0)</x:f>
        <x:v>0</x:v>
      </x:c>
      <x:c r="Q790" t="n">
        <x:f>Q789+IF(AND(A790&lt;&gt;"",COUNTIFS(C790,"&gt;"&amp;TODAY(),C790,"&lt;="&amp;TODAY()+30)+COUNTIFS(D790,"&gt;"&amp;TODAY(),D790,"&lt;="&amp;TODAY()+30)+COUNTIFS(E790,"&gt;"&amp;TODAY(),E790,"&lt;="&amp;TODAY()+30)+COUNTIFS(F790,"&gt;"&amp;TODAY(),F790,"&lt;="&amp;TODAY()+30)&gt;0),1,0)</x:f>
        <x:v>0</x:v>
      </x:c>
      <x:c r="R790" t="n">
        <x:f>R789+IF(OR(LEFT(H790,15)="Missing dates; ",LEFT(H790,16)="Add N/A reason; ",H790="Add dates",H790="Add registration",H790="Check date format"),1,0)</x:f>
        <x:v>0</x:v>
      </x:c>
      <x:c r="S790" t="n">
        <x:f>S789+IF(COUNTIFS(C790:F790,"Reviewed N/A")&gt;0,1,0)</x:f>
        <x:v>0</x:v>
      </x:c>
    </x:row>
    <x:row r="791" ht="48" customHeight="1">
      <x:c r="A791" s="52"/>
      <x:c r="B791" s="52"/>
      <x:c r="C791" s="53"/>
      <x:c r="D791" s="53"/>
      <x:c r="E791" s="53"/>
      <x:c r="F791" s="53"/>
      <x:c r="G791" s="52"/>
      <x:c r="H791" s="21" t="str">
        <x:f>IF(COUNTA(A791:G791,I791)=0,"",IF(A791="","Add registration",IF(OR(COUNTA(C791:F791)&gt;COUNT(C791:F791)+COUNTIFS(C791:F791,"Reviewed N/A"),AND(COUNT(C791:F791)&gt;0,OR(MIN(C791:F791)&lt;36526,MAX(C791:F791)&gt;109574))),"Check date format",IF(AND(COUNTIFS(C791:F791,"Reviewed N/A")&gt;0,I791=""),"Add N/A reason; ","")&amp;IF(COUNT(C791:F791)=0,IF(COUNTIFS(C791:F791,"Reviewed N/A")=4,"No applicable dates recorded","Add dates"),IF(COUNT(C791:F791)+COUNTIFS(C791:F791,"Reviewed N/A")&lt;4,"Missing dates; ","")&amp;IF(MIN(C791:F791)&lt;TODAY(),"Overdue: ",IF(MIN(C791:F791)=TODAY(),"Due today: ",IF(MIN(C791:F791)&lt;=TODAY()+30,"Due within 30 days: ","Next: ")))&amp;INDEX($C$8:$F$8,1,MATCH(MIN(C791:F791),C791:F791,0))&amp;" "&amp;TEXT(MIN(C791:F791),"dd mmm yyyy")))))</x:f>
      </x:c>
      <x:c r="I791" s="52"/>
      <x:c r="J791" t="str">
        <x:f>IF(AND(A791&lt;&gt;"",COUNTIFS(C791,"&gt;=36526",C791,"&lt;"&amp;TODAY())+COUNTIFS(D791,"&gt;=36526",D791,"&lt;"&amp;TODAY())+COUNTIFS(E791,"&gt;=36526",E791,"&lt;"&amp;TODAY())+COUNTIFS(F791,"&gt;=36526",F791,"&lt;"&amp;TODAY())&gt;0),O791,"")</x:f>
      </x:c>
      <x:c r="K791" t="str">
        <x:f>IF(AND(A791&lt;&gt;"",COUNTIFS(C791,"&gt;=36526",C791,TODAY())+COUNTIFS(D791,"&gt;=36526",D791,TODAY())+COUNTIFS(E791,"&gt;=36526",E791,TODAY())+COUNTIFS(F791,"&gt;=36526",F791,TODAY())&gt;0),P791,"")</x:f>
      </x:c>
      <x:c r="L791" t="str">
        <x:f>IF(AND(A791&lt;&gt;"",COUNTIFS(C791,"&gt;"&amp;TODAY(),C791,"&lt;="&amp;TODAY()+30)+COUNTIFS(D791,"&gt;"&amp;TODAY(),D791,"&lt;="&amp;TODAY()+30)+COUNTIFS(E791,"&gt;"&amp;TODAY(),E791,"&lt;="&amp;TODAY()+30)+COUNTIFS(F791,"&gt;"&amp;TODAY(),F791,"&lt;="&amp;TODAY()+30)&gt;0),Q791,"")</x:f>
      </x:c>
      <x:c r="M791" t="str">
        <x:f>IF(OR(LEFT(H791,15)="Missing dates; ",LEFT(H791,16)="Add N/A reason; ",H791="Add dates",H791="Add registration",H791="Check date format"),R791,"")</x:f>
      </x:c>
      <x:c r="N791" t="str">
        <x:f>IF(COUNTIFS(C791:F791,"Reviewed N/A")&gt;0,S791,"")</x:f>
      </x:c>
      <x:c r="O791" t="n">
        <x:f>O790+IF(AND(A791&lt;&gt;"",COUNTIFS(C791,"&gt;=36526",C791,"&lt;"&amp;TODAY())+COUNTIFS(D791,"&gt;=36526",D791,"&lt;"&amp;TODAY())+COUNTIFS(E791,"&gt;=36526",E791,"&lt;"&amp;TODAY())+COUNTIFS(F791,"&gt;=36526",F791,"&lt;"&amp;TODAY())&gt;0),1,0)</x:f>
        <x:v>0</x:v>
      </x:c>
      <x:c r="P791" t="n">
        <x:f>P790+IF(AND(A791&lt;&gt;"",COUNTIFS(C791,"&gt;=36526",C791,TODAY())+COUNTIFS(D791,"&gt;=36526",D791,TODAY())+COUNTIFS(E791,"&gt;=36526",E791,TODAY())+COUNTIFS(F791,"&gt;=36526",F791,TODAY())&gt;0),1,0)</x:f>
        <x:v>0</x:v>
      </x:c>
      <x:c r="Q791" t="n">
        <x:f>Q790+IF(AND(A791&lt;&gt;"",COUNTIFS(C791,"&gt;"&amp;TODAY(),C791,"&lt;="&amp;TODAY()+30)+COUNTIFS(D791,"&gt;"&amp;TODAY(),D791,"&lt;="&amp;TODAY()+30)+COUNTIFS(E791,"&gt;"&amp;TODAY(),E791,"&lt;="&amp;TODAY()+30)+COUNTIFS(F791,"&gt;"&amp;TODAY(),F791,"&lt;="&amp;TODAY()+30)&gt;0),1,0)</x:f>
        <x:v>0</x:v>
      </x:c>
      <x:c r="R791" t="n">
        <x:f>R790+IF(OR(LEFT(H791,15)="Missing dates; ",LEFT(H791,16)="Add N/A reason; ",H791="Add dates",H791="Add registration",H791="Check date format"),1,0)</x:f>
        <x:v>0</x:v>
      </x:c>
      <x:c r="S791" t="n">
        <x:f>S790+IF(COUNTIFS(C791:F791,"Reviewed N/A")&gt;0,1,0)</x:f>
        <x:v>0</x:v>
      </x:c>
    </x:row>
    <x:row r="792" ht="48" customHeight="1">
      <x:c r="A792" s="52"/>
      <x:c r="B792" s="52"/>
      <x:c r="C792" s="53"/>
      <x:c r="D792" s="53"/>
      <x:c r="E792" s="53"/>
      <x:c r="F792" s="53"/>
      <x:c r="G792" s="52"/>
      <x:c r="H792" s="21" t="str">
        <x:f>IF(COUNTA(A792:G792,I792)=0,"",IF(A792="","Add registration",IF(OR(COUNTA(C792:F792)&gt;COUNT(C792:F792)+COUNTIFS(C792:F792,"Reviewed N/A"),AND(COUNT(C792:F792)&gt;0,OR(MIN(C792:F792)&lt;36526,MAX(C792:F792)&gt;109574))),"Check date format",IF(AND(COUNTIFS(C792:F792,"Reviewed N/A")&gt;0,I792=""),"Add N/A reason; ","")&amp;IF(COUNT(C792:F792)=0,IF(COUNTIFS(C792:F792,"Reviewed N/A")=4,"No applicable dates recorded","Add dates"),IF(COUNT(C792:F792)+COUNTIFS(C792:F792,"Reviewed N/A")&lt;4,"Missing dates; ","")&amp;IF(MIN(C792:F792)&lt;TODAY(),"Overdue: ",IF(MIN(C792:F792)=TODAY(),"Due today: ",IF(MIN(C792:F792)&lt;=TODAY()+30,"Due within 30 days: ","Next: ")))&amp;INDEX($C$8:$F$8,1,MATCH(MIN(C792:F792),C792:F792,0))&amp;" "&amp;TEXT(MIN(C792:F792),"dd mmm yyyy")))))</x:f>
      </x:c>
      <x:c r="I792" s="52"/>
      <x:c r="J792" t="str">
        <x:f>IF(AND(A792&lt;&gt;"",COUNTIFS(C792,"&gt;=36526",C792,"&lt;"&amp;TODAY())+COUNTIFS(D792,"&gt;=36526",D792,"&lt;"&amp;TODAY())+COUNTIFS(E792,"&gt;=36526",E792,"&lt;"&amp;TODAY())+COUNTIFS(F792,"&gt;=36526",F792,"&lt;"&amp;TODAY())&gt;0),O792,"")</x:f>
      </x:c>
      <x:c r="K792" t="str">
        <x:f>IF(AND(A792&lt;&gt;"",COUNTIFS(C792,"&gt;=36526",C792,TODAY())+COUNTIFS(D792,"&gt;=36526",D792,TODAY())+COUNTIFS(E792,"&gt;=36526",E792,TODAY())+COUNTIFS(F792,"&gt;=36526",F792,TODAY())&gt;0),P792,"")</x:f>
      </x:c>
      <x:c r="L792" t="str">
        <x:f>IF(AND(A792&lt;&gt;"",COUNTIFS(C792,"&gt;"&amp;TODAY(),C792,"&lt;="&amp;TODAY()+30)+COUNTIFS(D792,"&gt;"&amp;TODAY(),D792,"&lt;="&amp;TODAY()+30)+COUNTIFS(E792,"&gt;"&amp;TODAY(),E792,"&lt;="&amp;TODAY()+30)+COUNTIFS(F792,"&gt;"&amp;TODAY(),F792,"&lt;="&amp;TODAY()+30)&gt;0),Q792,"")</x:f>
      </x:c>
      <x:c r="M792" t="str">
        <x:f>IF(OR(LEFT(H792,15)="Missing dates; ",LEFT(H792,16)="Add N/A reason; ",H792="Add dates",H792="Add registration",H792="Check date format"),R792,"")</x:f>
      </x:c>
      <x:c r="N792" t="str">
        <x:f>IF(COUNTIFS(C792:F792,"Reviewed N/A")&gt;0,S792,"")</x:f>
      </x:c>
      <x:c r="O792" t="n">
        <x:f>O791+IF(AND(A792&lt;&gt;"",COUNTIFS(C792,"&gt;=36526",C792,"&lt;"&amp;TODAY())+COUNTIFS(D792,"&gt;=36526",D792,"&lt;"&amp;TODAY())+COUNTIFS(E792,"&gt;=36526",E792,"&lt;"&amp;TODAY())+COUNTIFS(F792,"&gt;=36526",F792,"&lt;"&amp;TODAY())&gt;0),1,0)</x:f>
        <x:v>0</x:v>
      </x:c>
      <x:c r="P792" t="n">
        <x:f>P791+IF(AND(A792&lt;&gt;"",COUNTIFS(C792,"&gt;=36526",C792,TODAY())+COUNTIFS(D792,"&gt;=36526",D792,TODAY())+COUNTIFS(E792,"&gt;=36526",E792,TODAY())+COUNTIFS(F792,"&gt;=36526",F792,TODAY())&gt;0),1,0)</x:f>
        <x:v>0</x:v>
      </x:c>
      <x:c r="Q792" t="n">
        <x:f>Q791+IF(AND(A792&lt;&gt;"",COUNTIFS(C792,"&gt;"&amp;TODAY(),C792,"&lt;="&amp;TODAY()+30)+COUNTIFS(D792,"&gt;"&amp;TODAY(),D792,"&lt;="&amp;TODAY()+30)+COUNTIFS(E792,"&gt;"&amp;TODAY(),E792,"&lt;="&amp;TODAY()+30)+COUNTIFS(F792,"&gt;"&amp;TODAY(),F792,"&lt;="&amp;TODAY()+30)&gt;0),1,0)</x:f>
        <x:v>0</x:v>
      </x:c>
      <x:c r="R792" t="n">
        <x:f>R791+IF(OR(LEFT(H792,15)="Missing dates; ",LEFT(H792,16)="Add N/A reason; ",H792="Add dates",H792="Add registration",H792="Check date format"),1,0)</x:f>
        <x:v>0</x:v>
      </x:c>
      <x:c r="S792" t="n">
        <x:f>S791+IF(COUNTIFS(C792:F792,"Reviewed N/A")&gt;0,1,0)</x:f>
        <x:v>0</x:v>
      </x:c>
    </x:row>
    <x:row r="793" ht="48" customHeight="1">
      <x:c r="A793" s="52"/>
      <x:c r="B793" s="52"/>
      <x:c r="C793" s="53"/>
      <x:c r="D793" s="53"/>
      <x:c r="E793" s="53"/>
      <x:c r="F793" s="53"/>
      <x:c r="G793" s="52"/>
      <x:c r="H793" s="21" t="str">
        <x:f>IF(COUNTA(A793:G793,I793)=0,"",IF(A793="","Add registration",IF(OR(COUNTA(C793:F793)&gt;COUNT(C793:F793)+COUNTIFS(C793:F793,"Reviewed N/A"),AND(COUNT(C793:F793)&gt;0,OR(MIN(C793:F793)&lt;36526,MAX(C793:F793)&gt;109574))),"Check date format",IF(AND(COUNTIFS(C793:F793,"Reviewed N/A")&gt;0,I793=""),"Add N/A reason; ","")&amp;IF(COUNT(C793:F793)=0,IF(COUNTIFS(C793:F793,"Reviewed N/A")=4,"No applicable dates recorded","Add dates"),IF(COUNT(C793:F793)+COUNTIFS(C793:F793,"Reviewed N/A")&lt;4,"Missing dates; ","")&amp;IF(MIN(C793:F793)&lt;TODAY(),"Overdue: ",IF(MIN(C793:F793)=TODAY(),"Due today: ",IF(MIN(C793:F793)&lt;=TODAY()+30,"Due within 30 days: ","Next: ")))&amp;INDEX($C$8:$F$8,1,MATCH(MIN(C793:F793),C793:F793,0))&amp;" "&amp;TEXT(MIN(C793:F793),"dd mmm yyyy")))))</x:f>
      </x:c>
      <x:c r="I793" s="52"/>
      <x:c r="J793" t="str">
        <x:f>IF(AND(A793&lt;&gt;"",COUNTIFS(C793,"&gt;=36526",C793,"&lt;"&amp;TODAY())+COUNTIFS(D793,"&gt;=36526",D793,"&lt;"&amp;TODAY())+COUNTIFS(E793,"&gt;=36526",E793,"&lt;"&amp;TODAY())+COUNTIFS(F793,"&gt;=36526",F793,"&lt;"&amp;TODAY())&gt;0),O793,"")</x:f>
      </x:c>
      <x:c r="K793" t="str">
        <x:f>IF(AND(A793&lt;&gt;"",COUNTIFS(C793,"&gt;=36526",C793,TODAY())+COUNTIFS(D793,"&gt;=36526",D793,TODAY())+COUNTIFS(E793,"&gt;=36526",E793,TODAY())+COUNTIFS(F793,"&gt;=36526",F793,TODAY())&gt;0),P793,"")</x:f>
      </x:c>
      <x:c r="L793" t="str">
        <x:f>IF(AND(A793&lt;&gt;"",COUNTIFS(C793,"&gt;"&amp;TODAY(),C793,"&lt;="&amp;TODAY()+30)+COUNTIFS(D793,"&gt;"&amp;TODAY(),D793,"&lt;="&amp;TODAY()+30)+COUNTIFS(E793,"&gt;"&amp;TODAY(),E793,"&lt;="&amp;TODAY()+30)+COUNTIFS(F793,"&gt;"&amp;TODAY(),F793,"&lt;="&amp;TODAY()+30)&gt;0),Q793,"")</x:f>
      </x:c>
      <x:c r="M793" t="str">
        <x:f>IF(OR(LEFT(H793,15)="Missing dates; ",LEFT(H793,16)="Add N/A reason; ",H793="Add dates",H793="Add registration",H793="Check date format"),R793,"")</x:f>
      </x:c>
      <x:c r="N793" t="str">
        <x:f>IF(COUNTIFS(C793:F793,"Reviewed N/A")&gt;0,S793,"")</x:f>
      </x:c>
      <x:c r="O793" t="n">
        <x:f>O792+IF(AND(A793&lt;&gt;"",COUNTIFS(C793,"&gt;=36526",C793,"&lt;"&amp;TODAY())+COUNTIFS(D793,"&gt;=36526",D793,"&lt;"&amp;TODAY())+COUNTIFS(E793,"&gt;=36526",E793,"&lt;"&amp;TODAY())+COUNTIFS(F793,"&gt;=36526",F793,"&lt;"&amp;TODAY())&gt;0),1,0)</x:f>
        <x:v>0</x:v>
      </x:c>
      <x:c r="P793" t="n">
        <x:f>P792+IF(AND(A793&lt;&gt;"",COUNTIFS(C793,"&gt;=36526",C793,TODAY())+COUNTIFS(D793,"&gt;=36526",D793,TODAY())+COUNTIFS(E793,"&gt;=36526",E793,TODAY())+COUNTIFS(F793,"&gt;=36526",F793,TODAY())&gt;0),1,0)</x:f>
        <x:v>0</x:v>
      </x:c>
      <x:c r="Q793" t="n">
        <x:f>Q792+IF(AND(A793&lt;&gt;"",COUNTIFS(C793,"&gt;"&amp;TODAY(),C793,"&lt;="&amp;TODAY()+30)+COUNTIFS(D793,"&gt;"&amp;TODAY(),D793,"&lt;="&amp;TODAY()+30)+COUNTIFS(E793,"&gt;"&amp;TODAY(),E793,"&lt;="&amp;TODAY()+30)+COUNTIFS(F793,"&gt;"&amp;TODAY(),F793,"&lt;="&amp;TODAY()+30)&gt;0),1,0)</x:f>
        <x:v>0</x:v>
      </x:c>
      <x:c r="R793" t="n">
        <x:f>R792+IF(OR(LEFT(H793,15)="Missing dates; ",LEFT(H793,16)="Add N/A reason; ",H793="Add dates",H793="Add registration",H793="Check date format"),1,0)</x:f>
        <x:v>0</x:v>
      </x:c>
      <x:c r="S793" t="n">
        <x:f>S792+IF(COUNTIFS(C793:F793,"Reviewed N/A")&gt;0,1,0)</x:f>
        <x:v>0</x:v>
      </x:c>
    </x:row>
    <x:row r="794" ht="48" customHeight="1">
      <x:c r="A794" s="52"/>
      <x:c r="B794" s="52"/>
      <x:c r="C794" s="53"/>
      <x:c r="D794" s="53"/>
      <x:c r="E794" s="53"/>
      <x:c r="F794" s="53"/>
      <x:c r="G794" s="52"/>
      <x:c r="H794" s="21" t="str">
        <x:f>IF(COUNTA(A794:G794,I794)=0,"",IF(A794="","Add registration",IF(OR(COUNTA(C794:F794)&gt;COUNT(C794:F794)+COUNTIFS(C794:F794,"Reviewed N/A"),AND(COUNT(C794:F794)&gt;0,OR(MIN(C794:F794)&lt;36526,MAX(C794:F794)&gt;109574))),"Check date format",IF(AND(COUNTIFS(C794:F794,"Reviewed N/A")&gt;0,I794=""),"Add N/A reason; ","")&amp;IF(COUNT(C794:F794)=0,IF(COUNTIFS(C794:F794,"Reviewed N/A")=4,"No applicable dates recorded","Add dates"),IF(COUNT(C794:F794)+COUNTIFS(C794:F794,"Reviewed N/A")&lt;4,"Missing dates; ","")&amp;IF(MIN(C794:F794)&lt;TODAY(),"Overdue: ",IF(MIN(C794:F794)=TODAY(),"Due today: ",IF(MIN(C794:F794)&lt;=TODAY()+30,"Due within 30 days: ","Next: ")))&amp;INDEX($C$8:$F$8,1,MATCH(MIN(C794:F794),C794:F794,0))&amp;" "&amp;TEXT(MIN(C794:F794),"dd mmm yyyy")))))</x:f>
      </x:c>
      <x:c r="I794" s="52"/>
      <x:c r="J794" t="str">
        <x:f>IF(AND(A794&lt;&gt;"",COUNTIFS(C794,"&gt;=36526",C794,"&lt;"&amp;TODAY())+COUNTIFS(D794,"&gt;=36526",D794,"&lt;"&amp;TODAY())+COUNTIFS(E794,"&gt;=36526",E794,"&lt;"&amp;TODAY())+COUNTIFS(F794,"&gt;=36526",F794,"&lt;"&amp;TODAY())&gt;0),O794,"")</x:f>
      </x:c>
      <x:c r="K794" t="str">
        <x:f>IF(AND(A794&lt;&gt;"",COUNTIFS(C794,"&gt;=36526",C794,TODAY())+COUNTIFS(D794,"&gt;=36526",D794,TODAY())+COUNTIFS(E794,"&gt;=36526",E794,TODAY())+COUNTIFS(F794,"&gt;=36526",F794,TODAY())&gt;0),P794,"")</x:f>
      </x:c>
      <x:c r="L794" t="str">
        <x:f>IF(AND(A794&lt;&gt;"",COUNTIFS(C794,"&gt;"&amp;TODAY(),C794,"&lt;="&amp;TODAY()+30)+COUNTIFS(D794,"&gt;"&amp;TODAY(),D794,"&lt;="&amp;TODAY()+30)+COUNTIFS(E794,"&gt;"&amp;TODAY(),E794,"&lt;="&amp;TODAY()+30)+COUNTIFS(F794,"&gt;"&amp;TODAY(),F794,"&lt;="&amp;TODAY()+30)&gt;0),Q794,"")</x:f>
      </x:c>
      <x:c r="M794" t="str">
        <x:f>IF(OR(LEFT(H794,15)="Missing dates; ",LEFT(H794,16)="Add N/A reason; ",H794="Add dates",H794="Add registration",H794="Check date format"),R794,"")</x:f>
      </x:c>
      <x:c r="N794" t="str">
        <x:f>IF(COUNTIFS(C794:F794,"Reviewed N/A")&gt;0,S794,"")</x:f>
      </x:c>
      <x:c r="O794" t="n">
        <x:f>O793+IF(AND(A794&lt;&gt;"",COUNTIFS(C794,"&gt;=36526",C794,"&lt;"&amp;TODAY())+COUNTIFS(D794,"&gt;=36526",D794,"&lt;"&amp;TODAY())+COUNTIFS(E794,"&gt;=36526",E794,"&lt;"&amp;TODAY())+COUNTIFS(F794,"&gt;=36526",F794,"&lt;"&amp;TODAY())&gt;0),1,0)</x:f>
        <x:v>0</x:v>
      </x:c>
      <x:c r="P794" t="n">
        <x:f>P793+IF(AND(A794&lt;&gt;"",COUNTIFS(C794,"&gt;=36526",C794,TODAY())+COUNTIFS(D794,"&gt;=36526",D794,TODAY())+COUNTIFS(E794,"&gt;=36526",E794,TODAY())+COUNTIFS(F794,"&gt;=36526",F794,TODAY())&gt;0),1,0)</x:f>
        <x:v>0</x:v>
      </x:c>
      <x:c r="Q794" t="n">
        <x:f>Q793+IF(AND(A794&lt;&gt;"",COUNTIFS(C794,"&gt;"&amp;TODAY(),C794,"&lt;="&amp;TODAY()+30)+COUNTIFS(D794,"&gt;"&amp;TODAY(),D794,"&lt;="&amp;TODAY()+30)+COUNTIFS(E794,"&gt;"&amp;TODAY(),E794,"&lt;="&amp;TODAY()+30)+COUNTIFS(F794,"&gt;"&amp;TODAY(),F794,"&lt;="&amp;TODAY()+30)&gt;0),1,0)</x:f>
        <x:v>0</x:v>
      </x:c>
      <x:c r="R794" t="n">
        <x:f>R793+IF(OR(LEFT(H794,15)="Missing dates; ",LEFT(H794,16)="Add N/A reason; ",H794="Add dates",H794="Add registration",H794="Check date format"),1,0)</x:f>
        <x:v>0</x:v>
      </x:c>
      <x:c r="S794" t="n">
        <x:f>S793+IF(COUNTIFS(C794:F794,"Reviewed N/A")&gt;0,1,0)</x:f>
        <x:v>0</x:v>
      </x:c>
    </x:row>
    <x:row r="795" ht="48" customHeight="1">
      <x:c r="A795" s="52"/>
      <x:c r="B795" s="52"/>
      <x:c r="C795" s="53"/>
      <x:c r="D795" s="53"/>
      <x:c r="E795" s="53"/>
      <x:c r="F795" s="53"/>
      <x:c r="G795" s="52"/>
      <x:c r="H795" s="21" t="str">
        <x:f>IF(COUNTA(A795:G795,I795)=0,"",IF(A795="","Add registration",IF(OR(COUNTA(C795:F795)&gt;COUNT(C795:F795)+COUNTIFS(C795:F795,"Reviewed N/A"),AND(COUNT(C795:F795)&gt;0,OR(MIN(C795:F795)&lt;36526,MAX(C795:F795)&gt;109574))),"Check date format",IF(AND(COUNTIFS(C795:F795,"Reviewed N/A")&gt;0,I795=""),"Add N/A reason; ","")&amp;IF(COUNT(C795:F795)=0,IF(COUNTIFS(C795:F795,"Reviewed N/A")=4,"No applicable dates recorded","Add dates"),IF(COUNT(C795:F795)+COUNTIFS(C795:F795,"Reviewed N/A")&lt;4,"Missing dates; ","")&amp;IF(MIN(C795:F795)&lt;TODAY(),"Overdue: ",IF(MIN(C795:F795)=TODAY(),"Due today: ",IF(MIN(C795:F795)&lt;=TODAY()+30,"Due within 30 days: ","Next: ")))&amp;INDEX($C$8:$F$8,1,MATCH(MIN(C795:F795),C795:F795,0))&amp;" "&amp;TEXT(MIN(C795:F795),"dd mmm yyyy")))))</x:f>
      </x:c>
      <x:c r="I795" s="52"/>
      <x:c r="J795" t="str">
        <x:f>IF(AND(A795&lt;&gt;"",COUNTIFS(C795,"&gt;=36526",C795,"&lt;"&amp;TODAY())+COUNTIFS(D795,"&gt;=36526",D795,"&lt;"&amp;TODAY())+COUNTIFS(E795,"&gt;=36526",E795,"&lt;"&amp;TODAY())+COUNTIFS(F795,"&gt;=36526",F795,"&lt;"&amp;TODAY())&gt;0),O795,"")</x:f>
      </x:c>
      <x:c r="K795" t="str">
        <x:f>IF(AND(A795&lt;&gt;"",COUNTIFS(C795,"&gt;=36526",C795,TODAY())+COUNTIFS(D795,"&gt;=36526",D795,TODAY())+COUNTIFS(E795,"&gt;=36526",E795,TODAY())+COUNTIFS(F795,"&gt;=36526",F795,TODAY())&gt;0),P795,"")</x:f>
      </x:c>
      <x:c r="L795" t="str">
        <x:f>IF(AND(A795&lt;&gt;"",COUNTIFS(C795,"&gt;"&amp;TODAY(),C795,"&lt;="&amp;TODAY()+30)+COUNTIFS(D795,"&gt;"&amp;TODAY(),D795,"&lt;="&amp;TODAY()+30)+COUNTIFS(E795,"&gt;"&amp;TODAY(),E795,"&lt;="&amp;TODAY()+30)+COUNTIFS(F795,"&gt;"&amp;TODAY(),F795,"&lt;="&amp;TODAY()+30)&gt;0),Q795,"")</x:f>
      </x:c>
      <x:c r="M795" t="str">
        <x:f>IF(OR(LEFT(H795,15)="Missing dates; ",LEFT(H795,16)="Add N/A reason; ",H795="Add dates",H795="Add registration",H795="Check date format"),R795,"")</x:f>
      </x:c>
      <x:c r="N795" t="str">
        <x:f>IF(COUNTIFS(C795:F795,"Reviewed N/A")&gt;0,S795,"")</x:f>
      </x:c>
      <x:c r="O795" t="n">
        <x:f>O794+IF(AND(A795&lt;&gt;"",COUNTIFS(C795,"&gt;=36526",C795,"&lt;"&amp;TODAY())+COUNTIFS(D795,"&gt;=36526",D795,"&lt;"&amp;TODAY())+COUNTIFS(E795,"&gt;=36526",E795,"&lt;"&amp;TODAY())+COUNTIFS(F795,"&gt;=36526",F795,"&lt;"&amp;TODAY())&gt;0),1,0)</x:f>
        <x:v>0</x:v>
      </x:c>
      <x:c r="P795" t="n">
        <x:f>P794+IF(AND(A795&lt;&gt;"",COUNTIFS(C795,"&gt;=36526",C795,TODAY())+COUNTIFS(D795,"&gt;=36526",D795,TODAY())+COUNTIFS(E795,"&gt;=36526",E795,TODAY())+COUNTIFS(F795,"&gt;=36526",F795,TODAY())&gt;0),1,0)</x:f>
        <x:v>0</x:v>
      </x:c>
      <x:c r="Q795" t="n">
        <x:f>Q794+IF(AND(A795&lt;&gt;"",COUNTIFS(C795,"&gt;"&amp;TODAY(),C795,"&lt;="&amp;TODAY()+30)+COUNTIFS(D795,"&gt;"&amp;TODAY(),D795,"&lt;="&amp;TODAY()+30)+COUNTIFS(E795,"&gt;"&amp;TODAY(),E795,"&lt;="&amp;TODAY()+30)+COUNTIFS(F795,"&gt;"&amp;TODAY(),F795,"&lt;="&amp;TODAY()+30)&gt;0),1,0)</x:f>
        <x:v>0</x:v>
      </x:c>
      <x:c r="R795" t="n">
        <x:f>R794+IF(OR(LEFT(H795,15)="Missing dates; ",LEFT(H795,16)="Add N/A reason; ",H795="Add dates",H795="Add registration",H795="Check date format"),1,0)</x:f>
        <x:v>0</x:v>
      </x:c>
      <x:c r="S795" t="n">
        <x:f>S794+IF(COUNTIFS(C795:F795,"Reviewed N/A")&gt;0,1,0)</x:f>
        <x:v>0</x:v>
      </x:c>
    </x:row>
    <x:row r="796" ht="48" customHeight="1">
      <x:c r="A796" s="52"/>
      <x:c r="B796" s="52"/>
      <x:c r="C796" s="53"/>
      <x:c r="D796" s="53"/>
      <x:c r="E796" s="53"/>
      <x:c r="F796" s="53"/>
      <x:c r="G796" s="52"/>
      <x:c r="H796" s="21" t="str">
        <x:f>IF(COUNTA(A796:G796,I796)=0,"",IF(A796="","Add registration",IF(OR(COUNTA(C796:F796)&gt;COUNT(C796:F796)+COUNTIFS(C796:F796,"Reviewed N/A"),AND(COUNT(C796:F796)&gt;0,OR(MIN(C796:F796)&lt;36526,MAX(C796:F796)&gt;109574))),"Check date format",IF(AND(COUNTIFS(C796:F796,"Reviewed N/A")&gt;0,I796=""),"Add N/A reason; ","")&amp;IF(COUNT(C796:F796)=0,IF(COUNTIFS(C796:F796,"Reviewed N/A")=4,"No applicable dates recorded","Add dates"),IF(COUNT(C796:F796)+COUNTIFS(C796:F796,"Reviewed N/A")&lt;4,"Missing dates; ","")&amp;IF(MIN(C796:F796)&lt;TODAY(),"Overdue: ",IF(MIN(C796:F796)=TODAY(),"Due today: ",IF(MIN(C796:F796)&lt;=TODAY()+30,"Due within 30 days: ","Next: ")))&amp;INDEX($C$8:$F$8,1,MATCH(MIN(C796:F796),C796:F796,0))&amp;" "&amp;TEXT(MIN(C796:F796),"dd mmm yyyy")))))</x:f>
      </x:c>
      <x:c r="I796" s="52"/>
      <x:c r="J796" t="str">
        <x:f>IF(AND(A796&lt;&gt;"",COUNTIFS(C796,"&gt;=36526",C796,"&lt;"&amp;TODAY())+COUNTIFS(D796,"&gt;=36526",D796,"&lt;"&amp;TODAY())+COUNTIFS(E796,"&gt;=36526",E796,"&lt;"&amp;TODAY())+COUNTIFS(F796,"&gt;=36526",F796,"&lt;"&amp;TODAY())&gt;0),O796,"")</x:f>
      </x:c>
      <x:c r="K796" t="str">
        <x:f>IF(AND(A796&lt;&gt;"",COUNTIFS(C796,"&gt;=36526",C796,TODAY())+COUNTIFS(D796,"&gt;=36526",D796,TODAY())+COUNTIFS(E796,"&gt;=36526",E796,TODAY())+COUNTIFS(F796,"&gt;=36526",F796,TODAY())&gt;0),P796,"")</x:f>
      </x:c>
      <x:c r="L796" t="str">
        <x:f>IF(AND(A796&lt;&gt;"",COUNTIFS(C796,"&gt;"&amp;TODAY(),C796,"&lt;="&amp;TODAY()+30)+COUNTIFS(D796,"&gt;"&amp;TODAY(),D796,"&lt;="&amp;TODAY()+30)+COUNTIFS(E796,"&gt;"&amp;TODAY(),E796,"&lt;="&amp;TODAY()+30)+COUNTIFS(F796,"&gt;"&amp;TODAY(),F796,"&lt;="&amp;TODAY()+30)&gt;0),Q796,"")</x:f>
      </x:c>
      <x:c r="M796" t="str">
        <x:f>IF(OR(LEFT(H796,15)="Missing dates; ",LEFT(H796,16)="Add N/A reason; ",H796="Add dates",H796="Add registration",H796="Check date format"),R796,"")</x:f>
      </x:c>
      <x:c r="N796" t="str">
        <x:f>IF(COUNTIFS(C796:F796,"Reviewed N/A")&gt;0,S796,"")</x:f>
      </x:c>
      <x:c r="O796" t="n">
        <x:f>O795+IF(AND(A796&lt;&gt;"",COUNTIFS(C796,"&gt;=36526",C796,"&lt;"&amp;TODAY())+COUNTIFS(D796,"&gt;=36526",D796,"&lt;"&amp;TODAY())+COUNTIFS(E796,"&gt;=36526",E796,"&lt;"&amp;TODAY())+COUNTIFS(F796,"&gt;=36526",F796,"&lt;"&amp;TODAY())&gt;0),1,0)</x:f>
        <x:v>0</x:v>
      </x:c>
      <x:c r="P796" t="n">
        <x:f>P795+IF(AND(A796&lt;&gt;"",COUNTIFS(C796,"&gt;=36526",C796,TODAY())+COUNTIFS(D796,"&gt;=36526",D796,TODAY())+COUNTIFS(E796,"&gt;=36526",E796,TODAY())+COUNTIFS(F796,"&gt;=36526",F796,TODAY())&gt;0),1,0)</x:f>
        <x:v>0</x:v>
      </x:c>
      <x:c r="Q796" t="n">
        <x:f>Q795+IF(AND(A796&lt;&gt;"",COUNTIFS(C796,"&gt;"&amp;TODAY(),C796,"&lt;="&amp;TODAY()+30)+COUNTIFS(D796,"&gt;"&amp;TODAY(),D796,"&lt;="&amp;TODAY()+30)+COUNTIFS(E796,"&gt;"&amp;TODAY(),E796,"&lt;="&amp;TODAY()+30)+COUNTIFS(F796,"&gt;"&amp;TODAY(),F796,"&lt;="&amp;TODAY()+30)&gt;0),1,0)</x:f>
        <x:v>0</x:v>
      </x:c>
      <x:c r="R796" t="n">
        <x:f>R795+IF(OR(LEFT(H796,15)="Missing dates; ",LEFT(H796,16)="Add N/A reason; ",H796="Add dates",H796="Add registration",H796="Check date format"),1,0)</x:f>
        <x:v>0</x:v>
      </x:c>
      <x:c r="S796" t="n">
        <x:f>S795+IF(COUNTIFS(C796:F796,"Reviewed N/A")&gt;0,1,0)</x:f>
        <x:v>0</x:v>
      </x:c>
    </x:row>
    <x:row r="797" ht="48" customHeight="1">
      <x:c r="A797" s="52"/>
      <x:c r="B797" s="52"/>
      <x:c r="C797" s="53"/>
      <x:c r="D797" s="53"/>
      <x:c r="E797" s="53"/>
      <x:c r="F797" s="53"/>
      <x:c r="G797" s="52"/>
      <x:c r="H797" s="21" t="str">
        <x:f>IF(COUNTA(A797:G797,I797)=0,"",IF(A797="","Add registration",IF(OR(COUNTA(C797:F797)&gt;COUNT(C797:F797)+COUNTIFS(C797:F797,"Reviewed N/A"),AND(COUNT(C797:F797)&gt;0,OR(MIN(C797:F797)&lt;36526,MAX(C797:F797)&gt;109574))),"Check date format",IF(AND(COUNTIFS(C797:F797,"Reviewed N/A")&gt;0,I797=""),"Add N/A reason; ","")&amp;IF(COUNT(C797:F797)=0,IF(COUNTIFS(C797:F797,"Reviewed N/A")=4,"No applicable dates recorded","Add dates"),IF(COUNT(C797:F797)+COUNTIFS(C797:F797,"Reviewed N/A")&lt;4,"Missing dates; ","")&amp;IF(MIN(C797:F797)&lt;TODAY(),"Overdue: ",IF(MIN(C797:F797)=TODAY(),"Due today: ",IF(MIN(C797:F797)&lt;=TODAY()+30,"Due within 30 days: ","Next: ")))&amp;INDEX($C$8:$F$8,1,MATCH(MIN(C797:F797),C797:F797,0))&amp;" "&amp;TEXT(MIN(C797:F797),"dd mmm yyyy")))))</x:f>
      </x:c>
      <x:c r="I797" s="52"/>
      <x:c r="J797" t="str">
        <x:f>IF(AND(A797&lt;&gt;"",COUNTIFS(C797,"&gt;=36526",C797,"&lt;"&amp;TODAY())+COUNTIFS(D797,"&gt;=36526",D797,"&lt;"&amp;TODAY())+COUNTIFS(E797,"&gt;=36526",E797,"&lt;"&amp;TODAY())+COUNTIFS(F797,"&gt;=36526",F797,"&lt;"&amp;TODAY())&gt;0),O797,"")</x:f>
      </x:c>
      <x:c r="K797" t="str">
        <x:f>IF(AND(A797&lt;&gt;"",COUNTIFS(C797,"&gt;=36526",C797,TODAY())+COUNTIFS(D797,"&gt;=36526",D797,TODAY())+COUNTIFS(E797,"&gt;=36526",E797,TODAY())+COUNTIFS(F797,"&gt;=36526",F797,TODAY())&gt;0),P797,"")</x:f>
      </x:c>
      <x:c r="L797" t="str">
        <x:f>IF(AND(A797&lt;&gt;"",COUNTIFS(C797,"&gt;"&amp;TODAY(),C797,"&lt;="&amp;TODAY()+30)+COUNTIFS(D797,"&gt;"&amp;TODAY(),D797,"&lt;="&amp;TODAY()+30)+COUNTIFS(E797,"&gt;"&amp;TODAY(),E797,"&lt;="&amp;TODAY()+30)+COUNTIFS(F797,"&gt;"&amp;TODAY(),F797,"&lt;="&amp;TODAY()+30)&gt;0),Q797,"")</x:f>
      </x:c>
      <x:c r="M797" t="str">
        <x:f>IF(OR(LEFT(H797,15)="Missing dates; ",LEFT(H797,16)="Add N/A reason; ",H797="Add dates",H797="Add registration",H797="Check date format"),R797,"")</x:f>
      </x:c>
      <x:c r="N797" t="str">
        <x:f>IF(COUNTIFS(C797:F797,"Reviewed N/A")&gt;0,S797,"")</x:f>
      </x:c>
      <x:c r="O797" t="n">
        <x:f>O796+IF(AND(A797&lt;&gt;"",COUNTIFS(C797,"&gt;=36526",C797,"&lt;"&amp;TODAY())+COUNTIFS(D797,"&gt;=36526",D797,"&lt;"&amp;TODAY())+COUNTIFS(E797,"&gt;=36526",E797,"&lt;"&amp;TODAY())+COUNTIFS(F797,"&gt;=36526",F797,"&lt;"&amp;TODAY())&gt;0),1,0)</x:f>
        <x:v>0</x:v>
      </x:c>
      <x:c r="P797" t="n">
        <x:f>P796+IF(AND(A797&lt;&gt;"",COUNTIFS(C797,"&gt;=36526",C797,TODAY())+COUNTIFS(D797,"&gt;=36526",D797,TODAY())+COUNTIFS(E797,"&gt;=36526",E797,TODAY())+COUNTIFS(F797,"&gt;=36526",F797,TODAY())&gt;0),1,0)</x:f>
        <x:v>0</x:v>
      </x:c>
      <x:c r="Q797" t="n">
        <x:f>Q796+IF(AND(A797&lt;&gt;"",COUNTIFS(C797,"&gt;"&amp;TODAY(),C797,"&lt;="&amp;TODAY()+30)+COUNTIFS(D797,"&gt;"&amp;TODAY(),D797,"&lt;="&amp;TODAY()+30)+COUNTIFS(E797,"&gt;"&amp;TODAY(),E797,"&lt;="&amp;TODAY()+30)+COUNTIFS(F797,"&gt;"&amp;TODAY(),F797,"&lt;="&amp;TODAY()+30)&gt;0),1,0)</x:f>
        <x:v>0</x:v>
      </x:c>
      <x:c r="R797" t="n">
        <x:f>R796+IF(OR(LEFT(H797,15)="Missing dates; ",LEFT(H797,16)="Add N/A reason; ",H797="Add dates",H797="Add registration",H797="Check date format"),1,0)</x:f>
        <x:v>0</x:v>
      </x:c>
      <x:c r="S797" t="n">
        <x:f>S796+IF(COUNTIFS(C797:F797,"Reviewed N/A")&gt;0,1,0)</x:f>
        <x:v>0</x:v>
      </x:c>
    </x:row>
    <x:row r="798" ht="48" customHeight="1">
      <x:c r="A798" s="52"/>
      <x:c r="B798" s="52"/>
      <x:c r="C798" s="53"/>
      <x:c r="D798" s="53"/>
      <x:c r="E798" s="53"/>
      <x:c r="F798" s="53"/>
      <x:c r="G798" s="52"/>
      <x:c r="H798" s="21" t="str">
        <x:f>IF(COUNTA(A798:G798,I798)=0,"",IF(A798="","Add registration",IF(OR(COUNTA(C798:F798)&gt;COUNT(C798:F798)+COUNTIFS(C798:F798,"Reviewed N/A"),AND(COUNT(C798:F798)&gt;0,OR(MIN(C798:F798)&lt;36526,MAX(C798:F798)&gt;109574))),"Check date format",IF(AND(COUNTIFS(C798:F798,"Reviewed N/A")&gt;0,I798=""),"Add N/A reason; ","")&amp;IF(COUNT(C798:F798)=0,IF(COUNTIFS(C798:F798,"Reviewed N/A")=4,"No applicable dates recorded","Add dates"),IF(COUNT(C798:F798)+COUNTIFS(C798:F798,"Reviewed N/A")&lt;4,"Missing dates; ","")&amp;IF(MIN(C798:F798)&lt;TODAY(),"Overdue: ",IF(MIN(C798:F798)=TODAY(),"Due today: ",IF(MIN(C798:F798)&lt;=TODAY()+30,"Due within 30 days: ","Next: ")))&amp;INDEX($C$8:$F$8,1,MATCH(MIN(C798:F798),C798:F798,0))&amp;" "&amp;TEXT(MIN(C798:F798),"dd mmm yyyy")))))</x:f>
      </x:c>
      <x:c r="I798" s="52"/>
      <x:c r="J798" t="str">
        <x:f>IF(AND(A798&lt;&gt;"",COUNTIFS(C798,"&gt;=36526",C798,"&lt;"&amp;TODAY())+COUNTIFS(D798,"&gt;=36526",D798,"&lt;"&amp;TODAY())+COUNTIFS(E798,"&gt;=36526",E798,"&lt;"&amp;TODAY())+COUNTIFS(F798,"&gt;=36526",F798,"&lt;"&amp;TODAY())&gt;0),O798,"")</x:f>
      </x:c>
      <x:c r="K798" t="str">
        <x:f>IF(AND(A798&lt;&gt;"",COUNTIFS(C798,"&gt;=36526",C798,TODAY())+COUNTIFS(D798,"&gt;=36526",D798,TODAY())+COUNTIFS(E798,"&gt;=36526",E798,TODAY())+COUNTIFS(F798,"&gt;=36526",F798,TODAY())&gt;0),P798,"")</x:f>
      </x:c>
      <x:c r="L798" t="str">
        <x:f>IF(AND(A798&lt;&gt;"",COUNTIFS(C798,"&gt;"&amp;TODAY(),C798,"&lt;="&amp;TODAY()+30)+COUNTIFS(D798,"&gt;"&amp;TODAY(),D798,"&lt;="&amp;TODAY()+30)+COUNTIFS(E798,"&gt;"&amp;TODAY(),E798,"&lt;="&amp;TODAY()+30)+COUNTIFS(F798,"&gt;"&amp;TODAY(),F798,"&lt;="&amp;TODAY()+30)&gt;0),Q798,"")</x:f>
      </x:c>
      <x:c r="M798" t="str">
        <x:f>IF(OR(LEFT(H798,15)="Missing dates; ",LEFT(H798,16)="Add N/A reason; ",H798="Add dates",H798="Add registration",H798="Check date format"),R798,"")</x:f>
      </x:c>
      <x:c r="N798" t="str">
        <x:f>IF(COUNTIFS(C798:F798,"Reviewed N/A")&gt;0,S798,"")</x:f>
      </x:c>
      <x:c r="O798" t="n">
        <x:f>O797+IF(AND(A798&lt;&gt;"",COUNTIFS(C798,"&gt;=36526",C798,"&lt;"&amp;TODAY())+COUNTIFS(D798,"&gt;=36526",D798,"&lt;"&amp;TODAY())+COUNTIFS(E798,"&gt;=36526",E798,"&lt;"&amp;TODAY())+COUNTIFS(F798,"&gt;=36526",F798,"&lt;"&amp;TODAY())&gt;0),1,0)</x:f>
        <x:v>0</x:v>
      </x:c>
      <x:c r="P798" t="n">
        <x:f>P797+IF(AND(A798&lt;&gt;"",COUNTIFS(C798,"&gt;=36526",C798,TODAY())+COUNTIFS(D798,"&gt;=36526",D798,TODAY())+COUNTIFS(E798,"&gt;=36526",E798,TODAY())+COUNTIFS(F798,"&gt;=36526",F798,TODAY())&gt;0),1,0)</x:f>
        <x:v>0</x:v>
      </x:c>
      <x:c r="Q798" t="n">
        <x:f>Q797+IF(AND(A798&lt;&gt;"",COUNTIFS(C798,"&gt;"&amp;TODAY(),C798,"&lt;="&amp;TODAY()+30)+COUNTIFS(D798,"&gt;"&amp;TODAY(),D798,"&lt;="&amp;TODAY()+30)+COUNTIFS(E798,"&gt;"&amp;TODAY(),E798,"&lt;="&amp;TODAY()+30)+COUNTIFS(F798,"&gt;"&amp;TODAY(),F798,"&lt;="&amp;TODAY()+30)&gt;0),1,0)</x:f>
        <x:v>0</x:v>
      </x:c>
      <x:c r="R798" t="n">
        <x:f>R797+IF(OR(LEFT(H798,15)="Missing dates; ",LEFT(H798,16)="Add N/A reason; ",H798="Add dates",H798="Add registration",H798="Check date format"),1,0)</x:f>
        <x:v>0</x:v>
      </x:c>
      <x:c r="S798" t="n">
        <x:f>S797+IF(COUNTIFS(C798:F798,"Reviewed N/A")&gt;0,1,0)</x:f>
        <x:v>0</x:v>
      </x:c>
    </x:row>
    <x:row r="799" ht="48" customHeight="1">
      <x:c r="A799" s="52"/>
      <x:c r="B799" s="52"/>
      <x:c r="C799" s="53"/>
      <x:c r="D799" s="53"/>
      <x:c r="E799" s="53"/>
      <x:c r="F799" s="53"/>
      <x:c r="G799" s="52"/>
      <x:c r="H799" s="21" t="str">
        <x:f>IF(COUNTA(A799:G799,I799)=0,"",IF(A799="","Add registration",IF(OR(COUNTA(C799:F799)&gt;COUNT(C799:F799)+COUNTIFS(C799:F799,"Reviewed N/A"),AND(COUNT(C799:F799)&gt;0,OR(MIN(C799:F799)&lt;36526,MAX(C799:F799)&gt;109574))),"Check date format",IF(AND(COUNTIFS(C799:F799,"Reviewed N/A")&gt;0,I799=""),"Add N/A reason; ","")&amp;IF(COUNT(C799:F799)=0,IF(COUNTIFS(C799:F799,"Reviewed N/A")=4,"No applicable dates recorded","Add dates"),IF(COUNT(C799:F799)+COUNTIFS(C799:F799,"Reviewed N/A")&lt;4,"Missing dates; ","")&amp;IF(MIN(C799:F799)&lt;TODAY(),"Overdue: ",IF(MIN(C799:F799)=TODAY(),"Due today: ",IF(MIN(C799:F799)&lt;=TODAY()+30,"Due within 30 days: ","Next: ")))&amp;INDEX($C$8:$F$8,1,MATCH(MIN(C799:F799),C799:F799,0))&amp;" "&amp;TEXT(MIN(C799:F799),"dd mmm yyyy")))))</x:f>
      </x:c>
      <x:c r="I799" s="52"/>
      <x:c r="J799" t="str">
        <x:f>IF(AND(A799&lt;&gt;"",COUNTIFS(C799,"&gt;=36526",C799,"&lt;"&amp;TODAY())+COUNTIFS(D799,"&gt;=36526",D799,"&lt;"&amp;TODAY())+COUNTIFS(E799,"&gt;=36526",E799,"&lt;"&amp;TODAY())+COUNTIFS(F799,"&gt;=36526",F799,"&lt;"&amp;TODAY())&gt;0),O799,"")</x:f>
      </x:c>
      <x:c r="K799" t="str">
        <x:f>IF(AND(A799&lt;&gt;"",COUNTIFS(C799,"&gt;=36526",C799,TODAY())+COUNTIFS(D799,"&gt;=36526",D799,TODAY())+COUNTIFS(E799,"&gt;=36526",E799,TODAY())+COUNTIFS(F799,"&gt;=36526",F799,TODAY())&gt;0),P799,"")</x:f>
      </x:c>
      <x:c r="L799" t="str">
        <x:f>IF(AND(A799&lt;&gt;"",COUNTIFS(C799,"&gt;"&amp;TODAY(),C799,"&lt;="&amp;TODAY()+30)+COUNTIFS(D799,"&gt;"&amp;TODAY(),D799,"&lt;="&amp;TODAY()+30)+COUNTIFS(E799,"&gt;"&amp;TODAY(),E799,"&lt;="&amp;TODAY()+30)+COUNTIFS(F799,"&gt;"&amp;TODAY(),F799,"&lt;="&amp;TODAY()+30)&gt;0),Q799,"")</x:f>
      </x:c>
      <x:c r="M799" t="str">
        <x:f>IF(OR(LEFT(H799,15)="Missing dates; ",LEFT(H799,16)="Add N/A reason; ",H799="Add dates",H799="Add registration",H799="Check date format"),R799,"")</x:f>
      </x:c>
      <x:c r="N799" t="str">
        <x:f>IF(COUNTIFS(C799:F799,"Reviewed N/A")&gt;0,S799,"")</x:f>
      </x:c>
      <x:c r="O799" t="n">
        <x:f>O798+IF(AND(A799&lt;&gt;"",COUNTIFS(C799,"&gt;=36526",C799,"&lt;"&amp;TODAY())+COUNTIFS(D799,"&gt;=36526",D799,"&lt;"&amp;TODAY())+COUNTIFS(E799,"&gt;=36526",E799,"&lt;"&amp;TODAY())+COUNTIFS(F799,"&gt;=36526",F799,"&lt;"&amp;TODAY())&gt;0),1,0)</x:f>
        <x:v>0</x:v>
      </x:c>
      <x:c r="P799" t="n">
        <x:f>P798+IF(AND(A799&lt;&gt;"",COUNTIFS(C799,"&gt;=36526",C799,TODAY())+COUNTIFS(D799,"&gt;=36526",D799,TODAY())+COUNTIFS(E799,"&gt;=36526",E799,TODAY())+COUNTIFS(F799,"&gt;=36526",F799,TODAY())&gt;0),1,0)</x:f>
        <x:v>0</x:v>
      </x:c>
      <x:c r="Q799" t="n">
        <x:f>Q798+IF(AND(A799&lt;&gt;"",COUNTIFS(C799,"&gt;"&amp;TODAY(),C799,"&lt;="&amp;TODAY()+30)+COUNTIFS(D799,"&gt;"&amp;TODAY(),D799,"&lt;="&amp;TODAY()+30)+COUNTIFS(E799,"&gt;"&amp;TODAY(),E799,"&lt;="&amp;TODAY()+30)+COUNTIFS(F799,"&gt;"&amp;TODAY(),F799,"&lt;="&amp;TODAY()+30)&gt;0),1,0)</x:f>
        <x:v>0</x:v>
      </x:c>
      <x:c r="R799" t="n">
        <x:f>R798+IF(OR(LEFT(H799,15)="Missing dates; ",LEFT(H799,16)="Add N/A reason; ",H799="Add dates",H799="Add registration",H799="Check date format"),1,0)</x:f>
        <x:v>0</x:v>
      </x:c>
      <x:c r="S799" t="n">
        <x:f>S798+IF(COUNTIFS(C799:F799,"Reviewed N/A")&gt;0,1,0)</x:f>
        <x:v>0</x:v>
      </x:c>
    </x:row>
    <x:row r="800" ht="48" customHeight="1">
      <x:c r="A800" s="52"/>
      <x:c r="B800" s="52"/>
      <x:c r="C800" s="53"/>
      <x:c r="D800" s="53"/>
      <x:c r="E800" s="53"/>
      <x:c r="F800" s="53"/>
      <x:c r="G800" s="52"/>
      <x:c r="H800" s="21" t="str">
        <x:f>IF(COUNTA(A800:G800,I800)=0,"",IF(A800="","Add registration",IF(OR(COUNTA(C800:F800)&gt;COUNT(C800:F800)+COUNTIFS(C800:F800,"Reviewed N/A"),AND(COUNT(C800:F800)&gt;0,OR(MIN(C800:F800)&lt;36526,MAX(C800:F800)&gt;109574))),"Check date format",IF(AND(COUNTIFS(C800:F800,"Reviewed N/A")&gt;0,I800=""),"Add N/A reason; ","")&amp;IF(COUNT(C800:F800)=0,IF(COUNTIFS(C800:F800,"Reviewed N/A")=4,"No applicable dates recorded","Add dates"),IF(COUNT(C800:F800)+COUNTIFS(C800:F800,"Reviewed N/A")&lt;4,"Missing dates; ","")&amp;IF(MIN(C800:F800)&lt;TODAY(),"Overdue: ",IF(MIN(C800:F800)=TODAY(),"Due today: ",IF(MIN(C800:F800)&lt;=TODAY()+30,"Due within 30 days: ","Next: ")))&amp;INDEX($C$8:$F$8,1,MATCH(MIN(C800:F800),C800:F800,0))&amp;" "&amp;TEXT(MIN(C800:F800),"dd mmm yyyy")))))</x:f>
      </x:c>
      <x:c r="I800" s="52"/>
      <x:c r="J800" t="str">
        <x:f>IF(AND(A800&lt;&gt;"",COUNTIFS(C800,"&gt;=36526",C800,"&lt;"&amp;TODAY())+COUNTIFS(D800,"&gt;=36526",D800,"&lt;"&amp;TODAY())+COUNTIFS(E800,"&gt;=36526",E800,"&lt;"&amp;TODAY())+COUNTIFS(F800,"&gt;=36526",F800,"&lt;"&amp;TODAY())&gt;0),O800,"")</x:f>
      </x:c>
      <x:c r="K800" t="str">
        <x:f>IF(AND(A800&lt;&gt;"",COUNTIFS(C800,"&gt;=36526",C800,TODAY())+COUNTIFS(D800,"&gt;=36526",D800,TODAY())+COUNTIFS(E800,"&gt;=36526",E800,TODAY())+COUNTIFS(F800,"&gt;=36526",F800,TODAY())&gt;0),P800,"")</x:f>
      </x:c>
      <x:c r="L800" t="str">
        <x:f>IF(AND(A800&lt;&gt;"",COUNTIFS(C800,"&gt;"&amp;TODAY(),C800,"&lt;="&amp;TODAY()+30)+COUNTIFS(D800,"&gt;"&amp;TODAY(),D800,"&lt;="&amp;TODAY()+30)+COUNTIFS(E800,"&gt;"&amp;TODAY(),E800,"&lt;="&amp;TODAY()+30)+COUNTIFS(F800,"&gt;"&amp;TODAY(),F800,"&lt;="&amp;TODAY()+30)&gt;0),Q800,"")</x:f>
      </x:c>
      <x:c r="M800" t="str">
        <x:f>IF(OR(LEFT(H800,15)="Missing dates; ",LEFT(H800,16)="Add N/A reason; ",H800="Add dates",H800="Add registration",H800="Check date format"),R800,"")</x:f>
      </x:c>
      <x:c r="N800" t="str">
        <x:f>IF(COUNTIFS(C800:F800,"Reviewed N/A")&gt;0,S800,"")</x:f>
      </x:c>
      <x:c r="O800" t="n">
        <x:f>O799+IF(AND(A800&lt;&gt;"",COUNTIFS(C800,"&gt;=36526",C800,"&lt;"&amp;TODAY())+COUNTIFS(D800,"&gt;=36526",D800,"&lt;"&amp;TODAY())+COUNTIFS(E800,"&gt;=36526",E800,"&lt;"&amp;TODAY())+COUNTIFS(F800,"&gt;=36526",F800,"&lt;"&amp;TODAY())&gt;0),1,0)</x:f>
        <x:v>0</x:v>
      </x:c>
      <x:c r="P800" t="n">
        <x:f>P799+IF(AND(A800&lt;&gt;"",COUNTIFS(C800,"&gt;=36526",C800,TODAY())+COUNTIFS(D800,"&gt;=36526",D800,TODAY())+COUNTIFS(E800,"&gt;=36526",E800,TODAY())+COUNTIFS(F800,"&gt;=36526",F800,TODAY())&gt;0),1,0)</x:f>
        <x:v>0</x:v>
      </x:c>
      <x:c r="Q800" t="n">
        <x:f>Q799+IF(AND(A800&lt;&gt;"",COUNTIFS(C800,"&gt;"&amp;TODAY(),C800,"&lt;="&amp;TODAY()+30)+COUNTIFS(D800,"&gt;"&amp;TODAY(),D800,"&lt;="&amp;TODAY()+30)+COUNTIFS(E800,"&gt;"&amp;TODAY(),E800,"&lt;="&amp;TODAY()+30)+COUNTIFS(F800,"&gt;"&amp;TODAY(),F800,"&lt;="&amp;TODAY()+30)&gt;0),1,0)</x:f>
        <x:v>0</x:v>
      </x:c>
      <x:c r="R800" t="n">
        <x:f>R799+IF(OR(LEFT(H800,15)="Missing dates; ",LEFT(H800,16)="Add N/A reason; ",H800="Add dates",H800="Add registration",H800="Check date format"),1,0)</x:f>
        <x:v>0</x:v>
      </x:c>
      <x:c r="S800" t="n">
        <x:f>S799+IF(COUNTIFS(C800:F800,"Reviewed N/A")&gt;0,1,0)</x:f>
        <x:v>0</x:v>
      </x:c>
    </x:row>
    <x:row r="801" ht="48" customHeight="1">
      <x:c r="A801" s="52"/>
      <x:c r="B801" s="52"/>
      <x:c r="C801" s="53"/>
      <x:c r="D801" s="53"/>
      <x:c r="E801" s="53"/>
      <x:c r="F801" s="53"/>
      <x:c r="G801" s="52"/>
      <x:c r="H801" s="21" t="str">
        <x:f>IF(COUNTA(A801:G801,I801)=0,"",IF(A801="","Add registration",IF(OR(COUNTA(C801:F801)&gt;COUNT(C801:F801)+COUNTIFS(C801:F801,"Reviewed N/A"),AND(COUNT(C801:F801)&gt;0,OR(MIN(C801:F801)&lt;36526,MAX(C801:F801)&gt;109574))),"Check date format",IF(AND(COUNTIFS(C801:F801,"Reviewed N/A")&gt;0,I801=""),"Add N/A reason; ","")&amp;IF(COUNT(C801:F801)=0,IF(COUNTIFS(C801:F801,"Reviewed N/A")=4,"No applicable dates recorded","Add dates"),IF(COUNT(C801:F801)+COUNTIFS(C801:F801,"Reviewed N/A")&lt;4,"Missing dates; ","")&amp;IF(MIN(C801:F801)&lt;TODAY(),"Overdue: ",IF(MIN(C801:F801)=TODAY(),"Due today: ",IF(MIN(C801:F801)&lt;=TODAY()+30,"Due within 30 days: ","Next: ")))&amp;INDEX($C$8:$F$8,1,MATCH(MIN(C801:F801),C801:F801,0))&amp;" "&amp;TEXT(MIN(C801:F801),"dd mmm yyyy")))))</x:f>
      </x:c>
      <x:c r="I801" s="52"/>
      <x:c r="J801" t="str">
        <x:f>IF(AND(A801&lt;&gt;"",COUNTIFS(C801,"&gt;=36526",C801,"&lt;"&amp;TODAY())+COUNTIFS(D801,"&gt;=36526",D801,"&lt;"&amp;TODAY())+COUNTIFS(E801,"&gt;=36526",E801,"&lt;"&amp;TODAY())+COUNTIFS(F801,"&gt;=36526",F801,"&lt;"&amp;TODAY())&gt;0),O801,"")</x:f>
      </x:c>
      <x:c r="K801" t="str">
        <x:f>IF(AND(A801&lt;&gt;"",COUNTIFS(C801,"&gt;=36526",C801,TODAY())+COUNTIFS(D801,"&gt;=36526",D801,TODAY())+COUNTIFS(E801,"&gt;=36526",E801,TODAY())+COUNTIFS(F801,"&gt;=36526",F801,TODAY())&gt;0),P801,"")</x:f>
      </x:c>
      <x:c r="L801" t="str">
        <x:f>IF(AND(A801&lt;&gt;"",COUNTIFS(C801,"&gt;"&amp;TODAY(),C801,"&lt;="&amp;TODAY()+30)+COUNTIFS(D801,"&gt;"&amp;TODAY(),D801,"&lt;="&amp;TODAY()+30)+COUNTIFS(E801,"&gt;"&amp;TODAY(),E801,"&lt;="&amp;TODAY()+30)+COUNTIFS(F801,"&gt;"&amp;TODAY(),F801,"&lt;="&amp;TODAY()+30)&gt;0),Q801,"")</x:f>
      </x:c>
      <x:c r="M801" t="str">
        <x:f>IF(OR(LEFT(H801,15)="Missing dates; ",LEFT(H801,16)="Add N/A reason; ",H801="Add dates",H801="Add registration",H801="Check date format"),R801,"")</x:f>
      </x:c>
      <x:c r="N801" t="str">
        <x:f>IF(COUNTIFS(C801:F801,"Reviewed N/A")&gt;0,S801,"")</x:f>
      </x:c>
      <x:c r="O801" t="n">
        <x:f>O800+IF(AND(A801&lt;&gt;"",COUNTIFS(C801,"&gt;=36526",C801,"&lt;"&amp;TODAY())+COUNTIFS(D801,"&gt;=36526",D801,"&lt;"&amp;TODAY())+COUNTIFS(E801,"&gt;=36526",E801,"&lt;"&amp;TODAY())+COUNTIFS(F801,"&gt;=36526",F801,"&lt;"&amp;TODAY())&gt;0),1,0)</x:f>
        <x:v>0</x:v>
      </x:c>
      <x:c r="P801" t="n">
        <x:f>P800+IF(AND(A801&lt;&gt;"",COUNTIFS(C801,"&gt;=36526",C801,TODAY())+COUNTIFS(D801,"&gt;=36526",D801,TODAY())+COUNTIFS(E801,"&gt;=36526",E801,TODAY())+COUNTIFS(F801,"&gt;=36526",F801,TODAY())&gt;0),1,0)</x:f>
        <x:v>0</x:v>
      </x:c>
      <x:c r="Q801" t="n">
        <x:f>Q800+IF(AND(A801&lt;&gt;"",COUNTIFS(C801,"&gt;"&amp;TODAY(),C801,"&lt;="&amp;TODAY()+30)+COUNTIFS(D801,"&gt;"&amp;TODAY(),D801,"&lt;="&amp;TODAY()+30)+COUNTIFS(E801,"&gt;"&amp;TODAY(),E801,"&lt;="&amp;TODAY()+30)+COUNTIFS(F801,"&gt;"&amp;TODAY(),F801,"&lt;="&amp;TODAY()+30)&gt;0),1,0)</x:f>
        <x:v>0</x:v>
      </x:c>
      <x:c r="R801" t="n">
        <x:f>R800+IF(OR(LEFT(H801,15)="Missing dates; ",LEFT(H801,16)="Add N/A reason; ",H801="Add dates",H801="Add registration",H801="Check date format"),1,0)</x:f>
        <x:v>0</x:v>
      </x:c>
      <x:c r="S801" t="n">
        <x:f>S800+IF(COUNTIFS(C801:F801,"Reviewed N/A")&gt;0,1,0)</x:f>
        <x:v>0</x:v>
      </x:c>
    </x:row>
    <x:row r="802" ht="48" customHeight="1">
      <x:c r="A802" s="52"/>
      <x:c r="B802" s="52"/>
      <x:c r="C802" s="53"/>
      <x:c r="D802" s="53"/>
      <x:c r="E802" s="53"/>
      <x:c r="F802" s="53"/>
      <x:c r="G802" s="52"/>
      <x:c r="H802" s="21" t="str">
        <x:f>IF(COUNTA(A802:G802,I802)=0,"",IF(A802="","Add registration",IF(OR(COUNTA(C802:F802)&gt;COUNT(C802:F802)+COUNTIFS(C802:F802,"Reviewed N/A"),AND(COUNT(C802:F802)&gt;0,OR(MIN(C802:F802)&lt;36526,MAX(C802:F802)&gt;109574))),"Check date format",IF(AND(COUNTIFS(C802:F802,"Reviewed N/A")&gt;0,I802=""),"Add N/A reason; ","")&amp;IF(COUNT(C802:F802)=0,IF(COUNTIFS(C802:F802,"Reviewed N/A")=4,"No applicable dates recorded","Add dates"),IF(COUNT(C802:F802)+COUNTIFS(C802:F802,"Reviewed N/A")&lt;4,"Missing dates; ","")&amp;IF(MIN(C802:F802)&lt;TODAY(),"Overdue: ",IF(MIN(C802:F802)=TODAY(),"Due today: ",IF(MIN(C802:F802)&lt;=TODAY()+30,"Due within 30 days: ","Next: ")))&amp;INDEX($C$8:$F$8,1,MATCH(MIN(C802:F802),C802:F802,0))&amp;" "&amp;TEXT(MIN(C802:F802),"dd mmm yyyy")))))</x:f>
      </x:c>
      <x:c r="I802" s="52"/>
      <x:c r="J802" t="str">
        <x:f>IF(AND(A802&lt;&gt;"",COUNTIFS(C802,"&gt;=36526",C802,"&lt;"&amp;TODAY())+COUNTIFS(D802,"&gt;=36526",D802,"&lt;"&amp;TODAY())+COUNTIFS(E802,"&gt;=36526",E802,"&lt;"&amp;TODAY())+COUNTIFS(F802,"&gt;=36526",F802,"&lt;"&amp;TODAY())&gt;0),O802,"")</x:f>
      </x:c>
      <x:c r="K802" t="str">
        <x:f>IF(AND(A802&lt;&gt;"",COUNTIFS(C802,"&gt;=36526",C802,TODAY())+COUNTIFS(D802,"&gt;=36526",D802,TODAY())+COUNTIFS(E802,"&gt;=36526",E802,TODAY())+COUNTIFS(F802,"&gt;=36526",F802,TODAY())&gt;0),P802,"")</x:f>
      </x:c>
      <x:c r="L802" t="str">
        <x:f>IF(AND(A802&lt;&gt;"",COUNTIFS(C802,"&gt;"&amp;TODAY(),C802,"&lt;="&amp;TODAY()+30)+COUNTIFS(D802,"&gt;"&amp;TODAY(),D802,"&lt;="&amp;TODAY()+30)+COUNTIFS(E802,"&gt;"&amp;TODAY(),E802,"&lt;="&amp;TODAY()+30)+COUNTIFS(F802,"&gt;"&amp;TODAY(),F802,"&lt;="&amp;TODAY()+30)&gt;0),Q802,"")</x:f>
      </x:c>
      <x:c r="M802" t="str">
        <x:f>IF(OR(LEFT(H802,15)="Missing dates; ",LEFT(H802,16)="Add N/A reason; ",H802="Add dates",H802="Add registration",H802="Check date format"),R802,"")</x:f>
      </x:c>
      <x:c r="N802" t="str">
        <x:f>IF(COUNTIFS(C802:F802,"Reviewed N/A")&gt;0,S802,"")</x:f>
      </x:c>
      <x:c r="O802" t="n">
        <x:f>O801+IF(AND(A802&lt;&gt;"",COUNTIFS(C802,"&gt;=36526",C802,"&lt;"&amp;TODAY())+COUNTIFS(D802,"&gt;=36526",D802,"&lt;"&amp;TODAY())+COUNTIFS(E802,"&gt;=36526",E802,"&lt;"&amp;TODAY())+COUNTIFS(F802,"&gt;=36526",F802,"&lt;"&amp;TODAY())&gt;0),1,0)</x:f>
        <x:v>0</x:v>
      </x:c>
      <x:c r="P802" t="n">
        <x:f>P801+IF(AND(A802&lt;&gt;"",COUNTIFS(C802,"&gt;=36526",C802,TODAY())+COUNTIFS(D802,"&gt;=36526",D802,TODAY())+COUNTIFS(E802,"&gt;=36526",E802,TODAY())+COUNTIFS(F802,"&gt;=36526",F802,TODAY())&gt;0),1,0)</x:f>
        <x:v>0</x:v>
      </x:c>
      <x:c r="Q802" t="n">
        <x:f>Q801+IF(AND(A802&lt;&gt;"",COUNTIFS(C802,"&gt;"&amp;TODAY(),C802,"&lt;="&amp;TODAY()+30)+COUNTIFS(D802,"&gt;"&amp;TODAY(),D802,"&lt;="&amp;TODAY()+30)+COUNTIFS(E802,"&gt;"&amp;TODAY(),E802,"&lt;="&amp;TODAY()+30)+COUNTIFS(F802,"&gt;"&amp;TODAY(),F802,"&lt;="&amp;TODAY()+30)&gt;0),1,0)</x:f>
        <x:v>0</x:v>
      </x:c>
      <x:c r="R802" t="n">
        <x:f>R801+IF(OR(LEFT(H802,15)="Missing dates; ",LEFT(H802,16)="Add N/A reason; ",H802="Add dates",H802="Add registration",H802="Check date format"),1,0)</x:f>
        <x:v>0</x:v>
      </x:c>
      <x:c r="S802" t="n">
        <x:f>S801+IF(COUNTIFS(C802:F802,"Reviewed N/A")&gt;0,1,0)</x:f>
        <x:v>0</x:v>
      </x:c>
    </x:row>
    <x:row r="803" ht="48" customHeight="1">
      <x:c r="A803" s="52"/>
      <x:c r="B803" s="52"/>
      <x:c r="C803" s="53"/>
      <x:c r="D803" s="53"/>
      <x:c r="E803" s="53"/>
      <x:c r="F803" s="53"/>
      <x:c r="G803" s="52"/>
      <x:c r="H803" s="21" t="str">
        <x:f>IF(COUNTA(A803:G803,I803)=0,"",IF(A803="","Add registration",IF(OR(COUNTA(C803:F803)&gt;COUNT(C803:F803)+COUNTIFS(C803:F803,"Reviewed N/A"),AND(COUNT(C803:F803)&gt;0,OR(MIN(C803:F803)&lt;36526,MAX(C803:F803)&gt;109574))),"Check date format",IF(AND(COUNTIFS(C803:F803,"Reviewed N/A")&gt;0,I803=""),"Add N/A reason; ","")&amp;IF(COUNT(C803:F803)=0,IF(COUNTIFS(C803:F803,"Reviewed N/A")=4,"No applicable dates recorded","Add dates"),IF(COUNT(C803:F803)+COUNTIFS(C803:F803,"Reviewed N/A")&lt;4,"Missing dates; ","")&amp;IF(MIN(C803:F803)&lt;TODAY(),"Overdue: ",IF(MIN(C803:F803)=TODAY(),"Due today: ",IF(MIN(C803:F803)&lt;=TODAY()+30,"Due within 30 days: ","Next: ")))&amp;INDEX($C$8:$F$8,1,MATCH(MIN(C803:F803),C803:F803,0))&amp;" "&amp;TEXT(MIN(C803:F803),"dd mmm yyyy")))))</x:f>
      </x:c>
      <x:c r="I803" s="52"/>
      <x:c r="J803" t="str">
        <x:f>IF(AND(A803&lt;&gt;"",COUNTIFS(C803,"&gt;=36526",C803,"&lt;"&amp;TODAY())+COUNTIFS(D803,"&gt;=36526",D803,"&lt;"&amp;TODAY())+COUNTIFS(E803,"&gt;=36526",E803,"&lt;"&amp;TODAY())+COUNTIFS(F803,"&gt;=36526",F803,"&lt;"&amp;TODAY())&gt;0),O803,"")</x:f>
      </x:c>
      <x:c r="K803" t="str">
        <x:f>IF(AND(A803&lt;&gt;"",COUNTIFS(C803,"&gt;=36526",C803,TODAY())+COUNTIFS(D803,"&gt;=36526",D803,TODAY())+COUNTIFS(E803,"&gt;=36526",E803,TODAY())+COUNTIFS(F803,"&gt;=36526",F803,TODAY())&gt;0),P803,"")</x:f>
      </x:c>
      <x:c r="L803" t="str">
        <x:f>IF(AND(A803&lt;&gt;"",COUNTIFS(C803,"&gt;"&amp;TODAY(),C803,"&lt;="&amp;TODAY()+30)+COUNTIFS(D803,"&gt;"&amp;TODAY(),D803,"&lt;="&amp;TODAY()+30)+COUNTIFS(E803,"&gt;"&amp;TODAY(),E803,"&lt;="&amp;TODAY()+30)+COUNTIFS(F803,"&gt;"&amp;TODAY(),F803,"&lt;="&amp;TODAY()+30)&gt;0),Q803,"")</x:f>
      </x:c>
      <x:c r="M803" t="str">
        <x:f>IF(OR(LEFT(H803,15)="Missing dates; ",LEFT(H803,16)="Add N/A reason; ",H803="Add dates",H803="Add registration",H803="Check date format"),R803,"")</x:f>
      </x:c>
      <x:c r="N803" t="str">
        <x:f>IF(COUNTIFS(C803:F803,"Reviewed N/A")&gt;0,S803,"")</x:f>
      </x:c>
      <x:c r="O803" t="n">
        <x:f>O802+IF(AND(A803&lt;&gt;"",COUNTIFS(C803,"&gt;=36526",C803,"&lt;"&amp;TODAY())+COUNTIFS(D803,"&gt;=36526",D803,"&lt;"&amp;TODAY())+COUNTIFS(E803,"&gt;=36526",E803,"&lt;"&amp;TODAY())+COUNTIFS(F803,"&gt;=36526",F803,"&lt;"&amp;TODAY())&gt;0),1,0)</x:f>
        <x:v>0</x:v>
      </x:c>
      <x:c r="P803" t="n">
        <x:f>P802+IF(AND(A803&lt;&gt;"",COUNTIFS(C803,"&gt;=36526",C803,TODAY())+COUNTIFS(D803,"&gt;=36526",D803,TODAY())+COUNTIFS(E803,"&gt;=36526",E803,TODAY())+COUNTIFS(F803,"&gt;=36526",F803,TODAY())&gt;0),1,0)</x:f>
        <x:v>0</x:v>
      </x:c>
      <x:c r="Q803" t="n">
        <x:f>Q802+IF(AND(A803&lt;&gt;"",COUNTIFS(C803,"&gt;"&amp;TODAY(),C803,"&lt;="&amp;TODAY()+30)+COUNTIFS(D803,"&gt;"&amp;TODAY(),D803,"&lt;="&amp;TODAY()+30)+COUNTIFS(E803,"&gt;"&amp;TODAY(),E803,"&lt;="&amp;TODAY()+30)+COUNTIFS(F803,"&gt;"&amp;TODAY(),F803,"&lt;="&amp;TODAY()+30)&gt;0),1,0)</x:f>
        <x:v>0</x:v>
      </x:c>
      <x:c r="R803" t="n">
        <x:f>R802+IF(OR(LEFT(H803,15)="Missing dates; ",LEFT(H803,16)="Add N/A reason; ",H803="Add dates",H803="Add registration",H803="Check date format"),1,0)</x:f>
        <x:v>0</x:v>
      </x:c>
      <x:c r="S803" t="n">
        <x:f>S802+IF(COUNTIFS(C803:F803,"Reviewed N/A")&gt;0,1,0)</x:f>
        <x:v>0</x:v>
      </x:c>
    </x:row>
    <x:row r="804" ht="48" customHeight="1">
      <x:c r="A804" s="52"/>
      <x:c r="B804" s="52"/>
      <x:c r="C804" s="53"/>
      <x:c r="D804" s="53"/>
      <x:c r="E804" s="53"/>
      <x:c r="F804" s="53"/>
      <x:c r="G804" s="52"/>
      <x:c r="H804" s="21" t="str">
        <x:f>IF(COUNTA(A804:G804,I804)=0,"",IF(A804="","Add registration",IF(OR(COUNTA(C804:F804)&gt;COUNT(C804:F804)+COUNTIFS(C804:F804,"Reviewed N/A"),AND(COUNT(C804:F804)&gt;0,OR(MIN(C804:F804)&lt;36526,MAX(C804:F804)&gt;109574))),"Check date format",IF(AND(COUNTIFS(C804:F804,"Reviewed N/A")&gt;0,I804=""),"Add N/A reason; ","")&amp;IF(COUNT(C804:F804)=0,IF(COUNTIFS(C804:F804,"Reviewed N/A")=4,"No applicable dates recorded","Add dates"),IF(COUNT(C804:F804)+COUNTIFS(C804:F804,"Reviewed N/A")&lt;4,"Missing dates; ","")&amp;IF(MIN(C804:F804)&lt;TODAY(),"Overdue: ",IF(MIN(C804:F804)=TODAY(),"Due today: ",IF(MIN(C804:F804)&lt;=TODAY()+30,"Due within 30 days: ","Next: ")))&amp;INDEX($C$8:$F$8,1,MATCH(MIN(C804:F804),C804:F804,0))&amp;" "&amp;TEXT(MIN(C804:F804),"dd mmm yyyy")))))</x:f>
      </x:c>
      <x:c r="I804" s="52"/>
      <x:c r="J804" t="str">
        <x:f>IF(AND(A804&lt;&gt;"",COUNTIFS(C804,"&gt;=36526",C804,"&lt;"&amp;TODAY())+COUNTIFS(D804,"&gt;=36526",D804,"&lt;"&amp;TODAY())+COUNTIFS(E804,"&gt;=36526",E804,"&lt;"&amp;TODAY())+COUNTIFS(F804,"&gt;=36526",F804,"&lt;"&amp;TODAY())&gt;0),O804,"")</x:f>
      </x:c>
      <x:c r="K804" t="str">
        <x:f>IF(AND(A804&lt;&gt;"",COUNTIFS(C804,"&gt;=36526",C804,TODAY())+COUNTIFS(D804,"&gt;=36526",D804,TODAY())+COUNTIFS(E804,"&gt;=36526",E804,TODAY())+COUNTIFS(F804,"&gt;=36526",F804,TODAY())&gt;0),P804,"")</x:f>
      </x:c>
      <x:c r="L804" t="str">
        <x:f>IF(AND(A804&lt;&gt;"",COUNTIFS(C804,"&gt;"&amp;TODAY(),C804,"&lt;="&amp;TODAY()+30)+COUNTIFS(D804,"&gt;"&amp;TODAY(),D804,"&lt;="&amp;TODAY()+30)+COUNTIFS(E804,"&gt;"&amp;TODAY(),E804,"&lt;="&amp;TODAY()+30)+COUNTIFS(F804,"&gt;"&amp;TODAY(),F804,"&lt;="&amp;TODAY()+30)&gt;0),Q804,"")</x:f>
      </x:c>
      <x:c r="M804" t="str">
        <x:f>IF(OR(LEFT(H804,15)="Missing dates; ",LEFT(H804,16)="Add N/A reason; ",H804="Add dates",H804="Add registration",H804="Check date format"),R804,"")</x:f>
      </x:c>
      <x:c r="N804" t="str">
        <x:f>IF(COUNTIFS(C804:F804,"Reviewed N/A")&gt;0,S804,"")</x:f>
      </x:c>
      <x:c r="O804" t="n">
        <x:f>O803+IF(AND(A804&lt;&gt;"",COUNTIFS(C804,"&gt;=36526",C804,"&lt;"&amp;TODAY())+COUNTIFS(D804,"&gt;=36526",D804,"&lt;"&amp;TODAY())+COUNTIFS(E804,"&gt;=36526",E804,"&lt;"&amp;TODAY())+COUNTIFS(F804,"&gt;=36526",F804,"&lt;"&amp;TODAY())&gt;0),1,0)</x:f>
        <x:v>0</x:v>
      </x:c>
      <x:c r="P804" t="n">
        <x:f>P803+IF(AND(A804&lt;&gt;"",COUNTIFS(C804,"&gt;=36526",C804,TODAY())+COUNTIFS(D804,"&gt;=36526",D804,TODAY())+COUNTIFS(E804,"&gt;=36526",E804,TODAY())+COUNTIFS(F804,"&gt;=36526",F804,TODAY())&gt;0),1,0)</x:f>
        <x:v>0</x:v>
      </x:c>
      <x:c r="Q804" t="n">
        <x:f>Q803+IF(AND(A804&lt;&gt;"",COUNTIFS(C804,"&gt;"&amp;TODAY(),C804,"&lt;="&amp;TODAY()+30)+COUNTIFS(D804,"&gt;"&amp;TODAY(),D804,"&lt;="&amp;TODAY()+30)+COUNTIFS(E804,"&gt;"&amp;TODAY(),E804,"&lt;="&amp;TODAY()+30)+COUNTIFS(F804,"&gt;"&amp;TODAY(),F804,"&lt;="&amp;TODAY()+30)&gt;0),1,0)</x:f>
        <x:v>0</x:v>
      </x:c>
      <x:c r="R804" t="n">
        <x:f>R803+IF(OR(LEFT(H804,15)="Missing dates; ",LEFT(H804,16)="Add N/A reason; ",H804="Add dates",H804="Add registration",H804="Check date format"),1,0)</x:f>
        <x:v>0</x:v>
      </x:c>
      <x:c r="S804" t="n">
        <x:f>S803+IF(COUNTIFS(C804:F804,"Reviewed N/A")&gt;0,1,0)</x:f>
        <x:v>0</x:v>
      </x:c>
    </x:row>
    <x:row r="805" ht="48" customHeight="1">
      <x:c r="A805" s="52"/>
      <x:c r="B805" s="52"/>
      <x:c r="C805" s="53"/>
      <x:c r="D805" s="53"/>
      <x:c r="E805" s="53"/>
      <x:c r="F805" s="53"/>
      <x:c r="G805" s="52"/>
      <x:c r="H805" s="21" t="str">
        <x:f>IF(COUNTA(A805:G805,I805)=0,"",IF(A805="","Add registration",IF(OR(COUNTA(C805:F805)&gt;COUNT(C805:F805)+COUNTIFS(C805:F805,"Reviewed N/A"),AND(COUNT(C805:F805)&gt;0,OR(MIN(C805:F805)&lt;36526,MAX(C805:F805)&gt;109574))),"Check date format",IF(AND(COUNTIFS(C805:F805,"Reviewed N/A")&gt;0,I805=""),"Add N/A reason; ","")&amp;IF(COUNT(C805:F805)=0,IF(COUNTIFS(C805:F805,"Reviewed N/A")=4,"No applicable dates recorded","Add dates"),IF(COUNT(C805:F805)+COUNTIFS(C805:F805,"Reviewed N/A")&lt;4,"Missing dates; ","")&amp;IF(MIN(C805:F805)&lt;TODAY(),"Overdue: ",IF(MIN(C805:F805)=TODAY(),"Due today: ",IF(MIN(C805:F805)&lt;=TODAY()+30,"Due within 30 days: ","Next: ")))&amp;INDEX($C$8:$F$8,1,MATCH(MIN(C805:F805),C805:F805,0))&amp;" "&amp;TEXT(MIN(C805:F805),"dd mmm yyyy")))))</x:f>
      </x:c>
      <x:c r="I805" s="52"/>
      <x:c r="J805" t="str">
        <x:f>IF(AND(A805&lt;&gt;"",COUNTIFS(C805,"&gt;=36526",C805,"&lt;"&amp;TODAY())+COUNTIFS(D805,"&gt;=36526",D805,"&lt;"&amp;TODAY())+COUNTIFS(E805,"&gt;=36526",E805,"&lt;"&amp;TODAY())+COUNTIFS(F805,"&gt;=36526",F805,"&lt;"&amp;TODAY())&gt;0),O805,"")</x:f>
      </x:c>
      <x:c r="K805" t="str">
        <x:f>IF(AND(A805&lt;&gt;"",COUNTIFS(C805,"&gt;=36526",C805,TODAY())+COUNTIFS(D805,"&gt;=36526",D805,TODAY())+COUNTIFS(E805,"&gt;=36526",E805,TODAY())+COUNTIFS(F805,"&gt;=36526",F805,TODAY())&gt;0),P805,"")</x:f>
      </x:c>
      <x:c r="L805" t="str">
        <x:f>IF(AND(A805&lt;&gt;"",COUNTIFS(C805,"&gt;"&amp;TODAY(),C805,"&lt;="&amp;TODAY()+30)+COUNTIFS(D805,"&gt;"&amp;TODAY(),D805,"&lt;="&amp;TODAY()+30)+COUNTIFS(E805,"&gt;"&amp;TODAY(),E805,"&lt;="&amp;TODAY()+30)+COUNTIFS(F805,"&gt;"&amp;TODAY(),F805,"&lt;="&amp;TODAY()+30)&gt;0),Q805,"")</x:f>
      </x:c>
      <x:c r="M805" t="str">
        <x:f>IF(OR(LEFT(H805,15)="Missing dates; ",LEFT(H805,16)="Add N/A reason; ",H805="Add dates",H805="Add registration",H805="Check date format"),R805,"")</x:f>
      </x:c>
      <x:c r="N805" t="str">
        <x:f>IF(COUNTIFS(C805:F805,"Reviewed N/A")&gt;0,S805,"")</x:f>
      </x:c>
      <x:c r="O805" t="n">
        <x:f>O804+IF(AND(A805&lt;&gt;"",COUNTIFS(C805,"&gt;=36526",C805,"&lt;"&amp;TODAY())+COUNTIFS(D805,"&gt;=36526",D805,"&lt;"&amp;TODAY())+COUNTIFS(E805,"&gt;=36526",E805,"&lt;"&amp;TODAY())+COUNTIFS(F805,"&gt;=36526",F805,"&lt;"&amp;TODAY())&gt;0),1,0)</x:f>
        <x:v>0</x:v>
      </x:c>
      <x:c r="P805" t="n">
        <x:f>P804+IF(AND(A805&lt;&gt;"",COUNTIFS(C805,"&gt;=36526",C805,TODAY())+COUNTIFS(D805,"&gt;=36526",D805,TODAY())+COUNTIFS(E805,"&gt;=36526",E805,TODAY())+COUNTIFS(F805,"&gt;=36526",F805,TODAY())&gt;0),1,0)</x:f>
        <x:v>0</x:v>
      </x:c>
      <x:c r="Q805" t="n">
        <x:f>Q804+IF(AND(A805&lt;&gt;"",COUNTIFS(C805,"&gt;"&amp;TODAY(),C805,"&lt;="&amp;TODAY()+30)+COUNTIFS(D805,"&gt;"&amp;TODAY(),D805,"&lt;="&amp;TODAY()+30)+COUNTIFS(E805,"&gt;"&amp;TODAY(),E805,"&lt;="&amp;TODAY()+30)+COUNTIFS(F805,"&gt;"&amp;TODAY(),F805,"&lt;="&amp;TODAY()+30)&gt;0),1,0)</x:f>
        <x:v>0</x:v>
      </x:c>
      <x:c r="R805" t="n">
        <x:f>R804+IF(OR(LEFT(H805,15)="Missing dates; ",LEFT(H805,16)="Add N/A reason; ",H805="Add dates",H805="Add registration",H805="Check date format"),1,0)</x:f>
        <x:v>0</x:v>
      </x:c>
      <x:c r="S805" t="n">
        <x:f>S804+IF(COUNTIFS(C805:F805,"Reviewed N/A")&gt;0,1,0)</x:f>
        <x:v>0</x:v>
      </x:c>
    </x:row>
    <x:row r="806" ht="48" customHeight="1">
      <x:c r="A806" s="52"/>
      <x:c r="B806" s="52"/>
      <x:c r="C806" s="53"/>
      <x:c r="D806" s="53"/>
      <x:c r="E806" s="53"/>
      <x:c r="F806" s="53"/>
      <x:c r="G806" s="52"/>
      <x:c r="H806" s="21" t="str">
        <x:f>IF(COUNTA(A806:G806,I806)=0,"",IF(A806="","Add registration",IF(OR(COUNTA(C806:F806)&gt;COUNT(C806:F806)+COUNTIFS(C806:F806,"Reviewed N/A"),AND(COUNT(C806:F806)&gt;0,OR(MIN(C806:F806)&lt;36526,MAX(C806:F806)&gt;109574))),"Check date format",IF(AND(COUNTIFS(C806:F806,"Reviewed N/A")&gt;0,I806=""),"Add N/A reason; ","")&amp;IF(COUNT(C806:F806)=0,IF(COUNTIFS(C806:F806,"Reviewed N/A")=4,"No applicable dates recorded","Add dates"),IF(COUNT(C806:F806)+COUNTIFS(C806:F806,"Reviewed N/A")&lt;4,"Missing dates; ","")&amp;IF(MIN(C806:F806)&lt;TODAY(),"Overdue: ",IF(MIN(C806:F806)=TODAY(),"Due today: ",IF(MIN(C806:F806)&lt;=TODAY()+30,"Due within 30 days: ","Next: ")))&amp;INDEX($C$8:$F$8,1,MATCH(MIN(C806:F806),C806:F806,0))&amp;" "&amp;TEXT(MIN(C806:F806),"dd mmm yyyy")))))</x:f>
      </x:c>
      <x:c r="I806" s="52"/>
      <x:c r="J806" t="str">
        <x:f>IF(AND(A806&lt;&gt;"",COUNTIFS(C806,"&gt;=36526",C806,"&lt;"&amp;TODAY())+COUNTIFS(D806,"&gt;=36526",D806,"&lt;"&amp;TODAY())+COUNTIFS(E806,"&gt;=36526",E806,"&lt;"&amp;TODAY())+COUNTIFS(F806,"&gt;=36526",F806,"&lt;"&amp;TODAY())&gt;0),O806,"")</x:f>
      </x:c>
      <x:c r="K806" t="str">
        <x:f>IF(AND(A806&lt;&gt;"",COUNTIFS(C806,"&gt;=36526",C806,TODAY())+COUNTIFS(D806,"&gt;=36526",D806,TODAY())+COUNTIFS(E806,"&gt;=36526",E806,TODAY())+COUNTIFS(F806,"&gt;=36526",F806,TODAY())&gt;0),P806,"")</x:f>
      </x:c>
      <x:c r="L806" t="str">
        <x:f>IF(AND(A806&lt;&gt;"",COUNTIFS(C806,"&gt;"&amp;TODAY(),C806,"&lt;="&amp;TODAY()+30)+COUNTIFS(D806,"&gt;"&amp;TODAY(),D806,"&lt;="&amp;TODAY()+30)+COUNTIFS(E806,"&gt;"&amp;TODAY(),E806,"&lt;="&amp;TODAY()+30)+COUNTIFS(F806,"&gt;"&amp;TODAY(),F806,"&lt;="&amp;TODAY()+30)&gt;0),Q806,"")</x:f>
      </x:c>
      <x:c r="M806" t="str">
        <x:f>IF(OR(LEFT(H806,15)="Missing dates; ",LEFT(H806,16)="Add N/A reason; ",H806="Add dates",H806="Add registration",H806="Check date format"),R806,"")</x:f>
      </x:c>
      <x:c r="N806" t="str">
        <x:f>IF(COUNTIFS(C806:F806,"Reviewed N/A")&gt;0,S806,"")</x:f>
      </x:c>
      <x:c r="O806" t="n">
        <x:f>O805+IF(AND(A806&lt;&gt;"",COUNTIFS(C806,"&gt;=36526",C806,"&lt;"&amp;TODAY())+COUNTIFS(D806,"&gt;=36526",D806,"&lt;"&amp;TODAY())+COUNTIFS(E806,"&gt;=36526",E806,"&lt;"&amp;TODAY())+COUNTIFS(F806,"&gt;=36526",F806,"&lt;"&amp;TODAY())&gt;0),1,0)</x:f>
        <x:v>0</x:v>
      </x:c>
      <x:c r="P806" t="n">
        <x:f>P805+IF(AND(A806&lt;&gt;"",COUNTIFS(C806,"&gt;=36526",C806,TODAY())+COUNTIFS(D806,"&gt;=36526",D806,TODAY())+COUNTIFS(E806,"&gt;=36526",E806,TODAY())+COUNTIFS(F806,"&gt;=36526",F806,TODAY())&gt;0),1,0)</x:f>
        <x:v>0</x:v>
      </x:c>
      <x:c r="Q806" t="n">
        <x:f>Q805+IF(AND(A806&lt;&gt;"",COUNTIFS(C806,"&gt;"&amp;TODAY(),C806,"&lt;="&amp;TODAY()+30)+COUNTIFS(D806,"&gt;"&amp;TODAY(),D806,"&lt;="&amp;TODAY()+30)+COUNTIFS(E806,"&gt;"&amp;TODAY(),E806,"&lt;="&amp;TODAY()+30)+COUNTIFS(F806,"&gt;"&amp;TODAY(),F806,"&lt;="&amp;TODAY()+30)&gt;0),1,0)</x:f>
        <x:v>0</x:v>
      </x:c>
      <x:c r="R806" t="n">
        <x:f>R805+IF(OR(LEFT(H806,15)="Missing dates; ",LEFT(H806,16)="Add N/A reason; ",H806="Add dates",H806="Add registration",H806="Check date format"),1,0)</x:f>
        <x:v>0</x:v>
      </x:c>
      <x:c r="S806" t="n">
        <x:f>S805+IF(COUNTIFS(C806:F806,"Reviewed N/A")&gt;0,1,0)</x:f>
        <x:v>0</x:v>
      </x:c>
    </x:row>
    <x:row r="807" ht="48" customHeight="1">
      <x:c r="A807" s="52"/>
      <x:c r="B807" s="52"/>
      <x:c r="C807" s="53"/>
      <x:c r="D807" s="53"/>
      <x:c r="E807" s="53"/>
      <x:c r="F807" s="53"/>
      <x:c r="G807" s="52"/>
      <x:c r="H807" s="21" t="str">
        <x:f>IF(COUNTA(A807:G807,I807)=0,"",IF(A807="","Add registration",IF(OR(COUNTA(C807:F807)&gt;COUNT(C807:F807)+COUNTIFS(C807:F807,"Reviewed N/A"),AND(COUNT(C807:F807)&gt;0,OR(MIN(C807:F807)&lt;36526,MAX(C807:F807)&gt;109574))),"Check date format",IF(AND(COUNTIFS(C807:F807,"Reviewed N/A")&gt;0,I807=""),"Add N/A reason; ","")&amp;IF(COUNT(C807:F807)=0,IF(COUNTIFS(C807:F807,"Reviewed N/A")=4,"No applicable dates recorded","Add dates"),IF(COUNT(C807:F807)+COUNTIFS(C807:F807,"Reviewed N/A")&lt;4,"Missing dates; ","")&amp;IF(MIN(C807:F807)&lt;TODAY(),"Overdue: ",IF(MIN(C807:F807)=TODAY(),"Due today: ",IF(MIN(C807:F807)&lt;=TODAY()+30,"Due within 30 days: ","Next: ")))&amp;INDEX($C$8:$F$8,1,MATCH(MIN(C807:F807),C807:F807,0))&amp;" "&amp;TEXT(MIN(C807:F807),"dd mmm yyyy")))))</x:f>
      </x:c>
      <x:c r="I807" s="52"/>
      <x:c r="J807" t="str">
        <x:f>IF(AND(A807&lt;&gt;"",COUNTIFS(C807,"&gt;=36526",C807,"&lt;"&amp;TODAY())+COUNTIFS(D807,"&gt;=36526",D807,"&lt;"&amp;TODAY())+COUNTIFS(E807,"&gt;=36526",E807,"&lt;"&amp;TODAY())+COUNTIFS(F807,"&gt;=36526",F807,"&lt;"&amp;TODAY())&gt;0),O807,"")</x:f>
      </x:c>
      <x:c r="K807" t="str">
        <x:f>IF(AND(A807&lt;&gt;"",COUNTIFS(C807,"&gt;=36526",C807,TODAY())+COUNTIFS(D807,"&gt;=36526",D807,TODAY())+COUNTIFS(E807,"&gt;=36526",E807,TODAY())+COUNTIFS(F807,"&gt;=36526",F807,TODAY())&gt;0),P807,"")</x:f>
      </x:c>
      <x:c r="L807" t="str">
        <x:f>IF(AND(A807&lt;&gt;"",COUNTIFS(C807,"&gt;"&amp;TODAY(),C807,"&lt;="&amp;TODAY()+30)+COUNTIFS(D807,"&gt;"&amp;TODAY(),D807,"&lt;="&amp;TODAY()+30)+COUNTIFS(E807,"&gt;"&amp;TODAY(),E807,"&lt;="&amp;TODAY()+30)+COUNTIFS(F807,"&gt;"&amp;TODAY(),F807,"&lt;="&amp;TODAY()+30)&gt;0),Q807,"")</x:f>
      </x:c>
      <x:c r="M807" t="str">
        <x:f>IF(OR(LEFT(H807,15)="Missing dates; ",LEFT(H807,16)="Add N/A reason; ",H807="Add dates",H807="Add registration",H807="Check date format"),R807,"")</x:f>
      </x:c>
      <x:c r="N807" t="str">
        <x:f>IF(COUNTIFS(C807:F807,"Reviewed N/A")&gt;0,S807,"")</x:f>
      </x:c>
      <x:c r="O807" t="n">
        <x:f>O806+IF(AND(A807&lt;&gt;"",COUNTIFS(C807,"&gt;=36526",C807,"&lt;"&amp;TODAY())+COUNTIFS(D807,"&gt;=36526",D807,"&lt;"&amp;TODAY())+COUNTIFS(E807,"&gt;=36526",E807,"&lt;"&amp;TODAY())+COUNTIFS(F807,"&gt;=36526",F807,"&lt;"&amp;TODAY())&gt;0),1,0)</x:f>
        <x:v>0</x:v>
      </x:c>
      <x:c r="P807" t="n">
        <x:f>P806+IF(AND(A807&lt;&gt;"",COUNTIFS(C807,"&gt;=36526",C807,TODAY())+COUNTIFS(D807,"&gt;=36526",D807,TODAY())+COUNTIFS(E807,"&gt;=36526",E807,TODAY())+COUNTIFS(F807,"&gt;=36526",F807,TODAY())&gt;0),1,0)</x:f>
        <x:v>0</x:v>
      </x:c>
      <x:c r="Q807" t="n">
        <x:f>Q806+IF(AND(A807&lt;&gt;"",COUNTIFS(C807,"&gt;"&amp;TODAY(),C807,"&lt;="&amp;TODAY()+30)+COUNTIFS(D807,"&gt;"&amp;TODAY(),D807,"&lt;="&amp;TODAY()+30)+COUNTIFS(E807,"&gt;"&amp;TODAY(),E807,"&lt;="&amp;TODAY()+30)+COUNTIFS(F807,"&gt;"&amp;TODAY(),F807,"&lt;="&amp;TODAY()+30)&gt;0),1,0)</x:f>
        <x:v>0</x:v>
      </x:c>
      <x:c r="R807" t="n">
        <x:f>R806+IF(OR(LEFT(H807,15)="Missing dates; ",LEFT(H807,16)="Add N/A reason; ",H807="Add dates",H807="Add registration",H807="Check date format"),1,0)</x:f>
        <x:v>0</x:v>
      </x:c>
      <x:c r="S807" t="n">
        <x:f>S806+IF(COUNTIFS(C807:F807,"Reviewed N/A")&gt;0,1,0)</x:f>
        <x:v>0</x:v>
      </x:c>
    </x:row>
    <x:row r="808" ht="48" customHeight="1">
      <x:c r="A808" s="52"/>
      <x:c r="B808" s="52"/>
      <x:c r="C808" s="53"/>
      <x:c r="D808" s="53"/>
      <x:c r="E808" s="53"/>
      <x:c r="F808" s="53"/>
      <x:c r="G808" s="52"/>
      <x:c r="H808" s="21" t="str">
        <x:f>IF(COUNTA(A808:G808,I808)=0,"",IF(A808="","Add registration",IF(OR(COUNTA(C808:F808)&gt;COUNT(C808:F808)+COUNTIFS(C808:F808,"Reviewed N/A"),AND(COUNT(C808:F808)&gt;0,OR(MIN(C808:F808)&lt;36526,MAX(C808:F808)&gt;109574))),"Check date format",IF(AND(COUNTIFS(C808:F808,"Reviewed N/A")&gt;0,I808=""),"Add N/A reason; ","")&amp;IF(COUNT(C808:F808)=0,IF(COUNTIFS(C808:F808,"Reviewed N/A")=4,"No applicable dates recorded","Add dates"),IF(COUNT(C808:F808)+COUNTIFS(C808:F808,"Reviewed N/A")&lt;4,"Missing dates; ","")&amp;IF(MIN(C808:F808)&lt;TODAY(),"Overdue: ",IF(MIN(C808:F808)=TODAY(),"Due today: ",IF(MIN(C808:F808)&lt;=TODAY()+30,"Due within 30 days: ","Next: ")))&amp;INDEX($C$8:$F$8,1,MATCH(MIN(C808:F808),C808:F808,0))&amp;" "&amp;TEXT(MIN(C808:F808),"dd mmm yyyy")))))</x:f>
      </x:c>
      <x:c r="I808" s="52"/>
      <x:c r="J808" t="str">
        <x:f>IF(AND(A808&lt;&gt;"",COUNTIFS(C808,"&gt;=36526",C808,"&lt;"&amp;TODAY())+COUNTIFS(D808,"&gt;=36526",D808,"&lt;"&amp;TODAY())+COUNTIFS(E808,"&gt;=36526",E808,"&lt;"&amp;TODAY())+COUNTIFS(F808,"&gt;=36526",F808,"&lt;"&amp;TODAY())&gt;0),O808,"")</x:f>
      </x:c>
      <x:c r="K808" t="str">
        <x:f>IF(AND(A808&lt;&gt;"",COUNTIFS(C808,"&gt;=36526",C808,TODAY())+COUNTIFS(D808,"&gt;=36526",D808,TODAY())+COUNTIFS(E808,"&gt;=36526",E808,TODAY())+COUNTIFS(F808,"&gt;=36526",F808,TODAY())&gt;0),P808,"")</x:f>
      </x:c>
      <x:c r="L808" t="str">
        <x:f>IF(AND(A808&lt;&gt;"",COUNTIFS(C808,"&gt;"&amp;TODAY(),C808,"&lt;="&amp;TODAY()+30)+COUNTIFS(D808,"&gt;"&amp;TODAY(),D808,"&lt;="&amp;TODAY()+30)+COUNTIFS(E808,"&gt;"&amp;TODAY(),E808,"&lt;="&amp;TODAY()+30)+COUNTIFS(F808,"&gt;"&amp;TODAY(),F808,"&lt;="&amp;TODAY()+30)&gt;0),Q808,"")</x:f>
      </x:c>
      <x:c r="M808" t="str">
        <x:f>IF(OR(LEFT(H808,15)="Missing dates; ",LEFT(H808,16)="Add N/A reason; ",H808="Add dates",H808="Add registration",H808="Check date format"),R808,"")</x:f>
      </x:c>
      <x:c r="N808" t="str">
        <x:f>IF(COUNTIFS(C808:F808,"Reviewed N/A")&gt;0,S808,"")</x:f>
      </x:c>
      <x:c r="O808" t="n">
        <x:f>O807+IF(AND(A808&lt;&gt;"",COUNTIFS(C808,"&gt;=36526",C808,"&lt;"&amp;TODAY())+COUNTIFS(D808,"&gt;=36526",D808,"&lt;"&amp;TODAY())+COUNTIFS(E808,"&gt;=36526",E808,"&lt;"&amp;TODAY())+COUNTIFS(F808,"&gt;=36526",F808,"&lt;"&amp;TODAY())&gt;0),1,0)</x:f>
        <x:v>0</x:v>
      </x:c>
      <x:c r="P808" t="n">
        <x:f>P807+IF(AND(A808&lt;&gt;"",COUNTIFS(C808,"&gt;=36526",C808,TODAY())+COUNTIFS(D808,"&gt;=36526",D808,TODAY())+COUNTIFS(E808,"&gt;=36526",E808,TODAY())+COUNTIFS(F808,"&gt;=36526",F808,TODAY())&gt;0),1,0)</x:f>
        <x:v>0</x:v>
      </x:c>
      <x:c r="Q808" t="n">
        <x:f>Q807+IF(AND(A808&lt;&gt;"",COUNTIFS(C808,"&gt;"&amp;TODAY(),C808,"&lt;="&amp;TODAY()+30)+COUNTIFS(D808,"&gt;"&amp;TODAY(),D808,"&lt;="&amp;TODAY()+30)+COUNTIFS(E808,"&gt;"&amp;TODAY(),E808,"&lt;="&amp;TODAY()+30)+COUNTIFS(F808,"&gt;"&amp;TODAY(),F808,"&lt;="&amp;TODAY()+30)&gt;0),1,0)</x:f>
        <x:v>0</x:v>
      </x:c>
      <x:c r="R808" t="n">
        <x:f>R807+IF(OR(LEFT(H808,15)="Missing dates; ",LEFT(H808,16)="Add N/A reason; ",H808="Add dates",H808="Add registration",H808="Check date format"),1,0)</x:f>
        <x:v>0</x:v>
      </x:c>
      <x:c r="S808" t="n">
        <x:f>S807+IF(COUNTIFS(C808:F808,"Reviewed N/A")&gt;0,1,0)</x:f>
        <x:v>0</x:v>
      </x:c>
    </x:row>
    <x:row r="809" ht="48" customHeight="1">
      <x:c r="A809" s="52"/>
      <x:c r="B809" s="52"/>
      <x:c r="C809" s="53"/>
      <x:c r="D809" s="53"/>
      <x:c r="E809" s="53"/>
      <x:c r="F809" s="53"/>
      <x:c r="G809" s="52"/>
      <x:c r="H809" s="21" t="str">
        <x:f>IF(COUNTA(A809:G809,I809)=0,"",IF(A809="","Add registration",IF(OR(COUNTA(C809:F809)&gt;COUNT(C809:F809)+COUNTIFS(C809:F809,"Reviewed N/A"),AND(COUNT(C809:F809)&gt;0,OR(MIN(C809:F809)&lt;36526,MAX(C809:F809)&gt;109574))),"Check date format",IF(AND(COUNTIFS(C809:F809,"Reviewed N/A")&gt;0,I809=""),"Add N/A reason; ","")&amp;IF(COUNT(C809:F809)=0,IF(COUNTIFS(C809:F809,"Reviewed N/A")=4,"No applicable dates recorded","Add dates"),IF(COUNT(C809:F809)+COUNTIFS(C809:F809,"Reviewed N/A")&lt;4,"Missing dates; ","")&amp;IF(MIN(C809:F809)&lt;TODAY(),"Overdue: ",IF(MIN(C809:F809)=TODAY(),"Due today: ",IF(MIN(C809:F809)&lt;=TODAY()+30,"Due within 30 days: ","Next: ")))&amp;INDEX($C$8:$F$8,1,MATCH(MIN(C809:F809),C809:F809,0))&amp;" "&amp;TEXT(MIN(C809:F809),"dd mmm yyyy")))))</x:f>
      </x:c>
      <x:c r="I809" s="52"/>
      <x:c r="J809" t="str">
        <x:f>IF(AND(A809&lt;&gt;"",COUNTIFS(C809,"&gt;=36526",C809,"&lt;"&amp;TODAY())+COUNTIFS(D809,"&gt;=36526",D809,"&lt;"&amp;TODAY())+COUNTIFS(E809,"&gt;=36526",E809,"&lt;"&amp;TODAY())+COUNTIFS(F809,"&gt;=36526",F809,"&lt;"&amp;TODAY())&gt;0),O809,"")</x:f>
      </x:c>
      <x:c r="K809" t="str">
        <x:f>IF(AND(A809&lt;&gt;"",COUNTIFS(C809,"&gt;=36526",C809,TODAY())+COUNTIFS(D809,"&gt;=36526",D809,TODAY())+COUNTIFS(E809,"&gt;=36526",E809,TODAY())+COUNTIFS(F809,"&gt;=36526",F809,TODAY())&gt;0),P809,"")</x:f>
      </x:c>
      <x:c r="L809" t="str">
        <x:f>IF(AND(A809&lt;&gt;"",COUNTIFS(C809,"&gt;"&amp;TODAY(),C809,"&lt;="&amp;TODAY()+30)+COUNTIFS(D809,"&gt;"&amp;TODAY(),D809,"&lt;="&amp;TODAY()+30)+COUNTIFS(E809,"&gt;"&amp;TODAY(),E809,"&lt;="&amp;TODAY()+30)+COUNTIFS(F809,"&gt;"&amp;TODAY(),F809,"&lt;="&amp;TODAY()+30)&gt;0),Q809,"")</x:f>
      </x:c>
      <x:c r="M809" t="str">
        <x:f>IF(OR(LEFT(H809,15)="Missing dates; ",LEFT(H809,16)="Add N/A reason; ",H809="Add dates",H809="Add registration",H809="Check date format"),R809,"")</x:f>
      </x:c>
      <x:c r="N809" t="str">
        <x:f>IF(COUNTIFS(C809:F809,"Reviewed N/A")&gt;0,S809,"")</x:f>
      </x:c>
      <x:c r="O809" t="n">
        <x:f>O808+IF(AND(A809&lt;&gt;"",COUNTIFS(C809,"&gt;=36526",C809,"&lt;"&amp;TODAY())+COUNTIFS(D809,"&gt;=36526",D809,"&lt;"&amp;TODAY())+COUNTIFS(E809,"&gt;=36526",E809,"&lt;"&amp;TODAY())+COUNTIFS(F809,"&gt;=36526",F809,"&lt;"&amp;TODAY())&gt;0),1,0)</x:f>
        <x:v>0</x:v>
      </x:c>
      <x:c r="P809" t="n">
        <x:f>P808+IF(AND(A809&lt;&gt;"",COUNTIFS(C809,"&gt;=36526",C809,TODAY())+COUNTIFS(D809,"&gt;=36526",D809,TODAY())+COUNTIFS(E809,"&gt;=36526",E809,TODAY())+COUNTIFS(F809,"&gt;=36526",F809,TODAY())&gt;0),1,0)</x:f>
        <x:v>0</x:v>
      </x:c>
      <x:c r="Q809" t="n">
        <x:f>Q808+IF(AND(A809&lt;&gt;"",COUNTIFS(C809,"&gt;"&amp;TODAY(),C809,"&lt;="&amp;TODAY()+30)+COUNTIFS(D809,"&gt;"&amp;TODAY(),D809,"&lt;="&amp;TODAY()+30)+COUNTIFS(E809,"&gt;"&amp;TODAY(),E809,"&lt;="&amp;TODAY()+30)+COUNTIFS(F809,"&gt;"&amp;TODAY(),F809,"&lt;="&amp;TODAY()+30)&gt;0),1,0)</x:f>
        <x:v>0</x:v>
      </x:c>
      <x:c r="R809" t="n">
        <x:f>R808+IF(OR(LEFT(H809,15)="Missing dates; ",LEFT(H809,16)="Add N/A reason; ",H809="Add dates",H809="Add registration",H809="Check date format"),1,0)</x:f>
        <x:v>0</x:v>
      </x:c>
      <x:c r="S809" t="n">
        <x:f>S808+IF(COUNTIFS(C809:F809,"Reviewed N/A")&gt;0,1,0)</x:f>
        <x:v>0</x:v>
      </x:c>
    </x:row>
    <x:row r="810" ht="48" customHeight="1">
      <x:c r="A810" s="52"/>
      <x:c r="B810" s="52"/>
      <x:c r="C810" s="53"/>
      <x:c r="D810" s="53"/>
      <x:c r="E810" s="53"/>
      <x:c r="F810" s="53"/>
      <x:c r="G810" s="52"/>
      <x:c r="H810" s="21" t="str">
        <x:f>IF(COUNTA(A810:G810,I810)=0,"",IF(A810="","Add registration",IF(OR(COUNTA(C810:F810)&gt;COUNT(C810:F810)+COUNTIFS(C810:F810,"Reviewed N/A"),AND(COUNT(C810:F810)&gt;0,OR(MIN(C810:F810)&lt;36526,MAX(C810:F810)&gt;109574))),"Check date format",IF(AND(COUNTIFS(C810:F810,"Reviewed N/A")&gt;0,I810=""),"Add N/A reason; ","")&amp;IF(COUNT(C810:F810)=0,IF(COUNTIFS(C810:F810,"Reviewed N/A")=4,"No applicable dates recorded","Add dates"),IF(COUNT(C810:F810)+COUNTIFS(C810:F810,"Reviewed N/A")&lt;4,"Missing dates; ","")&amp;IF(MIN(C810:F810)&lt;TODAY(),"Overdue: ",IF(MIN(C810:F810)=TODAY(),"Due today: ",IF(MIN(C810:F810)&lt;=TODAY()+30,"Due within 30 days: ","Next: ")))&amp;INDEX($C$8:$F$8,1,MATCH(MIN(C810:F810),C810:F810,0))&amp;" "&amp;TEXT(MIN(C810:F810),"dd mmm yyyy")))))</x:f>
      </x:c>
      <x:c r="I810" s="52"/>
      <x:c r="J810" t="str">
        <x:f>IF(AND(A810&lt;&gt;"",COUNTIFS(C810,"&gt;=36526",C810,"&lt;"&amp;TODAY())+COUNTIFS(D810,"&gt;=36526",D810,"&lt;"&amp;TODAY())+COUNTIFS(E810,"&gt;=36526",E810,"&lt;"&amp;TODAY())+COUNTIFS(F810,"&gt;=36526",F810,"&lt;"&amp;TODAY())&gt;0),O810,"")</x:f>
      </x:c>
      <x:c r="K810" t="str">
        <x:f>IF(AND(A810&lt;&gt;"",COUNTIFS(C810,"&gt;=36526",C810,TODAY())+COUNTIFS(D810,"&gt;=36526",D810,TODAY())+COUNTIFS(E810,"&gt;=36526",E810,TODAY())+COUNTIFS(F810,"&gt;=36526",F810,TODAY())&gt;0),P810,"")</x:f>
      </x:c>
      <x:c r="L810" t="str">
        <x:f>IF(AND(A810&lt;&gt;"",COUNTIFS(C810,"&gt;"&amp;TODAY(),C810,"&lt;="&amp;TODAY()+30)+COUNTIFS(D810,"&gt;"&amp;TODAY(),D810,"&lt;="&amp;TODAY()+30)+COUNTIFS(E810,"&gt;"&amp;TODAY(),E810,"&lt;="&amp;TODAY()+30)+COUNTIFS(F810,"&gt;"&amp;TODAY(),F810,"&lt;="&amp;TODAY()+30)&gt;0),Q810,"")</x:f>
      </x:c>
      <x:c r="M810" t="str">
        <x:f>IF(OR(LEFT(H810,15)="Missing dates; ",LEFT(H810,16)="Add N/A reason; ",H810="Add dates",H810="Add registration",H810="Check date format"),R810,"")</x:f>
      </x:c>
      <x:c r="N810" t="str">
        <x:f>IF(COUNTIFS(C810:F810,"Reviewed N/A")&gt;0,S810,"")</x:f>
      </x:c>
      <x:c r="O810" t="n">
        <x:f>O809+IF(AND(A810&lt;&gt;"",COUNTIFS(C810,"&gt;=36526",C810,"&lt;"&amp;TODAY())+COUNTIFS(D810,"&gt;=36526",D810,"&lt;"&amp;TODAY())+COUNTIFS(E810,"&gt;=36526",E810,"&lt;"&amp;TODAY())+COUNTIFS(F810,"&gt;=36526",F810,"&lt;"&amp;TODAY())&gt;0),1,0)</x:f>
        <x:v>0</x:v>
      </x:c>
      <x:c r="P810" t="n">
        <x:f>P809+IF(AND(A810&lt;&gt;"",COUNTIFS(C810,"&gt;=36526",C810,TODAY())+COUNTIFS(D810,"&gt;=36526",D810,TODAY())+COUNTIFS(E810,"&gt;=36526",E810,TODAY())+COUNTIFS(F810,"&gt;=36526",F810,TODAY())&gt;0),1,0)</x:f>
        <x:v>0</x:v>
      </x:c>
      <x:c r="Q810" t="n">
        <x:f>Q809+IF(AND(A810&lt;&gt;"",COUNTIFS(C810,"&gt;"&amp;TODAY(),C810,"&lt;="&amp;TODAY()+30)+COUNTIFS(D810,"&gt;"&amp;TODAY(),D810,"&lt;="&amp;TODAY()+30)+COUNTIFS(E810,"&gt;"&amp;TODAY(),E810,"&lt;="&amp;TODAY()+30)+COUNTIFS(F810,"&gt;"&amp;TODAY(),F810,"&lt;="&amp;TODAY()+30)&gt;0),1,0)</x:f>
        <x:v>0</x:v>
      </x:c>
      <x:c r="R810" t="n">
        <x:f>R809+IF(OR(LEFT(H810,15)="Missing dates; ",LEFT(H810,16)="Add N/A reason; ",H810="Add dates",H810="Add registration",H810="Check date format"),1,0)</x:f>
        <x:v>0</x:v>
      </x:c>
      <x:c r="S810" t="n">
        <x:f>S809+IF(COUNTIFS(C810:F810,"Reviewed N/A")&gt;0,1,0)</x:f>
        <x:v>0</x:v>
      </x:c>
    </x:row>
    <x:row r="811" ht="48" customHeight="1">
      <x:c r="A811" s="52"/>
      <x:c r="B811" s="52"/>
      <x:c r="C811" s="53"/>
      <x:c r="D811" s="53"/>
      <x:c r="E811" s="53"/>
      <x:c r="F811" s="53"/>
      <x:c r="G811" s="52"/>
      <x:c r="H811" s="21" t="str">
        <x:f>IF(COUNTA(A811:G811,I811)=0,"",IF(A811="","Add registration",IF(OR(COUNTA(C811:F811)&gt;COUNT(C811:F811)+COUNTIFS(C811:F811,"Reviewed N/A"),AND(COUNT(C811:F811)&gt;0,OR(MIN(C811:F811)&lt;36526,MAX(C811:F811)&gt;109574))),"Check date format",IF(AND(COUNTIFS(C811:F811,"Reviewed N/A")&gt;0,I811=""),"Add N/A reason; ","")&amp;IF(COUNT(C811:F811)=0,IF(COUNTIFS(C811:F811,"Reviewed N/A")=4,"No applicable dates recorded","Add dates"),IF(COUNT(C811:F811)+COUNTIFS(C811:F811,"Reviewed N/A")&lt;4,"Missing dates; ","")&amp;IF(MIN(C811:F811)&lt;TODAY(),"Overdue: ",IF(MIN(C811:F811)=TODAY(),"Due today: ",IF(MIN(C811:F811)&lt;=TODAY()+30,"Due within 30 days: ","Next: ")))&amp;INDEX($C$8:$F$8,1,MATCH(MIN(C811:F811),C811:F811,0))&amp;" "&amp;TEXT(MIN(C811:F811),"dd mmm yyyy")))))</x:f>
      </x:c>
      <x:c r="I811" s="52"/>
      <x:c r="J811" t="str">
        <x:f>IF(AND(A811&lt;&gt;"",COUNTIFS(C811,"&gt;=36526",C811,"&lt;"&amp;TODAY())+COUNTIFS(D811,"&gt;=36526",D811,"&lt;"&amp;TODAY())+COUNTIFS(E811,"&gt;=36526",E811,"&lt;"&amp;TODAY())+COUNTIFS(F811,"&gt;=36526",F811,"&lt;"&amp;TODAY())&gt;0),O811,"")</x:f>
      </x:c>
      <x:c r="K811" t="str">
        <x:f>IF(AND(A811&lt;&gt;"",COUNTIFS(C811,"&gt;=36526",C811,TODAY())+COUNTIFS(D811,"&gt;=36526",D811,TODAY())+COUNTIFS(E811,"&gt;=36526",E811,TODAY())+COUNTIFS(F811,"&gt;=36526",F811,TODAY())&gt;0),P811,"")</x:f>
      </x:c>
      <x:c r="L811" t="str">
        <x:f>IF(AND(A811&lt;&gt;"",COUNTIFS(C811,"&gt;"&amp;TODAY(),C811,"&lt;="&amp;TODAY()+30)+COUNTIFS(D811,"&gt;"&amp;TODAY(),D811,"&lt;="&amp;TODAY()+30)+COUNTIFS(E811,"&gt;"&amp;TODAY(),E811,"&lt;="&amp;TODAY()+30)+COUNTIFS(F811,"&gt;"&amp;TODAY(),F811,"&lt;="&amp;TODAY()+30)&gt;0),Q811,"")</x:f>
      </x:c>
      <x:c r="M811" t="str">
        <x:f>IF(OR(LEFT(H811,15)="Missing dates; ",LEFT(H811,16)="Add N/A reason; ",H811="Add dates",H811="Add registration",H811="Check date format"),R811,"")</x:f>
      </x:c>
      <x:c r="N811" t="str">
        <x:f>IF(COUNTIFS(C811:F811,"Reviewed N/A")&gt;0,S811,"")</x:f>
      </x:c>
      <x:c r="O811" t="n">
        <x:f>O810+IF(AND(A811&lt;&gt;"",COUNTIFS(C811,"&gt;=36526",C811,"&lt;"&amp;TODAY())+COUNTIFS(D811,"&gt;=36526",D811,"&lt;"&amp;TODAY())+COUNTIFS(E811,"&gt;=36526",E811,"&lt;"&amp;TODAY())+COUNTIFS(F811,"&gt;=36526",F811,"&lt;"&amp;TODAY())&gt;0),1,0)</x:f>
        <x:v>0</x:v>
      </x:c>
      <x:c r="P811" t="n">
        <x:f>P810+IF(AND(A811&lt;&gt;"",COUNTIFS(C811,"&gt;=36526",C811,TODAY())+COUNTIFS(D811,"&gt;=36526",D811,TODAY())+COUNTIFS(E811,"&gt;=36526",E811,TODAY())+COUNTIFS(F811,"&gt;=36526",F811,TODAY())&gt;0),1,0)</x:f>
        <x:v>0</x:v>
      </x:c>
      <x:c r="Q811" t="n">
        <x:f>Q810+IF(AND(A811&lt;&gt;"",COUNTIFS(C811,"&gt;"&amp;TODAY(),C811,"&lt;="&amp;TODAY()+30)+COUNTIFS(D811,"&gt;"&amp;TODAY(),D811,"&lt;="&amp;TODAY()+30)+COUNTIFS(E811,"&gt;"&amp;TODAY(),E811,"&lt;="&amp;TODAY()+30)+COUNTIFS(F811,"&gt;"&amp;TODAY(),F811,"&lt;="&amp;TODAY()+30)&gt;0),1,0)</x:f>
        <x:v>0</x:v>
      </x:c>
      <x:c r="R811" t="n">
        <x:f>R810+IF(OR(LEFT(H811,15)="Missing dates; ",LEFT(H811,16)="Add N/A reason; ",H811="Add dates",H811="Add registration",H811="Check date format"),1,0)</x:f>
        <x:v>0</x:v>
      </x:c>
      <x:c r="S811" t="n">
        <x:f>S810+IF(COUNTIFS(C811:F811,"Reviewed N/A")&gt;0,1,0)</x:f>
        <x:v>0</x:v>
      </x:c>
    </x:row>
    <x:row r="812" ht="48" customHeight="1">
      <x:c r="A812" s="52"/>
      <x:c r="B812" s="52"/>
      <x:c r="C812" s="53"/>
      <x:c r="D812" s="53"/>
      <x:c r="E812" s="53"/>
      <x:c r="F812" s="53"/>
      <x:c r="G812" s="52"/>
      <x:c r="H812" s="21" t="str">
        <x:f>IF(COUNTA(A812:G812,I812)=0,"",IF(A812="","Add registration",IF(OR(COUNTA(C812:F812)&gt;COUNT(C812:F812)+COUNTIFS(C812:F812,"Reviewed N/A"),AND(COUNT(C812:F812)&gt;0,OR(MIN(C812:F812)&lt;36526,MAX(C812:F812)&gt;109574))),"Check date format",IF(AND(COUNTIFS(C812:F812,"Reviewed N/A")&gt;0,I812=""),"Add N/A reason; ","")&amp;IF(COUNT(C812:F812)=0,IF(COUNTIFS(C812:F812,"Reviewed N/A")=4,"No applicable dates recorded","Add dates"),IF(COUNT(C812:F812)+COUNTIFS(C812:F812,"Reviewed N/A")&lt;4,"Missing dates; ","")&amp;IF(MIN(C812:F812)&lt;TODAY(),"Overdue: ",IF(MIN(C812:F812)=TODAY(),"Due today: ",IF(MIN(C812:F812)&lt;=TODAY()+30,"Due within 30 days: ","Next: ")))&amp;INDEX($C$8:$F$8,1,MATCH(MIN(C812:F812),C812:F812,0))&amp;" "&amp;TEXT(MIN(C812:F812),"dd mmm yyyy")))))</x:f>
      </x:c>
      <x:c r="I812" s="52"/>
      <x:c r="J812" t="str">
        <x:f>IF(AND(A812&lt;&gt;"",COUNTIFS(C812,"&gt;=36526",C812,"&lt;"&amp;TODAY())+COUNTIFS(D812,"&gt;=36526",D812,"&lt;"&amp;TODAY())+COUNTIFS(E812,"&gt;=36526",E812,"&lt;"&amp;TODAY())+COUNTIFS(F812,"&gt;=36526",F812,"&lt;"&amp;TODAY())&gt;0),O812,"")</x:f>
      </x:c>
      <x:c r="K812" t="str">
        <x:f>IF(AND(A812&lt;&gt;"",COUNTIFS(C812,"&gt;=36526",C812,TODAY())+COUNTIFS(D812,"&gt;=36526",D812,TODAY())+COUNTIFS(E812,"&gt;=36526",E812,TODAY())+COUNTIFS(F812,"&gt;=36526",F812,TODAY())&gt;0),P812,"")</x:f>
      </x:c>
      <x:c r="L812" t="str">
        <x:f>IF(AND(A812&lt;&gt;"",COUNTIFS(C812,"&gt;"&amp;TODAY(),C812,"&lt;="&amp;TODAY()+30)+COUNTIFS(D812,"&gt;"&amp;TODAY(),D812,"&lt;="&amp;TODAY()+30)+COUNTIFS(E812,"&gt;"&amp;TODAY(),E812,"&lt;="&amp;TODAY()+30)+COUNTIFS(F812,"&gt;"&amp;TODAY(),F812,"&lt;="&amp;TODAY()+30)&gt;0),Q812,"")</x:f>
      </x:c>
      <x:c r="M812" t="str">
        <x:f>IF(OR(LEFT(H812,15)="Missing dates; ",LEFT(H812,16)="Add N/A reason; ",H812="Add dates",H812="Add registration",H812="Check date format"),R812,"")</x:f>
      </x:c>
      <x:c r="N812" t="str">
        <x:f>IF(COUNTIFS(C812:F812,"Reviewed N/A")&gt;0,S812,"")</x:f>
      </x:c>
      <x:c r="O812" t="n">
        <x:f>O811+IF(AND(A812&lt;&gt;"",COUNTIFS(C812,"&gt;=36526",C812,"&lt;"&amp;TODAY())+COUNTIFS(D812,"&gt;=36526",D812,"&lt;"&amp;TODAY())+COUNTIFS(E812,"&gt;=36526",E812,"&lt;"&amp;TODAY())+COUNTIFS(F812,"&gt;=36526",F812,"&lt;"&amp;TODAY())&gt;0),1,0)</x:f>
        <x:v>0</x:v>
      </x:c>
      <x:c r="P812" t="n">
        <x:f>P811+IF(AND(A812&lt;&gt;"",COUNTIFS(C812,"&gt;=36526",C812,TODAY())+COUNTIFS(D812,"&gt;=36526",D812,TODAY())+COUNTIFS(E812,"&gt;=36526",E812,TODAY())+COUNTIFS(F812,"&gt;=36526",F812,TODAY())&gt;0),1,0)</x:f>
        <x:v>0</x:v>
      </x:c>
      <x:c r="Q812" t="n">
        <x:f>Q811+IF(AND(A812&lt;&gt;"",COUNTIFS(C812,"&gt;"&amp;TODAY(),C812,"&lt;="&amp;TODAY()+30)+COUNTIFS(D812,"&gt;"&amp;TODAY(),D812,"&lt;="&amp;TODAY()+30)+COUNTIFS(E812,"&gt;"&amp;TODAY(),E812,"&lt;="&amp;TODAY()+30)+COUNTIFS(F812,"&gt;"&amp;TODAY(),F812,"&lt;="&amp;TODAY()+30)&gt;0),1,0)</x:f>
        <x:v>0</x:v>
      </x:c>
      <x:c r="R812" t="n">
        <x:f>R811+IF(OR(LEFT(H812,15)="Missing dates; ",LEFT(H812,16)="Add N/A reason; ",H812="Add dates",H812="Add registration",H812="Check date format"),1,0)</x:f>
        <x:v>0</x:v>
      </x:c>
      <x:c r="S812" t="n">
        <x:f>S811+IF(COUNTIFS(C812:F812,"Reviewed N/A")&gt;0,1,0)</x:f>
        <x:v>0</x:v>
      </x:c>
    </x:row>
    <x:row r="813" ht="48" customHeight="1">
      <x:c r="A813" s="52"/>
      <x:c r="B813" s="52"/>
      <x:c r="C813" s="53"/>
      <x:c r="D813" s="53"/>
      <x:c r="E813" s="53"/>
      <x:c r="F813" s="53"/>
      <x:c r="G813" s="52"/>
      <x:c r="H813" s="21" t="str">
        <x:f>IF(COUNTA(A813:G813,I813)=0,"",IF(A813="","Add registration",IF(OR(COUNTA(C813:F813)&gt;COUNT(C813:F813)+COUNTIFS(C813:F813,"Reviewed N/A"),AND(COUNT(C813:F813)&gt;0,OR(MIN(C813:F813)&lt;36526,MAX(C813:F813)&gt;109574))),"Check date format",IF(AND(COUNTIFS(C813:F813,"Reviewed N/A")&gt;0,I813=""),"Add N/A reason; ","")&amp;IF(COUNT(C813:F813)=0,IF(COUNTIFS(C813:F813,"Reviewed N/A")=4,"No applicable dates recorded","Add dates"),IF(COUNT(C813:F813)+COUNTIFS(C813:F813,"Reviewed N/A")&lt;4,"Missing dates; ","")&amp;IF(MIN(C813:F813)&lt;TODAY(),"Overdue: ",IF(MIN(C813:F813)=TODAY(),"Due today: ",IF(MIN(C813:F813)&lt;=TODAY()+30,"Due within 30 days: ","Next: ")))&amp;INDEX($C$8:$F$8,1,MATCH(MIN(C813:F813),C813:F813,0))&amp;" "&amp;TEXT(MIN(C813:F813),"dd mmm yyyy")))))</x:f>
      </x:c>
      <x:c r="I813" s="52"/>
      <x:c r="J813" t="str">
        <x:f>IF(AND(A813&lt;&gt;"",COUNTIFS(C813,"&gt;=36526",C813,"&lt;"&amp;TODAY())+COUNTIFS(D813,"&gt;=36526",D813,"&lt;"&amp;TODAY())+COUNTIFS(E813,"&gt;=36526",E813,"&lt;"&amp;TODAY())+COUNTIFS(F813,"&gt;=36526",F813,"&lt;"&amp;TODAY())&gt;0),O813,"")</x:f>
      </x:c>
      <x:c r="K813" t="str">
        <x:f>IF(AND(A813&lt;&gt;"",COUNTIFS(C813,"&gt;=36526",C813,TODAY())+COUNTIFS(D813,"&gt;=36526",D813,TODAY())+COUNTIFS(E813,"&gt;=36526",E813,TODAY())+COUNTIFS(F813,"&gt;=36526",F813,TODAY())&gt;0),P813,"")</x:f>
      </x:c>
      <x:c r="L813" t="str">
        <x:f>IF(AND(A813&lt;&gt;"",COUNTIFS(C813,"&gt;"&amp;TODAY(),C813,"&lt;="&amp;TODAY()+30)+COUNTIFS(D813,"&gt;"&amp;TODAY(),D813,"&lt;="&amp;TODAY()+30)+COUNTIFS(E813,"&gt;"&amp;TODAY(),E813,"&lt;="&amp;TODAY()+30)+COUNTIFS(F813,"&gt;"&amp;TODAY(),F813,"&lt;="&amp;TODAY()+30)&gt;0),Q813,"")</x:f>
      </x:c>
      <x:c r="M813" t="str">
        <x:f>IF(OR(LEFT(H813,15)="Missing dates; ",LEFT(H813,16)="Add N/A reason; ",H813="Add dates",H813="Add registration",H813="Check date format"),R813,"")</x:f>
      </x:c>
      <x:c r="N813" t="str">
        <x:f>IF(COUNTIFS(C813:F813,"Reviewed N/A")&gt;0,S813,"")</x:f>
      </x:c>
      <x:c r="O813" t="n">
        <x:f>O812+IF(AND(A813&lt;&gt;"",COUNTIFS(C813,"&gt;=36526",C813,"&lt;"&amp;TODAY())+COUNTIFS(D813,"&gt;=36526",D813,"&lt;"&amp;TODAY())+COUNTIFS(E813,"&gt;=36526",E813,"&lt;"&amp;TODAY())+COUNTIFS(F813,"&gt;=36526",F813,"&lt;"&amp;TODAY())&gt;0),1,0)</x:f>
        <x:v>0</x:v>
      </x:c>
      <x:c r="P813" t="n">
        <x:f>P812+IF(AND(A813&lt;&gt;"",COUNTIFS(C813,"&gt;=36526",C813,TODAY())+COUNTIFS(D813,"&gt;=36526",D813,TODAY())+COUNTIFS(E813,"&gt;=36526",E813,TODAY())+COUNTIFS(F813,"&gt;=36526",F813,TODAY())&gt;0),1,0)</x:f>
        <x:v>0</x:v>
      </x:c>
      <x:c r="Q813" t="n">
        <x:f>Q812+IF(AND(A813&lt;&gt;"",COUNTIFS(C813,"&gt;"&amp;TODAY(),C813,"&lt;="&amp;TODAY()+30)+COUNTIFS(D813,"&gt;"&amp;TODAY(),D813,"&lt;="&amp;TODAY()+30)+COUNTIFS(E813,"&gt;"&amp;TODAY(),E813,"&lt;="&amp;TODAY()+30)+COUNTIFS(F813,"&gt;"&amp;TODAY(),F813,"&lt;="&amp;TODAY()+30)&gt;0),1,0)</x:f>
        <x:v>0</x:v>
      </x:c>
      <x:c r="R813" t="n">
        <x:f>R812+IF(OR(LEFT(H813,15)="Missing dates; ",LEFT(H813,16)="Add N/A reason; ",H813="Add dates",H813="Add registration",H813="Check date format"),1,0)</x:f>
        <x:v>0</x:v>
      </x:c>
      <x:c r="S813" t="n">
        <x:f>S812+IF(COUNTIFS(C813:F813,"Reviewed N/A")&gt;0,1,0)</x:f>
        <x:v>0</x:v>
      </x:c>
    </x:row>
    <x:row r="814" ht="48" customHeight="1">
      <x:c r="A814" s="52"/>
      <x:c r="B814" s="52"/>
      <x:c r="C814" s="53"/>
      <x:c r="D814" s="53"/>
      <x:c r="E814" s="53"/>
      <x:c r="F814" s="53"/>
      <x:c r="G814" s="52"/>
      <x:c r="H814" s="21" t="str">
        <x:f>IF(COUNTA(A814:G814,I814)=0,"",IF(A814="","Add registration",IF(OR(COUNTA(C814:F814)&gt;COUNT(C814:F814)+COUNTIFS(C814:F814,"Reviewed N/A"),AND(COUNT(C814:F814)&gt;0,OR(MIN(C814:F814)&lt;36526,MAX(C814:F814)&gt;109574))),"Check date format",IF(AND(COUNTIFS(C814:F814,"Reviewed N/A")&gt;0,I814=""),"Add N/A reason; ","")&amp;IF(COUNT(C814:F814)=0,IF(COUNTIFS(C814:F814,"Reviewed N/A")=4,"No applicable dates recorded","Add dates"),IF(COUNT(C814:F814)+COUNTIFS(C814:F814,"Reviewed N/A")&lt;4,"Missing dates; ","")&amp;IF(MIN(C814:F814)&lt;TODAY(),"Overdue: ",IF(MIN(C814:F814)=TODAY(),"Due today: ",IF(MIN(C814:F814)&lt;=TODAY()+30,"Due within 30 days: ","Next: ")))&amp;INDEX($C$8:$F$8,1,MATCH(MIN(C814:F814),C814:F814,0))&amp;" "&amp;TEXT(MIN(C814:F814),"dd mmm yyyy")))))</x:f>
      </x:c>
      <x:c r="I814" s="52"/>
      <x:c r="J814" t="str">
        <x:f>IF(AND(A814&lt;&gt;"",COUNTIFS(C814,"&gt;=36526",C814,"&lt;"&amp;TODAY())+COUNTIFS(D814,"&gt;=36526",D814,"&lt;"&amp;TODAY())+COUNTIFS(E814,"&gt;=36526",E814,"&lt;"&amp;TODAY())+COUNTIFS(F814,"&gt;=36526",F814,"&lt;"&amp;TODAY())&gt;0),O814,"")</x:f>
      </x:c>
      <x:c r="K814" t="str">
        <x:f>IF(AND(A814&lt;&gt;"",COUNTIFS(C814,"&gt;=36526",C814,TODAY())+COUNTIFS(D814,"&gt;=36526",D814,TODAY())+COUNTIFS(E814,"&gt;=36526",E814,TODAY())+COUNTIFS(F814,"&gt;=36526",F814,TODAY())&gt;0),P814,"")</x:f>
      </x:c>
      <x:c r="L814" t="str">
        <x:f>IF(AND(A814&lt;&gt;"",COUNTIFS(C814,"&gt;"&amp;TODAY(),C814,"&lt;="&amp;TODAY()+30)+COUNTIFS(D814,"&gt;"&amp;TODAY(),D814,"&lt;="&amp;TODAY()+30)+COUNTIFS(E814,"&gt;"&amp;TODAY(),E814,"&lt;="&amp;TODAY()+30)+COUNTIFS(F814,"&gt;"&amp;TODAY(),F814,"&lt;="&amp;TODAY()+30)&gt;0),Q814,"")</x:f>
      </x:c>
      <x:c r="M814" t="str">
        <x:f>IF(OR(LEFT(H814,15)="Missing dates; ",LEFT(H814,16)="Add N/A reason; ",H814="Add dates",H814="Add registration",H814="Check date format"),R814,"")</x:f>
      </x:c>
      <x:c r="N814" t="str">
        <x:f>IF(COUNTIFS(C814:F814,"Reviewed N/A")&gt;0,S814,"")</x:f>
      </x:c>
      <x:c r="O814" t="n">
        <x:f>O813+IF(AND(A814&lt;&gt;"",COUNTIFS(C814,"&gt;=36526",C814,"&lt;"&amp;TODAY())+COUNTIFS(D814,"&gt;=36526",D814,"&lt;"&amp;TODAY())+COUNTIFS(E814,"&gt;=36526",E814,"&lt;"&amp;TODAY())+COUNTIFS(F814,"&gt;=36526",F814,"&lt;"&amp;TODAY())&gt;0),1,0)</x:f>
        <x:v>0</x:v>
      </x:c>
      <x:c r="P814" t="n">
        <x:f>P813+IF(AND(A814&lt;&gt;"",COUNTIFS(C814,"&gt;=36526",C814,TODAY())+COUNTIFS(D814,"&gt;=36526",D814,TODAY())+COUNTIFS(E814,"&gt;=36526",E814,TODAY())+COUNTIFS(F814,"&gt;=36526",F814,TODAY())&gt;0),1,0)</x:f>
        <x:v>0</x:v>
      </x:c>
      <x:c r="Q814" t="n">
        <x:f>Q813+IF(AND(A814&lt;&gt;"",COUNTIFS(C814,"&gt;"&amp;TODAY(),C814,"&lt;="&amp;TODAY()+30)+COUNTIFS(D814,"&gt;"&amp;TODAY(),D814,"&lt;="&amp;TODAY()+30)+COUNTIFS(E814,"&gt;"&amp;TODAY(),E814,"&lt;="&amp;TODAY()+30)+COUNTIFS(F814,"&gt;"&amp;TODAY(),F814,"&lt;="&amp;TODAY()+30)&gt;0),1,0)</x:f>
        <x:v>0</x:v>
      </x:c>
      <x:c r="R814" t="n">
        <x:f>R813+IF(OR(LEFT(H814,15)="Missing dates; ",LEFT(H814,16)="Add N/A reason; ",H814="Add dates",H814="Add registration",H814="Check date format"),1,0)</x:f>
        <x:v>0</x:v>
      </x:c>
      <x:c r="S814" t="n">
        <x:f>S813+IF(COUNTIFS(C814:F814,"Reviewed N/A")&gt;0,1,0)</x:f>
        <x:v>0</x:v>
      </x:c>
    </x:row>
    <x:row r="815" ht="48" customHeight="1">
      <x:c r="A815" s="52"/>
      <x:c r="B815" s="52"/>
      <x:c r="C815" s="53"/>
      <x:c r="D815" s="53"/>
      <x:c r="E815" s="53"/>
      <x:c r="F815" s="53"/>
      <x:c r="G815" s="52"/>
      <x:c r="H815" s="21" t="str">
        <x:f>IF(COUNTA(A815:G815,I815)=0,"",IF(A815="","Add registration",IF(OR(COUNTA(C815:F815)&gt;COUNT(C815:F815)+COUNTIFS(C815:F815,"Reviewed N/A"),AND(COUNT(C815:F815)&gt;0,OR(MIN(C815:F815)&lt;36526,MAX(C815:F815)&gt;109574))),"Check date format",IF(AND(COUNTIFS(C815:F815,"Reviewed N/A")&gt;0,I815=""),"Add N/A reason; ","")&amp;IF(COUNT(C815:F815)=0,IF(COUNTIFS(C815:F815,"Reviewed N/A")=4,"No applicable dates recorded","Add dates"),IF(COUNT(C815:F815)+COUNTIFS(C815:F815,"Reviewed N/A")&lt;4,"Missing dates; ","")&amp;IF(MIN(C815:F815)&lt;TODAY(),"Overdue: ",IF(MIN(C815:F815)=TODAY(),"Due today: ",IF(MIN(C815:F815)&lt;=TODAY()+30,"Due within 30 days: ","Next: ")))&amp;INDEX($C$8:$F$8,1,MATCH(MIN(C815:F815),C815:F815,0))&amp;" "&amp;TEXT(MIN(C815:F815),"dd mmm yyyy")))))</x:f>
      </x:c>
      <x:c r="I815" s="52"/>
      <x:c r="J815" t="str">
        <x:f>IF(AND(A815&lt;&gt;"",COUNTIFS(C815,"&gt;=36526",C815,"&lt;"&amp;TODAY())+COUNTIFS(D815,"&gt;=36526",D815,"&lt;"&amp;TODAY())+COUNTIFS(E815,"&gt;=36526",E815,"&lt;"&amp;TODAY())+COUNTIFS(F815,"&gt;=36526",F815,"&lt;"&amp;TODAY())&gt;0),O815,"")</x:f>
      </x:c>
      <x:c r="K815" t="str">
        <x:f>IF(AND(A815&lt;&gt;"",COUNTIFS(C815,"&gt;=36526",C815,TODAY())+COUNTIFS(D815,"&gt;=36526",D815,TODAY())+COUNTIFS(E815,"&gt;=36526",E815,TODAY())+COUNTIFS(F815,"&gt;=36526",F815,TODAY())&gt;0),P815,"")</x:f>
      </x:c>
      <x:c r="L815" t="str">
        <x:f>IF(AND(A815&lt;&gt;"",COUNTIFS(C815,"&gt;"&amp;TODAY(),C815,"&lt;="&amp;TODAY()+30)+COUNTIFS(D815,"&gt;"&amp;TODAY(),D815,"&lt;="&amp;TODAY()+30)+COUNTIFS(E815,"&gt;"&amp;TODAY(),E815,"&lt;="&amp;TODAY()+30)+COUNTIFS(F815,"&gt;"&amp;TODAY(),F815,"&lt;="&amp;TODAY()+30)&gt;0),Q815,"")</x:f>
      </x:c>
      <x:c r="M815" t="str">
        <x:f>IF(OR(LEFT(H815,15)="Missing dates; ",LEFT(H815,16)="Add N/A reason; ",H815="Add dates",H815="Add registration",H815="Check date format"),R815,"")</x:f>
      </x:c>
      <x:c r="N815" t="str">
        <x:f>IF(COUNTIFS(C815:F815,"Reviewed N/A")&gt;0,S815,"")</x:f>
      </x:c>
      <x:c r="O815" t="n">
        <x:f>O814+IF(AND(A815&lt;&gt;"",COUNTIFS(C815,"&gt;=36526",C815,"&lt;"&amp;TODAY())+COUNTIFS(D815,"&gt;=36526",D815,"&lt;"&amp;TODAY())+COUNTIFS(E815,"&gt;=36526",E815,"&lt;"&amp;TODAY())+COUNTIFS(F815,"&gt;=36526",F815,"&lt;"&amp;TODAY())&gt;0),1,0)</x:f>
        <x:v>0</x:v>
      </x:c>
      <x:c r="P815" t="n">
        <x:f>P814+IF(AND(A815&lt;&gt;"",COUNTIFS(C815,"&gt;=36526",C815,TODAY())+COUNTIFS(D815,"&gt;=36526",D815,TODAY())+COUNTIFS(E815,"&gt;=36526",E815,TODAY())+COUNTIFS(F815,"&gt;=36526",F815,TODAY())&gt;0),1,0)</x:f>
        <x:v>0</x:v>
      </x:c>
      <x:c r="Q815" t="n">
        <x:f>Q814+IF(AND(A815&lt;&gt;"",COUNTIFS(C815,"&gt;"&amp;TODAY(),C815,"&lt;="&amp;TODAY()+30)+COUNTIFS(D815,"&gt;"&amp;TODAY(),D815,"&lt;="&amp;TODAY()+30)+COUNTIFS(E815,"&gt;"&amp;TODAY(),E815,"&lt;="&amp;TODAY()+30)+COUNTIFS(F815,"&gt;"&amp;TODAY(),F815,"&lt;="&amp;TODAY()+30)&gt;0),1,0)</x:f>
        <x:v>0</x:v>
      </x:c>
      <x:c r="R815" t="n">
        <x:f>R814+IF(OR(LEFT(H815,15)="Missing dates; ",LEFT(H815,16)="Add N/A reason; ",H815="Add dates",H815="Add registration",H815="Check date format"),1,0)</x:f>
        <x:v>0</x:v>
      </x:c>
      <x:c r="S815" t="n">
        <x:f>S814+IF(COUNTIFS(C815:F815,"Reviewed N/A")&gt;0,1,0)</x:f>
        <x:v>0</x:v>
      </x:c>
    </x:row>
    <x:row r="816" ht="48" customHeight="1">
      <x:c r="A816" s="52"/>
      <x:c r="B816" s="52"/>
      <x:c r="C816" s="53"/>
      <x:c r="D816" s="53"/>
      <x:c r="E816" s="53"/>
      <x:c r="F816" s="53"/>
      <x:c r="G816" s="52"/>
      <x:c r="H816" s="21" t="str">
        <x:f>IF(COUNTA(A816:G816,I816)=0,"",IF(A816="","Add registration",IF(OR(COUNTA(C816:F816)&gt;COUNT(C816:F816)+COUNTIFS(C816:F816,"Reviewed N/A"),AND(COUNT(C816:F816)&gt;0,OR(MIN(C816:F816)&lt;36526,MAX(C816:F816)&gt;109574))),"Check date format",IF(AND(COUNTIFS(C816:F816,"Reviewed N/A")&gt;0,I816=""),"Add N/A reason; ","")&amp;IF(COUNT(C816:F816)=0,IF(COUNTIFS(C816:F816,"Reviewed N/A")=4,"No applicable dates recorded","Add dates"),IF(COUNT(C816:F816)+COUNTIFS(C816:F816,"Reviewed N/A")&lt;4,"Missing dates; ","")&amp;IF(MIN(C816:F816)&lt;TODAY(),"Overdue: ",IF(MIN(C816:F816)=TODAY(),"Due today: ",IF(MIN(C816:F816)&lt;=TODAY()+30,"Due within 30 days: ","Next: ")))&amp;INDEX($C$8:$F$8,1,MATCH(MIN(C816:F816),C816:F816,0))&amp;" "&amp;TEXT(MIN(C816:F816),"dd mmm yyyy")))))</x:f>
      </x:c>
      <x:c r="I816" s="52"/>
      <x:c r="J816" t="str">
        <x:f>IF(AND(A816&lt;&gt;"",COUNTIFS(C816,"&gt;=36526",C816,"&lt;"&amp;TODAY())+COUNTIFS(D816,"&gt;=36526",D816,"&lt;"&amp;TODAY())+COUNTIFS(E816,"&gt;=36526",E816,"&lt;"&amp;TODAY())+COUNTIFS(F816,"&gt;=36526",F816,"&lt;"&amp;TODAY())&gt;0),O816,"")</x:f>
      </x:c>
      <x:c r="K816" t="str">
        <x:f>IF(AND(A816&lt;&gt;"",COUNTIFS(C816,"&gt;=36526",C816,TODAY())+COUNTIFS(D816,"&gt;=36526",D816,TODAY())+COUNTIFS(E816,"&gt;=36526",E816,TODAY())+COUNTIFS(F816,"&gt;=36526",F816,TODAY())&gt;0),P816,"")</x:f>
      </x:c>
      <x:c r="L816" t="str">
        <x:f>IF(AND(A816&lt;&gt;"",COUNTIFS(C816,"&gt;"&amp;TODAY(),C816,"&lt;="&amp;TODAY()+30)+COUNTIFS(D816,"&gt;"&amp;TODAY(),D816,"&lt;="&amp;TODAY()+30)+COUNTIFS(E816,"&gt;"&amp;TODAY(),E816,"&lt;="&amp;TODAY()+30)+COUNTIFS(F816,"&gt;"&amp;TODAY(),F816,"&lt;="&amp;TODAY()+30)&gt;0),Q816,"")</x:f>
      </x:c>
      <x:c r="M816" t="str">
        <x:f>IF(OR(LEFT(H816,15)="Missing dates; ",LEFT(H816,16)="Add N/A reason; ",H816="Add dates",H816="Add registration",H816="Check date format"),R816,"")</x:f>
      </x:c>
      <x:c r="N816" t="str">
        <x:f>IF(COUNTIFS(C816:F816,"Reviewed N/A")&gt;0,S816,"")</x:f>
      </x:c>
      <x:c r="O816" t="n">
        <x:f>O815+IF(AND(A816&lt;&gt;"",COUNTIFS(C816,"&gt;=36526",C816,"&lt;"&amp;TODAY())+COUNTIFS(D816,"&gt;=36526",D816,"&lt;"&amp;TODAY())+COUNTIFS(E816,"&gt;=36526",E816,"&lt;"&amp;TODAY())+COUNTIFS(F816,"&gt;=36526",F816,"&lt;"&amp;TODAY())&gt;0),1,0)</x:f>
        <x:v>0</x:v>
      </x:c>
      <x:c r="P816" t="n">
        <x:f>P815+IF(AND(A816&lt;&gt;"",COUNTIFS(C816,"&gt;=36526",C816,TODAY())+COUNTIFS(D816,"&gt;=36526",D816,TODAY())+COUNTIFS(E816,"&gt;=36526",E816,TODAY())+COUNTIFS(F816,"&gt;=36526",F816,TODAY())&gt;0),1,0)</x:f>
        <x:v>0</x:v>
      </x:c>
      <x:c r="Q816" t="n">
        <x:f>Q815+IF(AND(A816&lt;&gt;"",COUNTIFS(C816,"&gt;"&amp;TODAY(),C816,"&lt;="&amp;TODAY()+30)+COUNTIFS(D816,"&gt;"&amp;TODAY(),D816,"&lt;="&amp;TODAY()+30)+COUNTIFS(E816,"&gt;"&amp;TODAY(),E816,"&lt;="&amp;TODAY()+30)+COUNTIFS(F816,"&gt;"&amp;TODAY(),F816,"&lt;="&amp;TODAY()+30)&gt;0),1,0)</x:f>
        <x:v>0</x:v>
      </x:c>
      <x:c r="R816" t="n">
        <x:f>R815+IF(OR(LEFT(H816,15)="Missing dates; ",LEFT(H816,16)="Add N/A reason; ",H816="Add dates",H816="Add registration",H816="Check date format"),1,0)</x:f>
        <x:v>0</x:v>
      </x:c>
      <x:c r="S816" t="n">
        <x:f>S815+IF(COUNTIFS(C816:F816,"Reviewed N/A")&gt;0,1,0)</x:f>
        <x:v>0</x:v>
      </x:c>
    </x:row>
    <x:row r="817" ht="48" customHeight="1">
      <x:c r="A817" s="52"/>
      <x:c r="B817" s="52"/>
      <x:c r="C817" s="53"/>
      <x:c r="D817" s="53"/>
      <x:c r="E817" s="53"/>
      <x:c r="F817" s="53"/>
      <x:c r="G817" s="52"/>
      <x:c r="H817" s="21" t="str">
        <x:f>IF(COUNTA(A817:G817,I817)=0,"",IF(A817="","Add registration",IF(OR(COUNTA(C817:F817)&gt;COUNT(C817:F817)+COUNTIFS(C817:F817,"Reviewed N/A"),AND(COUNT(C817:F817)&gt;0,OR(MIN(C817:F817)&lt;36526,MAX(C817:F817)&gt;109574))),"Check date format",IF(AND(COUNTIFS(C817:F817,"Reviewed N/A")&gt;0,I817=""),"Add N/A reason; ","")&amp;IF(COUNT(C817:F817)=0,IF(COUNTIFS(C817:F817,"Reviewed N/A")=4,"No applicable dates recorded","Add dates"),IF(COUNT(C817:F817)+COUNTIFS(C817:F817,"Reviewed N/A")&lt;4,"Missing dates; ","")&amp;IF(MIN(C817:F817)&lt;TODAY(),"Overdue: ",IF(MIN(C817:F817)=TODAY(),"Due today: ",IF(MIN(C817:F817)&lt;=TODAY()+30,"Due within 30 days: ","Next: ")))&amp;INDEX($C$8:$F$8,1,MATCH(MIN(C817:F817),C817:F817,0))&amp;" "&amp;TEXT(MIN(C817:F817),"dd mmm yyyy")))))</x:f>
      </x:c>
      <x:c r="I817" s="52"/>
      <x:c r="J817" t="str">
        <x:f>IF(AND(A817&lt;&gt;"",COUNTIFS(C817,"&gt;=36526",C817,"&lt;"&amp;TODAY())+COUNTIFS(D817,"&gt;=36526",D817,"&lt;"&amp;TODAY())+COUNTIFS(E817,"&gt;=36526",E817,"&lt;"&amp;TODAY())+COUNTIFS(F817,"&gt;=36526",F817,"&lt;"&amp;TODAY())&gt;0),O817,"")</x:f>
      </x:c>
      <x:c r="K817" t="str">
        <x:f>IF(AND(A817&lt;&gt;"",COUNTIFS(C817,"&gt;=36526",C817,TODAY())+COUNTIFS(D817,"&gt;=36526",D817,TODAY())+COUNTIFS(E817,"&gt;=36526",E817,TODAY())+COUNTIFS(F817,"&gt;=36526",F817,TODAY())&gt;0),P817,"")</x:f>
      </x:c>
      <x:c r="L817" t="str">
        <x:f>IF(AND(A817&lt;&gt;"",COUNTIFS(C817,"&gt;"&amp;TODAY(),C817,"&lt;="&amp;TODAY()+30)+COUNTIFS(D817,"&gt;"&amp;TODAY(),D817,"&lt;="&amp;TODAY()+30)+COUNTIFS(E817,"&gt;"&amp;TODAY(),E817,"&lt;="&amp;TODAY()+30)+COUNTIFS(F817,"&gt;"&amp;TODAY(),F817,"&lt;="&amp;TODAY()+30)&gt;0),Q817,"")</x:f>
      </x:c>
      <x:c r="M817" t="str">
        <x:f>IF(OR(LEFT(H817,15)="Missing dates; ",LEFT(H817,16)="Add N/A reason; ",H817="Add dates",H817="Add registration",H817="Check date format"),R817,"")</x:f>
      </x:c>
      <x:c r="N817" t="str">
        <x:f>IF(COUNTIFS(C817:F817,"Reviewed N/A")&gt;0,S817,"")</x:f>
      </x:c>
      <x:c r="O817" t="n">
        <x:f>O816+IF(AND(A817&lt;&gt;"",COUNTIFS(C817,"&gt;=36526",C817,"&lt;"&amp;TODAY())+COUNTIFS(D817,"&gt;=36526",D817,"&lt;"&amp;TODAY())+COUNTIFS(E817,"&gt;=36526",E817,"&lt;"&amp;TODAY())+COUNTIFS(F817,"&gt;=36526",F817,"&lt;"&amp;TODAY())&gt;0),1,0)</x:f>
        <x:v>0</x:v>
      </x:c>
      <x:c r="P817" t="n">
        <x:f>P816+IF(AND(A817&lt;&gt;"",COUNTIFS(C817,"&gt;=36526",C817,TODAY())+COUNTIFS(D817,"&gt;=36526",D817,TODAY())+COUNTIFS(E817,"&gt;=36526",E817,TODAY())+COUNTIFS(F817,"&gt;=36526",F817,TODAY())&gt;0),1,0)</x:f>
        <x:v>0</x:v>
      </x:c>
      <x:c r="Q817" t="n">
        <x:f>Q816+IF(AND(A817&lt;&gt;"",COUNTIFS(C817,"&gt;"&amp;TODAY(),C817,"&lt;="&amp;TODAY()+30)+COUNTIFS(D817,"&gt;"&amp;TODAY(),D817,"&lt;="&amp;TODAY()+30)+COUNTIFS(E817,"&gt;"&amp;TODAY(),E817,"&lt;="&amp;TODAY()+30)+COUNTIFS(F817,"&gt;"&amp;TODAY(),F817,"&lt;="&amp;TODAY()+30)&gt;0),1,0)</x:f>
        <x:v>0</x:v>
      </x:c>
      <x:c r="R817" t="n">
        <x:f>R816+IF(OR(LEFT(H817,15)="Missing dates; ",LEFT(H817,16)="Add N/A reason; ",H817="Add dates",H817="Add registration",H817="Check date format"),1,0)</x:f>
        <x:v>0</x:v>
      </x:c>
      <x:c r="S817" t="n">
        <x:f>S816+IF(COUNTIFS(C817:F817,"Reviewed N/A")&gt;0,1,0)</x:f>
        <x:v>0</x:v>
      </x:c>
    </x:row>
    <x:row r="818" ht="48" customHeight="1">
      <x:c r="A818" s="52"/>
      <x:c r="B818" s="52"/>
      <x:c r="C818" s="53"/>
      <x:c r="D818" s="53"/>
      <x:c r="E818" s="53"/>
      <x:c r="F818" s="53"/>
      <x:c r="G818" s="52"/>
      <x:c r="H818" s="21" t="str">
        <x:f>IF(COUNTA(A818:G818,I818)=0,"",IF(A818="","Add registration",IF(OR(COUNTA(C818:F818)&gt;COUNT(C818:F818)+COUNTIFS(C818:F818,"Reviewed N/A"),AND(COUNT(C818:F818)&gt;0,OR(MIN(C818:F818)&lt;36526,MAX(C818:F818)&gt;109574))),"Check date format",IF(AND(COUNTIFS(C818:F818,"Reviewed N/A")&gt;0,I818=""),"Add N/A reason; ","")&amp;IF(COUNT(C818:F818)=0,IF(COUNTIFS(C818:F818,"Reviewed N/A")=4,"No applicable dates recorded","Add dates"),IF(COUNT(C818:F818)+COUNTIFS(C818:F818,"Reviewed N/A")&lt;4,"Missing dates; ","")&amp;IF(MIN(C818:F818)&lt;TODAY(),"Overdue: ",IF(MIN(C818:F818)=TODAY(),"Due today: ",IF(MIN(C818:F818)&lt;=TODAY()+30,"Due within 30 days: ","Next: ")))&amp;INDEX($C$8:$F$8,1,MATCH(MIN(C818:F818),C818:F818,0))&amp;" "&amp;TEXT(MIN(C818:F818),"dd mmm yyyy")))))</x:f>
      </x:c>
      <x:c r="I818" s="52"/>
      <x:c r="J818" t="str">
        <x:f>IF(AND(A818&lt;&gt;"",COUNTIFS(C818,"&gt;=36526",C818,"&lt;"&amp;TODAY())+COUNTIFS(D818,"&gt;=36526",D818,"&lt;"&amp;TODAY())+COUNTIFS(E818,"&gt;=36526",E818,"&lt;"&amp;TODAY())+COUNTIFS(F818,"&gt;=36526",F818,"&lt;"&amp;TODAY())&gt;0),O818,"")</x:f>
      </x:c>
      <x:c r="K818" t="str">
        <x:f>IF(AND(A818&lt;&gt;"",COUNTIFS(C818,"&gt;=36526",C818,TODAY())+COUNTIFS(D818,"&gt;=36526",D818,TODAY())+COUNTIFS(E818,"&gt;=36526",E818,TODAY())+COUNTIFS(F818,"&gt;=36526",F818,TODAY())&gt;0),P818,"")</x:f>
      </x:c>
      <x:c r="L818" t="str">
        <x:f>IF(AND(A818&lt;&gt;"",COUNTIFS(C818,"&gt;"&amp;TODAY(),C818,"&lt;="&amp;TODAY()+30)+COUNTIFS(D818,"&gt;"&amp;TODAY(),D818,"&lt;="&amp;TODAY()+30)+COUNTIFS(E818,"&gt;"&amp;TODAY(),E818,"&lt;="&amp;TODAY()+30)+COUNTIFS(F818,"&gt;"&amp;TODAY(),F818,"&lt;="&amp;TODAY()+30)&gt;0),Q818,"")</x:f>
      </x:c>
      <x:c r="M818" t="str">
        <x:f>IF(OR(LEFT(H818,15)="Missing dates; ",LEFT(H818,16)="Add N/A reason; ",H818="Add dates",H818="Add registration",H818="Check date format"),R818,"")</x:f>
      </x:c>
      <x:c r="N818" t="str">
        <x:f>IF(COUNTIFS(C818:F818,"Reviewed N/A")&gt;0,S818,"")</x:f>
      </x:c>
      <x:c r="O818" t="n">
        <x:f>O817+IF(AND(A818&lt;&gt;"",COUNTIFS(C818,"&gt;=36526",C818,"&lt;"&amp;TODAY())+COUNTIFS(D818,"&gt;=36526",D818,"&lt;"&amp;TODAY())+COUNTIFS(E818,"&gt;=36526",E818,"&lt;"&amp;TODAY())+COUNTIFS(F818,"&gt;=36526",F818,"&lt;"&amp;TODAY())&gt;0),1,0)</x:f>
        <x:v>0</x:v>
      </x:c>
      <x:c r="P818" t="n">
        <x:f>P817+IF(AND(A818&lt;&gt;"",COUNTIFS(C818,"&gt;=36526",C818,TODAY())+COUNTIFS(D818,"&gt;=36526",D818,TODAY())+COUNTIFS(E818,"&gt;=36526",E818,TODAY())+COUNTIFS(F818,"&gt;=36526",F818,TODAY())&gt;0),1,0)</x:f>
        <x:v>0</x:v>
      </x:c>
      <x:c r="Q818" t="n">
        <x:f>Q817+IF(AND(A818&lt;&gt;"",COUNTIFS(C818,"&gt;"&amp;TODAY(),C818,"&lt;="&amp;TODAY()+30)+COUNTIFS(D818,"&gt;"&amp;TODAY(),D818,"&lt;="&amp;TODAY()+30)+COUNTIFS(E818,"&gt;"&amp;TODAY(),E818,"&lt;="&amp;TODAY()+30)+COUNTIFS(F818,"&gt;"&amp;TODAY(),F818,"&lt;="&amp;TODAY()+30)&gt;0),1,0)</x:f>
        <x:v>0</x:v>
      </x:c>
      <x:c r="R818" t="n">
        <x:f>R817+IF(OR(LEFT(H818,15)="Missing dates; ",LEFT(H818,16)="Add N/A reason; ",H818="Add dates",H818="Add registration",H818="Check date format"),1,0)</x:f>
        <x:v>0</x:v>
      </x:c>
      <x:c r="S818" t="n">
        <x:f>S817+IF(COUNTIFS(C818:F818,"Reviewed N/A")&gt;0,1,0)</x:f>
        <x:v>0</x:v>
      </x:c>
    </x:row>
    <x:row r="819" ht="48" customHeight="1">
      <x:c r="A819" s="52"/>
      <x:c r="B819" s="52"/>
      <x:c r="C819" s="53"/>
      <x:c r="D819" s="53"/>
      <x:c r="E819" s="53"/>
      <x:c r="F819" s="53"/>
      <x:c r="G819" s="52"/>
      <x:c r="H819" s="21" t="str">
        <x:f>IF(COUNTA(A819:G819,I819)=0,"",IF(A819="","Add registration",IF(OR(COUNTA(C819:F819)&gt;COUNT(C819:F819)+COUNTIFS(C819:F819,"Reviewed N/A"),AND(COUNT(C819:F819)&gt;0,OR(MIN(C819:F819)&lt;36526,MAX(C819:F819)&gt;109574))),"Check date format",IF(AND(COUNTIFS(C819:F819,"Reviewed N/A")&gt;0,I819=""),"Add N/A reason; ","")&amp;IF(COUNT(C819:F819)=0,IF(COUNTIFS(C819:F819,"Reviewed N/A")=4,"No applicable dates recorded","Add dates"),IF(COUNT(C819:F819)+COUNTIFS(C819:F819,"Reviewed N/A")&lt;4,"Missing dates; ","")&amp;IF(MIN(C819:F819)&lt;TODAY(),"Overdue: ",IF(MIN(C819:F819)=TODAY(),"Due today: ",IF(MIN(C819:F819)&lt;=TODAY()+30,"Due within 30 days: ","Next: ")))&amp;INDEX($C$8:$F$8,1,MATCH(MIN(C819:F819),C819:F819,0))&amp;" "&amp;TEXT(MIN(C819:F819),"dd mmm yyyy")))))</x:f>
      </x:c>
      <x:c r="I819" s="52"/>
      <x:c r="J819" t="str">
        <x:f>IF(AND(A819&lt;&gt;"",COUNTIFS(C819,"&gt;=36526",C819,"&lt;"&amp;TODAY())+COUNTIFS(D819,"&gt;=36526",D819,"&lt;"&amp;TODAY())+COUNTIFS(E819,"&gt;=36526",E819,"&lt;"&amp;TODAY())+COUNTIFS(F819,"&gt;=36526",F819,"&lt;"&amp;TODAY())&gt;0),O819,"")</x:f>
      </x:c>
      <x:c r="K819" t="str">
        <x:f>IF(AND(A819&lt;&gt;"",COUNTIFS(C819,"&gt;=36526",C819,TODAY())+COUNTIFS(D819,"&gt;=36526",D819,TODAY())+COUNTIFS(E819,"&gt;=36526",E819,TODAY())+COUNTIFS(F819,"&gt;=36526",F819,TODAY())&gt;0),P819,"")</x:f>
      </x:c>
      <x:c r="L819" t="str">
        <x:f>IF(AND(A819&lt;&gt;"",COUNTIFS(C819,"&gt;"&amp;TODAY(),C819,"&lt;="&amp;TODAY()+30)+COUNTIFS(D819,"&gt;"&amp;TODAY(),D819,"&lt;="&amp;TODAY()+30)+COUNTIFS(E819,"&gt;"&amp;TODAY(),E819,"&lt;="&amp;TODAY()+30)+COUNTIFS(F819,"&gt;"&amp;TODAY(),F819,"&lt;="&amp;TODAY()+30)&gt;0),Q819,"")</x:f>
      </x:c>
      <x:c r="M819" t="str">
        <x:f>IF(OR(LEFT(H819,15)="Missing dates; ",LEFT(H819,16)="Add N/A reason; ",H819="Add dates",H819="Add registration",H819="Check date format"),R819,"")</x:f>
      </x:c>
      <x:c r="N819" t="str">
        <x:f>IF(COUNTIFS(C819:F819,"Reviewed N/A")&gt;0,S819,"")</x:f>
      </x:c>
      <x:c r="O819" t="n">
        <x:f>O818+IF(AND(A819&lt;&gt;"",COUNTIFS(C819,"&gt;=36526",C819,"&lt;"&amp;TODAY())+COUNTIFS(D819,"&gt;=36526",D819,"&lt;"&amp;TODAY())+COUNTIFS(E819,"&gt;=36526",E819,"&lt;"&amp;TODAY())+COUNTIFS(F819,"&gt;=36526",F819,"&lt;"&amp;TODAY())&gt;0),1,0)</x:f>
        <x:v>0</x:v>
      </x:c>
      <x:c r="P819" t="n">
        <x:f>P818+IF(AND(A819&lt;&gt;"",COUNTIFS(C819,"&gt;=36526",C819,TODAY())+COUNTIFS(D819,"&gt;=36526",D819,TODAY())+COUNTIFS(E819,"&gt;=36526",E819,TODAY())+COUNTIFS(F819,"&gt;=36526",F819,TODAY())&gt;0),1,0)</x:f>
        <x:v>0</x:v>
      </x:c>
      <x:c r="Q819" t="n">
        <x:f>Q818+IF(AND(A819&lt;&gt;"",COUNTIFS(C819,"&gt;"&amp;TODAY(),C819,"&lt;="&amp;TODAY()+30)+COUNTIFS(D819,"&gt;"&amp;TODAY(),D819,"&lt;="&amp;TODAY()+30)+COUNTIFS(E819,"&gt;"&amp;TODAY(),E819,"&lt;="&amp;TODAY()+30)+COUNTIFS(F819,"&gt;"&amp;TODAY(),F819,"&lt;="&amp;TODAY()+30)&gt;0),1,0)</x:f>
        <x:v>0</x:v>
      </x:c>
      <x:c r="R819" t="n">
        <x:f>R818+IF(OR(LEFT(H819,15)="Missing dates; ",LEFT(H819,16)="Add N/A reason; ",H819="Add dates",H819="Add registration",H819="Check date format"),1,0)</x:f>
        <x:v>0</x:v>
      </x:c>
      <x:c r="S819" t="n">
        <x:f>S818+IF(COUNTIFS(C819:F819,"Reviewed N/A")&gt;0,1,0)</x:f>
        <x:v>0</x:v>
      </x:c>
    </x:row>
    <x:row r="820" ht="48" customHeight="1">
      <x:c r="A820" s="52"/>
      <x:c r="B820" s="52"/>
      <x:c r="C820" s="53"/>
      <x:c r="D820" s="53"/>
      <x:c r="E820" s="53"/>
      <x:c r="F820" s="53"/>
      <x:c r="G820" s="52"/>
      <x:c r="H820" s="21" t="str">
        <x:f>IF(COUNTA(A820:G820,I820)=0,"",IF(A820="","Add registration",IF(OR(COUNTA(C820:F820)&gt;COUNT(C820:F820)+COUNTIFS(C820:F820,"Reviewed N/A"),AND(COUNT(C820:F820)&gt;0,OR(MIN(C820:F820)&lt;36526,MAX(C820:F820)&gt;109574))),"Check date format",IF(AND(COUNTIFS(C820:F820,"Reviewed N/A")&gt;0,I820=""),"Add N/A reason; ","")&amp;IF(COUNT(C820:F820)=0,IF(COUNTIFS(C820:F820,"Reviewed N/A")=4,"No applicable dates recorded","Add dates"),IF(COUNT(C820:F820)+COUNTIFS(C820:F820,"Reviewed N/A")&lt;4,"Missing dates; ","")&amp;IF(MIN(C820:F820)&lt;TODAY(),"Overdue: ",IF(MIN(C820:F820)=TODAY(),"Due today: ",IF(MIN(C820:F820)&lt;=TODAY()+30,"Due within 30 days: ","Next: ")))&amp;INDEX($C$8:$F$8,1,MATCH(MIN(C820:F820),C820:F820,0))&amp;" "&amp;TEXT(MIN(C820:F820),"dd mmm yyyy")))))</x:f>
      </x:c>
      <x:c r="I820" s="52"/>
      <x:c r="J820" t="str">
        <x:f>IF(AND(A820&lt;&gt;"",COUNTIFS(C820,"&gt;=36526",C820,"&lt;"&amp;TODAY())+COUNTIFS(D820,"&gt;=36526",D820,"&lt;"&amp;TODAY())+COUNTIFS(E820,"&gt;=36526",E820,"&lt;"&amp;TODAY())+COUNTIFS(F820,"&gt;=36526",F820,"&lt;"&amp;TODAY())&gt;0),O820,"")</x:f>
      </x:c>
      <x:c r="K820" t="str">
        <x:f>IF(AND(A820&lt;&gt;"",COUNTIFS(C820,"&gt;=36526",C820,TODAY())+COUNTIFS(D820,"&gt;=36526",D820,TODAY())+COUNTIFS(E820,"&gt;=36526",E820,TODAY())+COUNTIFS(F820,"&gt;=36526",F820,TODAY())&gt;0),P820,"")</x:f>
      </x:c>
      <x:c r="L820" t="str">
        <x:f>IF(AND(A820&lt;&gt;"",COUNTIFS(C820,"&gt;"&amp;TODAY(),C820,"&lt;="&amp;TODAY()+30)+COUNTIFS(D820,"&gt;"&amp;TODAY(),D820,"&lt;="&amp;TODAY()+30)+COUNTIFS(E820,"&gt;"&amp;TODAY(),E820,"&lt;="&amp;TODAY()+30)+COUNTIFS(F820,"&gt;"&amp;TODAY(),F820,"&lt;="&amp;TODAY()+30)&gt;0),Q820,"")</x:f>
      </x:c>
      <x:c r="M820" t="str">
        <x:f>IF(OR(LEFT(H820,15)="Missing dates; ",LEFT(H820,16)="Add N/A reason; ",H820="Add dates",H820="Add registration",H820="Check date format"),R820,"")</x:f>
      </x:c>
      <x:c r="N820" t="str">
        <x:f>IF(COUNTIFS(C820:F820,"Reviewed N/A")&gt;0,S820,"")</x:f>
      </x:c>
      <x:c r="O820" t="n">
        <x:f>O819+IF(AND(A820&lt;&gt;"",COUNTIFS(C820,"&gt;=36526",C820,"&lt;"&amp;TODAY())+COUNTIFS(D820,"&gt;=36526",D820,"&lt;"&amp;TODAY())+COUNTIFS(E820,"&gt;=36526",E820,"&lt;"&amp;TODAY())+COUNTIFS(F820,"&gt;=36526",F820,"&lt;"&amp;TODAY())&gt;0),1,0)</x:f>
        <x:v>0</x:v>
      </x:c>
      <x:c r="P820" t="n">
        <x:f>P819+IF(AND(A820&lt;&gt;"",COUNTIFS(C820,"&gt;=36526",C820,TODAY())+COUNTIFS(D820,"&gt;=36526",D820,TODAY())+COUNTIFS(E820,"&gt;=36526",E820,TODAY())+COUNTIFS(F820,"&gt;=36526",F820,TODAY())&gt;0),1,0)</x:f>
        <x:v>0</x:v>
      </x:c>
      <x:c r="Q820" t="n">
        <x:f>Q819+IF(AND(A820&lt;&gt;"",COUNTIFS(C820,"&gt;"&amp;TODAY(),C820,"&lt;="&amp;TODAY()+30)+COUNTIFS(D820,"&gt;"&amp;TODAY(),D820,"&lt;="&amp;TODAY()+30)+COUNTIFS(E820,"&gt;"&amp;TODAY(),E820,"&lt;="&amp;TODAY()+30)+COUNTIFS(F820,"&gt;"&amp;TODAY(),F820,"&lt;="&amp;TODAY()+30)&gt;0),1,0)</x:f>
        <x:v>0</x:v>
      </x:c>
      <x:c r="R820" t="n">
        <x:f>R819+IF(OR(LEFT(H820,15)="Missing dates; ",LEFT(H820,16)="Add N/A reason; ",H820="Add dates",H820="Add registration",H820="Check date format"),1,0)</x:f>
        <x:v>0</x:v>
      </x:c>
      <x:c r="S820" t="n">
        <x:f>S819+IF(COUNTIFS(C820:F820,"Reviewed N/A")&gt;0,1,0)</x:f>
        <x:v>0</x:v>
      </x:c>
    </x:row>
    <x:row r="821" ht="48" customHeight="1">
      <x:c r="A821" s="52"/>
      <x:c r="B821" s="52"/>
      <x:c r="C821" s="53"/>
      <x:c r="D821" s="53"/>
      <x:c r="E821" s="53"/>
      <x:c r="F821" s="53"/>
      <x:c r="G821" s="52"/>
      <x:c r="H821" s="21" t="str">
        <x:f>IF(COUNTA(A821:G821,I821)=0,"",IF(A821="","Add registration",IF(OR(COUNTA(C821:F821)&gt;COUNT(C821:F821)+COUNTIFS(C821:F821,"Reviewed N/A"),AND(COUNT(C821:F821)&gt;0,OR(MIN(C821:F821)&lt;36526,MAX(C821:F821)&gt;109574))),"Check date format",IF(AND(COUNTIFS(C821:F821,"Reviewed N/A")&gt;0,I821=""),"Add N/A reason; ","")&amp;IF(COUNT(C821:F821)=0,IF(COUNTIFS(C821:F821,"Reviewed N/A")=4,"No applicable dates recorded","Add dates"),IF(COUNT(C821:F821)+COUNTIFS(C821:F821,"Reviewed N/A")&lt;4,"Missing dates; ","")&amp;IF(MIN(C821:F821)&lt;TODAY(),"Overdue: ",IF(MIN(C821:F821)=TODAY(),"Due today: ",IF(MIN(C821:F821)&lt;=TODAY()+30,"Due within 30 days: ","Next: ")))&amp;INDEX($C$8:$F$8,1,MATCH(MIN(C821:F821),C821:F821,0))&amp;" "&amp;TEXT(MIN(C821:F821),"dd mmm yyyy")))))</x:f>
      </x:c>
      <x:c r="I821" s="52"/>
      <x:c r="J821" t="str">
        <x:f>IF(AND(A821&lt;&gt;"",COUNTIFS(C821,"&gt;=36526",C821,"&lt;"&amp;TODAY())+COUNTIFS(D821,"&gt;=36526",D821,"&lt;"&amp;TODAY())+COUNTIFS(E821,"&gt;=36526",E821,"&lt;"&amp;TODAY())+COUNTIFS(F821,"&gt;=36526",F821,"&lt;"&amp;TODAY())&gt;0),O821,"")</x:f>
      </x:c>
      <x:c r="K821" t="str">
        <x:f>IF(AND(A821&lt;&gt;"",COUNTIFS(C821,"&gt;=36526",C821,TODAY())+COUNTIFS(D821,"&gt;=36526",D821,TODAY())+COUNTIFS(E821,"&gt;=36526",E821,TODAY())+COUNTIFS(F821,"&gt;=36526",F821,TODAY())&gt;0),P821,"")</x:f>
      </x:c>
      <x:c r="L821" t="str">
        <x:f>IF(AND(A821&lt;&gt;"",COUNTIFS(C821,"&gt;"&amp;TODAY(),C821,"&lt;="&amp;TODAY()+30)+COUNTIFS(D821,"&gt;"&amp;TODAY(),D821,"&lt;="&amp;TODAY()+30)+COUNTIFS(E821,"&gt;"&amp;TODAY(),E821,"&lt;="&amp;TODAY()+30)+COUNTIFS(F821,"&gt;"&amp;TODAY(),F821,"&lt;="&amp;TODAY()+30)&gt;0),Q821,"")</x:f>
      </x:c>
      <x:c r="M821" t="str">
        <x:f>IF(OR(LEFT(H821,15)="Missing dates; ",LEFT(H821,16)="Add N/A reason; ",H821="Add dates",H821="Add registration",H821="Check date format"),R821,"")</x:f>
      </x:c>
      <x:c r="N821" t="str">
        <x:f>IF(COUNTIFS(C821:F821,"Reviewed N/A")&gt;0,S821,"")</x:f>
      </x:c>
      <x:c r="O821" t="n">
        <x:f>O820+IF(AND(A821&lt;&gt;"",COUNTIFS(C821,"&gt;=36526",C821,"&lt;"&amp;TODAY())+COUNTIFS(D821,"&gt;=36526",D821,"&lt;"&amp;TODAY())+COUNTIFS(E821,"&gt;=36526",E821,"&lt;"&amp;TODAY())+COUNTIFS(F821,"&gt;=36526",F821,"&lt;"&amp;TODAY())&gt;0),1,0)</x:f>
        <x:v>0</x:v>
      </x:c>
      <x:c r="P821" t="n">
        <x:f>P820+IF(AND(A821&lt;&gt;"",COUNTIFS(C821,"&gt;=36526",C821,TODAY())+COUNTIFS(D821,"&gt;=36526",D821,TODAY())+COUNTIFS(E821,"&gt;=36526",E821,TODAY())+COUNTIFS(F821,"&gt;=36526",F821,TODAY())&gt;0),1,0)</x:f>
        <x:v>0</x:v>
      </x:c>
      <x:c r="Q821" t="n">
        <x:f>Q820+IF(AND(A821&lt;&gt;"",COUNTIFS(C821,"&gt;"&amp;TODAY(),C821,"&lt;="&amp;TODAY()+30)+COUNTIFS(D821,"&gt;"&amp;TODAY(),D821,"&lt;="&amp;TODAY()+30)+COUNTIFS(E821,"&gt;"&amp;TODAY(),E821,"&lt;="&amp;TODAY()+30)+COUNTIFS(F821,"&gt;"&amp;TODAY(),F821,"&lt;="&amp;TODAY()+30)&gt;0),1,0)</x:f>
        <x:v>0</x:v>
      </x:c>
      <x:c r="R821" t="n">
        <x:f>R820+IF(OR(LEFT(H821,15)="Missing dates; ",LEFT(H821,16)="Add N/A reason; ",H821="Add dates",H821="Add registration",H821="Check date format"),1,0)</x:f>
        <x:v>0</x:v>
      </x:c>
      <x:c r="S821" t="n">
        <x:f>S820+IF(COUNTIFS(C821:F821,"Reviewed N/A")&gt;0,1,0)</x:f>
        <x:v>0</x:v>
      </x:c>
    </x:row>
    <x:row r="822" ht="48" customHeight="1">
      <x:c r="A822" s="52"/>
      <x:c r="B822" s="52"/>
      <x:c r="C822" s="53"/>
      <x:c r="D822" s="53"/>
      <x:c r="E822" s="53"/>
      <x:c r="F822" s="53"/>
      <x:c r="G822" s="52"/>
      <x:c r="H822" s="21" t="str">
        <x:f>IF(COUNTA(A822:G822,I822)=0,"",IF(A822="","Add registration",IF(OR(COUNTA(C822:F822)&gt;COUNT(C822:F822)+COUNTIFS(C822:F822,"Reviewed N/A"),AND(COUNT(C822:F822)&gt;0,OR(MIN(C822:F822)&lt;36526,MAX(C822:F822)&gt;109574))),"Check date format",IF(AND(COUNTIFS(C822:F822,"Reviewed N/A")&gt;0,I822=""),"Add N/A reason; ","")&amp;IF(COUNT(C822:F822)=0,IF(COUNTIFS(C822:F822,"Reviewed N/A")=4,"No applicable dates recorded","Add dates"),IF(COUNT(C822:F822)+COUNTIFS(C822:F822,"Reviewed N/A")&lt;4,"Missing dates; ","")&amp;IF(MIN(C822:F822)&lt;TODAY(),"Overdue: ",IF(MIN(C822:F822)=TODAY(),"Due today: ",IF(MIN(C822:F822)&lt;=TODAY()+30,"Due within 30 days: ","Next: ")))&amp;INDEX($C$8:$F$8,1,MATCH(MIN(C822:F822),C822:F822,0))&amp;" "&amp;TEXT(MIN(C822:F822),"dd mmm yyyy")))))</x:f>
      </x:c>
      <x:c r="I822" s="52"/>
      <x:c r="J822" t="str">
        <x:f>IF(AND(A822&lt;&gt;"",COUNTIFS(C822,"&gt;=36526",C822,"&lt;"&amp;TODAY())+COUNTIFS(D822,"&gt;=36526",D822,"&lt;"&amp;TODAY())+COUNTIFS(E822,"&gt;=36526",E822,"&lt;"&amp;TODAY())+COUNTIFS(F822,"&gt;=36526",F822,"&lt;"&amp;TODAY())&gt;0),O822,"")</x:f>
      </x:c>
      <x:c r="K822" t="str">
        <x:f>IF(AND(A822&lt;&gt;"",COUNTIFS(C822,"&gt;=36526",C822,TODAY())+COUNTIFS(D822,"&gt;=36526",D822,TODAY())+COUNTIFS(E822,"&gt;=36526",E822,TODAY())+COUNTIFS(F822,"&gt;=36526",F822,TODAY())&gt;0),P822,"")</x:f>
      </x:c>
      <x:c r="L822" t="str">
        <x:f>IF(AND(A822&lt;&gt;"",COUNTIFS(C822,"&gt;"&amp;TODAY(),C822,"&lt;="&amp;TODAY()+30)+COUNTIFS(D822,"&gt;"&amp;TODAY(),D822,"&lt;="&amp;TODAY()+30)+COUNTIFS(E822,"&gt;"&amp;TODAY(),E822,"&lt;="&amp;TODAY()+30)+COUNTIFS(F822,"&gt;"&amp;TODAY(),F822,"&lt;="&amp;TODAY()+30)&gt;0),Q822,"")</x:f>
      </x:c>
      <x:c r="M822" t="str">
        <x:f>IF(OR(LEFT(H822,15)="Missing dates; ",LEFT(H822,16)="Add N/A reason; ",H822="Add dates",H822="Add registration",H822="Check date format"),R822,"")</x:f>
      </x:c>
      <x:c r="N822" t="str">
        <x:f>IF(COUNTIFS(C822:F822,"Reviewed N/A")&gt;0,S822,"")</x:f>
      </x:c>
      <x:c r="O822" t="n">
        <x:f>O821+IF(AND(A822&lt;&gt;"",COUNTIFS(C822,"&gt;=36526",C822,"&lt;"&amp;TODAY())+COUNTIFS(D822,"&gt;=36526",D822,"&lt;"&amp;TODAY())+COUNTIFS(E822,"&gt;=36526",E822,"&lt;"&amp;TODAY())+COUNTIFS(F822,"&gt;=36526",F822,"&lt;"&amp;TODAY())&gt;0),1,0)</x:f>
        <x:v>0</x:v>
      </x:c>
      <x:c r="P822" t="n">
        <x:f>P821+IF(AND(A822&lt;&gt;"",COUNTIFS(C822,"&gt;=36526",C822,TODAY())+COUNTIFS(D822,"&gt;=36526",D822,TODAY())+COUNTIFS(E822,"&gt;=36526",E822,TODAY())+COUNTIFS(F822,"&gt;=36526",F822,TODAY())&gt;0),1,0)</x:f>
        <x:v>0</x:v>
      </x:c>
      <x:c r="Q822" t="n">
        <x:f>Q821+IF(AND(A822&lt;&gt;"",COUNTIFS(C822,"&gt;"&amp;TODAY(),C822,"&lt;="&amp;TODAY()+30)+COUNTIFS(D822,"&gt;"&amp;TODAY(),D822,"&lt;="&amp;TODAY()+30)+COUNTIFS(E822,"&gt;"&amp;TODAY(),E822,"&lt;="&amp;TODAY()+30)+COUNTIFS(F822,"&gt;"&amp;TODAY(),F822,"&lt;="&amp;TODAY()+30)&gt;0),1,0)</x:f>
        <x:v>0</x:v>
      </x:c>
      <x:c r="R822" t="n">
        <x:f>R821+IF(OR(LEFT(H822,15)="Missing dates; ",LEFT(H822,16)="Add N/A reason; ",H822="Add dates",H822="Add registration",H822="Check date format"),1,0)</x:f>
        <x:v>0</x:v>
      </x:c>
      <x:c r="S822" t="n">
        <x:f>S821+IF(COUNTIFS(C822:F822,"Reviewed N/A")&gt;0,1,0)</x:f>
        <x:v>0</x:v>
      </x:c>
    </x:row>
    <x:row r="823" ht="48" customHeight="1">
      <x:c r="A823" s="52"/>
      <x:c r="B823" s="52"/>
      <x:c r="C823" s="53"/>
      <x:c r="D823" s="53"/>
      <x:c r="E823" s="53"/>
      <x:c r="F823" s="53"/>
      <x:c r="G823" s="52"/>
      <x:c r="H823" s="21" t="str">
        <x:f>IF(COUNTA(A823:G823,I823)=0,"",IF(A823="","Add registration",IF(OR(COUNTA(C823:F823)&gt;COUNT(C823:F823)+COUNTIFS(C823:F823,"Reviewed N/A"),AND(COUNT(C823:F823)&gt;0,OR(MIN(C823:F823)&lt;36526,MAX(C823:F823)&gt;109574))),"Check date format",IF(AND(COUNTIFS(C823:F823,"Reviewed N/A")&gt;0,I823=""),"Add N/A reason; ","")&amp;IF(COUNT(C823:F823)=0,IF(COUNTIFS(C823:F823,"Reviewed N/A")=4,"No applicable dates recorded","Add dates"),IF(COUNT(C823:F823)+COUNTIFS(C823:F823,"Reviewed N/A")&lt;4,"Missing dates; ","")&amp;IF(MIN(C823:F823)&lt;TODAY(),"Overdue: ",IF(MIN(C823:F823)=TODAY(),"Due today: ",IF(MIN(C823:F823)&lt;=TODAY()+30,"Due within 30 days: ","Next: ")))&amp;INDEX($C$8:$F$8,1,MATCH(MIN(C823:F823),C823:F823,0))&amp;" "&amp;TEXT(MIN(C823:F823),"dd mmm yyyy")))))</x:f>
      </x:c>
      <x:c r="I823" s="52"/>
      <x:c r="J823" t="str">
        <x:f>IF(AND(A823&lt;&gt;"",COUNTIFS(C823,"&gt;=36526",C823,"&lt;"&amp;TODAY())+COUNTIFS(D823,"&gt;=36526",D823,"&lt;"&amp;TODAY())+COUNTIFS(E823,"&gt;=36526",E823,"&lt;"&amp;TODAY())+COUNTIFS(F823,"&gt;=36526",F823,"&lt;"&amp;TODAY())&gt;0),O823,"")</x:f>
      </x:c>
      <x:c r="K823" t="str">
        <x:f>IF(AND(A823&lt;&gt;"",COUNTIFS(C823,"&gt;=36526",C823,TODAY())+COUNTIFS(D823,"&gt;=36526",D823,TODAY())+COUNTIFS(E823,"&gt;=36526",E823,TODAY())+COUNTIFS(F823,"&gt;=36526",F823,TODAY())&gt;0),P823,"")</x:f>
      </x:c>
      <x:c r="L823" t="str">
        <x:f>IF(AND(A823&lt;&gt;"",COUNTIFS(C823,"&gt;"&amp;TODAY(),C823,"&lt;="&amp;TODAY()+30)+COUNTIFS(D823,"&gt;"&amp;TODAY(),D823,"&lt;="&amp;TODAY()+30)+COUNTIFS(E823,"&gt;"&amp;TODAY(),E823,"&lt;="&amp;TODAY()+30)+COUNTIFS(F823,"&gt;"&amp;TODAY(),F823,"&lt;="&amp;TODAY()+30)&gt;0),Q823,"")</x:f>
      </x:c>
      <x:c r="M823" t="str">
        <x:f>IF(OR(LEFT(H823,15)="Missing dates; ",LEFT(H823,16)="Add N/A reason; ",H823="Add dates",H823="Add registration",H823="Check date format"),R823,"")</x:f>
      </x:c>
      <x:c r="N823" t="str">
        <x:f>IF(COUNTIFS(C823:F823,"Reviewed N/A")&gt;0,S823,"")</x:f>
      </x:c>
      <x:c r="O823" t="n">
        <x:f>O822+IF(AND(A823&lt;&gt;"",COUNTIFS(C823,"&gt;=36526",C823,"&lt;"&amp;TODAY())+COUNTIFS(D823,"&gt;=36526",D823,"&lt;"&amp;TODAY())+COUNTIFS(E823,"&gt;=36526",E823,"&lt;"&amp;TODAY())+COUNTIFS(F823,"&gt;=36526",F823,"&lt;"&amp;TODAY())&gt;0),1,0)</x:f>
        <x:v>0</x:v>
      </x:c>
      <x:c r="P823" t="n">
        <x:f>P822+IF(AND(A823&lt;&gt;"",COUNTIFS(C823,"&gt;=36526",C823,TODAY())+COUNTIFS(D823,"&gt;=36526",D823,TODAY())+COUNTIFS(E823,"&gt;=36526",E823,TODAY())+COUNTIFS(F823,"&gt;=36526",F823,TODAY())&gt;0),1,0)</x:f>
        <x:v>0</x:v>
      </x:c>
      <x:c r="Q823" t="n">
        <x:f>Q822+IF(AND(A823&lt;&gt;"",COUNTIFS(C823,"&gt;"&amp;TODAY(),C823,"&lt;="&amp;TODAY()+30)+COUNTIFS(D823,"&gt;"&amp;TODAY(),D823,"&lt;="&amp;TODAY()+30)+COUNTIFS(E823,"&gt;"&amp;TODAY(),E823,"&lt;="&amp;TODAY()+30)+COUNTIFS(F823,"&gt;"&amp;TODAY(),F823,"&lt;="&amp;TODAY()+30)&gt;0),1,0)</x:f>
        <x:v>0</x:v>
      </x:c>
      <x:c r="R823" t="n">
        <x:f>R822+IF(OR(LEFT(H823,15)="Missing dates; ",LEFT(H823,16)="Add N/A reason; ",H823="Add dates",H823="Add registration",H823="Check date format"),1,0)</x:f>
        <x:v>0</x:v>
      </x:c>
      <x:c r="S823" t="n">
        <x:f>S822+IF(COUNTIFS(C823:F823,"Reviewed N/A")&gt;0,1,0)</x:f>
        <x:v>0</x:v>
      </x:c>
    </x:row>
    <x:row r="824" ht="48" customHeight="1">
      <x:c r="A824" s="52"/>
      <x:c r="B824" s="52"/>
      <x:c r="C824" s="53"/>
      <x:c r="D824" s="53"/>
      <x:c r="E824" s="53"/>
      <x:c r="F824" s="53"/>
      <x:c r="G824" s="52"/>
      <x:c r="H824" s="21" t="str">
        <x:f>IF(COUNTA(A824:G824,I824)=0,"",IF(A824="","Add registration",IF(OR(COUNTA(C824:F824)&gt;COUNT(C824:F824)+COUNTIFS(C824:F824,"Reviewed N/A"),AND(COUNT(C824:F824)&gt;0,OR(MIN(C824:F824)&lt;36526,MAX(C824:F824)&gt;109574))),"Check date format",IF(AND(COUNTIFS(C824:F824,"Reviewed N/A")&gt;0,I824=""),"Add N/A reason; ","")&amp;IF(COUNT(C824:F824)=0,IF(COUNTIFS(C824:F824,"Reviewed N/A")=4,"No applicable dates recorded","Add dates"),IF(COUNT(C824:F824)+COUNTIFS(C824:F824,"Reviewed N/A")&lt;4,"Missing dates; ","")&amp;IF(MIN(C824:F824)&lt;TODAY(),"Overdue: ",IF(MIN(C824:F824)=TODAY(),"Due today: ",IF(MIN(C824:F824)&lt;=TODAY()+30,"Due within 30 days: ","Next: ")))&amp;INDEX($C$8:$F$8,1,MATCH(MIN(C824:F824),C824:F824,0))&amp;" "&amp;TEXT(MIN(C824:F824),"dd mmm yyyy")))))</x:f>
      </x:c>
      <x:c r="I824" s="52"/>
      <x:c r="J824" t="str">
        <x:f>IF(AND(A824&lt;&gt;"",COUNTIFS(C824,"&gt;=36526",C824,"&lt;"&amp;TODAY())+COUNTIFS(D824,"&gt;=36526",D824,"&lt;"&amp;TODAY())+COUNTIFS(E824,"&gt;=36526",E824,"&lt;"&amp;TODAY())+COUNTIFS(F824,"&gt;=36526",F824,"&lt;"&amp;TODAY())&gt;0),O824,"")</x:f>
      </x:c>
      <x:c r="K824" t="str">
        <x:f>IF(AND(A824&lt;&gt;"",COUNTIFS(C824,"&gt;=36526",C824,TODAY())+COUNTIFS(D824,"&gt;=36526",D824,TODAY())+COUNTIFS(E824,"&gt;=36526",E824,TODAY())+COUNTIFS(F824,"&gt;=36526",F824,TODAY())&gt;0),P824,"")</x:f>
      </x:c>
      <x:c r="L824" t="str">
        <x:f>IF(AND(A824&lt;&gt;"",COUNTIFS(C824,"&gt;"&amp;TODAY(),C824,"&lt;="&amp;TODAY()+30)+COUNTIFS(D824,"&gt;"&amp;TODAY(),D824,"&lt;="&amp;TODAY()+30)+COUNTIFS(E824,"&gt;"&amp;TODAY(),E824,"&lt;="&amp;TODAY()+30)+COUNTIFS(F824,"&gt;"&amp;TODAY(),F824,"&lt;="&amp;TODAY()+30)&gt;0),Q824,"")</x:f>
      </x:c>
      <x:c r="M824" t="str">
        <x:f>IF(OR(LEFT(H824,15)="Missing dates; ",LEFT(H824,16)="Add N/A reason; ",H824="Add dates",H824="Add registration",H824="Check date format"),R824,"")</x:f>
      </x:c>
      <x:c r="N824" t="str">
        <x:f>IF(COUNTIFS(C824:F824,"Reviewed N/A")&gt;0,S824,"")</x:f>
      </x:c>
      <x:c r="O824" t="n">
        <x:f>O823+IF(AND(A824&lt;&gt;"",COUNTIFS(C824,"&gt;=36526",C824,"&lt;"&amp;TODAY())+COUNTIFS(D824,"&gt;=36526",D824,"&lt;"&amp;TODAY())+COUNTIFS(E824,"&gt;=36526",E824,"&lt;"&amp;TODAY())+COUNTIFS(F824,"&gt;=36526",F824,"&lt;"&amp;TODAY())&gt;0),1,0)</x:f>
        <x:v>0</x:v>
      </x:c>
      <x:c r="P824" t="n">
        <x:f>P823+IF(AND(A824&lt;&gt;"",COUNTIFS(C824,"&gt;=36526",C824,TODAY())+COUNTIFS(D824,"&gt;=36526",D824,TODAY())+COUNTIFS(E824,"&gt;=36526",E824,TODAY())+COUNTIFS(F824,"&gt;=36526",F824,TODAY())&gt;0),1,0)</x:f>
        <x:v>0</x:v>
      </x:c>
      <x:c r="Q824" t="n">
        <x:f>Q823+IF(AND(A824&lt;&gt;"",COUNTIFS(C824,"&gt;"&amp;TODAY(),C824,"&lt;="&amp;TODAY()+30)+COUNTIFS(D824,"&gt;"&amp;TODAY(),D824,"&lt;="&amp;TODAY()+30)+COUNTIFS(E824,"&gt;"&amp;TODAY(),E824,"&lt;="&amp;TODAY()+30)+COUNTIFS(F824,"&gt;"&amp;TODAY(),F824,"&lt;="&amp;TODAY()+30)&gt;0),1,0)</x:f>
        <x:v>0</x:v>
      </x:c>
      <x:c r="R824" t="n">
        <x:f>R823+IF(OR(LEFT(H824,15)="Missing dates; ",LEFT(H824,16)="Add N/A reason; ",H824="Add dates",H824="Add registration",H824="Check date format"),1,0)</x:f>
        <x:v>0</x:v>
      </x:c>
      <x:c r="S824" t="n">
        <x:f>S823+IF(COUNTIFS(C824:F824,"Reviewed N/A")&gt;0,1,0)</x:f>
        <x:v>0</x:v>
      </x:c>
    </x:row>
    <x:row r="825" ht="48" customHeight="1">
      <x:c r="A825" s="52"/>
      <x:c r="B825" s="52"/>
      <x:c r="C825" s="53"/>
      <x:c r="D825" s="53"/>
      <x:c r="E825" s="53"/>
      <x:c r="F825" s="53"/>
      <x:c r="G825" s="52"/>
      <x:c r="H825" s="21" t="str">
        <x:f>IF(COUNTA(A825:G825,I825)=0,"",IF(A825="","Add registration",IF(OR(COUNTA(C825:F825)&gt;COUNT(C825:F825)+COUNTIFS(C825:F825,"Reviewed N/A"),AND(COUNT(C825:F825)&gt;0,OR(MIN(C825:F825)&lt;36526,MAX(C825:F825)&gt;109574))),"Check date format",IF(AND(COUNTIFS(C825:F825,"Reviewed N/A")&gt;0,I825=""),"Add N/A reason; ","")&amp;IF(COUNT(C825:F825)=0,IF(COUNTIFS(C825:F825,"Reviewed N/A")=4,"No applicable dates recorded","Add dates"),IF(COUNT(C825:F825)+COUNTIFS(C825:F825,"Reviewed N/A")&lt;4,"Missing dates; ","")&amp;IF(MIN(C825:F825)&lt;TODAY(),"Overdue: ",IF(MIN(C825:F825)=TODAY(),"Due today: ",IF(MIN(C825:F825)&lt;=TODAY()+30,"Due within 30 days: ","Next: ")))&amp;INDEX($C$8:$F$8,1,MATCH(MIN(C825:F825),C825:F825,0))&amp;" "&amp;TEXT(MIN(C825:F825),"dd mmm yyyy")))))</x:f>
      </x:c>
      <x:c r="I825" s="52"/>
      <x:c r="J825" t="str">
        <x:f>IF(AND(A825&lt;&gt;"",COUNTIFS(C825,"&gt;=36526",C825,"&lt;"&amp;TODAY())+COUNTIFS(D825,"&gt;=36526",D825,"&lt;"&amp;TODAY())+COUNTIFS(E825,"&gt;=36526",E825,"&lt;"&amp;TODAY())+COUNTIFS(F825,"&gt;=36526",F825,"&lt;"&amp;TODAY())&gt;0),O825,"")</x:f>
      </x:c>
      <x:c r="K825" t="str">
        <x:f>IF(AND(A825&lt;&gt;"",COUNTIFS(C825,"&gt;=36526",C825,TODAY())+COUNTIFS(D825,"&gt;=36526",D825,TODAY())+COUNTIFS(E825,"&gt;=36526",E825,TODAY())+COUNTIFS(F825,"&gt;=36526",F825,TODAY())&gt;0),P825,"")</x:f>
      </x:c>
      <x:c r="L825" t="str">
        <x:f>IF(AND(A825&lt;&gt;"",COUNTIFS(C825,"&gt;"&amp;TODAY(),C825,"&lt;="&amp;TODAY()+30)+COUNTIFS(D825,"&gt;"&amp;TODAY(),D825,"&lt;="&amp;TODAY()+30)+COUNTIFS(E825,"&gt;"&amp;TODAY(),E825,"&lt;="&amp;TODAY()+30)+COUNTIFS(F825,"&gt;"&amp;TODAY(),F825,"&lt;="&amp;TODAY()+30)&gt;0),Q825,"")</x:f>
      </x:c>
      <x:c r="M825" t="str">
        <x:f>IF(OR(LEFT(H825,15)="Missing dates; ",LEFT(H825,16)="Add N/A reason; ",H825="Add dates",H825="Add registration",H825="Check date format"),R825,"")</x:f>
      </x:c>
      <x:c r="N825" t="str">
        <x:f>IF(COUNTIFS(C825:F825,"Reviewed N/A")&gt;0,S825,"")</x:f>
      </x:c>
      <x:c r="O825" t="n">
        <x:f>O824+IF(AND(A825&lt;&gt;"",COUNTIFS(C825,"&gt;=36526",C825,"&lt;"&amp;TODAY())+COUNTIFS(D825,"&gt;=36526",D825,"&lt;"&amp;TODAY())+COUNTIFS(E825,"&gt;=36526",E825,"&lt;"&amp;TODAY())+COUNTIFS(F825,"&gt;=36526",F825,"&lt;"&amp;TODAY())&gt;0),1,0)</x:f>
        <x:v>0</x:v>
      </x:c>
      <x:c r="P825" t="n">
        <x:f>P824+IF(AND(A825&lt;&gt;"",COUNTIFS(C825,"&gt;=36526",C825,TODAY())+COUNTIFS(D825,"&gt;=36526",D825,TODAY())+COUNTIFS(E825,"&gt;=36526",E825,TODAY())+COUNTIFS(F825,"&gt;=36526",F825,TODAY())&gt;0),1,0)</x:f>
        <x:v>0</x:v>
      </x:c>
      <x:c r="Q825" t="n">
        <x:f>Q824+IF(AND(A825&lt;&gt;"",COUNTIFS(C825,"&gt;"&amp;TODAY(),C825,"&lt;="&amp;TODAY()+30)+COUNTIFS(D825,"&gt;"&amp;TODAY(),D825,"&lt;="&amp;TODAY()+30)+COUNTIFS(E825,"&gt;"&amp;TODAY(),E825,"&lt;="&amp;TODAY()+30)+COUNTIFS(F825,"&gt;"&amp;TODAY(),F825,"&lt;="&amp;TODAY()+30)&gt;0),1,0)</x:f>
        <x:v>0</x:v>
      </x:c>
      <x:c r="R825" t="n">
        <x:f>R824+IF(OR(LEFT(H825,15)="Missing dates; ",LEFT(H825,16)="Add N/A reason; ",H825="Add dates",H825="Add registration",H825="Check date format"),1,0)</x:f>
        <x:v>0</x:v>
      </x:c>
      <x:c r="S825" t="n">
        <x:f>S824+IF(COUNTIFS(C825:F825,"Reviewed N/A")&gt;0,1,0)</x:f>
        <x:v>0</x:v>
      </x:c>
    </x:row>
    <x:row r="826" ht="48" customHeight="1">
      <x:c r="A826" s="52"/>
      <x:c r="B826" s="52"/>
      <x:c r="C826" s="53"/>
      <x:c r="D826" s="53"/>
      <x:c r="E826" s="53"/>
      <x:c r="F826" s="53"/>
      <x:c r="G826" s="52"/>
      <x:c r="H826" s="21" t="str">
        <x:f>IF(COUNTA(A826:G826,I826)=0,"",IF(A826="","Add registration",IF(OR(COUNTA(C826:F826)&gt;COUNT(C826:F826)+COUNTIFS(C826:F826,"Reviewed N/A"),AND(COUNT(C826:F826)&gt;0,OR(MIN(C826:F826)&lt;36526,MAX(C826:F826)&gt;109574))),"Check date format",IF(AND(COUNTIFS(C826:F826,"Reviewed N/A")&gt;0,I826=""),"Add N/A reason; ","")&amp;IF(COUNT(C826:F826)=0,IF(COUNTIFS(C826:F826,"Reviewed N/A")=4,"No applicable dates recorded","Add dates"),IF(COUNT(C826:F826)+COUNTIFS(C826:F826,"Reviewed N/A")&lt;4,"Missing dates; ","")&amp;IF(MIN(C826:F826)&lt;TODAY(),"Overdue: ",IF(MIN(C826:F826)=TODAY(),"Due today: ",IF(MIN(C826:F826)&lt;=TODAY()+30,"Due within 30 days: ","Next: ")))&amp;INDEX($C$8:$F$8,1,MATCH(MIN(C826:F826),C826:F826,0))&amp;" "&amp;TEXT(MIN(C826:F826),"dd mmm yyyy")))))</x:f>
      </x:c>
      <x:c r="I826" s="52"/>
      <x:c r="J826" t="str">
        <x:f>IF(AND(A826&lt;&gt;"",COUNTIFS(C826,"&gt;=36526",C826,"&lt;"&amp;TODAY())+COUNTIFS(D826,"&gt;=36526",D826,"&lt;"&amp;TODAY())+COUNTIFS(E826,"&gt;=36526",E826,"&lt;"&amp;TODAY())+COUNTIFS(F826,"&gt;=36526",F826,"&lt;"&amp;TODAY())&gt;0),O826,"")</x:f>
      </x:c>
      <x:c r="K826" t="str">
        <x:f>IF(AND(A826&lt;&gt;"",COUNTIFS(C826,"&gt;=36526",C826,TODAY())+COUNTIFS(D826,"&gt;=36526",D826,TODAY())+COUNTIFS(E826,"&gt;=36526",E826,TODAY())+COUNTIFS(F826,"&gt;=36526",F826,TODAY())&gt;0),P826,"")</x:f>
      </x:c>
      <x:c r="L826" t="str">
        <x:f>IF(AND(A826&lt;&gt;"",COUNTIFS(C826,"&gt;"&amp;TODAY(),C826,"&lt;="&amp;TODAY()+30)+COUNTIFS(D826,"&gt;"&amp;TODAY(),D826,"&lt;="&amp;TODAY()+30)+COUNTIFS(E826,"&gt;"&amp;TODAY(),E826,"&lt;="&amp;TODAY()+30)+COUNTIFS(F826,"&gt;"&amp;TODAY(),F826,"&lt;="&amp;TODAY()+30)&gt;0),Q826,"")</x:f>
      </x:c>
      <x:c r="M826" t="str">
        <x:f>IF(OR(LEFT(H826,15)="Missing dates; ",LEFT(H826,16)="Add N/A reason; ",H826="Add dates",H826="Add registration",H826="Check date format"),R826,"")</x:f>
      </x:c>
      <x:c r="N826" t="str">
        <x:f>IF(COUNTIFS(C826:F826,"Reviewed N/A")&gt;0,S826,"")</x:f>
      </x:c>
      <x:c r="O826" t="n">
        <x:f>O825+IF(AND(A826&lt;&gt;"",COUNTIFS(C826,"&gt;=36526",C826,"&lt;"&amp;TODAY())+COUNTIFS(D826,"&gt;=36526",D826,"&lt;"&amp;TODAY())+COUNTIFS(E826,"&gt;=36526",E826,"&lt;"&amp;TODAY())+COUNTIFS(F826,"&gt;=36526",F826,"&lt;"&amp;TODAY())&gt;0),1,0)</x:f>
        <x:v>0</x:v>
      </x:c>
      <x:c r="P826" t="n">
        <x:f>P825+IF(AND(A826&lt;&gt;"",COUNTIFS(C826,"&gt;=36526",C826,TODAY())+COUNTIFS(D826,"&gt;=36526",D826,TODAY())+COUNTIFS(E826,"&gt;=36526",E826,TODAY())+COUNTIFS(F826,"&gt;=36526",F826,TODAY())&gt;0),1,0)</x:f>
        <x:v>0</x:v>
      </x:c>
      <x:c r="Q826" t="n">
        <x:f>Q825+IF(AND(A826&lt;&gt;"",COUNTIFS(C826,"&gt;"&amp;TODAY(),C826,"&lt;="&amp;TODAY()+30)+COUNTIFS(D826,"&gt;"&amp;TODAY(),D826,"&lt;="&amp;TODAY()+30)+COUNTIFS(E826,"&gt;"&amp;TODAY(),E826,"&lt;="&amp;TODAY()+30)+COUNTIFS(F826,"&gt;"&amp;TODAY(),F826,"&lt;="&amp;TODAY()+30)&gt;0),1,0)</x:f>
        <x:v>0</x:v>
      </x:c>
      <x:c r="R826" t="n">
        <x:f>R825+IF(OR(LEFT(H826,15)="Missing dates; ",LEFT(H826,16)="Add N/A reason; ",H826="Add dates",H826="Add registration",H826="Check date format"),1,0)</x:f>
        <x:v>0</x:v>
      </x:c>
      <x:c r="S826" t="n">
        <x:f>S825+IF(COUNTIFS(C826:F826,"Reviewed N/A")&gt;0,1,0)</x:f>
        <x:v>0</x:v>
      </x:c>
    </x:row>
    <x:row r="827" ht="48" customHeight="1">
      <x:c r="A827" s="52"/>
      <x:c r="B827" s="52"/>
      <x:c r="C827" s="53"/>
      <x:c r="D827" s="53"/>
      <x:c r="E827" s="53"/>
      <x:c r="F827" s="53"/>
      <x:c r="G827" s="52"/>
      <x:c r="H827" s="21" t="str">
        <x:f>IF(COUNTA(A827:G827,I827)=0,"",IF(A827="","Add registration",IF(OR(COUNTA(C827:F827)&gt;COUNT(C827:F827)+COUNTIFS(C827:F827,"Reviewed N/A"),AND(COUNT(C827:F827)&gt;0,OR(MIN(C827:F827)&lt;36526,MAX(C827:F827)&gt;109574))),"Check date format",IF(AND(COUNTIFS(C827:F827,"Reviewed N/A")&gt;0,I827=""),"Add N/A reason; ","")&amp;IF(COUNT(C827:F827)=0,IF(COUNTIFS(C827:F827,"Reviewed N/A")=4,"No applicable dates recorded","Add dates"),IF(COUNT(C827:F827)+COUNTIFS(C827:F827,"Reviewed N/A")&lt;4,"Missing dates; ","")&amp;IF(MIN(C827:F827)&lt;TODAY(),"Overdue: ",IF(MIN(C827:F827)=TODAY(),"Due today: ",IF(MIN(C827:F827)&lt;=TODAY()+30,"Due within 30 days: ","Next: ")))&amp;INDEX($C$8:$F$8,1,MATCH(MIN(C827:F827),C827:F827,0))&amp;" "&amp;TEXT(MIN(C827:F827),"dd mmm yyyy")))))</x:f>
      </x:c>
      <x:c r="I827" s="52"/>
      <x:c r="J827" t="str">
        <x:f>IF(AND(A827&lt;&gt;"",COUNTIFS(C827,"&gt;=36526",C827,"&lt;"&amp;TODAY())+COUNTIFS(D827,"&gt;=36526",D827,"&lt;"&amp;TODAY())+COUNTIFS(E827,"&gt;=36526",E827,"&lt;"&amp;TODAY())+COUNTIFS(F827,"&gt;=36526",F827,"&lt;"&amp;TODAY())&gt;0),O827,"")</x:f>
      </x:c>
      <x:c r="K827" t="str">
        <x:f>IF(AND(A827&lt;&gt;"",COUNTIFS(C827,"&gt;=36526",C827,TODAY())+COUNTIFS(D827,"&gt;=36526",D827,TODAY())+COUNTIFS(E827,"&gt;=36526",E827,TODAY())+COUNTIFS(F827,"&gt;=36526",F827,TODAY())&gt;0),P827,"")</x:f>
      </x:c>
      <x:c r="L827" t="str">
        <x:f>IF(AND(A827&lt;&gt;"",COUNTIFS(C827,"&gt;"&amp;TODAY(),C827,"&lt;="&amp;TODAY()+30)+COUNTIFS(D827,"&gt;"&amp;TODAY(),D827,"&lt;="&amp;TODAY()+30)+COUNTIFS(E827,"&gt;"&amp;TODAY(),E827,"&lt;="&amp;TODAY()+30)+COUNTIFS(F827,"&gt;"&amp;TODAY(),F827,"&lt;="&amp;TODAY()+30)&gt;0),Q827,"")</x:f>
      </x:c>
      <x:c r="M827" t="str">
        <x:f>IF(OR(LEFT(H827,15)="Missing dates; ",LEFT(H827,16)="Add N/A reason; ",H827="Add dates",H827="Add registration",H827="Check date format"),R827,"")</x:f>
      </x:c>
      <x:c r="N827" t="str">
        <x:f>IF(COUNTIFS(C827:F827,"Reviewed N/A")&gt;0,S827,"")</x:f>
      </x:c>
      <x:c r="O827" t="n">
        <x:f>O826+IF(AND(A827&lt;&gt;"",COUNTIFS(C827,"&gt;=36526",C827,"&lt;"&amp;TODAY())+COUNTIFS(D827,"&gt;=36526",D827,"&lt;"&amp;TODAY())+COUNTIFS(E827,"&gt;=36526",E827,"&lt;"&amp;TODAY())+COUNTIFS(F827,"&gt;=36526",F827,"&lt;"&amp;TODAY())&gt;0),1,0)</x:f>
        <x:v>0</x:v>
      </x:c>
      <x:c r="P827" t="n">
        <x:f>P826+IF(AND(A827&lt;&gt;"",COUNTIFS(C827,"&gt;=36526",C827,TODAY())+COUNTIFS(D827,"&gt;=36526",D827,TODAY())+COUNTIFS(E827,"&gt;=36526",E827,TODAY())+COUNTIFS(F827,"&gt;=36526",F827,TODAY())&gt;0),1,0)</x:f>
        <x:v>0</x:v>
      </x:c>
      <x:c r="Q827" t="n">
        <x:f>Q826+IF(AND(A827&lt;&gt;"",COUNTIFS(C827,"&gt;"&amp;TODAY(),C827,"&lt;="&amp;TODAY()+30)+COUNTIFS(D827,"&gt;"&amp;TODAY(),D827,"&lt;="&amp;TODAY()+30)+COUNTIFS(E827,"&gt;"&amp;TODAY(),E827,"&lt;="&amp;TODAY()+30)+COUNTIFS(F827,"&gt;"&amp;TODAY(),F827,"&lt;="&amp;TODAY()+30)&gt;0),1,0)</x:f>
        <x:v>0</x:v>
      </x:c>
      <x:c r="R827" t="n">
        <x:f>R826+IF(OR(LEFT(H827,15)="Missing dates; ",LEFT(H827,16)="Add N/A reason; ",H827="Add dates",H827="Add registration",H827="Check date format"),1,0)</x:f>
        <x:v>0</x:v>
      </x:c>
      <x:c r="S827" t="n">
        <x:f>S826+IF(COUNTIFS(C827:F827,"Reviewed N/A")&gt;0,1,0)</x:f>
        <x:v>0</x:v>
      </x:c>
    </x:row>
    <x:row r="828" ht="48" customHeight="1">
      <x:c r="A828" s="52"/>
      <x:c r="B828" s="52"/>
      <x:c r="C828" s="53"/>
      <x:c r="D828" s="53"/>
      <x:c r="E828" s="53"/>
      <x:c r="F828" s="53"/>
      <x:c r="G828" s="52"/>
      <x:c r="H828" s="21" t="str">
        <x:f>IF(COUNTA(A828:G828,I828)=0,"",IF(A828="","Add registration",IF(OR(COUNTA(C828:F828)&gt;COUNT(C828:F828)+COUNTIFS(C828:F828,"Reviewed N/A"),AND(COUNT(C828:F828)&gt;0,OR(MIN(C828:F828)&lt;36526,MAX(C828:F828)&gt;109574))),"Check date format",IF(AND(COUNTIFS(C828:F828,"Reviewed N/A")&gt;0,I828=""),"Add N/A reason; ","")&amp;IF(COUNT(C828:F828)=0,IF(COUNTIFS(C828:F828,"Reviewed N/A")=4,"No applicable dates recorded","Add dates"),IF(COUNT(C828:F828)+COUNTIFS(C828:F828,"Reviewed N/A")&lt;4,"Missing dates; ","")&amp;IF(MIN(C828:F828)&lt;TODAY(),"Overdue: ",IF(MIN(C828:F828)=TODAY(),"Due today: ",IF(MIN(C828:F828)&lt;=TODAY()+30,"Due within 30 days: ","Next: ")))&amp;INDEX($C$8:$F$8,1,MATCH(MIN(C828:F828),C828:F828,0))&amp;" "&amp;TEXT(MIN(C828:F828),"dd mmm yyyy")))))</x:f>
      </x:c>
      <x:c r="I828" s="52"/>
      <x:c r="J828" t="str">
        <x:f>IF(AND(A828&lt;&gt;"",COUNTIFS(C828,"&gt;=36526",C828,"&lt;"&amp;TODAY())+COUNTIFS(D828,"&gt;=36526",D828,"&lt;"&amp;TODAY())+COUNTIFS(E828,"&gt;=36526",E828,"&lt;"&amp;TODAY())+COUNTIFS(F828,"&gt;=36526",F828,"&lt;"&amp;TODAY())&gt;0),O828,"")</x:f>
      </x:c>
      <x:c r="K828" t="str">
        <x:f>IF(AND(A828&lt;&gt;"",COUNTIFS(C828,"&gt;=36526",C828,TODAY())+COUNTIFS(D828,"&gt;=36526",D828,TODAY())+COUNTIFS(E828,"&gt;=36526",E828,TODAY())+COUNTIFS(F828,"&gt;=36526",F828,TODAY())&gt;0),P828,"")</x:f>
      </x:c>
      <x:c r="L828" t="str">
        <x:f>IF(AND(A828&lt;&gt;"",COUNTIFS(C828,"&gt;"&amp;TODAY(),C828,"&lt;="&amp;TODAY()+30)+COUNTIFS(D828,"&gt;"&amp;TODAY(),D828,"&lt;="&amp;TODAY()+30)+COUNTIFS(E828,"&gt;"&amp;TODAY(),E828,"&lt;="&amp;TODAY()+30)+COUNTIFS(F828,"&gt;"&amp;TODAY(),F828,"&lt;="&amp;TODAY()+30)&gt;0),Q828,"")</x:f>
      </x:c>
      <x:c r="M828" t="str">
        <x:f>IF(OR(LEFT(H828,15)="Missing dates; ",LEFT(H828,16)="Add N/A reason; ",H828="Add dates",H828="Add registration",H828="Check date format"),R828,"")</x:f>
      </x:c>
      <x:c r="N828" t="str">
        <x:f>IF(COUNTIFS(C828:F828,"Reviewed N/A")&gt;0,S828,"")</x:f>
      </x:c>
      <x:c r="O828" t="n">
        <x:f>O827+IF(AND(A828&lt;&gt;"",COUNTIFS(C828,"&gt;=36526",C828,"&lt;"&amp;TODAY())+COUNTIFS(D828,"&gt;=36526",D828,"&lt;"&amp;TODAY())+COUNTIFS(E828,"&gt;=36526",E828,"&lt;"&amp;TODAY())+COUNTIFS(F828,"&gt;=36526",F828,"&lt;"&amp;TODAY())&gt;0),1,0)</x:f>
        <x:v>0</x:v>
      </x:c>
      <x:c r="P828" t="n">
        <x:f>P827+IF(AND(A828&lt;&gt;"",COUNTIFS(C828,"&gt;=36526",C828,TODAY())+COUNTIFS(D828,"&gt;=36526",D828,TODAY())+COUNTIFS(E828,"&gt;=36526",E828,TODAY())+COUNTIFS(F828,"&gt;=36526",F828,TODAY())&gt;0),1,0)</x:f>
        <x:v>0</x:v>
      </x:c>
      <x:c r="Q828" t="n">
        <x:f>Q827+IF(AND(A828&lt;&gt;"",COUNTIFS(C828,"&gt;"&amp;TODAY(),C828,"&lt;="&amp;TODAY()+30)+COUNTIFS(D828,"&gt;"&amp;TODAY(),D828,"&lt;="&amp;TODAY()+30)+COUNTIFS(E828,"&gt;"&amp;TODAY(),E828,"&lt;="&amp;TODAY()+30)+COUNTIFS(F828,"&gt;"&amp;TODAY(),F828,"&lt;="&amp;TODAY()+30)&gt;0),1,0)</x:f>
        <x:v>0</x:v>
      </x:c>
      <x:c r="R828" t="n">
        <x:f>R827+IF(OR(LEFT(H828,15)="Missing dates; ",LEFT(H828,16)="Add N/A reason; ",H828="Add dates",H828="Add registration",H828="Check date format"),1,0)</x:f>
        <x:v>0</x:v>
      </x:c>
      <x:c r="S828" t="n">
        <x:f>S827+IF(COUNTIFS(C828:F828,"Reviewed N/A")&gt;0,1,0)</x:f>
        <x:v>0</x:v>
      </x:c>
    </x:row>
    <x:row r="829" ht="48" customHeight="1">
      <x:c r="A829" s="52"/>
      <x:c r="B829" s="52"/>
      <x:c r="C829" s="53"/>
      <x:c r="D829" s="53"/>
      <x:c r="E829" s="53"/>
      <x:c r="F829" s="53"/>
      <x:c r="G829" s="52"/>
      <x:c r="H829" s="21" t="str">
        <x:f>IF(COUNTA(A829:G829,I829)=0,"",IF(A829="","Add registration",IF(OR(COUNTA(C829:F829)&gt;COUNT(C829:F829)+COUNTIFS(C829:F829,"Reviewed N/A"),AND(COUNT(C829:F829)&gt;0,OR(MIN(C829:F829)&lt;36526,MAX(C829:F829)&gt;109574))),"Check date format",IF(AND(COUNTIFS(C829:F829,"Reviewed N/A")&gt;0,I829=""),"Add N/A reason; ","")&amp;IF(COUNT(C829:F829)=0,IF(COUNTIFS(C829:F829,"Reviewed N/A")=4,"No applicable dates recorded","Add dates"),IF(COUNT(C829:F829)+COUNTIFS(C829:F829,"Reviewed N/A")&lt;4,"Missing dates; ","")&amp;IF(MIN(C829:F829)&lt;TODAY(),"Overdue: ",IF(MIN(C829:F829)=TODAY(),"Due today: ",IF(MIN(C829:F829)&lt;=TODAY()+30,"Due within 30 days: ","Next: ")))&amp;INDEX($C$8:$F$8,1,MATCH(MIN(C829:F829),C829:F829,0))&amp;" "&amp;TEXT(MIN(C829:F829),"dd mmm yyyy")))))</x:f>
      </x:c>
      <x:c r="I829" s="52"/>
      <x:c r="J829" t="str">
        <x:f>IF(AND(A829&lt;&gt;"",COUNTIFS(C829,"&gt;=36526",C829,"&lt;"&amp;TODAY())+COUNTIFS(D829,"&gt;=36526",D829,"&lt;"&amp;TODAY())+COUNTIFS(E829,"&gt;=36526",E829,"&lt;"&amp;TODAY())+COUNTIFS(F829,"&gt;=36526",F829,"&lt;"&amp;TODAY())&gt;0),O829,"")</x:f>
      </x:c>
      <x:c r="K829" t="str">
        <x:f>IF(AND(A829&lt;&gt;"",COUNTIFS(C829,"&gt;=36526",C829,TODAY())+COUNTIFS(D829,"&gt;=36526",D829,TODAY())+COUNTIFS(E829,"&gt;=36526",E829,TODAY())+COUNTIFS(F829,"&gt;=36526",F829,TODAY())&gt;0),P829,"")</x:f>
      </x:c>
      <x:c r="L829" t="str">
        <x:f>IF(AND(A829&lt;&gt;"",COUNTIFS(C829,"&gt;"&amp;TODAY(),C829,"&lt;="&amp;TODAY()+30)+COUNTIFS(D829,"&gt;"&amp;TODAY(),D829,"&lt;="&amp;TODAY()+30)+COUNTIFS(E829,"&gt;"&amp;TODAY(),E829,"&lt;="&amp;TODAY()+30)+COUNTIFS(F829,"&gt;"&amp;TODAY(),F829,"&lt;="&amp;TODAY()+30)&gt;0),Q829,"")</x:f>
      </x:c>
      <x:c r="M829" t="str">
        <x:f>IF(OR(LEFT(H829,15)="Missing dates; ",LEFT(H829,16)="Add N/A reason; ",H829="Add dates",H829="Add registration",H829="Check date format"),R829,"")</x:f>
      </x:c>
      <x:c r="N829" t="str">
        <x:f>IF(COUNTIFS(C829:F829,"Reviewed N/A")&gt;0,S829,"")</x:f>
      </x:c>
      <x:c r="O829" t="n">
        <x:f>O828+IF(AND(A829&lt;&gt;"",COUNTIFS(C829,"&gt;=36526",C829,"&lt;"&amp;TODAY())+COUNTIFS(D829,"&gt;=36526",D829,"&lt;"&amp;TODAY())+COUNTIFS(E829,"&gt;=36526",E829,"&lt;"&amp;TODAY())+COUNTIFS(F829,"&gt;=36526",F829,"&lt;"&amp;TODAY())&gt;0),1,0)</x:f>
        <x:v>0</x:v>
      </x:c>
      <x:c r="P829" t="n">
        <x:f>P828+IF(AND(A829&lt;&gt;"",COUNTIFS(C829,"&gt;=36526",C829,TODAY())+COUNTIFS(D829,"&gt;=36526",D829,TODAY())+COUNTIFS(E829,"&gt;=36526",E829,TODAY())+COUNTIFS(F829,"&gt;=36526",F829,TODAY())&gt;0),1,0)</x:f>
        <x:v>0</x:v>
      </x:c>
      <x:c r="Q829" t="n">
        <x:f>Q828+IF(AND(A829&lt;&gt;"",COUNTIFS(C829,"&gt;"&amp;TODAY(),C829,"&lt;="&amp;TODAY()+30)+COUNTIFS(D829,"&gt;"&amp;TODAY(),D829,"&lt;="&amp;TODAY()+30)+COUNTIFS(E829,"&gt;"&amp;TODAY(),E829,"&lt;="&amp;TODAY()+30)+COUNTIFS(F829,"&gt;"&amp;TODAY(),F829,"&lt;="&amp;TODAY()+30)&gt;0),1,0)</x:f>
        <x:v>0</x:v>
      </x:c>
      <x:c r="R829" t="n">
        <x:f>R828+IF(OR(LEFT(H829,15)="Missing dates; ",LEFT(H829,16)="Add N/A reason; ",H829="Add dates",H829="Add registration",H829="Check date format"),1,0)</x:f>
        <x:v>0</x:v>
      </x:c>
      <x:c r="S829" t="n">
        <x:f>S828+IF(COUNTIFS(C829:F829,"Reviewed N/A")&gt;0,1,0)</x:f>
        <x:v>0</x:v>
      </x:c>
    </x:row>
    <x:row r="830" ht="48" customHeight="1">
      <x:c r="A830" s="52"/>
      <x:c r="B830" s="52"/>
      <x:c r="C830" s="53"/>
      <x:c r="D830" s="53"/>
      <x:c r="E830" s="53"/>
      <x:c r="F830" s="53"/>
      <x:c r="G830" s="52"/>
      <x:c r="H830" s="21" t="str">
        <x:f>IF(COUNTA(A830:G830,I830)=0,"",IF(A830="","Add registration",IF(OR(COUNTA(C830:F830)&gt;COUNT(C830:F830)+COUNTIFS(C830:F830,"Reviewed N/A"),AND(COUNT(C830:F830)&gt;0,OR(MIN(C830:F830)&lt;36526,MAX(C830:F830)&gt;109574))),"Check date format",IF(AND(COUNTIFS(C830:F830,"Reviewed N/A")&gt;0,I830=""),"Add N/A reason; ","")&amp;IF(COUNT(C830:F830)=0,IF(COUNTIFS(C830:F830,"Reviewed N/A")=4,"No applicable dates recorded","Add dates"),IF(COUNT(C830:F830)+COUNTIFS(C830:F830,"Reviewed N/A")&lt;4,"Missing dates; ","")&amp;IF(MIN(C830:F830)&lt;TODAY(),"Overdue: ",IF(MIN(C830:F830)=TODAY(),"Due today: ",IF(MIN(C830:F830)&lt;=TODAY()+30,"Due within 30 days: ","Next: ")))&amp;INDEX($C$8:$F$8,1,MATCH(MIN(C830:F830),C830:F830,0))&amp;" "&amp;TEXT(MIN(C830:F830),"dd mmm yyyy")))))</x:f>
      </x:c>
      <x:c r="I830" s="52"/>
      <x:c r="J830" t="str">
        <x:f>IF(AND(A830&lt;&gt;"",COUNTIFS(C830,"&gt;=36526",C830,"&lt;"&amp;TODAY())+COUNTIFS(D830,"&gt;=36526",D830,"&lt;"&amp;TODAY())+COUNTIFS(E830,"&gt;=36526",E830,"&lt;"&amp;TODAY())+COUNTIFS(F830,"&gt;=36526",F830,"&lt;"&amp;TODAY())&gt;0),O830,"")</x:f>
      </x:c>
      <x:c r="K830" t="str">
        <x:f>IF(AND(A830&lt;&gt;"",COUNTIFS(C830,"&gt;=36526",C830,TODAY())+COUNTIFS(D830,"&gt;=36526",D830,TODAY())+COUNTIFS(E830,"&gt;=36526",E830,TODAY())+COUNTIFS(F830,"&gt;=36526",F830,TODAY())&gt;0),P830,"")</x:f>
      </x:c>
      <x:c r="L830" t="str">
        <x:f>IF(AND(A830&lt;&gt;"",COUNTIFS(C830,"&gt;"&amp;TODAY(),C830,"&lt;="&amp;TODAY()+30)+COUNTIFS(D830,"&gt;"&amp;TODAY(),D830,"&lt;="&amp;TODAY()+30)+COUNTIFS(E830,"&gt;"&amp;TODAY(),E830,"&lt;="&amp;TODAY()+30)+COUNTIFS(F830,"&gt;"&amp;TODAY(),F830,"&lt;="&amp;TODAY()+30)&gt;0),Q830,"")</x:f>
      </x:c>
      <x:c r="M830" t="str">
        <x:f>IF(OR(LEFT(H830,15)="Missing dates; ",LEFT(H830,16)="Add N/A reason; ",H830="Add dates",H830="Add registration",H830="Check date format"),R830,"")</x:f>
      </x:c>
      <x:c r="N830" t="str">
        <x:f>IF(COUNTIFS(C830:F830,"Reviewed N/A")&gt;0,S830,"")</x:f>
      </x:c>
      <x:c r="O830" t="n">
        <x:f>O829+IF(AND(A830&lt;&gt;"",COUNTIFS(C830,"&gt;=36526",C830,"&lt;"&amp;TODAY())+COUNTIFS(D830,"&gt;=36526",D830,"&lt;"&amp;TODAY())+COUNTIFS(E830,"&gt;=36526",E830,"&lt;"&amp;TODAY())+COUNTIFS(F830,"&gt;=36526",F830,"&lt;"&amp;TODAY())&gt;0),1,0)</x:f>
        <x:v>0</x:v>
      </x:c>
      <x:c r="P830" t="n">
        <x:f>P829+IF(AND(A830&lt;&gt;"",COUNTIFS(C830,"&gt;=36526",C830,TODAY())+COUNTIFS(D830,"&gt;=36526",D830,TODAY())+COUNTIFS(E830,"&gt;=36526",E830,TODAY())+COUNTIFS(F830,"&gt;=36526",F830,TODAY())&gt;0),1,0)</x:f>
        <x:v>0</x:v>
      </x:c>
      <x:c r="Q830" t="n">
        <x:f>Q829+IF(AND(A830&lt;&gt;"",COUNTIFS(C830,"&gt;"&amp;TODAY(),C830,"&lt;="&amp;TODAY()+30)+COUNTIFS(D830,"&gt;"&amp;TODAY(),D830,"&lt;="&amp;TODAY()+30)+COUNTIFS(E830,"&gt;"&amp;TODAY(),E830,"&lt;="&amp;TODAY()+30)+COUNTIFS(F830,"&gt;"&amp;TODAY(),F830,"&lt;="&amp;TODAY()+30)&gt;0),1,0)</x:f>
        <x:v>0</x:v>
      </x:c>
      <x:c r="R830" t="n">
        <x:f>R829+IF(OR(LEFT(H830,15)="Missing dates; ",LEFT(H830,16)="Add N/A reason; ",H830="Add dates",H830="Add registration",H830="Check date format"),1,0)</x:f>
        <x:v>0</x:v>
      </x:c>
      <x:c r="S830" t="n">
        <x:f>S829+IF(COUNTIFS(C830:F830,"Reviewed N/A")&gt;0,1,0)</x:f>
        <x:v>0</x:v>
      </x:c>
    </x:row>
    <x:row r="831" ht="48" customHeight="1">
      <x:c r="A831" s="52"/>
      <x:c r="B831" s="52"/>
      <x:c r="C831" s="53"/>
      <x:c r="D831" s="53"/>
      <x:c r="E831" s="53"/>
      <x:c r="F831" s="53"/>
      <x:c r="G831" s="52"/>
      <x:c r="H831" s="21" t="str">
        <x:f>IF(COUNTA(A831:G831,I831)=0,"",IF(A831="","Add registration",IF(OR(COUNTA(C831:F831)&gt;COUNT(C831:F831)+COUNTIFS(C831:F831,"Reviewed N/A"),AND(COUNT(C831:F831)&gt;0,OR(MIN(C831:F831)&lt;36526,MAX(C831:F831)&gt;109574))),"Check date format",IF(AND(COUNTIFS(C831:F831,"Reviewed N/A")&gt;0,I831=""),"Add N/A reason; ","")&amp;IF(COUNT(C831:F831)=0,IF(COUNTIFS(C831:F831,"Reviewed N/A")=4,"No applicable dates recorded","Add dates"),IF(COUNT(C831:F831)+COUNTIFS(C831:F831,"Reviewed N/A")&lt;4,"Missing dates; ","")&amp;IF(MIN(C831:F831)&lt;TODAY(),"Overdue: ",IF(MIN(C831:F831)=TODAY(),"Due today: ",IF(MIN(C831:F831)&lt;=TODAY()+30,"Due within 30 days: ","Next: ")))&amp;INDEX($C$8:$F$8,1,MATCH(MIN(C831:F831),C831:F831,0))&amp;" "&amp;TEXT(MIN(C831:F831),"dd mmm yyyy")))))</x:f>
      </x:c>
      <x:c r="I831" s="52"/>
      <x:c r="J831" t="str">
        <x:f>IF(AND(A831&lt;&gt;"",COUNTIFS(C831,"&gt;=36526",C831,"&lt;"&amp;TODAY())+COUNTIFS(D831,"&gt;=36526",D831,"&lt;"&amp;TODAY())+COUNTIFS(E831,"&gt;=36526",E831,"&lt;"&amp;TODAY())+COUNTIFS(F831,"&gt;=36526",F831,"&lt;"&amp;TODAY())&gt;0),O831,"")</x:f>
      </x:c>
      <x:c r="K831" t="str">
        <x:f>IF(AND(A831&lt;&gt;"",COUNTIFS(C831,"&gt;=36526",C831,TODAY())+COUNTIFS(D831,"&gt;=36526",D831,TODAY())+COUNTIFS(E831,"&gt;=36526",E831,TODAY())+COUNTIFS(F831,"&gt;=36526",F831,TODAY())&gt;0),P831,"")</x:f>
      </x:c>
      <x:c r="L831" t="str">
        <x:f>IF(AND(A831&lt;&gt;"",COUNTIFS(C831,"&gt;"&amp;TODAY(),C831,"&lt;="&amp;TODAY()+30)+COUNTIFS(D831,"&gt;"&amp;TODAY(),D831,"&lt;="&amp;TODAY()+30)+COUNTIFS(E831,"&gt;"&amp;TODAY(),E831,"&lt;="&amp;TODAY()+30)+COUNTIFS(F831,"&gt;"&amp;TODAY(),F831,"&lt;="&amp;TODAY()+30)&gt;0),Q831,"")</x:f>
      </x:c>
      <x:c r="M831" t="str">
        <x:f>IF(OR(LEFT(H831,15)="Missing dates; ",LEFT(H831,16)="Add N/A reason; ",H831="Add dates",H831="Add registration",H831="Check date format"),R831,"")</x:f>
      </x:c>
      <x:c r="N831" t="str">
        <x:f>IF(COUNTIFS(C831:F831,"Reviewed N/A")&gt;0,S831,"")</x:f>
      </x:c>
      <x:c r="O831" t="n">
        <x:f>O830+IF(AND(A831&lt;&gt;"",COUNTIFS(C831,"&gt;=36526",C831,"&lt;"&amp;TODAY())+COUNTIFS(D831,"&gt;=36526",D831,"&lt;"&amp;TODAY())+COUNTIFS(E831,"&gt;=36526",E831,"&lt;"&amp;TODAY())+COUNTIFS(F831,"&gt;=36526",F831,"&lt;"&amp;TODAY())&gt;0),1,0)</x:f>
        <x:v>0</x:v>
      </x:c>
      <x:c r="P831" t="n">
        <x:f>P830+IF(AND(A831&lt;&gt;"",COUNTIFS(C831,"&gt;=36526",C831,TODAY())+COUNTIFS(D831,"&gt;=36526",D831,TODAY())+COUNTIFS(E831,"&gt;=36526",E831,TODAY())+COUNTIFS(F831,"&gt;=36526",F831,TODAY())&gt;0),1,0)</x:f>
        <x:v>0</x:v>
      </x:c>
      <x:c r="Q831" t="n">
        <x:f>Q830+IF(AND(A831&lt;&gt;"",COUNTIFS(C831,"&gt;"&amp;TODAY(),C831,"&lt;="&amp;TODAY()+30)+COUNTIFS(D831,"&gt;"&amp;TODAY(),D831,"&lt;="&amp;TODAY()+30)+COUNTIFS(E831,"&gt;"&amp;TODAY(),E831,"&lt;="&amp;TODAY()+30)+COUNTIFS(F831,"&gt;"&amp;TODAY(),F831,"&lt;="&amp;TODAY()+30)&gt;0),1,0)</x:f>
        <x:v>0</x:v>
      </x:c>
      <x:c r="R831" t="n">
        <x:f>R830+IF(OR(LEFT(H831,15)="Missing dates; ",LEFT(H831,16)="Add N/A reason; ",H831="Add dates",H831="Add registration",H831="Check date format"),1,0)</x:f>
        <x:v>0</x:v>
      </x:c>
      <x:c r="S831" t="n">
        <x:f>S830+IF(COUNTIFS(C831:F831,"Reviewed N/A")&gt;0,1,0)</x:f>
        <x:v>0</x:v>
      </x:c>
    </x:row>
    <x:row r="832" ht="48" customHeight="1">
      <x:c r="A832" s="52"/>
      <x:c r="B832" s="52"/>
      <x:c r="C832" s="53"/>
      <x:c r="D832" s="53"/>
      <x:c r="E832" s="53"/>
      <x:c r="F832" s="53"/>
      <x:c r="G832" s="52"/>
      <x:c r="H832" s="21" t="str">
        <x:f>IF(COUNTA(A832:G832,I832)=0,"",IF(A832="","Add registration",IF(OR(COUNTA(C832:F832)&gt;COUNT(C832:F832)+COUNTIFS(C832:F832,"Reviewed N/A"),AND(COUNT(C832:F832)&gt;0,OR(MIN(C832:F832)&lt;36526,MAX(C832:F832)&gt;109574))),"Check date format",IF(AND(COUNTIFS(C832:F832,"Reviewed N/A")&gt;0,I832=""),"Add N/A reason; ","")&amp;IF(COUNT(C832:F832)=0,IF(COUNTIFS(C832:F832,"Reviewed N/A")=4,"No applicable dates recorded","Add dates"),IF(COUNT(C832:F832)+COUNTIFS(C832:F832,"Reviewed N/A")&lt;4,"Missing dates; ","")&amp;IF(MIN(C832:F832)&lt;TODAY(),"Overdue: ",IF(MIN(C832:F832)=TODAY(),"Due today: ",IF(MIN(C832:F832)&lt;=TODAY()+30,"Due within 30 days: ","Next: ")))&amp;INDEX($C$8:$F$8,1,MATCH(MIN(C832:F832),C832:F832,0))&amp;" "&amp;TEXT(MIN(C832:F832),"dd mmm yyyy")))))</x:f>
      </x:c>
      <x:c r="I832" s="52"/>
      <x:c r="J832" t="str">
        <x:f>IF(AND(A832&lt;&gt;"",COUNTIFS(C832,"&gt;=36526",C832,"&lt;"&amp;TODAY())+COUNTIFS(D832,"&gt;=36526",D832,"&lt;"&amp;TODAY())+COUNTIFS(E832,"&gt;=36526",E832,"&lt;"&amp;TODAY())+COUNTIFS(F832,"&gt;=36526",F832,"&lt;"&amp;TODAY())&gt;0),O832,"")</x:f>
      </x:c>
      <x:c r="K832" t="str">
        <x:f>IF(AND(A832&lt;&gt;"",COUNTIFS(C832,"&gt;=36526",C832,TODAY())+COUNTIFS(D832,"&gt;=36526",D832,TODAY())+COUNTIFS(E832,"&gt;=36526",E832,TODAY())+COUNTIFS(F832,"&gt;=36526",F832,TODAY())&gt;0),P832,"")</x:f>
      </x:c>
      <x:c r="L832" t="str">
        <x:f>IF(AND(A832&lt;&gt;"",COUNTIFS(C832,"&gt;"&amp;TODAY(),C832,"&lt;="&amp;TODAY()+30)+COUNTIFS(D832,"&gt;"&amp;TODAY(),D832,"&lt;="&amp;TODAY()+30)+COUNTIFS(E832,"&gt;"&amp;TODAY(),E832,"&lt;="&amp;TODAY()+30)+COUNTIFS(F832,"&gt;"&amp;TODAY(),F832,"&lt;="&amp;TODAY()+30)&gt;0),Q832,"")</x:f>
      </x:c>
      <x:c r="M832" t="str">
        <x:f>IF(OR(LEFT(H832,15)="Missing dates; ",LEFT(H832,16)="Add N/A reason; ",H832="Add dates",H832="Add registration",H832="Check date format"),R832,"")</x:f>
      </x:c>
      <x:c r="N832" t="str">
        <x:f>IF(COUNTIFS(C832:F832,"Reviewed N/A")&gt;0,S832,"")</x:f>
      </x:c>
      <x:c r="O832" t="n">
        <x:f>O831+IF(AND(A832&lt;&gt;"",COUNTIFS(C832,"&gt;=36526",C832,"&lt;"&amp;TODAY())+COUNTIFS(D832,"&gt;=36526",D832,"&lt;"&amp;TODAY())+COUNTIFS(E832,"&gt;=36526",E832,"&lt;"&amp;TODAY())+COUNTIFS(F832,"&gt;=36526",F832,"&lt;"&amp;TODAY())&gt;0),1,0)</x:f>
        <x:v>0</x:v>
      </x:c>
      <x:c r="P832" t="n">
        <x:f>P831+IF(AND(A832&lt;&gt;"",COUNTIFS(C832,"&gt;=36526",C832,TODAY())+COUNTIFS(D832,"&gt;=36526",D832,TODAY())+COUNTIFS(E832,"&gt;=36526",E832,TODAY())+COUNTIFS(F832,"&gt;=36526",F832,TODAY())&gt;0),1,0)</x:f>
        <x:v>0</x:v>
      </x:c>
      <x:c r="Q832" t="n">
        <x:f>Q831+IF(AND(A832&lt;&gt;"",COUNTIFS(C832,"&gt;"&amp;TODAY(),C832,"&lt;="&amp;TODAY()+30)+COUNTIFS(D832,"&gt;"&amp;TODAY(),D832,"&lt;="&amp;TODAY()+30)+COUNTIFS(E832,"&gt;"&amp;TODAY(),E832,"&lt;="&amp;TODAY()+30)+COUNTIFS(F832,"&gt;"&amp;TODAY(),F832,"&lt;="&amp;TODAY()+30)&gt;0),1,0)</x:f>
        <x:v>0</x:v>
      </x:c>
      <x:c r="R832" t="n">
        <x:f>R831+IF(OR(LEFT(H832,15)="Missing dates; ",LEFT(H832,16)="Add N/A reason; ",H832="Add dates",H832="Add registration",H832="Check date format"),1,0)</x:f>
        <x:v>0</x:v>
      </x:c>
      <x:c r="S832" t="n">
        <x:f>S831+IF(COUNTIFS(C832:F832,"Reviewed N/A")&gt;0,1,0)</x:f>
        <x:v>0</x:v>
      </x:c>
    </x:row>
    <x:row r="833" ht="48" customHeight="1">
      <x:c r="A833" s="52"/>
      <x:c r="B833" s="52"/>
      <x:c r="C833" s="53"/>
      <x:c r="D833" s="53"/>
      <x:c r="E833" s="53"/>
      <x:c r="F833" s="53"/>
      <x:c r="G833" s="52"/>
      <x:c r="H833" s="21" t="str">
        <x:f>IF(COUNTA(A833:G833,I833)=0,"",IF(A833="","Add registration",IF(OR(COUNTA(C833:F833)&gt;COUNT(C833:F833)+COUNTIFS(C833:F833,"Reviewed N/A"),AND(COUNT(C833:F833)&gt;0,OR(MIN(C833:F833)&lt;36526,MAX(C833:F833)&gt;109574))),"Check date format",IF(AND(COUNTIFS(C833:F833,"Reviewed N/A")&gt;0,I833=""),"Add N/A reason; ","")&amp;IF(COUNT(C833:F833)=0,IF(COUNTIFS(C833:F833,"Reviewed N/A")=4,"No applicable dates recorded","Add dates"),IF(COUNT(C833:F833)+COUNTIFS(C833:F833,"Reviewed N/A")&lt;4,"Missing dates; ","")&amp;IF(MIN(C833:F833)&lt;TODAY(),"Overdue: ",IF(MIN(C833:F833)=TODAY(),"Due today: ",IF(MIN(C833:F833)&lt;=TODAY()+30,"Due within 30 days: ","Next: ")))&amp;INDEX($C$8:$F$8,1,MATCH(MIN(C833:F833),C833:F833,0))&amp;" "&amp;TEXT(MIN(C833:F833),"dd mmm yyyy")))))</x:f>
      </x:c>
      <x:c r="I833" s="52"/>
      <x:c r="J833" t="str">
        <x:f>IF(AND(A833&lt;&gt;"",COUNTIFS(C833,"&gt;=36526",C833,"&lt;"&amp;TODAY())+COUNTIFS(D833,"&gt;=36526",D833,"&lt;"&amp;TODAY())+COUNTIFS(E833,"&gt;=36526",E833,"&lt;"&amp;TODAY())+COUNTIFS(F833,"&gt;=36526",F833,"&lt;"&amp;TODAY())&gt;0),O833,"")</x:f>
      </x:c>
      <x:c r="K833" t="str">
        <x:f>IF(AND(A833&lt;&gt;"",COUNTIFS(C833,"&gt;=36526",C833,TODAY())+COUNTIFS(D833,"&gt;=36526",D833,TODAY())+COUNTIFS(E833,"&gt;=36526",E833,TODAY())+COUNTIFS(F833,"&gt;=36526",F833,TODAY())&gt;0),P833,"")</x:f>
      </x:c>
      <x:c r="L833" t="str">
        <x:f>IF(AND(A833&lt;&gt;"",COUNTIFS(C833,"&gt;"&amp;TODAY(),C833,"&lt;="&amp;TODAY()+30)+COUNTIFS(D833,"&gt;"&amp;TODAY(),D833,"&lt;="&amp;TODAY()+30)+COUNTIFS(E833,"&gt;"&amp;TODAY(),E833,"&lt;="&amp;TODAY()+30)+COUNTIFS(F833,"&gt;"&amp;TODAY(),F833,"&lt;="&amp;TODAY()+30)&gt;0),Q833,"")</x:f>
      </x:c>
      <x:c r="M833" t="str">
        <x:f>IF(OR(LEFT(H833,15)="Missing dates; ",LEFT(H833,16)="Add N/A reason; ",H833="Add dates",H833="Add registration",H833="Check date format"),R833,"")</x:f>
      </x:c>
      <x:c r="N833" t="str">
        <x:f>IF(COUNTIFS(C833:F833,"Reviewed N/A")&gt;0,S833,"")</x:f>
      </x:c>
      <x:c r="O833" t="n">
        <x:f>O832+IF(AND(A833&lt;&gt;"",COUNTIFS(C833,"&gt;=36526",C833,"&lt;"&amp;TODAY())+COUNTIFS(D833,"&gt;=36526",D833,"&lt;"&amp;TODAY())+COUNTIFS(E833,"&gt;=36526",E833,"&lt;"&amp;TODAY())+COUNTIFS(F833,"&gt;=36526",F833,"&lt;"&amp;TODAY())&gt;0),1,0)</x:f>
        <x:v>0</x:v>
      </x:c>
      <x:c r="P833" t="n">
        <x:f>P832+IF(AND(A833&lt;&gt;"",COUNTIFS(C833,"&gt;=36526",C833,TODAY())+COUNTIFS(D833,"&gt;=36526",D833,TODAY())+COUNTIFS(E833,"&gt;=36526",E833,TODAY())+COUNTIFS(F833,"&gt;=36526",F833,TODAY())&gt;0),1,0)</x:f>
        <x:v>0</x:v>
      </x:c>
      <x:c r="Q833" t="n">
        <x:f>Q832+IF(AND(A833&lt;&gt;"",COUNTIFS(C833,"&gt;"&amp;TODAY(),C833,"&lt;="&amp;TODAY()+30)+COUNTIFS(D833,"&gt;"&amp;TODAY(),D833,"&lt;="&amp;TODAY()+30)+COUNTIFS(E833,"&gt;"&amp;TODAY(),E833,"&lt;="&amp;TODAY()+30)+COUNTIFS(F833,"&gt;"&amp;TODAY(),F833,"&lt;="&amp;TODAY()+30)&gt;0),1,0)</x:f>
        <x:v>0</x:v>
      </x:c>
      <x:c r="R833" t="n">
        <x:f>R832+IF(OR(LEFT(H833,15)="Missing dates; ",LEFT(H833,16)="Add N/A reason; ",H833="Add dates",H833="Add registration",H833="Check date format"),1,0)</x:f>
        <x:v>0</x:v>
      </x:c>
      <x:c r="S833" t="n">
        <x:f>S832+IF(COUNTIFS(C833:F833,"Reviewed N/A")&gt;0,1,0)</x:f>
        <x:v>0</x:v>
      </x:c>
    </x:row>
    <x:row r="834" ht="48" customHeight="1">
      <x:c r="A834" s="52"/>
      <x:c r="B834" s="52"/>
      <x:c r="C834" s="53"/>
      <x:c r="D834" s="53"/>
      <x:c r="E834" s="53"/>
      <x:c r="F834" s="53"/>
      <x:c r="G834" s="52"/>
      <x:c r="H834" s="21" t="str">
        <x:f>IF(COUNTA(A834:G834,I834)=0,"",IF(A834="","Add registration",IF(OR(COUNTA(C834:F834)&gt;COUNT(C834:F834)+COUNTIFS(C834:F834,"Reviewed N/A"),AND(COUNT(C834:F834)&gt;0,OR(MIN(C834:F834)&lt;36526,MAX(C834:F834)&gt;109574))),"Check date format",IF(AND(COUNTIFS(C834:F834,"Reviewed N/A")&gt;0,I834=""),"Add N/A reason; ","")&amp;IF(COUNT(C834:F834)=0,IF(COUNTIFS(C834:F834,"Reviewed N/A")=4,"No applicable dates recorded","Add dates"),IF(COUNT(C834:F834)+COUNTIFS(C834:F834,"Reviewed N/A")&lt;4,"Missing dates; ","")&amp;IF(MIN(C834:F834)&lt;TODAY(),"Overdue: ",IF(MIN(C834:F834)=TODAY(),"Due today: ",IF(MIN(C834:F834)&lt;=TODAY()+30,"Due within 30 days: ","Next: ")))&amp;INDEX($C$8:$F$8,1,MATCH(MIN(C834:F834),C834:F834,0))&amp;" "&amp;TEXT(MIN(C834:F834),"dd mmm yyyy")))))</x:f>
      </x:c>
      <x:c r="I834" s="52"/>
      <x:c r="J834" t="str">
        <x:f>IF(AND(A834&lt;&gt;"",COUNTIFS(C834,"&gt;=36526",C834,"&lt;"&amp;TODAY())+COUNTIFS(D834,"&gt;=36526",D834,"&lt;"&amp;TODAY())+COUNTIFS(E834,"&gt;=36526",E834,"&lt;"&amp;TODAY())+COUNTIFS(F834,"&gt;=36526",F834,"&lt;"&amp;TODAY())&gt;0),O834,"")</x:f>
      </x:c>
      <x:c r="K834" t="str">
        <x:f>IF(AND(A834&lt;&gt;"",COUNTIFS(C834,"&gt;=36526",C834,TODAY())+COUNTIFS(D834,"&gt;=36526",D834,TODAY())+COUNTIFS(E834,"&gt;=36526",E834,TODAY())+COUNTIFS(F834,"&gt;=36526",F834,TODAY())&gt;0),P834,"")</x:f>
      </x:c>
      <x:c r="L834" t="str">
        <x:f>IF(AND(A834&lt;&gt;"",COUNTIFS(C834,"&gt;"&amp;TODAY(),C834,"&lt;="&amp;TODAY()+30)+COUNTIFS(D834,"&gt;"&amp;TODAY(),D834,"&lt;="&amp;TODAY()+30)+COUNTIFS(E834,"&gt;"&amp;TODAY(),E834,"&lt;="&amp;TODAY()+30)+COUNTIFS(F834,"&gt;"&amp;TODAY(),F834,"&lt;="&amp;TODAY()+30)&gt;0),Q834,"")</x:f>
      </x:c>
      <x:c r="M834" t="str">
        <x:f>IF(OR(LEFT(H834,15)="Missing dates; ",LEFT(H834,16)="Add N/A reason; ",H834="Add dates",H834="Add registration",H834="Check date format"),R834,"")</x:f>
      </x:c>
      <x:c r="N834" t="str">
        <x:f>IF(COUNTIFS(C834:F834,"Reviewed N/A")&gt;0,S834,"")</x:f>
      </x:c>
      <x:c r="O834" t="n">
        <x:f>O833+IF(AND(A834&lt;&gt;"",COUNTIFS(C834,"&gt;=36526",C834,"&lt;"&amp;TODAY())+COUNTIFS(D834,"&gt;=36526",D834,"&lt;"&amp;TODAY())+COUNTIFS(E834,"&gt;=36526",E834,"&lt;"&amp;TODAY())+COUNTIFS(F834,"&gt;=36526",F834,"&lt;"&amp;TODAY())&gt;0),1,0)</x:f>
        <x:v>0</x:v>
      </x:c>
      <x:c r="P834" t="n">
        <x:f>P833+IF(AND(A834&lt;&gt;"",COUNTIFS(C834,"&gt;=36526",C834,TODAY())+COUNTIFS(D834,"&gt;=36526",D834,TODAY())+COUNTIFS(E834,"&gt;=36526",E834,TODAY())+COUNTIFS(F834,"&gt;=36526",F834,TODAY())&gt;0),1,0)</x:f>
        <x:v>0</x:v>
      </x:c>
      <x:c r="Q834" t="n">
        <x:f>Q833+IF(AND(A834&lt;&gt;"",COUNTIFS(C834,"&gt;"&amp;TODAY(),C834,"&lt;="&amp;TODAY()+30)+COUNTIFS(D834,"&gt;"&amp;TODAY(),D834,"&lt;="&amp;TODAY()+30)+COUNTIFS(E834,"&gt;"&amp;TODAY(),E834,"&lt;="&amp;TODAY()+30)+COUNTIFS(F834,"&gt;"&amp;TODAY(),F834,"&lt;="&amp;TODAY()+30)&gt;0),1,0)</x:f>
        <x:v>0</x:v>
      </x:c>
      <x:c r="R834" t="n">
        <x:f>R833+IF(OR(LEFT(H834,15)="Missing dates; ",LEFT(H834,16)="Add N/A reason; ",H834="Add dates",H834="Add registration",H834="Check date format"),1,0)</x:f>
        <x:v>0</x:v>
      </x:c>
      <x:c r="S834" t="n">
        <x:f>S833+IF(COUNTIFS(C834:F834,"Reviewed N/A")&gt;0,1,0)</x:f>
        <x:v>0</x:v>
      </x:c>
    </x:row>
    <x:row r="835" ht="48" customHeight="1">
      <x:c r="A835" s="52"/>
      <x:c r="B835" s="52"/>
      <x:c r="C835" s="53"/>
      <x:c r="D835" s="53"/>
      <x:c r="E835" s="53"/>
      <x:c r="F835" s="53"/>
      <x:c r="G835" s="52"/>
      <x:c r="H835" s="21" t="str">
        <x:f>IF(COUNTA(A835:G835,I835)=0,"",IF(A835="","Add registration",IF(OR(COUNTA(C835:F835)&gt;COUNT(C835:F835)+COUNTIFS(C835:F835,"Reviewed N/A"),AND(COUNT(C835:F835)&gt;0,OR(MIN(C835:F835)&lt;36526,MAX(C835:F835)&gt;109574))),"Check date format",IF(AND(COUNTIFS(C835:F835,"Reviewed N/A")&gt;0,I835=""),"Add N/A reason; ","")&amp;IF(COUNT(C835:F835)=0,IF(COUNTIFS(C835:F835,"Reviewed N/A")=4,"No applicable dates recorded","Add dates"),IF(COUNT(C835:F835)+COUNTIFS(C835:F835,"Reviewed N/A")&lt;4,"Missing dates; ","")&amp;IF(MIN(C835:F835)&lt;TODAY(),"Overdue: ",IF(MIN(C835:F835)=TODAY(),"Due today: ",IF(MIN(C835:F835)&lt;=TODAY()+30,"Due within 30 days: ","Next: ")))&amp;INDEX($C$8:$F$8,1,MATCH(MIN(C835:F835),C835:F835,0))&amp;" "&amp;TEXT(MIN(C835:F835),"dd mmm yyyy")))))</x:f>
      </x:c>
      <x:c r="I835" s="52"/>
      <x:c r="J835" t="str">
        <x:f>IF(AND(A835&lt;&gt;"",COUNTIFS(C835,"&gt;=36526",C835,"&lt;"&amp;TODAY())+COUNTIFS(D835,"&gt;=36526",D835,"&lt;"&amp;TODAY())+COUNTIFS(E835,"&gt;=36526",E835,"&lt;"&amp;TODAY())+COUNTIFS(F835,"&gt;=36526",F835,"&lt;"&amp;TODAY())&gt;0),O835,"")</x:f>
      </x:c>
      <x:c r="K835" t="str">
        <x:f>IF(AND(A835&lt;&gt;"",COUNTIFS(C835,"&gt;=36526",C835,TODAY())+COUNTIFS(D835,"&gt;=36526",D835,TODAY())+COUNTIFS(E835,"&gt;=36526",E835,TODAY())+COUNTIFS(F835,"&gt;=36526",F835,TODAY())&gt;0),P835,"")</x:f>
      </x:c>
      <x:c r="L835" t="str">
        <x:f>IF(AND(A835&lt;&gt;"",COUNTIFS(C835,"&gt;"&amp;TODAY(),C835,"&lt;="&amp;TODAY()+30)+COUNTIFS(D835,"&gt;"&amp;TODAY(),D835,"&lt;="&amp;TODAY()+30)+COUNTIFS(E835,"&gt;"&amp;TODAY(),E835,"&lt;="&amp;TODAY()+30)+COUNTIFS(F835,"&gt;"&amp;TODAY(),F835,"&lt;="&amp;TODAY()+30)&gt;0),Q835,"")</x:f>
      </x:c>
      <x:c r="M835" t="str">
        <x:f>IF(OR(LEFT(H835,15)="Missing dates; ",LEFT(H835,16)="Add N/A reason; ",H835="Add dates",H835="Add registration",H835="Check date format"),R835,"")</x:f>
      </x:c>
      <x:c r="N835" t="str">
        <x:f>IF(COUNTIFS(C835:F835,"Reviewed N/A")&gt;0,S835,"")</x:f>
      </x:c>
      <x:c r="O835" t="n">
        <x:f>O834+IF(AND(A835&lt;&gt;"",COUNTIFS(C835,"&gt;=36526",C835,"&lt;"&amp;TODAY())+COUNTIFS(D835,"&gt;=36526",D835,"&lt;"&amp;TODAY())+COUNTIFS(E835,"&gt;=36526",E835,"&lt;"&amp;TODAY())+COUNTIFS(F835,"&gt;=36526",F835,"&lt;"&amp;TODAY())&gt;0),1,0)</x:f>
        <x:v>0</x:v>
      </x:c>
      <x:c r="P835" t="n">
        <x:f>P834+IF(AND(A835&lt;&gt;"",COUNTIFS(C835,"&gt;=36526",C835,TODAY())+COUNTIFS(D835,"&gt;=36526",D835,TODAY())+COUNTIFS(E835,"&gt;=36526",E835,TODAY())+COUNTIFS(F835,"&gt;=36526",F835,TODAY())&gt;0),1,0)</x:f>
        <x:v>0</x:v>
      </x:c>
      <x:c r="Q835" t="n">
        <x:f>Q834+IF(AND(A835&lt;&gt;"",COUNTIFS(C835,"&gt;"&amp;TODAY(),C835,"&lt;="&amp;TODAY()+30)+COUNTIFS(D835,"&gt;"&amp;TODAY(),D835,"&lt;="&amp;TODAY()+30)+COUNTIFS(E835,"&gt;"&amp;TODAY(),E835,"&lt;="&amp;TODAY()+30)+COUNTIFS(F835,"&gt;"&amp;TODAY(),F835,"&lt;="&amp;TODAY()+30)&gt;0),1,0)</x:f>
        <x:v>0</x:v>
      </x:c>
      <x:c r="R835" t="n">
        <x:f>R834+IF(OR(LEFT(H835,15)="Missing dates; ",LEFT(H835,16)="Add N/A reason; ",H835="Add dates",H835="Add registration",H835="Check date format"),1,0)</x:f>
        <x:v>0</x:v>
      </x:c>
      <x:c r="S835" t="n">
        <x:f>S834+IF(COUNTIFS(C835:F835,"Reviewed N/A")&gt;0,1,0)</x:f>
        <x:v>0</x:v>
      </x:c>
    </x:row>
    <x:row r="836" ht="48" customHeight="1">
      <x:c r="A836" s="52"/>
      <x:c r="B836" s="52"/>
      <x:c r="C836" s="53"/>
      <x:c r="D836" s="53"/>
      <x:c r="E836" s="53"/>
      <x:c r="F836" s="53"/>
      <x:c r="G836" s="52"/>
      <x:c r="H836" s="21" t="str">
        <x:f>IF(COUNTA(A836:G836,I836)=0,"",IF(A836="","Add registration",IF(OR(COUNTA(C836:F836)&gt;COUNT(C836:F836)+COUNTIFS(C836:F836,"Reviewed N/A"),AND(COUNT(C836:F836)&gt;0,OR(MIN(C836:F836)&lt;36526,MAX(C836:F836)&gt;109574))),"Check date format",IF(AND(COUNTIFS(C836:F836,"Reviewed N/A")&gt;0,I836=""),"Add N/A reason; ","")&amp;IF(COUNT(C836:F836)=0,IF(COUNTIFS(C836:F836,"Reviewed N/A")=4,"No applicable dates recorded","Add dates"),IF(COUNT(C836:F836)+COUNTIFS(C836:F836,"Reviewed N/A")&lt;4,"Missing dates; ","")&amp;IF(MIN(C836:F836)&lt;TODAY(),"Overdue: ",IF(MIN(C836:F836)=TODAY(),"Due today: ",IF(MIN(C836:F836)&lt;=TODAY()+30,"Due within 30 days: ","Next: ")))&amp;INDEX($C$8:$F$8,1,MATCH(MIN(C836:F836),C836:F836,0))&amp;" "&amp;TEXT(MIN(C836:F836),"dd mmm yyyy")))))</x:f>
      </x:c>
      <x:c r="I836" s="52"/>
      <x:c r="J836" t="str">
        <x:f>IF(AND(A836&lt;&gt;"",COUNTIFS(C836,"&gt;=36526",C836,"&lt;"&amp;TODAY())+COUNTIFS(D836,"&gt;=36526",D836,"&lt;"&amp;TODAY())+COUNTIFS(E836,"&gt;=36526",E836,"&lt;"&amp;TODAY())+COUNTIFS(F836,"&gt;=36526",F836,"&lt;"&amp;TODAY())&gt;0),O836,"")</x:f>
      </x:c>
      <x:c r="K836" t="str">
        <x:f>IF(AND(A836&lt;&gt;"",COUNTIFS(C836,"&gt;=36526",C836,TODAY())+COUNTIFS(D836,"&gt;=36526",D836,TODAY())+COUNTIFS(E836,"&gt;=36526",E836,TODAY())+COUNTIFS(F836,"&gt;=36526",F836,TODAY())&gt;0),P836,"")</x:f>
      </x:c>
      <x:c r="L836" t="str">
        <x:f>IF(AND(A836&lt;&gt;"",COUNTIFS(C836,"&gt;"&amp;TODAY(),C836,"&lt;="&amp;TODAY()+30)+COUNTIFS(D836,"&gt;"&amp;TODAY(),D836,"&lt;="&amp;TODAY()+30)+COUNTIFS(E836,"&gt;"&amp;TODAY(),E836,"&lt;="&amp;TODAY()+30)+COUNTIFS(F836,"&gt;"&amp;TODAY(),F836,"&lt;="&amp;TODAY()+30)&gt;0),Q836,"")</x:f>
      </x:c>
      <x:c r="M836" t="str">
        <x:f>IF(OR(LEFT(H836,15)="Missing dates; ",LEFT(H836,16)="Add N/A reason; ",H836="Add dates",H836="Add registration",H836="Check date format"),R836,"")</x:f>
      </x:c>
      <x:c r="N836" t="str">
        <x:f>IF(COUNTIFS(C836:F836,"Reviewed N/A")&gt;0,S836,"")</x:f>
      </x:c>
      <x:c r="O836" t="n">
        <x:f>O835+IF(AND(A836&lt;&gt;"",COUNTIFS(C836,"&gt;=36526",C836,"&lt;"&amp;TODAY())+COUNTIFS(D836,"&gt;=36526",D836,"&lt;"&amp;TODAY())+COUNTIFS(E836,"&gt;=36526",E836,"&lt;"&amp;TODAY())+COUNTIFS(F836,"&gt;=36526",F836,"&lt;"&amp;TODAY())&gt;0),1,0)</x:f>
        <x:v>0</x:v>
      </x:c>
      <x:c r="P836" t="n">
        <x:f>P835+IF(AND(A836&lt;&gt;"",COUNTIFS(C836,"&gt;=36526",C836,TODAY())+COUNTIFS(D836,"&gt;=36526",D836,TODAY())+COUNTIFS(E836,"&gt;=36526",E836,TODAY())+COUNTIFS(F836,"&gt;=36526",F836,TODAY())&gt;0),1,0)</x:f>
        <x:v>0</x:v>
      </x:c>
      <x:c r="Q836" t="n">
        <x:f>Q835+IF(AND(A836&lt;&gt;"",COUNTIFS(C836,"&gt;"&amp;TODAY(),C836,"&lt;="&amp;TODAY()+30)+COUNTIFS(D836,"&gt;"&amp;TODAY(),D836,"&lt;="&amp;TODAY()+30)+COUNTIFS(E836,"&gt;"&amp;TODAY(),E836,"&lt;="&amp;TODAY()+30)+COUNTIFS(F836,"&gt;"&amp;TODAY(),F836,"&lt;="&amp;TODAY()+30)&gt;0),1,0)</x:f>
        <x:v>0</x:v>
      </x:c>
      <x:c r="R836" t="n">
        <x:f>R835+IF(OR(LEFT(H836,15)="Missing dates; ",LEFT(H836,16)="Add N/A reason; ",H836="Add dates",H836="Add registration",H836="Check date format"),1,0)</x:f>
        <x:v>0</x:v>
      </x:c>
      <x:c r="S836" t="n">
        <x:f>S835+IF(COUNTIFS(C836:F836,"Reviewed N/A")&gt;0,1,0)</x:f>
        <x:v>0</x:v>
      </x:c>
    </x:row>
    <x:row r="837" ht="48" customHeight="1">
      <x:c r="A837" s="52"/>
      <x:c r="B837" s="52"/>
      <x:c r="C837" s="53"/>
      <x:c r="D837" s="53"/>
      <x:c r="E837" s="53"/>
      <x:c r="F837" s="53"/>
      <x:c r="G837" s="52"/>
      <x:c r="H837" s="21" t="str">
        <x:f>IF(COUNTA(A837:G837,I837)=0,"",IF(A837="","Add registration",IF(OR(COUNTA(C837:F837)&gt;COUNT(C837:F837)+COUNTIFS(C837:F837,"Reviewed N/A"),AND(COUNT(C837:F837)&gt;0,OR(MIN(C837:F837)&lt;36526,MAX(C837:F837)&gt;109574))),"Check date format",IF(AND(COUNTIFS(C837:F837,"Reviewed N/A")&gt;0,I837=""),"Add N/A reason; ","")&amp;IF(COUNT(C837:F837)=0,IF(COUNTIFS(C837:F837,"Reviewed N/A")=4,"No applicable dates recorded","Add dates"),IF(COUNT(C837:F837)+COUNTIFS(C837:F837,"Reviewed N/A")&lt;4,"Missing dates; ","")&amp;IF(MIN(C837:F837)&lt;TODAY(),"Overdue: ",IF(MIN(C837:F837)=TODAY(),"Due today: ",IF(MIN(C837:F837)&lt;=TODAY()+30,"Due within 30 days: ","Next: ")))&amp;INDEX($C$8:$F$8,1,MATCH(MIN(C837:F837),C837:F837,0))&amp;" "&amp;TEXT(MIN(C837:F837),"dd mmm yyyy")))))</x:f>
      </x:c>
      <x:c r="I837" s="52"/>
      <x:c r="J837" t="str">
        <x:f>IF(AND(A837&lt;&gt;"",COUNTIFS(C837,"&gt;=36526",C837,"&lt;"&amp;TODAY())+COUNTIFS(D837,"&gt;=36526",D837,"&lt;"&amp;TODAY())+COUNTIFS(E837,"&gt;=36526",E837,"&lt;"&amp;TODAY())+COUNTIFS(F837,"&gt;=36526",F837,"&lt;"&amp;TODAY())&gt;0),O837,"")</x:f>
      </x:c>
      <x:c r="K837" t="str">
        <x:f>IF(AND(A837&lt;&gt;"",COUNTIFS(C837,"&gt;=36526",C837,TODAY())+COUNTIFS(D837,"&gt;=36526",D837,TODAY())+COUNTIFS(E837,"&gt;=36526",E837,TODAY())+COUNTIFS(F837,"&gt;=36526",F837,TODAY())&gt;0),P837,"")</x:f>
      </x:c>
      <x:c r="L837" t="str">
        <x:f>IF(AND(A837&lt;&gt;"",COUNTIFS(C837,"&gt;"&amp;TODAY(),C837,"&lt;="&amp;TODAY()+30)+COUNTIFS(D837,"&gt;"&amp;TODAY(),D837,"&lt;="&amp;TODAY()+30)+COUNTIFS(E837,"&gt;"&amp;TODAY(),E837,"&lt;="&amp;TODAY()+30)+COUNTIFS(F837,"&gt;"&amp;TODAY(),F837,"&lt;="&amp;TODAY()+30)&gt;0),Q837,"")</x:f>
      </x:c>
      <x:c r="M837" t="str">
        <x:f>IF(OR(LEFT(H837,15)="Missing dates; ",LEFT(H837,16)="Add N/A reason; ",H837="Add dates",H837="Add registration",H837="Check date format"),R837,"")</x:f>
      </x:c>
      <x:c r="N837" t="str">
        <x:f>IF(COUNTIFS(C837:F837,"Reviewed N/A")&gt;0,S837,"")</x:f>
      </x:c>
      <x:c r="O837" t="n">
        <x:f>O836+IF(AND(A837&lt;&gt;"",COUNTIFS(C837,"&gt;=36526",C837,"&lt;"&amp;TODAY())+COUNTIFS(D837,"&gt;=36526",D837,"&lt;"&amp;TODAY())+COUNTIFS(E837,"&gt;=36526",E837,"&lt;"&amp;TODAY())+COUNTIFS(F837,"&gt;=36526",F837,"&lt;"&amp;TODAY())&gt;0),1,0)</x:f>
        <x:v>0</x:v>
      </x:c>
      <x:c r="P837" t="n">
        <x:f>P836+IF(AND(A837&lt;&gt;"",COUNTIFS(C837,"&gt;=36526",C837,TODAY())+COUNTIFS(D837,"&gt;=36526",D837,TODAY())+COUNTIFS(E837,"&gt;=36526",E837,TODAY())+COUNTIFS(F837,"&gt;=36526",F837,TODAY())&gt;0),1,0)</x:f>
        <x:v>0</x:v>
      </x:c>
      <x:c r="Q837" t="n">
        <x:f>Q836+IF(AND(A837&lt;&gt;"",COUNTIFS(C837,"&gt;"&amp;TODAY(),C837,"&lt;="&amp;TODAY()+30)+COUNTIFS(D837,"&gt;"&amp;TODAY(),D837,"&lt;="&amp;TODAY()+30)+COUNTIFS(E837,"&gt;"&amp;TODAY(),E837,"&lt;="&amp;TODAY()+30)+COUNTIFS(F837,"&gt;"&amp;TODAY(),F837,"&lt;="&amp;TODAY()+30)&gt;0),1,0)</x:f>
        <x:v>0</x:v>
      </x:c>
      <x:c r="R837" t="n">
        <x:f>R836+IF(OR(LEFT(H837,15)="Missing dates; ",LEFT(H837,16)="Add N/A reason; ",H837="Add dates",H837="Add registration",H837="Check date format"),1,0)</x:f>
        <x:v>0</x:v>
      </x:c>
      <x:c r="S837" t="n">
        <x:f>S836+IF(COUNTIFS(C837:F837,"Reviewed N/A")&gt;0,1,0)</x:f>
        <x:v>0</x:v>
      </x:c>
    </x:row>
    <x:row r="838" ht="48" customHeight="1">
      <x:c r="A838" s="52"/>
      <x:c r="B838" s="52"/>
      <x:c r="C838" s="53"/>
      <x:c r="D838" s="53"/>
      <x:c r="E838" s="53"/>
      <x:c r="F838" s="53"/>
      <x:c r="G838" s="52"/>
      <x:c r="H838" s="21" t="str">
        <x:f>IF(COUNTA(A838:G838,I838)=0,"",IF(A838="","Add registration",IF(OR(COUNTA(C838:F838)&gt;COUNT(C838:F838)+COUNTIFS(C838:F838,"Reviewed N/A"),AND(COUNT(C838:F838)&gt;0,OR(MIN(C838:F838)&lt;36526,MAX(C838:F838)&gt;109574))),"Check date format",IF(AND(COUNTIFS(C838:F838,"Reviewed N/A")&gt;0,I838=""),"Add N/A reason; ","")&amp;IF(COUNT(C838:F838)=0,IF(COUNTIFS(C838:F838,"Reviewed N/A")=4,"No applicable dates recorded","Add dates"),IF(COUNT(C838:F838)+COUNTIFS(C838:F838,"Reviewed N/A")&lt;4,"Missing dates; ","")&amp;IF(MIN(C838:F838)&lt;TODAY(),"Overdue: ",IF(MIN(C838:F838)=TODAY(),"Due today: ",IF(MIN(C838:F838)&lt;=TODAY()+30,"Due within 30 days: ","Next: ")))&amp;INDEX($C$8:$F$8,1,MATCH(MIN(C838:F838),C838:F838,0))&amp;" "&amp;TEXT(MIN(C838:F838),"dd mmm yyyy")))))</x:f>
      </x:c>
      <x:c r="I838" s="52"/>
      <x:c r="J838" t="str">
        <x:f>IF(AND(A838&lt;&gt;"",COUNTIFS(C838,"&gt;=36526",C838,"&lt;"&amp;TODAY())+COUNTIFS(D838,"&gt;=36526",D838,"&lt;"&amp;TODAY())+COUNTIFS(E838,"&gt;=36526",E838,"&lt;"&amp;TODAY())+COUNTIFS(F838,"&gt;=36526",F838,"&lt;"&amp;TODAY())&gt;0),O838,"")</x:f>
      </x:c>
      <x:c r="K838" t="str">
        <x:f>IF(AND(A838&lt;&gt;"",COUNTIFS(C838,"&gt;=36526",C838,TODAY())+COUNTIFS(D838,"&gt;=36526",D838,TODAY())+COUNTIFS(E838,"&gt;=36526",E838,TODAY())+COUNTIFS(F838,"&gt;=36526",F838,TODAY())&gt;0),P838,"")</x:f>
      </x:c>
      <x:c r="L838" t="str">
        <x:f>IF(AND(A838&lt;&gt;"",COUNTIFS(C838,"&gt;"&amp;TODAY(),C838,"&lt;="&amp;TODAY()+30)+COUNTIFS(D838,"&gt;"&amp;TODAY(),D838,"&lt;="&amp;TODAY()+30)+COUNTIFS(E838,"&gt;"&amp;TODAY(),E838,"&lt;="&amp;TODAY()+30)+COUNTIFS(F838,"&gt;"&amp;TODAY(),F838,"&lt;="&amp;TODAY()+30)&gt;0),Q838,"")</x:f>
      </x:c>
      <x:c r="M838" t="str">
        <x:f>IF(OR(LEFT(H838,15)="Missing dates; ",LEFT(H838,16)="Add N/A reason; ",H838="Add dates",H838="Add registration",H838="Check date format"),R838,"")</x:f>
      </x:c>
      <x:c r="N838" t="str">
        <x:f>IF(COUNTIFS(C838:F838,"Reviewed N/A")&gt;0,S838,"")</x:f>
      </x:c>
      <x:c r="O838" t="n">
        <x:f>O837+IF(AND(A838&lt;&gt;"",COUNTIFS(C838,"&gt;=36526",C838,"&lt;"&amp;TODAY())+COUNTIFS(D838,"&gt;=36526",D838,"&lt;"&amp;TODAY())+COUNTIFS(E838,"&gt;=36526",E838,"&lt;"&amp;TODAY())+COUNTIFS(F838,"&gt;=36526",F838,"&lt;"&amp;TODAY())&gt;0),1,0)</x:f>
        <x:v>0</x:v>
      </x:c>
      <x:c r="P838" t="n">
        <x:f>P837+IF(AND(A838&lt;&gt;"",COUNTIFS(C838,"&gt;=36526",C838,TODAY())+COUNTIFS(D838,"&gt;=36526",D838,TODAY())+COUNTIFS(E838,"&gt;=36526",E838,TODAY())+COUNTIFS(F838,"&gt;=36526",F838,TODAY())&gt;0),1,0)</x:f>
        <x:v>0</x:v>
      </x:c>
      <x:c r="Q838" t="n">
        <x:f>Q837+IF(AND(A838&lt;&gt;"",COUNTIFS(C838,"&gt;"&amp;TODAY(),C838,"&lt;="&amp;TODAY()+30)+COUNTIFS(D838,"&gt;"&amp;TODAY(),D838,"&lt;="&amp;TODAY()+30)+COUNTIFS(E838,"&gt;"&amp;TODAY(),E838,"&lt;="&amp;TODAY()+30)+COUNTIFS(F838,"&gt;"&amp;TODAY(),F838,"&lt;="&amp;TODAY()+30)&gt;0),1,0)</x:f>
        <x:v>0</x:v>
      </x:c>
      <x:c r="R838" t="n">
        <x:f>R837+IF(OR(LEFT(H838,15)="Missing dates; ",LEFT(H838,16)="Add N/A reason; ",H838="Add dates",H838="Add registration",H838="Check date format"),1,0)</x:f>
        <x:v>0</x:v>
      </x:c>
      <x:c r="S838" t="n">
        <x:f>S837+IF(COUNTIFS(C838:F838,"Reviewed N/A")&gt;0,1,0)</x:f>
        <x:v>0</x:v>
      </x:c>
    </x:row>
    <x:row r="839" ht="48" customHeight="1">
      <x:c r="A839" s="52"/>
      <x:c r="B839" s="52"/>
      <x:c r="C839" s="53"/>
      <x:c r="D839" s="53"/>
      <x:c r="E839" s="53"/>
      <x:c r="F839" s="53"/>
      <x:c r="G839" s="52"/>
      <x:c r="H839" s="21" t="str">
        <x:f>IF(COUNTA(A839:G839,I839)=0,"",IF(A839="","Add registration",IF(OR(COUNTA(C839:F839)&gt;COUNT(C839:F839)+COUNTIFS(C839:F839,"Reviewed N/A"),AND(COUNT(C839:F839)&gt;0,OR(MIN(C839:F839)&lt;36526,MAX(C839:F839)&gt;109574))),"Check date format",IF(AND(COUNTIFS(C839:F839,"Reviewed N/A")&gt;0,I839=""),"Add N/A reason; ","")&amp;IF(COUNT(C839:F839)=0,IF(COUNTIFS(C839:F839,"Reviewed N/A")=4,"No applicable dates recorded","Add dates"),IF(COUNT(C839:F839)+COUNTIFS(C839:F839,"Reviewed N/A")&lt;4,"Missing dates; ","")&amp;IF(MIN(C839:F839)&lt;TODAY(),"Overdue: ",IF(MIN(C839:F839)=TODAY(),"Due today: ",IF(MIN(C839:F839)&lt;=TODAY()+30,"Due within 30 days: ","Next: ")))&amp;INDEX($C$8:$F$8,1,MATCH(MIN(C839:F839),C839:F839,0))&amp;" "&amp;TEXT(MIN(C839:F839),"dd mmm yyyy")))))</x:f>
      </x:c>
      <x:c r="I839" s="52"/>
      <x:c r="J839" t="str">
        <x:f>IF(AND(A839&lt;&gt;"",COUNTIFS(C839,"&gt;=36526",C839,"&lt;"&amp;TODAY())+COUNTIFS(D839,"&gt;=36526",D839,"&lt;"&amp;TODAY())+COUNTIFS(E839,"&gt;=36526",E839,"&lt;"&amp;TODAY())+COUNTIFS(F839,"&gt;=36526",F839,"&lt;"&amp;TODAY())&gt;0),O839,"")</x:f>
      </x:c>
      <x:c r="K839" t="str">
        <x:f>IF(AND(A839&lt;&gt;"",COUNTIFS(C839,"&gt;=36526",C839,TODAY())+COUNTIFS(D839,"&gt;=36526",D839,TODAY())+COUNTIFS(E839,"&gt;=36526",E839,TODAY())+COUNTIFS(F839,"&gt;=36526",F839,TODAY())&gt;0),P839,"")</x:f>
      </x:c>
      <x:c r="L839" t="str">
        <x:f>IF(AND(A839&lt;&gt;"",COUNTIFS(C839,"&gt;"&amp;TODAY(),C839,"&lt;="&amp;TODAY()+30)+COUNTIFS(D839,"&gt;"&amp;TODAY(),D839,"&lt;="&amp;TODAY()+30)+COUNTIFS(E839,"&gt;"&amp;TODAY(),E839,"&lt;="&amp;TODAY()+30)+COUNTIFS(F839,"&gt;"&amp;TODAY(),F839,"&lt;="&amp;TODAY()+30)&gt;0),Q839,"")</x:f>
      </x:c>
      <x:c r="M839" t="str">
        <x:f>IF(OR(LEFT(H839,15)="Missing dates; ",LEFT(H839,16)="Add N/A reason; ",H839="Add dates",H839="Add registration",H839="Check date format"),R839,"")</x:f>
      </x:c>
      <x:c r="N839" t="str">
        <x:f>IF(COUNTIFS(C839:F839,"Reviewed N/A")&gt;0,S839,"")</x:f>
      </x:c>
      <x:c r="O839" t="n">
        <x:f>O838+IF(AND(A839&lt;&gt;"",COUNTIFS(C839,"&gt;=36526",C839,"&lt;"&amp;TODAY())+COUNTIFS(D839,"&gt;=36526",D839,"&lt;"&amp;TODAY())+COUNTIFS(E839,"&gt;=36526",E839,"&lt;"&amp;TODAY())+COUNTIFS(F839,"&gt;=36526",F839,"&lt;"&amp;TODAY())&gt;0),1,0)</x:f>
        <x:v>0</x:v>
      </x:c>
      <x:c r="P839" t="n">
        <x:f>P838+IF(AND(A839&lt;&gt;"",COUNTIFS(C839,"&gt;=36526",C839,TODAY())+COUNTIFS(D839,"&gt;=36526",D839,TODAY())+COUNTIFS(E839,"&gt;=36526",E839,TODAY())+COUNTIFS(F839,"&gt;=36526",F839,TODAY())&gt;0),1,0)</x:f>
        <x:v>0</x:v>
      </x:c>
      <x:c r="Q839" t="n">
        <x:f>Q838+IF(AND(A839&lt;&gt;"",COUNTIFS(C839,"&gt;"&amp;TODAY(),C839,"&lt;="&amp;TODAY()+30)+COUNTIFS(D839,"&gt;"&amp;TODAY(),D839,"&lt;="&amp;TODAY()+30)+COUNTIFS(E839,"&gt;"&amp;TODAY(),E839,"&lt;="&amp;TODAY()+30)+COUNTIFS(F839,"&gt;"&amp;TODAY(),F839,"&lt;="&amp;TODAY()+30)&gt;0),1,0)</x:f>
        <x:v>0</x:v>
      </x:c>
      <x:c r="R839" t="n">
        <x:f>R838+IF(OR(LEFT(H839,15)="Missing dates; ",LEFT(H839,16)="Add N/A reason; ",H839="Add dates",H839="Add registration",H839="Check date format"),1,0)</x:f>
        <x:v>0</x:v>
      </x:c>
      <x:c r="S839" t="n">
        <x:f>S838+IF(COUNTIFS(C839:F839,"Reviewed N/A")&gt;0,1,0)</x:f>
        <x:v>0</x:v>
      </x:c>
    </x:row>
    <x:row r="840" ht="48" customHeight="1">
      <x:c r="A840" s="52"/>
      <x:c r="B840" s="52"/>
      <x:c r="C840" s="53"/>
      <x:c r="D840" s="53"/>
      <x:c r="E840" s="53"/>
      <x:c r="F840" s="53"/>
      <x:c r="G840" s="52"/>
      <x:c r="H840" s="21" t="str">
        <x:f>IF(COUNTA(A840:G840,I840)=0,"",IF(A840="","Add registration",IF(OR(COUNTA(C840:F840)&gt;COUNT(C840:F840)+COUNTIFS(C840:F840,"Reviewed N/A"),AND(COUNT(C840:F840)&gt;0,OR(MIN(C840:F840)&lt;36526,MAX(C840:F840)&gt;109574))),"Check date format",IF(AND(COUNTIFS(C840:F840,"Reviewed N/A")&gt;0,I840=""),"Add N/A reason; ","")&amp;IF(COUNT(C840:F840)=0,IF(COUNTIFS(C840:F840,"Reviewed N/A")=4,"No applicable dates recorded","Add dates"),IF(COUNT(C840:F840)+COUNTIFS(C840:F840,"Reviewed N/A")&lt;4,"Missing dates; ","")&amp;IF(MIN(C840:F840)&lt;TODAY(),"Overdue: ",IF(MIN(C840:F840)=TODAY(),"Due today: ",IF(MIN(C840:F840)&lt;=TODAY()+30,"Due within 30 days: ","Next: ")))&amp;INDEX($C$8:$F$8,1,MATCH(MIN(C840:F840),C840:F840,0))&amp;" "&amp;TEXT(MIN(C840:F840),"dd mmm yyyy")))))</x:f>
      </x:c>
      <x:c r="I840" s="52"/>
      <x:c r="J840" t="str">
        <x:f>IF(AND(A840&lt;&gt;"",COUNTIFS(C840,"&gt;=36526",C840,"&lt;"&amp;TODAY())+COUNTIFS(D840,"&gt;=36526",D840,"&lt;"&amp;TODAY())+COUNTIFS(E840,"&gt;=36526",E840,"&lt;"&amp;TODAY())+COUNTIFS(F840,"&gt;=36526",F840,"&lt;"&amp;TODAY())&gt;0),O840,"")</x:f>
      </x:c>
      <x:c r="K840" t="str">
        <x:f>IF(AND(A840&lt;&gt;"",COUNTIFS(C840,"&gt;=36526",C840,TODAY())+COUNTIFS(D840,"&gt;=36526",D840,TODAY())+COUNTIFS(E840,"&gt;=36526",E840,TODAY())+COUNTIFS(F840,"&gt;=36526",F840,TODAY())&gt;0),P840,"")</x:f>
      </x:c>
      <x:c r="L840" t="str">
        <x:f>IF(AND(A840&lt;&gt;"",COUNTIFS(C840,"&gt;"&amp;TODAY(),C840,"&lt;="&amp;TODAY()+30)+COUNTIFS(D840,"&gt;"&amp;TODAY(),D840,"&lt;="&amp;TODAY()+30)+COUNTIFS(E840,"&gt;"&amp;TODAY(),E840,"&lt;="&amp;TODAY()+30)+COUNTIFS(F840,"&gt;"&amp;TODAY(),F840,"&lt;="&amp;TODAY()+30)&gt;0),Q840,"")</x:f>
      </x:c>
      <x:c r="M840" t="str">
        <x:f>IF(OR(LEFT(H840,15)="Missing dates; ",LEFT(H840,16)="Add N/A reason; ",H840="Add dates",H840="Add registration",H840="Check date format"),R840,"")</x:f>
      </x:c>
      <x:c r="N840" t="str">
        <x:f>IF(COUNTIFS(C840:F840,"Reviewed N/A")&gt;0,S840,"")</x:f>
      </x:c>
      <x:c r="O840" t="n">
        <x:f>O839+IF(AND(A840&lt;&gt;"",COUNTIFS(C840,"&gt;=36526",C840,"&lt;"&amp;TODAY())+COUNTIFS(D840,"&gt;=36526",D840,"&lt;"&amp;TODAY())+COUNTIFS(E840,"&gt;=36526",E840,"&lt;"&amp;TODAY())+COUNTIFS(F840,"&gt;=36526",F840,"&lt;"&amp;TODAY())&gt;0),1,0)</x:f>
        <x:v>0</x:v>
      </x:c>
      <x:c r="P840" t="n">
        <x:f>P839+IF(AND(A840&lt;&gt;"",COUNTIFS(C840,"&gt;=36526",C840,TODAY())+COUNTIFS(D840,"&gt;=36526",D840,TODAY())+COUNTIFS(E840,"&gt;=36526",E840,TODAY())+COUNTIFS(F840,"&gt;=36526",F840,TODAY())&gt;0),1,0)</x:f>
        <x:v>0</x:v>
      </x:c>
      <x:c r="Q840" t="n">
        <x:f>Q839+IF(AND(A840&lt;&gt;"",COUNTIFS(C840,"&gt;"&amp;TODAY(),C840,"&lt;="&amp;TODAY()+30)+COUNTIFS(D840,"&gt;"&amp;TODAY(),D840,"&lt;="&amp;TODAY()+30)+COUNTIFS(E840,"&gt;"&amp;TODAY(),E840,"&lt;="&amp;TODAY()+30)+COUNTIFS(F840,"&gt;"&amp;TODAY(),F840,"&lt;="&amp;TODAY()+30)&gt;0),1,0)</x:f>
        <x:v>0</x:v>
      </x:c>
      <x:c r="R840" t="n">
        <x:f>R839+IF(OR(LEFT(H840,15)="Missing dates; ",LEFT(H840,16)="Add N/A reason; ",H840="Add dates",H840="Add registration",H840="Check date format"),1,0)</x:f>
        <x:v>0</x:v>
      </x:c>
      <x:c r="S840" t="n">
        <x:f>S839+IF(COUNTIFS(C840:F840,"Reviewed N/A")&gt;0,1,0)</x:f>
        <x:v>0</x:v>
      </x:c>
    </x:row>
    <x:row r="841" ht="48" customHeight="1">
      <x:c r="A841" s="52"/>
      <x:c r="B841" s="52"/>
      <x:c r="C841" s="53"/>
      <x:c r="D841" s="53"/>
      <x:c r="E841" s="53"/>
      <x:c r="F841" s="53"/>
      <x:c r="G841" s="52"/>
      <x:c r="H841" s="21" t="str">
        <x:f>IF(COUNTA(A841:G841,I841)=0,"",IF(A841="","Add registration",IF(OR(COUNTA(C841:F841)&gt;COUNT(C841:F841)+COUNTIFS(C841:F841,"Reviewed N/A"),AND(COUNT(C841:F841)&gt;0,OR(MIN(C841:F841)&lt;36526,MAX(C841:F841)&gt;109574))),"Check date format",IF(AND(COUNTIFS(C841:F841,"Reviewed N/A")&gt;0,I841=""),"Add N/A reason; ","")&amp;IF(COUNT(C841:F841)=0,IF(COUNTIFS(C841:F841,"Reviewed N/A")=4,"No applicable dates recorded","Add dates"),IF(COUNT(C841:F841)+COUNTIFS(C841:F841,"Reviewed N/A")&lt;4,"Missing dates; ","")&amp;IF(MIN(C841:F841)&lt;TODAY(),"Overdue: ",IF(MIN(C841:F841)=TODAY(),"Due today: ",IF(MIN(C841:F841)&lt;=TODAY()+30,"Due within 30 days: ","Next: ")))&amp;INDEX($C$8:$F$8,1,MATCH(MIN(C841:F841),C841:F841,0))&amp;" "&amp;TEXT(MIN(C841:F841),"dd mmm yyyy")))))</x:f>
      </x:c>
      <x:c r="I841" s="52"/>
      <x:c r="J841" t="str">
        <x:f>IF(AND(A841&lt;&gt;"",COUNTIFS(C841,"&gt;=36526",C841,"&lt;"&amp;TODAY())+COUNTIFS(D841,"&gt;=36526",D841,"&lt;"&amp;TODAY())+COUNTIFS(E841,"&gt;=36526",E841,"&lt;"&amp;TODAY())+COUNTIFS(F841,"&gt;=36526",F841,"&lt;"&amp;TODAY())&gt;0),O841,"")</x:f>
      </x:c>
      <x:c r="K841" t="str">
        <x:f>IF(AND(A841&lt;&gt;"",COUNTIFS(C841,"&gt;=36526",C841,TODAY())+COUNTIFS(D841,"&gt;=36526",D841,TODAY())+COUNTIFS(E841,"&gt;=36526",E841,TODAY())+COUNTIFS(F841,"&gt;=36526",F841,TODAY())&gt;0),P841,"")</x:f>
      </x:c>
      <x:c r="L841" t="str">
        <x:f>IF(AND(A841&lt;&gt;"",COUNTIFS(C841,"&gt;"&amp;TODAY(),C841,"&lt;="&amp;TODAY()+30)+COUNTIFS(D841,"&gt;"&amp;TODAY(),D841,"&lt;="&amp;TODAY()+30)+COUNTIFS(E841,"&gt;"&amp;TODAY(),E841,"&lt;="&amp;TODAY()+30)+COUNTIFS(F841,"&gt;"&amp;TODAY(),F841,"&lt;="&amp;TODAY()+30)&gt;0),Q841,"")</x:f>
      </x:c>
      <x:c r="M841" t="str">
        <x:f>IF(OR(LEFT(H841,15)="Missing dates; ",LEFT(H841,16)="Add N/A reason; ",H841="Add dates",H841="Add registration",H841="Check date format"),R841,"")</x:f>
      </x:c>
      <x:c r="N841" t="str">
        <x:f>IF(COUNTIFS(C841:F841,"Reviewed N/A")&gt;0,S841,"")</x:f>
      </x:c>
      <x:c r="O841" t="n">
        <x:f>O840+IF(AND(A841&lt;&gt;"",COUNTIFS(C841,"&gt;=36526",C841,"&lt;"&amp;TODAY())+COUNTIFS(D841,"&gt;=36526",D841,"&lt;"&amp;TODAY())+COUNTIFS(E841,"&gt;=36526",E841,"&lt;"&amp;TODAY())+COUNTIFS(F841,"&gt;=36526",F841,"&lt;"&amp;TODAY())&gt;0),1,0)</x:f>
        <x:v>0</x:v>
      </x:c>
      <x:c r="P841" t="n">
        <x:f>P840+IF(AND(A841&lt;&gt;"",COUNTIFS(C841,"&gt;=36526",C841,TODAY())+COUNTIFS(D841,"&gt;=36526",D841,TODAY())+COUNTIFS(E841,"&gt;=36526",E841,TODAY())+COUNTIFS(F841,"&gt;=36526",F841,TODAY())&gt;0),1,0)</x:f>
        <x:v>0</x:v>
      </x:c>
      <x:c r="Q841" t="n">
        <x:f>Q840+IF(AND(A841&lt;&gt;"",COUNTIFS(C841,"&gt;"&amp;TODAY(),C841,"&lt;="&amp;TODAY()+30)+COUNTIFS(D841,"&gt;"&amp;TODAY(),D841,"&lt;="&amp;TODAY()+30)+COUNTIFS(E841,"&gt;"&amp;TODAY(),E841,"&lt;="&amp;TODAY()+30)+COUNTIFS(F841,"&gt;"&amp;TODAY(),F841,"&lt;="&amp;TODAY()+30)&gt;0),1,0)</x:f>
        <x:v>0</x:v>
      </x:c>
      <x:c r="R841" t="n">
        <x:f>R840+IF(OR(LEFT(H841,15)="Missing dates; ",LEFT(H841,16)="Add N/A reason; ",H841="Add dates",H841="Add registration",H841="Check date format"),1,0)</x:f>
        <x:v>0</x:v>
      </x:c>
      <x:c r="S841" t="n">
        <x:f>S840+IF(COUNTIFS(C841:F841,"Reviewed N/A")&gt;0,1,0)</x:f>
        <x:v>0</x:v>
      </x:c>
    </x:row>
    <x:row r="842" ht="48" customHeight="1">
      <x:c r="A842" s="52"/>
      <x:c r="B842" s="52"/>
      <x:c r="C842" s="53"/>
      <x:c r="D842" s="53"/>
      <x:c r="E842" s="53"/>
      <x:c r="F842" s="53"/>
      <x:c r="G842" s="52"/>
      <x:c r="H842" s="21" t="str">
        <x:f>IF(COUNTA(A842:G842,I842)=0,"",IF(A842="","Add registration",IF(OR(COUNTA(C842:F842)&gt;COUNT(C842:F842)+COUNTIFS(C842:F842,"Reviewed N/A"),AND(COUNT(C842:F842)&gt;0,OR(MIN(C842:F842)&lt;36526,MAX(C842:F842)&gt;109574))),"Check date format",IF(AND(COUNTIFS(C842:F842,"Reviewed N/A")&gt;0,I842=""),"Add N/A reason; ","")&amp;IF(COUNT(C842:F842)=0,IF(COUNTIFS(C842:F842,"Reviewed N/A")=4,"No applicable dates recorded","Add dates"),IF(COUNT(C842:F842)+COUNTIFS(C842:F842,"Reviewed N/A")&lt;4,"Missing dates; ","")&amp;IF(MIN(C842:F842)&lt;TODAY(),"Overdue: ",IF(MIN(C842:F842)=TODAY(),"Due today: ",IF(MIN(C842:F842)&lt;=TODAY()+30,"Due within 30 days: ","Next: ")))&amp;INDEX($C$8:$F$8,1,MATCH(MIN(C842:F842),C842:F842,0))&amp;" "&amp;TEXT(MIN(C842:F842),"dd mmm yyyy")))))</x:f>
      </x:c>
      <x:c r="I842" s="52"/>
      <x:c r="J842" t="str">
        <x:f>IF(AND(A842&lt;&gt;"",COUNTIFS(C842,"&gt;=36526",C842,"&lt;"&amp;TODAY())+COUNTIFS(D842,"&gt;=36526",D842,"&lt;"&amp;TODAY())+COUNTIFS(E842,"&gt;=36526",E842,"&lt;"&amp;TODAY())+COUNTIFS(F842,"&gt;=36526",F842,"&lt;"&amp;TODAY())&gt;0),O842,"")</x:f>
      </x:c>
      <x:c r="K842" t="str">
        <x:f>IF(AND(A842&lt;&gt;"",COUNTIFS(C842,"&gt;=36526",C842,TODAY())+COUNTIFS(D842,"&gt;=36526",D842,TODAY())+COUNTIFS(E842,"&gt;=36526",E842,TODAY())+COUNTIFS(F842,"&gt;=36526",F842,TODAY())&gt;0),P842,"")</x:f>
      </x:c>
      <x:c r="L842" t="str">
        <x:f>IF(AND(A842&lt;&gt;"",COUNTIFS(C842,"&gt;"&amp;TODAY(),C842,"&lt;="&amp;TODAY()+30)+COUNTIFS(D842,"&gt;"&amp;TODAY(),D842,"&lt;="&amp;TODAY()+30)+COUNTIFS(E842,"&gt;"&amp;TODAY(),E842,"&lt;="&amp;TODAY()+30)+COUNTIFS(F842,"&gt;"&amp;TODAY(),F842,"&lt;="&amp;TODAY()+30)&gt;0),Q842,"")</x:f>
      </x:c>
      <x:c r="M842" t="str">
        <x:f>IF(OR(LEFT(H842,15)="Missing dates; ",LEFT(H842,16)="Add N/A reason; ",H842="Add dates",H842="Add registration",H842="Check date format"),R842,"")</x:f>
      </x:c>
      <x:c r="N842" t="str">
        <x:f>IF(COUNTIFS(C842:F842,"Reviewed N/A")&gt;0,S842,"")</x:f>
      </x:c>
      <x:c r="O842" t="n">
        <x:f>O841+IF(AND(A842&lt;&gt;"",COUNTIFS(C842,"&gt;=36526",C842,"&lt;"&amp;TODAY())+COUNTIFS(D842,"&gt;=36526",D842,"&lt;"&amp;TODAY())+COUNTIFS(E842,"&gt;=36526",E842,"&lt;"&amp;TODAY())+COUNTIFS(F842,"&gt;=36526",F842,"&lt;"&amp;TODAY())&gt;0),1,0)</x:f>
        <x:v>0</x:v>
      </x:c>
      <x:c r="P842" t="n">
        <x:f>P841+IF(AND(A842&lt;&gt;"",COUNTIFS(C842,"&gt;=36526",C842,TODAY())+COUNTIFS(D842,"&gt;=36526",D842,TODAY())+COUNTIFS(E842,"&gt;=36526",E842,TODAY())+COUNTIFS(F842,"&gt;=36526",F842,TODAY())&gt;0),1,0)</x:f>
        <x:v>0</x:v>
      </x:c>
      <x:c r="Q842" t="n">
        <x:f>Q841+IF(AND(A842&lt;&gt;"",COUNTIFS(C842,"&gt;"&amp;TODAY(),C842,"&lt;="&amp;TODAY()+30)+COUNTIFS(D842,"&gt;"&amp;TODAY(),D842,"&lt;="&amp;TODAY()+30)+COUNTIFS(E842,"&gt;"&amp;TODAY(),E842,"&lt;="&amp;TODAY()+30)+COUNTIFS(F842,"&gt;"&amp;TODAY(),F842,"&lt;="&amp;TODAY()+30)&gt;0),1,0)</x:f>
        <x:v>0</x:v>
      </x:c>
      <x:c r="R842" t="n">
        <x:f>R841+IF(OR(LEFT(H842,15)="Missing dates; ",LEFT(H842,16)="Add N/A reason; ",H842="Add dates",H842="Add registration",H842="Check date format"),1,0)</x:f>
        <x:v>0</x:v>
      </x:c>
      <x:c r="S842" t="n">
        <x:f>S841+IF(COUNTIFS(C842:F842,"Reviewed N/A")&gt;0,1,0)</x:f>
        <x:v>0</x:v>
      </x:c>
    </x:row>
    <x:row r="843" ht="48" customHeight="1">
      <x:c r="A843" s="52"/>
      <x:c r="B843" s="52"/>
      <x:c r="C843" s="53"/>
      <x:c r="D843" s="53"/>
      <x:c r="E843" s="53"/>
      <x:c r="F843" s="53"/>
      <x:c r="G843" s="52"/>
      <x:c r="H843" s="21" t="str">
        <x:f>IF(COUNTA(A843:G843,I843)=0,"",IF(A843="","Add registration",IF(OR(COUNTA(C843:F843)&gt;COUNT(C843:F843)+COUNTIFS(C843:F843,"Reviewed N/A"),AND(COUNT(C843:F843)&gt;0,OR(MIN(C843:F843)&lt;36526,MAX(C843:F843)&gt;109574))),"Check date format",IF(AND(COUNTIFS(C843:F843,"Reviewed N/A")&gt;0,I843=""),"Add N/A reason; ","")&amp;IF(COUNT(C843:F843)=0,IF(COUNTIFS(C843:F843,"Reviewed N/A")=4,"No applicable dates recorded","Add dates"),IF(COUNT(C843:F843)+COUNTIFS(C843:F843,"Reviewed N/A")&lt;4,"Missing dates; ","")&amp;IF(MIN(C843:F843)&lt;TODAY(),"Overdue: ",IF(MIN(C843:F843)=TODAY(),"Due today: ",IF(MIN(C843:F843)&lt;=TODAY()+30,"Due within 30 days: ","Next: ")))&amp;INDEX($C$8:$F$8,1,MATCH(MIN(C843:F843),C843:F843,0))&amp;" "&amp;TEXT(MIN(C843:F843),"dd mmm yyyy")))))</x:f>
      </x:c>
      <x:c r="I843" s="52"/>
      <x:c r="J843" t="str">
        <x:f>IF(AND(A843&lt;&gt;"",COUNTIFS(C843,"&gt;=36526",C843,"&lt;"&amp;TODAY())+COUNTIFS(D843,"&gt;=36526",D843,"&lt;"&amp;TODAY())+COUNTIFS(E843,"&gt;=36526",E843,"&lt;"&amp;TODAY())+COUNTIFS(F843,"&gt;=36526",F843,"&lt;"&amp;TODAY())&gt;0),O843,"")</x:f>
      </x:c>
      <x:c r="K843" t="str">
        <x:f>IF(AND(A843&lt;&gt;"",COUNTIFS(C843,"&gt;=36526",C843,TODAY())+COUNTIFS(D843,"&gt;=36526",D843,TODAY())+COUNTIFS(E843,"&gt;=36526",E843,TODAY())+COUNTIFS(F843,"&gt;=36526",F843,TODAY())&gt;0),P843,"")</x:f>
      </x:c>
      <x:c r="L843" t="str">
        <x:f>IF(AND(A843&lt;&gt;"",COUNTIFS(C843,"&gt;"&amp;TODAY(),C843,"&lt;="&amp;TODAY()+30)+COUNTIFS(D843,"&gt;"&amp;TODAY(),D843,"&lt;="&amp;TODAY()+30)+COUNTIFS(E843,"&gt;"&amp;TODAY(),E843,"&lt;="&amp;TODAY()+30)+COUNTIFS(F843,"&gt;"&amp;TODAY(),F843,"&lt;="&amp;TODAY()+30)&gt;0),Q843,"")</x:f>
      </x:c>
      <x:c r="M843" t="str">
        <x:f>IF(OR(LEFT(H843,15)="Missing dates; ",LEFT(H843,16)="Add N/A reason; ",H843="Add dates",H843="Add registration",H843="Check date format"),R843,"")</x:f>
      </x:c>
      <x:c r="N843" t="str">
        <x:f>IF(COUNTIFS(C843:F843,"Reviewed N/A")&gt;0,S843,"")</x:f>
      </x:c>
      <x:c r="O843" t="n">
        <x:f>O842+IF(AND(A843&lt;&gt;"",COUNTIFS(C843,"&gt;=36526",C843,"&lt;"&amp;TODAY())+COUNTIFS(D843,"&gt;=36526",D843,"&lt;"&amp;TODAY())+COUNTIFS(E843,"&gt;=36526",E843,"&lt;"&amp;TODAY())+COUNTIFS(F843,"&gt;=36526",F843,"&lt;"&amp;TODAY())&gt;0),1,0)</x:f>
        <x:v>0</x:v>
      </x:c>
      <x:c r="P843" t="n">
        <x:f>P842+IF(AND(A843&lt;&gt;"",COUNTIFS(C843,"&gt;=36526",C843,TODAY())+COUNTIFS(D843,"&gt;=36526",D843,TODAY())+COUNTIFS(E843,"&gt;=36526",E843,TODAY())+COUNTIFS(F843,"&gt;=36526",F843,TODAY())&gt;0),1,0)</x:f>
        <x:v>0</x:v>
      </x:c>
      <x:c r="Q843" t="n">
        <x:f>Q842+IF(AND(A843&lt;&gt;"",COUNTIFS(C843,"&gt;"&amp;TODAY(),C843,"&lt;="&amp;TODAY()+30)+COUNTIFS(D843,"&gt;"&amp;TODAY(),D843,"&lt;="&amp;TODAY()+30)+COUNTIFS(E843,"&gt;"&amp;TODAY(),E843,"&lt;="&amp;TODAY()+30)+COUNTIFS(F843,"&gt;"&amp;TODAY(),F843,"&lt;="&amp;TODAY()+30)&gt;0),1,0)</x:f>
        <x:v>0</x:v>
      </x:c>
      <x:c r="R843" t="n">
        <x:f>R842+IF(OR(LEFT(H843,15)="Missing dates; ",LEFT(H843,16)="Add N/A reason; ",H843="Add dates",H843="Add registration",H843="Check date format"),1,0)</x:f>
        <x:v>0</x:v>
      </x:c>
      <x:c r="S843" t="n">
        <x:f>S842+IF(COUNTIFS(C843:F843,"Reviewed N/A")&gt;0,1,0)</x:f>
        <x:v>0</x:v>
      </x:c>
    </x:row>
    <x:row r="844" ht="48" customHeight="1">
      <x:c r="A844" s="52"/>
      <x:c r="B844" s="52"/>
      <x:c r="C844" s="53"/>
      <x:c r="D844" s="53"/>
      <x:c r="E844" s="53"/>
      <x:c r="F844" s="53"/>
      <x:c r="G844" s="52"/>
      <x:c r="H844" s="21" t="str">
        <x:f>IF(COUNTA(A844:G844,I844)=0,"",IF(A844="","Add registration",IF(OR(COUNTA(C844:F844)&gt;COUNT(C844:F844)+COUNTIFS(C844:F844,"Reviewed N/A"),AND(COUNT(C844:F844)&gt;0,OR(MIN(C844:F844)&lt;36526,MAX(C844:F844)&gt;109574))),"Check date format",IF(AND(COUNTIFS(C844:F844,"Reviewed N/A")&gt;0,I844=""),"Add N/A reason; ","")&amp;IF(COUNT(C844:F844)=0,IF(COUNTIFS(C844:F844,"Reviewed N/A")=4,"No applicable dates recorded","Add dates"),IF(COUNT(C844:F844)+COUNTIFS(C844:F844,"Reviewed N/A")&lt;4,"Missing dates; ","")&amp;IF(MIN(C844:F844)&lt;TODAY(),"Overdue: ",IF(MIN(C844:F844)=TODAY(),"Due today: ",IF(MIN(C844:F844)&lt;=TODAY()+30,"Due within 30 days: ","Next: ")))&amp;INDEX($C$8:$F$8,1,MATCH(MIN(C844:F844),C844:F844,0))&amp;" "&amp;TEXT(MIN(C844:F844),"dd mmm yyyy")))))</x:f>
      </x:c>
      <x:c r="I844" s="52"/>
      <x:c r="J844" t="str">
        <x:f>IF(AND(A844&lt;&gt;"",COUNTIFS(C844,"&gt;=36526",C844,"&lt;"&amp;TODAY())+COUNTIFS(D844,"&gt;=36526",D844,"&lt;"&amp;TODAY())+COUNTIFS(E844,"&gt;=36526",E844,"&lt;"&amp;TODAY())+COUNTIFS(F844,"&gt;=36526",F844,"&lt;"&amp;TODAY())&gt;0),O844,"")</x:f>
      </x:c>
      <x:c r="K844" t="str">
        <x:f>IF(AND(A844&lt;&gt;"",COUNTIFS(C844,"&gt;=36526",C844,TODAY())+COUNTIFS(D844,"&gt;=36526",D844,TODAY())+COUNTIFS(E844,"&gt;=36526",E844,TODAY())+COUNTIFS(F844,"&gt;=36526",F844,TODAY())&gt;0),P844,"")</x:f>
      </x:c>
      <x:c r="L844" t="str">
        <x:f>IF(AND(A844&lt;&gt;"",COUNTIFS(C844,"&gt;"&amp;TODAY(),C844,"&lt;="&amp;TODAY()+30)+COUNTIFS(D844,"&gt;"&amp;TODAY(),D844,"&lt;="&amp;TODAY()+30)+COUNTIFS(E844,"&gt;"&amp;TODAY(),E844,"&lt;="&amp;TODAY()+30)+COUNTIFS(F844,"&gt;"&amp;TODAY(),F844,"&lt;="&amp;TODAY()+30)&gt;0),Q844,"")</x:f>
      </x:c>
      <x:c r="M844" t="str">
        <x:f>IF(OR(LEFT(H844,15)="Missing dates; ",LEFT(H844,16)="Add N/A reason; ",H844="Add dates",H844="Add registration",H844="Check date format"),R844,"")</x:f>
      </x:c>
      <x:c r="N844" t="str">
        <x:f>IF(COUNTIFS(C844:F844,"Reviewed N/A")&gt;0,S844,"")</x:f>
      </x:c>
      <x:c r="O844" t="n">
        <x:f>O843+IF(AND(A844&lt;&gt;"",COUNTIFS(C844,"&gt;=36526",C844,"&lt;"&amp;TODAY())+COUNTIFS(D844,"&gt;=36526",D844,"&lt;"&amp;TODAY())+COUNTIFS(E844,"&gt;=36526",E844,"&lt;"&amp;TODAY())+COUNTIFS(F844,"&gt;=36526",F844,"&lt;"&amp;TODAY())&gt;0),1,0)</x:f>
        <x:v>0</x:v>
      </x:c>
      <x:c r="P844" t="n">
        <x:f>P843+IF(AND(A844&lt;&gt;"",COUNTIFS(C844,"&gt;=36526",C844,TODAY())+COUNTIFS(D844,"&gt;=36526",D844,TODAY())+COUNTIFS(E844,"&gt;=36526",E844,TODAY())+COUNTIFS(F844,"&gt;=36526",F844,TODAY())&gt;0),1,0)</x:f>
        <x:v>0</x:v>
      </x:c>
      <x:c r="Q844" t="n">
        <x:f>Q843+IF(AND(A844&lt;&gt;"",COUNTIFS(C844,"&gt;"&amp;TODAY(),C844,"&lt;="&amp;TODAY()+30)+COUNTIFS(D844,"&gt;"&amp;TODAY(),D844,"&lt;="&amp;TODAY()+30)+COUNTIFS(E844,"&gt;"&amp;TODAY(),E844,"&lt;="&amp;TODAY()+30)+COUNTIFS(F844,"&gt;"&amp;TODAY(),F844,"&lt;="&amp;TODAY()+30)&gt;0),1,0)</x:f>
        <x:v>0</x:v>
      </x:c>
      <x:c r="R844" t="n">
        <x:f>R843+IF(OR(LEFT(H844,15)="Missing dates; ",LEFT(H844,16)="Add N/A reason; ",H844="Add dates",H844="Add registration",H844="Check date format"),1,0)</x:f>
        <x:v>0</x:v>
      </x:c>
      <x:c r="S844" t="n">
        <x:f>S843+IF(COUNTIFS(C844:F844,"Reviewed N/A")&gt;0,1,0)</x:f>
        <x:v>0</x:v>
      </x:c>
    </x:row>
    <x:row r="845" ht="48" customHeight="1">
      <x:c r="A845" s="52"/>
      <x:c r="B845" s="52"/>
      <x:c r="C845" s="53"/>
      <x:c r="D845" s="53"/>
      <x:c r="E845" s="53"/>
      <x:c r="F845" s="53"/>
      <x:c r="G845" s="52"/>
      <x:c r="H845" s="21" t="str">
        <x:f>IF(COUNTA(A845:G845,I845)=0,"",IF(A845="","Add registration",IF(OR(COUNTA(C845:F845)&gt;COUNT(C845:F845)+COUNTIFS(C845:F845,"Reviewed N/A"),AND(COUNT(C845:F845)&gt;0,OR(MIN(C845:F845)&lt;36526,MAX(C845:F845)&gt;109574))),"Check date format",IF(AND(COUNTIFS(C845:F845,"Reviewed N/A")&gt;0,I845=""),"Add N/A reason; ","")&amp;IF(COUNT(C845:F845)=0,IF(COUNTIFS(C845:F845,"Reviewed N/A")=4,"No applicable dates recorded","Add dates"),IF(COUNT(C845:F845)+COUNTIFS(C845:F845,"Reviewed N/A")&lt;4,"Missing dates; ","")&amp;IF(MIN(C845:F845)&lt;TODAY(),"Overdue: ",IF(MIN(C845:F845)=TODAY(),"Due today: ",IF(MIN(C845:F845)&lt;=TODAY()+30,"Due within 30 days: ","Next: ")))&amp;INDEX($C$8:$F$8,1,MATCH(MIN(C845:F845),C845:F845,0))&amp;" "&amp;TEXT(MIN(C845:F845),"dd mmm yyyy")))))</x:f>
      </x:c>
      <x:c r="I845" s="52"/>
      <x:c r="J845" t="str">
        <x:f>IF(AND(A845&lt;&gt;"",COUNTIFS(C845,"&gt;=36526",C845,"&lt;"&amp;TODAY())+COUNTIFS(D845,"&gt;=36526",D845,"&lt;"&amp;TODAY())+COUNTIFS(E845,"&gt;=36526",E845,"&lt;"&amp;TODAY())+COUNTIFS(F845,"&gt;=36526",F845,"&lt;"&amp;TODAY())&gt;0),O845,"")</x:f>
      </x:c>
      <x:c r="K845" t="str">
        <x:f>IF(AND(A845&lt;&gt;"",COUNTIFS(C845,"&gt;=36526",C845,TODAY())+COUNTIFS(D845,"&gt;=36526",D845,TODAY())+COUNTIFS(E845,"&gt;=36526",E845,TODAY())+COUNTIFS(F845,"&gt;=36526",F845,TODAY())&gt;0),P845,"")</x:f>
      </x:c>
      <x:c r="L845" t="str">
        <x:f>IF(AND(A845&lt;&gt;"",COUNTIFS(C845,"&gt;"&amp;TODAY(),C845,"&lt;="&amp;TODAY()+30)+COUNTIFS(D845,"&gt;"&amp;TODAY(),D845,"&lt;="&amp;TODAY()+30)+COUNTIFS(E845,"&gt;"&amp;TODAY(),E845,"&lt;="&amp;TODAY()+30)+COUNTIFS(F845,"&gt;"&amp;TODAY(),F845,"&lt;="&amp;TODAY()+30)&gt;0),Q845,"")</x:f>
      </x:c>
      <x:c r="M845" t="str">
        <x:f>IF(OR(LEFT(H845,15)="Missing dates; ",LEFT(H845,16)="Add N/A reason; ",H845="Add dates",H845="Add registration",H845="Check date format"),R845,"")</x:f>
      </x:c>
      <x:c r="N845" t="str">
        <x:f>IF(COUNTIFS(C845:F845,"Reviewed N/A")&gt;0,S845,"")</x:f>
      </x:c>
      <x:c r="O845" t="n">
        <x:f>O844+IF(AND(A845&lt;&gt;"",COUNTIFS(C845,"&gt;=36526",C845,"&lt;"&amp;TODAY())+COUNTIFS(D845,"&gt;=36526",D845,"&lt;"&amp;TODAY())+COUNTIFS(E845,"&gt;=36526",E845,"&lt;"&amp;TODAY())+COUNTIFS(F845,"&gt;=36526",F845,"&lt;"&amp;TODAY())&gt;0),1,0)</x:f>
        <x:v>0</x:v>
      </x:c>
      <x:c r="P845" t="n">
        <x:f>P844+IF(AND(A845&lt;&gt;"",COUNTIFS(C845,"&gt;=36526",C845,TODAY())+COUNTIFS(D845,"&gt;=36526",D845,TODAY())+COUNTIFS(E845,"&gt;=36526",E845,TODAY())+COUNTIFS(F845,"&gt;=36526",F845,TODAY())&gt;0),1,0)</x:f>
        <x:v>0</x:v>
      </x:c>
      <x:c r="Q845" t="n">
        <x:f>Q844+IF(AND(A845&lt;&gt;"",COUNTIFS(C845,"&gt;"&amp;TODAY(),C845,"&lt;="&amp;TODAY()+30)+COUNTIFS(D845,"&gt;"&amp;TODAY(),D845,"&lt;="&amp;TODAY()+30)+COUNTIFS(E845,"&gt;"&amp;TODAY(),E845,"&lt;="&amp;TODAY()+30)+COUNTIFS(F845,"&gt;"&amp;TODAY(),F845,"&lt;="&amp;TODAY()+30)&gt;0),1,0)</x:f>
        <x:v>0</x:v>
      </x:c>
      <x:c r="R845" t="n">
        <x:f>R844+IF(OR(LEFT(H845,15)="Missing dates; ",LEFT(H845,16)="Add N/A reason; ",H845="Add dates",H845="Add registration",H845="Check date format"),1,0)</x:f>
        <x:v>0</x:v>
      </x:c>
      <x:c r="S845" t="n">
        <x:f>S844+IF(COUNTIFS(C845:F845,"Reviewed N/A")&gt;0,1,0)</x:f>
        <x:v>0</x:v>
      </x:c>
    </x:row>
    <x:row r="846" ht="48" customHeight="1">
      <x:c r="A846" s="52"/>
      <x:c r="B846" s="52"/>
      <x:c r="C846" s="53"/>
      <x:c r="D846" s="53"/>
      <x:c r="E846" s="53"/>
      <x:c r="F846" s="53"/>
      <x:c r="G846" s="52"/>
      <x:c r="H846" s="21" t="str">
        <x:f>IF(COUNTA(A846:G846,I846)=0,"",IF(A846="","Add registration",IF(OR(COUNTA(C846:F846)&gt;COUNT(C846:F846)+COUNTIFS(C846:F846,"Reviewed N/A"),AND(COUNT(C846:F846)&gt;0,OR(MIN(C846:F846)&lt;36526,MAX(C846:F846)&gt;109574))),"Check date format",IF(AND(COUNTIFS(C846:F846,"Reviewed N/A")&gt;0,I846=""),"Add N/A reason; ","")&amp;IF(COUNT(C846:F846)=0,IF(COUNTIFS(C846:F846,"Reviewed N/A")=4,"No applicable dates recorded","Add dates"),IF(COUNT(C846:F846)+COUNTIFS(C846:F846,"Reviewed N/A")&lt;4,"Missing dates; ","")&amp;IF(MIN(C846:F846)&lt;TODAY(),"Overdue: ",IF(MIN(C846:F846)=TODAY(),"Due today: ",IF(MIN(C846:F846)&lt;=TODAY()+30,"Due within 30 days: ","Next: ")))&amp;INDEX($C$8:$F$8,1,MATCH(MIN(C846:F846),C846:F846,0))&amp;" "&amp;TEXT(MIN(C846:F846),"dd mmm yyyy")))))</x:f>
      </x:c>
      <x:c r="I846" s="52"/>
      <x:c r="J846" t="str">
        <x:f>IF(AND(A846&lt;&gt;"",COUNTIFS(C846,"&gt;=36526",C846,"&lt;"&amp;TODAY())+COUNTIFS(D846,"&gt;=36526",D846,"&lt;"&amp;TODAY())+COUNTIFS(E846,"&gt;=36526",E846,"&lt;"&amp;TODAY())+COUNTIFS(F846,"&gt;=36526",F846,"&lt;"&amp;TODAY())&gt;0),O846,"")</x:f>
      </x:c>
      <x:c r="K846" t="str">
        <x:f>IF(AND(A846&lt;&gt;"",COUNTIFS(C846,"&gt;=36526",C846,TODAY())+COUNTIFS(D846,"&gt;=36526",D846,TODAY())+COUNTIFS(E846,"&gt;=36526",E846,TODAY())+COUNTIFS(F846,"&gt;=36526",F846,TODAY())&gt;0),P846,"")</x:f>
      </x:c>
      <x:c r="L846" t="str">
        <x:f>IF(AND(A846&lt;&gt;"",COUNTIFS(C846,"&gt;"&amp;TODAY(),C846,"&lt;="&amp;TODAY()+30)+COUNTIFS(D846,"&gt;"&amp;TODAY(),D846,"&lt;="&amp;TODAY()+30)+COUNTIFS(E846,"&gt;"&amp;TODAY(),E846,"&lt;="&amp;TODAY()+30)+COUNTIFS(F846,"&gt;"&amp;TODAY(),F846,"&lt;="&amp;TODAY()+30)&gt;0),Q846,"")</x:f>
      </x:c>
      <x:c r="M846" t="str">
        <x:f>IF(OR(LEFT(H846,15)="Missing dates; ",LEFT(H846,16)="Add N/A reason; ",H846="Add dates",H846="Add registration",H846="Check date format"),R846,"")</x:f>
      </x:c>
      <x:c r="N846" t="str">
        <x:f>IF(COUNTIFS(C846:F846,"Reviewed N/A")&gt;0,S846,"")</x:f>
      </x:c>
      <x:c r="O846" t="n">
        <x:f>O845+IF(AND(A846&lt;&gt;"",COUNTIFS(C846,"&gt;=36526",C846,"&lt;"&amp;TODAY())+COUNTIFS(D846,"&gt;=36526",D846,"&lt;"&amp;TODAY())+COUNTIFS(E846,"&gt;=36526",E846,"&lt;"&amp;TODAY())+COUNTIFS(F846,"&gt;=36526",F846,"&lt;"&amp;TODAY())&gt;0),1,0)</x:f>
        <x:v>0</x:v>
      </x:c>
      <x:c r="P846" t="n">
        <x:f>P845+IF(AND(A846&lt;&gt;"",COUNTIFS(C846,"&gt;=36526",C846,TODAY())+COUNTIFS(D846,"&gt;=36526",D846,TODAY())+COUNTIFS(E846,"&gt;=36526",E846,TODAY())+COUNTIFS(F846,"&gt;=36526",F846,TODAY())&gt;0),1,0)</x:f>
        <x:v>0</x:v>
      </x:c>
      <x:c r="Q846" t="n">
        <x:f>Q845+IF(AND(A846&lt;&gt;"",COUNTIFS(C846,"&gt;"&amp;TODAY(),C846,"&lt;="&amp;TODAY()+30)+COUNTIFS(D846,"&gt;"&amp;TODAY(),D846,"&lt;="&amp;TODAY()+30)+COUNTIFS(E846,"&gt;"&amp;TODAY(),E846,"&lt;="&amp;TODAY()+30)+COUNTIFS(F846,"&gt;"&amp;TODAY(),F846,"&lt;="&amp;TODAY()+30)&gt;0),1,0)</x:f>
        <x:v>0</x:v>
      </x:c>
      <x:c r="R846" t="n">
        <x:f>R845+IF(OR(LEFT(H846,15)="Missing dates; ",LEFT(H846,16)="Add N/A reason; ",H846="Add dates",H846="Add registration",H846="Check date format"),1,0)</x:f>
        <x:v>0</x:v>
      </x:c>
      <x:c r="S846" t="n">
        <x:f>S845+IF(COUNTIFS(C846:F846,"Reviewed N/A")&gt;0,1,0)</x:f>
        <x:v>0</x:v>
      </x:c>
    </x:row>
    <x:row r="847" ht="48" customHeight="1">
      <x:c r="A847" s="52"/>
      <x:c r="B847" s="52"/>
      <x:c r="C847" s="53"/>
      <x:c r="D847" s="53"/>
      <x:c r="E847" s="53"/>
      <x:c r="F847" s="53"/>
      <x:c r="G847" s="52"/>
      <x:c r="H847" s="21" t="str">
        <x:f>IF(COUNTA(A847:G847,I847)=0,"",IF(A847="","Add registration",IF(OR(COUNTA(C847:F847)&gt;COUNT(C847:F847)+COUNTIFS(C847:F847,"Reviewed N/A"),AND(COUNT(C847:F847)&gt;0,OR(MIN(C847:F847)&lt;36526,MAX(C847:F847)&gt;109574))),"Check date format",IF(AND(COUNTIFS(C847:F847,"Reviewed N/A")&gt;0,I847=""),"Add N/A reason; ","")&amp;IF(COUNT(C847:F847)=0,IF(COUNTIFS(C847:F847,"Reviewed N/A")=4,"No applicable dates recorded","Add dates"),IF(COUNT(C847:F847)+COUNTIFS(C847:F847,"Reviewed N/A")&lt;4,"Missing dates; ","")&amp;IF(MIN(C847:F847)&lt;TODAY(),"Overdue: ",IF(MIN(C847:F847)=TODAY(),"Due today: ",IF(MIN(C847:F847)&lt;=TODAY()+30,"Due within 30 days: ","Next: ")))&amp;INDEX($C$8:$F$8,1,MATCH(MIN(C847:F847),C847:F847,0))&amp;" "&amp;TEXT(MIN(C847:F847),"dd mmm yyyy")))))</x:f>
      </x:c>
      <x:c r="I847" s="52"/>
      <x:c r="J847" t="str">
        <x:f>IF(AND(A847&lt;&gt;"",COUNTIFS(C847,"&gt;=36526",C847,"&lt;"&amp;TODAY())+COUNTIFS(D847,"&gt;=36526",D847,"&lt;"&amp;TODAY())+COUNTIFS(E847,"&gt;=36526",E847,"&lt;"&amp;TODAY())+COUNTIFS(F847,"&gt;=36526",F847,"&lt;"&amp;TODAY())&gt;0),O847,"")</x:f>
      </x:c>
      <x:c r="K847" t="str">
        <x:f>IF(AND(A847&lt;&gt;"",COUNTIFS(C847,"&gt;=36526",C847,TODAY())+COUNTIFS(D847,"&gt;=36526",D847,TODAY())+COUNTIFS(E847,"&gt;=36526",E847,TODAY())+COUNTIFS(F847,"&gt;=36526",F847,TODAY())&gt;0),P847,"")</x:f>
      </x:c>
      <x:c r="L847" t="str">
        <x:f>IF(AND(A847&lt;&gt;"",COUNTIFS(C847,"&gt;"&amp;TODAY(),C847,"&lt;="&amp;TODAY()+30)+COUNTIFS(D847,"&gt;"&amp;TODAY(),D847,"&lt;="&amp;TODAY()+30)+COUNTIFS(E847,"&gt;"&amp;TODAY(),E847,"&lt;="&amp;TODAY()+30)+COUNTIFS(F847,"&gt;"&amp;TODAY(),F847,"&lt;="&amp;TODAY()+30)&gt;0),Q847,"")</x:f>
      </x:c>
      <x:c r="M847" t="str">
        <x:f>IF(OR(LEFT(H847,15)="Missing dates; ",LEFT(H847,16)="Add N/A reason; ",H847="Add dates",H847="Add registration",H847="Check date format"),R847,"")</x:f>
      </x:c>
      <x:c r="N847" t="str">
        <x:f>IF(COUNTIFS(C847:F847,"Reviewed N/A")&gt;0,S847,"")</x:f>
      </x:c>
      <x:c r="O847" t="n">
        <x:f>O846+IF(AND(A847&lt;&gt;"",COUNTIFS(C847,"&gt;=36526",C847,"&lt;"&amp;TODAY())+COUNTIFS(D847,"&gt;=36526",D847,"&lt;"&amp;TODAY())+COUNTIFS(E847,"&gt;=36526",E847,"&lt;"&amp;TODAY())+COUNTIFS(F847,"&gt;=36526",F847,"&lt;"&amp;TODAY())&gt;0),1,0)</x:f>
        <x:v>0</x:v>
      </x:c>
      <x:c r="P847" t="n">
        <x:f>P846+IF(AND(A847&lt;&gt;"",COUNTIFS(C847,"&gt;=36526",C847,TODAY())+COUNTIFS(D847,"&gt;=36526",D847,TODAY())+COUNTIFS(E847,"&gt;=36526",E847,TODAY())+COUNTIFS(F847,"&gt;=36526",F847,TODAY())&gt;0),1,0)</x:f>
        <x:v>0</x:v>
      </x:c>
      <x:c r="Q847" t="n">
        <x:f>Q846+IF(AND(A847&lt;&gt;"",COUNTIFS(C847,"&gt;"&amp;TODAY(),C847,"&lt;="&amp;TODAY()+30)+COUNTIFS(D847,"&gt;"&amp;TODAY(),D847,"&lt;="&amp;TODAY()+30)+COUNTIFS(E847,"&gt;"&amp;TODAY(),E847,"&lt;="&amp;TODAY()+30)+COUNTIFS(F847,"&gt;"&amp;TODAY(),F847,"&lt;="&amp;TODAY()+30)&gt;0),1,0)</x:f>
        <x:v>0</x:v>
      </x:c>
      <x:c r="R847" t="n">
        <x:f>R846+IF(OR(LEFT(H847,15)="Missing dates; ",LEFT(H847,16)="Add N/A reason; ",H847="Add dates",H847="Add registration",H847="Check date format"),1,0)</x:f>
        <x:v>0</x:v>
      </x:c>
      <x:c r="S847" t="n">
        <x:f>S846+IF(COUNTIFS(C847:F847,"Reviewed N/A")&gt;0,1,0)</x:f>
        <x:v>0</x:v>
      </x:c>
    </x:row>
    <x:row r="848" ht="48" customHeight="1">
      <x:c r="A848" s="52"/>
      <x:c r="B848" s="52"/>
      <x:c r="C848" s="53"/>
      <x:c r="D848" s="53"/>
      <x:c r="E848" s="53"/>
      <x:c r="F848" s="53"/>
      <x:c r="G848" s="52"/>
      <x:c r="H848" s="21" t="str">
        <x:f>IF(COUNTA(A848:G848,I848)=0,"",IF(A848="","Add registration",IF(OR(COUNTA(C848:F848)&gt;COUNT(C848:F848)+COUNTIFS(C848:F848,"Reviewed N/A"),AND(COUNT(C848:F848)&gt;0,OR(MIN(C848:F848)&lt;36526,MAX(C848:F848)&gt;109574))),"Check date format",IF(AND(COUNTIFS(C848:F848,"Reviewed N/A")&gt;0,I848=""),"Add N/A reason; ","")&amp;IF(COUNT(C848:F848)=0,IF(COUNTIFS(C848:F848,"Reviewed N/A")=4,"No applicable dates recorded","Add dates"),IF(COUNT(C848:F848)+COUNTIFS(C848:F848,"Reviewed N/A")&lt;4,"Missing dates; ","")&amp;IF(MIN(C848:F848)&lt;TODAY(),"Overdue: ",IF(MIN(C848:F848)=TODAY(),"Due today: ",IF(MIN(C848:F848)&lt;=TODAY()+30,"Due within 30 days: ","Next: ")))&amp;INDEX($C$8:$F$8,1,MATCH(MIN(C848:F848),C848:F848,0))&amp;" "&amp;TEXT(MIN(C848:F848),"dd mmm yyyy")))))</x:f>
      </x:c>
      <x:c r="I848" s="52"/>
      <x:c r="J848" t="str">
        <x:f>IF(AND(A848&lt;&gt;"",COUNTIFS(C848,"&gt;=36526",C848,"&lt;"&amp;TODAY())+COUNTIFS(D848,"&gt;=36526",D848,"&lt;"&amp;TODAY())+COUNTIFS(E848,"&gt;=36526",E848,"&lt;"&amp;TODAY())+COUNTIFS(F848,"&gt;=36526",F848,"&lt;"&amp;TODAY())&gt;0),O848,"")</x:f>
      </x:c>
      <x:c r="K848" t="str">
        <x:f>IF(AND(A848&lt;&gt;"",COUNTIFS(C848,"&gt;=36526",C848,TODAY())+COUNTIFS(D848,"&gt;=36526",D848,TODAY())+COUNTIFS(E848,"&gt;=36526",E848,TODAY())+COUNTIFS(F848,"&gt;=36526",F848,TODAY())&gt;0),P848,"")</x:f>
      </x:c>
      <x:c r="L848" t="str">
        <x:f>IF(AND(A848&lt;&gt;"",COUNTIFS(C848,"&gt;"&amp;TODAY(),C848,"&lt;="&amp;TODAY()+30)+COUNTIFS(D848,"&gt;"&amp;TODAY(),D848,"&lt;="&amp;TODAY()+30)+COUNTIFS(E848,"&gt;"&amp;TODAY(),E848,"&lt;="&amp;TODAY()+30)+COUNTIFS(F848,"&gt;"&amp;TODAY(),F848,"&lt;="&amp;TODAY()+30)&gt;0),Q848,"")</x:f>
      </x:c>
      <x:c r="M848" t="str">
        <x:f>IF(OR(LEFT(H848,15)="Missing dates; ",LEFT(H848,16)="Add N/A reason; ",H848="Add dates",H848="Add registration",H848="Check date format"),R848,"")</x:f>
      </x:c>
      <x:c r="N848" t="str">
        <x:f>IF(COUNTIFS(C848:F848,"Reviewed N/A")&gt;0,S848,"")</x:f>
      </x:c>
      <x:c r="O848" t="n">
        <x:f>O847+IF(AND(A848&lt;&gt;"",COUNTIFS(C848,"&gt;=36526",C848,"&lt;"&amp;TODAY())+COUNTIFS(D848,"&gt;=36526",D848,"&lt;"&amp;TODAY())+COUNTIFS(E848,"&gt;=36526",E848,"&lt;"&amp;TODAY())+COUNTIFS(F848,"&gt;=36526",F848,"&lt;"&amp;TODAY())&gt;0),1,0)</x:f>
        <x:v>0</x:v>
      </x:c>
      <x:c r="P848" t="n">
        <x:f>P847+IF(AND(A848&lt;&gt;"",COUNTIFS(C848,"&gt;=36526",C848,TODAY())+COUNTIFS(D848,"&gt;=36526",D848,TODAY())+COUNTIFS(E848,"&gt;=36526",E848,TODAY())+COUNTIFS(F848,"&gt;=36526",F848,TODAY())&gt;0),1,0)</x:f>
        <x:v>0</x:v>
      </x:c>
      <x:c r="Q848" t="n">
        <x:f>Q847+IF(AND(A848&lt;&gt;"",COUNTIFS(C848,"&gt;"&amp;TODAY(),C848,"&lt;="&amp;TODAY()+30)+COUNTIFS(D848,"&gt;"&amp;TODAY(),D848,"&lt;="&amp;TODAY()+30)+COUNTIFS(E848,"&gt;"&amp;TODAY(),E848,"&lt;="&amp;TODAY()+30)+COUNTIFS(F848,"&gt;"&amp;TODAY(),F848,"&lt;="&amp;TODAY()+30)&gt;0),1,0)</x:f>
        <x:v>0</x:v>
      </x:c>
      <x:c r="R848" t="n">
        <x:f>R847+IF(OR(LEFT(H848,15)="Missing dates; ",LEFT(H848,16)="Add N/A reason; ",H848="Add dates",H848="Add registration",H848="Check date format"),1,0)</x:f>
        <x:v>0</x:v>
      </x:c>
      <x:c r="S848" t="n">
        <x:f>S847+IF(COUNTIFS(C848:F848,"Reviewed N/A")&gt;0,1,0)</x:f>
        <x:v>0</x:v>
      </x:c>
    </x:row>
    <x:row r="849" ht="48" customHeight="1">
      <x:c r="A849" s="52"/>
      <x:c r="B849" s="52"/>
      <x:c r="C849" s="53"/>
      <x:c r="D849" s="53"/>
      <x:c r="E849" s="53"/>
      <x:c r="F849" s="53"/>
      <x:c r="G849" s="52"/>
      <x:c r="H849" s="21" t="str">
        <x:f>IF(COUNTA(A849:G849,I849)=0,"",IF(A849="","Add registration",IF(OR(COUNTA(C849:F849)&gt;COUNT(C849:F849)+COUNTIFS(C849:F849,"Reviewed N/A"),AND(COUNT(C849:F849)&gt;0,OR(MIN(C849:F849)&lt;36526,MAX(C849:F849)&gt;109574))),"Check date format",IF(AND(COUNTIFS(C849:F849,"Reviewed N/A")&gt;0,I849=""),"Add N/A reason; ","")&amp;IF(COUNT(C849:F849)=0,IF(COUNTIFS(C849:F849,"Reviewed N/A")=4,"No applicable dates recorded","Add dates"),IF(COUNT(C849:F849)+COUNTIFS(C849:F849,"Reviewed N/A")&lt;4,"Missing dates; ","")&amp;IF(MIN(C849:F849)&lt;TODAY(),"Overdue: ",IF(MIN(C849:F849)=TODAY(),"Due today: ",IF(MIN(C849:F849)&lt;=TODAY()+30,"Due within 30 days: ","Next: ")))&amp;INDEX($C$8:$F$8,1,MATCH(MIN(C849:F849),C849:F849,0))&amp;" "&amp;TEXT(MIN(C849:F849),"dd mmm yyyy")))))</x:f>
      </x:c>
      <x:c r="I849" s="52"/>
      <x:c r="J849" t="str">
        <x:f>IF(AND(A849&lt;&gt;"",COUNTIFS(C849,"&gt;=36526",C849,"&lt;"&amp;TODAY())+COUNTIFS(D849,"&gt;=36526",D849,"&lt;"&amp;TODAY())+COUNTIFS(E849,"&gt;=36526",E849,"&lt;"&amp;TODAY())+COUNTIFS(F849,"&gt;=36526",F849,"&lt;"&amp;TODAY())&gt;0),O849,"")</x:f>
      </x:c>
      <x:c r="K849" t="str">
        <x:f>IF(AND(A849&lt;&gt;"",COUNTIFS(C849,"&gt;=36526",C849,TODAY())+COUNTIFS(D849,"&gt;=36526",D849,TODAY())+COUNTIFS(E849,"&gt;=36526",E849,TODAY())+COUNTIFS(F849,"&gt;=36526",F849,TODAY())&gt;0),P849,"")</x:f>
      </x:c>
      <x:c r="L849" t="str">
        <x:f>IF(AND(A849&lt;&gt;"",COUNTIFS(C849,"&gt;"&amp;TODAY(),C849,"&lt;="&amp;TODAY()+30)+COUNTIFS(D849,"&gt;"&amp;TODAY(),D849,"&lt;="&amp;TODAY()+30)+COUNTIFS(E849,"&gt;"&amp;TODAY(),E849,"&lt;="&amp;TODAY()+30)+COUNTIFS(F849,"&gt;"&amp;TODAY(),F849,"&lt;="&amp;TODAY()+30)&gt;0),Q849,"")</x:f>
      </x:c>
      <x:c r="M849" t="str">
        <x:f>IF(OR(LEFT(H849,15)="Missing dates; ",LEFT(H849,16)="Add N/A reason; ",H849="Add dates",H849="Add registration",H849="Check date format"),R849,"")</x:f>
      </x:c>
      <x:c r="N849" t="str">
        <x:f>IF(COUNTIFS(C849:F849,"Reviewed N/A")&gt;0,S849,"")</x:f>
      </x:c>
      <x:c r="O849" t="n">
        <x:f>O848+IF(AND(A849&lt;&gt;"",COUNTIFS(C849,"&gt;=36526",C849,"&lt;"&amp;TODAY())+COUNTIFS(D849,"&gt;=36526",D849,"&lt;"&amp;TODAY())+COUNTIFS(E849,"&gt;=36526",E849,"&lt;"&amp;TODAY())+COUNTIFS(F849,"&gt;=36526",F849,"&lt;"&amp;TODAY())&gt;0),1,0)</x:f>
        <x:v>0</x:v>
      </x:c>
      <x:c r="P849" t="n">
        <x:f>P848+IF(AND(A849&lt;&gt;"",COUNTIFS(C849,"&gt;=36526",C849,TODAY())+COUNTIFS(D849,"&gt;=36526",D849,TODAY())+COUNTIFS(E849,"&gt;=36526",E849,TODAY())+COUNTIFS(F849,"&gt;=36526",F849,TODAY())&gt;0),1,0)</x:f>
        <x:v>0</x:v>
      </x:c>
      <x:c r="Q849" t="n">
        <x:f>Q848+IF(AND(A849&lt;&gt;"",COUNTIFS(C849,"&gt;"&amp;TODAY(),C849,"&lt;="&amp;TODAY()+30)+COUNTIFS(D849,"&gt;"&amp;TODAY(),D849,"&lt;="&amp;TODAY()+30)+COUNTIFS(E849,"&gt;"&amp;TODAY(),E849,"&lt;="&amp;TODAY()+30)+COUNTIFS(F849,"&gt;"&amp;TODAY(),F849,"&lt;="&amp;TODAY()+30)&gt;0),1,0)</x:f>
        <x:v>0</x:v>
      </x:c>
      <x:c r="R849" t="n">
        <x:f>R848+IF(OR(LEFT(H849,15)="Missing dates; ",LEFT(H849,16)="Add N/A reason; ",H849="Add dates",H849="Add registration",H849="Check date format"),1,0)</x:f>
        <x:v>0</x:v>
      </x:c>
      <x:c r="S849" t="n">
        <x:f>S848+IF(COUNTIFS(C849:F849,"Reviewed N/A")&gt;0,1,0)</x:f>
        <x:v>0</x:v>
      </x:c>
    </x:row>
    <x:row r="850" ht="48" customHeight="1">
      <x:c r="A850" s="52"/>
      <x:c r="B850" s="52"/>
      <x:c r="C850" s="53"/>
      <x:c r="D850" s="53"/>
      <x:c r="E850" s="53"/>
      <x:c r="F850" s="53"/>
      <x:c r="G850" s="52"/>
      <x:c r="H850" s="21" t="str">
        <x:f>IF(COUNTA(A850:G850,I850)=0,"",IF(A850="","Add registration",IF(OR(COUNTA(C850:F850)&gt;COUNT(C850:F850)+COUNTIFS(C850:F850,"Reviewed N/A"),AND(COUNT(C850:F850)&gt;0,OR(MIN(C850:F850)&lt;36526,MAX(C850:F850)&gt;109574))),"Check date format",IF(AND(COUNTIFS(C850:F850,"Reviewed N/A")&gt;0,I850=""),"Add N/A reason; ","")&amp;IF(COUNT(C850:F850)=0,IF(COUNTIFS(C850:F850,"Reviewed N/A")=4,"No applicable dates recorded","Add dates"),IF(COUNT(C850:F850)+COUNTIFS(C850:F850,"Reviewed N/A")&lt;4,"Missing dates; ","")&amp;IF(MIN(C850:F850)&lt;TODAY(),"Overdue: ",IF(MIN(C850:F850)=TODAY(),"Due today: ",IF(MIN(C850:F850)&lt;=TODAY()+30,"Due within 30 days: ","Next: ")))&amp;INDEX($C$8:$F$8,1,MATCH(MIN(C850:F850),C850:F850,0))&amp;" "&amp;TEXT(MIN(C850:F850),"dd mmm yyyy")))))</x:f>
      </x:c>
      <x:c r="I850" s="52"/>
      <x:c r="J850" t="str">
        <x:f>IF(AND(A850&lt;&gt;"",COUNTIFS(C850,"&gt;=36526",C850,"&lt;"&amp;TODAY())+COUNTIFS(D850,"&gt;=36526",D850,"&lt;"&amp;TODAY())+COUNTIFS(E850,"&gt;=36526",E850,"&lt;"&amp;TODAY())+COUNTIFS(F850,"&gt;=36526",F850,"&lt;"&amp;TODAY())&gt;0),O850,"")</x:f>
      </x:c>
      <x:c r="K850" t="str">
        <x:f>IF(AND(A850&lt;&gt;"",COUNTIFS(C850,"&gt;=36526",C850,TODAY())+COUNTIFS(D850,"&gt;=36526",D850,TODAY())+COUNTIFS(E850,"&gt;=36526",E850,TODAY())+COUNTIFS(F850,"&gt;=36526",F850,TODAY())&gt;0),P850,"")</x:f>
      </x:c>
      <x:c r="L850" t="str">
        <x:f>IF(AND(A850&lt;&gt;"",COUNTIFS(C850,"&gt;"&amp;TODAY(),C850,"&lt;="&amp;TODAY()+30)+COUNTIFS(D850,"&gt;"&amp;TODAY(),D850,"&lt;="&amp;TODAY()+30)+COUNTIFS(E850,"&gt;"&amp;TODAY(),E850,"&lt;="&amp;TODAY()+30)+COUNTIFS(F850,"&gt;"&amp;TODAY(),F850,"&lt;="&amp;TODAY()+30)&gt;0),Q850,"")</x:f>
      </x:c>
      <x:c r="M850" t="str">
        <x:f>IF(OR(LEFT(H850,15)="Missing dates; ",LEFT(H850,16)="Add N/A reason; ",H850="Add dates",H850="Add registration",H850="Check date format"),R850,"")</x:f>
      </x:c>
      <x:c r="N850" t="str">
        <x:f>IF(COUNTIFS(C850:F850,"Reviewed N/A")&gt;0,S850,"")</x:f>
      </x:c>
      <x:c r="O850" t="n">
        <x:f>O849+IF(AND(A850&lt;&gt;"",COUNTIFS(C850,"&gt;=36526",C850,"&lt;"&amp;TODAY())+COUNTIFS(D850,"&gt;=36526",D850,"&lt;"&amp;TODAY())+COUNTIFS(E850,"&gt;=36526",E850,"&lt;"&amp;TODAY())+COUNTIFS(F850,"&gt;=36526",F850,"&lt;"&amp;TODAY())&gt;0),1,0)</x:f>
        <x:v>0</x:v>
      </x:c>
      <x:c r="P850" t="n">
        <x:f>P849+IF(AND(A850&lt;&gt;"",COUNTIFS(C850,"&gt;=36526",C850,TODAY())+COUNTIFS(D850,"&gt;=36526",D850,TODAY())+COUNTIFS(E850,"&gt;=36526",E850,TODAY())+COUNTIFS(F850,"&gt;=36526",F850,TODAY())&gt;0),1,0)</x:f>
        <x:v>0</x:v>
      </x:c>
      <x:c r="Q850" t="n">
        <x:f>Q849+IF(AND(A850&lt;&gt;"",COUNTIFS(C850,"&gt;"&amp;TODAY(),C850,"&lt;="&amp;TODAY()+30)+COUNTIFS(D850,"&gt;"&amp;TODAY(),D850,"&lt;="&amp;TODAY()+30)+COUNTIFS(E850,"&gt;"&amp;TODAY(),E850,"&lt;="&amp;TODAY()+30)+COUNTIFS(F850,"&gt;"&amp;TODAY(),F850,"&lt;="&amp;TODAY()+30)&gt;0),1,0)</x:f>
        <x:v>0</x:v>
      </x:c>
      <x:c r="R850" t="n">
        <x:f>R849+IF(OR(LEFT(H850,15)="Missing dates; ",LEFT(H850,16)="Add N/A reason; ",H850="Add dates",H850="Add registration",H850="Check date format"),1,0)</x:f>
        <x:v>0</x:v>
      </x:c>
      <x:c r="S850" t="n">
        <x:f>S849+IF(COUNTIFS(C850:F850,"Reviewed N/A")&gt;0,1,0)</x:f>
        <x:v>0</x:v>
      </x:c>
    </x:row>
    <x:row r="851" ht="48" customHeight="1">
      <x:c r="A851" s="52"/>
      <x:c r="B851" s="52"/>
      <x:c r="C851" s="53"/>
      <x:c r="D851" s="53"/>
      <x:c r="E851" s="53"/>
      <x:c r="F851" s="53"/>
      <x:c r="G851" s="52"/>
      <x:c r="H851" s="21" t="str">
        <x:f>IF(COUNTA(A851:G851,I851)=0,"",IF(A851="","Add registration",IF(OR(COUNTA(C851:F851)&gt;COUNT(C851:F851)+COUNTIFS(C851:F851,"Reviewed N/A"),AND(COUNT(C851:F851)&gt;0,OR(MIN(C851:F851)&lt;36526,MAX(C851:F851)&gt;109574))),"Check date format",IF(AND(COUNTIFS(C851:F851,"Reviewed N/A")&gt;0,I851=""),"Add N/A reason; ","")&amp;IF(COUNT(C851:F851)=0,IF(COUNTIFS(C851:F851,"Reviewed N/A")=4,"No applicable dates recorded","Add dates"),IF(COUNT(C851:F851)+COUNTIFS(C851:F851,"Reviewed N/A")&lt;4,"Missing dates; ","")&amp;IF(MIN(C851:F851)&lt;TODAY(),"Overdue: ",IF(MIN(C851:F851)=TODAY(),"Due today: ",IF(MIN(C851:F851)&lt;=TODAY()+30,"Due within 30 days: ","Next: ")))&amp;INDEX($C$8:$F$8,1,MATCH(MIN(C851:F851),C851:F851,0))&amp;" "&amp;TEXT(MIN(C851:F851),"dd mmm yyyy")))))</x:f>
      </x:c>
      <x:c r="I851" s="52"/>
      <x:c r="J851" t="str">
        <x:f>IF(AND(A851&lt;&gt;"",COUNTIFS(C851,"&gt;=36526",C851,"&lt;"&amp;TODAY())+COUNTIFS(D851,"&gt;=36526",D851,"&lt;"&amp;TODAY())+COUNTIFS(E851,"&gt;=36526",E851,"&lt;"&amp;TODAY())+COUNTIFS(F851,"&gt;=36526",F851,"&lt;"&amp;TODAY())&gt;0),O851,"")</x:f>
      </x:c>
      <x:c r="K851" t="str">
        <x:f>IF(AND(A851&lt;&gt;"",COUNTIFS(C851,"&gt;=36526",C851,TODAY())+COUNTIFS(D851,"&gt;=36526",D851,TODAY())+COUNTIFS(E851,"&gt;=36526",E851,TODAY())+COUNTIFS(F851,"&gt;=36526",F851,TODAY())&gt;0),P851,"")</x:f>
      </x:c>
      <x:c r="L851" t="str">
        <x:f>IF(AND(A851&lt;&gt;"",COUNTIFS(C851,"&gt;"&amp;TODAY(),C851,"&lt;="&amp;TODAY()+30)+COUNTIFS(D851,"&gt;"&amp;TODAY(),D851,"&lt;="&amp;TODAY()+30)+COUNTIFS(E851,"&gt;"&amp;TODAY(),E851,"&lt;="&amp;TODAY()+30)+COUNTIFS(F851,"&gt;"&amp;TODAY(),F851,"&lt;="&amp;TODAY()+30)&gt;0),Q851,"")</x:f>
      </x:c>
      <x:c r="M851" t="str">
        <x:f>IF(OR(LEFT(H851,15)="Missing dates; ",LEFT(H851,16)="Add N/A reason; ",H851="Add dates",H851="Add registration",H851="Check date format"),R851,"")</x:f>
      </x:c>
      <x:c r="N851" t="str">
        <x:f>IF(COUNTIFS(C851:F851,"Reviewed N/A")&gt;0,S851,"")</x:f>
      </x:c>
      <x:c r="O851" t="n">
        <x:f>O850+IF(AND(A851&lt;&gt;"",COUNTIFS(C851,"&gt;=36526",C851,"&lt;"&amp;TODAY())+COUNTIFS(D851,"&gt;=36526",D851,"&lt;"&amp;TODAY())+COUNTIFS(E851,"&gt;=36526",E851,"&lt;"&amp;TODAY())+COUNTIFS(F851,"&gt;=36526",F851,"&lt;"&amp;TODAY())&gt;0),1,0)</x:f>
        <x:v>0</x:v>
      </x:c>
      <x:c r="P851" t="n">
        <x:f>P850+IF(AND(A851&lt;&gt;"",COUNTIFS(C851,"&gt;=36526",C851,TODAY())+COUNTIFS(D851,"&gt;=36526",D851,TODAY())+COUNTIFS(E851,"&gt;=36526",E851,TODAY())+COUNTIFS(F851,"&gt;=36526",F851,TODAY())&gt;0),1,0)</x:f>
        <x:v>0</x:v>
      </x:c>
      <x:c r="Q851" t="n">
        <x:f>Q850+IF(AND(A851&lt;&gt;"",COUNTIFS(C851,"&gt;"&amp;TODAY(),C851,"&lt;="&amp;TODAY()+30)+COUNTIFS(D851,"&gt;"&amp;TODAY(),D851,"&lt;="&amp;TODAY()+30)+COUNTIFS(E851,"&gt;"&amp;TODAY(),E851,"&lt;="&amp;TODAY()+30)+COUNTIFS(F851,"&gt;"&amp;TODAY(),F851,"&lt;="&amp;TODAY()+30)&gt;0),1,0)</x:f>
        <x:v>0</x:v>
      </x:c>
      <x:c r="R851" t="n">
        <x:f>R850+IF(OR(LEFT(H851,15)="Missing dates; ",LEFT(H851,16)="Add N/A reason; ",H851="Add dates",H851="Add registration",H851="Check date format"),1,0)</x:f>
        <x:v>0</x:v>
      </x:c>
      <x:c r="S851" t="n">
        <x:f>S850+IF(COUNTIFS(C851:F851,"Reviewed N/A")&gt;0,1,0)</x:f>
        <x:v>0</x:v>
      </x:c>
    </x:row>
    <x:row r="852" ht="48" customHeight="1">
      <x:c r="A852" s="52"/>
      <x:c r="B852" s="52"/>
      <x:c r="C852" s="53"/>
      <x:c r="D852" s="53"/>
      <x:c r="E852" s="53"/>
      <x:c r="F852" s="53"/>
      <x:c r="G852" s="52"/>
      <x:c r="H852" s="21" t="str">
        <x:f>IF(COUNTA(A852:G852,I852)=0,"",IF(A852="","Add registration",IF(OR(COUNTA(C852:F852)&gt;COUNT(C852:F852)+COUNTIFS(C852:F852,"Reviewed N/A"),AND(COUNT(C852:F852)&gt;0,OR(MIN(C852:F852)&lt;36526,MAX(C852:F852)&gt;109574))),"Check date format",IF(AND(COUNTIFS(C852:F852,"Reviewed N/A")&gt;0,I852=""),"Add N/A reason; ","")&amp;IF(COUNT(C852:F852)=0,IF(COUNTIFS(C852:F852,"Reviewed N/A")=4,"No applicable dates recorded","Add dates"),IF(COUNT(C852:F852)+COUNTIFS(C852:F852,"Reviewed N/A")&lt;4,"Missing dates; ","")&amp;IF(MIN(C852:F852)&lt;TODAY(),"Overdue: ",IF(MIN(C852:F852)=TODAY(),"Due today: ",IF(MIN(C852:F852)&lt;=TODAY()+30,"Due within 30 days: ","Next: ")))&amp;INDEX($C$8:$F$8,1,MATCH(MIN(C852:F852),C852:F852,0))&amp;" "&amp;TEXT(MIN(C852:F852),"dd mmm yyyy")))))</x:f>
      </x:c>
      <x:c r="I852" s="52"/>
      <x:c r="J852" t="str">
        <x:f>IF(AND(A852&lt;&gt;"",COUNTIFS(C852,"&gt;=36526",C852,"&lt;"&amp;TODAY())+COUNTIFS(D852,"&gt;=36526",D852,"&lt;"&amp;TODAY())+COUNTIFS(E852,"&gt;=36526",E852,"&lt;"&amp;TODAY())+COUNTIFS(F852,"&gt;=36526",F852,"&lt;"&amp;TODAY())&gt;0),O852,"")</x:f>
      </x:c>
      <x:c r="K852" t="str">
        <x:f>IF(AND(A852&lt;&gt;"",COUNTIFS(C852,"&gt;=36526",C852,TODAY())+COUNTIFS(D852,"&gt;=36526",D852,TODAY())+COUNTIFS(E852,"&gt;=36526",E852,TODAY())+COUNTIFS(F852,"&gt;=36526",F852,TODAY())&gt;0),P852,"")</x:f>
      </x:c>
      <x:c r="L852" t="str">
        <x:f>IF(AND(A852&lt;&gt;"",COUNTIFS(C852,"&gt;"&amp;TODAY(),C852,"&lt;="&amp;TODAY()+30)+COUNTIFS(D852,"&gt;"&amp;TODAY(),D852,"&lt;="&amp;TODAY()+30)+COUNTIFS(E852,"&gt;"&amp;TODAY(),E852,"&lt;="&amp;TODAY()+30)+COUNTIFS(F852,"&gt;"&amp;TODAY(),F852,"&lt;="&amp;TODAY()+30)&gt;0),Q852,"")</x:f>
      </x:c>
      <x:c r="M852" t="str">
        <x:f>IF(OR(LEFT(H852,15)="Missing dates; ",LEFT(H852,16)="Add N/A reason; ",H852="Add dates",H852="Add registration",H852="Check date format"),R852,"")</x:f>
      </x:c>
      <x:c r="N852" t="str">
        <x:f>IF(COUNTIFS(C852:F852,"Reviewed N/A")&gt;0,S852,"")</x:f>
      </x:c>
      <x:c r="O852" t="n">
        <x:f>O851+IF(AND(A852&lt;&gt;"",COUNTIFS(C852,"&gt;=36526",C852,"&lt;"&amp;TODAY())+COUNTIFS(D852,"&gt;=36526",D852,"&lt;"&amp;TODAY())+COUNTIFS(E852,"&gt;=36526",E852,"&lt;"&amp;TODAY())+COUNTIFS(F852,"&gt;=36526",F852,"&lt;"&amp;TODAY())&gt;0),1,0)</x:f>
        <x:v>0</x:v>
      </x:c>
      <x:c r="P852" t="n">
        <x:f>P851+IF(AND(A852&lt;&gt;"",COUNTIFS(C852,"&gt;=36526",C852,TODAY())+COUNTIFS(D852,"&gt;=36526",D852,TODAY())+COUNTIFS(E852,"&gt;=36526",E852,TODAY())+COUNTIFS(F852,"&gt;=36526",F852,TODAY())&gt;0),1,0)</x:f>
        <x:v>0</x:v>
      </x:c>
      <x:c r="Q852" t="n">
        <x:f>Q851+IF(AND(A852&lt;&gt;"",COUNTIFS(C852,"&gt;"&amp;TODAY(),C852,"&lt;="&amp;TODAY()+30)+COUNTIFS(D852,"&gt;"&amp;TODAY(),D852,"&lt;="&amp;TODAY()+30)+COUNTIFS(E852,"&gt;"&amp;TODAY(),E852,"&lt;="&amp;TODAY()+30)+COUNTIFS(F852,"&gt;"&amp;TODAY(),F852,"&lt;="&amp;TODAY()+30)&gt;0),1,0)</x:f>
        <x:v>0</x:v>
      </x:c>
      <x:c r="R852" t="n">
        <x:f>R851+IF(OR(LEFT(H852,15)="Missing dates; ",LEFT(H852,16)="Add N/A reason; ",H852="Add dates",H852="Add registration",H852="Check date format"),1,0)</x:f>
        <x:v>0</x:v>
      </x:c>
      <x:c r="S852" t="n">
        <x:f>S851+IF(COUNTIFS(C852:F852,"Reviewed N/A")&gt;0,1,0)</x:f>
        <x:v>0</x:v>
      </x:c>
    </x:row>
    <x:row r="853" ht="48" customHeight="1">
      <x:c r="A853" s="52"/>
      <x:c r="B853" s="52"/>
      <x:c r="C853" s="53"/>
      <x:c r="D853" s="53"/>
      <x:c r="E853" s="53"/>
      <x:c r="F853" s="53"/>
      <x:c r="G853" s="52"/>
      <x:c r="H853" s="21" t="str">
        <x:f>IF(COUNTA(A853:G853,I853)=0,"",IF(A853="","Add registration",IF(OR(COUNTA(C853:F853)&gt;COUNT(C853:F853)+COUNTIFS(C853:F853,"Reviewed N/A"),AND(COUNT(C853:F853)&gt;0,OR(MIN(C853:F853)&lt;36526,MAX(C853:F853)&gt;109574))),"Check date format",IF(AND(COUNTIFS(C853:F853,"Reviewed N/A")&gt;0,I853=""),"Add N/A reason; ","")&amp;IF(COUNT(C853:F853)=0,IF(COUNTIFS(C853:F853,"Reviewed N/A")=4,"No applicable dates recorded","Add dates"),IF(COUNT(C853:F853)+COUNTIFS(C853:F853,"Reviewed N/A")&lt;4,"Missing dates; ","")&amp;IF(MIN(C853:F853)&lt;TODAY(),"Overdue: ",IF(MIN(C853:F853)=TODAY(),"Due today: ",IF(MIN(C853:F853)&lt;=TODAY()+30,"Due within 30 days: ","Next: ")))&amp;INDEX($C$8:$F$8,1,MATCH(MIN(C853:F853),C853:F853,0))&amp;" "&amp;TEXT(MIN(C853:F853),"dd mmm yyyy")))))</x:f>
      </x:c>
      <x:c r="I853" s="52"/>
      <x:c r="J853" t="str">
        <x:f>IF(AND(A853&lt;&gt;"",COUNTIFS(C853,"&gt;=36526",C853,"&lt;"&amp;TODAY())+COUNTIFS(D853,"&gt;=36526",D853,"&lt;"&amp;TODAY())+COUNTIFS(E853,"&gt;=36526",E853,"&lt;"&amp;TODAY())+COUNTIFS(F853,"&gt;=36526",F853,"&lt;"&amp;TODAY())&gt;0),O853,"")</x:f>
      </x:c>
      <x:c r="K853" t="str">
        <x:f>IF(AND(A853&lt;&gt;"",COUNTIFS(C853,"&gt;=36526",C853,TODAY())+COUNTIFS(D853,"&gt;=36526",D853,TODAY())+COUNTIFS(E853,"&gt;=36526",E853,TODAY())+COUNTIFS(F853,"&gt;=36526",F853,TODAY())&gt;0),P853,"")</x:f>
      </x:c>
      <x:c r="L853" t="str">
        <x:f>IF(AND(A853&lt;&gt;"",COUNTIFS(C853,"&gt;"&amp;TODAY(),C853,"&lt;="&amp;TODAY()+30)+COUNTIFS(D853,"&gt;"&amp;TODAY(),D853,"&lt;="&amp;TODAY()+30)+COUNTIFS(E853,"&gt;"&amp;TODAY(),E853,"&lt;="&amp;TODAY()+30)+COUNTIFS(F853,"&gt;"&amp;TODAY(),F853,"&lt;="&amp;TODAY()+30)&gt;0),Q853,"")</x:f>
      </x:c>
      <x:c r="M853" t="str">
        <x:f>IF(OR(LEFT(H853,15)="Missing dates; ",LEFT(H853,16)="Add N/A reason; ",H853="Add dates",H853="Add registration",H853="Check date format"),R853,"")</x:f>
      </x:c>
      <x:c r="N853" t="str">
        <x:f>IF(COUNTIFS(C853:F853,"Reviewed N/A")&gt;0,S853,"")</x:f>
      </x:c>
      <x:c r="O853" t="n">
        <x:f>O852+IF(AND(A853&lt;&gt;"",COUNTIFS(C853,"&gt;=36526",C853,"&lt;"&amp;TODAY())+COUNTIFS(D853,"&gt;=36526",D853,"&lt;"&amp;TODAY())+COUNTIFS(E853,"&gt;=36526",E853,"&lt;"&amp;TODAY())+COUNTIFS(F853,"&gt;=36526",F853,"&lt;"&amp;TODAY())&gt;0),1,0)</x:f>
        <x:v>0</x:v>
      </x:c>
      <x:c r="P853" t="n">
        <x:f>P852+IF(AND(A853&lt;&gt;"",COUNTIFS(C853,"&gt;=36526",C853,TODAY())+COUNTIFS(D853,"&gt;=36526",D853,TODAY())+COUNTIFS(E853,"&gt;=36526",E853,TODAY())+COUNTIFS(F853,"&gt;=36526",F853,TODAY())&gt;0),1,0)</x:f>
        <x:v>0</x:v>
      </x:c>
      <x:c r="Q853" t="n">
        <x:f>Q852+IF(AND(A853&lt;&gt;"",COUNTIFS(C853,"&gt;"&amp;TODAY(),C853,"&lt;="&amp;TODAY()+30)+COUNTIFS(D853,"&gt;"&amp;TODAY(),D853,"&lt;="&amp;TODAY()+30)+COUNTIFS(E853,"&gt;"&amp;TODAY(),E853,"&lt;="&amp;TODAY()+30)+COUNTIFS(F853,"&gt;"&amp;TODAY(),F853,"&lt;="&amp;TODAY()+30)&gt;0),1,0)</x:f>
        <x:v>0</x:v>
      </x:c>
      <x:c r="R853" t="n">
        <x:f>R852+IF(OR(LEFT(H853,15)="Missing dates; ",LEFT(H853,16)="Add N/A reason; ",H853="Add dates",H853="Add registration",H853="Check date format"),1,0)</x:f>
        <x:v>0</x:v>
      </x:c>
      <x:c r="S853" t="n">
        <x:f>S852+IF(COUNTIFS(C853:F853,"Reviewed N/A")&gt;0,1,0)</x:f>
        <x:v>0</x:v>
      </x:c>
    </x:row>
    <x:row r="854" ht="48" customHeight="1">
      <x:c r="A854" s="52"/>
      <x:c r="B854" s="52"/>
      <x:c r="C854" s="53"/>
      <x:c r="D854" s="53"/>
      <x:c r="E854" s="53"/>
      <x:c r="F854" s="53"/>
      <x:c r="G854" s="52"/>
      <x:c r="H854" s="21" t="str">
        <x:f>IF(COUNTA(A854:G854,I854)=0,"",IF(A854="","Add registration",IF(OR(COUNTA(C854:F854)&gt;COUNT(C854:F854)+COUNTIFS(C854:F854,"Reviewed N/A"),AND(COUNT(C854:F854)&gt;0,OR(MIN(C854:F854)&lt;36526,MAX(C854:F854)&gt;109574))),"Check date format",IF(AND(COUNTIFS(C854:F854,"Reviewed N/A")&gt;0,I854=""),"Add N/A reason; ","")&amp;IF(COUNT(C854:F854)=0,IF(COUNTIFS(C854:F854,"Reviewed N/A")=4,"No applicable dates recorded","Add dates"),IF(COUNT(C854:F854)+COUNTIFS(C854:F854,"Reviewed N/A")&lt;4,"Missing dates; ","")&amp;IF(MIN(C854:F854)&lt;TODAY(),"Overdue: ",IF(MIN(C854:F854)=TODAY(),"Due today: ",IF(MIN(C854:F854)&lt;=TODAY()+30,"Due within 30 days: ","Next: ")))&amp;INDEX($C$8:$F$8,1,MATCH(MIN(C854:F854),C854:F854,0))&amp;" "&amp;TEXT(MIN(C854:F854),"dd mmm yyyy")))))</x:f>
      </x:c>
      <x:c r="I854" s="52"/>
      <x:c r="J854" t="str">
        <x:f>IF(AND(A854&lt;&gt;"",COUNTIFS(C854,"&gt;=36526",C854,"&lt;"&amp;TODAY())+COUNTIFS(D854,"&gt;=36526",D854,"&lt;"&amp;TODAY())+COUNTIFS(E854,"&gt;=36526",E854,"&lt;"&amp;TODAY())+COUNTIFS(F854,"&gt;=36526",F854,"&lt;"&amp;TODAY())&gt;0),O854,"")</x:f>
      </x:c>
      <x:c r="K854" t="str">
        <x:f>IF(AND(A854&lt;&gt;"",COUNTIFS(C854,"&gt;=36526",C854,TODAY())+COUNTIFS(D854,"&gt;=36526",D854,TODAY())+COUNTIFS(E854,"&gt;=36526",E854,TODAY())+COUNTIFS(F854,"&gt;=36526",F854,TODAY())&gt;0),P854,"")</x:f>
      </x:c>
      <x:c r="L854" t="str">
        <x:f>IF(AND(A854&lt;&gt;"",COUNTIFS(C854,"&gt;"&amp;TODAY(),C854,"&lt;="&amp;TODAY()+30)+COUNTIFS(D854,"&gt;"&amp;TODAY(),D854,"&lt;="&amp;TODAY()+30)+COUNTIFS(E854,"&gt;"&amp;TODAY(),E854,"&lt;="&amp;TODAY()+30)+COUNTIFS(F854,"&gt;"&amp;TODAY(),F854,"&lt;="&amp;TODAY()+30)&gt;0),Q854,"")</x:f>
      </x:c>
      <x:c r="M854" t="str">
        <x:f>IF(OR(LEFT(H854,15)="Missing dates; ",LEFT(H854,16)="Add N/A reason; ",H854="Add dates",H854="Add registration",H854="Check date format"),R854,"")</x:f>
      </x:c>
      <x:c r="N854" t="str">
        <x:f>IF(COUNTIFS(C854:F854,"Reviewed N/A")&gt;0,S854,"")</x:f>
      </x:c>
      <x:c r="O854" t="n">
        <x:f>O853+IF(AND(A854&lt;&gt;"",COUNTIFS(C854,"&gt;=36526",C854,"&lt;"&amp;TODAY())+COUNTIFS(D854,"&gt;=36526",D854,"&lt;"&amp;TODAY())+COUNTIFS(E854,"&gt;=36526",E854,"&lt;"&amp;TODAY())+COUNTIFS(F854,"&gt;=36526",F854,"&lt;"&amp;TODAY())&gt;0),1,0)</x:f>
        <x:v>0</x:v>
      </x:c>
      <x:c r="P854" t="n">
        <x:f>P853+IF(AND(A854&lt;&gt;"",COUNTIFS(C854,"&gt;=36526",C854,TODAY())+COUNTIFS(D854,"&gt;=36526",D854,TODAY())+COUNTIFS(E854,"&gt;=36526",E854,TODAY())+COUNTIFS(F854,"&gt;=36526",F854,TODAY())&gt;0),1,0)</x:f>
        <x:v>0</x:v>
      </x:c>
      <x:c r="Q854" t="n">
        <x:f>Q853+IF(AND(A854&lt;&gt;"",COUNTIFS(C854,"&gt;"&amp;TODAY(),C854,"&lt;="&amp;TODAY()+30)+COUNTIFS(D854,"&gt;"&amp;TODAY(),D854,"&lt;="&amp;TODAY()+30)+COUNTIFS(E854,"&gt;"&amp;TODAY(),E854,"&lt;="&amp;TODAY()+30)+COUNTIFS(F854,"&gt;"&amp;TODAY(),F854,"&lt;="&amp;TODAY()+30)&gt;0),1,0)</x:f>
        <x:v>0</x:v>
      </x:c>
      <x:c r="R854" t="n">
        <x:f>R853+IF(OR(LEFT(H854,15)="Missing dates; ",LEFT(H854,16)="Add N/A reason; ",H854="Add dates",H854="Add registration",H854="Check date format"),1,0)</x:f>
        <x:v>0</x:v>
      </x:c>
      <x:c r="S854" t="n">
        <x:f>S853+IF(COUNTIFS(C854:F854,"Reviewed N/A")&gt;0,1,0)</x:f>
        <x:v>0</x:v>
      </x:c>
    </x:row>
    <x:row r="855" ht="48" customHeight="1">
      <x:c r="A855" s="52"/>
      <x:c r="B855" s="52"/>
      <x:c r="C855" s="53"/>
      <x:c r="D855" s="53"/>
      <x:c r="E855" s="53"/>
      <x:c r="F855" s="53"/>
      <x:c r="G855" s="52"/>
      <x:c r="H855" s="21" t="str">
        <x:f>IF(COUNTA(A855:G855,I855)=0,"",IF(A855="","Add registration",IF(OR(COUNTA(C855:F855)&gt;COUNT(C855:F855)+COUNTIFS(C855:F855,"Reviewed N/A"),AND(COUNT(C855:F855)&gt;0,OR(MIN(C855:F855)&lt;36526,MAX(C855:F855)&gt;109574))),"Check date format",IF(AND(COUNTIFS(C855:F855,"Reviewed N/A")&gt;0,I855=""),"Add N/A reason; ","")&amp;IF(COUNT(C855:F855)=0,IF(COUNTIFS(C855:F855,"Reviewed N/A")=4,"No applicable dates recorded","Add dates"),IF(COUNT(C855:F855)+COUNTIFS(C855:F855,"Reviewed N/A")&lt;4,"Missing dates; ","")&amp;IF(MIN(C855:F855)&lt;TODAY(),"Overdue: ",IF(MIN(C855:F855)=TODAY(),"Due today: ",IF(MIN(C855:F855)&lt;=TODAY()+30,"Due within 30 days: ","Next: ")))&amp;INDEX($C$8:$F$8,1,MATCH(MIN(C855:F855),C855:F855,0))&amp;" "&amp;TEXT(MIN(C855:F855),"dd mmm yyyy")))))</x:f>
      </x:c>
      <x:c r="I855" s="52"/>
      <x:c r="J855" t="str">
        <x:f>IF(AND(A855&lt;&gt;"",COUNTIFS(C855,"&gt;=36526",C855,"&lt;"&amp;TODAY())+COUNTIFS(D855,"&gt;=36526",D855,"&lt;"&amp;TODAY())+COUNTIFS(E855,"&gt;=36526",E855,"&lt;"&amp;TODAY())+COUNTIFS(F855,"&gt;=36526",F855,"&lt;"&amp;TODAY())&gt;0),O855,"")</x:f>
      </x:c>
      <x:c r="K855" t="str">
        <x:f>IF(AND(A855&lt;&gt;"",COUNTIFS(C855,"&gt;=36526",C855,TODAY())+COUNTIFS(D855,"&gt;=36526",D855,TODAY())+COUNTIFS(E855,"&gt;=36526",E855,TODAY())+COUNTIFS(F855,"&gt;=36526",F855,TODAY())&gt;0),P855,"")</x:f>
      </x:c>
      <x:c r="L855" t="str">
        <x:f>IF(AND(A855&lt;&gt;"",COUNTIFS(C855,"&gt;"&amp;TODAY(),C855,"&lt;="&amp;TODAY()+30)+COUNTIFS(D855,"&gt;"&amp;TODAY(),D855,"&lt;="&amp;TODAY()+30)+COUNTIFS(E855,"&gt;"&amp;TODAY(),E855,"&lt;="&amp;TODAY()+30)+COUNTIFS(F855,"&gt;"&amp;TODAY(),F855,"&lt;="&amp;TODAY()+30)&gt;0),Q855,"")</x:f>
      </x:c>
      <x:c r="M855" t="str">
        <x:f>IF(OR(LEFT(H855,15)="Missing dates; ",LEFT(H855,16)="Add N/A reason; ",H855="Add dates",H855="Add registration",H855="Check date format"),R855,"")</x:f>
      </x:c>
      <x:c r="N855" t="str">
        <x:f>IF(COUNTIFS(C855:F855,"Reviewed N/A")&gt;0,S855,"")</x:f>
      </x:c>
      <x:c r="O855" t="n">
        <x:f>O854+IF(AND(A855&lt;&gt;"",COUNTIFS(C855,"&gt;=36526",C855,"&lt;"&amp;TODAY())+COUNTIFS(D855,"&gt;=36526",D855,"&lt;"&amp;TODAY())+COUNTIFS(E855,"&gt;=36526",E855,"&lt;"&amp;TODAY())+COUNTIFS(F855,"&gt;=36526",F855,"&lt;"&amp;TODAY())&gt;0),1,0)</x:f>
        <x:v>0</x:v>
      </x:c>
      <x:c r="P855" t="n">
        <x:f>P854+IF(AND(A855&lt;&gt;"",COUNTIFS(C855,"&gt;=36526",C855,TODAY())+COUNTIFS(D855,"&gt;=36526",D855,TODAY())+COUNTIFS(E855,"&gt;=36526",E855,TODAY())+COUNTIFS(F855,"&gt;=36526",F855,TODAY())&gt;0),1,0)</x:f>
        <x:v>0</x:v>
      </x:c>
      <x:c r="Q855" t="n">
        <x:f>Q854+IF(AND(A855&lt;&gt;"",COUNTIFS(C855,"&gt;"&amp;TODAY(),C855,"&lt;="&amp;TODAY()+30)+COUNTIFS(D855,"&gt;"&amp;TODAY(),D855,"&lt;="&amp;TODAY()+30)+COUNTIFS(E855,"&gt;"&amp;TODAY(),E855,"&lt;="&amp;TODAY()+30)+COUNTIFS(F855,"&gt;"&amp;TODAY(),F855,"&lt;="&amp;TODAY()+30)&gt;0),1,0)</x:f>
        <x:v>0</x:v>
      </x:c>
      <x:c r="R855" t="n">
        <x:f>R854+IF(OR(LEFT(H855,15)="Missing dates; ",LEFT(H855,16)="Add N/A reason; ",H855="Add dates",H855="Add registration",H855="Check date format"),1,0)</x:f>
        <x:v>0</x:v>
      </x:c>
      <x:c r="S855" t="n">
        <x:f>S854+IF(COUNTIFS(C855:F855,"Reviewed N/A")&gt;0,1,0)</x:f>
        <x:v>0</x:v>
      </x:c>
    </x:row>
    <x:row r="856" ht="48" customHeight="1">
      <x:c r="A856" s="52"/>
      <x:c r="B856" s="52"/>
      <x:c r="C856" s="53"/>
      <x:c r="D856" s="53"/>
      <x:c r="E856" s="53"/>
      <x:c r="F856" s="53"/>
      <x:c r="G856" s="52"/>
      <x:c r="H856" s="21" t="str">
        <x:f>IF(COUNTA(A856:G856,I856)=0,"",IF(A856="","Add registration",IF(OR(COUNTA(C856:F856)&gt;COUNT(C856:F856)+COUNTIFS(C856:F856,"Reviewed N/A"),AND(COUNT(C856:F856)&gt;0,OR(MIN(C856:F856)&lt;36526,MAX(C856:F856)&gt;109574))),"Check date format",IF(AND(COUNTIFS(C856:F856,"Reviewed N/A")&gt;0,I856=""),"Add N/A reason; ","")&amp;IF(COUNT(C856:F856)=0,IF(COUNTIFS(C856:F856,"Reviewed N/A")=4,"No applicable dates recorded","Add dates"),IF(COUNT(C856:F856)+COUNTIFS(C856:F856,"Reviewed N/A")&lt;4,"Missing dates; ","")&amp;IF(MIN(C856:F856)&lt;TODAY(),"Overdue: ",IF(MIN(C856:F856)=TODAY(),"Due today: ",IF(MIN(C856:F856)&lt;=TODAY()+30,"Due within 30 days: ","Next: ")))&amp;INDEX($C$8:$F$8,1,MATCH(MIN(C856:F856),C856:F856,0))&amp;" "&amp;TEXT(MIN(C856:F856),"dd mmm yyyy")))))</x:f>
      </x:c>
      <x:c r="I856" s="52"/>
      <x:c r="J856" t="str">
        <x:f>IF(AND(A856&lt;&gt;"",COUNTIFS(C856,"&gt;=36526",C856,"&lt;"&amp;TODAY())+COUNTIFS(D856,"&gt;=36526",D856,"&lt;"&amp;TODAY())+COUNTIFS(E856,"&gt;=36526",E856,"&lt;"&amp;TODAY())+COUNTIFS(F856,"&gt;=36526",F856,"&lt;"&amp;TODAY())&gt;0),O856,"")</x:f>
      </x:c>
      <x:c r="K856" t="str">
        <x:f>IF(AND(A856&lt;&gt;"",COUNTIFS(C856,"&gt;=36526",C856,TODAY())+COUNTIFS(D856,"&gt;=36526",D856,TODAY())+COUNTIFS(E856,"&gt;=36526",E856,TODAY())+COUNTIFS(F856,"&gt;=36526",F856,TODAY())&gt;0),P856,"")</x:f>
      </x:c>
      <x:c r="L856" t="str">
        <x:f>IF(AND(A856&lt;&gt;"",COUNTIFS(C856,"&gt;"&amp;TODAY(),C856,"&lt;="&amp;TODAY()+30)+COUNTIFS(D856,"&gt;"&amp;TODAY(),D856,"&lt;="&amp;TODAY()+30)+COUNTIFS(E856,"&gt;"&amp;TODAY(),E856,"&lt;="&amp;TODAY()+30)+COUNTIFS(F856,"&gt;"&amp;TODAY(),F856,"&lt;="&amp;TODAY()+30)&gt;0),Q856,"")</x:f>
      </x:c>
      <x:c r="M856" t="str">
        <x:f>IF(OR(LEFT(H856,15)="Missing dates; ",LEFT(H856,16)="Add N/A reason; ",H856="Add dates",H856="Add registration",H856="Check date format"),R856,"")</x:f>
      </x:c>
      <x:c r="N856" t="str">
        <x:f>IF(COUNTIFS(C856:F856,"Reviewed N/A")&gt;0,S856,"")</x:f>
      </x:c>
      <x:c r="O856" t="n">
        <x:f>O855+IF(AND(A856&lt;&gt;"",COUNTIFS(C856,"&gt;=36526",C856,"&lt;"&amp;TODAY())+COUNTIFS(D856,"&gt;=36526",D856,"&lt;"&amp;TODAY())+COUNTIFS(E856,"&gt;=36526",E856,"&lt;"&amp;TODAY())+COUNTIFS(F856,"&gt;=36526",F856,"&lt;"&amp;TODAY())&gt;0),1,0)</x:f>
        <x:v>0</x:v>
      </x:c>
      <x:c r="P856" t="n">
        <x:f>P855+IF(AND(A856&lt;&gt;"",COUNTIFS(C856,"&gt;=36526",C856,TODAY())+COUNTIFS(D856,"&gt;=36526",D856,TODAY())+COUNTIFS(E856,"&gt;=36526",E856,TODAY())+COUNTIFS(F856,"&gt;=36526",F856,TODAY())&gt;0),1,0)</x:f>
        <x:v>0</x:v>
      </x:c>
      <x:c r="Q856" t="n">
        <x:f>Q855+IF(AND(A856&lt;&gt;"",COUNTIFS(C856,"&gt;"&amp;TODAY(),C856,"&lt;="&amp;TODAY()+30)+COUNTIFS(D856,"&gt;"&amp;TODAY(),D856,"&lt;="&amp;TODAY()+30)+COUNTIFS(E856,"&gt;"&amp;TODAY(),E856,"&lt;="&amp;TODAY()+30)+COUNTIFS(F856,"&gt;"&amp;TODAY(),F856,"&lt;="&amp;TODAY()+30)&gt;0),1,0)</x:f>
        <x:v>0</x:v>
      </x:c>
      <x:c r="R856" t="n">
        <x:f>R855+IF(OR(LEFT(H856,15)="Missing dates; ",LEFT(H856,16)="Add N/A reason; ",H856="Add dates",H856="Add registration",H856="Check date format"),1,0)</x:f>
        <x:v>0</x:v>
      </x:c>
      <x:c r="S856" t="n">
        <x:f>S855+IF(COUNTIFS(C856:F856,"Reviewed N/A")&gt;0,1,0)</x:f>
        <x:v>0</x:v>
      </x:c>
    </x:row>
    <x:row r="857" ht="48" customHeight="1">
      <x:c r="A857" s="52"/>
      <x:c r="B857" s="52"/>
      <x:c r="C857" s="53"/>
      <x:c r="D857" s="53"/>
      <x:c r="E857" s="53"/>
      <x:c r="F857" s="53"/>
      <x:c r="G857" s="52"/>
      <x:c r="H857" s="21" t="str">
        <x:f>IF(COUNTA(A857:G857,I857)=0,"",IF(A857="","Add registration",IF(OR(COUNTA(C857:F857)&gt;COUNT(C857:F857)+COUNTIFS(C857:F857,"Reviewed N/A"),AND(COUNT(C857:F857)&gt;0,OR(MIN(C857:F857)&lt;36526,MAX(C857:F857)&gt;109574))),"Check date format",IF(AND(COUNTIFS(C857:F857,"Reviewed N/A")&gt;0,I857=""),"Add N/A reason; ","")&amp;IF(COUNT(C857:F857)=0,IF(COUNTIFS(C857:F857,"Reviewed N/A")=4,"No applicable dates recorded","Add dates"),IF(COUNT(C857:F857)+COUNTIFS(C857:F857,"Reviewed N/A")&lt;4,"Missing dates; ","")&amp;IF(MIN(C857:F857)&lt;TODAY(),"Overdue: ",IF(MIN(C857:F857)=TODAY(),"Due today: ",IF(MIN(C857:F857)&lt;=TODAY()+30,"Due within 30 days: ","Next: ")))&amp;INDEX($C$8:$F$8,1,MATCH(MIN(C857:F857),C857:F857,0))&amp;" "&amp;TEXT(MIN(C857:F857),"dd mmm yyyy")))))</x:f>
      </x:c>
      <x:c r="I857" s="52"/>
      <x:c r="J857" t="str">
        <x:f>IF(AND(A857&lt;&gt;"",COUNTIFS(C857,"&gt;=36526",C857,"&lt;"&amp;TODAY())+COUNTIFS(D857,"&gt;=36526",D857,"&lt;"&amp;TODAY())+COUNTIFS(E857,"&gt;=36526",E857,"&lt;"&amp;TODAY())+COUNTIFS(F857,"&gt;=36526",F857,"&lt;"&amp;TODAY())&gt;0),O857,"")</x:f>
      </x:c>
      <x:c r="K857" t="str">
        <x:f>IF(AND(A857&lt;&gt;"",COUNTIFS(C857,"&gt;=36526",C857,TODAY())+COUNTIFS(D857,"&gt;=36526",D857,TODAY())+COUNTIFS(E857,"&gt;=36526",E857,TODAY())+COUNTIFS(F857,"&gt;=36526",F857,TODAY())&gt;0),P857,"")</x:f>
      </x:c>
      <x:c r="L857" t="str">
        <x:f>IF(AND(A857&lt;&gt;"",COUNTIFS(C857,"&gt;"&amp;TODAY(),C857,"&lt;="&amp;TODAY()+30)+COUNTIFS(D857,"&gt;"&amp;TODAY(),D857,"&lt;="&amp;TODAY()+30)+COUNTIFS(E857,"&gt;"&amp;TODAY(),E857,"&lt;="&amp;TODAY()+30)+COUNTIFS(F857,"&gt;"&amp;TODAY(),F857,"&lt;="&amp;TODAY()+30)&gt;0),Q857,"")</x:f>
      </x:c>
      <x:c r="M857" t="str">
        <x:f>IF(OR(LEFT(H857,15)="Missing dates; ",LEFT(H857,16)="Add N/A reason; ",H857="Add dates",H857="Add registration",H857="Check date format"),R857,"")</x:f>
      </x:c>
      <x:c r="N857" t="str">
        <x:f>IF(COUNTIFS(C857:F857,"Reviewed N/A")&gt;0,S857,"")</x:f>
      </x:c>
      <x:c r="O857" t="n">
        <x:f>O856+IF(AND(A857&lt;&gt;"",COUNTIFS(C857,"&gt;=36526",C857,"&lt;"&amp;TODAY())+COUNTIFS(D857,"&gt;=36526",D857,"&lt;"&amp;TODAY())+COUNTIFS(E857,"&gt;=36526",E857,"&lt;"&amp;TODAY())+COUNTIFS(F857,"&gt;=36526",F857,"&lt;"&amp;TODAY())&gt;0),1,0)</x:f>
        <x:v>0</x:v>
      </x:c>
      <x:c r="P857" t="n">
        <x:f>P856+IF(AND(A857&lt;&gt;"",COUNTIFS(C857,"&gt;=36526",C857,TODAY())+COUNTIFS(D857,"&gt;=36526",D857,TODAY())+COUNTIFS(E857,"&gt;=36526",E857,TODAY())+COUNTIFS(F857,"&gt;=36526",F857,TODAY())&gt;0),1,0)</x:f>
        <x:v>0</x:v>
      </x:c>
      <x:c r="Q857" t="n">
        <x:f>Q856+IF(AND(A857&lt;&gt;"",COUNTIFS(C857,"&gt;"&amp;TODAY(),C857,"&lt;="&amp;TODAY()+30)+COUNTIFS(D857,"&gt;"&amp;TODAY(),D857,"&lt;="&amp;TODAY()+30)+COUNTIFS(E857,"&gt;"&amp;TODAY(),E857,"&lt;="&amp;TODAY()+30)+COUNTIFS(F857,"&gt;"&amp;TODAY(),F857,"&lt;="&amp;TODAY()+30)&gt;0),1,0)</x:f>
        <x:v>0</x:v>
      </x:c>
      <x:c r="R857" t="n">
        <x:f>R856+IF(OR(LEFT(H857,15)="Missing dates; ",LEFT(H857,16)="Add N/A reason; ",H857="Add dates",H857="Add registration",H857="Check date format"),1,0)</x:f>
        <x:v>0</x:v>
      </x:c>
      <x:c r="S857" t="n">
        <x:f>S856+IF(COUNTIFS(C857:F857,"Reviewed N/A")&gt;0,1,0)</x:f>
        <x:v>0</x:v>
      </x:c>
    </x:row>
    <x:row r="858" ht="48" customHeight="1">
      <x:c r="A858" s="52"/>
      <x:c r="B858" s="52"/>
      <x:c r="C858" s="53"/>
      <x:c r="D858" s="53"/>
      <x:c r="E858" s="53"/>
      <x:c r="F858" s="53"/>
      <x:c r="G858" s="52"/>
      <x:c r="H858" s="21" t="str">
        <x:f>IF(COUNTA(A858:G858,I858)=0,"",IF(A858="","Add registration",IF(OR(COUNTA(C858:F858)&gt;COUNT(C858:F858)+COUNTIFS(C858:F858,"Reviewed N/A"),AND(COUNT(C858:F858)&gt;0,OR(MIN(C858:F858)&lt;36526,MAX(C858:F858)&gt;109574))),"Check date format",IF(AND(COUNTIFS(C858:F858,"Reviewed N/A")&gt;0,I858=""),"Add N/A reason; ","")&amp;IF(COUNT(C858:F858)=0,IF(COUNTIFS(C858:F858,"Reviewed N/A")=4,"No applicable dates recorded","Add dates"),IF(COUNT(C858:F858)+COUNTIFS(C858:F858,"Reviewed N/A")&lt;4,"Missing dates; ","")&amp;IF(MIN(C858:F858)&lt;TODAY(),"Overdue: ",IF(MIN(C858:F858)=TODAY(),"Due today: ",IF(MIN(C858:F858)&lt;=TODAY()+30,"Due within 30 days: ","Next: ")))&amp;INDEX($C$8:$F$8,1,MATCH(MIN(C858:F858),C858:F858,0))&amp;" "&amp;TEXT(MIN(C858:F858),"dd mmm yyyy")))))</x:f>
      </x:c>
      <x:c r="I858" s="52"/>
      <x:c r="J858" t="str">
        <x:f>IF(AND(A858&lt;&gt;"",COUNTIFS(C858,"&gt;=36526",C858,"&lt;"&amp;TODAY())+COUNTIFS(D858,"&gt;=36526",D858,"&lt;"&amp;TODAY())+COUNTIFS(E858,"&gt;=36526",E858,"&lt;"&amp;TODAY())+COUNTIFS(F858,"&gt;=36526",F858,"&lt;"&amp;TODAY())&gt;0),O858,"")</x:f>
      </x:c>
      <x:c r="K858" t="str">
        <x:f>IF(AND(A858&lt;&gt;"",COUNTIFS(C858,"&gt;=36526",C858,TODAY())+COUNTIFS(D858,"&gt;=36526",D858,TODAY())+COUNTIFS(E858,"&gt;=36526",E858,TODAY())+COUNTIFS(F858,"&gt;=36526",F858,TODAY())&gt;0),P858,"")</x:f>
      </x:c>
      <x:c r="L858" t="str">
        <x:f>IF(AND(A858&lt;&gt;"",COUNTIFS(C858,"&gt;"&amp;TODAY(),C858,"&lt;="&amp;TODAY()+30)+COUNTIFS(D858,"&gt;"&amp;TODAY(),D858,"&lt;="&amp;TODAY()+30)+COUNTIFS(E858,"&gt;"&amp;TODAY(),E858,"&lt;="&amp;TODAY()+30)+COUNTIFS(F858,"&gt;"&amp;TODAY(),F858,"&lt;="&amp;TODAY()+30)&gt;0),Q858,"")</x:f>
      </x:c>
      <x:c r="M858" t="str">
        <x:f>IF(OR(LEFT(H858,15)="Missing dates; ",LEFT(H858,16)="Add N/A reason; ",H858="Add dates",H858="Add registration",H858="Check date format"),R858,"")</x:f>
      </x:c>
      <x:c r="N858" t="str">
        <x:f>IF(COUNTIFS(C858:F858,"Reviewed N/A")&gt;0,S858,"")</x:f>
      </x:c>
      <x:c r="O858" t="n">
        <x:f>O857+IF(AND(A858&lt;&gt;"",COUNTIFS(C858,"&gt;=36526",C858,"&lt;"&amp;TODAY())+COUNTIFS(D858,"&gt;=36526",D858,"&lt;"&amp;TODAY())+COUNTIFS(E858,"&gt;=36526",E858,"&lt;"&amp;TODAY())+COUNTIFS(F858,"&gt;=36526",F858,"&lt;"&amp;TODAY())&gt;0),1,0)</x:f>
        <x:v>0</x:v>
      </x:c>
      <x:c r="P858" t="n">
        <x:f>P857+IF(AND(A858&lt;&gt;"",COUNTIFS(C858,"&gt;=36526",C858,TODAY())+COUNTIFS(D858,"&gt;=36526",D858,TODAY())+COUNTIFS(E858,"&gt;=36526",E858,TODAY())+COUNTIFS(F858,"&gt;=36526",F858,TODAY())&gt;0),1,0)</x:f>
        <x:v>0</x:v>
      </x:c>
      <x:c r="Q858" t="n">
        <x:f>Q857+IF(AND(A858&lt;&gt;"",COUNTIFS(C858,"&gt;"&amp;TODAY(),C858,"&lt;="&amp;TODAY()+30)+COUNTIFS(D858,"&gt;"&amp;TODAY(),D858,"&lt;="&amp;TODAY()+30)+COUNTIFS(E858,"&gt;"&amp;TODAY(),E858,"&lt;="&amp;TODAY()+30)+COUNTIFS(F858,"&gt;"&amp;TODAY(),F858,"&lt;="&amp;TODAY()+30)&gt;0),1,0)</x:f>
        <x:v>0</x:v>
      </x:c>
      <x:c r="R858" t="n">
        <x:f>R857+IF(OR(LEFT(H858,15)="Missing dates; ",LEFT(H858,16)="Add N/A reason; ",H858="Add dates",H858="Add registration",H858="Check date format"),1,0)</x:f>
        <x:v>0</x:v>
      </x:c>
      <x:c r="S858" t="n">
        <x:f>S857+IF(COUNTIFS(C858:F858,"Reviewed N/A")&gt;0,1,0)</x:f>
        <x:v>0</x:v>
      </x:c>
    </x:row>
    <x:row r="859" ht="48" customHeight="1">
      <x:c r="A859" s="52"/>
      <x:c r="B859" s="52"/>
      <x:c r="C859" s="53"/>
      <x:c r="D859" s="53"/>
      <x:c r="E859" s="53"/>
      <x:c r="F859" s="53"/>
      <x:c r="G859" s="52"/>
      <x:c r="H859" s="21" t="str">
        <x:f>IF(COUNTA(A859:G859,I859)=0,"",IF(A859="","Add registration",IF(OR(COUNTA(C859:F859)&gt;COUNT(C859:F859)+COUNTIFS(C859:F859,"Reviewed N/A"),AND(COUNT(C859:F859)&gt;0,OR(MIN(C859:F859)&lt;36526,MAX(C859:F859)&gt;109574))),"Check date format",IF(AND(COUNTIFS(C859:F859,"Reviewed N/A")&gt;0,I859=""),"Add N/A reason; ","")&amp;IF(COUNT(C859:F859)=0,IF(COUNTIFS(C859:F859,"Reviewed N/A")=4,"No applicable dates recorded","Add dates"),IF(COUNT(C859:F859)+COUNTIFS(C859:F859,"Reviewed N/A")&lt;4,"Missing dates; ","")&amp;IF(MIN(C859:F859)&lt;TODAY(),"Overdue: ",IF(MIN(C859:F859)=TODAY(),"Due today: ",IF(MIN(C859:F859)&lt;=TODAY()+30,"Due within 30 days: ","Next: ")))&amp;INDEX($C$8:$F$8,1,MATCH(MIN(C859:F859),C859:F859,0))&amp;" "&amp;TEXT(MIN(C859:F859),"dd mmm yyyy")))))</x:f>
      </x:c>
      <x:c r="I859" s="52"/>
      <x:c r="J859" t="str">
        <x:f>IF(AND(A859&lt;&gt;"",COUNTIFS(C859,"&gt;=36526",C859,"&lt;"&amp;TODAY())+COUNTIFS(D859,"&gt;=36526",D859,"&lt;"&amp;TODAY())+COUNTIFS(E859,"&gt;=36526",E859,"&lt;"&amp;TODAY())+COUNTIFS(F859,"&gt;=36526",F859,"&lt;"&amp;TODAY())&gt;0),O859,"")</x:f>
      </x:c>
      <x:c r="K859" t="str">
        <x:f>IF(AND(A859&lt;&gt;"",COUNTIFS(C859,"&gt;=36526",C859,TODAY())+COUNTIFS(D859,"&gt;=36526",D859,TODAY())+COUNTIFS(E859,"&gt;=36526",E859,TODAY())+COUNTIFS(F859,"&gt;=36526",F859,TODAY())&gt;0),P859,"")</x:f>
      </x:c>
      <x:c r="L859" t="str">
        <x:f>IF(AND(A859&lt;&gt;"",COUNTIFS(C859,"&gt;"&amp;TODAY(),C859,"&lt;="&amp;TODAY()+30)+COUNTIFS(D859,"&gt;"&amp;TODAY(),D859,"&lt;="&amp;TODAY()+30)+COUNTIFS(E859,"&gt;"&amp;TODAY(),E859,"&lt;="&amp;TODAY()+30)+COUNTIFS(F859,"&gt;"&amp;TODAY(),F859,"&lt;="&amp;TODAY()+30)&gt;0),Q859,"")</x:f>
      </x:c>
      <x:c r="M859" t="str">
        <x:f>IF(OR(LEFT(H859,15)="Missing dates; ",LEFT(H859,16)="Add N/A reason; ",H859="Add dates",H859="Add registration",H859="Check date format"),R859,"")</x:f>
      </x:c>
      <x:c r="N859" t="str">
        <x:f>IF(COUNTIFS(C859:F859,"Reviewed N/A")&gt;0,S859,"")</x:f>
      </x:c>
      <x:c r="O859" t="n">
        <x:f>O858+IF(AND(A859&lt;&gt;"",COUNTIFS(C859,"&gt;=36526",C859,"&lt;"&amp;TODAY())+COUNTIFS(D859,"&gt;=36526",D859,"&lt;"&amp;TODAY())+COUNTIFS(E859,"&gt;=36526",E859,"&lt;"&amp;TODAY())+COUNTIFS(F859,"&gt;=36526",F859,"&lt;"&amp;TODAY())&gt;0),1,0)</x:f>
        <x:v>0</x:v>
      </x:c>
      <x:c r="P859" t="n">
        <x:f>P858+IF(AND(A859&lt;&gt;"",COUNTIFS(C859,"&gt;=36526",C859,TODAY())+COUNTIFS(D859,"&gt;=36526",D859,TODAY())+COUNTIFS(E859,"&gt;=36526",E859,TODAY())+COUNTIFS(F859,"&gt;=36526",F859,TODAY())&gt;0),1,0)</x:f>
        <x:v>0</x:v>
      </x:c>
      <x:c r="Q859" t="n">
        <x:f>Q858+IF(AND(A859&lt;&gt;"",COUNTIFS(C859,"&gt;"&amp;TODAY(),C859,"&lt;="&amp;TODAY()+30)+COUNTIFS(D859,"&gt;"&amp;TODAY(),D859,"&lt;="&amp;TODAY()+30)+COUNTIFS(E859,"&gt;"&amp;TODAY(),E859,"&lt;="&amp;TODAY()+30)+COUNTIFS(F859,"&gt;"&amp;TODAY(),F859,"&lt;="&amp;TODAY()+30)&gt;0),1,0)</x:f>
        <x:v>0</x:v>
      </x:c>
      <x:c r="R859" t="n">
        <x:f>R858+IF(OR(LEFT(H859,15)="Missing dates; ",LEFT(H859,16)="Add N/A reason; ",H859="Add dates",H859="Add registration",H859="Check date format"),1,0)</x:f>
        <x:v>0</x:v>
      </x:c>
      <x:c r="S859" t="n">
        <x:f>S858+IF(COUNTIFS(C859:F859,"Reviewed N/A")&gt;0,1,0)</x:f>
        <x:v>0</x:v>
      </x:c>
    </x:row>
    <x:row r="860" ht="48" customHeight="1">
      <x:c r="A860" s="52"/>
      <x:c r="B860" s="52"/>
      <x:c r="C860" s="53"/>
      <x:c r="D860" s="53"/>
      <x:c r="E860" s="53"/>
      <x:c r="F860" s="53"/>
      <x:c r="G860" s="52"/>
      <x:c r="H860" s="21" t="str">
        <x:f>IF(COUNTA(A860:G860,I860)=0,"",IF(A860="","Add registration",IF(OR(COUNTA(C860:F860)&gt;COUNT(C860:F860)+COUNTIFS(C860:F860,"Reviewed N/A"),AND(COUNT(C860:F860)&gt;0,OR(MIN(C860:F860)&lt;36526,MAX(C860:F860)&gt;109574))),"Check date format",IF(AND(COUNTIFS(C860:F860,"Reviewed N/A")&gt;0,I860=""),"Add N/A reason; ","")&amp;IF(COUNT(C860:F860)=0,IF(COUNTIFS(C860:F860,"Reviewed N/A")=4,"No applicable dates recorded","Add dates"),IF(COUNT(C860:F860)+COUNTIFS(C860:F860,"Reviewed N/A")&lt;4,"Missing dates; ","")&amp;IF(MIN(C860:F860)&lt;TODAY(),"Overdue: ",IF(MIN(C860:F860)=TODAY(),"Due today: ",IF(MIN(C860:F860)&lt;=TODAY()+30,"Due within 30 days: ","Next: ")))&amp;INDEX($C$8:$F$8,1,MATCH(MIN(C860:F860),C860:F860,0))&amp;" "&amp;TEXT(MIN(C860:F860),"dd mmm yyyy")))))</x:f>
      </x:c>
      <x:c r="I860" s="52"/>
      <x:c r="J860" t="str">
        <x:f>IF(AND(A860&lt;&gt;"",COUNTIFS(C860,"&gt;=36526",C860,"&lt;"&amp;TODAY())+COUNTIFS(D860,"&gt;=36526",D860,"&lt;"&amp;TODAY())+COUNTIFS(E860,"&gt;=36526",E860,"&lt;"&amp;TODAY())+COUNTIFS(F860,"&gt;=36526",F860,"&lt;"&amp;TODAY())&gt;0),O860,"")</x:f>
      </x:c>
      <x:c r="K860" t="str">
        <x:f>IF(AND(A860&lt;&gt;"",COUNTIFS(C860,"&gt;=36526",C860,TODAY())+COUNTIFS(D860,"&gt;=36526",D860,TODAY())+COUNTIFS(E860,"&gt;=36526",E860,TODAY())+COUNTIFS(F860,"&gt;=36526",F860,TODAY())&gt;0),P860,"")</x:f>
      </x:c>
      <x:c r="L860" t="str">
        <x:f>IF(AND(A860&lt;&gt;"",COUNTIFS(C860,"&gt;"&amp;TODAY(),C860,"&lt;="&amp;TODAY()+30)+COUNTIFS(D860,"&gt;"&amp;TODAY(),D860,"&lt;="&amp;TODAY()+30)+COUNTIFS(E860,"&gt;"&amp;TODAY(),E860,"&lt;="&amp;TODAY()+30)+COUNTIFS(F860,"&gt;"&amp;TODAY(),F860,"&lt;="&amp;TODAY()+30)&gt;0),Q860,"")</x:f>
      </x:c>
      <x:c r="M860" t="str">
        <x:f>IF(OR(LEFT(H860,15)="Missing dates; ",LEFT(H860,16)="Add N/A reason; ",H860="Add dates",H860="Add registration",H860="Check date format"),R860,"")</x:f>
      </x:c>
      <x:c r="N860" t="str">
        <x:f>IF(COUNTIFS(C860:F860,"Reviewed N/A")&gt;0,S860,"")</x:f>
      </x:c>
      <x:c r="O860" t="n">
        <x:f>O859+IF(AND(A860&lt;&gt;"",COUNTIFS(C860,"&gt;=36526",C860,"&lt;"&amp;TODAY())+COUNTIFS(D860,"&gt;=36526",D860,"&lt;"&amp;TODAY())+COUNTIFS(E860,"&gt;=36526",E860,"&lt;"&amp;TODAY())+COUNTIFS(F860,"&gt;=36526",F860,"&lt;"&amp;TODAY())&gt;0),1,0)</x:f>
        <x:v>0</x:v>
      </x:c>
      <x:c r="P860" t="n">
        <x:f>P859+IF(AND(A860&lt;&gt;"",COUNTIFS(C860,"&gt;=36526",C860,TODAY())+COUNTIFS(D860,"&gt;=36526",D860,TODAY())+COUNTIFS(E860,"&gt;=36526",E860,TODAY())+COUNTIFS(F860,"&gt;=36526",F860,TODAY())&gt;0),1,0)</x:f>
        <x:v>0</x:v>
      </x:c>
      <x:c r="Q860" t="n">
        <x:f>Q859+IF(AND(A860&lt;&gt;"",COUNTIFS(C860,"&gt;"&amp;TODAY(),C860,"&lt;="&amp;TODAY()+30)+COUNTIFS(D860,"&gt;"&amp;TODAY(),D860,"&lt;="&amp;TODAY()+30)+COUNTIFS(E860,"&gt;"&amp;TODAY(),E860,"&lt;="&amp;TODAY()+30)+COUNTIFS(F860,"&gt;"&amp;TODAY(),F860,"&lt;="&amp;TODAY()+30)&gt;0),1,0)</x:f>
        <x:v>0</x:v>
      </x:c>
      <x:c r="R860" t="n">
        <x:f>R859+IF(OR(LEFT(H860,15)="Missing dates; ",LEFT(H860,16)="Add N/A reason; ",H860="Add dates",H860="Add registration",H860="Check date format"),1,0)</x:f>
        <x:v>0</x:v>
      </x:c>
      <x:c r="S860" t="n">
        <x:f>S859+IF(COUNTIFS(C860:F860,"Reviewed N/A")&gt;0,1,0)</x:f>
        <x:v>0</x:v>
      </x:c>
    </x:row>
    <x:row r="861" ht="48" customHeight="1">
      <x:c r="A861" s="52"/>
      <x:c r="B861" s="52"/>
      <x:c r="C861" s="53"/>
      <x:c r="D861" s="53"/>
      <x:c r="E861" s="53"/>
      <x:c r="F861" s="53"/>
      <x:c r="G861" s="52"/>
      <x:c r="H861" s="21" t="str">
        <x:f>IF(COUNTA(A861:G861,I861)=0,"",IF(A861="","Add registration",IF(OR(COUNTA(C861:F861)&gt;COUNT(C861:F861)+COUNTIFS(C861:F861,"Reviewed N/A"),AND(COUNT(C861:F861)&gt;0,OR(MIN(C861:F861)&lt;36526,MAX(C861:F861)&gt;109574))),"Check date format",IF(AND(COUNTIFS(C861:F861,"Reviewed N/A")&gt;0,I861=""),"Add N/A reason; ","")&amp;IF(COUNT(C861:F861)=0,IF(COUNTIFS(C861:F861,"Reviewed N/A")=4,"No applicable dates recorded","Add dates"),IF(COUNT(C861:F861)+COUNTIFS(C861:F861,"Reviewed N/A")&lt;4,"Missing dates; ","")&amp;IF(MIN(C861:F861)&lt;TODAY(),"Overdue: ",IF(MIN(C861:F861)=TODAY(),"Due today: ",IF(MIN(C861:F861)&lt;=TODAY()+30,"Due within 30 days: ","Next: ")))&amp;INDEX($C$8:$F$8,1,MATCH(MIN(C861:F861),C861:F861,0))&amp;" "&amp;TEXT(MIN(C861:F861),"dd mmm yyyy")))))</x:f>
      </x:c>
      <x:c r="I861" s="52"/>
      <x:c r="J861" t="str">
        <x:f>IF(AND(A861&lt;&gt;"",COUNTIFS(C861,"&gt;=36526",C861,"&lt;"&amp;TODAY())+COUNTIFS(D861,"&gt;=36526",D861,"&lt;"&amp;TODAY())+COUNTIFS(E861,"&gt;=36526",E861,"&lt;"&amp;TODAY())+COUNTIFS(F861,"&gt;=36526",F861,"&lt;"&amp;TODAY())&gt;0),O861,"")</x:f>
      </x:c>
      <x:c r="K861" t="str">
        <x:f>IF(AND(A861&lt;&gt;"",COUNTIFS(C861,"&gt;=36526",C861,TODAY())+COUNTIFS(D861,"&gt;=36526",D861,TODAY())+COUNTIFS(E861,"&gt;=36526",E861,TODAY())+COUNTIFS(F861,"&gt;=36526",F861,TODAY())&gt;0),P861,"")</x:f>
      </x:c>
      <x:c r="L861" t="str">
        <x:f>IF(AND(A861&lt;&gt;"",COUNTIFS(C861,"&gt;"&amp;TODAY(),C861,"&lt;="&amp;TODAY()+30)+COUNTIFS(D861,"&gt;"&amp;TODAY(),D861,"&lt;="&amp;TODAY()+30)+COUNTIFS(E861,"&gt;"&amp;TODAY(),E861,"&lt;="&amp;TODAY()+30)+COUNTIFS(F861,"&gt;"&amp;TODAY(),F861,"&lt;="&amp;TODAY()+30)&gt;0),Q861,"")</x:f>
      </x:c>
      <x:c r="M861" t="str">
        <x:f>IF(OR(LEFT(H861,15)="Missing dates; ",LEFT(H861,16)="Add N/A reason; ",H861="Add dates",H861="Add registration",H861="Check date format"),R861,"")</x:f>
      </x:c>
      <x:c r="N861" t="str">
        <x:f>IF(COUNTIFS(C861:F861,"Reviewed N/A")&gt;0,S861,"")</x:f>
      </x:c>
      <x:c r="O861" t="n">
        <x:f>O860+IF(AND(A861&lt;&gt;"",COUNTIFS(C861,"&gt;=36526",C861,"&lt;"&amp;TODAY())+COUNTIFS(D861,"&gt;=36526",D861,"&lt;"&amp;TODAY())+COUNTIFS(E861,"&gt;=36526",E861,"&lt;"&amp;TODAY())+COUNTIFS(F861,"&gt;=36526",F861,"&lt;"&amp;TODAY())&gt;0),1,0)</x:f>
        <x:v>0</x:v>
      </x:c>
      <x:c r="P861" t="n">
        <x:f>P860+IF(AND(A861&lt;&gt;"",COUNTIFS(C861,"&gt;=36526",C861,TODAY())+COUNTIFS(D861,"&gt;=36526",D861,TODAY())+COUNTIFS(E861,"&gt;=36526",E861,TODAY())+COUNTIFS(F861,"&gt;=36526",F861,TODAY())&gt;0),1,0)</x:f>
        <x:v>0</x:v>
      </x:c>
      <x:c r="Q861" t="n">
        <x:f>Q860+IF(AND(A861&lt;&gt;"",COUNTIFS(C861,"&gt;"&amp;TODAY(),C861,"&lt;="&amp;TODAY()+30)+COUNTIFS(D861,"&gt;"&amp;TODAY(),D861,"&lt;="&amp;TODAY()+30)+COUNTIFS(E861,"&gt;"&amp;TODAY(),E861,"&lt;="&amp;TODAY()+30)+COUNTIFS(F861,"&gt;"&amp;TODAY(),F861,"&lt;="&amp;TODAY()+30)&gt;0),1,0)</x:f>
        <x:v>0</x:v>
      </x:c>
      <x:c r="R861" t="n">
        <x:f>R860+IF(OR(LEFT(H861,15)="Missing dates; ",LEFT(H861,16)="Add N/A reason; ",H861="Add dates",H861="Add registration",H861="Check date format"),1,0)</x:f>
        <x:v>0</x:v>
      </x:c>
      <x:c r="S861" t="n">
        <x:f>S860+IF(COUNTIFS(C861:F861,"Reviewed N/A")&gt;0,1,0)</x:f>
        <x:v>0</x:v>
      </x:c>
    </x:row>
    <x:row r="862" ht="48" customHeight="1">
      <x:c r="A862" s="52"/>
      <x:c r="B862" s="52"/>
      <x:c r="C862" s="53"/>
      <x:c r="D862" s="53"/>
      <x:c r="E862" s="53"/>
      <x:c r="F862" s="53"/>
      <x:c r="G862" s="52"/>
      <x:c r="H862" s="21" t="str">
        <x:f>IF(COUNTA(A862:G862,I862)=0,"",IF(A862="","Add registration",IF(OR(COUNTA(C862:F862)&gt;COUNT(C862:F862)+COUNTIFS(C862:F862,"Reviewed N/A"),AND(COUNT(C862:F862)&gt;0,OR(MIN(C862:F862)&lt;36526,MAX(C862:F862)&gt;109574))),"Check date format",IF(AND(COUNTIFS(C862:F862,"Reviewed N/A")&gt;0,I862=""),"Add N/A reason; ","")&amp;IF(COUNT(C862:F862)=0,IF(COUNTIFS(C862:F862,"Reviewed N/A")=4,"No applicable dates recorded","Add dates"),IF(COUNT(C862:F862)+COUNTIFS(C862:F862,"Reviewed N/A")&lt;4,"Missing dates; ","")&amp;IF(MIN(C862:F862)&lt;TODAY(),"Overdue: ",IF(MIN(C862:F862)=TODAY(),"Due today: ",IF(MIN(C862:F862)&lt;=TODAY()+30,"Due within 30 days: ","Next: ")))&amp;INDEX($C$8:$F$8,1,MATCH(MIN(C862:F862),C862:F862,0))&amp;" "&amp;TEXT(MIN(C862:F862),"dd mmm yyyy")))))</x:f>
      </x:c>
      <x:c r="I862" s="52"/>
      <x:c r="J862" t="str">
        <x:f>IF(AND(A862&lt;&gt;"",COUNTIFS(C862,"&gt;=36526",C862,"&lt;"&amp;TODAY())+COUNTIFS(D862,"&gt;=36526",D862,"&lt;"&amp;TODAY())+COUNTIFS(E862,"&gt;=36526",E862,"&lt;"&amp;TODAY())+COUNTIFS(F862,"&gt;=36526",F862,"&lt;"&amp;TODAY())&gt;0),O862,"")</x:f>
      </x:c>
      <x:c r="K862" t="str">
        <x:f>IF(AND(A862&lt;&gt;"",COUNTIFS(C862,"&gt;=36526",C862,TODAY())+COUNTIFS(D862,"&gt;=36526",D862,TODAY())+COUNTIFS(E862,"&gt;=36526",E862,TODAY())+COUNTIFS(F862,"&gt;=36526",F862,TODAY())&gt;0),P862,"")</x:f>
      </x:c>
      <x:c r="L862" t="str">
        <x:f>IF(AND(A862&lt;&gt;"",COUNTIFS(C862,"&gt;"&amp;TODAY(),C862,"&lt;="&amp;TODAY()+30)+COUNTIFS(D862,"&gt;"&amp;TODAY(),D862,"&lt;="&amp;TODAY()+30)+COUNTIFS(E862,"&gt;"&amp;TODAY(),E862,"&lt;="&amp;TODAY()+30)+COUNTIFS(F862,"&gt;"&amp;TODAY(),F862,"&lt;="&amp;TODAY()+30)&gt;0),Q862,"")</x:f>
      </x:c>
      <x:c r="M862" t="str">
        <x:f>IF(OR(LEFT(H862,15)="Missing dates; ",LEFT(H862,16)="Add N/A reason; ",H862="Add dates",H862="Add registration",H862="Check date format"),R862,"")</x:f>
      </x:c>
      <x:c r="N862" t="str">
        <x:f>IF(COUNTIFS(C862:F862,"Reviewed N/A")&gt;0,S862,"")</x:f>
      </x:c>
      <x:c r="O862" t="n">
        <x:f>O861+IF(AND(A862&lt;&gt;"",COUNTIFS(C862,"&gt;=36526",C862,"&lt;"&amp;TODAY())+COUNTIFS(D862,"&gt;=36526",D862,"&lt;"&amp;TODAY())+COUNTIFS(E862,"&gt;=36526",E862,"&lt;"&amp;TODAY())+COUNTIFS(F862,"&gt;=36526",F862,"&lt;"&amp;TODAY())&gt;0),1,0)</x:f>
        <x:v>0</x:v>
      </x:c>
      <x:c r="P862" t="n">
        <x:f>P861+IF(AND(A862&lt;&gt;"",COUNTIFS(C862,"&gt;=36526",C862,TODAY())+COUNTIFS(D862,"&gt;=36526",D862,TODAY())+COUNTIFS(E862,"&gt;=36526",E862,TODAY())+COUNTIFS(F862,"&gt;=36526",F862,TODAY())&gt;0),1,0)</x:f>
        <x:v>0</x:v>
      </x:c>
      <x:c r="Q862" t="n">
        <x:f>Q861+IF(AND(A862&lt;&gt;"",COUNTIFS(C862,"&gt;"&amp;TODAY(),C862,"&lt;="&amp;TODAY()+30)+COUNTIFS(D862,"&gt;"&amp;TODAY(),D862,"&lt;="&amp;TODAY()+30)+COUNTIFS(E862,"&gt;"&amp;TODAY(),E862,"&lt;="&amp;TODAY()+30)+COUNTIFS(F862,"&gt;"&amp;TODAY(),F862,"&lt;="&amp;TODAY()+30)&gt;0),1,0)</x:f>
        <x:v>0</x:v>
      </x:c>
      <x:c r="R862" t="n">
        <x:f>R861+IF(OR(LEFT(H862,15)="Missing dates; ",LEFT(H862,16)="Add N/A reason; ",H862="Add dates",H862="Add registration",H862="Check date format"),1,0)</x:f>
        <x:v>0</x:v>
      </x:c>
      <x:c r="S862" t="n">
        <x:f>S861+IF(COUNTIFS(C862:F862,"Reviewed N/A")&gt;0,1,0)</x:f>
        <x:v>0</x:v>
      </x:c>
    </x:row>
    <x:row r="863" ht="48" customHeight="1">
      <x:c r="A863" s="52"/>
      <x:c r="B863" s="52"/>
      <x:c r="C863" s="53"/>
      <x:c r="D863" s="53"/>
      <x:c r="E863" s="53"/>
      <x:c r="F863" s="53"/>
      <x:c r="G863" s="52"/>
      <x:c r="H863" s="21" t="str">
        <x:f>IF(COUNTA(A863:G863,I863)=0,"",IF(A863="","Add registration",IF(OR(COUNTA(C863:F863)&gt;COUNT(C863:F863)+COUNTIFS(C863:F863,"Reviewed N/A"),AND(COUNT(C863:F863)&gt;0,OR(MIN(C863:F863)&lt;36526,MAX(C863:F863)&gt;109574))),"Check date format",IF(AND(COUNTIFS(C863:F863,"Reviewed N/A")&gt;0,I863=""),"Add N/A reason; ","")&amp;IF(COUNT(C863:F863)=0,IF(COUNTIFS(C863:F863,"Reviewed N/A")=4,"No applicable dates recorded","Add dates"),IF(COUNT(C863:F863)+COUNTIFS(C863:F863,"Reviewed N/A")&lt;4,"Missing dates; ","")&amp;IF(MIN(C863:F863)&lt;TODAY(),"Overdue: ",IF(MIN(C863:F863)=TODAY(),"Due today: ",IF(MIN(C863:F863)&lt;=TODAY()+30,"Due within 30 days: ","Next: ")))&amp;INDEX($C$8:$F$8,1,MATCH(MIN(C863:F863),C863:F863,0))&amp;" "&amp;TEXT(MIN(C863:F863),"dd mmm yyyy")))))</x:f>
      </x:c>
      <x:c r="I863" s="52"/>
      <x:c r="J863" t="str">
        <x:f>IF(AND(A863&lt;&gt;"",COUNTIFS(C863,"&gt;=36526",C863,"&lt;"&amp;TODAY())+COUNTIFS(D863,"&gt;=36526",D863,"&lt;"&amp;TODAY())+COUNTIFS(E863,"&gt;=36526",E863,"&lt;"&amp;TODAY())+COUNTIFS(F863,"&gt;=36526",F863,"&lt;"&amp;TODAY())&gt;0),O863,"")</x:f>
      </x:c>
      <x:c r="K863" t="str">
        <x:f>IF(AND(A863&lt;&gt;"",COUNTIFS(C863,"&gt;=36526",C863,TODAY())+COUNTIFS(D863,"&gt;=36526",D863,TODAY())+COUNTIFS(E863,"&gt;=36526",E863,TODAY())+COUNTIFS(F863,"&gt;=36526",F863,TODAY())&gt;0),P863,"")</x:f>
      </x:c>
      <x:c r="L863" t="str">
        <x:f>IF(AND(A863&lt;&gt;"",COUNTIFS(C863,"&gt;"&amp;TODAY(),C863,"&lt;="&amp;TODAY()+30)+COUNTIFS(D863,"&gt;"&amp;TODAY(),D863,"&lt;="&amp;TODAY()+30)+COUNTIFS(E863,"&gt;"&amp;TODAY(),E863,"&lt;="&amp;TODAY()+30)+COUNTIFS(F863,"&gt;"&amp;TODAY(),F863,"&lt;="&amp;TODAY()+30)&gt;0),Q863,"")</x:f>
      </x:c>
      <x:c r="M863" t="str">
        <x:f>IF(OR(LEFT(H863,15)="Missing dates; ",LEFT(H863,16)="Add N/A reason; ",H863="Add dates",H863="Add registration",H863="Check date format"),R863,"")</x:f>
      </x:c>
      <x:c r="N863" t="str">
        <x:f>IF(COUNTIFS(C863:F863,"Reviewed N/A")&gt;0,S863,"")</x:f>
      </x:c>
      <x:c r="O863" t="n">
        <x:f>O862+IF(AND(A863&lt;&gt;"",COUNTIFS(C863,"&gt;=36526",C863,"&lt;"&amp;TODAY())+COUNTIFS(D863,"&gt;=36526",D863,"&lt;"&amp;TODAY())+COUNTIFS(E863,"&gt;=36526",E863,"&lt;"&amp;TODAY())+COUNTIFS(F863,"&gt;=36526",F863,"&lt;"&amp;TODAY())&gt;0),1,0)</x:f>
        <x:v>0</x:v>
      </x:c>
      <x:c r="P863" t="n">
        <x:f>P862+IF(AND(A863&lt;&gt;"",COUNTIFS(C863,"&gt;=36526",C863,TODAY())+COUNTIFS(D863,"&gt;=36526",D863,TODAY())+COUNTIFS(E863,"&gt;=36526",E863,TODAY())+COUNTIFS(F863,"&gt;=36526",F863,TODAY())&gt;0),1,0)</x:f>
        <x:v>0</x:v>
      </x:c>
      <x:c r="Q863" t="n">
        <x:f>Q862+IF(AND(A863&lt;&gt;"",COUNTIFS(C863,"&gt;"&amp;TODAY(),C863,"&lt;="&amp;TODAY()+30)+COUNTIFS(D863,"&gt;"&amp;TODAY(),D863,"&lt;="&amp;TODAY()+30)+COUNTIFS(E863,"&gt;"&amp;TODAY(),E863,"&lt;="&amp;TODAY()+30)+COUNTIFS(F863,"&gt;"&amp;TODAY(),F863,"&lt;="&amp;TODAY()+30)&gt;0),1,0)</x:f>
        <x:v>0</x:v>
      </x:c>
      <x:c r="R863" t="n">
        <x:f>R862+IF(OR(LEFT(H863,15)="Missing dates; ",LEFT(H863,16)="Add N/A reason; ",H863="Add dates",H863="Add registration",H863="Check date format"),1,0)</x:f>
        <x:v>0</x:v>
      </x:c>
      <x:c r="S863" t="n">
        <x:f>S862+IF(COUNTIFS(C863:F863,"Reviewed N/A")&gt;0,1,0)</x:f>
        <x:v>0</x:v>
      </x:c>
    </x:row>
    <x:row r="864" ht="48" customHeight="1">
      <x:c r="A864" s="52"/>
      <x:c r="B864" s="52"/>
      <x:c r="C864" s="53"/>
      <x:c r="D864" s="53"/>
      <x:c r="E864" s="53"/>
      <x:c r="F864" s="53"/>
      <x:c r="G864" s="52"/>
      <x:c r="H864" s="21" t="str">
        <x:f>IF(COUNTA(A864:G864,I864)=0,"",IF(A864="","Add registration",IF(OR(COUNTA(C864:F864)&gt;COUNT(C864:F864)+COUNTIFS(C864:F864,"Reviewed N/A"),AND(COUNT(C864:F864)&gt;0,OR(MIN(C864:F864)&lt;36526,MAX(C864:F864)&gt;109574))),"Check date format",IF(AND(COUNTIFS(C864:F864,"Reviewed N/A")&gt;0,I864=""),"Add N/A reason; ","")&amp;IF(COUNT(C864:F864)=0,IF(COUNTIFS(C864:F864,"Reviewed N/A")=4,"No applicable dates recorded","Add dates"),IF(COUNT(C864:F864)+COUNTIFS(C864:F864,"Reviewed N/A")&lt;4,"Missing dates; ","")&amp;IF(MIN(C864:F864)&lt;TODAY(),"Overdue: ",IF(MIN(C864:F864)=TODAY(),"Due today: ",IF(MIN(C864:F864)&lt;=TODAY()+30,"Due within 30 days: ","Next: ")))&amp;INDEX($C$8:$F$8,1,MATCH(MIN(C864:F864),C864:F864,0))&amp;" "&amp;TEXT(MIN(C864:F864),"dd mmm yyyy")))))</x:f>
      </x:c>
      <x:c r="I864" s="52"/>
      <x:c r="J864" t="str">
        <x:f>IF(AND(A864&lt;&gt;"",COUNTIFS(C864,"&gt;=36526",C864,"&lt;"&amp;TODAY())+COUNTIFS(D864,"&gt;=36526",D864,"&lt;"&amp;TODAY())+COUNTIFS(E864,"&gt;=36526",E864,"&lt;"&amp;TODAY())+COUNTIFS(F864,"&gt;=36526",F864,"&lt;"&amp;TODAY())&gt;0),O864,"")</x:f>
      </x:c>
      <x:c r="K864" t="str">
        <x:f>IF(AND(A864&lt;&gt;"",COUNTIFS(C864,"&gt;=36526",C864,TODAY())+COUNTIFS(D864,"&gt;=36526",D864,TODAY())+COUNTIFS(E864,"&gt;=36526",E864,TODAY())+COUNTIFS(F864,"&gt;=36526",F864,TODAY())&gt;0),P864,"")</x:f>
      </x:c>
      <x:c r="L864" t="str">
        <x:f>IF(AND(A864&lt;&gt;"",COUNTIFS(C864,"&gt;"&amp;TODAY(),C864,"&lt;="&amp;TODAY()+30)+COUNTIFS(D864,"&gt;"&amp;TODAY(),D864,"&lt;="&amp;TODAY()+30)+COUNTIFS(E864,"&gt;"&amp;TODAY(),E864,"&lt;="&amp;TODAY()+30)+COUNTIFS(F864,"&gt;"&amp;TODAY(),F864,"&lt;="&amp;TODAY()+30)&gt;0),Q864,"")</x:f>
      </x:c>
      <x:c r="M864" t="str">
        <x:f>IF(OR(LEFT(H864,15)="Missing dates; ",LEFT(H864,16)="Add N/A reason; ",H864="Add dates",H864="Add registration",H864="Check date format"),R864,"")</x:f>
      </x:c>
      <x:c r="N864" t="str">
        <x:f>IF(COUNTIFS(C864:F864,"Reviewed N/A")&gt;0,S864,"")</x:f>
      </x:c>
      <x:c r="O864" t="n">
        <x:f>O863+IF(AND(A864&lt;&gt;"",COUNTIFS(C864,"&gt;=36526",C864,"&lt;"&amp;TODAY())+COUNTIFS(D864,"&gt;=36526",D864,"&lt;"&amp;TODAY())+COUNTIFS(E864,"&gt;=36526",E864,"&lt;"&amp;TODAY())+COUNTIFS(F864,"&gt;=36526",F864,"&lt;"&amp;TODAY())&gt;0),1,0)</x:f>
        <x:v>0</x:v>
      </x:c>
      <x:c r="P864" t="n">
        <x:f>P863+IF(AND(A864&lt;&gt;"",COUNTIFS(C864,"&gt;=36526",C864,TODAY())+COUNTIFS(D864,"&gt;=36526",D864,TODAY())+COUNTIFS(E864,"&gt;=36526",E864,TODAY())+COUNTIFS(F864,"&gt;=36526",F864,TODAY())&gt;0),1,0)</x:f>
        <x:v>0</x:v>
      </x:c>
      <x:c r="Q864" t="n">
        <x:f>Q863+IF(AND(A864&lt;&gt;"",COUNTIFS(C864,"&gt;"&amp;TODAY(),C864,"&lt;="&amp;TODAY()+30)+COUNTIFS(D864,"&gt;"&amp;TODAY(),D864,"&lt;="&amp;TODAY()+30)+COUNTIFS(E864,"&gt;"&amp;TODAY(),E864,"&lt;="&amp;TODAY()+30)+COUNTIFS(F864,"&gt;"&amp;TODAY(),F864,"&lt;="&amp;TODAY()+30)&gt;0),1,0)</x:f>
        <x:v>0</x:v>
      </x:c>
      <x:c r="R864" t="n">
        <x:f>R863+IF(OR(LEFT(H864,15)="Missing dates; ",LEFT(H864,16)="Add N/A reason; ",H864="Add dates",H864="Add registration",H864="Check date format"),1,0)</x:f>
        <x:v>0</x:v>
      </x:c>
      <x:c r="S864" t="n">
        <x:f>S863+IF(COUNTIFS(C864:F864,"Reviewed N/A")&gt;0,1,0)</x:f>
        <x:v>0</x:v>
      </x:c>
    </x:row>
    <x:row r="865" ht="48" customHeight="1">
      <x:c r="A865" s="52"/>
      <x:c r="B865" s="52"/>
      <x:c r="C865" s="53"/>
      <x:c r="D865" s="53"/>
      <x:c r="E865" s="53"/>
      <x:c r="F865" s="53"/>
      <x:c r="G865" s="52"/>
      <x:c r="H865" s="21" t="str">
        <x:f>IF(COUNTA(A865:G865,I865)=0,"",IF(A865="","Add registration",IF(OR(COUNTA(C865:F865)&gt;COUNT(C865:F865)+COUNTIFS(C865:F865,"Reviewed N/A"),AND(COUNT(C865:F865)&gt;0,OR(MIN(C865:F865)&lt;36526,MAX(C865:F865)&gt;109574))),"Check date format",IF(AND(COUNTIFS(C865:F865,"Reviewed N/A")&gt;0,I865=""),"Add N/A reason; ","")&amp;IF(COUNT(C865:F865)=0,IF(COUNTIFS(C865:F865,"Reviewed N/A")=4,"No applicable dates recorded","Add dates"),IF(COUNT(C865:F865)+COUNTIFS(C865:F865,"Reviewed N/A")&lt;4,"Missing dates; ","")&amp;IF(MIN(C865:F865)&lt;TODAY(),"Overdue: ",IF(MIN(C865:F865)=TODAY(),"Due today: ",IF(MIN(C865:F865)&lt;=TODAY()+30,"Due within 30 days: ","Next: ")))&amp;INDEX($C$8:$F$8,1,MATCH(MIN(C865:F865),C865:F865,0))&amp;" "&amp;TEXT(MIN(C865:F865),"dd mmm yyyy")))))</x:f>
      </x:c>
      <x:c r="I865" s="52"/>
      <x:c r="J865" t="str">
        <x:f>IF(AND(A865&lt;&gt;"",COUNTIFS(C865,"&gt;=36526",C865,"&lt;"&amp;TODAY())+COUNTIFS(D865,"&gt;=36526",D865,"&lt;"&amp;TODAY())+COUNTIFS(E865,"&gt;=36526",E865,"&lt;"&amp;TODAY())+COUNTIFS(F865,"&gt;=36526",F865,"&lt;"&amp;TODAY())&gt;0),O865,"")</x:f>
      </x:c>
      <x:c r="K865" t="str">
        <x:f>IF(AND(A865&lt;&gt;"",COUNTIFS(C865,"&gt;=36526",C865,TODAY())+COUNTIFS(D865,"&gt;=36526",D865,TODAY())+COUNTIFS(E865,"&gt;=36526",E865,TODAY())+COUNTIFS(F865,"&gt;=36526",F865,TODAY())&gt;0),P865,"")</x:f>
      </x:c>
      <x:c r="L865" t="str">
        <x:f>IF(AND(A865&lt;&gt;"",COUNTIFS(C865,"&gt;"&amp;TODAY(),C865,"&lt;="&amp;TODAY()+30)+COUNTIFS(D865,"&gt;"&amp;TODAY(),D865,"&lt;="&amp;TODAY()+30)+COUNTIFS(E865,"&gt;"&amp;TODAY(),E865,"&lt;="&amp;TODAY()+30)+COUNTIFS(F865,"&gt;"&amp;TODAY(),F865,"&lt;="&amp;TODAY()+30)&gt;0),Q865,"")</x:f>
      </x:c>
      <x:c r="M865" t="str">
        <x:f>IF(OR(LEFT(H865,15)="Missing dates; ",LEFT(H865,16)="Add N/A reason; ",H865="Add dates",H865="Add registration",H865="Check date format"),R865,"")</x:f>
      </x:c>
      <x:c r="N865" t="str">
        <x:f>IF(COUNTIFS(C865:F865,"Reviewed N/A")&gt;0,S865,"")</x:f>
      </x:c>
      <x:c r="O865" t="n">
        <x:f>O864+IF(AND(A865&lt;&gt;"",COUNTIFS(C865,"&gt;=36526",C865,"&lt;"&amp;TODAY())+COUNTIFS(D865,"&gt;=36526",D865,"&lt;"&amp;TODAY())+COUNTIFS(E865,"&gt;=36526",E865,"&lt;"&amp;TODAY())+COUNTIFS(F865,"&gt;=36526",F865,"&lt;"&amp;TODAY())&gt;0),1,0)</x:f>
        <x:v>0</x:v>
      </x:c>
      <x:c r="P865" t="n">
        <x:f>P864+IF(AND(A865&lt;&gt;"",COUNTIFS(C865,"&gt;=36526",C865,TODAY())+COUNTIFS(D865,"&gt;=36526",D865,TODAY())+COUNTIFS(E865,"&gt;=36526",E865,TODAY())+COUNTIFS(F865,"&gt;=36526",F865,TODAY())&gt;0),1,0)</x:f>
        <x:v>0</x:v>
      </x:c>
      <x:c r="Q865" t="n">
        <x:f>Q864+IF(AND(A865&lt;&gt;"",COUNTIFS(C865,"&gt;"&amp;TODAY(),C865,"&lt;="&amp;TODAY()+30)+COUNTIFS(D865,"&gt;"&amp;TODAY(),D865,"&lt;="&amp;TODAY()+30)+COUNTIFS(E865,"&gt;"&amp;TODAY(),E865,"&lt;="&amp;TODAY()+30)+COUNTIFS(F865,"&gt;"&amp;TODAY(),F865,"&lt;="&amp;TODAY()+30)&gt;0),1,0)</x:f>
        <x:v>0</x:v>
      </x:c>
      <x:c r="R865" t="n">
        <x:f>R864+IF(OR(LEFT(H865,15)="Missing dates; ",LEFT(H865,16)="Add N/A reason; ",H865="Add dates",H865="Add registration",H865="Check date format"),1,0)</x:f>
        <x:v>0</x:v>
      </x:c>
      <x:c r="S865" t="n">
        <x:f>S864+IF(COUNTIFS(C865:F865,"Reviewed N/A")&gt;0,1,0)</x:f>
        <x:v>0</x:v>
      </x:c>
    </x:row>
    <x:row r="866" ht="48" customHeight="1">
      <x:c r="A866" s="52"/>
      <x:c r="B866" s="52"/>
      <x:c r="C866" s="53"/>
      <x:c r="D866" s="53"/>
      <x:c r="E866" s="53"/>
      <x:c r="F866" s="53"/>
      <x:c r="G866" s="52"/>
      <x:c r="H866" s="21" t="str">
        <x:f>IF(COUNTA(A866:G866,I866)=0,"",IF(A866="","Add registration",IF(OR(COUNTA(C866:F866)&gt;COUNT(C866:F866)+COUNTIFS(C866:F866,"Reviewed N/A"),AND(COUNT(C866:F866)&gt;0,OR(MIN(C866:F866)&lt;36526,MAX(C866:F866)&gt;109574))),"Check date format",IF(AND(COUNTIFS(C866:F866,"Reviewed N/A")&gt;0,I866=""),"Add N/A reason; ","")&amp;IF(COUNT(C866:F866)=0,IF(COUNTIFS(C866:F866,"Reviewed N/A")=4,"No applicable dates recorded","Add dates"),IF(COUNT(C866:F866)+COUNTIFS(C866:F866,"Reviewed N/A")&lt;4,"Missing dates; ","")&amp;IF(MIN(C866:F866)&lt;TODAY(),"Overdue: ",IF(MIN(C866:F866)=TODAY(),"Due today: ",IF(MIN(C866:F866)&lt;=TODAY()+30,"Due within 30 days: ","Next: ")))&amp;INDEX($C$8:$F$8,1,MATCH(MIN(C866:F866),C866:F866,0))&amp;" "&amp;TEXT(MIN(C866:F866),"dd mmm yyyy")))))</x:f>
      </x:c>
      <x:c r="I866" s="52"/>
      <x:c r="J866" t="str">
        <x:f>IF(AND(A866&lt;&gt;"",COUNTIFS(C866,"&gt;=36526",C866,"&lt;"&amp;TODAY())+COUNTIFS(D866,"&gt;=36526",D866,"&lt;"&amp;TODAY())+COUNTIFS(E866,"&gt;=36526",E866,"&lt;"&amp;TODAY())+COUNTIFS(F866,"&gt;=36526",F866,"&lt;"&amp;TODAY())&gt;0),O866,"")</x:f>
      </x:c>
      <x:c r="K866" t="str">
        <x:f>IF(AND(A866&lt;&gt;"",COUNTIFS(C866,"&gt;=36526",C866,TODAY())+COUNTIFS(D866,"&gt;=36526",D866,TODAY())+COUNTIFS(E866,"&gt;=36526",E866,TODAY())+COUNTIFS(F866,"&gt;=36526",F866,TODAY())&gt;0),P866,"")</x:f>
      </x:c>
      <x:c r="L866" t="str">
        <x:f>IF(AND(A866&lt;&gt;"",COUNTIFS(C866,"&gt;"&amp;TODAY(),C866,"&lt;="&amp;TODAY()+30)+COUNTIFS(D866,"&gt;"&amp;TODAY(),D866,"&lt;="&amp;TODAY()+30)+COUNTIFS(E866,"&gt;"&amp;TODAY(),E866,"&lt;="&amp;TODAY()+30)+COUNTIFS(F866,"&gt;"&amp;TODAY(),F866,"&lt;="&amp;TODAY()+30)&gt;0),Q866,"")</x:f>
      </x:c>
      <x:c r="M866" t="str">
        <x:f>IF(OR(LEFT(H866,15)="Missing dates; ",LEFT(H866,16)="Add N/A reason; ",H866="Add dates",H866="Add registration",H866="Check date format"),R866,"")</x:f>
      </x:c>
      <x:c r="N866" t="str">
        <x:f>IF(COUNTIFS(C866:F866,"Reviewed N/A")&gt;0,S866,"")</x:f>
      </x:c>
      <x:c r="O866" t="n">
        <x:f>O865+IF(AND(A866&lt;&gt;"",COUNTIFS(C866,"&gt;=36526",C866,"&lt;"&amp;TODAY())+COUNTIFS(D866,"&gt;=36526",D866,"&lt;"&amp;TODAY())+COUNTIFS(E866,"&gt;=36526",E866,"&lt;"&amp;TODAY())+COUNTIFS(F866,"&gt;=36526",F866,"&lt;"&amp;TODAY())&gt;0),1,0)</x:f>
        <x:v>0</x:v>
      </x:c>
      <x:c r="P866" t="n">
        <x:f>P865+IF(AND(A866&lt;&gt;"",COUNTIFS(C866,"&gt;=36526",C866,TODAY())+COUNTIFS(D866,"&gt;=36526",D866,TODAY())+COUNTIFS(E866,"&gt;=36526",E866,TODAY())+COUNTIFS(F866,"&gt;=36526",F866,TODAY())&gt;0),1,0)</x:f>
        <x:v>0</x:v>
      </x:c>
      <x:c r="Q866" t="n">
        <x:f>Q865+IF(AND(A866&lt;&gt;"",COUNTIFS(C866,"&gt;"&amp;TODAY(),C866,"&lt;="&amp;TODAY()+30)+COUNTIFS(D866,"&gt;"&amp;TODAY(),D866,"&lt;="&amp;TODAY()+30)+COUNTIFS(E866,"&gt;"&amp;TODAY(),E866,"&lt;="&amp;TODAY()+30)+COUNTIFS(F866,"&gt;"&amp;TODAY(),F866,"&lt;="&amp;TODAY()+30)&gt;0),1,0)</x:f>
        <x:v>0</x:v>
      </x:c>
      <x:c r="R866" t="n">
        <x:f>R865+IF(OR(LEFT(H866,15)="Missing dates; ",LEFT(H866,16)="Add N/A reason; ",H866="Add dates",H866="Add registration",H866="Check date format"),1,0)</x:f>
        <x:v>0</x:v>
      </x:c>
      <x:c r="S866" t="n">
        <x:f>S865+IF(COUNTIFS(C866:F866,"Reviewed N/A")&gt;0,1,0)</x:f>
        <x:v>0</x:v>
      </x:c>
    </x:row>
    <x:row r="867" ht="48" customHeight="1">
      <x:c r="A867" s="52"/>
      <x:c r="B867" s="52"/>
      <x:c r="C867" s="53"/>
      <x:c r="D867" s="53"/>
      <x:c r="E867" s="53"/>
      <x:c r="F867" s="53"/>
      <x:c r="G867" s="52"/>
      <x:c r="H867" s="21" t="str">
        <x:f>IF(COUNTA(A867:G867,I867)=0,"",IF(A867="","Add registration",IF(OR(COUNTA(C867:F867)&gt;COUNT(C867:F867)+COUNTIFS(C867:F867,"Reviewed N/A"),AND(COUNT(C867:F867)&gt;0,OR(MIN(C867:F867)&lt;36526,MAX(C867:F867)&gt;109574))),"Check date format",IF(AND(COUNTIFS(C867:F867,"Reviewed N/A")&gt;0,I867=""),"Add N/A reason; ","")&amp;IF(COUNT(C867:F867)=0,IF(COUNTIFS(C867:F867,"Reviewed N/A")=4,"No applicable dates recorded","Add dates"),IF(COUNT(C867:F867)+COUNTIFS(C867:F867,"Reviewed N/A")&lt;4,"Missing dates; ","")&amp;IF(MIN(C867:F867)&lt;TODAY(),"Overdue: ",IF(MIN(C867:F867)=TODAY(),"Due today: ",IF(MIN(C867:F867)&lt;=TODAY()+30,"Due within 30 days: ","Next: ")))&amp;INDEX($C$8:$F$8,1,MATCH(MIN(C867:F867),C867:F867,0))&amp;" "&amp;TEXT(MIN(C867:F867),"dd mmm yyyy")))))</x:f>
      </x:c>
      <x:c r="I867" s="52"/>
      <x:c r="J867" t="str">
        <x:f>IF(AND(A867&lt;&gt;"",COUNTIFS(C867,"&gt;=36526",C867,"&lt;"&amp;TODAY())+COUNTIFS(D867,"&gt;=36526",D867,"&lt;"&amp;TODAY())+COUNTIFS(E867,"&gt;=36526",E867,"&lt;"&amp;TODAY())+COUNTIFS(F867,"&gt;=36526",F867,"&lt;"&amp;TODAY())&gt;0),O867,"")</x:f>
      </x:c>
      <x:c r="K867" t="str">
        <x:f>IF(AND(A867&lt;&gt;"",COUNTIFS(C867,"&gt;=36526",C867,TODAY())+COUNTIFS(D867,"&gt;=36526",D867,TODAY())+COUNTIFS(E867,"&gt;=36526",E867,TODAY())+COUNTIFS(F867,"&gt;=36526",F867,TODAY())&gt;0),P867,"")</x:f>
      </x:c>
      <x:c r="L867" t="str">
        <x:f>IF(AND(A867&lt;&gt;"",COUNTIFS(C867,"&gt;"&amp;TODAY(),C867,"&lt;="&amp;TODAY()+30)+COUNTIFS(D867,"&gt;"&amp;TODAY(),D867,"&lt;="&amp;TODAY()+30)+COUNTIFS(E867,"&gt;"&amp;TODAY(),E867,"&lt;="&amp;TODAY()+30)+COUNTIFS(F867,"&gt;"&amp;TODAY(),F867,"&lt;="&amp;TODAY()+30)&gt;0),Q867,"")</x:f>
      </x:c>
      <x:c r="M867" t="str">
        <x:f>IF(OR(LEFT(H867,15)="Missing dates; ",LEFT(H867,16)="Add N/A reason; ",H867="Add dates",H867="Add registration",H867="Check date format"),R867,"")</x:f>
      </x:c>
      <x:c r="N867" t="str">
        <x:f>IF(COUNTIFS(C867:F867,"Reviewed N/A")&gt;0,S867,"")</x:f>
      </x:c>
      <x:c r="O867" t="n">
        <x:f>O866+IF(AND(A867&lt;&gt;"",COUNTIFS(C867,"&gt;=36526",C867,"&lt;"&amp;TODAY())+COUNTIFS(D867,"&gt;=36526",D867,"&lt;"&amp;TODAY())+COUNTIFS(E867,"&gt;=36526",E867,"&lt;"&amp;TODAY())+COUNTIFS(F867,"&gt;=36526",F867,"&lt;"&amp;TODAY())&gt;0),1,0)</x:f>
        <x:v>0</x:v>
      </x:c>
      <x:c r="P867" t="n">
        <x:f>P866+IF(AND(A867&lt;&gt;"",COUNTIFS(C867,"&gt;=36526",C867,TODAY())+COUNTIFS(D867,"&gt;=36526",D867,TODAY())+COUNTIFS(E867,"&gt;=36526",E867,TODAY())+COUNTIFS(F867,"&gt;=36526",F867,TODAY())&gt;0),1,0)</x:f>
        <x:v>0</x:v>
      </x:c>
      <x:c r="Q867" t="n">
        <x:f>Q866+IF(AND(A867&lt;&gt;"",COUNTIFS(C867,"&gt;"&amp;TODAY(),C867,"&lt;="&amp;TODAY()+30)+COUNTIFS(D867,"&gt;"&amp;TODAY(),D867,"&lt;="&amp;TODAY()+30)+COUNTIFS(E867,"&gt;"&amp;TODAY(),E867,"&lt;="&amp;TODAY()+30)+COUNTIFS(F867,"&gt;"&amp;TODAY(),F867,"&lt;="&amp;TODAY()+30)&gt;0),1,0)</x:f>
        <x:v>0</x:v>
      </x:c>
      <x:c r="R867" t="n">
        <x:f>R866+IF(OR(LEFT(H867,15)="Missing dates; ",LEFT(H867,16)="Add N/A reason; ",H867="Add dates",H867="Add registration",H867="Check date format"),1,0)</x:f>
        <x:v>0</x:v>
      </x:c>
      <x:c r="S867" t="n">
        <x:f>S866+IF(COUNTIFS(C867:F867,"Reviewed N/A")&gt;0,1,0)</x:f>
        <x:v>0</x:v>
      </x:c>
    </x:row>
    <x:row r="868" ht="48" customHeight="1">
      <x:c r="A868" s="52"/>
      <x:c r="B868" s="52"/>
      <x:c r="C868" s="53"/>
      <x:c r="D868" s="53"/>
      <x:c r="E868" s="53"/>
      <x:c r="F868" s="53"/>
      <x:c r="G868" s="52"/>
      <x:c r="H868" s="21" t="str">
        <x:f>IF(COUNTA(A868:G868,I868)=0,"",IF(A868="","Add registration",IF(OR(COUNTA(C868:F868)&gt;COUNT(C868:F868)+COUNTIFS(C868:F868,"Reviewed N/A"),AND(COUNT(C868:F868)&gt;0,OR(MIN(C868:F868)&lt;36526,MAX(C868:F868)&gt;109574))),"Check date format",IF(AND(COUNTIFS(C868:F868,"Reviewed N/A")&gt;0,I868=""),"Add N/A reason; ","")&amp;IF(COUNT(C868:F868)=0,IF(COUNTIFS(C868:F868,"Reviewed N/A")=4,"No applicable dates recorded","Add dates"),IF(COUNT(C868:F868)+COUNTIFS(C868:F868,"Reviewed N/A")&lt;4,"Missing dates; ","")&amp;IF(MIN(C868:F868)&lt;TODAY(),"Overdue: ",IF(MIN(C868:F868)=TODAY(),"Due today: ",IF(MIN(C868:F868)&lt;=TODAY()+30,"Due within 30 days: ","Next: ")))&amp;INDEX($C$8:$F$8,1,MATCH(MIN(C868:F868),C868:F868,0))&amp;" "&amp;TEXT(MIN(C868:F868),"dd mmm yyyy")))))</x:f>
      </x:c>
      <x:c r="I868" s="52"/>
      <x:c r="J868" t="str">
        <x:f>IF(AND(A868&lt;&gt;"",COUNTIFS(C868,"&gt;=36526",C868,"&lt;"&amp;TODAY())+COUNTIFS(D868,"&gt;=36526",D868,"&lt;"&amp;TODAY())+COUNTIFS(E868,"&gt;=36526",E868,"&lt;"&amp;TODAY())+COUNTIFS(F868,"&gt;=36526",F868,"&lt;"&amp;TODAY())&gt;0),O868,"")</x:f>
      </x:c>
      <x:c r="K868" t="str">
        <x:f>IF(AND(A868&lt;&gt;"",COUNTIFS(C868,"&gt;=36526",C868,TODAY())+COUNTIFS(D868,"&gt;=36526",D868,TODAY())+COUNTIFS(E868,"&gt;=36526",E868,TODAY())+COUNTIFS(F868,"&gt;=36526",F868,TODAY())&gt;0),P868,"")</x:f>
      </x:c>
      <x:c r="L868" t="str">
        <x:f>IF(AND(A868&lt;&gt;"",COUNTIFS(C868,"&gt;"&amp;TODAY(),C868,"&lt;="&amp;TODAY()+30)+COUNTIFS(D868,"&gt;"&amp;TODAY(),D868,"&lt;="&amp;TODAY()+30)+COUNTIFS(E868,"&gt;"&amp;TODAY(),E868,"&lt;="&amp;TODAY()+30)+COUNTIFS(F868,"&gt;"&amp;TODAY(),F868,"&lt;="&amp;TODAY()+30)&gt;0),Q868,"")</x:f>
      </x:c>
      <x:c r="M868" t="str">
        <x:f>IF(OR(LEFT(H868,15)="Missing dates; ",LEFT(H868,16)="Add N/A reason; ",H868="Add dates",H868="Add registration",H868="Check date format"),R868,"")</x:f>
      </x:c>
      <x:c r="N868" t="str">
        <x:f>IF(COUNTIFS(C868:F868,"Reviewed N/A")&gt;0,S868,"")</x:f>
      </x:c>
      <x:c r="O868" t="n">
        <x:f>O867+IF(AND(A868&lt;&gt;"",COUNTIFS(C868,"&gt;=36526",C868,"&lt;"&amp;TODAY())+COUNTIFS(D868,"&gt;=36526",D868,"&lt;"&amp;TODAY())+COUNTIFS(E868,"&gt;=36526",E868,"&lt;"&amp;TODAY())+COUNTIFS(F868,"&gt;=36526",F868,"&lt;"&amp;TODAY())&gt;0),1,0)</x:f>
        <x:v>0</x:v>
      </x:c>
      <x:c r="P868" t="n">
        <x:f>P867+IF(AND(A868&lt;&gt;"",COUNTIFS(C868,"&gt;=36526",C868,TODAY())+COUNTIFS(D868,"&gt;=36526",D868,TODAY())+COUNTIFS(E868,"&gt;=36526",E868,TODAY())+COUNTIFS(F868,"&gt;=36526",F868,TODAY())&gt;0),1,0)</x:f>
        <x:v>0</x:v>
      </x:c>
      <x:c r="Q868" t="n">
        <x:f>Q867+IF(AND(A868&lt;&gt;"",COUNTIFS(C868,"&gt;"&amp;TODAY(),C868,"&lt;="&amp;TODAY()+30)+COUNTIFS(D868,"&gt;"&amp;TODAY(),D868,"&lt;="&amp;TODAY()+30)+COUNTIFS(E868,"&gt;"&amp;TODAY(),E868,"&lt;="&amp;TODAY()+30)+COUNTIFS(F868,"&gt;"&amp;TODAY(),F868,"&lt;="&amp;TODAY()+30)&gt;0),1,0)</x:f>
        <x:v>0</x:v>
      </x:c>
      <x:c r="R868" t="n">
        <x:f>R867+IF(OR(LEFT(H868,15)="Missing dates; ",LEFT(H868,16)="Add N/A reason; ",H868="Add dates",H868="Add registration",H868="Check date format"),1,0)</x:f>
        <x:v>0</x:v>
      </x:c>
      <x:c r="S868" t="n">
        <x:f>S867+IF(COUNTIFS(C868:F868,"Reviewed N/A")&gt;0,1,0)</x:f>
        <x:v>0</x:v>
      </x:c>
    </x:row>
    <x:row r="869" ht="48" customHeight="1">
      <x:c r="A869" s="52"/>
      <x:c r="B869" s="52"/>
      <x:c r="C869" s="53"/>
      <x:c r="D869" s="53"/>
      <x:c r="E869" s="53"/>
      <x:c r="F869" s="53"/>
      <x:c r="G869" s="52"/>
      <x:c r="H869" s="21" t="str">
        <x:f>IF(COUNTA(A869:G869,I869)=0,"",IF(A869="","Add registration",IF(OR(COUNTA(C869:F869)&gt;COUNT(C869:F869)+COUNTIFS(C869:F869,"Reviewed N/A"),AND(COUNT(C869:F869)&gt;0,OR(MIN(C869:F869)&lt;36526,MAX(C869:F869)&gt;109574))),"Check date format",IF(AND(COUNTIFS(C869:F869,"Reviewed N/A")&gt;0,I869=""),"Add N/A reason; ","")&amp;IF(COUNT(C869:F869)=0,IF(COUNTIFS(C869:F869,"Reviewed N/A")=4,"No applicable dates recorded","Add dates"),IF(COUNT(C869:F869)+COUNTIFS(C869:F869,"Reviewed N/A")&lt;4,"Missing dates; ","")&amp;IF(MIN(C869:F869)&lt;TODAY(),"Overdue: ",IF(MIN(C869:F869)=TODAY(),"Due today: ",IF(MIN(C869:F869)&lt;=TODAY()+30,"Due within 30 days: ","Next: ")))&amp;INDEX($C$8:$F$8,1,MATCH(MIN(C869:F869),C869:F869,0))&amp;" "&amp;TEXT(MIN(C869:F869),"dd mmm yyyy")))))</x:f>
      </x:c>
      <x:c r="I869" s="52"/>
      <x:c r="J869" t="str">
        <x:f>IF(AND(A869&lt;&gt;"",COUNTIFS(C869,"&gt;=36526",C869,"&lt;"&amp;TODAY())+COUNTIFS(D869,"&gt;=36526",D869,"&lt;"&amp;TODAY())+COUNTIFS(E869,"&gt;=36526",E869,"&lt;"&amp;TODAY())+COUNTIFS(F869,"&gt;=36526",F869,"&lt;"&amp;TODAY())&gt;0),O869,"")</x:f>
      </x:c>
      <x:c r="K869" t="str">
        <x:f>IF(AND(A869&lt;&gt;"",COUNTIFS(C869,"&gt;=36526",C869,TODAY())+COUNTIFS(D869,"&gt;=36526",D869,TODAY())+COUNTIFS(E869,"&gt;=36526",E869,TODAY())+COUNTIFS(F869,"&gt;=36526",F869,TODAY())&gt;0),P869,"")</x:f>
      </x:c>
      <x:c r="L869" t="str">
        <x:f>IF(AND(A869&lt;&gt;"",COUNTIFS(C869,"&gt;"&amp;TODAY(),C869,"&lt;="&amp;TODAY()+30)+COUNTIFS(D869,"&gt;"&amp;TODAY(),D869,"&lt;="&amp;TODAY()+30)+COUNTIFS(E869,"&gt;"&amp;TODAY(),E869,"&lt;="&amp;TODAY()+30)+COUNTIFS(F869,"&gt;"&amp;TODAY(),F869,"&lt;="&amp;TODAY()+30)&gt;0),Q869,"")</x:f>
      </x:c>
      <x:c r="M869" t="str">
        <x:f>IF(OR(LEFT(H869,15)="Missing dates; ",LEFT(H869,16)="Add N/A reason; ",H869="Add dates",H869="Add registration",H869="Check date format"),R869,"")</x:f>
      </x:c>
      <x:c r="N869" t="str">
        <x:f>IF(COUNTIFS(C869:F869,"Reviewed N/A")&gt;0,S869,"")</x:f>
      </x:c>
      <x:c r="O869" t="n">
        <x:f>O868+IF(AND(A869&lt;&gt;"",COUNTIFS(C869,"&gt;=36526",C869,"&lt;"&amp;TODAY())+COUNTIFS(D869,"&gt;=36526",D869,"&lt;"&amp;TODAY())+COUNTIFS(E869,"&gt;=36526",E869,"&lt;"&amp;TODAY())+COUNTIFS(F869,"&gt;=36526",F869,"&lt;"&amp;TODAY())&gt;0),1,0)</x:f>
        <x:v>0</x:v>
      </x:c>
      <x:c r="P869" t="n">
        <x:f>P868+IF(AND(A869&lt;&gt;"",COUNTIFS(C869,"&gt;=36526",C869,TODAY())+COUNTIFS(D869,"&gt;=36526",D869,TODAY())+COUNTIFS(E869,"&gt;=36526",E869,TODAY())+COUNTIFS(F869,"&gt;=36526",F869,TODAY())&gt;0),1,0)</x:f>
        <x:v>0</x:v>
      </x:c>
      <x:c r="Q869" t="n">
        <x:f>Q868+IF(AND(A869&lt;&gt;"",COUNTIFS(C869,"&gt;"&amp;TODAY(),C869,"&lt;="&amp;TODAY()+30)+COUNTIFS(D869,"&gt;"&amp;TODAY(),D869,"&lt;="&amp;TODAY()+30)+COUNTIFS(E869,"&gt;"&amp;TODAY(),E869,"&lt;="&amp;TODAY()+30)+COUNTIFS(F869,"&gt;"&amp;TODAY(),F869,"&lt;="&amp;TODAY()+30)&gt;0),1,0)</x:f>
        <x:v>0</x:v>
      </x:c>
      <x:c r="R869" t="n">
        <x:f>R868+IF(OR(LEFT(H869,15)="Missing dates; ",LEFT(H869,16)="Add N/A reason; ",H869="Add dates",H869="Add registration",H869="Check date format"),1,0)</x:f>
        <x:v>0</x:v>
      </x:c>
      <x:c r="S869" t="n">
        <x:f>S868+IF(COUNTIFS(C869:F869,"Reviewed N/A")&gt;0,1,0)</x:f>
        <x:v>0</x:v>
      </x:c>
    </x:row>
    <x:row r="870" ht="48" customHeight="1">
      <x:c r="A870" s="52"/>
      <x:c r="B870" s="52"/>
      <x:c r="C870" s="53"/>
      <x:c r="D870" s="53"/>
      <x:c r="E870" s="53"/>
      <x:c r="F870" s="53"/>
      <x:c r="G870" s="52"/>
      <x:c r="H870" s="21" t="str">
        <x:f>IF(COUNTA(A870:G870,I870)=0,"",IF(A870="","Add registration",IF(OR(COUNTA(C870:F870)&gt;COUNT(C870:F870)+COUNTIFS(C870:F870,"Reviewed N/A"),AND(COUNT(C870:F870)&gt;0,OR(MIN(C870:F870)&lt;36526,MAX(C870:F870)&gt;109574))),"Check date format",IF(AND(COUNTIFS(C870:F870,"Reviewed N/A")&gt;0,I870=""),"Add N/A reason; ","")&amp;IF(COUNT(C870:F870)=0,IF(COUNTIFS(C870:F870,"Reviewed N/A")=4,"No applicable dates recorded","Add dates"),IF(COUNT(C870:F870)+COUNTIFS(C870:F870,"Reviewed N/A")&lt;4,"Missing dates; ","")&amp;IF(MIN(C870:F870)&lt;TODAY(),"Overdue: ",IF(MIN(C870:F870)=TODAY(),"Due today: ",IF(MIN(C870:F870)&lt;=TODAY()+30,"Due within 30 days: ","Next: ")))&amp;INDEX($C$8:$F$8,1,MATCH(MIN(C870:F870),C870:F870,0))&amp;" "&amp;TEXT(MIN(C870:F870),"dd mmm yyyy")))))</x:f>
      </x:c>
      <x:c r="I870" s="52"/>
      <x:c r="J870" t="str">
        <x:f>IF(AND(A870&lt;&gt;"",COUNTIFS(C870,"&gt;=36526",C870,"&lt;"&amp;TODAY())+COUNTIFS(D870,"&gt;=36526",D870,"&lt;"&amp;TODAY())+COUNTIFS(E870,"&gt;=36526",E870,"&lt;"&amp;TODAY())+COUNTIFS(F870,"&gt;=36526",F870,"&lt;"&amp;TODAY())&gt;0),O870,"")</x:f>
      </x:c>
      <x:c r="K870" t="str">
        <x:f>IF(AND(A870&lt;&gt;"",COUNTIFS(C870,"&gt;=36526",C870,TODAY())+COUNTIFS(D870,"&gt;=36526",D870,TODAY())+COUNTIFS(E870,"&gt;=36526",E870,TODAY())+COUNTIFS(F870,"&gt;=36526",F870,TODAY())&gt;0),P870,"")</x:f>
      </x:c>
      <x:c r="L870" t="str">
        <x:f>IF(AND(A870&lt;&gt;"",COUNTIFS(C870,"&gt;"&amp;TODAY(),C870,"&lt;="&amp;TODAY()+30)+COUNTIFS(D870,"&gt;"&amp;TODAY(),D870,"&lt;="&amp;TODAY()+30)+COUNTIFS(E870,"&gt;"&amp;TODAY(),E870,"&lt;="&amp;TODAY()+30)+COUNTIFS(F870,"&gt;"&amp;TODAY(),F870,"&lt;="&amp;TODAY()+30)&gt;0),Q870,"")</x:f>
      </x:c>
      <x:c r="M870" t="str">
        <x:f>IF(OR(LEFT(H870,15)="Missing dates; ",LEFT(H870,16)="Add N/A reason; ",H870="Add dates",H870="Add registration",H870="Check date format"),R870,"")</x:f>
      </x:c>
      <x:c r="N870" t="str">
        <x:f>IF(COUNTIFS(C870:F870,"Reviewed N/A")&gt;0,S870,"")</x:f>
      </x:c>
      <x:c r="O870" t="n">
        <x:f>O869+IF(AND(A870&lt;&gt;"",COUNTIFS(C870,"&gt;=36526",C870,"&lt;"&amp;TODAY())+COUNTIFS(D870,"&gt;=36526",D870,"&lt;"&amp;TODAY())+COUNTIFS(E870,"&gt;=36526",E870,"&lt;"&amp;TODAY())+COUNTIFS(F870,"&gt;=36526",F870,"&lt;"&amp;TODAY())&gt;0),1,0)</x:f>
        <x:v>0</x:v>
      </x:c>
      <x:c r="P870" t="n">
        <x:f>P869+IF(AND(A870&lt;&gt;"",COUNTIFS(C870,"&gt;=36526",C870,TODAY())+COUNTIFS(D870,"&gt;=36526",D870,TODAY())+COUNTIFS(E870,"&gt;=36526",E870,TODAY())+COUNTIFS(F870,"&gt;=36526",F870,TODAY())&gt;0),1,0)</x:f>
        <x:v>0</x:v>
      </x:c>
      <x:c r="Q870" t="n">
        <x:f>Q869+IF(AND(A870&lt;&gt;"",COUNTIFS(C870,"&gt;"&amp;TODAY(),C870,"&lt;="&amp;TODAY()+30)+COUNTIFS(D870,"&gt;"&amp;TODAY(),D870,"&lt;="&amp;TODAY()+30)+COUNTIFS(E870,"&gt;"&amp;TODAY(),E870,"&lt;="&amp;TODAY()+30)+COUNTIFS(F870,"&gt;"&amp;TODAY(),F870,"&lt;="&amp;TODAY()+30)&gt;0),1,0)</x:f>
        <x:v>0</x:v>
      </x:c>
      <x:c r="R870" t="n">
        <x:f>R869+IF(OR(LEFT(H870,15)="Missing dates; ",LEFT(H870,16)="Add N/A reason; ",H870="Add dates",H870="Add registration",H870="Check date format"),1,0)</x:f>
        <x:v>0</x:v>
      </x:c>
      <x:c r="S870" t="n">
        <x:f>S869+IF(COUNTIFS(C870:F870,"Reviewed N/A")&gt;0,1,0)</x:f>
        <x:v>0</x:v>
      </x:c>
    </x:row>
    <x:row r="871" ht="48" customHeight="1">
      <x:c r="A871" s="52"/>
      <x:c r="B871" s="52"/>
      <x:c r="C871" s="53"/>
      <x:c r="D871" s="53"/>
      <x:c r="E871" s="53"/>
      <x:c r="F871" s="53"/>
      <x:c r="G871" s="52"/>
      <x:c r="H871" s="21" t="str">
        <x:f>IF(COUNTA(A871:G871,I871)=0,"",IF(A871="","Add registration",IF(OR(COUNTA(C871:F871)&gt;COUNT(C871:F871)+COUNTIFS(C871:F871,"Reviewed N/A"),AND(COUNT(C871:F871)&gt;0,OR(MIN(C871:F871)&lt;36526,MAX(C871:F871)&gt;109574))),"Check date format",IF(AND(COUNTIFS(C871:F871,"Reviewed N/A")&gt;0,I871=""),"Add N/A reason; ","")&amp;IF(COUNT(C871:F871)=0,IF(COUNTIFS(C871:F871,"Reviewed N/A")=4,"No applicable dates recorded","Add dates"),IF(COUNT(C871:F871)+COUNTIFS(C871:F871,"Reviewed N/A")&lt;4,"Missing dates; ","")&amp;IF(MIN(C871:F871)&lt;TODAY(),"Overdue: ",IF(MIN(C871:F871)=TODAY(),"Due today: ",IF(MIN(C871:F871)&lt;=TODAY()+30,"Due within 30 days: ","Next: ")))&amp;INDEX($C$8:$F$8,1,MATCH(MIN(C871:F871),C871:F871,0))&amp;" "&amp;TEXT(MIN(C871:F871),"dd mmm yyyy")))))</x:f>
      </x:c>
      <x:c r="I871" s="52"/>
      <x:c r="J871" t="str">
        <x:f>IF(AND(A871&lt;&gt;"",COUNTIFS(C871,"&gt;=36526",C871,"&lt;"&amp;TODAY())+COUNTIFS(D871,"&gt;=36526",D871,"&lt;"&amp;TODAY())+COUNTIFS(E871,"&gt;=36526",E871,"&lt;"&amp;TODAY())+COUNTIFS(F871,"&gt;=36526",F871,"&lt;"&amp;TODAY())&gt;0),O871,"")</x:f>
      </x:c>
      <x:c r="K871" t="str">
        <x:f>IF(AND(A871&lt;&gt;"",COUNTIFS(C871,"&gt;=36526",C871,TODAY())+COUNTIFS(D871,"&gt;=36526",D871,TODAY())+COUNTIFS(E871,"&gt;=36526",E871,TODAY())+COUNTIFS(F871,"&gt;=36526",F871,TODAY())&gt;0),P871,"")</x:f>
      </x:c>
      <x:c r="L871" t="str">
        <x:f>IF(AND(A871&lt;&gt;"",COUNTIFS(C871,"&gt;"&amp;TODAY(),C871,"&lt;="&amp;TODAY()+30)+COUNTIFS(D871,"&gt;"&amp;TODAY(),D871,"&lt;="&amp;TODAY()+30)+COUNTIFS(E871,"&gt;"&amp;TODAY(),E871,"&lt;="&amp;TODAY()+30)+COUNTIFS(F871,"&gt;"&amp;TODAY(),F871,"&lt;="&amp;TODAY()+30)&gt;0),Q871,"")</x:f>
      </x:c>
      <x:c r="M871" t="str">
        <x:f>IF(OR(LEFT(H871,15)="Missing dates; ",LEFT(H871,16)="Add N/A reason; ",H871="Add dates",H871="Add registration",H871="Check date format"),R871,"")</x:f>
      </x:c>
      <x:c r="N871" t="str">
        <x:f>IF(COUNTIFS(C871:F871,"Reviewed N/A")&gt;0,S871,"")</x:f>
      </x:c>
      <x:c r="O871" t="n">
        <x:f>O870+IF(AND(A871&lt;&gt;"",COUNTIFS(C871,"&gt;=36526",C871,"&lt;"&amp;TODAY())+COUNTIFS(D871,"&gt;=36526",D871,"&lt;"&amp;TODAY())+COUNTIFS(E871,"&gt;=36526",E871,"&lt;"&amp;TODAY())+COUNTIFS(F871,"&gt;=36526",F871,"&lt;"&amp;TODAY())&gt;0),1,0)</x:f>
        <x:v>0</x:v>
      </x:c>
      <x:c r="P871" t="n">
        <x:f>P870+IF(AND(A871&lt;&gt;"",COUNTIFS(C871,"&gt;=36526",C871,TODAY())+COUNTIFS(D871,"&gt;=36526",D871,TODAY())+COUNTIFS(E871,"&gt;=36526",E871,TODAY())+COUNTIFS(F871,"&gt;=36526",F871,TODAY())&gt;0),1,0)</x:f>
        <x:v>0</x:v>
      </x:c>
      <x:c r="Q871" t="n">
        <x:f>Q870+IF(AND(A871&lt;&gt;"",COUNTIFS(C871,"&gt;"&amp;TODAY(),C871,"&lt;="&amp;TODAY()+30)+COUNTIFS(D871,"&gt;"&amp;TODAY(),D871,"&lt;="&amp;TODAY()+30)+COUNTIFS(E871,"&gt;"&amp;TODAY(),E871,"&lt;="&amp;TODAY()+30)+COUNTIFS(F871,"&gt;"&amp;TODAY(),F871,"&lt;="&amp;TODAY()+30)&gt;0),1,0)</x:f>
        <x:v>0</x:v>
      </x:c>
      <x:c r="R871" t="n">
        <x:f>R870+IF(OR(LEFT(H871,15)="Missing dates; ",LEFT(H871,16)="Add N/A reason; ",H871="Add dates",H871="Add registration",H871="Check date format"),1,0)</x:f>
        <x:v>0</x:v>
      </x:c>
      <x:c r="S871" t="n">
        <x:f>S870+IF(COUNTIFS(C871:F871,"Reviewed N/A")&gt;0,1,0)</x:f>
        <x:v>0</x:v>
      </x:c>
    </x:row>
    <x:row r="872" ht="48" customHeight="1">
      <x:c r="A872" s="52"/>
      <x:c r="B872" s="52"/>
      <x:c r="C872" s="53"/>
      <x:c r="D872" s="53"/>
      <x:c r="E872" s="53"/>
      <x:c r="F872" s="53"/>
      <x:c r="G872" s="52"/>
      <x:c r="H872" s="21" t="str">
        <x:f>IF(COUNTA(A872:G872,I872)=0,"",IF(A872="","Add registration",IF(OR(COUNTA(C872:F872)&gt;COUNT(C872:F872)+COUNTIFS(C872:F872,"Reviewed N/A"),AND(COUNT(C872:F872)&gt;0,OR(MIN(C872:F872)&lt;36526,MAX(C872:F872)&gt;109574))),"Check date format",IF(AND(COUNTIFS(C872:F872,"Reviewed N/A")&gt;0,I872=""),"Add N/A reason; ","")&amp;IF(COUNT(C872:F872)=0,IF(COUNTIFS(C872:F872,"Reviewed N/A")=4,"No applicable dates recorded","Add dates"),IF(COUNT(C872:F872)+COUNTIFS(C872:F872,"Reviewed N/A")&lt;4,"Missing dates; ","")&amp;IF(MIN(C872:F872)&lt;TODAY(),"Overdue: ",IF(MIN(C872:F872)=TODAY(),"Due today: ",IF(MIN(C872:F872)&lt;=TODAY()+30,"Due within 30 days: ","Next: ")))&amp;INDEX($C$8:$F$8,1,MATCH(MIN(C872:F872),C872:F872,0))&amp;" "&amp;TEXT(MIN(C872:F872),"dd mmm yyyy")))))</x:f>
      </x:c>
      <x:c r="I872" s="52"/>
      <x:c r="J872" t="str">
        <x:f>IF(AND(A872&lt;&gt;"",COUNTIFS(C872,"&gt;=36526",C872,"&lt;"&amp;TODAY())+COUNTIFS(D872,"&gt;=36526",D872,"&lt;"&amp;TODAY())+COUNTIFS(E872,"&gt;=36526",E872,"&lt;"&amp;TODAY())+COUNTIFS(F872,"&gt;=36526",F872,"&lt;"&amp;TODAY())&gt;0),O872,"")</x:f>
      </x:c>
      <x:c r="K872" t="str">
        <x:f>IF(AND(A872&lt;&gt;"",COUNTIFS(C872,"&gt;=36526",C872,TODAY())+COUNTIFS(D872,"&gt;=36526",D872,TODAY())+COUNTIFS(E872,"&gt;=36526",E872,TODAY())+COUNTIFS(F872,"&gt;=36526",F872,TODAY())&gt;0),P872,"")</x:f>
      </x:c>
      <x:c r="L872" t="str">
        <x:f>IF(AND(A872&lt;&gt;"",COUNTIFS(C872,"&gt;"&amp;TODAY(),C872,"&lt;="&amp;TODAY()+30)+COUNTIFS(D872,"&gt;"&amp;TODAY(),D872,"&lt;="&amp;TODAY()+30)+COUNTIFS(E872,"&gt;"&amp;TODAY(),E872,"&lt;="&amp;TODAY()+30)+COUNTIFS(F872,"&gt;"&amp;TODAY(),F872,"&lt;="&amp;TODAY()+30)&gt;0),Q872,"")</x:f>
      </x:c>
      <x:c r="M872" t="str">
        <x:f>IF(OR(LEFT(H872,15)="Missing dates; ",LEFT(H872,16)="Add N/A reason; ",H872="Add dates",H872="Add registration",H872="Check date format"),R872,"")</x:f>
      </x:c>
      <x:c r="N872" t="str">
        <x:f>IF(COUNTIFS(C872:F872,"Reviewed N/A")&gt;0,S872,"")</x:f>
      </x:c>
      <x:c r="O872" t="n">
        <x:f>O871+IF(AND(A872&lt;&gt;"",COUNTIFS(C872,"&gt;=36526",C872,"&lt;"&amp;TODAY())+COUNTIFS(D872,"&gt;=36526",D872,"&lt;"&amp;TODAY())+COUNTIFS(E872,"&gt;=36526",E872,"&lt;"&amp;TODAY())+COUNTIFS(F872,"&gt;=36526",F872,"&lt;"&amp;TODAY())&gt;0),1,0)</x:f>
        <x:v>0</x:v>
      </x:c>
      <x:c r="P872" t="n">
        <x:f>P871+IF(AND(A872&lt;&gt;"",COUNTIFS(C872,"&gt;=36526",C872,TODAY())+COUNTIFS(D872,"&gt;=36526",D872,TODAY())+COUNTIFS(E872,"&gt;=36526",E872,TODAY())+COUNTIFS(F872,"&gt;=36526",F872,TODAY())&gt;0),1,0)</x:f>
        <x:v>0</x:v>
      </x:c>
      <x:c r="Q872" t="n">
        <x:f>Q871+IF(AND(A872&lt;&gt;"",COUNTIFS(C872,"&gt;"&amp;TODAY(),C872,"&lt;="&amp;TODAY()+30)+COUNTIFS(D872,"&gt;"&amp;TODAY(),D872,"&lt;="&amp;TODAY()+30)+COUNTIFS(E872,"&gt;"&amp;TODAY(),E872,"&lt;="&amp;TODAY()+30)+COUNTIFS(F872,"&gt;"&amp;TODAY(),F872,"&lt;="&amp;TODAY()+30)&gt;0),1,0)</x:f>
        <x:v>0</x:v>
      </x:c>
      <x:c r="R872" t="n">
        <x:f>R871+IF(OR(LEFT(H872,15)="Missing dates; ",LEFT(H872,16)="Add N/A reason; ",H872="Add dates",H872="Add registration",H872="Check date format"),1,0)</x:f>
        <x:v>0</x:v>
      </x:c>
      <x:c r="S872" t="n">
        <x:f>S871+IF(COUNTIFS(C872:F872,"Reviewed N/A")&gt;0,1,0)</x:f>
        <x:v>0</x:v>
      </x:c>
    </x:row>
    <x:row r="873" ht="48" customHeight="1">
      <x:c r="A873" s="52"/>
      <x:c r="B873" s="52"/>
      <x:c r="C873" s="53"/>
      <x:c r="D873" s="53"/>
      <x:c r="E873" s="53"/>
      <x:c r="F873" s="53"/>
      <x:c r="G873" s="52"/>
      <x:c r="H873" s="21" t="str">
        <x:f>IF(COUNTA(A873:G873,I873)=0,"",IF(A873="","Add registration",IF(OR(COUNTA(C873:F873)&gt;COUNT(C873:F873)+COUNTIFS(C873:F873,"Reviewed N/A"),AND(COUNT(C873:F873)&gt;0,OR(MIN(C873:F873)&lt;36526,MAX(C873:F873)&gt;109574))),"Check date format",IF(AND(COUNTIFS(C873:F873,"Reviewed N/A")&gt;0,I873=""),"Add N/A reason; ","")&amp;IF(COUNT(C873:F873)=0,IF(COUNTIFS(C873:F873,"Reviewed N/A")=4,"No applicable dates recorded","Add dates"),IF(COUNT(C873:F873)+COUNTIFS(C873:F873,"Reviewed N/A")&lt;4,"Missing dates; ","")&amp;IF(MIN(C873:F873)&lt;TODAY(),"Overdue: ",IF(MIN(C873:F873)=TODAY(),"Due today: ",IF(MIN(C873:F873)&lt;=TODAY()+30,"Due within 30 days: ","Next: ")))&amp;INDEX($C$8:$F$8,1,MATCH(MIN(C873:F873),C873:F873,0))&amp;" "&amp;TEXT(MIN(C873:F873),"dd mmm yyyy")))))</x:f>
      </x:c>
      <x:c r="I873" s="52"/>
      <x:c r="J873" t="str">
        <x:f>IF(AND(A873&lt;&gt;"",COUNTIFS(C873,"&gt;=36526",C873,"&lt;"&amp;TODAY())+COUNTIFS(D873,"&gt;=36526",D873,"&lt;"&amp;TODAY())+COUNTIFS(E873,"&gt;=36526",E873,"&lt;"&amp;TODAY())+COUNTIFS(F873,"&gt;=36526",F873,"&lt;"&amp;TODAY())&gt;0),O873,"")</x:f>
      </x:c>
      <x:c r="K873" t="str">
        <x:f>IF(AND(A873&lt;&gt;"",COUNTIFS(C873,"&gt;=36526",C873,TODAY())+COUNTIFS(D873,"&gt;=36526",D873,TODAY())+COUNTIFS(E873,"&gt;=36526",E873,TODAY())+COUNTIFS(F873,"&gt;=36526",F873,TODAY())&gt;0),P873,"")</x:f>
      </x:c>
      <x:c r="L873" t="str">
        <x:f>IF(AND(A873&lt;&gt;"",COUNTIFS(C873,"&gt;"&amp;TODAY(),C873,"&lt;="&amp;TODAY()+30)+COUNTIFS(D873,"&gt;"&amp;TODAY(),D873,"&lt;="&amp;TODAY()+30)+COUNTIFS(E873,"&gt;"&amp;TODAY(),E873,"&lt;="&amp;TODAY()+30)+COUNTIFS(F873,"&gt;"&amp;TODAY(),F873,"&lt;="&amp;TODAY()+30)&gt;0),Q873,"")</x:f>
      </x:c>
      <x:c r="M873" t="str">
        <x:f>IF(OR(LEFT(H873,15)="Missing dates; ",LEFT(H873,16)="Add N/A reason; ",H873="Add dates",H873="Add registration",H873="Check date format"),R873,"")</x:f>
      </x:c>
      <x:c r="N873" t="str">
        <x:f>IF(COUNTIFS(C873:F873,"Reviewed N/A")&gt;0,S873,"")</x:f>
      </x:c>
      <x:c r="O873" t="n">
        <x:f>O872+IF(AND(A873&lt;&gt;"",COUNTIFS(C873,"&gt;=36526",C873,"&lt;"&amp;TODAY())+COUNTIFS(D873,"&gt;=36526",D873,"&lt;"&amp;TODAY())+COUNTIFS(E873,"&gt;=36526",E873,"&lt;"&amp;TODAY())+COUNTIFS(F873,"&gt;=36526",F873,"&lt;"&amp;TODAY())&gt;0),1,0)</x:f>
        <x:v>0</x:v>
      </x:c>
      <x:c r="P873" t="n">
        <x:f>P872+IF(AND(A873&lt;&gt;"",COUNTIFS(C873,"&gt;=36526",C873,TODAY())+COUNTIFS(D873,"&gt;=36526",D873,TODAY())+COUNTIFS(E873,"&gt;=36526",E873,TODAY())+COUNTIFS(F873,"&gt;=36526",F873,TODAY())&gt;0),1,0)</x:f>
        <x:v>0</x:v>
      </x:c>
      <x:c r="Q873" t="n">
        <x:f>Q872+IF(AND(A873&lt;&gt;"",COUNTIFS(C873,"&gt;"&amp;TODAY(),C873,"&lt;="&amp;TODAY()+30)+COUNTIFS(D873,"&gt;"&amp;TODAY(),D873,"&lt;="&amp;TODAY()+30)+COUNTIFS(E873,"&gt;"&amp;TODAY(),E873,"&lt;="&amp;TODAY()+30)+COUNTIFS(F873,"&gt;"&amp;TODAY(),F873,"&lt;="&amp;TODAY()+30)&gt;0),1,0)</x:f>
        <x:v>0</x:v>
      </x:c>
      <x:c r="R873" t="n">
        <x:f>R872+IF(OR(LEFT(H873,15)="Missing dates; ",LEFT(H873,16)="Add N/A reason; ",H873="Add dates",H873="Add registration",H873="Check date format"),1,0)</x:f>
        <x:v>0</x:v>
      </x:c>
      <x:c r="S873" t="n">
        <x:f>S872+IF(COUNTIFS(C873:F873,"Reviewed N/A")&gt;0,1,0)</x:f>
        <x:v>0</x:v>
      </x:c>
    </x:row>
    <x:row r="874" ht="48" customHeight="1">
      <x:c r="A874" s="52"/>
      <x:c r="B874" s="52"/>
      <x:c r="C874" s="53"/>
      <x:c r="D874" s="53"/>
      <x:c r="E874" s="53"/>
      <x:c r="F874" s="53"/>
      <x:c r="G874" s="52"/>
      <x:c r="H874" s="21" t="str">
        <x:f>IF(COUNTA(A874:G874,I874)=0,"",IF(A874="","Add registration",IF(OR(COUNTA(C874:F874)&gt;COUNT(C874:F874)+COUNTIFS(C874:F874,"Reviewed N/A"),AND(COUNT(C874:F874)&gt;0,OR(MIN(C874:F874)&lt;36526,MAX(C874:F874)&gt;109574))),"Check date format",IF(AND(COUNTIFS(C874:F874,"Reviewed N/A")&gt;0,I874=""),"Add N/A reason; ","")&amp;IF(COUNT(C874:F874)=0,IF(COUNTIFS(C874:F874,"Reviewed N/A")=4,"No applicable dates recorded","Add dates"),IF(COUNT(C874:F874)+COUNTIFS(C874:F874,"Reviewed N/A")&lt;4,"Missing dates; ","")&amp;IF(MIN(C874:F874)&lt;TODAY(),"Overdue: ",IF(MIN(C874:F874)=TODAY(),"Due today: ",IF(MIN(C874:F874)&lt;=TODAY()+30,"Due within 30 days: ","Next: ")))&amp;INDEX($C$8:$F$8,1,MATCH(MIN(C874:F874),C874:F874,0))&amp;" "&amp;TEXT(MIN(C874:F874),"dd mmm yyyy")))))</x:f>
      </x:c>
      <x:c r="I874" s="52"/>
      <x:c r="J874" t="str">
        <x:f>IF(AND(A874&lt;&gt;"",COUNTIFS(C874,"&gt;=36526",C874,"&lt;"&amp;TODAY())+COUNTIFS(D874,"&gt;=36526",D874,"&lt;"&amp;TODAY())+COUNTIFS(E874,"&gt;=36526",E874,"&lt;"&amp;TODAY())+COUNTIFS(F874,"&gt;=36526",F874,"&lt;"&amp;TODAY())&gt;0),O874,"")</x:f>
      </x:c>
      <x:c r="K874" t="str">
        <x:f>IF(AND(A874&lt;&gt;"",COUNTIFS(C874,"&gt;=36526",C874,TODAY())+COUNTIFS(D874,"&gt;=36526",D874,TODAY())+COUNTIFS(E874,"&gt;=36526",E874,TODAY())+COUNTIFS(F874,"&gt;=36526",F874,TODAY())&gt;0),P874,"")</x:f>
      </x:c>
      <x:c r="L874" t="str">
        <x:f>IF(AND(A874&lt;&gt;"",COUNTIFS(C874,"&gt;"&amp;TODAY(),C874,"&lt;="&amp;TODAY()+30)+COUNTIFS(D874,"&gt;"&amp;TODAY(),D874,"&lt;="&amp;TODAY()+30)+COUNTIFS(E874,"&gt;"&amp;TODAY(),E874,"&lt;="&amp;TODAY()+30)+COUNTIFS(F874,"&gt;"&amp;TODAY(),F874,"&lt;="&amp;TODAY()+30)&gt;0),Q874,"")</x:f>
      </x:c>
      <x:c r="M874" t="str">
        <x:f>IF(OR(LEFT(H874,15)="Missing dates; ",LEFT(H874,16)="Add N/A reason; ",H874="Add dates",H874="Add registration",H874="Check date format"),R874,"")</x:f>
      </x:c>
      <x:c r="N874" t="str">
        <x:f>IF(COUNTIFS(C874:F874,"Reviewed N/A")&gt;0,S874,"")</x:f>
      </x:c>
      <x:c r="O874" t="n">
        <x:f>O873+IF(AND(A874&lt;&gt;"",COUNTIFS(C874,"&gt;=36526",C874,"&lt;"&amp;TODAY())+COUNTIFS(D874,"&gt;=36526",D874,"&lt;"&amp;TODAY())+COUNTIFS(E874,"&gt;=36526",E874,"&lt;"&amp;TODAY())+COUNTIFS(F874,"&gt;=36526",F874,"&lt;"&amp;TODAY())&gt;0),1,0)</x:f>
        <x:v>0</x:v>
      </x:c>
      <x:c r="P874" t="n">
        <x:f>P873+IF(AND(A874&lt;&gt;"",COUNTIFS(C874,"&gt;=36526",C874,TODAY())+COUNTIFS(D874,"&gt;=36526",D874,TODAY())+COUNTIFS(E874,"&gt;=36526",E874,TODAY())+COUNTIFS(F874,"&gt;=36526",F874,TODAY())&gt;0),1,0)</x:f>
        <x:v>0</x:v>
      </x:c>
      <x:c r="Q874" t="n">
        <x:f>Q873+IF(AND(A874&lt;&gt;"",COUNTIFS(C874,"&gt;"&amp;TODAY(),C874,"&lt;="&amp;TODAY()+30)+COUNTIFS(D874,"&gt;"&amp;TODAY(),D874,"&lt;="&amp;TODAY()+30)+COUNTIFS(E874,"&gt;"&amp;TODAY(),E874,"&lt;="&amp;TODAY()+30)+COUNTIFS(F874,"&gt;"&amp;TODAY(),F874,"&lt;="&amp;TODAY()+30)&gt;0),1,0)</x:f>
        <x:v>0</x:v>
      </x:c>
      <x:c r="R874" t="n">
        <x:f>R873+IF(OR(LEFT(H874,15)="Missing dates; ",LEFT(H874,16)="Add N/A reason; ",H874="Add dates",H874="Add registration",H874="Check date format"),1,0)</x:f>
        <x:v>0</x:v>
      </x:c>
      <x:c r="S874" t="n">
        <x:f>S873+IF(COUNTIFS(C874:F874,"Reviewed N/A")&gt;0,1,0)</x:f>
        <x:v>0</x:v>
      </x:c>
    </x:row>
    <x:row r="875" ht="48" customHeight="1">
      <x:c r="A875" s="52"/>
      <x:c r="B875" s="52"/>
      <x:c r="C875" s="53"/>
      <x:c r="D875" s="53"/>
      <x:c r="E875" s="53"/>
      <x:c r="F875" s="53"/>
      <x:c r="G875" s="52"/>
      <x:c r="H875" s="21" t="str">
        <x:f>IF(COUNTA(A875:G875,I875)=0,"",IF(A875="","Add registration",IF(OR(COUNTA(C875:F875)&gt;COUNT(C875:F875)+COUNTIFS(C875:F875,"Reviewed N/A"),AND(COUNT(C875:F875)&gt;0,OR(MIN(C875:F875)&lt;36526,MAX(C875:F875)&gt;109574))),"Check date format",IF(AND(COUNTIFS(C875:F875,"Reviewed N/A")&gt;0,I875=""),"Add N/A reason; ","")&amp;IF(COUNT(C875:F875)=0,IF(COUNTIFS(C875:F875,"Reviewed N/A")=4,"No applicable dates recorded","Add dates"),IF(COUNT(C875:F875)+COUNTIFS(C875:F875,"Reviewed N/A")&lt;4,"Missing dates; ","")&amp;IF(MIN(C875:F875)&lt;TODAY(),"Overdue: ",IF(MIN(C875:F875)=TODAY(),"Due today: ",IF(MIN(C875:F875)&lt;=TODAY()+30,"Due within 30 days: ","Next: ")))&amp;INDEX($C$8:$F$8,1,MATCH(MIN(C875:F875),C875:F875,0))&amp;" "&amp;TEXT(MIN(C875:F875),"dd mmm yyyy")))))</x:f>
      </x:c>
      <x:c r="I875" s="52"/>
      <x:c r="J875" t="str">
        <x:f>IF(AND(A875&lt;&gt;"",COUNTIFS(C875,"&gt;=36526",C875,"&lt;"&amp;TODAY())+COUNTIFS(D875,"&gt;=36526",D875,"&lt;"&amp;TODAY())+COUNTIFS(E875,"&gt;=36526",E875,"&lt;"&amp;TODAY())+COUNTIFS(F875,"&gt;=36526",F875,"&lt;"&amp;TODAY())&gt;0),O875,"")</x:f>
      </x:c>
      <x:c r="K875" t="str">
        <x:f>IF(AND(A875&lt;&gt;"",COUNTIFS(C875,"&gt;=36526",C875,TODAY())+COUNTIFS(D875,"&gt;=36526",D875,TODAY())+COUNTIFS(E875,"&gt;=36526",E875,TODAY())+COUNTIFS(F875,"&gt;=36526",F875,TODAY())&gt;0),P875,"")</x:f>
      </x:c>
      <x:c r="L875" t="str">
        <x:f>IF(AND(A875&lt;&gt;"",COUNTIFS(C875,"&gt;"&amp;TODAY(),C875,"&lt;="&amp;TODAY()+30)+COUNTIFS(D875,"&gt;"&amp;TODAY(),D875,"&lt;="&amp;TODAY()+30)+COUNTIFS(E875,"&gt;"&amp;TODAY(),E875,"&lt;="&amp;TODAY()+30)+COUNTIFS(F875,"&gt;"&amp;TODAY(),F875,"&lt;="&amp;TODAY()+30)&gt;0),Q875,"")</x:f>
      </x:c>
      <x:c r="M875" t="str">
        <x:f>IF(OR(LEFT(H875,15)="Missing dates; ",LEFT(H875,16)="Add N/A reason; ",H875="Add dates",H875="Add registration",H875="Check date format"),R875,"")</x:f>
      </x:c>
      <x:c r="N875" t="str">
        <x:f>IF(COUNTIFS(C875:F875,"Reviewed N/A")&gt;0,S875,"")</x:f>
      </x:c>
      <x:c r="O875" t="n">
        <x:f>O874+IF(AND(A875&lt;&gt;"",COUNTIFS(C875,"&gt;=36526",C875,"&lt;"&amp;TODAY())+COUNTIFS(D875,"&gt;=36526",D875,"&lt;"&amp;TODAY())+COUNTIFS(E875,"&gt;=36526",E875,"&lt;"&amp;TODAY())+COUNTIFS(F875,"&gt;=36526",F875,"&lt;"&amp;TODAY())&gt;0),1,0)</x:f>
        <x:v>0</x:v>
      </x:c>
      <x:c r="P875" t="n">
        <x:f>P874+IF(AND(A875&lt;&gt;"",COUNTIFS(C875,"&gt;=36526",C875,TODAY())+COUNTIFS(D875,"&gt;=36526",D875,TODAY())+COUNTIFS(E875,"&gt;=36526",E875,TODAY())+COUNTIFS(F875,"&gt;=36526",F875,TODAY())&gt;0),1,0)</x:f>
        <x:v>0</x:v>
      </x:c>
      <x:c r="Q875" t="n">
        <x:f>Q874+IF(AND(A875&lt;&gt;"",COUNTIFS(C875,"&gt;"&amp;TODAY(),C875,"&lt;="&amp;TODAY()+30)+COUNTIFS(D875,"&gt;"&amp;TODAY(),D875,"&lt;="&amp;TODAY()+30)+COUNTIFS(E875,"&gt;"&amp;TODAY(),E875,"&lt;="&amp;TODAY()+30)+COUNTIFS(F875,"&gt;"&amp;TODAY(),F875,"&lt;="&amp;TODAY()+30)&gt;0),1,0)</x:f>
        <x:v>0</x:v>
      </x:c>
      <x:c r="R875" t="n">
        <x:f>R874+IF(OR(LEFT(H875,15)="Missing dates; ",LEFT(H875,16)="Add N/A reason; ",H875="Add dates",H875="Add registration",H875="Check date format"),1,0)</x:f>
        <x:v>0</x:v>
      </x:c>
      <x:c r="S875" t="n">
        <x:f>S874+IF(COUNTIFS(C875:F875,"Reviewed N/A")&gt;0,1,0)</x:f>
        <x:v>0</x:v>
      </x:c>
    </x:row>
    <x:row r="876" ht="48" customHeight="1">
      <x:c r="A876" s="52"/>
      <x:c r="B876" s="52"/>
      <x:c r="C876" s="53"/>
      <x:c r="D876" s="53"/>
      <x:c r="E876" s="53"/>
      <x:c r="F876" s="53"/>
      <x:c r="G876" s="52"/>
      <x:c r="H876" s="21" t="str">
        <x:f>IF(COUNTA(A876:G876,I876)=0,"",IF(A876="","Add registration",IF(OR(COUNTA(C876:F876)&gt;COUNT(C876:F876)+COUNTIFS(C876:F876,"Reviewed N/A"),AND(COUNT(C876:F876)&gt;0,OR(MIN(C876:F876)&lt;36526,MAX(C876:F876)&gt;109574))),"Check date format",IF(AND(COUNTIFS(C876:F876,"Reviewed N/A")&gt;0,I876=""),"Add N/A reason; ","")&amp;IF(COUNT(C876:F876)=0,IF(COUNTIFS(C876:F876,"Reviewed N/A")=4,"No applicable dates recorded","Add dates"),IF(COUNT(C876:F876)+COUNTIFS(C876:F876,"Reviewed N/A")&lt;4,"Missing dates; ","")&amp;IF(MIN(C876:F876)&lt;TODAY(),"Overdue: ",IF(MIN(C876:F876)=TODAY(),"Due today: ",IF(MIN(C876:F876)&lt;=TODAY()+30,"Due within 30 days: ","Next: ")))&amp;INDEX($C$8:$F$8,1,MATCH(MIN(C876:F876),C876:F876,0))&amp;" "&amp;TEXT(MIN(C876:F876),"dd mmm yyyy")))))</x:f>
      </x:c>
      <x:c r="I876" s="52"/>
      <x:c r="J876" t="str">
        <x:f>IF(AND(A876&lt;&gt;"",COUNTIFS(C876,"&gt;=36526",C876,"&lt;"&amp;TODAY())+COUNTIFS(D876,"&gt;=36526",D876,"&lt;"&amp;TODAY())+COUNTIFS(E876,"&gt;=36526",E876,"&lt;"&amp;TODAY())+COUNTIFS(F876,"&gt;=36526",F876,"&lt;"&amp;TODAY())&gt;0),O876,"")</x:f>
      </x:c>
      <x:c r="K876" t="str">
        <x:f>IF(AND(A876&lt;&gt;"",COUNTIFS(C876,"&gt;=36526",C876,TODAY())+COUNTIFS(D876,"&gt;=36526",D876,TODAY())+COUNTIFS(E876,"&gt;=36526",E876,TODAY())+COUNTIFS(F876,"&gt;=36526",F876,TODAY())&gt;0),P876,"")</x:f>
      </x:c>
      <x:c r="L876" t="str">
        <x:f>IF(AND(A876&lt;&gt;"",COUNTIFS(C876,"&gt;"&amp;TODAY(),C876,"&lt;="&amp;TODAY()+30)+COUNTIFS(D876,"&gt;"&amp;TODAY(),D876,"&lt;="&amp;TODAY()+30)+COUNTIFS(E876,"&gt;"&amp;TODAY(),E876,"&lt;="&amp;TODAY()+30)+COUNTIFS(F876,"&gt;"&amp;TODAY(),F876,"&lt;="&amp;TODAY()+30)&gt;0),Q876,"")</x:f>
      </x:c>
      <x:c r="M876" t="str">
        <x:f>IF(OR(LEFT(H876,15)="Missing dates; ",LEFT(H876,16)="Add N/A reason; ",H876="Add dates",H876="Add registration",H876="Check date format"),R876,"")</x:f>
      </x:c>
      <x:c r="N876" t="str">
        <x:f>IF(COUNTIFS(C876:F876,"Reviewed N/A")&gt;0,S876,"")</x:f>
      </x:c>
      <x:c r="O876" t="n">
        <x:f>O875+IF(AND(A876&lt;&gt;"",COUNTIFS(C876,"&gt;=36526",C876,"&lt;"&amp;TODAY())+COUNTIFS(D876,"&gt;=36526",D876,"&lt;"&amp;TODAY())+COUNTIFS(E876,"&gt;=36526",E876,"&lt;"&amp;TODAY())+COUNTIFS(F876,"&gt;=36526",F876,"&lt;"&amp;TODAY())&gt;0),1,0)</x:f>
        <x:v>0</x:v>
      </x:c>
      <x:c r="P876" t="n">
        <x:f>P875+IF(AND(A876&lt;&gt;"",COUNTIFS(C876,"&gt;=36526",C876,TODAY())+COUNTIFS(D876,"&gt;=36526",D876,TODAY())+COUNTIFS(E876,"&gt;=36526",E876,TODAY())+COUNTIFS(F876,"&gt;=36526",F876,TODAY())&gt;0),1,0)</x:f>
        <x:v>0</x:v>
      </x:c>
      <x:c r="Q876" t="n">
        <x:f>Q875+IF(AND(A876&lt;&gt;"",COUNTIFS(C876,"&gt;"&amp;TODAY(),C876,"&lt;="&amp;TODAY()+30)+COUNTIFS(D876,"&gt;"&amp;TODAY(),D876,"&lt;="&amp;TODAY()+30)+COUNTIFS(E876,"&gt;"&amp;TODAY(),E876,"&lt;="&amp;TODAY()+30)+COUNTIFS(F876,"&gt;"&amp;TODAY(),F876,"&lt;="&amp;TODAY()+30)&gt;0),1,0)</x:f>
        <x:v>0</x:v>
      </x:c>
      <x:c r="R876" t="n">
        <x:f>R875+IF(OR(LEFT(H876,15)="Missing dates; ",LEFT(H876,16)="Add N/A reason; ",H876="Add dates",H876="Add registration",H876="Check date format"),1,0)</x:f>
        <x:v>0</x:v>
      </x:c>
      <x:c r="S876" t="n">
        <x:f>S875+IF(COUNTIFS(C876:F876,"Reviewed N/A")&gt;0,1,0)</x:f>
        <x:v>0</x:v>
      </x:c>
    </x:row>
    <x:row r="877" ht="48" customHeight="1">
      <x:c r="A877" s="52"/>
      <x:c r="B877" s="52"/>
      <x:c r="C877" s="53"/>
      <x:c r="D877" s="53"/>
      <x:c r="E877" s="53"/>
      <x:c r="F877" s="53"/>
      <x:c r="G877" s="52"/>
      <x:c r="H877" s="21" t="str">
        <x:f>IF(COUNTA(A877:G877,I877)=0,"",IF(A877="","Add registration",IF(OR(COUNTA(C877:F877)&gt;COUNT(C877:F877)+COUNTIFS(C877:F877,"Reviewed N/A"),AND(COUNT(C877:F877)&gt;0,OR(MIN(C877:F877)&lt;36526,MAX(C877:F877)&gt;109574))),"Check date format",IF(AND(COUNTIFS(C877:F877,"Reviewed N/A")&gt;0,I877=""),"Add N/A reason; ","")&amp;IF(COUNT(C877:F877)=0,IF(COUNTIFS(C877:F877,"Reviewed N/A")=4,"No applicable dates recorded","Add dates"),IF(COUNT(C877:F877)+COUNTIFS(C877:F877,"Reviewed N/A")&lt;4,"Missing dates; ","")&amp;IF(MIN(C877:F877)&lt;TODAY(),"Overdue: ",IF(MIN(C877:F877)=TODAY(),"Due today: ",IF(MIN(C877:F877)&lt;=TODAY()+30,"Due within 30 days: ","Next: ")))&amp;INDEX($C$8:$F$8,1,MATCH(MIN(C877:F877),C877:F877,0))&amp;" "&amp;TEXT(MIN(C877:F877),"dd mmm yyyy")))))</x:f>
      </x:c>
      <x:c r="I877" s="52"/>
      <x:c r="J877" t="str">
        <x:f>IF(AND(A877&lt;&gt;"",COUNTIFS(C877,"&gt;=36526",C877,"&lt;"&amp;TODAY())+COUNTIFS(D877,"&gt;=36526",D877,"&lt;"&amp;TODAY())+COUNTIFS(E877,"&gt;=36526",E877,"&lt;"&amp;TODAY())+COUNTIFS(F877,"&gt;=36526",F877,"&lt;"&amp;TODAY())&gt;0),O877,"")</x:f>
      </x:c>
      <x:c r="K877" t="str">
        <x:f>IF(AND(A877&lt;&gt;"",COUNTIFS(C877,"&gt;=36526",C877,TODAY())+COUNTIFS(D877,"&gt;=36526",D877,TODAY())+COUNTIFS(E877,"&gt;=36526",E877,TODAY())+COUNTIFS(F877,"&gt;=36526",F877,TODAY())&gt;0),P877,"")</x:f>
      </x:c>
      <x:c r="L877" t="str">
        <x:f>IF(AND(A877&lt;&gt;"",COUNTIFS(C877,"&gt;"&amp;TODAY(),C877,"&lt;="&amp;TODAY()+30)+COUNTIFS(D877,"&gt;"&amp;TODAY(),D877,"&lt;="&amp;TODAY()+30)+COUNTIFS(E877,"&gt;"&amp;TODAY(),E877,"&lt;="&amp;TODAY()+30)+COUNTIFS(F877,"&gt;"&amp;TODAY(),F877,"&lt;="&amp;TODAY()+30)&gt;0),Q877,"")</x:f>
      </x:c>
      <x:c r="M877" t="str">
        <x:f>IF(OR(LEFT(H877,15)="Missing dates; ",LEFT(H877,16)="Add N/A reason; ",H877="Add dates",H877="Add registration",H877="Check date format"),R877,"")</x:f>
      </x:c>
      <x:c r="N877" t="str">
        <x:f>IF(COUNTIFS(C877:F877,"Reviewed N/A")&gt;0,S877,"")</x:f>
      </x:c>
      <x:c r="O877" t="n">
        <x:f>O876+IF(AND(A877&lt;&gt;"",COUNTIFS(C877,"&gt;=36526",C877,"&lt;"&amp;TODAY())+COUNTIFS(D877,"&gt;=36526",D877,"&lt;"&amp;TODAY())+COUNTIFS(E877,"&gt;=36526",E877,"&lt;"&amp;TODAY())+COUNTIFS(F877,"&gt;=36526",F877,"&lt;"&amp;TODAY())&gt;0),1,0)</x:f>
        <x:v>0</x:v>
      </x:c>
      <x:c r="P877" t="n">
        <x:f>P876+IF(AND(A877&lt;&gt;"",COUNTIFS(C877,"&gt;=36526",C877,TODAY())+COUNTIFS(D877,"&gt;=36526",D877,TODAY())+COUNTIFS(E877,"&gt;=36526",E877,TODAY())+COUNTIFS(F877,"&gt;=36526",F877,TODAY())&gt;0),1,0)</x:f>
        <x:v>0</x:v>
      </x:c>
      <x:c r="Q877" t="n">
        <x:f>Q876+IF(AND(A877&lt;&gt;"",COUNTIFS(C877,"&gt;"&amp;TODAY(),C877,"&lt;="&amp;TODAY()+30)+COUNTIFS(D877,"&gt;"&amp;TODAY(),D877,"&lt;="&amp;TODAY()+30)+COUNTIFS(E877,"&gt;"&amp;TODAY(),E877,"&lt;="&amp;TODAY()+30)+COUNTIFS(F877,"&gt;"&amp;TODAY(),F877,"&lt;="&amp;TODAY()+30)&gt;0),1,0)</x:f>
        <x:v>0</x:v>
      </x:c>
      <x:c r="R877" t="n">
        <x:f>R876+IF(OR(LEFT(H877,15)="Missing dates; ",LEFT(H877,16)="Add N/A reason; ",H877="Add dates",H877="Add registration",H877="Check date format"),1,0)</x:f>
        <x:v>0</x:v>
      </x:c>
      <x:c r="S877" t="n">
        <x:f>S876+IF(COUNTIFS(C877:F877,"Reviewed N/A")&gt;0,1,0)</x:f>
        <x:v>0</x:v>
      </x:c>
    </x:row>
    <x:row r="878" ht="48" customHeight="1">
      <x:c r="A878" s="52"/>
      <x:c r="B878" s="52"/>
      <x:c r="C878" s="53"/>
      <x:c r="D878" s="53"/>
      <x:c r="E878" s="53"/>
      <x:c r="F878" s="53"/>
      <x:c r="G878" s="52"/>
      <x:c r="H878" s="21" t="str">
        <x:f>IF(COUNTA(A878:G878,I878)=0,"",IF(A878="","Add registration",IF(OR(COUNTA(C878:F878)&gt;COUNT(C878:F878)+COUNTIFS(C878:F878,"Reviewed N/A"),AND(COUNT(C878:F878)&gt;0,OR(MIN(C878:F878)&lt;36526,MAX(C878:F878)&gt;109574))),"Check date format",IF(AND(COUNTIFS(C878:F878,"Reviewed N/A")&gt;0,I878=""),"Add N/A reason; ","")&amp;IF(COUNT(C878:F878)=0,IF(COUNTIFS(C878:F878,"Reviewed N/A")=4,"No applicable dates recorded","Add dates"),IF(COUNT(C878:F878)+COUNTIFS(C878:F878,"Reviewed N/A")&lt;4,"Missing dates; ","")&amp;IF(MIN(C878:F878)&lt;TODAY(),"Overdue: ",IF(MIN(C878:F878)=TODAY(),"Due today: ",IF(MIN(C878:F878)&lt;=TODAY()+30,"Due within 30 days: ","Next: ")))&amp;INDEX($C$8:$F$8,1,MATCH(MIN(C878:F878),C878:F878,0))&amp;" "&amp;TEXT(MIN(C878:F878),"dd mmm yyyy")))))</x:f>
      </x:c>
      <x:c r="I878" s="52"/>
      <x:c r="J878" t="str">
        <x:f>IF(AND(A878&lt;&gt;"",COUNTIFS(C878,"&gt;=36526",C878,"&lt;"&amp;TODAY())+COUNTIFS(D878,"&gt;=36526",D878,"&lt;"&amp;TODAY())+COUNTIFS(E878,"&gt;=36526",E878,"&lt;"&amp;TODAY())+COUNTIFS(F878,"&gt;=36526",F878,"&lt;"&amp;TODAY())&gt;0),O878,"")</x:f>
      </x:c>
      <x:c r="K878" t="str">
        <x:f>IF(AND(A878&lt;&gt;"",COUNTIFS(C878,"&gt;=36526",C878,TODAY())+COUNTIFS(D878,"&gt;=36526",D878,TODAY())+COUNTIFS(E878,"&gt;=36526",E878,TODAY())+COUNTIFS(F878,"&gt;=36526",F878,TODAY())&gt;0),P878,"")</x:f>
      </x:c>
      <x:c r="L878" t="str">
        <x:f>IF(AND(A878&lt;&gt;"",COUNTIFS(C878,"&gt;"&amp;TODAY(),C878,"&lt;="&amp;TODAY()+30)+COUNTIFS(D878,"&gt;"&amp;TODAY(),D878,"&lt;="&amp;TODAY()+30)+COUNTIFS(E878,"&gt;"&amp;TODAY(),E878,"&lt;="&amp;TODAY()+30)+COUNTIFS(F878,"&gt;"&amp;TODAY(),F878,"&lt;="&amp;TODAY()+30)&gt;0),Q878,"")</x:f>
      </x:c>
      <x:c r="M878" t="str">
        <x:f>IF(OR(LEFT(H878,15)="Missing dates; ",LEFT(H878,16)="Add N/A reason; ",H878="Add dates",H878="Add registration",H878="Check date format"),R878,"")</x:f>
      </x:c>
      <x:c r="N878" t="str">
        <x:f>IF(COUNTIFS(C878:F878,"Reviewed N/A")&gt;0,S878,"")</x:f>
      </x:c>
      <x:c r="O878" t="n">
        <x:f>O877+IF(AND(A878&lt;&gt;"",COUNTIFS(C878,"&gt;=36526",C878,"&lt;"&amp;TODAY())+COUNTIFS(D878,"&gt;=36526",D878,"&lt;"&amp;TODAY())+COUNTIFS(E878,"&gt;=36526",E878,"&lt;"&amp;TODAY())+COUNTIFS(F878,"&gt;=36526",F878,"&lt;"&amp;TODAY())&gt;0),1,0)</x:f>
        <x:v>0</x:v>
      </x:c>
      <x:c r="P878" t="n">
        <x:f>P877+IF(AND(A878&lt;&gt;"",COUNTIFS(C878,"&gt;=36526",C878,TODAY())+COUNTIFS(D878,"&gt;=36526",D878,TODAY())+COUNTIFS(E878,"&gt;=36526",E878,TODAY())+COUNTIFS(F878,"&gt;=36526",F878,TODAY())&gt;0),1,0)</x:f>
        <x:v>0</x:v>
      </x:c>
      <x:c r="Q878" t="n">
        <x:f>Q877+IF(AND(A878&lt;&gt;"",COUNTIFS(C878,"&gt;"&amp;TODAY(),C878,"&lt;="&amp;TODAY()+30)+COUNTIFS(D878,"&gt;"&amp;TODAY(),D878,"&lt;="&amp;TODAY()+30)+COUNTIFS(E878,"&gt;"&amp;TODAY(),E878,"&lt;="&amp;TODAY()+30)+COUNTIFS(F878,"&gt;"&amp;TODAY(),F878,"&lt;="&amp;TODAY()+30)&gt;0),1,0)</x:f>
        <x:v>0</x:v>
      </x:c>
      <x:c r="R878" t="n">
        <x:f>R877+IF(OR(LEFT(H878,15)="Missing dates; ",LEFT(H878,16)="Add N/A reason; ",H878="Add dates",H878="Add registration",H878="Check date format"),1,0)</x:f>
        <x:v>0</x:v>
      </x:c>
      <x:c r="S878" t="n">
        <x:f>S877+IF(COUNTIFS(C878:F878,"Reviewed N/A")&gt;0,1,0)</x:f>
        <x:v>0</x:v>
      </x:c>
    </x:row>
    <x:row r="879" ht="48" customHeight="1">
      <x:c r="A879" s="52"/>
      <x:c r="B879" s="52"/>
      <x:c r="C879" s="53"/>
      <x:c r="D879" s="53"/>
      <x:c r="E879" s="53"/>
      <x:c r="F879" s="53"/>
      <x:c r="G879" s="52"/>
      <x:c r="H879" s="21" t="str">
        <x:f>IF(COUNTA(A879:G879,I879)=0,"",IF(A879="","Add registration",IF(OR(COUNTA(C879:F879)&gt;COUNT(C879:F879)+COUNTIFS(C879:F879,"Reviewed N/A"),AND(COUNT(C879:F879)&gt;0,OR(MIN(C879:F879)&lt;36526,MAX(C879:F879)&gt;109574))),"Check date format",IF(AND(COUNTIFS(C879:F879,"Reviewed N/A")&gt;0,I879=""),"Add N/A reason; ","")&amp;IF(COUNT(C879:F879)=0,IF(COUNTIFS(C879:F879,"Reviewed N/A")=4,"No applicable dates recorded","Add dates"),IF(COUNT(C879:F879)+COUNTIFS(C879:F879,"Reviewed N/A")&lt;4,"Missing dates; ","")&amp;IF(MIN(C879:F879)&lt;TODAY(),"Overdue: ",IF(MIN(C879:F879)=TODAY(),"Due today: ",IF(MIN(C879:F879)&lt;=TODAY()+30,"Due within 30 days: ","Next: ")))&amp;INDEX($C$8:$F$8,1,MATCH(MIN(C879:F879),C879:F879,0))&amp;" "&amp;TEXT(MIN(C879:F879),"dd mmm yyyy")))))</x:f>
      </x:c>
      <x:c r="I879" s="52"/>
      <x:c r="J879" t="str">
        <x:f>IF(AND(A879&lt;&gt;"",COUNTIFS(C879,"&gt;=36526",C879,"&lt;"&amp;TODAY())+COUNTIFS(D879,"&gt;=36526",D879,"&lt;"&amp;TODAY())+COUNTIFS(E879,"&gt;=36526",E879,"&lt;"&amp;TODAY())+COUNTIFS(F879,"&gt;=36526",F879,"&lt;"&amp;TODAY())&gt;0),O879,"")</x:f>
      </x:c>
      <x:c r="K879" t="str">
        <x:f>IF(AND(A879&lt;&gt;"",COUNTIFS(C879,"&gt;=36526",C879,TODAY())+COUNTIFS(D879,"&gt;=36526",D879,TODAY())+COUNTIFS(E879,"&gt;=36526",E879,TODAY())+COUNTIFS(F879,"&gt;=36526",F879,TODAY())&gt;0),P879,"")</x:f>
      </x:c>
      <x:c r="L879" t="str">
        <x:f>IF(AND(A879&lt;&gt;"",COUNTIFS(C879,"&gt;"&amp;TODAY(),C879,"&lt;="&amp;TODAY()+30)+COUNTIFS(D879,"&gt;"&amp;TODAY(),D879,"&lt;="&amp;TODAY()+30)+COUNTIFS(E879,"&gt;"&amp;TODAY(),E879,"&lt;="&amp;TODAY()+30)+COUNTIFS(F879,"&gt;"&amp;TODAY(),F879,"&lt;="&amp;TODAY()+30)&gt;0),Q879,"")</x:f>
      </x:c>
      <x:c r="M879" t="str">
        <x:f>IF(OR(LEFT(H879,15)="Missing dates; ",LEFT(H879,16)="Add N/A reason; ",H879="Add dates",H879="Add registration",H879="Check date format"),R879,"")</x:f>
      </x:c>
      <x:c r="N879" t="str">
        <x:f>IF(COUNTIFS(C879:F879,"Reviewed N/A")&gt;0,S879,"")</x:f>
      </x:c>
      <x:c r="O879" t="n">
        <x:f>O878+IF(AND(A879&lt;&gt;"",COUNTIFS(C879,"&gt;=36526",C879,"&lt;"&amp;TODAY())+COUNTIFS(D879,"&gt;=36526",D879,"&lt;"&amp;TODAY())+COUNTIFS(E879,"&gt;=36526",E879,"&lt;"&amp;TODAY())+COUNTIFS(F879,"&gt;=36526",F879,"&lt;"&amp;TODAY())&gt;0),1,0)</x:f>
        <x:v>0</x:v>
      </x:c>
      <x:c r="P879" t="n">
        <x:f>P878+IF(AND(A879&lt;&gt;"",COUNTIFS(C879,"&gt;=36526",C879,TODAY())+COUNTIFS(D879,"&gt;=36526",D879,TODAY())+COUNTIFS(E879,"&gt;=36526",E879,TODAY())+COUNTIFS(F879,"&gt;=36526",F879,TODAY())&gt;0),1,0)</x:f>
        <x:v>0</x:v>
      </x:c>
      <x:c r="Q879" t="n">
        <x:f>Q878+IF(AND(A879&lt;&gt;"",COUNTIFS(C879,"&gt;"&amp;TODAY(),C879,"&lt;="&amp;TODAY()+30)+COUNTIFS(D879,"&gt;"&amp;TODAY(),D879,"&lt;="&amp;TODAY()+30)+COUNTIFS(E879,"&gt;"&amp;TODAY(),E879,"&lt;="&amp;TODAY()+30)+COUNTIFS(F879,"&gt;"&amp;TODAY(),F879,"&lt;="&amp;TODAY()+30)&gt;0),1,0)</x:f>
        <x:v>0</x:v>
      </x:c>
      <x:c r="R879" t="n">
        <x:f>R878+IF(OR(LEFT(H879,15)="Missing dates; ",LEFT(H879,16)="Add N/A reason; ",H879="Add dates",H879="Add registration",H879="Check date format"),1,0)</x:f>
        <x:v>0</x:v>
      </x:c>
      <x:c r="S879" t="n">
        <x:f>S878+IF(COUNTIFS(C879:F879,"Reviewed N/A")&gt;0,1,0)</x:f>
        <x:v>0</x:v>
      </x:c>
    </x:row>
    <x:row r="880" ht="48" customHeight="1">
      <x:c r="A880" s="52"/>
      <x:c r="B880" s="52"/>
      <x:c r="C880" s="53"/>
      <x:c r="D880" s="53"/>
      <x:c r="E880" s="53"/>
      <x:c r="F880" s="53"/>
      <x:c r="G880" s="52"/>
      <x:c r="H880" s="21" t="str">
        <x:f>IF(COUNTA(A880:G880,I880)=0,"",IF(A880="","Add registration",IF(OR(COUNTA(C880:F880)&gt;COUNT(C880:F880)+COUNTIFS(C880:F880,"Reviewed N/A"),AND(COUNT(C880:F880)&gt;0,OR(MIN(C880:F880)&lt;36526,MAX(C880:F880)&gt;109574))),"Check date format",IF(AND(COUNTIFS(C880:F880,"Reviewed N/A")&gt;0,I880=""),"Add N/A reason; ","")&amp;IF(COUNT(C880:F880)=0,IF(COUNTIFS(C880:F880,"Reviewed N/A")=4,"No applicable dates recorded","Add dates"),IF(COUNT(C880:F880)+COUNTIFS(C880:F880,"Reviewed N/A")&lt;4,"Missing dates; ","")&amp;IF(MIN(C880:F880)&lt;TODAY(),"Overdue: ",IF(MIN(C880:F880)=TODAY(),"Due today: ",IF(MIN(C880:F880)&lt;=TODAY()+30,"Due within 30 days: ","Next: ")))&amp;INDEX($C$8:$F$8,1,MATCH(MIN(C880:F880),C880:F880,0))&amp;" "&amp;TEXT(MIN(C880:F880),"dd mmm yyyy")))))</x:f>
      </x:c>
      <x:c r="I880" s="52"/>
      <x:c r="J880" t="str">
        <x:f>IF(AND(A880&lt;&gt;"",COUNTIFS(C880,"&gt;=36526",C880,"&lt;"&amp;TODAY())+COUNTIFS(D880,"&gt;=36526",D880,"&lt;"&amp;TODAY())+COUNTIFS(E880,"&gt;=36526",E880,"&lt;"&amp;TODAY())+COUNTIFS(F880,"&gt;=36526",F880,"&lt;"&amp;TODAY())&gt;0),O880,"")</x:f>
      </x:c>
      <x:c r="K880" t="str">
        <x:f>IF(AND(A880&lt;&gt;"",COUNTIFS(C880,"&gt;=36526",C880,TODAY())+COUNTIFS(D880,"&gt;=36526",D880,TODAY())+COUNTIFS(E880,"&gt;=36526",E880,TODAY())+COUNTIFS(F880,"&gt;=36526",F880,TODAY())&gt;0),P880,"")</x:f>
      </x:c>
      <x:c r="L880" t="str">
        <x:f>IF(AND(A880&lt;&gt;"",COUNTIFS(C880,"&gt;"&amp;TODAY(),C880,"&lt;="&amp;TODAY()+30)+COUNTIFS(D880,"&gt;"&amp;TODAY(),D880,"&lt;="&amp;TODAY()+30)+COUNTIFS(E880,"&gt;"&amp;TODAY(),E880,"&lt;="&amp;TODAY()+30)+COUNTIFS(F880,"&gt;"&amp;TODAY(),F880,"&lt;="&amp;TODAY()+30)&gt;0),Q880,"")</x:f>
      </x:c>
      <x:c r="M880" t="str">
        <x:f>IF(OR(LEFT(H880,15)="Missing dates; ",LEFT(H880,16)="Add N/A reason; ",H880="Add dates",H880="Add registration",H880="Check date format"),R880,"")</x:f>
      </x:c>
      <x:c r="N880" t="str">
        <x:f>IF(COUNTIFS(C880:F880,"Reviewed N/A")&gt;0,S880,"")</x:f>
      </x:c>
      <x:c r="O880" t="n">
        <x:f>O879+IF(AND(A880&lt;&gt;"",COUNTIFS(C880,"&gt;=36526",C880,"&lt;"&amp;TODAY())+COUNTIFS(D880,"&gt;=36526",D880,"&lt;"&amp;TODAY())+COUNTIFS(E880,"&gt;=36526",E880,"&lt;"&amp;TODAY())+COUNTIFS(F880,"&gt;=36526",F880,"&lt;"&amp;TODAY())&gt;0),1,0)</x:f>
        <x:v>0</x:v>
      </x:c>
      <x:c r="P880" t="n">
        <x:f>P879+IF(AND(A880&lt;&gt;"",COUNTIFS(C880,"&gt;=36526",C880,TODAY())+COUNTIFS(D880,"&gt;=36526",D880,TODAY())+COUNTIFS(E880,"&gt;=36526",E880,TODAY())+COUNTIFS(F880,"&gt;=36526",F880,TODAY())&gt;0),1,0)</x:f>
        <x:v>0</x:v>
      </x:c>
      <x:c r="Q880" t="n">
        <x:f>Q879+IF(AND(A880&lt;&gt;"",COUNTIFS(C880,"&gt;"&amp;TODAY(),C880,"&lt;="&amp;TODAY()+30)+COUNTIFS(D880,"&gt;"&amp;TODAY(),D880,"&lt;="&amp;TODAY()+30)+COUNTIFS(E880,"&gt;"&amp;TODAY(),E880,"&lt;="&amp;TODAY()+30)+COUNTIFS(F880,"&gt;"&amp;TODAY(),F880,"&lt;="&amp;TODAY()+30)&gt;0),1,0)</x:f>
        <x:v>0</x:v>
      </x:c>
      <x:c r="R880" t="n">
        <x:f>R879+IF(OR(LEFT(H880,15)="Missing dates; ",LEFT(H880,16)="Add N/A reason; ",H880="Add dates",H880="Add registration",H880="Check date format"),1,0)</x:f>
        <x:v>0</x:v>
      </x:c>
      <x:c r="S880" t="n">
        <x:f>S879+IF(COUNTIFS(C880:F880,"Reviewed N/A")&gt;0,1,0)</x:f>
        <x:v>0</x:v>
      </x:c>
    </x:row>
    <x:row r="881" ht="48" customHeight="1">
      <x:c r="A881" s="52"/>
      <x:c r="B881" s="52"/>
      <x:c r="C881" s="53"/>
      <x:c r="D881" s="53"/>
      <x:c r="E881" s="53"/>
      <x:c r="F881" s="53"/>
      <x:c r="G881" s="52"/>
      <x:c r="H881" s="21" t="str">
        <x:f>IF(COUNTA(A881:G881,I881)=0,"",IF(A881="","Add registration",IF(OR(COUNTA(C881:F881)&gt;COUNT(C881:F881)+COUNTIFS(C881:F881,"Reviewed N/A"),AND(COUNT(C881:F881)&gt;0,OR(MIN(C881:F881)&lt;36526,MAX(C881:F881)&gt;109574))),"Check date format",IF(AND(COUNTIFS(C881:F881,"Reviewed N/A")&gt;0,I881=""),"Add N/A reason; ","")&amp;IF(COUNT(C881:F881)=0,IF(COUNTIFS(C881:F881,"Reviewed N/A")=4,"No applicable dates recorded","Add dates"),IF(COUNT(C881:F881)+COUNTIFS(C881:F881,"Reviewed N/A")&lt;4,"Missing dates; ","")&amp;IF(MIN(C881:F881)&lt;TODAY(),"Overdue: ",IF(MIN(C881:F881)=TODAY(),"Due today: ",IF(MIN(C881:F881)&lt;=TODAY()+30,"Due within 30 days: ","Next: ")))&amp;INDEX($C$8:$F$8,1,MATCH(MIN(C881:F881),C881:F881,0))&amp;" "&amp;TEXT(MIN(C881:F881),"dd mmm yyyy")))))</x:f>
      </x:c>
      <x:c r="I881" s="52"/>
      <x:c r="J881" t="str">
        <x:f>IF(AND(A881&lt;&gt;"",COUNTIFS(C881,"&gt;=36526",C881,"&lt;"&amp;TODAY())+COUNTIFS(D881,"&gt;=36526",D881,"&lt;"&amp;TODAY())+COUNTIFS(E881,"&gt;=36526",E881,"&lt;"&amp;TODAY())+COUNTIFS(F881,"&gt;=36526",F881,"&lt;"&amp;TODAY())&gt;0),O881,"")</x:f>
      </x:c>
      <x:c r="K881" t="str">
        <x:f>IF(AND(A881&lt;&gt;"",COUNTIFS(C881,"&gt;=36526",C881,TODAY())+COUNTIFS(D881,"&gt;=36526",D881,TODAY())+COUNTIFS(E881,"&gt;=36526",E881,TODAY())+COUNTIFS(F881,"&gt;=36526",F881,TODAY())&gt;0),P881,"")</x:f>
      </x:c>
      <x:c r="L881" t="str">
        <x:f>IF(AND(A881&lt;&gt;"",COUNTIFS(C881,"&gt;"&amp;TODAY(),C881,"&lt;="&amp;TODAY()+30)+COUNTIFS(D881,"&gt;"&amp;TODAY(),D881,"&lt;="&amp;TODAY()+30)+COUNTIFS(E881,"&gt;"&amp;TODAY(),E881,"&lt;="&amp;TODAY()+30)+COUNTIFS(F881,"&gt;"&amp;TODAY(),F881,"&lt;="&amp;TODAY()+30)&gt;0),Q881,"")</x:f>
      </x:c>
      <x:c r="M881" t="str">
        <x:f>IF(OR(LEFT(H881,15)="Missing dates; ",LEFT(H881,16)="Add N/A reason; ",H881="Add dates",H881="Add registration",H881="Check date format"),R881,"")</x:f>
      </x:c>
      <x:c r="N881" t="str">
        <x:f>IF(COUNTIFS(C881:F881,"Reviewed N/A")&gt;0,S881,"")</x:f>
      </x:c>
      <x:c r="O881" t="n">
        <x:f>O880+IF(AND(A881&lt;&gt;"",COUNTIFS(C881,"&gt;=36526",C881,"&lt;"&amp;TODAY())+COUNTIFS(D881,"&gt;=36526",D881,"&lt;"&amp;TODAY())+COUNTIFS(E881,"&gt;=36526",E881,"&lt;"&amp;TODAY())+COUNTIFS(F881,"&gt;=36526",F881,"&lt;"&amp;TODAY())&gt;0),1,0)</x:f>
        <x:v>0</x:v>
      </x:c>
      <x:c r="P881" t="n">
        <x:f>P880+IF(AND(A881&lt;&gt;"",COUNTIFS(C881,"&gt;=36526",C881,TODAY())+COUNTIFS(D881,"&gt;=36526",D881,TODAY())+COUNTIFS(E881,"&gt;=36526",E881,TODAY())+COUNTIFS(F881,"&gt;=36526",F881,TODAY())&gt;0),1,0)</x:f>
        <x:v>0</x:v>
      </x:c>
      <x:c r="Q881" t="n">
        <x:f>Q880+IF(AND(A881&lt;&gt;"",COUNTIFS(C881,"&gt;"&amp;TODAY(),C881,"&lt;="&amp;TODAY()+30)+COUNTIFS(D881,"&gt;"&amp;TODAY(),D881,"&lt;="&amp;TODAY()+30)+COUNTIFS(E881,"&gt;"&amp;TODAY(),E881,"&lt;="&amp;TODAY()+30)+COUNTIFS(F881,"&gt;"&amp;TODAY(),F881,"&lt;="&amp;TODAY()+30)&gt;0),1,0)</x:f>
        <x:v>0</x:v>
      </x:c>
      <x:c r="R881" t="n">
        <x:f>R880+IF(OR(LEFT(H881,15)="Missing dates; ",LEFT(H881,16)="Add N/A reason; ",H881="Add dates",H881="Add registration",H881="Check date format"),1,0)</x:f>
        <x:v>0</x:v>
      </x:c>
      <x:c r="S881" t="n">
        <x:f>S880+IF(COUNTIFS(C881:F881,"Reviewed N/A")&gt;0,1,0)</x:f>
        <x:v>0</x:v>
      </x:c>
    </x:row>
    <x:row r="882" ht="48" customHeight="1">
      <x:c r="A882" s="52"/>
      <x:c r="B882" s="52"/>
      <x:c r="C882" s="53"/>
      <x:c r="D882" s="53"/>
      <x:c r="E882" s="53"/>
      <x:c r="F882" s="53"/>
      <x:c r="G882" s="52"/>
      <x:c r="H882" s="21" t="str">
        <x:f>IF(COUNTA(A882:G882,I882)=0,"",IF(A882="","Add registration",IF(OR(COUNTA(C882:F882)&gt;COUNT(C882:F882)+COUNTIFS(C882:F882,"Reviewed N/A"),AND(COUNT(C882:F882)&gt;0,OR(MIN(C882:F882)&lt;36526,MAX(C882:F882)&gt;109574))),"Check date format",IF(AND(COUNTIFS(C882:F882,"Reviewed N/A")&gt;0,I882=""),"Add N/A reason; ","")&amp;IF(COUNT(C882:F882)=0,IF(COUNTIFS(C882:F882,"Reviewed N/A")=4,"No applicable dates recorded","Add dates"),IF(COUNT(C882:F882)+COUNTIFS(C882:F882,"Reviewed N/A")&lt;4,"Missing dates; ","")&amp;IF(MIN(C882:F882)&lt;TODAY(),"Overdue: ",IF(MIN(C882:F882)=TODAY(),"Due today: ",IF(MIN(C882:F882)&lt;=TODAY()+30,"Due within 30 days: ","Next: ")))&amp;INDEX($C$8:$F$8,1,MATCH(MIN(C882:F882),C882:F882,0))&amp;" "&amp;TEXT(MIN(C882:F882),"dd mmm yyyy")))))</x:f>
      </x:c>
      <x:c r="I882" s="52"/>
      <x:c r="J882" t="str">
        <x:f>IF(AND(A882&lt;&gt;"",COUNTIFS(C882,"&gt;=36526",C882,"&lt;"&amp;TODAY())+COUNTIFS(D882,"&gt;=36526",D882,"&lt;"&amp;TODAY())+COUNTIFS(E882,"&gt;=36526",E882,"&lt;"&amp;TODAY())+COUNTIFS(F882,"&gt;=36526",F882,"&lt;"&amp;TODAY())&gt;0),O882,"")</x:f>
      </x:c>
      <x:c r="K882" t="str">
        <x:f>IF(AND(A882&lt;&gt;"",COUNTIFS(C882,"&gt;=36526",C882,TODAY())+COUNTIFS(D882,"&gt;=36526",D882,TODAY())+COUNTIFS(E882,"&gt;=36526",E882,TODAY())+COUNTIFS(F882,"&gt;=36526",F882,TODAY())&gt;0),P882,"")</x:f>
      </x:c>
      <x:c r="L882" t="str">
        <x:f>IF(AND(A882&lt;&gt;"",COUNTIFS(C882,"&gt;"&amp;TODAY(),C882,"&lt;="&amp;TODAY()+30)+COUNTIFS(D882,"&gt;"&amp;TODAY(),D882,"&lt;="&amp;TODAY()+30)+COUNTIFS(E882,"&gt;"&amp;TODAY(),E882,"&lt;="&amp;TODAY()+30)+COUNTIFS(F882,"&gt;"&amp;TODAY(),F882,"&lt;="&amp;TODAY()+30)&gt;0),Q882,"")</x:f>
      </x:c>
      <x:c r="M882" t="str">
        <x:f>IF(OR(LEFT(H882,15)="Missing dates; ",LEFT(H882,16)="Add N/A reason; ",H882="Add dates",H882="Add registration",H882="Check date format"),R882,"")</x:f>
      </x:c>
      <x:c r="N882" t="str">
        <x:f>IF(COUNTIFS(C882:F882,"Reviewed N/A")&gt;0,S882,"")</x:f>
      </x:c>
      <x:c r="O882" t="n">
        <x:f>O881+IF(AND(A882&lt;&gt;"",COUNTIFS(C882,"&gt;=36526",C882,"&lt;"&amp;TODAY())+COUNTIFS(D882,"&gt;=36526",D882,"&lt;"&amp;TODAY())+COUNTIFS(E882,"&gt;=36526",E882,"&lt;"&amp;TODAY())+COUNTIFS(F882,"&gt;=36526",F882,"&lt;"&amp;TODAY())&gt;0),1,0)</x:f>
        <x:v>0</x:v>
      </x:c>
      <x:c r="P882" t="n">
        <x:f>P881+IF(AND(A882&lt;&gt;"",COUNTIFS(C882,"&gt;=36526",C882,TODAY())+COUNTIFS(D882,"&gt;=36526",D882,TODAY())+COUNTIFS(E882,"&gt;=36526",E882,TODAY())+COUNTIFS(F882,"&gt;=36526",F882,TODAY())&gt;0),1,0)</x:f>
        <x:v>0</x:v>
      </x:c>
      <x:c r="Q882" t="n">
        <x:f>Q881+IF(AND(A882&lt;&gt;"",COUNTIFS(C882,"&gt;"&amp;TODAY(),C882,"&lt;="&amp;TODAY()+30)+COUNTIFS(D882,"&gt;"&amp;TODAY(),D882,"&lt;="&amp;TODAY()+30)+COUNTIFS(E882,"&gt;"&amp;TODAY(),E882,"&lt;="&amp;TODAY()+30)+COUNTIFS(F882,"&gt;"&amp;TODAY(),F882,"&lt;="&amp;TODAY()+30)&gt;0),1,0)</x:f>
        <x:v>0</x:v>
      </x:c>
      <x:c r="R882" t="n">
        <x:f>R881+IF(OR(LEFT(H882,15)="Missing dates; ",LEFT(H882,16)="Add N/A reason; ",H882="Add dates",H882="Add registration",H882="Check date format"),1,0)</x:f>
        <x:v>0</x:v>
      </x:c>
      <x:c r="S882" t="n">
        <x:f>S881+IF(COUNTIFS(C882:F882,"Reviewed N/A")&gt;0,1,0)</x:f>
        <x:v>0</x:v>
      </x:c>
    </x:row>
    <x:row r="883" ht="48" customHeight="1">
      <x:c r="A883" s="52"/>
      <x:c r="B883" s="52"/>
      <x:c r="C883" s="53"/>
      <x:c r="D883" s="53"/>
      <x:c r="E883" s="53"/>
      <x:c r="F883" s="53"/>
      <x:c r="G883" s="52"/>
      <x:c r="H883" s="21" t="str">
        <x:f>IF(COUNTA(A883:G883,I883)=0,"",IF(A883="","Add registration",IF(OR(COUNTA(C883:F883)&gt;COUNT(C883:F883)+COUNTIFS(C883:F883,"Reviewed N/A"),AND(COUNT(C883:F883)&gt;0,OR(MIN(C883:F883)&lt;36526,MAX(C883:F883)&gt;109574))),"Check date format",IF(AND(COUNTIFS(C883:F883,"Reviewed N/A")&gt;0,I883=""),"Add N/A reason; ","")&amp;IF(COUNT(C883:F883)=0,IF(COUNTIFS(C883:F883,"Reviewed N/A")=4,"No applicable dates recorded","Add dates"),IF(COUNT(C883:F883)+COUNTIFS(C883:F883,"Reviewed N/A")&lt;4,"Missing dates; ","")&amp;IF(MIN(C883:F883)&lt;TODAY(),"Overdue: ",IF(MIN(C883:F883)=TODAY(),"Due today: ",IF(MIN(C883:F883)&lt;=TODAY()+30,"Due within 30 days: ","Next: ")))&amp;INDEX($C$8:$F$8,1,MATCH(MIN(C883:F883),C883:F883,0))&amp;" "&amp;TEXT(MIN(C883:F883),"dd mmm yyyy")))))</x:f>
      </x:c>
      <x:c r="I883" s="52"/>
      <x:c r="J883" t="str">
        <x:f>IF(AND(A883&lt;&gt;"",COUNTIFS(C883,"&gt;=36526",C883,"&lt;"&amp;TODAY())+COUNTIFS(D883,"&gt;=36526",D883,"&lt;"&amp;TODAY())+COUNTIFS(E883,"&gt;=36526",E883,"&lt;"&amp;TODAY())+COUNTIFS(F883,"&gt;=36526",F883,"&lt;"&amp;TODAY())&gt;0),O883,"")</x:f>
      </x:c>
      <x:c r="K883" t="str">
        <x:f>IF(AND(A883&lt;&gt;"",COUNTIFS(C883,"&gt;=36526",C883,TODAY())+COUNTIFS(D883,"&gt;=36526",D883,TODAY())+COUNTIFS(E883,"&gt;=36526",E883,TODAY())+COUNTIFS(F883,"&gt;=36526",F883,TODAY())&gt;0),P883,"")</x:f>
      </x:c>
      <x:c r="L883" t="str">
        <x:f>IF(AND(A883&lt;&gt;"",COUNTIFS(C883,"&gt;"&amp;TODAY(),C883,"&lt;="&amp;TODAY()+30)+COUNTIFS(D883,"&gt;"&amp;TODAY(),D883,"&lt;="&amp;TODAY()+30)+COUNTIFS(E883,"&gt;"&amp;TODAY(),E883,"&lt;="&amp;TODAY()+30)+COUNTIFS(F883,"&gt;"&amp;TODAY(),F883,"&lt;="&amp;TODAY()+30)&gt;0),Q883,"")</x:f>
      </x:c>
      <x:c r="M883" t="str">
        <x:f>IF(OR(LEFT(H883,15)="Missing dates; ",LEFT(H883,16)="Add N/A reason; ",H883="Add dates",H883="Add registration",H883="Check date format"),R883,"")</x:f>
      </x:c>
      <x:c r="N883" t="str">
        <x:f>IF(COUNTIFS(C883:F883,"Reviewed N/A")&gt;0,S883,"")</x:f>
      </x:c>
      <x:c r="O883" t="n">
        <x:f>O882+IF(AND(A883&lt;&gt;"",COUNTIFS(C883,"&gt;=36526",C883,"&lt;"&amp;TODAY())+COUNTIFS(D883,"&gt;=36526",D883,"&lt;"&amp;TODAY())+COUNTIFS(E883,"&gt;=36526",E883,"&lt;"&amp;TODAY())+COUNTIFS(F883,"&gt;=36526",F883,"&lt;"&amp;TODAY())&gt;0),1,0)</x:f>
        <x:v>0</x:v>
      </x:c>
      <x:c r="P883" t="n">
        <x:f>P882+IF(AND(A883&lt;&gt;"",COUNTIFS(C883,"&gt;=36526",C883,TODAY())+COUNTIFS(D883,"&gt;=36526",D883,TODAY())+COUNTIFS(E883,"&gt;=36526",E883,TODAY())+COUNTIFS(F883,"&gt;=36526",F883,TODAY())&gt;0),1,0)</x:f>
        <x:v>0</x:v>
      </x:c>
      <x:c r="Q883" t="n">
        <x:f>Q882+IF(AND(A883&lt;&gt;"",COUNTIFS(C883,"&gt;"&amp;TODAY(),C883,"&lt;="&amp;TODAY()+30)+COUNTIFS(D883,"&gt;"&amp;TODAY(),D883,"&lt;="&amp;TODAY()+30)+COUNTIFS(E883,"&gt;"&amp;TODAY(),E883,"&lt;="&amp;TODAY()+30)+COUNTIFS(F883,"&gt;"&amp;TODAY(),F883,"&lt;="&amp;TODAY()+30)&gt;0),1,0)</x:f>
        <x:v>0</x:v>
      </x:c>
      <x:c r="R883" t="n">
        <x:f>R882+IF(OR(LEFT(H883,15)="Missing dates; ",LEFT(H883,16)="Add N/A reason; ",H883="Add dates",H883="Add registration",H883="Check date format"),1,0)</x:f>
        <x:v>0</x:v>
      </x:c>
      <x:c r="S883" t="n">
        <x:f>S882+IF(COUNTIFS(C883:F883,"Reviewed N/A")&gt;0,1,0)</x:f>
        <x:v>0</x:v>
      </x:c>
    </x:row>
    <x:row r="884" ht="48" customHeight="1">
      <x:c r="A884" s="52"/>
      <x:c r="B884" s="52"/>
      <x:c r="C884" s="53"/>
      <x:c r="D884" s="53"/>
      <x:c r="E884" s="53"/>
      <x:c r="F884" s="53"/>
      <x:c r="G884" s="52"/>
      <x:c r="H884" s="21" t="str">
        <x:f>IF(COUNTA(A884:G884,I884)=0,"",IF(A884="","Add registration",IF(OR(COUNTA(C884:F884)&gt;COUNT(C884:F884)+COUNTIFS(C884:F884,"Reviewed N/A"),AND(COUNT(C884:F884)&gt;0,OR(MIN(C884:F884)&lt;36526,MAX(C884:F884)&gt;109574))),"Check date format",IF(AND(COUNTIFS(C884:F884,"Reviewed N/A")&gt;0,I884=""),"Add N/A reason; ","")&amp;IF(COUNT(C884:F884)=0,IF(COUNTIFS(C884:F884,"Reviewed N/A")=4,"No applicable dates recorded","Add dates"),IF(COUNT(C884:F884)+COUNTIFS(C884:F884,"Reviewed N/A")&lt;4,"Missing dates; ","")&amp;IF(MIN(C884:F884)&lt;TODAY(),"Overdue: ",IF(MIN(C884:F884)=TODAY(),"Due today: ",IF(MIN(C884:F884)&lt;=TODAY()+30,"Due within 30 days: ","Next: ")))&amp;INDEX($C$8:$F$8,1,MATCH(MIN(C884:F884),C884:F884,0))&amp;" "&amp;TEXT(MIN(C884:F884),"dd mmm yyyy")))))</x:f>
      </x:c>
      <x:c r="I884" s="52"/>
      <x:c r="J884" t="str">
        <x:f>IF(AND(A884&lt;&gt;"",COUNTIFS(C884,"&gt;=36526",C884,"&lt;"&amp;TODAY())+COUNTIFS(D884,"&gt;=36526",D884,"&lt;"&amp;TODAY())+COUNTIFS(E884,"&gt;=36526",E884,"&lt;"&amp;TODAY())+COUNTIFS(F884,"&gt;=36526",F884,"&lt;"&amp;TODAY())&gt;0),O884,"")</x:f>
      </x:c>
      <x:c r="K884" t="str">
        <x:f>IF(AND(A884&lt;&gt;"",COUNTIFS(C884,"&gt;=36526",C884,TODAY())+COUNTIFS(D884,"&gt;=36526",D884,TODAY())+COUNTIFS(E884,"&gt;=36526",E884,TODAY())+COUNTIFS(F884,"&gt;=36526",F884,TODAY())&gt;0),P884,"")</x:f>
      </x:c>
      <x:c r="L884" t="str">
        <x:f>IF(AND(A884&lt;&gt;"",COUNTIFS(C884,"&gt;"&amp;TODAY(),C884,"&lt;="&amp;TODAY()+30)+COUNTIFS(D884,"&gt;"&amp;TODAY(),D884,"&lt;="&amp;TODAY()+30)+COUNTIFS(E884,"&gt;"&amp;TODAY(),E884,"&lt;="&amp;TODAY()+30)+COUNTIFS(F884,"&gt;"&amp;TODAY(),F884,"&lt;="&amp;TODAY()+30)&gt;0),Q884,"")</x:f>
      </x:c>
      <x:c r="M884" t="str">
        <x:f>IF(OR(LEFT(H884,15)="Missing dates; ",LEFT(H884,16)="Add N/A reason; ",H884="Add dates",H884="Add registration",H884="Check date format"),R884,"")</x:f>
      </x:c>
      <x:c r="N884" t="str">
        <x:f>IF(COUNTIFS(C884:F884,"Reviewed N/A")&gt;0,S884,"")</x:f>
      </x:c>
      <x:c r="O884" t="n">
        <x:f>O883+IF(AND(A884&lt;&gt;"",COUNTIFS(C884,"&gt;=36526",C884,"&lt;"&amp;TODAY())+COUNTIFS(D884,"&gt;=36526",D884,"&lt;"&amp;TODAY())+COUNTIFS(E884,"&gt;=36526",E884,"&lt;"&amp;TODAY())+COUNTIFS(F884,"&gt;=36526",F884,"&lt;"&amp;TODAY())&gt;0),1,0)</x:f>
        <x:v>0</x:v>
      </x:c>
      <x:c r="P884" t="n">
        <x:f>P883+IF(AND(A884&lt;&gt;"",COUNTIFS(C884,"&gt;=36526",C884,TODAY())+COUNTIFS(D884,"&gt;=36526",D884,TODAY())+COUNTIFS(E884,"&gt;=36526",E884,TODAY())+COUNTIFS(F884,"&gt;=36526",F884,TODAY())&gt;0),1,0)</x:f>
        <x:v>0</x:v>
      </x:c>
      <x:c r="Q884" t="n">
        <x:f>Q883+IF(AND(A884&lt;&gt;"",COUNTIFS(C884,"&gt;"&amp;TODAY(),C884,"&lt;="&amp;TODAY()+30)+COUNTIFS(D884,"&gt;"&amp;TODAY(),D884,"&lt;="&amp;TODAY()+30)+COUNTIFS(E884,"&gt;"&amp;TODAY(),E884,"&lt;="&amp;TODAY()+30)+COUNTIFS(F884,"&gt;"&amp;TODAY(),F884,"&lt;="&amp;TODAY()+30)&gt;0),1,0)</x:f>
        <x:v>0</x:v>
      </x:c>
      <x:c r="R884" t="n">
        <x:f>R883+IF(OR(LEFT(H884,15)="Missing dates; ",LEFT(H884,16)="Add N/A reason; ",H884="Add dates",H884="Add registration",H884="Check date format"),1,0)</x:f>
        <x:v>0</x:v>
      </x:c>
      <x:c r="S884" t="n">
        <x:f>S883+IF(COUNTIFS(C884:F884,"Reviewed N/A")&gt;0,1,0)</x:f>
        <x:v>0</x:v>
      </x:c>
    </x:row>
    <x:row r="885" ht="48" customHeight="1">
      <x:c r="A885" s="52"/>
      <x:c r="B885" s="52"/>
      <x:c r="C885" s="53"/>
      <x:c r="D885" s="53"/>
      <x:c r="E885" s="53"/>
      <x:c r="F885" s="53"/>
      <x:c r="G885" s="52"/>
      <x:c r="H885" s="21" t="str">
        <x:f>IF(COUNTA(A885:G885,I885)=0,"",IF(A885="","Add registration",IF(OR(COUNTA(C885:F885)&gt;COUNT(C885:F885)+COUNTIFS(C885:F885,"Reviewed N/A"),AND(COUNT(C885:F885)&gt;0,OR(MIN(C885:F885)&lt;36526,MAX(C885:F885)&gt;109574))),"Check date format",IF(AND(COUNTIFS(C885:F885,"Reviewed N/A")&gt;0,I885=""),"Add N/A reason; ","")&amp;IF(COUNT(C885:F885)=0,IF(COUNTIFS(C885:F885,"Reviewed N/A")=4,"No applicable dates recorded","Add dates"),IF(COUNT(C885:F885)+COUNTIFS(C885:F885,"Reviewed N/A")&lt;4,"Missing dates; ","")&amp;IF(MIN(C885:F885)&lt;TODAY(),"Overdue: ",IF(MIN(C885:F885)=TODAY(),"Due today: ",IF(MIN(C885:F885)&lt;=TODAY()+30,"Due within 30 days: ","Next: ")))&amp;INDEX($C$8:$F$8,1,MATCH(MIN(C885:F885),C885:F885,0))&amp;" "&amp;TEXT(MIN(C885:F885),"dd mmm yyyy")))))</x:f>
      </x:c>
      <x:c r="I885" s="52"/>
      <x:c r="J885" t="str">
        <x:f>IF(AND(A885&lt;&gt;"",COUNTIFS(C885,"&gt;=36526",C885,"&lt;"&amp;TODAY())+COUNTIFS(D885,"&gt;=36526",D885,"&lt;"&amp;TODAY())+COUNTIFS(E885,"&gt;=36526",E885,"&lt;"&amp;TODAY())+COUNTIFS(F885,"&gt;=36526",F885,"&lt;"&amp;TODAY())&gt;0),O885,"")</x:f>
      </x:c>
      <x:c r="K885" t="str">
        <x:f>IF(AND(A885&lt;&gt;"",COUNTIFS(C885,"&gt;=36526",C885,TODAY())+COUNTIFS(D885,"&gt;=36526",D885,TODAY())+COUNTIFS(E885,"&gt;=36526",E885,TODAY())+COUNTIFS(F885,"&gt;=36526",F885,TODAY())&gt;0),P885,"")</x:f>
      </x:c>
      <x:c r="L885" t="str">
        <x:f>IF(AND(A885&lt;&gt;"",COUNTIFS(C885,"&gt;"&amp;TODAY(),C885,"&lt;="&amp;TODAY()+30)+COUNTIFS(D885,"&gt;"&amp;TODAY(),D885,"&lt;="&amp;TODAY()+30)+COUNTIFS(E885,"&gt;"&amp;TODAY(),E885,"&lt;="&amp;TODAY()+30)+COUNTIFS(F885,"&gt;"&amp;TODAY(),F885,"&lt;="&amp;TODAY()+30)&gt;0),Q885,"")</x:f>
      </x:c>
      <x:c r="M885" t="str">
        <x:f>IF(OR(LEFT(H885,15)="Missing dates; ",LEFT(H885,16)="Add N/A reason; ",H885="Add dates",H885="Add registration",H885="Check date format"),R885,"")</x:f>
      </x:c>
      <x:c r="N885" t="str">
        <x:f>IF(COUNTIFS(C885:F885,"Reviewed N/A")&gt;0,S885,"")</x:f>
      </x:c>
      <x:c r="O885" t="n">
        <x:f>O884+IF(AND(A885&lt;&gt;"",COUNTIFS(C885,"&gt;=36526",C885,"&lt;"&amp;TODAY())+COUNTIFS(D885,"&gt;=36526",D885,"&lt;"&amp;TODAY())+COUNTIFS(E885,"&gt;=36526",E885,"&lt;"&amp;TODAY())+COUNTIFS(F885,"&gt;=36526",F885,"&lt;"&amp;TODAY())&gt;0),1,0)</x:f>
        <x:v>0</x:v>
      </x:c>
      <x:c r="P885" t="n">
        <x:f>P884+IF(AND(A885&lt;&gt;"",COUNTIFS(C885,"&gt;=36526",C885,TODAY())+COUNTIFS(D885,"&gt;=36526",D885,TODAY())+COUNTIFS(E885,"&gt;=36526",E885,TODAY())+COUNTIFS(F885,"&gt;=36526",F885,TODAY())&gt;0),1,0)</x:f>
        <x:v>0</x:v>
      </x:c>
      <x:c r="Q885" t="n">
        <x:f>Q884+IF(AND(A885&lt;&gt;"",COUNTIFS(C885,"&gt;"&amp;TODAY(),C885,"&lt;="&amp;TODAY()+30)+COUNTIFS(D885,"&gt;"&amp;TODAY(),D885,"&lt;="&amp;TODAY()+30)+COUNTIFS(E885,"&gt;"&amp;TODAY(),E885,"&lt;="&amp;TODAY()+30)+COUNTIFS(F885,"&gt;"&amp;TODAY(),F885,"&lt;="&amp;TODAY()+30)&gt;0),1,0)</x:f>
        <x:v>0</x:v>
      </x:c>
      <x:c r="R885" t="n">
        <x:f>R884+IF(OR(LEFT(H885,15)="Missing dates; ",LEFT(H885,16)="Add N/A reason; ",H885="Add dates",H885="Add registration",H885="Check date format"),1,0)</x:f>
        <x:v>0</x:v>
      </x:c>
      <x:c r="S885" t="n">
        <x:f>S884+IF(COUNTIFS(C885:F885,"Reviewed N/A")&gt;0,1,0)</x:f>
        <x:v>0</x:v>
      </x:c>
    </x:row>
    <x:row r="886" ht="48" customHeight="1">
      <x:c r="A886" s="52"/>
      <x:c r="B886" s="52"/>
      <x:c r="C886" s="53"/>
      <x:c r="D886" s="53"/>
      <x:c r="E886" s="53"/>
      <x:c r="F886" s="53"/>
      <x:c r="G886" s="52"/>
      <x:c r="H886" s="21" t="str">
        <x:f>IF(COUNTA(A886:G886,I886)=0,"",IF(A886="","Add registration",IF(OR(COUNTA(C886:F886)&gt;COUNT(C886:F886)+COUNTIFS(C886:F886,"Reviewed N/A"),AND(COUNT(C886:F886)&gt;0,OR(MIN(C886:F886)&lt;36526,MAX(C886:F886)&gt;109574))),"Check date format",IF(AND(COUNTIFS(C886:F886,"Reviewed N/A")&gt;0,I886=""),"Add N/A reason; ","")&amp;IF(COUNT(C886:F886)=0,IF(COUNTIFS(C886:F886,"Reviewed N/A")=4,"No applicable dates recorded","Add dates"),IF(COUNT(C886:F886)+COUNTIFS(C886:F886,"Reviewed N/A")&lt;4,"Missing dates; ","")&amp;IF(MIN(C886:F886)&lt;TODAY(),"Overdue: ",IF(MIN(C886:F886)=TODAY(),"Due today: ",IF(MIN(C886:F886)&lt;=TODAY()+30,"Due within 30 days: ","Next: ")))&amp;INDEX($C$8:$F$8,1,MATCH(MIN(C886:F886),C886:F886,0))&amp;" "&amp;TEXT(MIN(C886:F886),"dd mmm yyyy")))))</x:f>
      </x:c>
      <x:c r="I886" s="52"/>
      <x:c r="J886" t="str">
        <x:f>IF(AND(A886&lt;&gt;"",COUNTIFS(C886,"&gt;=36526",C886,"&lt;"&amp;TODAY())+COUNTIFS(D886,"&gt;=36526",D886,"&lt;"&amp;TODAY())+COUNTIFS(E886,"&gt;=36526",E886,"&lt;"&amp;TODAY())+COUNTIFS(F886,"&gt;=36526",F886,"&lt;"&amp;TODAY())&gt;0),O886,"")</x:f>
      </x:c>
      <x:c r="K886" t="str">
        <x:f>IF(AND(A886&lt;&gt;"",COUNTIFS(C886,"&gt;=36526",C886,TODAY())+COUNTIFS(D886,"&gt;=36526",D886,TODAY())+COUNTIFS(E886,"&gt;=36526",E886,TODAY())+COUNTIFS(F886,"&gt;=36526",F886,TODAY())&gt;0),P886,"")</x:f>
      </x:c>
      <x:c r="L886" t="str">
        <x:f>IF(AND(A886&lt;&gt;"",COUNTIFS(C886,"&gt;"&amp;TODAY(),C886,"&lt;="&amp;TODAY()+30)+COUNTIFS(D886,"&gt;"&amp;TODAY(),D886,"&lt;="&amp;TODAY()+30)+COUNTIFS(E886,"&gt;"&amp;TODAY(),E886,"&lt;="&amp;TODAY()+30)+COUNTIFS(F886,"&gt;"&amp;TODAY(),F886,"&lt;="&amp;TODAY()+30)&gt;0),Q886,"")</x:f>
      </x:c>
      <x:c r="M886" t="str">
        <x:f>IF(OR(LEFT(H886,15)="Missing dates; ",LEFT(H886,16)="Add N/A reason; ",H886="Add dates",H886="Add registration",H886="Check date format"),R886,"")</x:f>
      </x:c>
      <x:c r="N886" t="str">
        <x:f>IF(COUNTIFS(C886:F886,"Reviewed N/A")&gt;0,S886,"")</x:f>
      </x:c>
      <x:c r="O886" t="n">
        <x:f>O885+IF(AND(A886&lt;&gt;"",COUNTIFS(C886,"&gt;=36526",C886,"&lt;"&amp;TODAY())+COUNTIFS(D886,"&gt;=36526",D886,"&lt;"&amp;TODAY())+COUNTIFS(E886,"&gt;=36526",E886,"&lt;"&amp;TODAY())+COUNTIFS(F886,"&gt;=36526",F886,"&lt;"&amp;TODAY())&gt;0),1,0)</x:f>
        <x:v>0</x:v>
      </x:c>
      <x:c r="P886" t="n">
        <x:f>P885+IF(AND(A886&lt;&gt;"",COUNTIFS(C886,"&gt;=36526",C886,TODAY())+COUNTIFS(D886,"&gt;=36526",D886,TODAY())+COUNTIFS(E886,"&gt;=36526",E886,TODAY())+COUNTIFS(F886,"&gt;=36526",F886,TODAY())&gt;0),1,0)</x:f>
        <x:v>0</x:v>
      </x:c>
      <x:c r="Q886" t="n">
        <x:f>Q885+IF(AND(A886&lt;&gt;"",COUNTIFS(C886,"&gt;"&amp;TODAY(),C886,"&lt;="&amp;TODAY()+30)+COUNTIFS(D886,"&gt;"&amp;TODAY(),D886,"&lt;="&amp;TODAY()+30)+COUNTIFS(E886,"&gt;"&amp;TODAY(),E886,"&lt;="&amp;TODAY()+30)+COUNTIFS(F886,"&gt;"&amp;TODAY(),F886,"&lt;="&amp;TODAY()+30)&gt;0),1,0)</x:f>
        <x:v>0</x:v>
      </x:c>
      <x:c r="R886" t="n">
        <x:f>R885+IF(OR(LEFT(H886,15)="Missing dates; ",LEFT(H886,16)="Add N/A reason; ",H886="Add dates",H886="Add registration",H886="Check date format"),1,0)</x:f>
        <x:v>0</x:v>
      </x:c>
      <x:c r="S886" t="n">
        <x:f>S885+IF(COUNTIFS(C886:F886,"Reviewed N/A")&gt;0,1,0)</x:f>
        <x:v>0</x:v>
      </x:c>
    </x:row>
    <x:row r="887" ht="48" customHeight="1">
      <x:c r="A887" s="52"/>
      <x:c r="B887" s="52"/>
      <x:c r="C887" s="53"/>
      <x:c r="D887" s="53"/>
      <x:c r="E887" s="53"/>
      <x:c r="F887" s="53"/>
      <x:c r="G887" s="52"/>
      <x:c r="H887" s="21" t="str">
        <x:f>IF(COUNTA(A887:G887,I887)=0,"",IF(A887="","Add registration",IF(OR(COUNTA(C887:F887)&gt;COUNT(C887:F887)+COUNTIFS(C887:F887,"Reviewed N/A"),AND(COUNT(C887:F887)&gt;0,OR(MIN(C887:F887)&lt;36526,MAX(C887:F887)&gt;109574))),"Check date format",IF(AND(COUNTIFS(C887:F887,"Reviewed N/A")&gt;0,I887=""),"Add N/A reason; ","")&amp;IF(COUNT(C887:F887)=0,IF(COUNTIFS(C887:F887,"Reviewed N/A")=4,"No applicable dates recorded","Add dates"),IF(COUNT(C887:F887)+COUNTIFS(C887:F887,"Reviewed N/A")&lt;4,"Missing dates; ","")&amp;IF(MIN(C887:F887)&lt;TODAY(),"Overdue: ",IF(MIN(C887:F887)=TODAY(),"Due today: ",IF(MIN(C887:F887)&lt;=TODAY()+30,"Due within 30 days: ","Next: ")))&amp;INDEX($C$8:$F$8,1,MATCH(MIN(C887:F887),C887:F887,0))&amp;" "&amp;TEXT(MIN(C887:F887),"dd mmm yyyy")))))</x:f>
      </x:c>
      <x:c r="I887" s="52"/>
      <x:c r="J887" t="str">
        <x:f>IF(AND(A887&lt;&gt;"",COUNTIFS(C887,"&gt;=36526",C887,"&lt;"&amp;TODAY())+COUNTIFS(D887,"&gt;=36526",D887,"&lt;"&amp;TODAY())+COUNTIFS(E887,"&gt;=36526",E887,"&lt;"&amp;TODAY())+COUNTIFS(F887,"&gt;=36526",F887,"&lt;"&amp;TODAY())&gt;0),O887,"")</x:f>
      </x:c>
      <x:c r="K887" t="str">
        <x:f>IF(AND(A887&lt;&gt;"",COUNTIFS(C887,"&gt;=36526",C887,TODAY())+COUNTIFS(D887,"&gt;=36526",D887,TODAY())+COUNTIFS(E887,"&gt;=36526",E887,TODAY())+COUNTIFS(F887,"&gt;=36526",F887,TODAY())&gt;0),P887,"")</x:f>
      </x:c>
      <x:c r="L887" t="str">
        <x:f>IF(AND(A887&lt;&gt;"",COUNTIFS(C887,"&gt;"&amp;TODAY(),C887,"&lt;="&amp;TODAY()+30)+COUNTIFS(D887,"&gt;"&amp;TODAY(),D887,"&lt;="&amp;TODAY()+30)+COUNTIFS(E887,"&gt;"&amp;TODAY(),E887,"&lt;="&amp;TODAY()+30)+COUNTIFS(F887,"&gt;"&amp;TODAY(),F887,"&lt;="&amp;TODAY()+30)&gt;0),Q887,"")</x:f>
      </x:c>
      <x:c r="M887" t="str">
        <x:f>IF(OR(LEFT(H887,15)="Missing dates; ",LEFT(H887,16)="Add N/A reason; ",H887="Add dates",H887="Add registration",H887="Check date format"),R887,"")</x:f>
      </x:c>
      <x:c r="N887" t="str">
        <x:f>IF(COUNTIFS(C887:F887,"Reviewed N/A")&gt;0,S887,"")</x:f>
      </x:c>
      <x:c r="O887" t="n">
        <x:f>O886+IF(AND(A887&lt;&gt;"",COUNTIFS(C887,"&gt;=36526",C887,"&lt;"&amp;TODAY())+COUNTIFS(D887,"&gt;=36526",D887,"&lt;"&amp;TODAY())+COUNTIFS(E887,"&gt;=36526",E887,"&lt;"&amp;TODAY())+COUNTIFS(F887,"&gt;=36526",F887,"&lt;"&amp;TODAY())&gt;0),1,0)</x:f>
        <x:v>0</x:v>
      </x:c>
      <x:c r="P887" t="n">
        <x:f>P886+IF(AND(A887&lt;&gt;"",COUNTIFS(C887,"&gt;=36526",C887,TODAY())+COUNTIFS(D887,"&gt;=36526",D887,TODAY())+COUNTIFS(E887,"&gt;=36526",E887,TODAY())+COUNTIFS(F887,"&gt;=36526",F887,TODAY())&gt;0),1,0)</x:f>
        <x:v>0</x:v>
      </x:c>
      <x:c r="Q887" t="n">
        <x:f>Q886+IF(AND(A887&lt;&gt;"",COUNTIFS(C887,"&gt;"&amp;TODAY(),C887,"&lt;="&amp;TODAY()+30)+COUNTIFS(D887,"&gt;"&amp;TODAY(),D887,"&lt;="&amp;TODAY()+30)+COUNTIFS(E887,"&gt;"&amp;TODAY(),E887,"&lt;="&amp;TODAY()+30)+COUNTIFS(F887,"&gt;"&amp;TODAY(),F887,"&lt;="&amp;TODAY()+30)&gt;0),1,0)</x:f>
        <x:v>0</x:v>
      </x:c>
      <x:c r="R887" t="n">
        <x:f>R886+IF(OR(LEFT(H887,15)="Missing dates; ",LEFT(H887,16)="Add N/A reason; ",H887="Add dates",H887="Add registration",H887="Check date format"),1,0)</x:f>
        <x:v>0</x:v>
      </x:c>
      <x:c r="S887" t="n">
        <x:f>S886+IF(COUNTIFS(C887:F887,"Reviewed N/A")&gt;0,1,0)</x:f>
        <x:v>0</x:v>
      </x:c>
    </x:row>
    <x:row r="888" ht="48" customHeight="1">
      <x:c r="A888" s="52"/>
      <x:c r="B888" s="52"/>
      <x:c r="C888" s="53"/>
      <x:c r="D888" s="53"/>
      <x:c r="E888" s="53"/>
      <x:c r="F888" s="53"/>
      <x:c r="G888" s="52"/>
      <x:c r="H888" s="21" t="str">
        <x:f>IF(COUNTA(A888:G888,I888)=0,"",IF(A888="","Add registration",IF(OR(COUNTA(C888:F888)&gt;COUNT(C888:F888)+COUNTIFS(C888:F888,"Reviewed N/A"),AND(COUNT(C888:F888)&gt;0,OR(MIN(C888:F888)&lt;36526,MAX(C888:F888)&gt;109574))),"Check date format",IF(AND(COUNTIFS(C888:F888,"Reviewed N/A")&gt;0,I888=""),"Add N/A reason; ","")&amp;IF(COUNT(C888:F888)=0,IF(COUNTIFS(C888:F888,"Reviewed N/A")=4,"No applicable dates recorded","Add dates"),IF(COUNT(C888:F888)+COUNTIFS(C888:F888,"Reviewed N/A")&lt;4,"Missing dates; ","")&amp;IF(MIN(C888:F888)&lt;TODAY(),"Overdue: ",IF(MIN(C888:F888)=TODAY(),"Due today: ",IF(MIN(C888:F888)&lt;=TODAY()+30,"Due within 30 days: ","Next: ")))&amp;INDEX($C$8:$F$8,1,MATCH(MIN(C888:F888),C888:F888,0))&amp;" "&amp;TEXT(MIN(C888:F888),"dd mmm yyyy")))))</x:f>
      </x:c>
      <x:c r="I888" s="52"/>
      <x:c r="J888" t="str">
        <x:f>IF(AND(A888&lt;&gt;"",COUNTIFS(C888,"&gt;=36526",C888,"&lt;"&amp;TODAY())+COUNTIFS(D888,"&gt;=36526",D888,"&lt;"&amp;TODAY())+COUNTIFS(E888,"&gt;=36526",E888,"&lt;"&amp;TODAY())+COUNTIFS(F888,"&gt;=36526",F888,"&lt;"&amp;TODAY())&gt;0),O888,"")</x:f>
      </x:c>
      <x:c r="K888" t="str">
        <x:f>IF(AND(A888&lt;&gt;"",COUNTIFS(C888,"&gt;=36526",C888,TODAY())+COUNTIFS(D888,"&gt;=36526",D888,TODAY())+COUNTIFS(E888,"&gt;=36526",E888,TODAY())+COUNTIFS(F888,"&gt;=36526",F888,TODAY())&gt;0),P888,"")</x:f>
      </x:c>
      <x:c r="L888" t="str">
        <x:f>IF(AND(A888&lt;&gt;"",COUNTIFS(C888,"&gt;"&amp;TODAY(),C888,"&lt;="&amp;TODAY()+30)+COUNTIFS(D888,"&gt;"&amp;TODAY(),D888,"&lt;="&amp;TODAY()+30)+COUNTIFS(E888,"&gt;"&amp;TODAY(),E888,"&lt;="&amp;TODAY()+30)+COUNTIFS(F888,"&gt;"&amp;TODAY(),F888,"&lt;="&amp;TODAY()+30)&gt;0),Q888,"")</x:f>
      </x:c>
      <x:c r="M888" t="str">
        <x:f>IF(OR(LEFT(H888,15)="Missing dates; ",LEFT(H888,16)="Add N/A reason; ",H888="Add dates",H888="Add registration",H888="Check date format"),R888,"")</x:f>
      </x:c>
      <x:c r="N888" t="str">
        <x:f>IF(COUNTIFS(C888:F888,"Reviewed N/A")&gt;0,S888,"")</x:f>
      </x:c>
      <x:c r="O888" t="n">
        <x:f>O887+IF(AND(A888&lt;&gt;"",COUNTIFS(C888,"&gt;=36526",C888,"&lt;"&amp;TODAY())+COUNTIFS(D888,"&gt;=36526",D888,"&lt;"&amp;TODAY())+COUNTIFS(E888,"&gt;=36526",E888,"&lt;"&amp;TODAY())+COUNTIFS(F888,"&gt;=36526",F888,"&lt;"&amp;TODAY())&gt;0),1,0)</x:f>
        <x:v>0</x:v>
      </x:c>
      <x:c r="P888" t="n">
        <x:f>P887+IF(AND(A888&lt;&gt;"",COUNTIFS(C888,"&gt;=36526",C888,TODAY())+COUNTIFS(D888,"&gt;=36526",D888,TODAY())+COUNTIFS(E888,"&gt;=36526",E888,TODAY())+COUNTIFS(F888,"&gt;=36526",F888,TODAY())&gt;0),1,0)</x:f>
        <x:v>0</x:v>
      </x:c>
      <x:c r="Q888" t="n">
        <x:f>Q887+IF(AND(A888&lt;&gt;"",COUNTIFS(C888,"&gt;"&amp;TODAY(),C888,"&lt;="&amp;TODAY()+30)+COUNTIFS(D888,"&gt;"&amp;TODAY(),D888,"&lt;="&amp;TODAY()+30)+COUNTIFS(E888,"&gt;"&amp;TODAY(),E888,"&lt;="&amp;TODAY()+30)+COUNTIFS(F888,"&gt;"&amp;TODAY(),F888,"&lt;="&amp;TODAY()+30)&gt;0),1,0)</x:f>
        <x:v>0</x:v>
      </x:c>
      <x:c r="R888" t="n">
        <x:f>R887+IF(OR(LEFT(H888,15)="Missing dates; ",LEFT(H888,16)="Add N/A reason; ",H888="Add dates",H888="Add registration",H888="Check date format"),1,0)</x:f>
        <x:v>0</x:v>
      </x:c>
      <x:c r="S888" t="n">
        <x:f>S887+IF(COUNTIFS(C888:F888,"Reviewed N/A")&gt;0,1,0)</x:f>
        <x:v>0</x:v>
      </x:c>
    </x:row>
    <x:row r="889" ht="48" customHeight="1">
      <x:c r="A889" s="52"/>
      <x:c r="B889" s="52"/>
      <x:c r="C889" s="53"/>
      <x:c r="D889" s="53"/>
      <x:c r="E889" s="53"/>
      <x:c r="F889" s="53"/>
      <x:c r="G889" s="52"/>
      <x:c r="H889" s="21" t="str">
        <x:f>IF(COUNTA(A889:G889,I889)=0,"",IF(A889="","Add registration",IF(OR(COUNTA(C889:F889)&gt;COUNT(C889:F889)+COUNTIFS(C889:F889,"Reviewed N/A"),AND(COUNT(C889:F889)&gt;0,OR(MIN(C889:F889)&lt;36526,MAX(C889:F889)&gt;109574))),"Check date format",IF(AND(COUNTIFS(C889:F889,"Reviewed N/A")&gt;0,I889=""),"Add N/A reason; ","")&amp;IF(COUNT(C889:F889)=0,IF(COUNTIFS(C889:F889,"Reviewed N/A")=4,"No applicable dates recorded","Add dates"),IF(COUNT(C889:F889)+COUNTIFS(C889:F889,"Reviewed N/A")&lt;4,"Missing dates; ","")&amp;IF(MIN(C889:F889)&lt;TODAY(),"Overdue: ",IF(MIN(C889:F889)=TODAY(),"Due today: ",IF(MIN(C889:F889)&lt;=TODAY()+30,"Due within 30 days: ","Next: ")))&amp;INDEX($C$8:$F$8,1,MATCH(MIN(C889:F889),C889:F889,0))&amp;" "&amp;TEXT(MIN(C889:F889),"dd mmm yyyy")))))</x:f>
      </x:c>
      <x:c r="I889" s="52"/>
      <x:c r="J889" t="str">
        <x:f>IF(AND(A889&lt;&gt;"",COUNTIFS(C889,"&gt;=36526",C889,"&lt;"&amp;TODAY())+COUNTIFS(D889,"&gt;=36526",D889,"&lt;"&amp;TODAY())+COUNTIFS(E889,"&gt;=36526",E889,"&lt;"&amp;TODAY())+COUNTIFS(F889,"&gt;=36526",F889,"&lt;"&amp;TODAY())&gt;0),O889,"")</x:f>
      </x:c>
      <x:c r="K889" t="str">
        <x:f>IF(AND(A889&lt;&gt;"",COUNTIFS(C889,"&gt;=36526",C889,TODAY())+COUNTIFS(D889,"&gt;=36526",D889,TODAY())+COUNTIFS(E889,"&gt;=36526",E889,TODAY())+COUNTIFS(F889,"&gt;=36526",F889,TODAY())&gt;0),P889,"")</x:f>
      </x:c>
      <x:c r="L889" t="str">
        <x:f>IF(AND(A889&lt;&gt;"",COUNTIFS(C889,"&gt;"&amp;TODAY(),C889,"&lt;="&amp;TODAY()+30)+COUNTIFS(D889,"&gt;"&amp;TODAY(),D889,"&lt;="&amp;TODAY()+30)+COUNTIFS(E889,"&gt;"&amp;TODAY(),E889,"&lt;="&amp;TODAY()+30)+COUNTIFS(F889,"&gt;"&amp;TODAY(),F889,"&lt;="&amp;TODAY()+30)&gt;0),Q889,"")</x:f>
      </x:c>
      <x:c r="M889" t="str">
        <x:f>IF(OR(LEFT(H889,15)="Missing dates; ",LEFT(H889,16)="Add N/A reason; ",H889="Add dates",H889="Add registration",H889="Check date format"),R889,"")</x:f>
      </x:c>
      <x:c r="N889" t="str">
        <x:f>IF(COUNTIFS(C889:F889,"Reviewed N/A")&gt;0,S889,"")</x:f>
      </x:c>
      <x:c r="O889" t="n">
        <x:f>O888+IF(AND(A889&lt;&gt;"",COUNTIFS(C889,"&gt;=36526",C889,"&lt;"&amp;TODAY())+COUNTIFS(D889,"&gt;=36526",D889,"&lt;"&amp;TODAY())+COUNTIFS(E889,"&gt;=36526",E889,"&lt;"&amp;TODAY())+COUNTIFS(F889,"&gt;=36526",F889,"&lt;"&amp;TODAY())&gt;0),1,0)</x:f>
        <x:v>0</x:v>
      </x:c>
      <x:c r="P889" t="n">
        <x:f>P888+IF(AND(A889&lt;&gt;"",COUNTIFS(C889,"&gt;=36526",C889,TODAY())+COUNTIFS(D889,"&gt;=36526",D889,TODAY())+COUNTIFS(E889,"&gt;=36526",E889,TODAY())+COUNTIFS(F889,"&gt;=36526",F889,TODAY())&gt;0),1,0)</x:f>
        <x:v>0</x:v>
      </x:c>
      <x:c r="Q889" t="n">
        <x:f>Q888+IF(AND(A889&lt;&gt;"",COUNTIFS(C889,"&gt;"&amp;TODAY(),C889,"&lt;="&amp;TODAY()+30)+COUNTIFS(D889,"&gt;"&amp;TODAY(),D889,"&lt;="&amp;TODAY()+30)+COUNTIFS(E889,"&gt;"&amp;TODAY(),E889,"&lt;="&amp;TODAY()+30)+COUNTIFS(F889,"&gt;"&amp;TODAY(),F889,"&lt;="&amp;TODAY()+30)&gt;0),1,0)</x:f>
        <x:v>0</x:v>
      </x:c>
      <x:c r="R889" t="n">
        <x:f>R888+IF(OR(LEFT(H889,15)="Missing dates; ",LEFT(H889,16)="Add N/A reason; ",H889="Add dates",H889="Add registration",H889="Check date format"),1,0)</x:f>
        <x:v>0</x:v>
      </x:c>
      <x:c r="S889" t="n">
        <x:f>S888+IF(COUNTIFS(C889:F889,"Reviewed N/A")&gt;0,1,0)</x:f>
        <x:v>0</x:v>
      </x:c>
    </x:row>
    <x:row r="890" ht="48" customHeight="1">
      <x:c r="A890" s="52"/>
      <x:c r="B890" s="52"/>
      <x:c r="C890" s="53"/>
      <x:c r="D890" s="53"/>
      <x:c r="E890" s="53"/>
      <x:c r="F890" s="53"/>
      <x:c r="G890" s="52"/>
      <x:c r="H890" s="21" t="str">
        <x:f>IF(COUNTA(A890:G890,I890)=0,"",IF(A890="","Add registration",IF(OR(COUNTA(C890:F890)&gt;COUNT(C890:F890)+COUNTIFS(C890:F890,"Reviewed N/A"),AND(COUNT(C890:F890)&gt;0,OR(MIN(C890:F890)&lt;36526,MAX(C890:F890)&gt;109574))),"Check date format",IF(AND(COUNTIFS(C890:F890,"Reviewed N/A")&gt;0,I890=""),"Add N/A reason; ","")&amp;IF(COUNT(C890:F890)=0,IF(COUNTIFS(C890:F890,"Reviewed N/A")=4,"No applicable dates recorded","Add dates"),IF(COUNT(C890:F890)+COUNTIFS(C890:F890,"Reviewed N/A")&lt;4,"Missing dates; ","")&amp;IF(MIN(C890:F890)&lt;TODAY(),"Overdue: ",IF(MIN(C890:F890)=TODAY(),"Due today: ",IF(MIN(C890:F890)&lt;=TODAY()+30,"Due within 30 days: ","Next: ")))&amp;INDEX($C$8:$F$8,1,MATCH(MIN(C890:F890),C890:F890,0))&amp;" "&amp;TEXT(MIN(C890:F890),"dd mmm yyyy")))))</x:f>
      </x:c>
      <x:c r="I890" s="52"/>
      <x:c r="J890" t="str">
        <x:f>IF(AND(A890&lt;&gt;"",COUNTIFS(C890,"&gt;=36526",C890,"&lt;"&amp;TODAY())+COUNTIFS(D890,"&gt;=36526",D890,"&lt;"&amp;TODAY())+COUNTIFS(E890,"&gt;=36526",E890,"&lt;"&amp;TODAY())+COUNTIFS(F890,"&gt;=36526",F890,"&lt;"&amp;TODAY())&gt;0),O890,"")</x:f>
      </x:c>
      <x:c r="K890" t="str">
        <x:f>IF(AND(A890&lt;&gt;"",COUNTIFS(C890,"&gt;=36526",C890,TODAY())+COUNTIFS(D890,"&gt;=36526",D890,TODAY())+COUNTIFS(E890,"&gt;=36526",E890,TODAY())+COUNTIFS(F890,"&gt;=36526",F890,TODAY())&gt;0),P890,"")</x:f>
      </x:c>
      <x:c r="L890" t="str">
        <x:f>IF(AND(A890&lt;&gt;"",COUNTIFS(C890,"&gt;"&amp;TODAY(),C890,"&lt;="&amp;TODAY()+30)+COUNTIFS(D890,"&gt;"&amp;TODAY(),D890,"&lt;="&amp;TODAY()+30)+COUNTIFS(E890,"&gt;"&amp;TODAY(),E890,"&lt;="&amp;TODAY()+30)+COUNTIFS(F890,"&gt;"&amp;TODAY(),F890,"&lt;="&amp;TODAY()+30)&gt;0),Q890,"")</x:f>
      </x:c>
      <x:c r="M890" t="str">
        <x:f>IF(OR(LEFT(H890,15)="Missing dates; ",LEFT(H890,16)="Add N/A reason; ",H890="Add dates",H890="Add registration",H890="Check date format"),R890,"")</x:f>
      </x:c>
      <x:c r="N890" t="str">
        <x:f>IF(COUNTIFS(C890:F890,"Reviewed N/A")&gt;0,S890,"")</x:f>
      </x:c>
      <x:c r="O890" t="n">
        <x:f>O889+IF(AND(A890&lt;&gt;"",COUNTIFS(C890,"&gt;=36526",C890,"&lt;"&amp;TODAY())+COUNTIFS(D890,"&gt;=36526",D890,"&lt;"&amp;TODAY())+COUNTIFS(E890,"&gt;=36526",E890,"&lt;"&amp;TODAY())+COUNTIFS(F890,"&gt;=36526",F890,"&lt;"&amp;TODAY())&gt;0),1,0)</x:f>
        <x:v>0</x:v>
      </x:c>
      <x:c r="P890" t="n">
        <x:f>P889+IF(AND(A890&lt;&gt;"",COUNTIFS(C890,"&gt;=36526",C890,TODAY())+COUNTIFS(D890,"&gt;=36526",D890,TODAY())+COUNTIFS(E890,"&gt;=36526",E890,TODAY())+COUNTIFS(F890,"&gt;=36526",F890,TODAY())&gt;0),1,0)</x:f>
        <x:v>0</x:v>
      </x:c>
      <x:c r="Q890" t="n">
        <x:f>Q889+IF(AND(A890&lt;&gt;"",COUNTIFS(C890,"&gt;"&amp;TODAY(),C890,"&lt;="&amp;TODAY()+30)+COUNTIFS(D890,"&gt;"&amp;TODAY(),D890,"&lt;="&amp;TODAY()+30)+COUNTIFS(E890,"&gt;"&amp;TODAY(),E890,"&lt;="&amp;TODAY()+30)+COUNTIFS(F890,"&gt;"&amp;TODAY(),F890,"&lt;="&amp;TODAY()+30)&gt;0),1,0)</x:f>
        <x:v>0</x:v>
      </x:c>
      <x:c r="R890" t="n">
        <x:f>R889+IF(OR(LEFT(H890,15)="Missing dates; ",LEFT(H890,16)="Add N/A reason; ",H890="Add dates",H890="Add registration",H890="Check date format"),1,0)</x:f>
        <x:v>0</x:v>
      </x:c>
      <x:c r="S890" t="n">
        <x:f>S889+IF(COUNTIFS(C890:F890,"Reviewed N/A")&gt;0,1,0)</x:f>
        <x:v>0</x:v>
      </x:c>
    </x:row>
    <x:row r="891" ht="48" customHeight="1">
      <x:c r="A891" s="52"/>
      <x:c r="B891" s="52"/>
      <x:c r="C891" s="53"/>
      <x:c r="D891" s="53"/>
      <x:c r="E891" s="53"/>
      <x:c r="F891" s="53"/>
      <x:c r="G891" s="52"/>
      <x:c r="H891" s="21" t="str">
        <x:f>IF(COUNTA(A891:G891,I891)=0,"",IF(A891="","Add registration",IF(OR(COUNTA(C891:F891)&gt;COUNT(C891:F891)+COUNTIFS(C891:F891,"Reviewed N/A"),AND(COUNT(C891:F891)&gt;0,OR(MIN(C891:F891)&lt;36526,MAX(C891:F891)&gt;109574))),"Check date format",IF(AND(COUNTIFS(C891:F891,"Reviewed N/A")&gt;0,I891=""),"Add N/A reason; ","")&amp;IF(COUNT(C891:F891)=0,IF(COUNTIFS(C891:F891,"Reviewed N/A")=4,"No applicable dates recorded","Add dates"),IF(COUNT(C891:F891)+COUNTIFS(C891:F891,"Reviewed N/A")&lt;4,"Missing dates; ","")&amp;IF(MIN(C891:F891)&lt;TODAY(),"Overdue: ",IF(MIN(C891:F891)=TODAY(),"Due today: ",IF(MIN(C891:F891)&lt;=TODAY()+30,"Due within 30 days: ","Next: ")))&amp;INDEX($C$8:$F$8,1,MATCH(MIN(C891:F891),C891:F891,0))&amp;" "&amp;TEXT(MIN(C891:F891),"dd mmm yyyy")))))</x:f>
      </x:c>
      <x:c r="I891" s="52"/>
      <x:c r="J891" t="str">
        <x:f>IF(AND(A891&lt;&gt;"",COUNTIFS(C891,"&gt;=36526",C891,"&lt;"&amp;TODAY())+COUNTIFS(D891,"&gt;=36526",D891,"&lt;"&amp;TODAY())+COUNTIFS(E891,"&gt;=36526",E891,"&lt;"&amp;TODAY())+COUNTIFS(F891,"&gt;=36526",F891,"&lt;"&amp;TODAY())&gt;0),O891,"")</x:f>
      </x:c>
      <x:c r="K891" t="str">
        <x:f>IF(AND(A891&lt;&gt;"",COUNTIFS(C891,"&gt;=36526",C891,TODAY())+COUNTIFS(D891,"&gt;=36526",D891,TODAY())+COUNTIFS(E891,"&gt;=36526",E891,TODAY())+COUNTIFS(F891,"&gt;=36526",F891,TODAY())&gt;0),P891,"")</x:f>
      </x:c>
      <x:c r="L891" t="str">
        <x:f>IF(AND(A891&lt;&gt;"",COUNTIFS(C891,"&gt;"&amp;TODAY(),C891,"&lt;="&amp;TODAY()+30)+COUNTIFS(D891,"&gt;"&amp;TODAY(),D891,"&lt;="&amp;TODAY()+30)+COUNTIFS(E891,"&gt;"&amp;TODAY(),E891,"&lt;="&amp;TODAY()+30)+COUNTIFS(F891,"&gt;"&amp;TODAY(),F891,"&lt;="&amp;TODAY()+30)&gt;0),Q891,"")</x:f>
      </x:c>
      <x:c r="M891" t="str">
        <x:f>IF(OR(LEFT(H891,15)="Missing dates; ",LEFT(H891,16)="Add N/A reason; ",H891="Add dates",H891="Add registration",H891="Check date format"),R891,"")</x:f>
      </x:c>
      <x:c r="N891" t="str">
        <x:f>IF(COUNTIFS(C891:F891,"Reviewed N/A")&gt;0,S891,"")</x:f>
      </x:c>
      <x:c r="O891" t="n">
        <x:f>O890+IF(AND(A891&lt;&gt;"",COUNTIFS(C891,"&gt;=36526",C891,"&lt;"&amp;TODAY())+COUNTIFS(D891,"&gt;=36526",D891,"&lt;"&amp;TODAY())+COUNTIFS(E891,"&gt;=36526",E891,"&lt;"&amp;TODAY())+COUNTIFS(F891,"&gt;=36526",F891,"&lt;"&amp;TODAY())&gt;0),1,0)</x:f>
        <x:v>0</x:v>
      </x:c>
      <x:c r="P891" t="n">
        <x:f>P890+IF(AND(A891&lt;&gt;"",COUNTIFS(C891,"&gt;=36526",C891,TODAY())+COUNTIFS(D891,"&gt;=36526",D891,TODAY())+COUNTIFS(E891,"&gt;=36526",E891,TODAY())+COUNTIFS(F891,"&gt;=36526",F891,TODAY())&gt;0),1,0)</x:f>
        <x:v>0</x:v>
      </x:c>
      <x:c r="Q891" t="n">
        <x:f>Q890+IF(AND(A891&lt;&gt;"",COUNTIFS(C891,"&gt;"&amp;TODAY(),C891,"&lt;="&amp;TODAY()+30)+COUNTIFS(D891,"&gt;"&amp;TODAY(),D891,"&lt;="&amp;TODAY()+30)+COUNTIFS(E891,"&gt;"&amp;TODAY(),E891,"&lt;="&amp;TODAY()+30)+COUNTIFS(F891,"&gt;"&amp;TODAY(),F891,"&lt;="&amp;TODAY()+30)&gt;0),1,0)</x:f>
        <x:v>0</x:v>
      </x:c>
      <x:c r="R891" t="n">
        <x:f>R890+IF(OR(LEFT(H891,15)="Missing dates; ",LEFT(H891,16)="Add N/A reason; ",H891="Add dates",H891="Add registration",H891="Check date format"),1,0)</x:f>
        <x:v>0</x:v>
      </x:c>
      <x:c r="S891" t="n">
        <x:f>S890+IF(COUNTIFS(C891:F891,"Reviewed N/A")&gt;0,1,0)</x:f>
        <x:v>0</x:v>
      </x:c>
    </x:row>
    <x:row r="892" ht="48" customHeight="1">
      <x:c r="A892" s="52"/>
      <x:c r="B892" s="52"/>
      <x:c r="C892" s="53"/>
      <x:c r="D892" s="53"/>
      <x:c r="E892" s="53"/>
      <x:c r="F892" s="53"/>
      <x:c r="G892" s="52"/>
      <x:c r="H892" s="21" t="str">
        <x:f>IF(COUNTA(A892:G892,I892)=0,"",IF(A892="","Add registration",IF(OR(COUNTA(C892:F892)&gt;COUNT(C892:F892)+COUNTIFS(C892:F892,"Reviewed N/A"),AND(COUNT(C892:F892)&gt;0,OR(MIN(C892:F892)&lt;36526,MAX(C892:F892)&gt;109574))),"Check date format",IF(AND(COUNTIFS(C892:F892,"Reviewed N/A")&gt;0,I892=""),"Add N/A reason; ","")&amp;IF(COUNT(C892:F892)=0,IF(COUNTIFS(C892:F892,"Reviewed N/A")=4,"No applicable dates recorded","Add dates"),IF(COUNT(C892:F892)+COUNTIFS(C892:F892,"Reviewed N/A")&lt;4,"Missing dates; ","")&amp;IF(MIN(C892:F892)&lt;TODAY(),"Overdue: ",IF(MIN(C892:F892)=TODAY(),"Due today: ",IF(MIN(C892:F892)&lt;=TODAY()+30,"Due within 30 days: ","Next: ")))&amp;INDEX($C$8:$F$8,1,MATCH(MIN(C892:F892),C892:F892,0))&amp;" "&amp;TEXT(MIN(C892:F892),"dd mmm yyyy")))))</x:f>
      </x:c>
      <x:c r="I892" s="52"/>
      <x:c r="J892" t="str">
        <x:f>IF(AND(A892&lt;&gt;"",COUNTIFS(C892,"&gt;=36526",C892,"&lt;"&amp;TODAY())+COUNTIFS(D892,"&gt;=36526",D892,"&lt;"&amp;TODAY())+COUNTIFS(E892,"&gt;=36526",E892,"&lt;"&amp;TODAY())+COUNTIFS(F892,"&gt;=36526",F892,"&lt;"&amp;TODAY())&gt;0),O892,"")</x:f>
      </x:c>
      <x:c r="K892" t="str">
        <x:f>IF(AND(A892&lt;&gt;"",COUNTIFS(C892,"&gt;=36526",C892,TODAY())+COUNTIFS(D892,"&gt;=36526",D892,TODAY())+COUNTIFS(E892,"&gt;=36526",E892,TODAY())+COUNTIFS(F892,"&gt;=36526",F892,TODAY())&gt;0),P892,"")</x:f>
      </x:c>
      <x:c r="L892" t="str">
        <x:f>IF(AND(A892&lt;&gt;"",COUNTIFS(C892,"&gt;"&amp;TODAY(),C892,"&lt;="&amp;TODAY()+30)+COUNTIFS(D892,"&gt;"&amp;TODAY(),D892,"&lt;="&amp;TODAY()+30)+COUNTIFS(E892,"&gt;"&amp;TODAY(),E892,"&lt;="&amp;TODAY()+30)+COUNTIFS(F892,"&gt;"&amp;TODAY(),F892,"&lt;="&amp;TODAY()+30)&gt;0),Q892,"")</x:f>
      </x:c>
      <x:c r="M892" t="str">
        <x:f>IF(OR(LEFT(H892,15)="Missing dates; ",LEFT(H892,16)="Add N/A reason; ",H892="Add dates",H892="Add registration",H892="Check date format"),R892,"")</x:f>
      </x:c>
      <x:c r="N892" t="str">
        <x:f>IF(COUNTIFS(C892:F892,"Reviewed N/A")&gt;0,S892,"")</x:f>
      </x:c>
      <x:c r="O892" t="n">
        <x:f>O891+IF(AND(A892&lt;&gt;"",COUNTIFS(C892,"&gt;=36526",C892,"&lt;"&amp;TODAY())+COUNTIFS(D892,"&gt;=36526",D892,"&lt;"&amp;TODAY())+COUNTIFS(E892,"&gt;=36526",E892,"&lt;"&amp;TODAY())+COUNTIFS(F892,"&gt;=36526",F892,"&lt;"&amp;TODAY())&gt;0),1,0)</x:f>
        <x:v>0</x:v>
      </x:c>
      <x:c r="P892" t="n">
        <x:f>P891+IF(AND(A892&lt;&gt;"",COUNTIFS(C892,"&gt;=36526",C892,TODAY())+COUNTIFS(D892,"&gt;=36526",D892,TODAY())+COUNTIFS(E892,"&gt;=36526",E892,TODAY())+COUNTIFS(F892,"&gt;=36526",F892,TODAY())&gt;0),1,0)</x:f>
        <x:v>0</x:v>
      </x:c>
      <x:c r="Q892" t="n">
        <x:f>Q891+IF(AND(A892&lt;&gt;"",COUNTIFS(C892,"&gt;"&amp;TODAY(),C892,"&lt;="&amp;TODAY()+30)+COUNTIFS(D892,"&gt;"&amp;TODAY(),D892,"&lt;="&amp;TODAY()+30)+COUNTIFS(E892,"&gt;"&amp;TODAY(),E892,"&lt;="&amp;TODAY()+30)+COUNTIFS(F892,"&gt;"&amp;TODAY(),F892,"&lt;="&amp;TODAY()+30)&gt;0),1,0)</x:f>
        <x:v>0</x:v>
      </x:c>
      <x:c r="R892" t="n">
        <x:f>R891+IF(OR(LEFT(H892,15)="Missing dates; ",LEFT(H892,16)="Add N/A reason; ",H892="Add dates",H892="Add registration",H892="Check date format"),1,0)</x:f>
        <x:v>0</x:v>
      </x:c>
      <x:c r="S892" t="n">
        <x:f>S891+IF(COUNTIFS(C892:F892,"Reviewed N/A")&gt;0,1,0)</x:f>
        <x:v>0</x:v>
      </x:c>
    </x:row>
    <x:row r="893" ht="48" customHeight="1">
      <x:c r="A893" s="52"/>
      <x:c r="B893" s="52"/>
      <x:c r="C893" s="53"/>
      <x:c r="D893" s="53"/>
      <x:c r="E893" s="53"/>
      <x:c r="F893" s="53"/>
      <x:c r="G893" s="52"/>
      <x:c r="H893" s="21" t="str">
        <x:f>IF(COUNTA(A893:G893,I893)=0,"",IF(A893="","Add registration",IF(OR(COUNTA(C893:F893)&gt;COUNT(C893:F893)+COUNTIFS(C893:F893,"Reviewed N/A"),AND(COUNT(C893:F893)&gt;0,OR(MIN(C893:F893)&lt;36526,MAX(C893:F893)&gt;109574))),"Check date format",IF(AND(COUNTIFS(C893:F893,"Reviewed N/A")&gt;0,I893=""),"Add N/A reason; ","")&amp;IF(COUNT(C893:F893)=0,IF(COUNTIFS(C893:F893,"Reviewed N/A")=4,"No applicable dates recorded","Add dates"),IF(COUNT(C893:F893)+COUNTIFS(C893:F893,"Reviewed N/A")&lt;4,"Missing dates; ","")&amp;IF(MIN(C893:F893)&lt;TODAY(),"Overdue: ",IF(MIN(C893:F893)=TODAY(),"Due today: ",IF(MIN(C893:F893)&lt;=TODAY()+30,"Due within 30 days: ","Next: ")))&amp;INDEX($C$8:$F$8,1,MATCH(MIN(C893:F893),C893:F893,0))&amp;" "&amp;TEXT(MIN(C893:F893),"dd mmm yyyy")))))</x:f>
      </x:c>
      <x:c r="I893" s="52"/>
      <x:c r="J893" t="str">
        <x:f>IF(AND(A893&lt;&gt;"",COUNTIFS(C893,"&gt;=36526",C893,"&lt;"&amp;TODAY())+COUNTIFS(D893,"&gt;=36526",D893,"&lt;"&amp;TODAY())+COUNTIFS(E893,"&gt;=36526",E893,"&lt;"&amp;TODAY())+COUNTIFS(F893,"&gt;=36526",F893,"&lt;"&amp;TODAY())&gt;0),O893,"")</x:f>
      </x:c>
      <x:c r="K893" t="str">
        <x:f>IF(AND(A893&lt;&gt;"",COUNTIFS(C893,"&gt;=36526",C893,TODAY())+COUNTIFS(D893,"&gt;=36526",D893,TODAY())+COUNTIFS(E893,"&gt;=36526",E893,TODAY())+COUNTIFS(F893,"&gt;=36526",F893,TODAY())&gt;0),P893,"")</x:f>
      </x:c>
      <x:c r="L893" t="str">
        <x:f>IF(AND(A893&lt;&gt;"",COUNTIFS(C893,"&gt;"&amp;TODAY(),C893,"&lt;="&amp;TODAY()+30)+COUNTIFS(D893,"&gt;"&amp;TODAY(),D893,"&lt;="&amp;TODAY()+30)+COUNTIFS(E893,"&gt;"&amp;TODAY(),E893,"&lt;="&amp;TODAY()+30)+COUNTIFS(F893,"&gt;"&amp;TODAY(),F893,"&lt;="&amp;TODAY()+30)&gt;0),Q893,"")</x:f>
      </x:c>
      <x:c r="M893" t="str">
        <x:f>IF(OR(LEFT(H893,15)="Missing dates; ",LEFT(H893,16)="Add N/A reason; ",H893="Add dates",H893="Add registration",H893="Check date format"),R893,"")</x:f>
      </x:c>
      <x:c r="N893" t="str">
        <x:f>IF(COUNTIFS(C893:F893,"Reviewed N/A")&gt;0,S893,"")</x:f>
      </x:c>
      <x:c r="O893" t="n">
        <x:f>O892+IF(AND(A893&lt;&gt;"",COUNTIFS(C893,"&gt;=36526",C893,"&lt;"&amp;TODAY())+COUNTIFS(D893,"&gt;=36526",D893,"&lt;"&amp;TODAY())+COUNTIFS(E893,"&gt;=36526",E893,"&lt;"&amp;TODAY())+COUNTIFS(F893,"&gt;=36526",F893,"&lt;"&amp;TODAY())&gt;0),1,0)</x:f>
        <x:v>0</x:v>
      </x:c>
      <x:c r="P893" t="n">
        <x:f>P892+IF(AND(A893&lt;&gt;"",COUNTIFS(C893,"&gt;=36526",C893,TODAY())+COUNTIFS(D893,"&gt;=36526",D893,TODAY())+COUNTIFS(E893,"&gt;=36526",E893,TODAY())+COUNTIFS(F893,"&gt;=36526",F893,TODAY())&gt;0),1,0)</x:f>
        <x:v>0</x:v>
      </x:c>
      <x:c r="Q893" t="n">
        <x:f>Q892+IF(AND(A893&lt;&gt;"",COUNTIFS(C893,"&gt;"&amp;TODAY(),C893,"&lt;="&amp;TODAY()+30)+COUNTIFS(D893,"&gt;"&amp;TODAY(),D893,"&lt;="&amp;TODAY()+30)+COUNTIFS(E893,"&gt;"&amp;TODAY(),E893,"&lt;="&amp;TODAY()+30)+COUNTIFS(F893,"&gt;"&amp;TODAY(),F893,"&lt;="&amp;TODAY()+30)&gt;0),1,0)</x:f>
        <x:v>0</x:v>
      </x:c>
      <x:c r="R893" t="n">
        <x:f>R892+IF(OR(LEFT(H893,15)="Missing dates; ",LEFT(H893,16)="Add N/A reason; ",H893="Add dates",H893="Add registration",H893="Check date format"),1,0)</x:f>
        <x:v>0</x:v>
      </x:c>
      <x:c r="S893" t="n">
        <x:f>S892+IF(COUNTIFS(C893:F893,"Reviewed N/A")&gt;0,1,0)</x:f>
        <x:v>0</x:v>
      </x:c>
    </x:row>
    <x:row r="894" ht="48" customHeight="1">
      <x:c r="A894" s="52"/>
      <x:c r="B894" s="52"/>
      <x:c r="C894" s="53"/>
      <x:c r="D894" s="53"/>
      <x:c r="E894" s="53"/>
      <x:c r="F894" s="53"/>
      <x:c r="G894" s="52"/>
      <x:c r="H894" s="21" t="str">
        <x:f>IF(COUNTA(A894:G894,I894)=0,"",IF(A894="","Add registration",IF(OR(COUNTA(C894:F894)&gt;COUNT(C894:F894)+COUNTIFS(C894:F894,"Reviewed N/A"),AND(COUNT(C894:F894)&gt;0,OR(MIN(C894:F894)&lt;36526,MAX(C894:F894)&gt;109574))),"Check date format",IF(AND(COUNTIFS(C894:F894,"Reviewed N/A")&gt;0,I894=""),"Add N/A reason; ","")&amp;IF(COUNT(C894:F894)=0,IF(COUNTIFS(C894:F894,"Reviewed N/A")=4,"No applicable dates recorded","Add dates"),IF(COUNT(C894:F894)+COUNTIFS(C894:F894,"Reviewed N/A")&lt;4,"Missing dates; ","")&amp;IF(MIN(C894:F894)&lt;TODAY(),"Overdue: ",IF(MIN(C894:F894)=TODAY(),"Due today: ",IF(MIN(C894:F894)&lt;=TODAY()+30,"Due within 30 days: ","Next: ")))&amp;INDEX($C$8:$F$8,1,MATCH(MIN(C894:F894),C894:F894,0))&amp;" "&amp;TEXT(MIN(C894:F894),"dd mmm yyyy")))))</x:f>
      </x:c>
      <x:c r="I894" s="52"/>
      <x:c r="J894" t="str">
        <x:f>IF(AND(A894&lt;&gt;"",COUNTIFS(C894,"&gt;=36526",C894,"&lt;"&amp;TODAY())+COUNTIFS(D894,"&gt;=36526",D894,"&lt;"&amp;TODAY())+COUNTIFS(E894,"&gt;=36526",E894,"&lt;"&amp;TODAY())+COUNTIFS(F894,"&gt;=36526",F894,"&lt;"&amp;TODAY())&gt;0),O894,"")</x:f>
      </x:c>
      <x:c r="K894" t="str">
        <x:f>IF(AND(A894&lt;&gt;"",COUNTIFS(C894,"&gt;=36526",C894,TODAY())+COUNTIFS(D894,"&gt;=36526",D894,TODAY())+COUNTIFS(E894,"&gt;=36526",E894,TODAY())+COUNTIFS(F894,"&gt;=36526",F894,TODAY())&gt;0),P894,"")</x:f>
      </x:c>
      <x:c r="L894" t="str">
        <x:f>IF(AND(A894&lt;&gt;"",COUNTIFS(C894,"&gt;"&amp;TODAY(),C894,"&lt;="&amp;TODAY()+30)+COUNTIFS(D894,"&gt;"&amp;TODAY(),D894,"&lt;="&amp;TODAY()+30)+COUNTIFS(E894,"&gt;"&amp;TODAY(),E894,"&lt;="&amp;TODAY()+30)+COUNTIFS(F894,"&gt;"&amp;TODAY(),F894,"&lt;="&amp;TODAY()+30)&gt;0),Q894,"")</x:f>
      </x:c>
      <x:c r="M894" t="str">
        <x:f>IF(OR(LEFT(H894,15)="Missing dates; ",LEFT(H894,16)="Add N/A reason; ",H894="Add dates",H894="Add registration",H894="Check date format"),R894,"")</x:f>
      </x:c>
      <x:c r="N894" t="str">
        <x:f>IF(COUNTIFS(C894:F894,"Reviewed N/A")&gt;0,S894,"")</x:f>
      </x:c>
      <x:c r="O894" t="n">
        <x:f>O893+IF(AND(A894&lt;&gt;"",COUNTIFS(C894,"&gt;=36526",C894,"&lt;"&amp;TODAY())+COUNTIFS(D894,"&gt;=36526",D894,"&lt;"&amp;TODAY())+COUNTIFS(E894,"&gt;=36526",E894,"&lt;"&amp;TODAY())+COUNTIFS(F894,"&gt;=36526",F894,"&lt;"&amp;TODAY())&gt;0),1,0)</x:f>
        <x:v>0</x:v>
      </x:c>
      <x:c r="P894" t="n">
        <x:f>P893+IF(AND(A894&lt;&gt;"",COUNTIFS(C894,"&gt;=36526",C894,TODAY())+COUNTIFS(D894,"&gt;=36526",D894,TODAY())+COUNTIFS(E894,"&gt;=36526",E894,TODAY())+COUNTIFS(F894,"&gt;=36526",F894,TODAY())&gt;0),1,0)</x:f>
        <x:v>0</x:v>
      </x:c>
      <x:c r="Q894" t="n">
        <x:f>Q893+IF(AND(A894&lt;&gt;"",COUNTIFS(C894,"&gt;"&amp;TODAY(),C894,"&lt;="&amp;TODAY()+30)+COUNTIFS(D894,"&gt;"&amp;TODAY(),D894,"&lt;="&amp;TODAY()+30)+COUNTIFS(E894,"&gt;"&amp;TODAY(),E894,"&lt;="&amp;TODAY()+30)+COUNTIFS(F894,"&gt;"&amp;TODAY(),F894,"&lt;="&amp;TODAY()+30)&gt;0),1,0)</x:f>
        <x:v>0</x:v>
      </x:c>
      <x:c r="R894" t="n">
        <x:f>R893+IF(OR(LEFT(H894,15)="Missing dates; ",LEFT(H894,16)="Add N/A reason; ",H894="Add dates",H894="Add registration",H894="Check date format"),1,0)</x:f>
        <x:v>0</x:v>
      </x:c>
      <x:c r="S894" t="n">
        <x:f>S893+IF(COUNTIFS(C894:F894,"Reviewed N/A")&gt;0,1,0)</x:f>
        <x:v>0</x:v>
      </x:c>
    </x:row>
    <x:row r="895" ht="48" customHeight="1">
      <x:c r="A895" s="52"/>
      <x:c r="B895" s="52"/>
      <x:c r="C895" s="53"/>
      <x:c r="D895" s="53"/>
      <x:c r="E895" s="53"/>
      <x:c r="F895" s="53"/>
      <x:c r="G895" s="52"/>
      <x:c r="H895" s="21" t="str">
        <x:f>IF(COUNTA(A895:G895,I895)=0,"",IF(A895="","Add registration",IF(OR(COUNTA(C895:F895)&gt;COUNT(C895:F895)+COUNTIFS(C895:F895,"Reviewed N/A"),AND(COUNT(C895:F895)&gt;0,OR(MIN(C895:F895)&lt;36526,MAX(C895:F895)&gt;109574))),"Check date format",IF(AND(COUNTIFS(C895:F895,"Reviewed N/A")&gt;0,I895=""),"Add N/A reason; ","")&amp;IF(COUNT(C895:F895)=0,IF(COUNTIFS(C895:F895,"Reviewed N/A")=4,"No applicable dates recorded","Add dates"),IF(COUNT(C895:F895)+COUNTIFS(C895:F895,"Reviewed N/A")&lt;4,"Missing dates; ","")&amp;IF(MIN(C895:F895)&lt;TODAY(),"Overdue: ",IF(MIN(C895:F895)=TODAY(),"Due today: ",IF(MIN(C895:F895)&lt;=TODAY()+30,"Due within 30 days: ","Next: ")))&amp;INDEX($C$8:$F$8,1,MATCH(MIN(C895:F895),C895:F895,0))&amp;" "&amp;TEXT(MIN(C895:F895),"dd mmm yyyy")))))</x:f>
      </x:c>
      <x:c r="I895" s="52"/>
      <x:c r="J895" t="str">
        <x:f>IF(AND(A895&lt;&gt;"",COUNTIFS(C895,"&gt;=36526",C895,"&lt;"&amp;TODAY())+COUNTIFS(D895,"&gt;=36526",D895,"&lt;"&amp;TODAY())+COUNTIFS(E895,"&gt;=36526",E895,"&lt;"&amp;TODAY())+COUNTIFS(F895,"&gt;=36526",F895,"&lt;"&amp;TODAY())&gt;0),O895,"")</x:f>
      </x:c>
      <x:c r="K895" t="str">
        <x:f>IF(AND(A895&lt;&gt;"",COUNTIFS(C895,"&gt;=36526",C895,TODAY())+COUNTIFS(D895,"&gt;=36526",D895,TODAY())+COUNTIFS(E895,"&gt;=36526",E895,TODAY())+COUNTIFS(F895,"&gt;=36526",F895,TODAY())&gt;0),P895,"")</x:f>
      </x:c>
      <x:c r="L895" t="str">
        <x:f>IF(AND(A895&lt;&gt;"",COUNTIFS(C895,"&gt;"&amp;TODAY(),C895,"&lt;="&amp;TODAY()+30)+COUNTIFS(D895,"&gt;"&amp;TODAY(),D895,"&lt;="&amp;TODAY()+30)+COUNTIFS(E895,"&gt;"&amp;TODAY(),E895,"&lt;="&amp;TODAY()+30)+COUNTIFS(F895,"&gt;"&amp;TODAY(),F895,"&lt;="&amp;TODAY()+30)&gt;0),Q895,"")</x:f>
      </x:c>
      <x:c r="M895" t="str">
        <x:f>IF(OR(LEFT(H895,15)="Missing dates; ",LEFT(H895,16)="Add N/A reason; ",H895="Add dates",H895="Add registration",H895="Check date format"),R895,"")</x:f>
      </x:c>
      <x:c r="N895" t="str">
        <x:f>IF(COUNTIFS(C895:F895,"Reviewed N/A")&gt;0,S895,"")</x:f>
      </x:c>
      <x:c r="O895" t="n">
        <x:f>O894+IF(AND(A895&lt;&gt;"",COUNTIFS(C895,"&gt;=36526",C895,"&lt;"&amp;TODAY())+COUNTIFS(D895,"&gt;=36526",D895,"&lt;"&amp;TODAY())+COUNTIFS(E895,"&gt;=36526",E895,"&lt;"&amp;TODAY())+COUNTIFS(F895,"&gt;=36526",F895,"&lt;"&amp;TODAY())&gt;0),1,0)</x:f>
        <x:v>0</x:v>
      </x:c>
      <x:c r="P895" t="n">
        <x:f>P894+IF(AND(A895&lt;&gt;"",COUNTIFS(C895,"&gt;=36526",C895,TODAY())+COUNTIFS(D895,"&gt;=36526",D895,TODAY())+COUNTIFS(E895,"&gt;=36526",E895,TODAY())+COUNTIFS(F895,"&gt;=36526",F895,TODAY())&gt;0),1,0)</x:f>
        <x:v>0</x:v>
      </x:c>
      <x:c r="Q895" t="n">
        <x:f>Q894+IF(AND(A895&lt;&gt;"",COUNTIFS(C895,"&gt;"&amp;TODAY(),C895,"&lt;="&amp;TODAY()+30)+COUNTIFS(D895,"&gt;"&amp;TODAY(),D895,"&lt;="&amp;TODAY()+30)+COUNTIFS(E895,"&gt;"&amp;TODAY(),E895,"&lt;="&amp;TODAY()+30)+COUNTIFS(F895,"&gt;"&amp;TODAY(),F895,"&lt;="&amp;TODAY()+30)&gt;0),1,0)</x:f>
        <x:v>0</x:v>
      </x:c>
      <x:c r="R895" t="n">
        <x:f>R894+IF(OR(LEFT(H895,15)="Missing dates; ",LEFT(H895,16)="Add N/A reason; ",H895="Add dates",H895="Add registration",H895="Check date format"),1,0)</x:f>
        <x:v>0</x:v>
      </x:c>
      <x:c r="S895" t="n">
        <x:f>S894+IF(COUNTIFS(C895:F895,"Reviewed N/A")&gt;0,1,0)</x:f>
        <x:v>0</x:v>
      </x:c>
    </x:row>
    <x:row r="896" ht="48" customHeight="1">
      <x:c r="A896" s="52"/>
      <x:c r="B896" s="52"/>
      <x:c r="C896" s="53"/>
      <x:c r="D896" s="53"/>
      <x:c r="E896" s="53"/>
      <x:c r="F896" s="53"/>
      <x:c r="G896" s="52"/>
      <x:c r="H896" s="21" t="str">
        <x:f>IF(COUNTA(A896:G896,I896)=0,"",IF(A896="","Add registration",IF(OR(COUNTA(C896:F896)&gt;COUNT(C896:F896)+COUNTIFS(C896:F896,"Reviewed N/A"),AND(COUNT(C896:F896)&gt;0,OR(MIN(C896:F896)&lt;36526,MAX(C896:F896)&gt;109574))),"Check date format",IF(AND(COUNTIFS(C896:F896,"Reviewed N/A")&gt;0,I896=""),"Add N/A reason; ","")&amp;IF(COUNT(C896:F896)=0,IF(COUNTIFS(C896:F896,"Reviewed N/A")=4,"No applicable dates recorded","Add dates"),IF(COUNT(C896:F896)+COUNTIFS(C896:F896,"Reviewed N/A")&lt;4,"Missing dates; ","")&amp;IF(MIN(C896:F896)&lt;TODAY(),"Overdue: ",IF(MIN(C896:F896)=TODAY(),"Due today: ",IF(MIN(C896:F896)&lt;=TODAY()+30,"Due within 30 days: ","Next: ")))&amp;INDEX($C$8:$F$8,1,MATCH(MIN(C896:F896),C896:F896,0))&amp;" "&amp;TEXT(MIN(C896:F896),"dd mmm yyyy")))))</x:f>
      </x:c>
      <x:c r="I896" s="52"/>
      <x:c r="J896" t="str">
        <x:f>IF(AND(A896&lt;&gt;"",COUNTIFS(C896,"&gt;=36526",C896,"&lt;"&amp;TODAY())+COUNTIFS(D896,"&gt;=36526",D896,"&lt;"&amp;TODAY())+COUNTIFS(E896,"&gt;=36526",E896,"&lt;"&amp;TODAY())+COUNTIFS(F896,"&gt;=36526",F896,"&lt;"&amp;TODAY())&gt;0),O896,"")</x:f>
      </x:c>
      <x:c r="K896" t="str">
        <x:f>IF(AND(A896&lt;&gt;"",COUNTIFS(C896,"&gt;=36526",C896,TODAY())+COUNTIFS(D896,"&gt;=36526",D896,TODAY())+COUNTIFS(E896,"&gt;=36526",E896,TODAY())+COUNTIFS(F896,"&gt;=36526",F896,TODAY())&gt;0),P896,"")</x:f>
      </x:c>
      <x:c r="L896" t="str">
        <x:f>IF(AND(A896&lt;&gt;"",COUNTIFS(C896,"&gt;"&amp;TODAY(),C896,"&lt;="&amp;TODAY()+30)+COUNTIFS(D896,"&gt;"&amp;TODAY(),D896,"&lt;="&amp;TODAY()+30)+COUNTIFS(E896,"&gt;"&amp;TODAY(),E896,"&lt;="&amp;TODAY()+30)+COUNTIFS(F896,"&gt;"&amp;TODAY(),F896,"&lt;="&amp;TODAY()+30)&gt;0),Q896,"")</x:f>
      </x:c>
      <x:c r="M896" t="str">
        <x:f>IF(OR(LEFT(H896,15)="Missing dates; ",LEFT(H896,16)="Add N/A reason; ",H896="Add dates",H896="Add registration",H896="Check date format"),R896,"")</x:f>
      </x:c>
      <x:c r="N896" t="str">
        <x:f>IF(COUNTIFS(C896:F896,"Reviewed N/A")&gt;0,S896,"")</x:f>
      </x:c>
      <x:c r="O896" t="n">
        <x:f>O895+IF(AND(A896&lt;&gt;"",COUNTIFS(C896,"&gt;=36526",C896,"&lt;"&amp;TODAY())+COUNTIFS(D896,"&gt;=36526",D896,"&lt;"&amp;TODAY())+COUNTIFS(E896,"&gt;=36526",E896,"&lt;"&amp;TODAY())+COUNTIFS(F896,"&gt;=36526",F896,"&lt;"&amp;TODAY())&gt;0),1,0)</x:f>
        <x:v>0</x:v>
      </x:c>
      <x:c r="P896" t="n">
        <x:f>P895+IF(AND(A896&lt;&gt;"",COUNTIFS(C896,"&gt;=36526",C896,TODAY())+COUNTIFS(D896,"&gt;=36526",D896,TODAY())+COUNTIFS(E896,"&gt;=36526",E896,TODAY())+COUNTIFS(F896,"&gt;=36526",F896,TODAY())&gt;0),1,0)</x:f>
        <x:v>0</x:v>
      </x:c>
      <x:c r="Q896" t="n">
        <x:f>Q895+IF(AND(A896&lt;&gt;"",COUNTIFS(C896,"&gt;"&amp;TODAY(),C896,"&lt;="&amp;TODAY()+30)+COUNTIFS(D896,"&gt;"&amp;TODAY(),D896,"&lt;="&amp;TODAY()+30)+COUNTIFS(E896,"&gt;"&amp;TODAY(),E896,"&lt;="&amp;TODAY()+30)+COUNTIFS(F896,"&gt;"&amp;TODAY(),F896,"&lt;="&amp;TODAY()+30)&gt;0),1,0)</x:f>
        <x:v>0</x:v>
      </x:c>
      <x:c r="R896" t="n">
        <x:f>R895+IF(OR(LEFT(H896,15)="Missing dates; ",LEFT(H896,16)="Add N/A reason; ",H896="Add dates",H896="Add registration",H896="Check date format"),1,0)</x:f>
        <x:v>0</x:v>
      </x:c>
      <x:c r="S896" t="n">
        <x:f>S895+IF(COUNTIFS(C896:F896,"Reviewed N/A")&gt;0,1,0)</x:f>
        <x:v>0</x:v>
      </x:c>
    </x:row>
    <x:row r="897" ht="48" customHeight="1">
      <x:c r="A897" s="52"/>
      <x:c r="B897" s="52"/>
      <x:c r="C897" s="53"/>
      <x:c r="D897" s="53"/>
      <x:c r="E897" s="53"/>
      <x:c r="F897" s="53"/>
      <x:c r="G897" s="52"/>
      <x:c r="H897" s="21" t="str">
        <x:f>IF(COUNTA(A897:G897,I897)=0,"",IF(A897="","Add registration",IF(OR(COUNTA(C897:F897)&gt;COUNT(C897:F897)+COUNTIFS(C897:F897,"Reviewed N/A"),AND(COUNT(C897:F897)&gt;0,OR(MIN(C897:F897)&lt;36526,MAX(C897:F897)&gt;109574))),"Check date format",IF(AND(COUNTIFS(C897:F897,"Reviewed N/A")&gt;0,I897=""),"Add N/A reason; ","")&amp;IF(COUNT(C897:F897)=0,IF(COUNTIFS(C897:F897,"Reviewed N/A")=4,"No applicable dates recorded","Add dates"),IF(COUNT(C897:F897)+COUNTIFS(C897:F897,"Reviewed N/A")&lt;4,"Missing dates; ","")&amp;IF(MIN(C897:F897)&lt;TODAY(),"Overdue: ",IF(MIN(C897:F897)=TODAY(),"Due today: ",IF(MIN(C897:F897)&lt;=TODAY()+30,"Due within 30 days: ","Next: ")))&amp;INDEX($C$8:$F$8,1,MATCH(MIN(C897:F897),C897:F897,0))&amp;" "&amp;TEXT(MIN(C897:F897),"dd mmm yyyy")))))</x:f>
      </x:c>
      <x:c r="I897" s="52"/>
      <x:c r="J897" t="str">
        <x:f>IF(AND(A897&lt;&gt;"",COUNTIFS(C897,"&gt;=36526",C897,"&lt;"&amp;TODAY())+COUNTIFS(D897,"&gt;=36526",D897,"&lt;"&amp;TODAY())+COUNTIFS(E897,"&gt;=36526",E897,"&lt;"&amp;TODAY())+COUNTIFS(F897,"&gt;=36526",F897,"&lt;"&amp;TODAY())&gt;0),O897,"")</x:f>
      </x:c>
      <x:c r="K897" t="str">
        <x:f>IF(AND(A897&lt;&gt;"",COUNTIFS(C897,"&gt;=36526",C897,TODAY())+COUNTIFS(D897,"&gt;=36526",D897,TODAY())+COUNTIFS(E897,"&gt;=36526",E897,TODAY())+COUNTIFS(F897,"&gt;=36526",F897,TODAY())&gt;0),P897,"")</x:f>
      </x:c>
      <x:c r="L897" t="str">
        <x:f>IF(AND(A897&lt;&gt;"",COUNTIFS(C897,"&gt;"&amp;TODAY(),C897,"&lt;="&amp;TODAY()+30)+COUNTIFS(D897,"&gt;"&amp;TODAY(),D897,"&lt;="&amp;TODAY()+30)+COUNTIFS(E897,"&gt;"&amp;TODAY(),E897,"&lt;="&amp;TODAY()+30)+COUNTIFS(F897,"&gt;"&amp;TODAY(),F897,"&lt;="&amp;TODAY()+30)&gt;0),Q897,"")</x:f>
      </x:c>
      <x:c r="M897" t="str">
        <x:f>IF(OR(LEFT(H897,15)="Missing dates; ",LEFT(H897,16)="Add N/A reason; ",H897="Add dates",H897="Add registration",H897="Check date format"),R897,"")</x:f>
      </x:c>
      <x:c r="N897" t="str">
        <x:f>IF(COUNTIFS(C897:F897,"Reviewed N/A")&gt;0,S897,"")</x:f>
      </x:c>
      <x:c r="O897" t="n">
        <x:f>O896+IF(AND(A897&lt;&gt;"",COUNTIFS(C897,"&gt;=36526",C897,"&lt;"&amp;TODAY())+COUNTIFS(D897,"&gt;=36526",D897,"&lt;"&amp;TODAY())+COUNTIFS(E897,"&gt;=36526",E897,"&lt;"&amp;TODAY())+COUNTIFS(F897,"&gt;=36526",F897,"&lt;"&amp;TODAY())&gt;0),1,0)</x:f>
        <x:v>0</x:v>
      </x:c>
      <x:c r="P897" t="n">
        <x:f>P896+IF(AND(A897&lt;&gt;"",COUNTIFS(C897,"&gt;=36526",C897,TODAY())+COUNTIFS(D897,"&gt;=36526",D897,TODAY())+COUNTIFS(E897,"&gt;=36526",E897,TODAY())+COUNTIFS(F897,"&gt;=36526",F897,TODAY())&gt;0),1,0)</x:f>
        <x:v>0</x:v>
      </x:c>
      <x:c r="Q897" t="n">
        <x:f>Q896+IF(AND(A897&lt;&gt;"",COUNTIFS(C897,"&gt;"&amp;TODAY(),C897,"&lt;="&amp;TODAY()+30)+COUNTIFS(D897,"&gt;"&amp;TODAY(),D897,"&lt;="&amp;TODAY()+30)+COUNTIFS(E897,"&gt;"&amp;TODAY(),E897,"&lt;="&amp;TODAY()+30)+COUNTIFS(F897,"&gt;"&amp;TODAY(),F897,"&lt;="&amp;TODAY()+30)&gt;0),1,0)</x:f>
        <x:v>0</x:v>
      </x:c>
      <x:c r="R897" t="n">
        <x:f>R896+IF(OR(LEFT(H897,15)="Missing dates; ",LEFT(H897,16)="Add N/A reason; ",H897="Add dates",H897="Add registration",H897="Check date format"),1,0)</x:f>
        <x:v>0</x:v>
      </x:c>
      <x:c r="S897" t="n">
        <x:f>S896+IF(COUNTIFS(C897:F897,"Reviewed N/A")&gt;0,1,0)</x:f>
        <x:v>0</x:v>
      </x:c>
    </x:row>
    <x:row r="898" ht="48" customHeight="1">
      <x:c r="A898" s="52"/>
      <x:c r="B898" s="52"/>
      <x:c r="C898" s="53"/>
      <x:c r="D898" s="53"/>
      <x:c r="E898" s="53"/>
      <x:c r="F898" s="53"/>
      <x:c r="G898" s="52"/>
      <x:c r="H898" s="21" t="str">
        <x:f>IF(COUNTA(A898:G898,I898)=0,"",IF(A898="","Add registration",IF(OR(COUNTA(C898:F898)&gt;COUNT(C898:F898)+COUNTIFS(C898:F898,"Reviewed N/A"),AND(COUNT(C898:F898)&gt;0,OR(MIN(C898:F898)&lt;36526,MAX(C898:F898)&gt;109574))),"Check date format",IF(AND(COUNTIFS(C898:F898,"Reviewed N/A")&gt;0,I898=""),"Add N/A reason; ","")&amp;IF(COUNT(C898:F898)=0,IF(COUNTIFS(C898:F898,"Reviewed N/A")=4,"No applicable dates recorded","Add dates"),IF(COUNT(C898:F898)+COUNTIFS(C898:F898,"Reviewed N/A")&lt;4,"Missing dates; ","")&amp;IF(MIN(C898:F898)&lt;TODAY(),"Overdue: ",IF(MIN(C898:F898)=TODAY(),"Due today: ",IF(MIN(C898:F898)&lt;=TODAY()+30,"Due within 30 days: ","Next: ")))&amp;INDEX($C$8:$F$8,1,MATCH(MIN(C898:F898),C898:F898,0))&amp;" "&amp;TEXT(MIN(C898:F898),"dd mmm yyyy")))))</x:f>
      </x:c>
      <x:c r="I898" s="52"/>
      <x:c r="J898" t="str">
        <x:f>IF(AND(A898&lt;&gt;"",COUNTIFS(C898,"&gt;=36526",C898,"&lt;"&amp;TODAY())+COUNTIFS(D898,"&gt;=36526",D898,"&lt;"&amp;TODAY())+COUNTIFS(E898,"&gt;=36526",E898,"&lt;"&amp;TODAY())+COUNTIFS(F898,"&gt;=36526",F898,"&lt;"&amp;TODAY())&gt;0),O898,"")</x:f>
      </x:c>
      <x:c r="K898" t="str">
        <x:f>IF(AND(A898&lt;&gt;"",COUNTIFS(C898,"&gt;=36526",C898,TODAY())+COUNTIFS(D898,"&gt;=36526",D898,TODAY())+COUNTIFS(E898,"&gt;=36526",E898,TODAY())+COUNTIFS(F898,"&gt;=36526",F898,TODAY())&gt;0),P898,"")</x:f>
      </x:c>
      <x:c r="L898" t="str">
        <x:f>IF(AND(A898&lt;&gt;"",COUNTIFS(C898,"&gt;"&amp;TODAY(),C898,"&lt;="&amp;TODAY()+30)+COUNTIFS(D898,"&gt;"&amp;TODAY(),D898,"&lt;="&amp;TODAY()+30)+COUNTIFS(E898,"&gt;"&amp;TODAY(),E898,"&lt;="&amp;TODAY()+30)+COUNTIFS(F898,"&gt;"&amp;TODAY(),F898,"&lt;="&amp;TODAY()+30)&gt;0),Q898,"")</x:f>
      </x:c>
      <x:c r="M898" t="str">
        <x:f>IF(OR(LEFT(H898,15)="Missing dates; ",LEFT(H898,16)="Add N/A reason; ",H898="Add dates",H898="Add registration",H898="Check date format"),R898,"")</x:f>
      </x:c>
      <x:c r="N898" t="str">
        <x:f>IF(COUNTIFS(C898:F898,"Reviewed N/A")&gt;0,S898,"")</x:f>
      </x:c>
      <x:c r="O898" t="n">
        <x:f>O897+IF(AND(A898&lt;&gt;"",COUNTIFS(C898,"&gt;=36526",C898,"&lt;"&amp;TODAY())+COUNTIFS(D898,"&gt;=36526",D898,"&lt;"&amp;TODAY())+COUNTIFS(E898,"&gt;=36526",E898,"&lt;"&amp;TODAY())+COUNTIFS(F898,"&gt;=36526",F898,"&lt;"&amp;TODAY())&gt;0),1,0)</x:f>
        <x:v>0</x:v>
      </x:c>
      <x:c r="P898" t="n">
        <x:f>P897+IF(AND(A898&lt;&gt;"",COUNTIFS(C898,"&gt;=36526",C898,TODAY())+COUNTIFS(D898,"&gt;=36526",D898,TODAY())+COUNTIFS(E898,"&gt;=36526",E898,TODAY())+COUNTIFS(F898,"&gt;=36526",F898,TODAY())&gt;0),1,0)</x:f>
        <x:v>0</x:v>
      </x:c>
      <x:c r="Q898" t="n">
        <x:f>Q897+IF(AND(A898&lt;&gt;"",COUNTIFS(C898,"&gt;"&amp;TODAY(),C898,"&lt;="&amp;TODAY()+30)+COUNTIFS(D898,"&gt;"&amp;TODAY(),D898,"&lt;="&amp;TODAY()+30)+COUNTIFS(E898,"&gt;"&amp;TODAY(),E898,"&lt;="&amp;TODAY()+30)+COUNTIFS(F898,"&gt;"&amp;TODAY(),F898,"&lt;="&amp;TODAY()+30)&gt;0),1,0)</x:f>
        <x:v>0</x:v>
      </x:c>
      <x:c r="R898" t="n">
        <x:f>R897+IF(OR(LEFT(H898,15)="Missing dates; ",LEFT(H898,16)="Add N/A reason; ",H898="Add dates",H898="Add registration",H898="Check date format"),1,0)</x:f>
        <x:v>0</x:v>
      </x:c>
      <x:c r="S898" t="n">
        <x:f>S897+IF(COUNTIFS(C898:F898,"Reviewed N/A")&gt;0,1,0)</x:f>
        <x:v>0</x:v>
      </x:c>
    </x:row>
    <x:row r="899" ht="48" customHeight="1">
      <x:c r="A899" s="52"/>
      <x:c r="B899" s="52"/>
      <x:c r="C899" s="53"/>
      <x:c r="D899" s="53"/>
      <x:c r="E899" s="53"/>
      <x:c r="F899" s="53"/>
      <x:c r="G899" s="52"/>
      <x:c r="H899" s="21" t="str">
        <x:f>IF(COUNTA(A899:G899,I899)=0,"",IF(A899="","Add registration",IF(OR(COUNTA(C899:F899)&gt;COUNT(C899:F899)+COUNTIFS(C899:F899,"Reviewed N/A"),AND(COUNT(C899:F899)&gt;0,OR(MIN(C899:F899)&lt;36526,MAX(C899:F899)&gt;109574))),"Check date format",IF(AND(COUNTIFS(C899:F899,"Reviewed N/A")&gt;0,I899=""),"Add N/A reason; ","")&amp;IF(COUNT(C899:F899)=0,IF(COUNTIFS(C899:F899,"Reviewed N/A")=4,"No applicable dates recorded","Add dates"),IF(COUNT(C899:F899)+COUNTIFS(C899:F899,"Reviewed N/A")&lt;4,"Missing dates; ","")&amp;IF(MIN(C899:F899)&lt;TODAY(),"Overdue: ",IF(MIN(C899:F899)=TODAY(),"Due today: ",IF(MIN(C899:F899)&lt;=TODAY()+30,"Due within 30 days: ","Next: ")))&amp;INDEX($C$8:$F$8,1,MATCH(MIN(C899:F899),C899:F899,0))&amp;" "&amp;TEXT(MIN(C899:F899),"dd mmm yyyy")))))</x:f>
      </x:c>
      <x:c r="I899" s="52"/>
      <x:c r="J899" t="str">
        <x:f>IF(AND(A899&lt;&gt;"",COUNTIFS(C899,"&gt;=36526",C899,"&lt;"&amp;TODAY())+COUNTIFS(D899,"&gt;=36526",D899,"&lt;"&amp;TODAY())+COUNTIFS(E899,"&gt;=36526",E899,"&lt;"&amp;TODAY())+COUNTIFS(F899,"&gt;=36526",F899,"&lt;"&amp;TODAY())&gt;0),O899,"")</x:f>
      </x:c>
      <x:c r="K899" t="str">
        <x:f>IF(AND(A899&lt;&gt;"",COUNTIFS(C899,"&gt;=36526",C899,TODAY())+COUNTIFS(D899,"&gt;=36526",D899,TODAY())+COUNTIFS(E899,"&gt;=36526",E899,TODAY())+COUNTIFS(F899,"&gt;=36526",F899,TODAY())&gt;0),P899,"")</x:f>
      </x:c>
      <x:c r="L899" t="str">
        <x:f>IF(AND(A899&lt;&gt;"",COUNTIFS(C899,"&gt;"&amp;TODAY(),C899,"&lt;="&amp;TODAY()+30)+COUNTIFS(D899,"&gt;"&amp;TODAY(),D899,"&lt;="&amp;TODAY()+30)+COUNTIFS(E899,"&gt;"&amp;TODAY(),E899,"&lt;="&amp;TODAY()+30)+COUNTIFS(F899,"&gt;"&amp;TODAY(),F899,"&lt;="&amp;TODAY()+30)&gt;0),Q899,"")</x:f>
      </x:c>
      <x:c r="M899" t="str">
        <x:f>IF(OR(LEFT(H899,15)="Missing dates; ",LEFT(H899,16)="Add N/A reason; ",H899="Add dates",H899="Add registration",H899="Check date format"),R899,"")</x:f>
      </x:c>
      <x:c r="N899" t="str">
        <x:f>IF(COUNTIFS(C899:F899,"Reviewed N/A")&gt;0,S899,"")</x:f>
      </x:c>
      <x:c r="O899" t="n">
        <x:f>O898+IF(AND(A899&lt;&gt;"",COUNTIFS(C899,"&gt;=36526",C899,"&lt;"&amp;TODAY())+COUNTIFS(D899,"&gt;=36526",D899,"&lt;"&amp;TODAY())+COUNTIFS(E899,"&gt;=36526",E899,"&lt;"&amp;TODAY())+COUNTIFS(F899,"&gt;=36526",F899,"&lt;"&amp;TODAY())&gt;0),1,0)</x:f>
        <x:v>0</x:v>
      </x:c>
      <x:c r="P899" t="n">
        <x:f>P898+IF(AND(A899&lt;&gt;"",COUNTIFS(C899,"&gt;=36526",C899,TODAY())+COUNTIFS(D899,"&gt;=36526",D899,TODAY())+COUNTIFS(E899,"&gt;=36526",E899,TODAY())+COUNTIFS(F899,"&gt;=36526",F899,TODAY())&gt;0),1,0)</x:f>
        <x:v>0</x:v>
      </x:c>
      <x:c r="Q899" t="n">
        <x:f>Q898+IF(AND(A899&lt;&gt;"",COUNTIFS(C899,"&gt;"&amp;TODAY(),C899,"&lt;="&amp;TODAY()+30)+COUNTIFS(D899,"&gt;"&amp;TODAY(),D899,"&lt;="&amp;TODAY()+30)+COUNTIFS(E899,"&gt;"&amp;TODAY(),E899,"&lt;="&amp;TODAY()+30)+COUNTIFS(F899,"&gt;"&amp;TODAY(),F899,"&lt;="&amp;TODAY()+30)&gt;0),1,0)</x:f>
        <x:v>0</x:v>
      </x:c>
      <x:c r="R899" t="n">
        <x:f>R898+IF(OR(LEFT(H899,15)="Missing dates; ",LEFT(H899,16)="Add N/A reason; ",H899="Add dates",H899="Add registration",H899="Check date format"),1,0)</x:f>
        <x:v>0</x:v>
      </x:c>
      <x:c r="S899" t="n">
        <x:f>S898+IF(COUNTIFS(C899:F899,"Reviewed N/A")&gt;0,1,0)</x:f>
        <x:v>0</x:v>
      </x:c>
    </x:row>
    <x:row r="900" ht="48" customHeight="1">
      <x:c r="A900" s="52"/>
      <x:c r="B900" s="52"/>
      <x:c r="C900" s="53"/>
      <x:c r="D900" s="53"/>
      <x:c r="E900" s="53"/>
      <x:c r="F900" s="53"/>
      <x:c r="G900" s="52"/>
      <x:c r="H900" s="21" t="str">
        <x:f>IF(COUNTA(A900:G900,I900)=0,"",IF(A900="","Add registration",IF(OR(COUNTA(C900:F900)&gt;COUNT(C900:F900)+COUNTIFS(C900:F900,"Reviewed N/A"),AND(COUNT(C900:F900)&gt;0,OR(MIN(C900:F900)&lt;36526,MAX(C900:F900)&gt;109574))),"Check date format",IF(AND(COUNTIFS(C900:F900,"Reviewed N/A")&gt;0,I900=""),"Add N/A reason; ","")&amp;IF(COUNT(C900:F900)=0,IF(COUNTIFS(C900:F900,"Reviewed N/A")=4,"No applicable dates recorded","Add dates"),IF(COUNT(C900:F900)+COUNTIFS(C900:F900,"Reviewed N/A")&lt;4,"Missing dates; ","")&amp;IF(MIN(C900:F900)&lt;TODAY(),"Overdue: ",IF(MIN(C900:F900)=TODAY(),"Due today: ",IF(MIN(C900:F900)&lt;=TODAY()+30,"Due within 30 days: ","Next: ")))&amp;INDEX($C$8:$F$8,1,MATCH(MIN(C900:F900),C900:F900,0))&amp;" "&amp;TEXT(MIN(C900:F900),"dd mmm yyyy")))))</x:f>
      </x:c>
      <x:c r="I900" s="52"/>
      <x:c r="J900" t="str">
        <x:f>IF(AND(A900&lt;&gt;"",COUNTIFS(C900,"&gt;=36526",C900,"&lt;"&amp;TODAY())+COUNTIFS(D900,"&gt;=36526",D900,"&lt;"&amp;TODAY())+COUNTIFS(E900,"&gt;=36526",E900,"&lt;"&amp;TODAY())+COUNTIFS(F900,"&gt;=36526",F900,"&lt;"&amp;TODAY())&gt;0),O900,"")</x:f>
      </x:c>
      <x:c r="K900" t="str">
        <x:f>IF(AND(A900&lt;&gt;"",COUNTIFS(C900,"&gt;=36526",C900,TODAY())+COUNTIFS(D900,"&gt;=36526",D900,TODAY())+COUNTIFS(E900,"&gt;=36526",E900,TODAY())+COUNTIFS(F900,"&gt;=36526",F900,TODAY())&gt;0),P900,"")</x:f>
      </x:c>
      <x:c r="L900" t="str">
        <x:f>IF(AND(A900&lt;&gt;"",COUNTIFS(C900,"&gt;"&amp;TODAY(),C900,"&lt;="&amp;TODAY()+30)+COUNTIFS(D900,"&gt;"&amp;TODAY(),D900,"&lt;="&amp;TODAY()+30)+COUNTIFS(E900,"&gt;"&amp;TODAY(),E900,"&lt;="&amp;TODAY()+30)+COUNTIFS(F900,"&gt;"&amp;TODAY(),F900,"&lt;="&amp;TODAY()+30)&gt;0),Q900,"")</x:f>
      </x:c>
      <x:c r="M900" t="str">
        <x:f>IF(OR(LEFT(H900,15)="Missing dates; ",LEFT(H900,16)="Add N/A reason; ",H900="Add dates",H900="Add registration",H900="Check date format"),R900,"")</x:f>
      </x:c>
      <x:c r="N900" t="str">
        <x:f>IF(COUNTIFS(C900:F900,"Reviewed N/A")&gt;0,S900,"")</x:f>
      </x:c>
      <x:c r="O900" t="n">
        <x:f>O899+IF(AND(A900&lt;&gt;"",COUNTIFS(C900,"&gt;=36526",C900,"&lt;"&amp;TODAY())+COUNTIFS(D900,"&gt;=36526",D900,"&lt;"&amp;TODAY())+COUNTIFS(E900,"&gt;=36526",E900,"&lt;"&amp;TODAY())+COUNTIFS(F900,"&gt;=36526",F900,"&lt;"&amp;TODAY())&gt;0),1,0)</x:f>
        <x:v>0</x:v>
      </x:c>
      <x:c r="P900" t="n">
        <x:f>P899+IF(AND(A900&lt;&gt;"",COUNTIFS(C900,"&gt;=36526",C900,TODAY())+COUNTIFS(D900,"&gt;=36526",D900,TODAY())+COUNTIFS(E900,"&gt;=36526",E900,TODAY())+COUNTIFS(F900,"&gt;=36526",F900,TODAY())&gt;0),1,0)</x:f>
        <x:v>0</x:v>
      </x:c>
      <x:c r="Q900" t="n">
        <x:f>Q899+IF(AND(A900&lt;&gt;"",COUNTIFS(C900,"&gt;"&amp;TODAY(),C900,"&lt;="&amp;TODAY()+30)+COUNTIFS(D900,"&gt;"&amp;TODAY(),D900,"&lt;="&amp;TODAY()+30)+COUNTIFS(E900,"&gt;"&amp;TODAY(),E900,"&lt;="&amp;TODAY()+30)+COUNTIFS(F900,"&gt;"&amp;TODAY(),F900,"&lt;="&amp;TODAY()+30)&gt;0),1,0)</x:f>
        <x:v>0</x:v>
      </x:c>
      <x:c r="R900" t="n">
        <x:f>R899+IF(OR(LEFT(H900,15)="Missing dates; ",LEFT(H900,16)="Add N/A reason; ",H900="Add dates",H900="Add registration",H900="Check date format"),1,0)</x:f>
        <x:v>0</x:v>
      </x:c>
      <x:c r="S900" t="n">
        <x:f>S899+IF(COUNTIFS(C900:F900,"Reviewed N/A")&gt;0,1,0)</x:f>
        <x:v>0</x:v>
      </x:c>
    </x:row>
    <x:row r="901" ht="48" customHeight="1">
      <x:c r="A901" s="52"/>
      <x:c r="B901" s="52"/>
      <x:c r="C901" s="53"/>
      <x:c r="D901" s="53"/>
      <x:c r="E901" s="53"/>
      <x:c r="F901" s="53"/>
      <x:c r="G901" s="52"/>
      <x:c r="H901" s="21" t="str">
        <x:f>IF(COUNTA(A901:G901,I901)=0,"",IF(A901="","Add registration",IF(OR(COUNTA(C901:F901)&gt;COUNT(C901:F901)+COUNTIFS(C901:F901,"Reviewed N/A"),AND(COUNT(C901:F901)&gt;0,OR(MIN(C901:F901)&lt;36526,MAX(C901:F901)&gt;109574))),"Check date format",IF(AND(COUNTIFS(C901:F901,"Reviewed N/A")&gt;0,I901=""),"Add N/A reason; ","")&amp;IF(COUNT(C901:F901)=0,IF(COUNTIFS(C901:F901,"Reviewed N/A")=4,"No applicable dates recorded","Add dates"),IF(COUNT(C901:F901)+COUNTIFS(C901:F901,"Reviewed N/A")&lt;4,"Missing dates; ","")&amp;IF(MIN(C901:F901)&lt;TODAY(),"Overdue: ",IF(MIN(C901:F901)=TODAY(),"Due today: ",IF(MIN(C901:F901)&lt;=TODAY()+30,"Due within 30 days: ","Next: ")))&amp;INDEX($C$8:$F$8,1,MATCH(MIN(C901:F901),C901:F901,0))&amp;" "&amp;TEXT(MIN(C901:F901),"dd mmm yyyy")))))</x:f>
      </x:c>
      <x:c r="I901" s="52"/>
      <x:c r="J901" t="str">
        <x:f>IF(AND(A901&lt;&gt;"",COUNTIFS(C901,"&gt;=36526",C901,"&lt;"&amp;TODAY())+COUNTIFS(D901,"&gt;=36526",D901,"&lt;"&amp;TODAY())+COUNTIFS(E901,"&gt;=36526",E901,"&lt;"&amp;TODAY())+COUNTIFS(F901,"&gt;=36526",F901,"&lt;"&amp;TODAY())&gt;0),O901,"")</x:f>
      </x:c>
      <x:c r="K901" t="str">
        <x:f>IF(AND(A901&lt;&gt;"",COUNTIFS(C901,"&gt;=36526",C901,TODAY())+COUNTIFS(D901,"&gt;=36526",D901,TODAY())+COUNTIFS(E901,"&gt;=36526",E901,TODAY())+COUNTIFS(F901,"&gt;=36526",F901,TODAY())&gt;0),P901,"")</x:f>
      </x:c>
      <x:c r="L901" t="str">
        <x:f>IF(AND(A901&lt;&gt;"",COUNTIFS(C901,"&gt;"&amp;TODAY(),C901,"&lt;="&amp;TODAY()+30)+COUNTIFS(D901,"&gt;"&amp;TODAY(),D901,"&lt;="&amp;TODAY()+30)+COUNTIFS(E901,"&gt;"&amp;TODAY(),E901,"&lt;="&amp;TODAY()+30)+COUNTIFS(F901,"&gt;"&amp;TODAY(),F901,"&lt;="&amp;TODAY()+30)&gt;0),Q901,"")</x:f>
      </x:c>
      <x:c r="M901" t="str">
        <x:f>IF(OR(LEFT(H901,15)="Missing dates; ",LEFT(H901,16)="Add N/A reason; ",H901="Add dates",H901="Add registration",H901="Check date format"),R901,"")</x:f>
      </x:c>
      <x:c r="N901" t="str">
        <x:f>IF(COUNTIFS(C901:F901,"Reviewed N/A")&gt;0,S901,"")</x:f>
      </x:c>
      <x:c r="O901" t="n">
        <x:f>O900+IF(AND(A901&lt;&gt;"",COUNTIFS(C901,"&gt;=36526",C901,"&lt;"&amp;TODAY())+COUNTIFS(D901,"&gt;=36526",D901,"&lt;"&amp;TODAY())+COUNTIFS(E901,"&gt;=36526",E901,"&lt;"&amp;TODAY())+COUNTIFS(F901,"&gt;=36526",F901,"&lt;"&amp;TODAY())&gt;0),1,0)</x:f>
        <x:v>0</x:v>
      </x:c>
      <x:c r="P901" t="n">
        <x:f>P900+IF(AND(A901&lt;&gt;"",COUNTIFS(C901,"&gt;=36526",C901,TODAY())+COUNTIFS(D901,"&gt;=36526",D901,TODAY())+COUNTIFS(E901,"&gt;=36526",E901,TODAY())+COUNTIFS(F901,"&gt;=36526",F901,TODAY())&gt;0),1,0)</x:f>
        <x:v>0</x:v>
      </x:c>
      <x:c r="Q901" t="n">
        <x:f>Q900+IF(AND(A901&lt;&gt;"",COUNTIFS(C901,"&gt;"&amp;TODAY(),C901,"&lt;="&amp;TODAY()+30)+COUNTIFS(D901,"&gt;"&amp;TODAY(),D901,"&lt;="&amp;TODAY()+30)+COUNTIFS(E901,"&gt;"&amp;TODAY(),E901,"&lt;="&amp;TODAY()+30)+COUNTIFS(F901,"&gt;"&amp;TODAY(),F901,"&lt;="&amp;TODAY()+30)&gt;0),1,0)</x:f>
        <x:v>0</x:v>
      </x:c>
      <x:c r="R901" t="n">
        <x:f>R900+IF(OR(LEFT(H901,15)="Missing dates; ",LEFT(H901,16)="Add N/A reason; ",H901="Add dates",H901="Add registration",H901="Check date format"),1,0)</x:f>
        <x:v>0</x:v>
      </x:c>
      <x:c r="S901" t="n">
        <x:f>S900+IF(COUNTIFS(C901:F901,"Reviewed N/A")&gt;0,1,0)</x:f>
        <x:v>0</x:v>
      </x:c>
    </x:row>
    <x:row r="902" ht="48" customHeight="1">
      <x:c r="A902" s="52"/>
      <x:c r="B902" s="52"/>
      <x:c r="C902" s="53"/>
      <x:c r="D902" s="53"/>
      <x:c r="E902" s="53"/>
      <x:c r="F902" s="53"/>
      <x:c r="G902" s="52"/>
      <x:c r="H902" s="21" t="str">
        <x:f>IF(COUNTA(A902:G902,I902)=0,"",IF(A902="","Add registration",IF(OR(COUNTA(C902:F902)&gt;COUNT(C902:F902)+COUNTIFS(C902:F902,"Reviewed N/A"),AND(COUNT(C902:F902)&gt;0,OR(MIN(C902:F902)&lt;36526,MAX(C902:F902)&gt;109574))),"Check date format",IF(AND(COUNTIFS(C902:F902,"Reviewed N/A")&gt;0,I902=""),"Add N/A reason; ","")&amp;IF(COUNT(C902:F902)=0,IF(COUNTIFS(C902:F902,"Reviewed N/A")=4,"No applicable dates recorded","Add dates"),IF(COUNT(C902:F902)+COUNTIFS(C902:F902,"Reviewed N/A")&lt;4,"Missing dates; ","")&amp;IF(MIN(C902:F902)&lt;TODAY(),"Overdue: ",IF(MIN(C902:F902)=TODAY(),"Due today: ",IF(MIN(C902:F902)&lt;=TODAY()+30,"Due within 30 days: ","Next: ")))&amp;INDEX($C$8:$F$8,1,MATCH(MIN(C902:F902),C902:F902,0))&amp;" "&amp;TEXT(MIN(C902:F902),"dd mmm yyyy")))))</x:f>
      </x:c>
      <x:c r="I902" s="52"/>
      <x:c r="J902" t="str">
        <x:f>IF(AND(A902&lt;&gt;"",COUNTIFS(C902,"&gt;=36526",C902,"&lt;"&amp;TODAY())+COUNTIFS(D902,"&gt;=36526",D902,"&lt;"&amp;TODAY())+COUNTIFS(E902,"&gt;=36526",E902,"&lt;"&amp;TODAY())+COUNTIFS(F902,"&gt;=36526",F902,"&lt;"&amp;TODAY())&gt;0),O902,"")</x:f>
      </x:c>
      <x:c r="K902" t="str">
        <x:f>IF(AND(A902&lt;&gt;"",COUNTIFS(C902,"&gt;=36526",C902,TODAY())+COUNTIFS(D902,"&gt;=36526",D902,TODAY())+COUNTIFS(E902,"&gt;=36526",E902,TODAY())+COUNTIFS(F902,"&gt;=36526",F902,TODAY())&gt;0),P902,"")</x:f>
      </x:c>
      <x:c r="L902" t="str">
        <x:f>IF(AND(A902&lt;&gt;"",COUNTIFS(C902,"&gt;"&amp;TODAY(),C902,"&lt;="&amp;TODAY()+30)+COUNTIFS(D902,"&gt;"&amp;TODAY(),D902,"&lt;="&amp;TODAY()+30)+COUNTIFS(E902,"&gt;"&amp;TODAY(),E902,"&lt;="&amp;TODAY()+30)+COUNTIFS(F902,"&gt;"&amp;TODAY(),F902,"&lt;="&amp;TODAY()+30)&gt;0),Q902,"")</x:f>
      </x:c>
      <x:c r="M902" t="str">
        <x:f>IF(OR(LEFT(H902,15)="Missing dates; ",LEFT(H902,16)="Add N/A reason; ",H902="Add dates",H902="Add registration",H902="Check date format"),R902,"")</x:f>
      </x:c>
      <x:c r="N902" t="str">
        <x:f>IF(COUNTIFS(C902:F902,"Reviewed N/A")&gt;0,S902,"")</x:f>
      </x:c>
      <x:c r="O902" t="n">
        <x:f>O901+IF(AND(A902&lt;&gt;"",COUNTIFS(C902,"&gt;=36526",C902,"&lt;"&amp;TODAY())+COUNTIFS(D902,"&gt;=36526",D902,"&lt;"&amp;TODAY())+COUNTIFS(E902,"&gt;=36526",E902,"&lt;"&amp;TODAY())+COUNTIFS(F902,"&gt;=36526",F902,"&lt;"&amp;TODAY())&gt;0),1,0)</x:f>
        <x:v>0</x:v>
      </x:c>
      <x:c r="P902" t="n">
        <x:f>P901+IF(AND(A902&lt;&gt;"",COUNTIFS(C902,"&gt;=36526",C902,TODAY())+COUNTIFS(D902,"&gt;=36526",D902,TODAY())+COUNTIFS(E902,"&gt;=36526",E902,TODAY())+COUNTIFS(F902,"&gt;=36526",F902,TODAY())&gt;0),1,0)</x:f>
        <x:v>0</x:v>
      </x:c>
      <x:c r="Q902" t="n">
        <x:f>Q901+IF(AND(A902&lt;&gt;"",COUNTIFS(C902,"&gt;"&amp;TODAY(),C902,"&lt;="&amp;TODAY()+30)+COUNTIFS(D902,"&gt;"&amp;TODAY(),D902,"&lt;="&amp;TODAY()+30)+COUNTIFS(E902,"&gt;"&amp;TODAY(),E902,"&lt;="&amp;TODAY()+30)+COUNTIFS(F902,"&gt;"&amp;TODAY(),F902,"&lt;="&amp;TODAY()+30)&gt;0),1,0)</x:f>
        <x:v>0</x:v>
      </x:c>
      <x:c r="R902" t="n">
        <x:f>R901+IF(OR(LEFT(H902,15)="Missing dates; ",LEFT(H902,16)="Add N/A reason; ",H902="Add dates",H902="Add registration",H902="Check date format"),1,0)</x:f>
        <x:v>0</x:v>
      </x:c>
      <x:c r="S902" t="n">
        <x:f>S901+IF(COUNTIFS(C902:F902,"Reviewed N/A")&gt;0,1,0)</x:f>
        <x:v>0</x:v>
      </x:c>
    </x:row>
    <x:row r="903" ht="48" customHeight="1">
      <x:c r="A903" s="52"/>
      <x:c r="B903" s="52"/>
      <x:c r="C903" s="53"/>
      <x:c r="D903" s="53"/>
      <x:c r="E903" s="53"/>
      <x:c r="F903" s="53"/>
      <x:c r="G903" s="52"/>
      <x:c r="H903" s="21" t="str">
        <x:f>IF(COUNTA(A903:G903,I903)=0,"",IF(A903="","Add registration",IF(OR(COUNTA(C903:F903)&gt;COUNT(C903:F903)+COUNTIFS(C903:F903,"Reviewed N/A"),AND(COUNT(C903:F903)&gt;0,OR(MIN(C903:F903)&lt;36526,MAX(C903:F903)&gt;109574))),"Check date format",IF(AND(COUNTIFS(C903:F903,"Reviewed N/A")&gt;0,I903=""),"Add N/A reason; ","")&amp;IF(COUNT(C903:F903)=0,IF(COUNTIFS(C903:F903,"Reviewed N/A")=4,"No applicable dates recorded","Add dates"),IF(COUNT(C903:F903)+COUNTIFS(C903:F903,"Reviewed N/A")&lt;4,"Missing dates; ","")&amp;IF(MIN(C903:F903)&lt;TODAY(),"Overdue: ",IF(MIN(C903:F903)=TODAY(),"Due today: ",IF(MIN(C903:F903)&lt;=TODAY()+30,"Due within 30 days: ","Next: ")))&amp;INDEX($C$8:$F$8,1,MATCH(MIN(C903:F903),C903:F903,0))&amp;" "&amp;TEXT(MIN(C903:F903),"dd mmm yyyy")))))</x:f>
      </x:c>
      <x:c r="I903" s="52"/>
      <x:c r="J903" t="str">
        <x:f>IF(AND(A903&lt;&gt;"",COUNTIFS(C903,"&gt;=36526",C903,"&lt;"&amp;TODAY())+COUNTIFS(D903,"&gt;=36526",D903,"&lt;"&amp;TODAY())+COUNTIFS(E903,"&gt;=36526",E903,"&lt;"&amp;TODAY())+COUNTIFS(F903,"&gt;=36526",F903,"&lt;"&amp;TODAY())&gt;0),O903,"")</x:f>
      </x:c>
      <x:c r="K903" t="str">
        <x:f>IF(AND(A903&lt;&gt;"",COUNTIFS(C903,"&gt;=36526",C903,TODAY())+COUNTIFS(D903,"&gt;=36526",D903,TODAY())+COUNTIFS(E903,"&gt;=36526",E903,TODAY())+COUNTIFS(F903,"&gt;=36526",F903,TODAY())&gt;0),P903,"")</x:f>
      </x:c>
      <x:c r="L903" t="str">
        <x:f>IF(AND(A903&lt;&gt;"",COUNTIFS(C903,"&gt;"&amp;TODAY(),C903,"&lt;="&amp;TODAY()+30)+COUNTIFS(D903,"&gt;"&amp;TODAY(),D903,"&lt;="&amp;TODAY()+30)+COUNTIFS(E903,"&gt;"&amp;TODAY(),E903,"&lt;="&amp;TODAY()+30)+COUNTIFS(F903,"&gt;"&amp;TODAY(),F903,"&lt;="&amp;TODAY()+30)&gt;0),Q903,"")</x:f>
      </x:c>
      <x:c r="M903" t="str">
        <x:f>IF(OR(LEFT(H903,15)="Missing dates; ",LEFT(H903,16)="Add N/A reason; ",H903="Add dates",H903="Add registration",H903="Check date format"),R903,"")</x:f>
      </x:c>
      <x:c r="N903" t="str">
        <x:f>IF(COUNTIFS(C903:F903,"Reviewed N/A")&gt;0,S903,"")</x:f>
      </x:c>
      <x:c r="O903" t="n">
        <x:f>O902+IF(AND(A903&lt;&gt;"",COUNTIFS(C903,"&gt;=36526",C903,"&lt;"&amp;TODAY())+COUNTIFS(D903,"&gt;=36526",D903,"&lt;"&amp;TODAY())+COUNTIFS(E903,"&gt;=36526",E903,"&lt;"&amp;TODAY())+COUNTIFS(F903,"&gt;=36526",F903,"&lt;"&amp;TODAY())&gt;0),1,0)</x:f>
        <x:v>0</x:v>
      </x:c>
      <x:c r="P903" t="n">
        <x:f>P902+IF(AND(A903&lt;&gt;"",COUNTIFS(C903,"&gt;=36526",C903,TODAY())+COUNTIFS(D903,"&gt;=36526",D903,TODAY())+COUNTIFS(E903,"&gt;=36526",E903,TODAY())+COUNTIFS(F903,"&gt;=36526",F903,TODAY())&gt;0),1,0)</x:f>
        <x:v>0</x:v>
      </x:c>
      <x:c r="Q903" t="n">
        <x:f>Q902+IF(AND(A903&lt;&gt;"",COUNTIFS(C903,"&gt;"&amp;TODAY(),C903,"&lt;="&amp;TODAY()+30)+COUNTIFS(D903,"&gt;"&amp;TODAY(),D903,"&lt;="&amp;TODAY()+30)+COUNTIFS(E903,"&gt;"&amp;TODAY(),E903,"&lt;="&amp;TODAY()+30)+COUNTIFS(F903,"&gt;"&amp;TODAY(),F903,"&lt;="&amp;TODAY()+30)&gt;0),1,0)</x:f>
        <x:v>0</x:v>
      </x:c>
      <x:c r="R903" t="n">
        <x:f>R902+IF(OR(LEFT(H903,15)="Missing dates; ",LEFT(H903,16)="Add N/A reason; ",H903="Add dates",H903="Add registration",H903="Check date format"),1,0)</x:f>
        <x:v>0</x:v>
      </x:c>
      <x:c r="S903" t="n">
        <x:f>S902+IF(COUNTIFS(C903:F903,"Reviewed N/A")&gt;0,1,0)</x:f>
        <x:v>0</x:v>
      </x:c>
    </x:row>
    <x:row r="904" ht="48" customHeight="1">
      <x:c r="A904" s="52"/>
      <x:c r="B904" s="52"/>
      <x:c r="C904" s="53"/>
      <x:c r="D904" s="53"/>
      <x:c r="E904" s="53"/>
      <x:c r="F904" s="53"/>
      <x:c r="G904" s="52"/>
      <x:c r="H904" s="21" t="str">
        <x:f>IF(COUNTA(A904:G904,I904)=0,"",IF(A904="","Add registration",IF(OR(COUNTA(C904:F904)&gt;COUNT(C904:F904)+COUNTIFS(C904:F904,"Reviewed N/A"),AND(COUNT(C904:F904)&gt;0,OR(MIN(C904:F904)&lt;36526,MAX(C904:F904)&gt;109574))),"Check date format",IF(AND(COUNTIFS(C904:F904,"Reviewed N/A")&gt;0,I904=""),"Add N/A reason; ","")&amp;IF(COUNT(C904:F904)=0,IF(COUNTIFS(C904:F904,"Reviewed N/A")=4,"No applicable dates recorded","Add dates"),IF(COUNT(C904:F904)+COUNTIFS(C904:F904,"Reviewed N/A")&lt;4,"Missing dates; ","")&amp;IF(MIN(C904:F904)&lt;TODAY(),"Overdue: ",IF(MIN(C904:F904)=TODAY(),"Due today: ",IF(MIN(C904:F904)&lt;=TODAY()+30,"Due within 30 days: ","Next: ")))&amp;INDEX($C$8:$F$8,1,MATCH(MIN(C904:F904),C904:F904,0))&amp;" "&amp;TEXT(MIN(C904:F904),"dd mmm yyyy")))))</x:f>
      </x:c>
      <x:c r="I904" s="52"/>
      <x:c r="J904" t="str">
        <x:f>IF(AND(A904&lt;&gt;"",COUNTIFS(C904,"&gt;=36526",C904,"&lt;"&amp;TODAY())+COUNTIFS(D904,"&gt;=36526",D904,"&lt;"&amp;TODAY())+COUNTIFS(E904,"&gt;=36526",E904,"&lt;"&amp;TODAY())+COUNTIFS(F904,"&gt;=36526",F904,"&lt;"&amp;TODAY())&gt;0),O904,"")</x:f>
      </x:c>
      <x:c r="K904" t="str">
        <x:f>IF(AND(A904&lt;&gt;"",COUNTIFS(C904,"&gt;=36526",C904,TODAY())+COUNTIFS(D904,"&gt;=36526",D904,TODAY())+COUNTIFS(E904,"&gt;=36526",E904,TODAY())+COUNTIFS(F904,"&gt;=36526",F904,TODAY())&gt;0),P904,"")</x:f>
      </x:c>
      <x:c r="L904" t="str">
        <x:f>IF(AND(A904&lt;&gt;"",COUNTIFS(C904,"&gt;"&amp;TODAY(),C904,"&lt;="&amp;TODAY()+30)+COUNTIFS(D904,"&gt;"&amp;TODAY(),D904,"&lt;="&amp;TODAY()+30)+COUNTIFS(E904,"&gt;"&amp;TODAY(),E904,"&lt;="&amp;TODAY()+30)+COUNTIFS(F904,"&gt;"&amp;TODAY(),F904,"&lt;="&amp;TODAY()+30)&gt;0),Q904,"")</x:f>
      </x:c>
      <x:c r="M904" t="str">
        <x:f>IF(OR(LEFT(H904,15)="Missing dates; ",LEFT(H904,16)="Add N/A reason; ",H904="Add dates",H904="Add registration",H904="Check date format"),R904,"")</x:f>
      </x:c>
      <x:c r="N904" t="str">
        <x:f>IF(COUNTIFS(C904:F904,"Reviewed N/A")&gt;0,S904,"")</x:f>
      </x:c>
      <x:c r="O904" t="n">
        <x:f>O903+IF(AND(A904&lt;&gt;"",COUNTIFS(C904,"&gt;=36526",C904,"&lt;"&amp;TODAY())+COUNTIFS(D904,"&gt;=36526",D904,"&lt;"&amp;TODAY())+COUNTIFS(E904,"&gt;=36526",E904,"&lt;"&amp;TODAY())+COUNTIFS(F904,"&gt;=36526",F904,"&lt;"&amp;TODAY())&gt;0),1,0)</x:f>
        <x:v>0</x:v>
      </x:c>
      <x:c r="P904" t="n">
        <x:f>P903+IF(AND(A904&lt;&gt;"",COUNTIFS(C904,"&gt;=36526",C904,TODAY())+COUNTIFS(D904,"&gt;=36526",D904,TODAY())+COUNTIFS(E904,"&gt;=36526",E904,TODAY())+COUNTIFS(F904,"&gt;=36526",F904,TODAY())&gt;0),1,0)</x:f>
        <x:v>0</x:v>
      </x:c>
      <x:c r="Q904" t="n">
        <x:f>Q903+IF(AND(A904&lt;&gt;"",COUNTIFS(C904,"&gt;"&amp;TODAY(),C904,"&lt;="&amp;TODAY()+30)+COUNTIFS(D904,"&gt;"&amp;TODAY(),D904,"&lt;="&amp;TODAY()+30)+COUNTIFS(E904,"&gt;"&amp;TODAY(),E904,"&lt;="&amp;TODAY()+30)+COUNTIFS(F904,"&gt;"&amp;TODAY(),F904,"&lt;="&amp;TODAY()+30)&gt;0),1,0)</x:f>
        <x:v>0</x:v>
      </x:c>
      <x:c r="R904" t="n">
        <x:f>R903+IF(OR(LEFT(H904,15)="Missing dates; ",LEFT(H904,16)="Add N/A reason; ",H904="Add dates",H904="Add registration",H904="Check date format"),1,0)</x:f>
        <x:v>0</x:v>
      </x:c>
      <x:c r="S904" t="n">
        <x:f>S903+IF(COUNTIFS(C904:F904,"Reviewed N/A")&gt;0,1,0)</x:f>
        <x:v>0</x:v>
      </x:c>
    </x:row>
    <x:row r="905" ht="48" customHeight="1">
      <x:c r="A905" s="52"/>
      <x:c r="B905" s="52"/>
      <x:c r="C905" s="53"/>
      <x:c r="D905" s="53"/>
      <x:c r="E905" s="53"/>
      <x:c r="F905" s="53"/>
      <x:c r="G905" s="52"/>
      <x:c r="H905" s="21" t="str">
        <x:f>IF(COUNTA(A905:G905,I905)=0,"",IF(A905="","Add registration",IF(OR(COUNTA(C905:F905)&gt;COUNT(C905:F905)+COUNTIFS(C905:F905,"Reviewed N/A"),AND(COUNT(C905:F905)&gt;0,OR(MIN(C905:F905)&lt;36526,MAX(C905:F905)&gt;109574))),"Check date format",IF(AND(COUNTIFS(C905:F905,"Reviewed N/A")&gt;0,I905=""),"Add N/A reason; ","")&amp;IF(COUNT(C905:F905)=0,IF(COUNTIFS(C905:F905,"Reviewed N/A")=4,"No applicable dates recorded","Add dates"),IF(COUNT(C905:F905)+COUNTIFS(C905:F905,"Reviewed N/A")&lt;4,"Missing dates; ","")&amp;IF(MIN(C905:F905)&lt;TODAY(),"Overdue: ",IF(MIN(C905:F905)=TODAY(),"Due today: ",IF(MIN(C905:F905)&lt;=TODAY()+30,"Due within 30 days: ","Next: ")))&amp;INDEX($C$8:$F$8,1,MATCH(MIN(C905:F905),C905:F905,0))&amp;" "&amp;TEXT(MIN(C905:F905),"dd mmm yyyy")))))</x:f>
      </x:c>
      <x:c r="I905" s="52"/>
      <x:c r="J905" t="str">
        <x:f>IF(AND(A905&lt;&gt;"",COUNTIFS(C905,"&gt;=36526",C905,"&lt;"&amp;TODAY())+COUNTIFS(D905,"&gt;=36526",D905,"&lt;"&amp;TODAY())+COUNTIFS(E905,"&gt;=36526",E905,"&lt;"&amp;TODAY())+COUNTIFS(F905,"&gt;=36526",F905,"&lt;"&amp;TODAY())&gt;0),O905,"")</x:f>
      </x:c>
      <x:c r="K905" t="str">
        <x:f>IF(AND(A905&lt;&gt;"",COUNTIFS(C905,"&gt;=36526",C905,TODAY())+COUNTIFS(D905,"&gt;=36526",D905,TODAY())+COUNTIFS(E905,"&gt;=36526",E905,TODAY())+COUNTIFS(F905,"&gt;=36526",F905,TODAY())&gt;0),P905,"")</x:f>
      </x:c>
      <x:c r="L905" t="str">
        <x:f>IF(AND(A905&lt;&gt;"",COUNTIFS(C905,"&gt;"&amp;TODAY(),C905,"&lt;="&amp;TODAY()+30)+COUNTIFS(D905,"&gt;"&amp;TODAY(),D905,"&lt;="&amp;TODAY()+30)+COUNTIFS(E905,"&gt;"&amp;TODAY(),E905,"&lt;="&amp;TODAY()+30)+COUNTIFS(F905,"&gt;"&amp;TODAY(),F905,"&lt;="&amp;TODAY()+30)&gt;0),Q905,"")</x:f>
      </x:c>
      <x:c r="M905" t="str">
        <x:f>IF(OR(LEFT(H905,15)="Missing dates; ",LEFT(H905,16)="Add N/A reason; ",H905="Add dates",H905="Add registration",H905="Check date format"),R905,"")</x:f>
      </x:c>
      <x:c r="N905" t="str">
        <x:f>IF(COUNTIFS(C905:F905,"Reviewed N/A")&gt;0,S905,"")</x:f>
      </x:c>
      <x:c r="O905" t="n">
        <x:f>O904+IF(AND(A905&lt;&gt;"",COUNTIFS(C905,"&gt;=36526",C905,"&lt;"&amp;TODAY())+COUNTIFS(D905,"&gt;=36526",D905,"&lt;"&amp;TODAY())+COUNTIFS(E905,"&gt;=36526",E905,"&lt;"&amp;TODAY())+COUNTIFS(F905,"&gt;=36526",F905,"&lt;"&amp;TODAY())&gt;0),1,0)</x:f>
        <x:v>0</x:v>
      </x:c>
      <x:c r="P905" t="n">
        <x:f>P904+IF(AND(A905&lt;&gt;"",COUNTIFS(C905,"&gt;=36526",C905,TODAY())+COUNTIFS(D905,"&gt;=36526",D905,TODAY())+COUNTIFS(E905,"&gt;=36526",E905,TODAY())+COUNTIFS(F905,"&gt;=36526",F905,TODAY())&gt;0),1,0)</x:f>
        <x:v>0</x:v>
      </x:c>
      <x:c r="Q905" t="n">
        <x:f>Q904+IF(AND(A905&lt;&gt;"",COUNTIFS(C905,"&gt;"&amp;TODAY(),C905,"&lt;="&amp;TODAY()+30)+COUNTIFS(D905,"&gt;"&amp;TODAY(),D905,"&lt;="&amp;TODAY()+30)+COUNTIFS(E905,"&gt;"&amp;TODAY(),E905,"&lt;="&amp;TODAY()+30)+COUNTIFS(F905,"&gt;"&amp;TODAY(),F905,"&lt;="&amp;TODAY()+30)&gt;0),1,0)</x:f>
        <x:v>0</x:v>
      </x:c>
      <x:c r="R905" t="n">
        <x:f>R904+IF(OR(LEFT(H905,15)="Missing dates; ",LEFT(H905,16)="Add N/A reason; ",H905="Add dates",H905="Add registration",H905="Check date format"),1,0)</x:f>
        <x:v>0</x:v>
      </x:c>
      <x:c r="S905" t="n">
        <x:f>S904+IF(COUNTIFS(C905:F905,"Reviewed N/A")&gt;0,1,0)</x:f>
        <x:v>0</x:v>
      </x:c>
    </x:row>
    <x:row r="906" ht="48" customHeight="1">
      <x:c r="A906" s="52"/>
      <x:c r="B906" s="52"/>
      <x:c r="C906" s="53"/>
      <x:c r="D906" s="53"/>
      <x:c r="E906" s="53"/>
      <x:c r="F906" s="53"/>
      <x:c r="G906" s="52"/>
      <x:c r="H906" s="21" t="str">
        <x:f>IF(COUNTA(A906:G906,I906)=0,"",IF(A906="","Add registration",IF(OR(COUNTA(C906:F906)&gt;COUNT(C906:F906)+COUNTIFS(C906:F906,"Reviewed N/A"),AND(COUNT(C906:F906)&gt;0,OR(MIN(C906:F906)&lt;36526,MAX(C906:F906)&gt;109574))),"Check date format",IF(AND(COUNTIFS(C906:F906,"Reviewed N/A")&gt;0,I906=""),"Add N/A reason; ","")&amp;IF(COUNT(C906:F906)=0,IF(COUNTIFS(C906:F906,"Reviewed N/A")=4,"No applicable dates recorded","Add dates"),IF(COUNT(C906:F906)+COUNTIFS(C906:F906,"Reviewed N/A")&lt;4,"Missing dates; ","")&amp;IF(MIN(C906:F906)&lt;TODAY(),"Overdue: ",IF(MIN(C906:F906)=TODAY(),"Due today: ",IF(MIN(C906:F906)&lt;=TODAY()+30,"Due within 30 days: ","Next: ")))&amp;INDEX($C$8:$F$8,1,MATCH(MIN(C906:F906),C906:F906,0))&amp;" "&amp;TEXT(MIN(C906:F906),"dd mmm yyyy")))))</x:f>
      </x:c>
      <x:c r="I906" s="52"/>
      <x:c r="J906" t="str">
        <x:f>IF(AND(A906&lt;&gt;"",COUNTIFS(C906,"&gt;=36526",C906,"&lt;"&amp;TODAY())+COUNTIFS(D906,"&gt;=36526",D906,"&lt;"&amp;TODAY())+COUNTIFS(E906,"&gt;=36526",E906,"&lt;"&amp;TODAY())+COUNTIFS(F906,"&gt;=36526",F906,"&lt;"&amp;TODAY())&gt;0),O906,"")</x:f>
      </x:c>
      <x:c r="K906" t="str">
        <x:f>IF(AND(A906&lt;&gt;"",COUNTIFS(C906,"&gt;=36526",C906,TODAY())+COUNTIFS(D906,"&gt;=36526",D906,TODAY())+COUNTIFS(E906,"&gt;=36526",E906,TODAY())+COUNTIFS(F906,"&gt;=36526",F906,TODAY())&gt;0),P906,"")</x:f>
      </x:c>
      <x:c r="L906" t="str">
        <x:f>IF(AND(A906&lt;&gt;"",COUNTIFS(C906,"&gt;"&amp;TODAY(),C906,"&lt;="&amp;TODAY()+30)+COUNTIFS(D906,"&gt;"&amp;TODAY(),D906,"&lt;="&amp;TODAY()+30)+COUNTIFS(E906,"&gt;"&amp;TODAY(),E906,"&lt;="&amp;TODAY()+30)+COUNTIFS(F906,"&gt;"&amp;TODAY(),F906,"&lt;="&amp;TODAY()+30)&gt;0),Q906,"")</x:f>
      </x:c>
      <x:c r="M906" t="str">
        <x:f>IF(OR(LEFT(H906,15)="Missing dates; ",LEFT(H906,16)="Add N/A reason; ",H906="Add dates",H906="Add registration",H906="Check date format"),R906,"")</x:f>
      </x:c>
      <x:c r="N906" t="str">
        <x:f>IF(COUNTIFS(C906:F906,"Reviewed N/A")&gt;0,S906,"")</x:f>
      </x:c>
      <x:c r="O906" t="n">
        <x:f>O905+IF(AND(A906&lt;&gt;"",COUNTIFS(C906,"&gt;=36526",C906,"&lt;"&amp;TODAY())+COUNTIFS(D906,"&gt;=36526",D906,"&lt;"&amp;TODAY())+COUNTIFS(E906,"&gt;=36526",E906,"&lt;"&amp;TODAY())+COUNTIFS(F906,"&gt;=36526",F906,"&lt;"&amp;TODAY())&gt;0),1,0)</x:f>
        <x:v>0</x:v>
      </x:c>
      <x:c r="P906" t="n">
        <x:f>P905+IF(AND(A906&lt;&gt;"",COUNTIFS(C906,"&gt;=36526",C906,TODAY())+COUNTIFS(D906,"&gt;=36526",D906,TODAY())+COUNTIFS(E906,"&gt;=36526",E906,TODAY())+COUNTIFS(F906,"&gt;=36526",F906,TODAY())&gt;0),1,0)</x:f>
        <x:v>0</x:v>
      </x:c>
      <x:c r="Q906" t="n">
        <x:f>Q905+IF(AND(A906&lt;&gt;"",COUNTIFS(C906,"&gt;"&amp;TODAY(),C906,"&lt;="&amp;TODAY()+30)+COUNTIFS(D906,"&gt;"&amp;TODAY(),D906,"&lt;="&amp;TODAY()+30)+COUNTIFS(E906,"&gt;"&amp;TODAY(),E906,"&lt;="&amp;TODAY()+30)+COUNTIFS(F906,"&gt;"&amp;TODAY(),F906,"&lt;="&amp;TODAY()+30)&gt;0),1,0)</x:f>
        <x:v>0</x:v>
      </x:c>
      <x:c r="R906" t="n">
        <x:f>R905+IF(OR(LEFT(H906,15)="Missing dates; ",LEFT(H906,16)="Add N/A reason; ",H906="Add dates",H906="Add registration",H906="Check date format"),1,0)</x:f>
        <x:v>0</x:v>
      </x:c>
      <x:c r="S906" t="n">
        <x:f>S905+IF(COUNTIFS(C906:F906,"Reviewed N/A")&gt;0,1,0)</x:f>
        <x:v>0</x:v>
      </x:c>
    </x:row>
    <x:row r="907" ht="48" customHeight="1">
      <x:c r="A907" s="52"/>
      <x:c r="B907" s="52"/>
      <x:c r="C907" s="53"/>
      <x:c r="D907" s="53"/>
      <x:c r="E907" s="53"/>
      <x:c r="F907" s="53"/>
      <x:c r="G907" s="52"/>
      <x:c r="H907" s="21" t="str">
        <x:f>IF(COUNTA(A907:G907,I907)=0,"",IF(A907="","Add registration",IF(OR(COUNTA(C907:F907)&gt;COUNT(C907:F907)+COUNTIFS(C907:F907,"Reviewed N/A"),AND(COUNT(C907:F907)&gt;0,OR(MIN(C907:F907)&lt;36526,MAX(C907:F907)&gt;109574))),"Check date format",IF(AND(COUNTIFS(C907:F907,"Reviewed N/A")&gt;0,I907=""),"Add N/A reason; ","")&amp;IF(COUNT(C907:F907)=0,IF(COUNTIFS(C907:F907,"Reviewed N/A")=4,"No applicable dates recorded","Add dates"),IF(COUNT(C907:F907)+COUNTIFS(C907:F907,"Reviewed N/A")&lt;4,"Missing dates; ","")&amp;IF(MIN(C907:F907)&lt;TODAY(),"Overdue: ",IF(MIN(C907:F907)=TODAY(),"Due today: ",IF(MIN(C907:F907)&lt;=TODAY()+30,"Due within 30 days: ","Next: ")))&amp;INDEX($C$8:$F$8,1,MATCH(MIN(C907:F907),C907:F907,0))&amp;" "&amp;TEXT(MIN(C907:F907),"dd mmm yyyy")))))</x:f>
      </x:c>
      <x:c r="I907" s="52"/>
      <x:c r="J907" t="str">
        <x:f>IF(AND(A907&lt;&gt;"",COUNTIFS(C907,"&gt;=36526",C907,"&lt;"&amp;TODAY())+COUNTIFS(D907,"&gt;=36526",D907,"&lt;"&amp;TODAY())+COUNTIFS(E907,"&gt;=36526",E907,"&lt;"&amp;TODAY())+COUNTIFS(F907,"&gt;=36526",F907,"&lt;"&amp;TODAY())&gt;0),O907,"")</x:f>
      </x:c>
      <x:c r="K907" t="str">
        <x:f>IF(AND(A907&lt;&gt;"",COUNTIFS(C907,"&gt;=36526",C907,TODAY())+COUNTIFS(D907,"&gt;=36526",D907,TODAY())+COUNTIFS(E907,"&gt;=36526",E907,TODAY())+COUNTIFS(F907,"&gt;=36526",F907,TODAY())&gt;0),P907,"")</x:f>
      </x:c>
      <x:c r="L907" t="str">
        <x:f>IF(AND(A907&lt;&gt;"",COUNTIFS(C907,"&gt;"&amp;TODAY(),C907,"&lt;="&amp;TODAY()+30)+COUNTIFS(D907,"&gt;"&amp;TODAY(),D907,"&lt;="&amp;TODAY()+30)+COUNTIFS(E907,"&gt;"&amp;TODAY(),E907,"&lt;="&amp;TODAY()+30)+COUNTIFS(F907,"&gt;"&amp;TODAY(),F907,"&lt;="&amp;TODAY()+30)&gt;0),Q907,"")</x:f>
      </x:c>
      <x:c r="M907" t="str">
        <x:f>IF(OR(LEFT(H907,15)="Missing dates; ",LEFT(H907,16)="Add N/A reason; ",H907="Add dates",H907="Add registration",H907="Check date format"),R907,"")</x:f>
      </x:c>
      <x:c r="N907" t="str">
        <x:f>IF(COUNTIFS(C907:F907,"Reviewed N/A")&gt;0,S907,"")</x:f>
      </x:c>
      <x:c r="O907" t="n">
        <x:f>O906+IF(AND(A907&lt;&gt;"",COUNTIFS(C907,"&gt;=36526",C907,"&lt;"&amp;TODAY())+COUNTIFS(D907,"&gt;=36526",D907,"&lt;"&amp;TODAY())+COUNTIFS(E907,"&gt;=36526",E907,"&lt;"&amp;TODAY())+COUNTIFS(F907,"&gt;=36526",F907,"&lt;"&amp;TODAY())&gt;0),1,0)</x:f>
        <x:v>0</x:v>
      </x:c>
      <x:c r="P907" t="n">
        <x:f>P906+IF(AND(A907&lt;&gt;"",COUNTIFS(C907,"&gt;=36526",C907,TODAY())+COUNTIFS(D907,"&gt;=36526",D907,TODAY())+COUNTIFS(E907,"&gt;=36526",E907,TODAY())+COUNTIFS(F907,"&gt;=36526",F907,TODAY())&gt;0),1,0)</x:f>
        <x:v>0</x:v>
      </x:c>
      <x:c r="Q907" t="n">
        <x:f>Q906+IF(AND(A907&lt;&gt;"",COUNTIFS(C907,"&gt;"&amp;TODAY(),C907,"&lt;="&amp;TODAY()+30)+COUNTIFS(D907,"&gt;"&amp;TODAY(),D907,"&lt;="&amp;TODAY()+30)+COUNTIFS(E907,"&gt;"&amp;TODAY(),E907,"&lt;="&amp;TODAY()+30)+COUNTIFS(F907,"&gt;"&amp;TODAY(),F907,"&lt;="&amp;TODAY()+30)&gt;0),1,0)</x:f>
        <x:v>0</x:v>
      </x:c>
      <x:c r="R907" t="n">
        <x:f>R906+IF(OR(LEFT(H907,15)="Missing dates; ",LEFT(H907,16)="Add N/A reason; ",H907="Add dates",H907="Add registration",H907="Check date format"),1,0)</x:f>
        <x:v>0</x:v>
      </x:c>
      <x:c r="S907" t="n">
        <x:f>S906+IF(COUNTIFS(C907:F907,"Reviewed N/A")&gt;0,1,0)</x:f>
        <x:v>0</x:v>
      </x:c>
    </x:row>
    <x:row r="908" ht="48" customHeight="1">
      <x:c r="A908" s="52"/>
      <x:c r="B908" s="52"/>
      <x:c r="C908" s="53"/>
      <x:c r="D908" s="53"/>
      <x:c r="E908" s="53"/>
      <x:c r="F908" s="53"/>
      <x:c r="G908" s="52"/>
      <x:c r="H908" s="21" t="str">
        <x:f>IF(COUNTA(A908:G908,I908)=0,"",IF(A908="","Add registration",IF(OR(COUNTA(C908:F908)&gt;COUNT(C908:F908)+COUNTIFS(C908:F908,"Reviewed N/A"),AND(COUNT(C908:F908)&gt;0,OR(MIN(C908:F908)&lt;36526,MAX(C908:F908)&gt;109574))),"Check date format",IF(AND(COUNTIFS(C908:F908,"Reviewed N/A")&gt;0,I908=""),"Add N/A reason; ","")&amp;IF(COUNT(C908:F908)=0,IF(COUNTIFS(C908:F908,"Reviewed N/A")=4,"No applicable dates recorded","Add dates"),IF(COUNT(C908:F908)+COUNTIFS(C908:F908,"Reviewed N/A")&lt;4,"Missing dates; ","")&amp;IF(MIN(C908:F908)&lt;TODAY(),"Overdue: ",IF(MIN(C908:F908)=TODAY(),"Due today: ",IF(MIN(C908:F908)&lt;=TODAY()+30,"Due within 30 days: ","Next: ")))&amp;INDEX($C$8:$F$8,1,MATCH(MIN(C908:F908),C908:F908,0))&amp;" "&amp;TEXT(MIN(C908:F908),"dd mmm yyyy")))))</x:f>
      </x:c>
      <x:c r="I908" s="52"/>
      <x:c r="J908" t="str">
        <x:f>IF(AND(A908&lt;&gt;"",COUNTIFS(C908,"&gt;=36526",C908,"&lt;"&amp;TODAY())+COUNTIFS(D908,"&gt;=36526",D908,"&lt;"&amp;TODAY())+COUNTIFS(E908,"&gt;=36526",E908,"&lt;"&amp;TODAY())+COUNTIFS(F908,"&gt;=36526",F908,"&lt;"&amp;TODAY())&gt;0),O908,"")</x:f>
      </x:c>
      <x:c r="K908" t="str">
        <x:f>IF(AND(A908&lt;&gt;"",COUNTIFS(C908,"&gt;=36526",C908,TODAY())+COUNTIFS(D908,"&gt;=36526",D908,TODAY())+COUNTIFS(E908,"&gt;=36526",E908,TODAY())+COUNTIFS(F908,"&gt;=36526",F908,TODAY())&gt;0),P908,"")</x:f>
      </x:c>
      <x:c r="L908" t="str">
        <x:f>IF(AND(A908&lt;&gt;"",COUNTIFS(C908,"&gt;"&amp;TODAY(),C908,"&lt;="&amp;TODAY()+30)+COUNTIFS(D908,"&gt;"&amp;TODAY(),D908,"&lt;="&amp;TODAY()+30)+COUNTIFS(E908,"&gt;"&amp;TODAY(),E908,"&lt;="&amp;TODAY()+30)+COUNTIFS(F908,"&gt;"&amp;TODAY(),F908,"&lt;="&amp;TODAY()+30)&gt;0),Q908,"")</x:f>
      </x:c>
      <x:c r="M908" t="str">
        <x:f>IF(OR(LEFT(H908,15)="Missing dates; ",LEFT(H908,16)="Add N/A reason; ",H908="Add dates",H908="Add registration",H908="Check date format"),R908,"")</x:f>
      </x:c>
      <x:c r="N908" t="str">
        <x:f>IF(COUNTIFS(C908:F908,"Reviewed N/A")&gt;0,S908,"")</x:f>
      </x:c>
      <x:c r="O908" t="n">
        <x:f>O907+IF(AND(A908&lt;&gt;"",COUNTIFS(C908,"&gt;=36526",C908,"&lt;"&amp;TODAY())+COUNTIFS(D908,"&gt;=36526",D908,"&lt;"&amp;TODAY())+COUNTIFS(E908,"&gt;=36526",E908,"&lt;"&amp;TODAY())+COUNTIFS(F908,"&gt;=36526",F908,"&lt;"&amp;TODAY())&gt;0),1,0)</x:f>
        <x:v>0</x:v>
      </x:c>
      <x:c r="P908" t="n">
        <x:f>P907+IF(AND(A908&lt;&gt;"",COUNTIFS(C908,"&gt;=36526",C908,TODAY())+COUNTIFS(D908,"&gt;=36526",D908,TODAY())+COUNTIFS(E908,"&gt;=36526",E908,TODAY())+COUNTIFS(F908,"&gt;=36526",F908,TODAY())&gt;0),1,0)</x:f>
        <x:v>0</x:v>
      </x:c>
      <x:c r="Q908" t="n">
        <x:f>Q907+IF(AND(A908&lt;&gt;"",COUNTIFS(C908,"&gt;"&amp;TODAY(),C908,"&lt;="&amp;TODAY()+30)+COUNTIFS(D908,"&gt;"&amp;TODAY(),D908,"&lt;="&amp;TODAY()+30)+COUNTIFS(E908,"&gt;"&amp;TODAY(),E908,"&lt;="&amp;TODAY()+30)+COUNTIFS(F908,"&gt;"&amp;TODAY(),F908,"&lt;="&amp;TODAY()+30)&gt;0),1,0)</x:f>
        <x:v>0</x:v>
      </x:c>
      <x:c r="R908" t="n">
        <x:f>R907+IF(OR(LEFT(H908,15)="Missing dates; ",LEFT(H908,16)="Add N/A reason; ",H908="Add dates",H908="Add registration",H908="Check date format"),1,0)</x:f>
        <x:v>0</x:v>
      </x:c>
      <x:c r="S908" t="n">
        <x:f>S907+IF(COUNTIFS(C908:F908,"Reviewed N/A")&gt;0,1,0)</x:f>
        <x:v>0</x:v>
      </x:c>
    </x:row>
    <x:row r="909" ht="48" customHeight="1">
      <x:c r="A909" s="52"/>
      <x:c r="B909" s="52"/>
      <x:c r="C909" s="53"/>
      <x:c r="D909" s="53"/>
      <x:c r="E909" s="53"/>
      <x:c r="F909" s="53"/>
      <x:c r="G909" s="52"/>
      <x:c r="H909" s="21" t="str">
        <x:f>IF(COUNTA(A909:G909,I909)=0,"",IF(A909="","Add registration",IF(OR(COUNTA(C909:F909)&gt;COUNT(C909:F909)+COUNTIFS(C909:F909,"Reviewed N/A"),AND(COUNT(C909:F909)&gt;0,OR(MIN(C909:F909)&lt;36526,MAX(C909:F909)&gt;109574))),"Check date format",IF(AND(COUNTIFS(C909:F909,"Reviewed N/A")&gt;0,I909=""),"Add N/A reason; ","")&amp;IF(COUNT(C909:F909)=0,IF(COUNTIFS(C909:F909,"Reviewed N/A")=4,"No applicable dates recorded","Add dates"),IF(COUNT(C909:F909)+COUNTIFS(C909:F909,"Reviewed N/A")&lt;4,"Missing dates; ","")&amp;IF(MIN(C909:F909)&lt;TODAY(),"Overdue: ",IF(MIN(C909:F909)=TODAY(),"Due today: ",IF(MIN(C909:F909)&lt;=TODAY()+30,"Due within 30 days: ","Next: ")))&amp;INDEX($C$8:$F$8,1,MATCH(MIN(C909:F909),C909:F909,0))&amp;" "&amp;TEXT(MIN(C909:F909),"dd mmm yyyy")))))</x:f>
      </x:c>
      <x:c r="I909" s="52"/>
      <x:c r="J909" t="str">
        <x:f>IF(AND(A909&lt;&gt;"",COUNTIFS(C909,"&gt;=36526",C909,"&lt;"&amp;TODAY())+COUNTIFS(D909,"&gt;=36526",D909,"&lt;"&amp;TODAY())+COUNTIFS(E909,"&gt;=36526",E909,"&lt;"&amp;TODAY())+COUNTIFS(F909,"&gt;=36526",F909,"&lt;"&amp;TODAY())&gt;0),O909,"")</x:f>
      </x:c>
      <x:c r="K909" t="str">
        <x:f>IF(AND(A909&lt;&gt;"",COUNTIFS(C909,"&gt;=36526",C909,TODAY())+COUNTIFS(D909,"&gt;=36526",D909,TODAY())+COUNTIFS(E909,"&gt;=36526",E909,TODAY())+COUNTIFS(F909,"&gt;=36526",F909,TODAY())&gt;0),P909,"")</x:f>
      </x:c>
      <x:c r="L909" t="str">
        <x:f>IF(AND(A909&lt;&gt;"",COUNTIFS(C909,"&gt;"&amp;TODAY(),C909,"&lt;="&amp;TODAY()+30)+COUNTIFS(D909,"&gt;"&amp;TODAY(),D909,"&lt;="&amp;TODAY()+30)+COUNTIFS(E909,"&gt;"&amp;TODAY(),E909,"&lt;="&amp;TODAY()+30)+COUNTIFS(F909,"&gt;"&amp;TODAY(),F909,"&lt;="&amp;TODAY()+30)&gt;0),Q909,"")</x:f>
      </x:c>
      <x:c r="M909" t="str">
        <x:f>IF(OR(LEFT(H909,15)="Missing dates; ",LEFT(H909,16)="Add N/A reason; ",H909="Add dates",H909="Add registration",H909="Check date format"),R909,"")</x:f>
      </x:c>
      <x:c r="N909" t="str">
        <x:f>IF(COUNTIFS(C909:F909,"Reviewed N/A")&gt;0,S909,"")</x:f>
      </x:c>
      <x:c r="O909" t="n">
        <x:f>O908+IF(AND(A909&lt;&gt;"",COUNTIFS(C909,"&gt;=36526",C909,"&lt;"&amp;TODAY())+COUNTIFS(D909,"&gt;=36526",D909,"&lt;"&amp;TODAY())+COUNTIFS(E909,"&gt;=36526",E909,"&lt;"&amp;TODAY())+COUNTIFS(F909,"&gt;=36526",F909,"&lt;"&amp;TODAY())&gt;0),1,0)</x:f>
        <x:v>0</x:v>
      </x:c>
      <x:c r="P909" t="n">
        <x:f>P908+IF(AND(A909&lt;&gt;"",COUNTIFS(C909,"&gt;=36526",C909,TODAY())+COUNTIFS(D909,"&gt;=36526",D909,TODAY())+COUNTIFS(E909,"&gt;=36526",E909,TODAY())+COUNTIFS(F909,"&gt;=36526",F909,TODAY())&gt;0),1,0)</x:f>
        <x:v>0</x:v>
      </x:c>
      <x:c r="Q909" t="n">
        <x:f>Q908+IF(AND(A909&lt;&gt;"",COUNTIFS(C909,"&gt;"&amp;TODAY(),C909,"&lt;="&amp;TODAY()+30)+COUNTIFS(D909,"&gt;"&amp;TODAY(),D909,"&lt;="&amp;TODAY()+30)+COUNTIFS(E909,"&gt;"&amp;TODAY(),E909,"&lt;="&amp;TODAY()+30)+COUNTIFS(F909,"&gt;"&amp;TODAY(),F909,"&lt;="&amp;TODAY()+30)&gt;0),1,0)</x:f>
        <x:v>0</x:v>
      </x:c>
      <x:c r="R909" t="n">
        <x:f>R908+IF(OR(LEFT(H909,15)="Missing dates; ",LEFT(H909,16)="Add N/A reason; ",H909="Add dates",H909="Add registration",H909="Check date format"),1,0)</x:f>
        <x:v>0</x:v>
      </x:c>
      <x:c r="S909" t="n">
        <x:f>S908+IF(COUNTIFS(C909:F909,"Reviewed N/A")&gt;0,1,0)</x:f>
        <x:v>0</x:v>
      </x:c>
    </x:row>
    <x:row r="910" ht="48" customHeight="1">
      <x:c r="A910" s="52"/>
      <x:c r="B910" s="52"/>
      <x:c r="C910" s="53"/>
      <x:c r="D910" s="53"/>
      <x:c r="E910" s="53"/>
      <x:c r="F910" s="53"/>
      <x:c r="G910" s="52"/>
      <x:c r="H910" s="21" t="str">
        <x:f>IF(COUNTA(A910:G910,I910)=0,"",IF(A910="","Add registration",IF(OR(COUNTA(C910:F910)&gt;COUNT(C910:F910)+COUNTIFS(C910:F910,"Reviewed N/A"),AND(COUNT(C910:F910)&gt;0,OR(MIN(C910:F910)&lt;36526,MAX(C910:F910)&gt;109574))),"Check date format",IF(AND(COUNTIFS(C910:F910,"Reviewed N/A")&gt;0,I910=""),"Add N/A reason; ","")&amp;IF(COUNT(C910:F910)=0,IF(COUNTIFS(C910:F910,"Reviewed N/A")=4,"No applicable dates recorded","Add dates"),IF(COUNT(C910:F910)+COUNTIFS(C910:F910,"Reviewed N/A")&lt;4,"Missing dates; ","")&amp;IF(MIN(C910:F910)&lt;TODAY(),"Overdue: ",IF(MIN(C910:F910)=TODAY(),"Due today: ",IF(MIN(C910:F910)&lt;=TODAY()+30,"Due within 30 days: ","Next: ")))&amp;INDEX($C$8:$F$8,1,MATCH(MIN(C910:F910),C910:F910,0))&amp;" "&amp;TEXT(MIN(C910:F910),"dd mmm yyyy")))))</x:f>
      </x:c>
      <x:c r="I910" s="52"/>
      <x:c r="J910" t="str">
        <x:f>IF(AND(A910&lt;&gt;"",COUNTIFS(C910,"&gt;=36526",C910,"&lt;"&amp;TODAY())+COUNTIFS(D910,"&gt;=36526",D910,"&lt;"&amp;TODAY())+COUNTIFS(E910,"&gt;=36526",E910,"&lt;"&amp;TODAY())+COUNTIFS(F910,"&gt;=36526",F910,"&lt;"&amp;TODAY())&gt;0),O910,"")</x:f>
      </x:c>
      <x:c r="K910" t="str">
        <x:f>IF(AND(A910&lt;&gt;"",COUNTIFS(C910,"&gt;=36526",C910,TODAY())+COUNTIFS(D910,"&gt;=36526",D910,TODAY())+COUNTIFS(E910,"&gt;=36526",E910,TODAY())+COUNTIFS(F910,"&gt;=36526",F910,TODAY())&gt;0),P910,"")</x:f>
      </x:c>
      <x:c r="L910" t="str">
        <x:f>IF(AND(A910&lt;&gt;"",COUNTIFS(C910,"&gt;"&amp;TODAY(),C910,"&lt;="&amp;TODAY()+30)+COUNTIFS(D910,"&gt;"&amp;TODAY(),D910,"&lt;="&amp;TODAY()+30)+COUNTIFS(E910,"&gt;"&amp;TODAY(),E910,"&lt;="&amp;TODAY()+30)+COUNTIFS(F910,"&gt;"&amp;TODAY(),F910,"&lt;="&amp;TODAY()+30)&gt;0),Q910,"")</x:f>
      </x:c>
      <x:c r="M910" t="str">
        <x:f>IF(OR(LEFT(H910,15)="Missing dates; ",LEFT(H910,16)="Add N/A reason; ",H910="Add dates",H910="Add registration",H910="Check date format"),R910,"")</x:f>
      </x:c>
      <x:c r="N910" t="str">
        <x:f>IF(COUNTIFS(C910:F910,"Reviewed N/A")&gt;0,S910,"")</x:f>
      </x:c>
      <x:c r="O910" t="n">
        <x:f>O909+IF(AND(A910&lt;&gt;"",COUNTIFS(C910,"&gt;=36526",C910,"&lt;"&amp;TODAY())+COUNTIFS(D910,"&gt;=36526",D910,"&lt;"&amp;TODAY())+COUNTIFS(E910,"&gt;=36526",E910,"&lt;"&amp;TODAY())+COUNTIFS(F910,"&gt;=36526",F910,"&lt;"&amp;TODAY())&gt;0),1,0)</x:f>
        <x:v>0</x:v>
      </x:c>
      <x:c r="P910" t="n">
        <x:f>P909+IF(AND(A910&lt;&gt;"",COUNTIFS(C910,"&gt;=36526",C910,TODAY())+COUNTIFS(D910,"&gt;=36526",D910,TODAY())+COUNTIFS(E910,"&gt;=36526",E910,TODAY())+COUNTIFS(F910,"&gt;=36526",F910,TODAY())&gt;0),1,0)</x:f>
        <x:v>0</x:v>
      </x:c>
      <x:c r="Q910" t="n">
        <x:f>Q909+IF(AND(A910&lt;&gt;"",COUNTIFS(C910,"&gt;"&amp;TODAY(),C910,"&lt;="&amp;TODAY()+30)+COUNTIFS(D910,"&gt;"&amp;TODAY(),D910,"&lt;="&amp;TODAY()+30)+COUNTIFS(E910,"&gt;"&amp;TODAY(),E910,"&lt;="&amp;TODAY()+30)+COUNTIFS(F910,"&gt;"&amp;TODAY(),F910,"&lt;="&amp;TODAY()+30)&gt;0),1,0)</x:f>
        <x:v>0</x:v>
      </x:c>
      <x:c r="R910" t="n">
        <x:f>R909+IF(OR(LEFT(H910,15)="Missing dates; ",LEFT(H910,16)="Add N/A reason; ",H910="Add dates",H910="Add registration",H910="Check date format"),1,0)</x:f>
        <x:v>0</x:v>
      </x:c>
      <x:c r="S910" t="n">
        <x:f>S909+IF(COUNTIFS(C910:F910,"Reviewed N/A")&gt;0,1,0)</x:f>
        <x:v>0</x:v>
      </x:c>
    </x:row>
    <x:row r="911" ht="48" customHeight="1">
      <x:c r="A911" s="52"/>
      <x:c r="B911" s="52"/>
      <x:c r="C911" s="53"/>
      <x:c r="D911" s="53"/>
      <x:c r="E911" s="53"/>
      <x:c r="F911" s="53"/>
      <x:c r="G911" s="52"/>
      <x:c r="H911" s="21" t="str">
        <x:f>IF(COUNTA(A911:G911,I911)=0,"",IF(A911="","Add registration",IF(OR(COUNTA(C911:F911)&gt;COUNT(C911:F911)+COUNTIFS(C911:F911,"Reviewed N/A"),AND(COUNT(C911:F911)&gt;0,OR(MIN(C911:F911)&lt;36526,MAX(C911:F911)&gt;109574))),"Check date format",IF(AND(COUNTIFS(C911:F911,"Reviewed N/A")&gt;0,I911=""),"Add N/A reason; ","")&amp;IF(COUNT(C911:F911)=0,IF(COUNTIFS(C911:F911,"Reviewed N/A")=4,"No applicable dates recorded","Add dates"),IF(COUNT(C911:F911)+COUNTIFS(C911:F911,"Reviewed N/A")&lt;4,"Missing dates; ","")&amp;IF(MIN(C911:F911)&lt;TODAY(),"Overdue: ",IF(MIN(C911:F911)=TODAY(),"Due today: ",IF(MIN(C911:F911)&lt;=TODAY()+30,"Due within 30 days: ","Next: ")))&amp;INDEX($C$8:$F$8,1,MATCH(MIN(C911:F911),C911:F911,0))&amp;" "&amp;TEXT(MIN(C911:F911),"dd mmm yyyy")))))</x:f>
      </x:c>
      <x:c r="I911" s="52"/>
      <x:c r="J911" t="str">
        <x:f>IF(AND(A911&lt;&gt;"",COUNTIFS(C911,"&gt;=36526",C911,"&lt;"&amp;TODAY())+COUNTIFS(D911,"&gt;=36526",D911,"&lt;"&amp;TODAY())+COUNTIFS(E911,"&gt;=36526",E911,"&lt;"&amp;TODAY())+COUNTIFS(F911,"&gt;=36526",F911,"&lt;"&amp;TODAY())&gt;0),O911,"")</x:f>
      </x:c>
      <x:c r="K911" t="str">
        <x:f>IF(AND(A911&lt;&gt;"",COUNTIFS(C911,"&gt;=36526",C911,TODAY())+COUNTIFS(D911,"&gt;=36526",D911,TODAY())+COUNTIFS(E911,"&gt;=36526",E911,TODAY())+COUNTIFS(F911,"&gt;=36526",F911,TODAY())&gt;0),P911,"")</x:f>
      </x:c>
      <x:c r="L911" t="str">
        <x:f>IF(AND(A911&lt;&gt;"",COUNTIFS(C911,"&gt;"&amp;TODAY(),C911,"&lt;="&amp;TODAY()+30)+COUNTIFS(D911,"&gt;"&amp;TODAY(),D911,"&lt;="&amp;TODAY()+30)+COUNTIFS(E911,"&gt;"&amp;TODAY(),E911,"&lt;="&amp;TODAY()+30)+COUNTIFS(F911,"&gt;"&amp;TODAY(),F911,"&lt;="&amp;TODAY()+30)&gt;0),Q911,"")</x:f>
      </x:c>
      <x:c r="M911" t="str">
        <x:f>IF(OR(LEFT(H911,15)="Missing dates; ",LEFT(H911,16)="Add N/A reason; ",H911="Add dates",H911="Add registration",H911="Check date format"),R911,"")</x:f>
      </x:c>
      <x:c r="N911" t="str">
        <x:f>IF(COUNTIFS(C911:F911,"Reviewed N/A")&gt;0,S911,"")</x:f>
      </x:c>
      <x:c r="O911" t="n">
        <x:f>O910+IF(AND(A911&lt;&gt;"",COUNTIFS(C911,"&gt;=36526",C911,"&lt;"&amp;TODAY())+COUNTIFS(D911,"&gt;=36526",D911,"&lt;"&amp;TODAY())+COUNTIFS(E911,"&gt;=36526",E911,"&lt;"&amp;TODAY())+COUNTIFS(F911,"&gt;=36526",F911,"&lt;"&amp;TODAY())&gt;0),1,0)</x:f>
        <x:v>0</x:v>
      </x:c>
      <x:c r="P911" t="n">
        <x:f>P910+IF(AND(A911&lt;&gt;"",COUNTIFS(C911,"&gt;=36526",C911,TODAY())+COUNTIFS(D911,"&gt;=36526",D911,TODAY())+COUNTIFS(E911,"&gt;=36526",E911,TODAY())+COUNTIFS(F911,"&gt;=36526",F911,TODAY())&gt;0),1,0)</x:f>
        <x:v>0</x:v>
      </x:c>
      <x:c r="Q911" t="n">
        <x:f>Q910+IF(AND(A911&lt;&gt;"",COUNTIFS(C911,"&gt;"&amp;TODAY(),C911,"&lt;="&amp;TODAY()+30)+COUNTIFS(D911,"&gt;"&amp;TODAY(),D911,"&lt;="&amp;TODAY()+30)+COUNTIFS(E911,"&gt;"&amp;TODAY(),E911,"&lt;="&amp;TODAY()+30)+COUNTIFS(F911,"&gt;"&amp;TODAY(),F911,"&lt;="&amp;TODAY()+30)&gt;0),1,0)</x:f>
        <x:v>0</x:v>
      </x:c>
      <x:c r="R911" t="n">
        <x:f>R910+IF(OR(LEFT(H911,15)="Missing dates; ",LEFT(H911,16)="Add N/A reason; ",H911="Add dates",H911="Add registration",H911="Check date format"),1,0)</x:f>
        <x:v>0</x:v>
      </x:c>
      <x:c r="S911" t="n">
        <x:f>S910+IF(COUNTIFS(C911:F911,"Reviewed N/A")&gt;0,1,0)</x:f>
        <x:v>0</x:v>
      </x:c>
    </x:row>
    <x:row r="912" ht="48" customHeight="1">
      <x:c r="A912" s="52"/>
      <x:c r="B912" s="52"/>
      <x:c r="C912" s="53"/>
      <x:c r="D912" s="53"/>
      <x:c r="E912" s="53"/>
      <x:c r="F912" s="53"/>
      <x:c r="G912" s="52"/>
      <x:c r="H912" s="21" t="str">
        <x:f>IF(COUNTA(A912:G912,I912)=0,"",IF(A912="","Add registration",IF(OR(COUNTA(C912:F912)&gt;COUNT(C912:F912)+COUNTIFS(C912:F912,"Reviewed N/A"),AND(COUNT(C912:F912)&gt;0,OR(MIN(C912:F912)&lt;36526,MAX(C912:F912)&gt;109574))),"Check date format",IF(AND(COUNTIFS(C912:F912,"Reviewed N/A")&gt;0,I912=""),"Add N/A reason; ","")&amp;IF(COUNT(C912:F912)=0,IF(COUNTIFS(C912:F912,"Reviewed N/A")=4,"No applicable dates recorded","Add dates"),IF(COUNT(C912:F912)+COUNTIFS(C912:F912,"Reviewed N/A")&lt;4,"Missing dates; ","")&amp;IF(MIN(C912:F912)&lt;TODAY(),"Overdue: ",IF(MIN(C912:F912)=TODAY(),"Due today: ",IF(MIN(C912:F912)&lt;=TODAY()+30,"Due within 30 days: ","Next: ")))&amp;INDEX($C$8:$F$8,1,MATCH(MIN(C912:F912),C912:F912,0))&amp;" "&amp;TEXT(MIN(C912:F912),"dd mmm yyyy")))))</x:f>
      </x:c>
      <x:c r="I912" s="52"/>
      <x:c r="J912" t="str">
        <x:f>IF(AND(A912&lt;&gt;"",COUNTIFS(C912,"&gt;=36526",C912,"&lt;"&amp;TODAY())+COUNTIFS(D912,"&gt;=36526",D912,"&lt;"&amp;TODAY())+COUNTIFS(E912,"&gt;=36526",E912,"&lt;"&amp;TODAY())+COUNTIFS(F912,"&gt;=36526",F912,"&lt;"&amp;TODAY())&gt;0),O912,"")</x:f>
      </x:c>
      <x:c r="K912" t="str">
        <x:f>IF(AND(A912&lt;&gt;"",COUNTIFS(C912,"&gt;=36526",C912,TODAY())+COUNTIFS(D912,"&gt;=36526",D912,TODAY())+COUNTIFS(E912,"&gt;=36526",E912,TODAY())+COUNTIFS(F912,"&gt;=36526",F912,TODAY())&gt;0),P912,"")</x:f>
      </x:c>
      <x:c r="L912" t="str">
        <x:f>IF(AND(A912&lt;&gt;"",COUNTIFS(C912,"&gt;"&amp;TODAY(),C912,"&lt;="&amp;TODAY()+30)+COUNTIFS(D912,"&gt;"&amp;TODAY(),D912,"&lt;="&amp;TODAY()+30)+COUNTIFS(E912,"&gt;"&amp;TODAY(),E912,"&lt;="&amp;TODAY()+30)+COUNTIFS(F912,"&gt;"&amp;TODAY(),F912,"&lt;="&amp;TODAY()+30)&gt;0),Q912,"")</x:f>
      </x:c>
      <x:c r="M912" t="str">
        <x:f>IF(OR(LEFT(H912,15)="Missing dates; ",LEFT(H912,16)="Add N/A reason; ",H912="Add dates",H912="Add registration",H912="Check date format"),R912,"")</x:f>
      </x:c>
      <x:c r="N912" t="str">
        <x:f>IF(COUNTIFS(C912:F912,"Reviewed N/A")&gt;0,S912,"")</x:f>
      </x:c>
      <x:c r="O912" t="n">
        <x:f>O911+IF(AND(A912&lt;&gt;"",COUNTIFS(C912,"&gt;=36526",C912,"&lt;"&amp;TODAY())+COUNTIFS(D912,"&gt;=36526",D912,"&lt;"&amp;TODAY())+COUNTIFS(E912,"&gt;=36526",E912,"&lt;"&amp;TODAY())+COUNTIFS(F912,"&gt;=36526",F912,"&lt;"&amp;TODAY())&gt;0),1,0)</x:f>
        <x:v>0</x:v>
      </x:c>
      <x:c r="P912" t="n">
        <x:f>P911+IF(AND(A912&lt;&gt;"",COUNTIFS(C912,"&gt;=36526",C912,TODAY())+COUNTIFS(D912,"&gt;=36526",D912,TODAY())+COUNTIFS(E912,"&gt;=36526",E912,TODAY())+COUNTIFS(F912,"&gt;=36526",F912,TODAY())&gt;0),1,0)</x:f>
        <x:v>0</x:v>
      </x:c>
      <x:c r="Q912" t="n">
        <x:f>Q911+IF(AND(A912&lt;&gt;"",COUNTIFS(C912,"&gt;"&amp;TODAY(),C912,"&lt;="&amp;TODAY()+30)+COUNTIFS(D912,"&gt;"&amp;TODAY(),D912,"&lt;="&amp;TODAY()+30)+COUNTIFS(E912,"&gt;"&amp;TODAY(),E912,"&lt;="&amp;TODAY()+30)+COUNTIFS(F912,"&gt;"&amp;TODAY(),F912,"&lt;="&amp;TODAY()+30)&gt;0),1,0)</x:f>
        <x:v>0</x:v>
      </x:c>
      <x:c r="R912" t="n">
        <x:f>R911+IF(OR(LEFT(H912,15)="Missing dates; ",LEFT(H912,16)="Add N/A reason; ",H912="Add dates",H912="Add registration",H912="Check date format"),1,0)</x:f>
        <x:v>0</x:v>
      </x:c>
      <x:c r="S912" t="n">
        <x:f>S911+IF(COUNTIFS(C912:F912,"Reviewed N/A")&gt;0,1,0)</x:f>
        <x:v>0</x:v>
      </x:c>
    </x:row>
    <x:row r="913" ht="48" customHeight="1">
      <x:c r="A913" s="52"/>
      <x:c r="B913" s="52"/>
      <x:c r="C913" s="53"/>
      <x:c r="D913" s="53"/>
      <x:c r="E913" s="53"/>
      <x:c r="F913" s="53"/>
      <x:c r="G913" s="52"/>
      <x:c r="H913" s="21" t="str">
        <x:f>IF(COUNTA(A913:G913,I913)=0,"",IF(A913="","Add registration",IF(OR(COUNTA(C913:F913)&gt;COUNT(C913:F913)+COUNTIFS(C913:F913,"Reviewed N/A"),AND(COUNT(C913:F913)&gt;0,OR(MIN(C913:F913)&lt;36526,MAX(C913:F913)&gt;109574))),"Check date format",IF(AND(COUNTIFS(C913:F913,"Reviewed N/A")&gt;0,I913=""),"Add N/A reason; ","")&amp;IF(COUNT(C913:F913)=0,IF(COUNTIFS(C913:F913,"Reviewed N/A")=4,"No applicable dates recorded","Add dates"),IF(COUNT(C913:F913)+COUNTIFS(C913:F913,"Reviewed N/A")&lt;4,"Missing dates; ","")&amp;IF(MIN(C913:F913)&lt;TODAY(),"Overdue: ",IF(MIN(C913:F913)=TODAY(),"Due today: ",IF(MIN(C913:F913)&lt;=TODAY()+30,"Due within 30 days: ","Next: ")))&amp;INDEX($C$8:$F$8,1,MATCH(MIN(C913:F913),C913:F913,0))&amp;" "&amp;TEXT(MIN(C913:F913),"dd mmm yyyy")))))</x:f>
      </x:c>
      <x:c r="I913" s="52"/>
      <x:c r="J913" t="str">
        <x:f>IF(AND(A913&lt;&gt;"",COUNTIFS(C913,"&gt;=36526",C913,"&lt;"&amp;TODAY())+COUNTIFS(D913,"&gt;=36526",D913,"&lt;"&amp;TODAY())+COUNTIFS(E913,"&gt;=36526",E913,"&lt;"&amp;TODAY())+COUNTIFS(F913,"&gt;=36526",F913,"&lt;"&amp;TODAY())&gt;0),O913,"")</x:f>
      </x:c>
      <x:c r="K913" t="str">
        <x:f>IF(AND(A913&lt;&gt;"",COUNTIFS(C913,"&gt;=36526",C913,TODAY())+COUNTIFS(D913,"&gt;=36526",D913,TODAY())+COUNTIFS(E913,"&gt;=36526",E913,TODAY())+COUNTIFS(F913,"&gt;=36526",F913,TODAY())&gt;0),P913,"")</x:f>
      </x:c>
      <x:c r="L913" t="str">
        <x:f>IF(AND(A913&lt;&gt;"",COUNTIFS(C913,"&gt;"&amp;TODAY(),C913,"&lt;="&amp;TODAY()+30)+COUNTIFS(D913,"&gt;"&amp;TODAY(),D913,"&lt;="&amp;TODAY()+30)+COUNTIFS(E913,"&gt;"&amp;TODAY(),E913,"&lt;="&amp;TODAY()+30)+COUNTIFS(F913,"&gt;"&amp;TODAY(),F913,"&lt;="&amp;TODAY()+30)&gt;0),Q913,"")</x:f>
      </x:c>
      <x:c r="M913" t="str">
        <x:f>IF(OR(LEFT(H913,15)="Missing dates; ",LEFT(H913,16)="Add N/A reason; ",H913="Add dates",H913="Add registration",H913="Check date format"),R913,"")</x:f>
      </x:c>
      <x:c r="N913" t="str">
        <x:f>IF(COUNTIFS(C913:F913,"Reviewed N/A")&gt;0,S913,"")</x:f>
      </x:c>
      <x:c r="O913" t="n">
        <x:f>O912+IF(AND(A913&lt;&gt;"",COUNTIFS(C913,"&gt;=36526",C913,"&lt;"&amp;TODAY())+COUNTIFS(D913,"&gt;=36526",D913,"&lt;"&amp;TODAY())+COUNTIFS(E913,"&gt;=36526",E913,"&lt;"&amp;TODAY())+COUNTIFS(F913,"&gt;=36526",F913,"&lt;"&amp;TODAY())&gt;0),1,0)</x:f>
        <x:v>0</x:v>
      </x:c>
      <x:c r="P913" t="n">
        <x:f>P912+IF(AND(A913&lt;&gt;"",COUNTIFS(C913,"&gt;=36526",C913,TODAY())+COUNTIFS(D913,"&gt;=36526",D913,TODAY())+COUNTIFS(E913,"&gt;=36526",E913,TODAY())+COUNTIFS(F913,"&gt;=36526",F913,TODAY())&gt;0),1,0)</x:f>
        <x:v>0</x:v>
      </x:c>
      <x:c r="Q913" t="n">
        <x:f>Q912+IF(AND(A913&lt;&gt;"",COUNTIFS(C913,"&gt;"&amp;TODAY(),C913,"&lt;="&amp;TODAY()+30)+COUNTIFS(D913,"&gt;"&amp;TODAY(),D913,"&lt;="&amp;TODAY()+30)+COUNTIFS(E913,"&gt;"&amp;TODAY(),E913,"&lt;="&amp;TODAY()+30)+COUNTIFS(F913,"&gt;"&amp;TODAY(),F913,"&lt;="&amp;TODAY()+30)&gt;0),1,0)</x:f>
        <x:v>0</x:v>
      </x:c>
      <x:c r="R913" t="n">
        <x:f>R912+IF(OR(LEFT(H913,15)="Missing dates; ",LEFT(H913,16)="Add N/A reason; ",H913="Add dates",H913="Add registration",H913="Check date format"),1,0)</x:f>
        <x:v>0</x:v>
      </x:c>
      <x:c r="S913" t="n">
        <x:f>S912+IF(COUNTIFS(C913:F913,"Reviewed N/A")&gt;0,1,0)</x:f>
        <x:v>0</x:v>
      </x:c>
    </x:row>
    <x:row r="914" ht="48" customHeight="1">
      <x:c r="A914" s="52"/>
      <x:c r="B914" s="52"/>
      <x:c r="C914" s="53"/>
      <x:c r="D914" s="53"/>
      <x:c r="E914" s="53"/>
      <x:c r="F914" s="53"/>
      <x:c r="G914" s="52"/>
      <x:c r="H914" s="21" t="str">
        <x:f>IF(COUNTA(A914:G914,I914)=0,"",IF(A914="","Add registration",IF(OR(COUNTA(C914:F914)&gt;COUNT(C914:F914)+COUNTIFS(C914:F914,"Reviewed N/A"),AND(COUNT(C914:F914)&gt;0,OR(MIN(C914:F914)&lt;36526,MAX(C914:F914)&gt;109574))),"Check date format",IF(AND(COUNTIFS(C914:F914,"Reviewed N/A")&gt;0,I914=""),"Add N/A reason; ","")&amp;IF(COUNT(C914:F914)=0,IF(COUNTIFS(C914:F914,"Reviewed N/A")=4,"No applicable dates recorded","Add dates"),IF(COUNT(C914:F914)+COUNTIFS(C914:F914,"Reviewed N/A")&lt;4,"Missing dates; ","")&amp;IF(MIN(C914:F914)&lt;TODAY(),"Overdue: ",IF(MIN(C914:F914)=TODAY(),"Due today: ",IF(MIN(C914:F914)&lt;=TODAY()+30,"Due within 30 days: ","Next: ")))&amp;INDEX($C$8:$F$8,1,MATCH(MIN(C914:F914),C914:F914,0))&amp;" "&amp;TEXT(MIN(C914:F914),"dd mmm yyyy")))))</x:f>
      </x:c>
      <x:c r="I914" s="52"/>
      <x:c r="J914" t="str">
        <x:f>IF(AND(A914&lt;&gt;"",COUNTIFS(C914,"&gt;=36526",C914,"&lt;"&amp;TODAY())+COUNTIFS(D914,"&gt;=36526",D914,"&lt;"&amp;TODAY())+COUNTIFS(E914,"&gt;=36526",E914,"&lt;"&amp;TODAY())+COUNTIFS(F914,"&gt;=36526",F914,"&lt;"&amp;TODAY())&gt;0),O914,"")</x:f>
      </x:c>
      <x:c r="K914" t="str">
        <x:f>IF(AND(A914&lt;&gt;"",COUNTIFS(C914,"&gt;=36526",C914,TODAY())+COUNTIFS(D914,"&gt;=36526",D914,TODAY())+COUNTIFS(E914,"&gt;=36526",E914,TODAY())+COUNTIFS(F914,"&gt;=36526",F914,TODAY())&gt;0),P914,"")</x:f>
      </x:c>
      <x:c r="L914" t="str">
        <x:f>IF(AND(A914&lt;&gt;"",COUNTIFS(C914,"&gt;"&amp;TODAY(),C914,"&lt;="&amp;TODAY()+30)+COUNTIFS(D914,"&gt;"&amp;TODAY(),D914,"&lt;="&amp;TODAY()+30)+COUNTIFS(E914,"&gt;"&amp;TODAY(),E914,"&lt;="&amp;TODAY()+30)+COUNTIFS(F914,"&gt;"&amp;TODAY(),F914,"&lt;="&amp;TODAY()+30)&gt;0),Q914,"")</x:f>
      </x:c>
      <x:c r="M914" t="str">
        <x:f>IF(OR(LEFT(H914,15)="Missing dates; ",LEFT(H914,16)="Add N/A reason; ",H914="Add dates",H914="Add registration",H914="Check date format"),R914,"")</x:f>
      </x:c>
      <x:c r="N914" t="str">
        <x:f>IF(COUNTIFS(C914:F914,"Reviewed N/A")&gt;0,S914,"")</x:f>
      </x:c>
      <x:c r="O914" t="n">
        <x:f>O913+IF(AND(A914&lt;&gt;"",COUNTIFS(C914,"&gt;=36526",C914,"&lt;"&amp;TODAY())+COUNTIFS(D914,"&gt;=36526",D914,"&lt;"&amp;TODAY())+COUNTIFS(E914,"&gt;=36526",E914,"&lt;"&amp;TODAY())+COUNTIFS(F914,"&gt;=36526",F914,"&lt;"&amp;TODAY())&gt;0),1,0)</x:f>
        <x:v>0</x:v>
      </x:c>
      <x:c r="P914" t="n">
        <x:f>P913+IF(AND(A914&lt;&gt;"",COUNTIFS(C914,"&gt;=36526",C914,TODAY())+COUNTIFS(D914,"&gt;=36526",D914,TODAY())+COUNTIFS(E914,"&gt;=36526",E914,TODAY())+COUNTIFS(F914,"&gt;=36526",F914,TODAY())&gt;0),1,0)</x:f>
        <x:v>0</x:v>
      </x:c>
      <x:c r="Q914" t="n">
        <x:f>Q913+IF(AND(A914&lt;&gt;"",COUNTIFS(C914,"&gt;"&amp;TODAY(),C914,"&lt;="&amp;TODAY()+30)+COUNTIFS(D914,"&gt;"&amp;TODAY(),D914,"&lt;="&amp;TODAY()+30)+COUNTIFS(E914,"&gt;"&amp;TODAY(),E914,"&lt;="&amp;TODAY()+30)+COUNTIFS(F914,"&gt;"&amp;TODAY(),F914,"&lt;="&amp;TODAY()+30)&gt;0),1,0)</x:f>
        <x:v>0</x:v>
      </x:c>
      <x:c r="R914" t="n">
        <x:f>R913+IF(OR(LEFT(H914,15)="Missing dates; ",LEFT(H914,16)="Add N/A reason; ",H914="Add dates",H914="Add registration",H914="Check date format"),1,0)</x:f>
        <x:v>0</x:v>
      </x:c>
      <x:c r="S914" t="n">
        <x:f>S913+IF(COUNTIFS(C914:F914,"Reviewed N/A")&gt;0,1,0)</x:f>
        <x:v>0</x:v>
      </x:c>
    </x:row>
    <x:row r="915" ht="48" customHeight="1">
      <x:c r="A915" s="52"/>
      <x:c r="B915" s="52"/>
      <x:c r="C915" s="53"/>
      <x:c r="D915" s="53"/>
      <x:c r="E915" s="53"/>
      <x:c r="F915" s="53"/>
      <x:c r="G915" s="52"/>
      <x:c r="H915" s="21" t="str">
        <x:f>IF(COUNTA(A915:G915,I915)=0,"",IF(A915="","Add registration",IF(OR(COUNTA(C915:F915)&gt;COUNT(C915:F915)+COUNTIFS(C915:F915,"Reviewed N/A"),AND(COUNT(C915:F915)&gt;0,OR(MIN(C915:F915)&lt;36526,MAX(C915:F915)&gt;109574))),"Check date format",IF(AND(COUNTIFS(C915:F915,"Reviewed N/A")&gt;0,I915=""),"Add N/A reason; ","")&amp;IF(COUNT(C915:F915)=0,IF(COUNTIFS(C915:F915,"Reviewed N/A")=4,"No applicable dates recorded","Add dates"),IF(COUNT(C915:F915)+COUNTIFS(C915:F915,"Reviewed N/A")&lt;4,"Missing dates; ","")&amp;IF(MIN(C915:F915)&lt;TODAY(),"Overdue: ",IF(MIN(C915:F915)=TODAY(),"Due today: ",IF(MIN(C915:F915)&lt;=TODAY()+30,"Due within 30 days: ","Next: ")))&amp;INDEX($C$8:$F$8,1,MATCH(MIN(C915:F915),C915:F915,0))&amp;" "&amp;TEXT(MIN(C915:F915),"dd mmm yyyy")))))</x:f>
      </x:c>
      <x:c r="I915" s="52"/>
      <x:c r="J915" t="str">
        <x:f>IF(AND(A915&lt;&gt;"",COUNTIFS(C915,"&gt;=36526",C915,"&lt;"&amp;TODAY())+COUNTIFS(D915,"&gt;=36526",D915,"&lt;"&amp;TODAY())+COUNTIFS(E915,"&gt;=36526",E915,"&lt;"&amp;TODAY())+COUNTIFS(F915,"&gt;=36526",F915,"&lt;"&amp;TODAY())&gt;0),O915,"")</x:f>
      </x:c>
      <x:c r="K915" t="str">
        <x:f>IF(AND(A915&lt;&gt;"",COUNTIFS(C915,"&gt;=36526",C915,TODAY())+COUNTIFS(D915,"&gt;=36526",D915,TODAY())+COUNTIFS(E915,"&gt;=36526",E915,TODAY())+COUNTIFS(F915,"&gt;=36526",F915,TODAY())&gt;0),P915,"")</x:f>
      </x:c>
      <x:c r="L915" t="str">
        <x:f>IF(AND(A915&lt;&gt;"",COUNTIFS(C915,"&gt;"&amp;TODAY(),C915,"&lt;="&amp;TODAY()+30)+COUNTIFS(D915,"&gt;"&amp;TODAY(),D915,"&lt;="&amp;TODAY()+30)+COUNTIFS(E915,"&gt;"&amp;TODAY(),E915,"&lt;="&amp;TODAY()+30)+COUNTIFS(F915,"&gt;"&amp;TODAY(),F915,"&lt;="&amp;TODAY()+30)&gt;0),Q915,"")</x:f>
      </x:c>
      <x:c r="M915" t="str">
        <x:f>IF(OR(LEFT(H915,15)="Missing dates; ",LEFT(H915,16)="Add N/A reason; ",H915="Add dates",H915="Add registration",H915="Check date format"),R915,"")</x:f>
      </x:c>
      <x:c r="N915" t="str">
        <x:f>IF(COUNTIFS(C915:F915,"Reviewed N/A")&gt;0,S915,"")</x:f>
      </x:c>
      <x:c r="O915" t="n">
        <x:f>O914+IF(AND(A915&lt;&gt;"",COUNTIFS(C915,"&gt;=36526",C915,"&lt;"&amp;TODAY())+COUNTIFS(D915,"&gt;=36526",D915,"&lt;"&amp;TODAY())+COUNTIFS(E915,"&gt;=36526",E915,"&lt;"&amp;TODAY())+COUNTIFS(F915,"&gt;=36526",F915,"&lt;"&amp;TODAY())&gt;0),1,0)</x:f>
        <x:v>0</x:v>
      </x:c>
      <x:c r="P915" t="n">
        <x:f>P914+IF(AND(A915&lt;&gt;"",COUNTIFS(C915,"&gt;=36526",C915,TODAY())+COUNTIFS(D915,"&gt;=36526",D915,TODAY())+COUNTIFS(E915,"&gt;=36526",E915,TODAY())+COUNTIFS(F915,"&gt;=36526",F915,TODAY())&gt;0),1,0)</x:f>
        <x:v>0</x:v>
      </x:c>
      <x:c r="Q915" t="n">
        <x:f>Q914+IF(AND(A915&lt;&gt;"",COUNTIFS(C915,"&gt;"&amp;TODAY(),C915,"&lt;="&amp;TODAY()+30)+COUNTIFS(D915,"&gt;"&amp;TODAY(),D915,"&lt;="&amp;TODAY()+30)+COUNTIFS(E915,"&gt;"&amp;TODAY(),E915,"&lt;="&amp;TODAY()+30)+COUNTIFS(F915,"&gt;"&amp;TODAY(),F915,"&lt;="&amp;TODAY()+30)&gt;0),1,0)</x:f>
        <x:v>0</x:v>
      </x:c>
      <x:c r="R915" t="n">
        <x:f>R914+IF(OR(LEFT(H915,15)="Missing dates; ",LEFT(H915,16)="Add N/A reason; ",H915="Add dates",H915="Add registration",H915="Check date format"),1,0)</x:f>
        <x:v>0</x:v>
      </x:c>
      <x:c r="S915" t="n">
        <x:f>S914+IF(COUNTIFS(C915:F915,"Reviewed N/A")&gt;0,1,0)</x:f>
        <x:v>0</x:v>
      </x:c>
    </x:row>
    <x:row r="916" ht="48" customHeight="1">
      <x:c r="A916" s="52"/>
      <x:c r="B916" s="52"/>
      <x:c r="C916" s="53"/>
      <x:c r="D916" s="53"/>
      <x:c r="E916" s="53"/>
      <x:c r="F916" s="53"/>
      <x:c r="G916" s="52"/>
      <x:c r="H916" s="21" t="str">
        <x:f>IF(COUNTA(A916:G916,I916)=0,"",IF(A916="","Add registration",IF(OR(COUNTA(C916:F916)&gt;COUNT(C916:F916)+COUNTIFS(C916:F916,"Reviewed N/A"),AND(COUNT(C916:F916)&gt;0,OR(MIN(C916:F916)&lt;36526,MAX(C916:F916)&gt;109574))),"Check date format",IF(AND(COUNTIFS(C916:F916,"Reviewed N/A")&gt;0,I916=""),"Add N/A reason; ","")&amp;IF(COUNT(C916:F916)=0,IF(COUNTIFS(C916:F916,"Reviewed N/A")=4,"No applicable dates recorded","Add dates"),IF(COUNT(C916:F916)+COUNTIFS(C916:F916,"Reviewed N/A")&lt;4,"Missing dates; ","")&amp;IF(MIN(C916:F916)&lt;TODAY(),"Overdue: ",IF(MIN(C916:F916)=TODAY(),"Due today: ",IF(MIN(C916:F916)&lt;=TODAY()+30,"Due within 30 days: ","Next: ")))&amp;INDEX($C$8:$F$8,1,MATCH(MIN(C916:F916),C916:F916,0))&amp;" "&amp;TEXT(MIN(C916:F916),"dd mmm yyyy")))))</x:f>
      </x:c>
      <x:c r="I916" s="52"/>
      <x:c r="J916" t="str">
        <x:f>IF(AND(A916&lt;&gt;"",COUNTIFS(C916,"&gt;=36526",C916,"&lt;"&amp;TODAY())+COUNTIFS(D916,"&gt;=36526",D916,"&lt;"&amp;TODAY())+COUNTIFS(E916,"&gt;=36526",E916,"&lt;"&amp;TODAY())+COUNTIFS(F916,"&gt;=36526",F916,"&lt;"&amp;TODAY())&gt;0),O916,"")</x:f>
      </x:c>
      <x:c r="K916" t="str">
        <x:f>IF(AND(A916&lt;&gt;"",COUNTIFS(C916,"&gt;=36526",C916,TODAY())+COUNTIFS(D916,"&gt;=36526",D916,TODAY())+COUNTIFS(E916,"&gt;=36526",E916,TODAY())+COUNTIFS(F916,"&gt;=36526",F916,TODAY())&gt;0),P916,"")</x:f>
      </x:c>
      <x:c r="L916" t="str">
        <x:f>IF(AND(A916&lt;&gt;"",COUNTIFS(C916,"&gt;"&amp;TODAY(),C916,"&lt;="&amp;TODAY()+30)+COUNTIFS(D916,"&gt;"&amp;TODAY(),D916,"&lt;="&amp;TODAY()+30)+COUNTIFS(E916,"&gt;"&amp;TODAY(),E916,"&lt;="&amp;TODAY()+30)+COUNTIFS(F916,"&gt;"&amp;TODAY(),F916,"&lt;="&amp;TODAY()+30)&gt;0),Q916,"")</x:f>
      </x:c>
      <x:c r="M916" t="str">
        <x:f>IF(OR(LEFT(H916,15)="Missing dates; ",LEFT(H916,16)="Add N/A reason; ",H916="Add dates",H916="Add registration",H916="Check date format"),R916,"")</x:f>
      </x:c>
      <x:c r="N916" t="str">
        <x:f>IF(COUNTIFS(C916:F916,"Reviewed N/A")&gt;0,S916,"")</x:f>
      </x:c>
      <x:c r="O916" t="n">
        <x:f>O915+IF(AND(A916&lt;&gt;"",COUNTIFS(C916,"&gt;=36526",C916,"&lt;"&amp;TODAY())+COUNTIFS(D916,"&gt;=36526",D916,"&lt;"&amp;TODAY())+COUNTIFS(E916,"&gt;=36526",E916,"&lt;"&amp;TODAY())+COUNTIFS(F916,"&gt;=36526",F916,"&lt;"&amp;TODAY())&gt;0),1,0)</x:f>
        <x:v>0</x:v>
      </x:c>
      <x:c r="P916" t="n">
        <x:f>P915+IF(AND(A916&lt;&gt;"",COUNTIFS(C916,"&gt;=36526",C916,TODAY())+COUNTIFS(D916,"&gt;=36526",D916,TODAY())+COUNTIFS(E916,"&gt;=36526",E916,TODAY())+COUNTIFS(F916,"&gt;=36526",F916,TODAY())&gt;0),1,0)</x:f>
        <x:v>0</x:v>
      </x:c>
      <x:c r="Q916" t="n">
        <x:f>Q915+IF(AND(A916&lt;&gt;"",COUNTIFS(C916,"&gt;"&amp;TODAY(),C916,"&lt;="&amp;TODAY()+30)+COUNTIFS(D916,"&gt;"&amp;TODAY(),D916,"&lt;="&amp;TODAY()+30)+COUNTIFS(E916,"&gt;"&amp;TODAY(),E916,"&lt;="&amp;TODAY()+30)+COUNTIFS(F916,"&gt;"&amp;TODAY(),F916,"&lt;="&amp;TODAY()+30)&gt;0),1,0)</x:f>
        <x:v>0</x:v>
      </x:c>
      <x:c r="R916" t="n">
        <x:f>R915+IF(OR(LEFT(H916,15)="Missing dates; ",LEFT(H916,16)="Add N/A reason; ",H916="Add dates",H916="Add registration",H916="Check date format"),1,0)</x:f>
        <x:v>0</x:v>
      </x:c>
      <x:c r="S916" t="n">
        <x:f>S915+IF(COUNTIFS(C916:F916,"Reviewed N/A")&gt;0,1,0)</x:f>
        <x:v>0</x:v>
      </x:c>
    </x:row>
    <x:row r="917" ht="48" customHeight="1">
      <x:c r="A917" s="52"/>
      <x:c r="B917" s="52"/>
      <x:c r="C917" s="53"/>
      <x:c r="D917" s="53"/>
      <x:c r="E917" s="53"/>
      <x:c r="F917" s="53"/>
      <x:c r="G917" s="52"/>
      <x:c r="H917" s="21" t="str">
        <x:f>IF(COUNTA(A917:G917,I917)=0,"",IF(A917="","Add registration",IF(OR(COUNTA(C917:F917)&gt;COUNT(C917:F917)+COUNTIFS(C917:F917,"Reviewed N/A"),AND(COUNT(C917:F917)&gt;0,OR(MIN(C917:F917)&lt;36526,MAX(C917:F917)&gt;109574))),"Check date format",IF(AND(COUNTIFS(C917:F917,"Reviewed N/A")&gt;0,I917=""),"Add N/A reason; ","")&amp;IF(COUNT(C917:F917)=0,IF(COUNTIFS(C917:F917,"Reviewed N/A")=4,"No applicable dates recorded","Add dates"),IF(COUNT(C917:F917)+COUNTIFS(C917:F917,"Reviewed N/A")&lt;4,"Missing dates; ","")&amp;IF(MIN(C917:F917)&lt;TODAY(),"Overdue: ",IF(MIN(C917:F917)=TODAY(),"Due today: ",IF(MIN(C917:F917)&lt;=TODAY()+30,"Due within 30 days: ","Next: ")))&amp;INDEX($C$8:$F$8,1,MATCH(MIN(C917:F917),C917:F917,0))&amp;" "&amp;TEXT(MIN(C917:F917),"dd mmm yyyy")))))</x:f>
      </x:c>
      <x:c r="I917" s="52"/>
      <x:c r="J917" t="str">
        <x:f>IF(AND(A917&lt;&gt;"",COUNTIFS(C917,"&gt;=36526",C917,"&lt;"&amp;TODAY())+COUNTIFS(D917,"&gt;=36526",D917,"&lt;"&amp;TODAY())+COUNTIFS(E917,"&gt;=36526",E917,"&lt;"&amp;TODAY())+COUNTIFS(F917,"&gt;=36526",F917,"&lt;"&amp;TODAY())&gt;0),O917,"")</x:f>
      </x:c>
      <x:c r="K917" t="str">
        <x:f>IF(AND(A917&lt;&gt;"",COUNTIFS(C917,"&gt;=36526",C917,TODAY())+COUNTIFS(D917,"&gt;=36526",D917,TODAY())+COUNTIFS(E917,"&gt;=36526",E917,TODAY())+COUNTIFS(F917,"&gt;=36526",F917,TODAY())&gt;0),P917,"")</x:f>
      </x:c>
      <x:c r="L917" t="str">
        <x:f>IF(AND(A917&lt;&gt;"",COUNTIFS(C917,"&gt;"&amp;TODAY(),C917,"&lt;="&amp;TODAY()+30)+COUNTIFS(D917,"&gt;"&amp;TODAY(),D917,"&lt;="&amp;TODAY()+30)+COUNTIFS(E917,"&gt;"&amp;TODAY(),E917,"&lt;="&amp;TODAY()+30)+COUNTIFS(F917,"&gt;"&amp;TODAY(),F917,"&lt;="&amp;TODAY()+30)&gt;0),Q917,"")</x:f>
      </x:c>
      <x:c r="M917" t="str">
        <x:f>IF(OR(LEFT(H917,15)="Missing dates; ",LEFT(H917,16)="Add N/A reason; ",H917="Add dates",H917="Add registration",H917="Check date format"),R917,"")</x:f>
      </x:c>
      <x:c r="N917" t="str">
        <x:f>IF(COUNTIFS(C917:F917,"Reviewed N/A")&gt;0,S917,"")</x:f>
      </x:c>
      <x:c r="O917" t="n">
        <x:f>O916+IF(AND(A917&lt;&gt;"",COUNTIFS(C917,"&gt;=36526",C917,"&lt;"&amp;TODAY())+COUNTIFS(D917,"&gt;=36526",D917,"&lt;"&amp;TODAY())+COUNTIFS(E917,"&gt;=36526",E917,"&lt;"&amp;TODAY())+COUNTIFS(F917,"&gt;=36526",F917,"&lt;"&amp;TODAY())&gt;0),1,0)</x:f>
        <x:v>0</x:v>
      </x:c>
      <x:c r="P917" t="n">
        <x:f>P916+IF(AND(A917&lt;&gt;"",COUNTIFS(C917,"&gt;=36526",C917,TODAY())+COUNTIFS(D917,"&gt;=36526",D917,TODAY())+COUNTIFS(E917,"&gt;=36526",E917,TODAY())+COUNTIFS(F917,"&gt;=36526",F917,TODAY())&gt;0),1,0)</x:f>
        <x:v>0</x:v>
      </x:c>
      <x:c r="Q917" t="n">
        <x:f>Q916+IF(AND(A917&lt;&gt;"",COUNTIFS(C917,"&gt;"&amp;TODAY(),C917,"&lt;="&amp;TODAY()+30)+COUNTIFS(D917,"&gt;"&amp;TODAY(),D917,"&lt;="&amp;TODAY()+30)+COUNTIFS(E917,"&gt;"&amp;TODAY(),E917,"&lt;="&amp;TODAY()+30)+COUNTIFS(F917,"&gt;"&amp;TODAY(),F917,"&lt;="&amp;TODAY()+30)&gt;0),1,0)</x:f>
        <x:v>0</x:v>
      </x:c>
      <x:c r="R917" t="n">
        <x:f>R916+IF(OR(LEFT(H917,15)="Missing dates; ",LEFT(H917,16)="Add N/A reason; ",H917="Add dates",H917="Add registration",H917="Check date format"),1,0)</x:f>
        <x:v>0</x:v>
      </x:c>
      <x:c r="S917" t="n">
        <x:f>S916+IF(COUNTIFS(C917:F917,"Reviewed N/A")&gt;0,1,0)</x:f>
        <x:v>0</x:v>
      </x:c>
    </x:row>
    <x:row r="918" ht="48" customHeight="1">
      <x:c r="A918" s="52"/>
      <x:c r="B918" s="52"/>
      <x:c r="C918" s="53"/>
      <x:c r="D918" s="53"/>
      <x:c r="E918" s="53"/>
      <x:c r="F918" s="53"/>
      <x:c r="G918" s="52"/>
      <x:c r="H918" s="21" t="str">
        <x:f>IF(COUNTA(A918:G918,I918)=0,"",IF(A918="","Add registration",IF(OR(COUNTA(C918:F918)&gt;COUNT(C918:F918)+COUNTIFS(C918:F918,"Reviewed N/A"),AND(COUNT(C918:F918)&gt;0,OR(MIN(C918:F918)&lt;36526,MAX(C918:F918)&gt;109574))),"Check date format",IF(AND(COUNTIFS(C918:F918,"Reviewed N/A")&gt;0,I918=""),"Add N/A reason; ","")&amp;IF(COUNT(C918:F918)=0,IF(COUNTIFS(C918:F918,"Reviewed N/A")=4,"No applicable dates recorded","Add dates"),IF(COUNT(C918:F918)+COUNTIFS(C918:F918,"Reviewed N/A")&lt;4,"Missing dates; ","")&amp;IF(MIN(C918:F918)&lt;TODAY(),"Overdue: ",IF(MIN(C918:F918)=TODAY(),"Due today: ",IF(MIN(C918:F918)&lt;=TODAY()+30,"Due within 30 days: ","Next: ")))&amp;INDEX($C$8:$F$8,1,MATCH(MIN(C918:F918),C918:F918,0))&amp;" "&amp;TEXT(MIN(C918:F918),"dd mmm yyyy")))))</x:f>
      </x:c>
      <x:c r="I918" s="52"/>
      <x:c r="J918" t="str">
        <x:f>IF(AND(A918&lt;&gt;"",COUNTIFS(C918,"&gt;=36526",C918,"&lt;"&amp;TODAY())+COUNTIFS(D918,"&gt;=36526",D918,"&lt;"&amp;TODAY())+COUNTIFS(E918,"&gt;=36526",E918,"&lt;"&amp;TODAY())+COUNTIFS(F918,"&gt;=36526",F918,"&lt;"&amp;TODAY())&gt;0),O918,"")</x:f>
      </x:c>
      <x:c r="K918" t="str">
        <x:f>IF(AND(A918&lt;&gt;"",COUNTIFS(C918,"&gt;=36526",C918,TODAY())+COUNTIFS(D918,"&gt;=36526",D918,TODAY())+COUNTIFS(E918,"&gt;=36526",E918,TODAY())+COUNTIFS(F918,"&gt;=36526",F918,TODAY())&gt;0),P918,"")</x:f>
      </x:c>
      <x:c r="L918" t="str">
        <x:f>IF(AND(A918&lt;&gt;"",COUNTIFS(C918,"&gt;"&amp;TODAY(),C918,"&lt;="&amp;TODAY()+30)+COUNTIFS(D918,"&gt;"&amp;TODAY(),D918,"&lt;="&amp;TODAY()+30)+COUNTIFS(E918,"&gt;"&amp;TODAY(),E918,"&lt;="&amp;TODAY()+30)+COUNTIFS(F918,"&gt;"&amp;TODAY(),F918,"&lt;="&amp;TODAY()+30)&gt;0),Q918,"")</x:f>
      </x:c>
      <x:c r="M918" t="str">
        <x:f>IF(OR(LEFT(H918,15)="Missing dates; ",LEFT(H918,16)="Add N/A reason; ",H918="Add dates",H918="Add registration",H918="Check date format"),R918,"")</x:f>
      </x:c>
      <x:c r="N918" t="str">
        <x:f>IF(COUNTIFS(C918:F918,"Reviewed N/A")&gt;0,S918,"")</x:f>
      </x:c>
      <x:c r="O918" t="n">
        <x:f>O917+IF(AND(A918&lt;&gt;"",COUNTIFS(C918,"&gt;=36526",C918,"&lt;"&amp;TODAY())+COUNTIFS(D918,"&gt;=36526",D918,"&lt;"&amp;TODAY())+COUNTIFS(E918,"&gt;=36526",E918,"&lt;"&amp;TODAY())+COUNTIFS(F918,"&gt;=36526",F918,"&lt;"&amp;TODAY())&gt;0),1,0)</x:f>
        <x:v>0</x:v>
      </x:c>
      <x:c r="P918" t="n">
        <x:f>P917+IF(AND(A918&lt;&gt;"",COUNTIFS(C918,"&gt;=36526",C918,TODAY())+COUNTIFS(D918,"&gt;=36526",D918,TODAY())+COUNTIFS(E918,"&gt;=36526",E918,TODAY())+COUNTIFS(F918,"&gt;=36526",F918,TODAY())&gt;0),1,0)</x:f>
        <x:v>0</x:v>
      </x:c>
      <x:c r="Q918" t="n">
        <x:f>Q917+IF(AND(A918&lt;&gt;"",COUNTIFS(C918,"&gt;"&amp;TODAY(),C918,"&lt;="&amp;TODAY()+30)+COUNTIFS(D918,"&gt;"&amp;TODAY(),D918,"&lt;="&amp;TODAY()+30)+COUNTIFS(E918,"&gt;"&amp;TODAY(),E918,"&lt;="&amp;TODAY()+30)+COUNTIFS(F918,"&gt;"&amp;TODAY(),F918,"&lt;="&amp;TODAY()+30)&gt;0),1,0)</x:f>
        <x:v>0</x:v>
      </x:c>
      <x:c r="R918" t="n">
        <x:f>R917+IF(OR(LEFT(H918,15)="Missing dates; ",LEFT(H918,16)="Add N/A reason; ",H918="Add dates",H918="Add registration",H918="Check date format"),1,0)</x:f>
        <x:v>0</x:v>
      </x:c>
      <x:c r="S918" t="n">
        <x:f>S917+IF(COUNTIFS(C918:F918,"Reviewed N/A")&gt;0,1,0)</x:f>
        <x:v>0</x:v>
      </x:c>
    </x:row>
    <x:row r="919" ht="48" customHeight="1">
      <x:c r="A919" s="52"/>
      <x:c r="B919" s="52"/>
      <x:c r="C919" s="53"/>
      <x:c r="D919" s="53"/>
      <x:c r="E919" s="53"/>
      <x:c r="F919" s="53"/>
      <x:c r="G919" s="52"/>
      <x:c r="H919" s="21" t="str">
        <x:f>IF(COUNTA(A919:G919,I919)=0,"",IF(A919="","Add registration",IF(OR(COUNTA(C919:F919)&gt;COUNT(C919:F919)+COUNTIFS(C919:F919,"Reviewed N/A"),AND(COUNT(C919:F919)&gt;0,OR(MIN(C919:F919)&lt;36526,MAX(C919:F919)&gt;109574))),"Check date format",IF(AND(COUNTIFS(C919:F919,"Reviewed N/A")&gt;0,I919=""),"Add N/A reason; ","")&amp;IF(COUNT(C919:F919)=0,IF(COUNTIFS(C919:F919,"Reviewed N/A")=4,"No applicable dates recorded","Add dates"),IF(COUNT(C919:F919)+COUNTIFS(C919:F919,"Reviewed N/A")&lt;4,"Missing dates; ","")&amp;IF(MIN(C919:F919)&lt;TODAY(),"Overdue: ",IF(MIN(C919:F919)=TODAY(),"Due today: ",IF(MIN(C919:F919)&lt;=TODAY()+30,"Due within 30 days: ","Next: ")))&amp;INDEX($C$8:$F$8,1,MATCH(MIN(C919:F919),C919:F919,0))&amp;" "&amp;TEXT(MIN(C919:F919),"dd mmm yyyy")))))</x:f>
      </x:c>
      <x:c r="I919" s="52"/>
      <x:c r="J919" t="str">
        <x:f>IF(AND(A919&lt;&gt;"",COUNTIFS(C919,"&gt;=36526",C919,"&lt;"&amp;TODAY())+COUNTIFS(D919,"&gt;=36526",D919,"&lt;"&amp;TODAY())+COUNTIFS(E919,"&gt;=36526",E919,"&lt;"&amp;TODAY())+COUNTIFS(F919,"&gt;=36526",F919,"&lt;"&amp;TODAY())&gt;0),O919,"")</x:f>
      </x:c>
      <x:c r="K919" t="str">
        <x:f>IF(AND(A919&lt;&gt;"",COUNTIFS(C919,"&gt;=36526",C919,TODAY())+COUNTIFS(D919,"&gt;=36526",D919,TODAY())+COUNTIFS(E919,"&gt;=36526",E919,TODAY())+COUNTIFS(F919,"&gt;=36526",F919,TODAY())&gt;0),P919,"")</x:f>
      </x:c>
      <x:c r="L919" t="str">
        <x:f>IF(AND(A919&lt;&gt;"",COUNTIFS(C919,"&gt;"&amp;TODAY(),C919,"&lt;="&amp;TODAY()+30)+COUNTIFS(D919,"&gt;"&amp;TODAY(),D919,"&lt;="&amp;TODAY()+30)+COUNTIFS(E919,"&gt;"&amp;TODAY(),E919,"&lt;="&amp;TODAY()+30)+COUNTIFS(F919,"&gt;"&amp;TODAY(),F919,"&lt;="&amp;TODAY()+30)&gt;0),Q919,"")</x:f>
      </x:c>
      <x:c r="M919" t="str">
        <x:f>IF(OR(LEFT(H919,15)="Missing dates; ",LEFT(H919,16)="Add N/A reason; ",H919="Add dates",H919="Add registration",H919="Check date format"),R919,"")</x:f>
      </x:c>
      <x:c r="N919" t="str">
        <x:f>IF(COUNTIFS(C919:F919,"Reviewed N/A")&gt;0,S919,"")</x:f>
      </x:c>
      <x:c r="O919" t="n">
        <x:f>O918+IF(AND(A919&lt;&gt;"",COUNTIFS(C919,"&gt;=36526",C919,"&lt;"&amp;TODAY())+COUNTIFS(D919,"&gt;=36526",D919,"&lt;"&amp;TODAY())+COUNTIFS(E919,"&gt;=36526",E919,"&lt;"&amp;TODAY())+COUNTIFS(F919,"&gt;=36526",F919,"&lt;"&amp;TODAY())&gt;0),1,0)</x:f>
        <x:v>0</x:v>
      </x:c>
      <x:c r="P919" t="n">
        <x:f>P918+IF(AND(A919&lt;&gt;"",COUNTIFS(C919,"&gt;=36526",C919,TODAY())+COUNTIFS(D919,"&gt;=36526",D919,TODAY())+COUNTIFS(E919,"&gt;=36526",E919,TODAY())+COUNTIFS(F919,"&gt;=36526",F919,TODAY())&gt;0),1,0)</x:f>
        <x:v>0</x:v>
      </x:c>
      <x:c r="Q919" t="n">
        <x:f>Q918+IF(AND(A919&lt;&gt;"",COUNTIFS(C919,"&gt;"&amp;TODAY(),C919,"&lt;="&amp;TODAY()+30)+COUNTIFS(D919,"&gt;"&amp;TODAY(),D919,"&lt;="&amp;TODAY()+30)+COUNTIFS(E919,"&gt;"&amp;TODAY(),E919,"&lt;="&amp;TODAY()+30)+COUNTIFS(F919,"&gt;"&amp;TODAY(),F919,"&lt;="&amp;TODAY()+30)&gt;0),1,0)</x:f>
        <x:v>0</x:v>
      </x:c>
      <x:c r="R919" t="n">
        <x:f>R918+IF(OR(LEFT(H919,15)="Missing dates; ",LEFT(H919,16)="Add N/A reason; ",H919="Add dates",H919="Add registration",H919="Check date format"),1,0)</x:f>
        <x:v>0</x:v>
      </x:c>
      <x:c r="S919" t="n">
        <x:f>S918+IF(COUNTIFS(C919:F919,"Reviewed N/A")&gt;0,1,0)</x:f>
        <x:v>0</x:v>
      </x:c>
    </x:row>
    <x:row r="920" ht="48" customHeight="1">
      <x:c r="A920" s="52"/>
      <x:c r="B920" s="52"/>
      <x:c r="C920" s="53"/>
      <x:c r="D920" s="53"/>
      <x:c r="E920" s="53"/>
      <x:c r="F920" s="53"/>
      <x:c r="G920" s="52"/>
      <x:c r="H920" s="21" t="str">
        <x:f>IF(COUNTA(A920:G920,I920)=0,"",IF(A920="","Add registration",IF(OR(COUNTA(C920:F920)&gt;COUNT(C920:F920)+COUNTIFS(C920:F920,"Reviewed N/A"),AND(COUNT(C920:F920)&gt;0,OR(MIN(C920:F920)&lt;36526,MAX(C920:F920)&gt;109574))),"Check date format",IF(AND(COUNTIFS(C920:F920,"Reviewed N/A")&gt;0,I920=""),"Add N/A reason; ","")&amp;IF(COUNT(C920:F920)=0,IF(COUNTIFS(C920:F920,"Reviewed N/A")=4,"No applicable dates recorded","Add dates"),IF(COUNT(C920:F920)+COUNTIFS(C920:F920,"Reviewed N/A")&lt;4,"Missing dates; ","")&amp;IF(MIN(C920:F920)&lt;TODAY(),"Overdue: ",IF(MIN(C920:F920)=TODAY(),"Due today: ",IF(MIN(C920:F920)&lt;=TODAY()+30,"Due within 30 days: ","Next: ")))&amp;INDEX($C$8:$F$8,1,MATCH(MIN(C920:F920),C920:F920,0))&amp;" "&amp;TEXT(MIN(C920:F920),"dd mmm yyyy")))))</x:f>
      </x:c>
      <x:c r="I920" s="52"/>
      <x:c r="J920" t="str">
        <x:f>IF(AND(A920&lt;&gt;"",COUNTIFS(C920,"&gt;=36526",C920,"&lt;"&amp;TODAY())+COUNTIFS(D920,"&gt;=36526",D920,"&lt;"&amp;TODAY())+COUNTIFS(E920,"&gt;=36526",E920,"&lt;"&amp;TODAY())+COUNTIFS(F920,"&gt;=36526",F920,"&lt;"&amp;TODAY())&gt;0),O920,"")</x:f>
      </x:c>
      <x:c r="K920" t="str">
        <x:f>IF(AND(A920&lt;&gt;"",COUNTIFS(C920,"&gt;=36526",C920,TODAY())+COUNTIFS(D920,"&gt;=36526",D920,TODAY())+COUNTIFS(E920,"&gt;=36526",E920,TODAY())+COUNTIFS(F920,"&gt;=36526",F920,TODAY())&gt;0),P920,"")</x:f>
      </x:c>
      <x:c r="L920" t="str">
        <x:f>IF(AND(A920&lt;&gt;"",COUNTIFS(C920,"&gt;"&amp;TODAY(),C920,"&lt;="&amp;TODAY()+30)+COUNTIFS(D920,"&gt;"&amp;TODAY(),D920,"&lt;="&amp;TODAY()+30)+COUNTIFS(E920,"&gt;"&amp;TODAY(),E920,"&lt;="&amp;TODAY()+30)+COUNTIFS(F920,"&gt;"&amp;TODAY(),F920,"&lt;="&amp;TODAY()+30)&gt;0),Q920,"")</x:f>
      </x:c>
      <x:c r="M920" t="str">
        <x:f>IF(OR(LEFT(H920,15)="Missing dates; ",LEFT(H920,16)="Add N/A reason; ",H920="Add dates",H920="Add registration",H920="Check date format"),R920,"")</x:f>
      </x:c>
      <x:c r="N920" t="str">
        <x:f>IF(COUNTIFS(C920:F920,"Reviewed N/A")&gt;0,S920,"")</x:f>
      </x:c>
      <x:c r="O920" t="n">
        <x:f>O919+IF(AND(A920&lt;&gt;"",COUNTIFS(C920,"&gt;=36526",C920,"&lt;"&amp;TODAY())+COUNTIFS(D920,"&gt;=36526",D920,"&lt;"&amp;TODAY())+COUNTIFS(E920,"&gt;=36526",E920,"&lt;"&amp;TODAY())+COUNTIFS(F920,"&gt;=36526",F920,"&lt;"&amp;TODAY())&gt;0),1,0)</x:f>
        <x:v>0</x:v>
      </x:c>
      <x:c r="P920" t="n">
        <x:f>P919+IF(AND(A920&lt;&gt;"",COUNTIFS(C920,"&gt;=36526",C920,TODAY())+COUNTIFS(D920,"&gt;=36526",D920,TODAY())+COUNTIFS(E920,"&gt;=36526",E920,TODAY())+COUNTIFS(F920,"&gt;=36526",F920,TODAY())&gt;0),1,0)</x:f>
        <x:v>0</x:v>
      </x:c>
      <x:c r="Q920" t="n">
        <x:f>Q919+IF(AND(A920&lt;&gt;"",COUNTIFS(C920,"&gt;"&amp;TODAY(),C920,"&lt;="&amp;TODAY()+30)+COUNTIFS(D920,"&gt;"&amp;TODAY(),D920,"&lt;="&amp;TODAY()+30)+COUNTIFS(E920,"&gt;"&amp;TODAY(),E920,"&lt;="&amp;TODAY()+30)+COUNTIFS(F920,"&gt;"&amp;TODAY(),F920,"&lt;="&amp;TODAY()+30)&gt;0),1,0)</x:f>
        <x:v>0</x:v>
      </x:c>
      <x:c r="R920" t="n">
        <x:f>R919+IF(OR(LEFT(H920,15)="Missing dates; ",LEFT(H920,16)="Add N/A reason; ",H920="Add dates",H920="Add registration",H920="Check date format"),1,0)</x:f>
        <x:v>0</x:v>
      </x:c>
      <x:c r="S920" t="n">
        <x:f>S919+IF(COUNTIFS(C920:F920,"Reviewed N/A")&gt;0,1,0)</x:f>
        <x:v>0</x:v>
      </x:c>
    </x:row>
    <x:row r="921" ht="48" customHeight="1">
      <x:c r="A921" s="52"/>
      <x:c r="B921" s="52"/>
      <x:c r="C921" s="53"/>
      <x:c r="D921" s="53"/>
      <x:c r="E921" s="53"/>
      <x:c r="F921" s="53"/>
      <x:c r="G921" s="52"/>
      <x:c r="H921" s="21" t="str">
        <x:f>IF(COUNTA(A921:G921,I921)=0,"",IF(A921="","Add registration",IF(OR(COUNTA(C921:F921)&gt;COUNT(C921:F921)+COUNTIFS(C921:F921,"Reviewed N/A"),AND(COUNT(C921:F921)&gt;0,OR(MIN(C921:F921)&lt;36526,MAX(C921:F921)&gt;109574))),"Check date format",IF(AND(COUNTIFS(C921:F921,"Reviewed N/A")&gt;0,I921=""),"Add N/A reason; ","")&amp;IF(COUNT(C921:F921)=0,IF(COUNTIFS(C921:F921,"Reviewed N/A")=4,"No applicable dates recorded","Add dates"),IF(COUNT(C921:F921)+COUNTIFS(C921:F921,"Reviewed N/A")&lt;4,"Missing dates; ","")&amp;IF(MIN(C921:F921)&lt;TODAY(),"Overdue: ",IF(MIN(C921:F921)=TODAY(),"Due today: ",IF(MIN(C921:F921)&lt;=TODAY()+30,"Due within 30 days: ","Next: ")))&amp;INDEX($C$8:$F$8,1,MATCH(MIN(C921:F921),C921:F921,0))&amp;" "&amp;TEXT(MIN(C921:F921),"dd mmm yyyy")))))</x:f>
      </x:c>
      <x:c r="I921" s="52"/>
      <x:c r="J921" t="str">
        <x:f>IF(AND(A921&lt;&gt;"",COUNTIFS(C921,"&gt;=36526",C921,"&lt;"&amp;TODAY())+COUNTIFS(D921,"&gt;=36526",D921,"&lt;"&amp;TODAY())+COUNTIFS(E921,"&gt;=36526",E921,"&lt;"&amp;TODAY())+COUNTIFS(F921,"&gt;=36526",F921,"&lt;"&amp;TODAY())&gt;0),O921,"")</x:f>
      </x:c>
      <x:c r="K921" t="str">
        <x:f>IF(AND(A921&lt;&gt;"",COUNTIFS(C921,"&gt;=36526",C921,TODAY())+COUNTIFS(D921,"&gt;=36526",D921,TODAY())+COUNTIFS(E921,"&gt;=36526",E921,TODAY())+COUNTIFS(F921,"&gt;=36526",F921,TODAY())&gt;0),P921,"")</x:f>
      </x:c>
      <x:c r="L921" t="str">
        <x:f>IF(AND(A921&lt;&gt;"",COUNTIFS(C921,"&gt;"&amp;TODAY(),C921,"&lt;="&amp;TODAY()+30)+COUNTIFS(D921,"&gt;"&amp;TODAY(),D921,"&lt;="&amp;TODAY()+30)+COUNTIFS(E921,"&gt;"&amp;TODAY(),E921,"&lt;="&amp;TODAY()+30)+COUNTIFS(F921,"&gt;"&amp;TODAY(),F921,"&lt;="&amp;TODAY()+30)&gt;0),Q921,"")</x:f>
      </x:c>
      <x:c r="M921" t="str">
        <x:f>IF(OR(LEFT(H921,15)="Missing dates; ",LEFT(H921,16)="Add N/A reason; ",H921="Add dates",H921="Add registration",H921="Check date format"),R921,"")</x:f>
      </x:c>
      <x:c r="N921" t="str">
        <x:f>IF(COUNTIFS(C921:F921,"Reviewed N/A")&gt;0,S921,"")</x:f>
      </x:c>
      <x:c r="O921" t="n">
        <x:f>O920+IF(AND(A921&lt;&gt;"",COUNTIFS(C921,"&gt;=36526",C921,"&lt;"&amp;TODAY())+COUNTIFS(D921,"&gt;=36526",D921,"&lt;"&amp;TODAY())+COUNTIFS(E921,"&gt;=36526",E921,"&lt;"&amp;TODAY())+COUNTIFS(F921,"&gt;=36526",F921,"&lt;"&amp;TODAY())&gt;0),1,0)</x:f>
        <x:v>0</x:v>
      </x:c>
      <x:c r="P921" t="n">
        <x:f>P920+IF(AND(A921&lt;&gt;"",COUNTIFS(C921,"&gt;=36526",C921,TODAY())+COUNTIFS(D921,"&gt;=36526",D921,TODAY())+COUNTIFS(E921,"&gt;=36526",E921,TODAY())+COUNTIFS(F921,"&gt;=36526",F921,TODAY())&gt;0),1,0)</x:f>
        <x:v>0</x:v>
      </x:c>
      <x:c r="Q921" t="n">
        <x:f>Q920+IF(AND(A921&lt;&gt;"",COUNTIFS(C921,"&gt;"&amp;TODAY(),C921,"&lt;="&amp;TODAY()+30)+COUNTIFS(D921,"&gt;"&amp;TODAY(),D921,"&lt;="&amp;TODAY()+30)+COUNTIFS(E921,"&gt;"&amp;TODAY(),E921,"&lt;="&amp;TODAY()+30)+COUNTIFS(F921,"&gt;"&amp;TODAY(),F921,"&lt;="&amp;TODAY()+30)&gt;0),1,0)</x:f>
        <x:v>0</x:v>
      </x:c>
      <x:c r="R921" t="n">
        <x:f>R920+IF(OR(LEFT(H921,15)="Missing dates; ",LEFT(H921,16)="Add N/A reason; ",H921="Add dates",H921="Add registration",H921="Check date format"),1,0)</x:f>
        <x:v>0</x:v>
      </x:c>
      <x:c r="S921" t="n">
        <x:f>S920+IF(COUNTIFS(C921:F921,"Reviewed N/A")&gt;0,1,0)</x:f>
        <x:v>0</x:v>
      </x:c>
    </x:row>
    <x:row r="922" ht="48" customHeight="1">
      <x:c r="A922" s="52"/>
      <x:c r="B922" s="52"/>
      <x:c r="C922" s="53"/>
      <x:c r="D922" s="53"/>
      <x:c r="E922" s="53"/>
      <x:c r="F922" s="53"/>
      <x:c r="G922" s="52"/>
      <x:c r="H922" s="21" t="str">
        <x:f>IF(COUNTA(A922:G922,I922)=0,"",IF(A922="","Add registration",IF(OR(COUNTA(C922:F922)&gt;COUNT(C922:F922)+COUNTIFS(C922:F922,"Reviewed N/A"),AND(COUNT(C922:F922)&gt;0,OR(MIN(C922:F922)&lt;36526,MAX(C922:F922)&gt;109574))),"Check date format",IF(AND(COUNTIFS(C922:F922,"Reviewed N/A")&gt;0,I922=""),"Add N/A reason; ","")&amp;IF(COUNT(C922:F922)=0,IF(COUNTIFS(C922:F922,"Reviewed N/A")=4,"No applicable dates recorded","Add dates"),IF(COUNT(C922:F922)+COUNTIFS(C922:F922,"Reviewed N/A")&lt;4,"Missing dates; ","")&amp;IF(MIN(C922:F922)&lt;TODAY(),"Overdue: ",IF(MIN(C922:F922)=TODAY(),"Due today: ",IF(MIN(C922:F922)&lt;=TODAY()+30,"Due within 30 days: ","Next: ")))&amp;INDEX($C$8:$F$8,1,MATCH(MIN(C922:F922),C922:F922,0))&amp;" "&amp;TEXT(MIN(C922:F922),"dd mmm yyyy")))))</x:f>
      </x:c>
      <x:c r="I922" s="52"/>
      <x:c r="J922" t="str">
        <x:f>IF(AND(A922&lt;&gt;"",COUNTIFS(C922,"&gt;=36526",C922,"&lt;"&amp;TODAY())+COUNTIFS(D922,"&gt;=36526",D922,"&lt;"&amp;TODAY())+COUNTIFS(E922,"&gt;=36526",E922,"&lt;"&amp;TODAY())+COUNTIFS(F922,"&gt;=36526",F922,"&lt;"&amp;TODAY())&gt;0),O922,"")</x:f>
      </x:c>
      <x:c r="K922" t="str">
        <x:f>IF(AND(A922&lt;&gt;"",COUNTIFS(C922,"&gt;=36526",C922,TODAY())+COUNTIFS(D922,"&gt;=36526",D922,TODAY())+COUNTIFS(E922,"&gt;=36526",E922,TODAY())+COUNTIFS(F922,"&gt;=36526",F922,TODAY())&gt;0),P922,"")</x:f>
      </x:c>
      <x:c r="L922" t="str">
        <x:f>IF(AND(A922&lt;&gt;"",COUNTIFS(C922,"&gt;"&amp;TODAY(),C922,"&lt;="&amp;TODAY()+30)+COUNTIFS(D922,"&gt;"&amp;TODAY(),D922,"&lt;="&amp;TODAY()+30)+COUNTIFS(E922,"&gt;"&amp;TODAY(),E922,"&lt;="&amp;TODAY()+30)+COUNTIFS(F922,"&gt;"&amp;TODAY(),F922,"&lt;="&amp;TODAY()+30)&gt;0),Q922,"")</x:f>
      </x:c>
      <x:c r="M922" t="str">
        <x:f>IF(OR(LEFT(H922,15)="Missing dates; ",LEFT(H922,16)="Add N/A reason; ",H922="Add dates",H922="Add registration",H922="Check date format"),R922,"")</x:f>
      </x:c>
      <x:c r="N922" t="str">
        <x:f>IF(COUNTIFS(C922:F922,"Reviewed N/A")&gt;0,S922,"")</x:f>
      </x:c>
      <x:c r="O922" t="n">
        <x:f>O921+IF(AND(A922&lt;&gt;"",COUNTIFS(C922,"&gt;=36526",C922,"&lt;"&amp;TODAY())+COUNTIFS(D922,"&gt;=36526",D922,"&lt;"&amp;TODAY())+COUNTIFS(E922,"&gt;=36526",E922,"&lt;"&amp;TODAY())+COUNTIFS(F922,"&gt;=36526",F922,"&lt;"&amp;TODAY())&gt;0),1,0)</x:f>
        <x:v>0</x:v>
      </x:c>
      <x:c r="P922" t="n">
        <x:f>P921+IF(AND(A922&lt;&gt;"",COUNTIFS(C922,"&gt;=36526",C922,TODAY())+COUNTIFS(D922,"&gt;=36526",D922,TODAY())+COUNTIFS(E922,"&gt;=36526",E922,TODAY())+COUNTIFS(F922,"&gt;=36526",F922,TODAY())&gt;0),1,0)</x:f>
        <x:v>0</x:v>
      </x:c>
      <x:c r="Q922" t="n">
        <x:f>Q921+IF(AND(A922&lt;&gt;"",COUNTIFS(C922,"&gt;"&amp;TODAY(),C922,"&lt;="&amp;TODAY()+30)+COUNTIFS(D922,"&gt;"&amp;TODAY(),D922,"&lt;="&amp;TODAY()+30)+COUNTIFS(E922,"&gt;"&amp;TODAY(),E922,"&lt;="&amp;TODAY()+30)+COUNTIFS(F922,"&gt;"&amp;TODAY(),F922,"&lt;="&amp;TODAY()+30)&gt;0),1,0)</x:f>
        <x:v>0</x:v>
      </x:c>
      <x:c r="R922" t="n">
        <x:f>R921+IF(OR(LEFT(H922,15)="Missing dates; ",LEFT(H922,16)="Add N/A reason; ",H922="Add dates",H922="Add registration",H922="Check date format"),1,0)</x:f>
        <x:v>0</x:v>
      </x:c>
      <x:c r="S922" t="n">
        <x:f>S921+IF(COUNTIFS(C922:F922,"Reviewed N/A")&gt;0,1,0)</x:f>
        <x:v>0</x:v>
      </x:c>
    </x:row>
    <x:row r="923" ht="48" customHeight="1">
      <x:c r="A923" s="52"/>
      <x:c r="B923" s="52"/>
      <x:c r="C923" s="53"/>
      <x:c r="D923" s="53"/>
      <x:c r="E923" s="53"/>
      <x:c r="F923" s="53"/>
      <x:c r="G923" s="52"/>
      <x:c r="H923" s="21" t="str">
        <x:f>IF(COUNTA(A923:G923,I923)=0,"",IF(A923="","Add registration",IF(OR(COUNTA(C923:F923)&gt;COUNT(C923:F923)+COUNTIFS(C923:F923,"Reviewed N/A"),AND(COUNT(C923:F923)&gt;0,OR(MIN(C923:F923)&lt;36526,MAX(C923:F923)&gt;109574))),"Check date format",IF(AND(COUNTIFS(C923:F923,"Reviewed N/A")&gt;0,I923=""),"Add N/A reason; ","")&amp;IF(COUNT(C923:F923)=0,IF(COUNTIFS(C923:F923,"Reviewed N/A")=4,"No applicable dates recorded","Add dates"),IF(COUNT(C923:F923)+COUNTIFS(C923:F923,"Reviewed N/A")&lt;4,"Missing dates; ","")&amp;IF(MIN(C923:F923)&lt;TODAY(),"Overdue: ",IF(MIN(C923:F923)=TODAY(),"Due today: ",IF(MIN(C923:F923)&lt;=TODAY()+30,"Due within 30 days: ","Next: ")))&amp;INDEX($C$8:$F$8,1,MATCH(MIN(C923:F923),C923:F923,0))&amp;" "&amp;TEXT(MIN(C923:F923),"dd mmm yyyy")))))</x:f>
      </x:c>
      <x:c r="I923" s="52"/>
      <x:c r="J923" t="str">
        <x:f>IF(AND(A923&lt;&gt;"",COUNTIFS(C923,"&gt;=36526",C923,"&lt;"&amp;TODAY())+COUNTIFS(D923,"&gt;=36526",D923,"&lt;"&amp;TODAY())+COUNTIFS(E923,"&gt;=36526",E923,"&lt;"&amp;TODAY())+COUNTIFS(F923,"&gt;=36526",F923,"&lt;"&amp;TODAY())&gt;0),O923,"")</x:f>
      </x:c>
      <x:c r="K923" t="str">
        <x:f>IF(AND(A923&lt;&gt;"",COUNTIFS(C923,"&gt;=36526",C923,TODAY())+COUNTIFS(D923,"&gt;=36526",D923,TODAY())+COUNTIFS(E923,"&gt;=36526",E923,TODAY())+COUNTIFS(F923,"&gt;=36526",F923,TODAY())&gt;0),P923,"")</x:f>
      </x:c>
      <x:c r="L923" t="str">
        <x:f>IF(AND(A923&lt;&gt;"",COUNTIFS(C923,"&gt;"&amp;TODAY(),C923,"&lt;="&amp;TODAY()+30)+COUNTIFS(D923,"&gt;"&amp;TODAY(),D923,"&lt;="&amp;TODAY()+30)+COUNTIFS(E923,"&gt;"&amp;TODAY(),E923,"&lt;="&amp;TODAY()+30)+COUNTIFS(F923,"&gt;"&amp;TODAY(),F923,"&lt;="&amp;TODAY()+30)&gt;0),Q923,"")</x:f>
      </x:c>
      <x:c r="M923" t="str">
        <x:f>IF(OR(LEFT(H923,15)="Missing dates; ",LEFT(H923,16)="Add N/A reason; ",H923="Add dates",H923="Add registration",H923="Check date format"),R923,"")</x:f>
      </x:c>
      <x:c r="N923" t="str">
        <x:f>IF(COUNTIFS(C923:F923,"Reviewed N/A")&gt;0,S923,"")</x:f>
      </x:c>
      <x:c r="O923" t="n">
        <x:f>O922+IF(AND(A923&lt;&gt;"",COUNTIFS(C923,"&gt;=36526",C923,"&lt;"&amp;TODAY())+COUNTIFS(D923,"&gt;=36526",D923,"&lt;"&amp;TODAY())+COUNTIFS(E923,"&gt;=36526",E923,"&lt;"&amp;TODAY())+COUNTIFS(F923,"&gt;=36526",F923,"&lt;"&amp;TODAY())&gt;0),1,0)</x:f>
        <x:v>0</x:v>
      </x:c>
      <x:c r="P923" t="n">
        <x:f>P922+IF(AND(A923&lt;&gt;"",COUNTIFS(C923,"&gt;=36526",C923,TODAY())+COUNTIFS(D923,"&gt;=36526",D923,TODAY())+COUNTIFS(E923,"&gt;=36526",E923,TODAY())+COUNTIFS(F923,"&gt;=36526",F923,TODAY())&gt;0),1,0)</x:f>
        <x:v>0</x:v>
      </x:c>
      <x:c r="Q923" t="n">
        <x:f>Q922+IF(AND(A923&lt;&gt;"",COUNTIFS(C923,"&gt;"&amp;TODAY(),C923,"&lt;="&amp;TODAY()+30)+COUNTIFS(D923,"&gt;"&amp;TODAY(),D923,"&lt;="&amp;TODAY()+30)+COUNTIFS(E923,"&gt;"&amp;TODAY(),E923,"&lt;="&amp;TODAY()+30)+COUNTIFS(F923,"&gt;"&amp;TODAY(),F923,"&lt;="&amp;TODAY()+30)&gt;0),1,0)</x:f>
        <x:v>0</x:v>
      </x:c>
      <x:c r="R923" t="n">
        <x:f>R922+IF(OR(LEFT(H923,15)="Missing dates; ",LEFT(H923,16)="Add N/A reason; ",H923="Add dates",H923="Add registration",H923="Check date format"),1,0)</x:f>
        <x:v>0</x:v>
      </x:c>
      <x:c r="S923" t="n">
        <x:f>S922+IF(COUNTIFS(C923:F923,"Reviewed N/A")&gt;0,1,0)</x:f>
        <x:v>0</x:v>
      </x:c>
    </x:row>
    <x:row r="924" ht="48" customHeight="1">
      <x:c r="A924" s="52"/>
      <x:c r="B924" s="52"/>
      <x:c r="C924" s="53"/>
      <x:c r="D924" s="53"/>
      <x:c r="E924" s="53"/>
      <x:c r="F924" s="53"/>
      <x:c r="G924" s="52"/>
      <x:c r="H924" s="21" t="str">
        <x:f>IF(COUNTA(A924:G924,I924)=0,"",IF(A924="","Add registration",IF(OR(COUNTA(C924:F924)&gt;COUNT(C924:F924)+COUNTIFS(C924:F924,"Reviewed N/A"),AND(COUNT(C924:F924)&gt;0,OR(MIN(C924:F924)&lt;36526,MAX(C924:F924)&gt;109574))),"Check date format",IF(AND(COUNTIFS(C924:F924,"Reviewed N/A")&gt;0,I924=""),"Add N/A reason; ","")&amp;IF(COUNT(C924:F924)=0,IF(COUNTIFS(C924:F924,"Reviewed N/A")=4,"No applicable dates recorded","Add dates"),IF(COUNT(C924:F924)+COUNTIFS(C924:F924,"Reviewed N/A")&lt;4,"Missing dates; ","")&amp;IF(MIN(C924:F924)&lt;TODAY(),"Overdue: ",IF(MIN(C924:F924)=TODAY(),"Due today: ",IF(MIN(C924:F924)&lt;=TODAY()+30,"Due within 30 days: ","Next: ")))&amp;INDEX($C$8:$F$8,1,MATCH(MIN(C924:F924),C924:F924,0))&amp;" "&amp;TEXT(MIN(C924:F924),"dd mmm yyyy")))))</x:f>
      </x:c>
      <x:c r="I924" s="52"/>
      <x:c r="J924" t="str">
        <x:f>IF(AND(A924&lt;&gt;"",COUNTIFS(C924,"&gt;=36526",C924,"&lt;"&amp;TODAY())+COUNTIFS(D924,"&gt;=36526",D924,"&lt;"&amp;TODAY())+COUNTIFS(E924,"&gt;=36526",E924,"&lt;"&amp;TODAY())+COUNTIFS(F924,"&gt;=36526",F924,"&lt;"&amp;TODAY())&gt;0),O924,"")</x:f>
      </x:c>
      <x:c r="K924" t="str">
        <x:f>IF(AND(A924&lt;&gt;"",COUNTIFS(C924,"&gt;=36526",C924,TODAY())+COUNTIFS(D924,"&gt;=36526",D924,TODAY())+COUNTIFS(E924,"&gt;=36526",E924,TODAY())+COUNTIFS(F924,"&gt;=36526",F924,TODAY())&gt;0),P924,"")</x:f>
      </x:c>
      <x:c r="L924" t="str">
        <x:f>IF(AND(A924&lt;&gt;"",COUNTIFS(C924,"&gt;"&amp;TODAY(),C924,"&lt;="&amp;TODAY()+30)+COUNTIFS(D924,"&gt;"&amp;TODAY(),D924,"&lt;="&amp;TODAY()+30)+COUNTIFS(E924,"&gt;"&amp;TODAY(),E924,"&lt;="&amp;TODAY()+30)+COUNTIFS(F924,"&gt;"&amp;TODAY(),F924,"&lt;="&amp;TODAY()+30)&gt;0),Q924,"")</x:f>
      </x:c>
      <x:c r="M924" t="str">
        <x:f>IF(OR(LEFT(H924,15)="Missing dates; ",LEFT(H924,16)="Add N/A reason; ",H924="Add dates",H924="Add registration",H924="Check date format"),R924,"")</x:f>
      </x:c>
      <x:c r="N924" t="str">
        <x:f>IF(COUNTIFS(C924:F924,"Reviewed N/A")&gt;0,S924,"")</x:f>
      </x:c>
      <x:c r="O924" t="n">
        <x:f>O923+IF(AND(A924&lt;&gt;"",COUNTIFS(C924,"&gt;=36526",C924,"&lt;"&amp;TODAY())+COUNTIFS(D924,"&gt;=36526",D924,"&lt;"&amp;TODAY())+COUNTIFS(E924,"&gt;=36526",E924,"&lt;"&amp;TODAY())+COUNTIFS(F924,"&gt;=36526",F924,"&lt;"&amp;TODAY())&gt;0),1,0)</x:f>
        <x:v>0</x:v>
      </x:c>
      <x:c r="P924" t="n">
        <x:f>P923+IF(AND(A924&lt;&gt;"",COUNTIFS(C924,"&gt;=36526",C924,TODAY())+COUNTIFS(D924,"&gt;=36526",D924,TODAY())+COUNTIFS(E924,"&gt;=36526",E924,TODAY())+COUNTIFS(F924,"&gt;=36526",F924,TODAY())&gt;0),1,0)</x:f>
        <x:v>0</x:v>
      </x:c>
      <x:c r="Q924" t="n">
        <x:f>Q923+IF(AND(A924&lt;&gt;"",COUNTIFS(C924,"&gt;"&amp;TODAY(),C924,"&lt;="&amp;TODAY()+30)+COUNTIFS(D924,"&gt;"&amp;TODAY(),D924,"&lt;="&amp;TODAY()+30)+COUNTIFS(E924,"&gt;"&amp;TODAY(),E924,"&lt;="&amp;TODAY()+30)+COUNTIFS(F924,"&gt;"&amp;TODAY(),F924,"&lt;="&amp;TODAY()+30)&gt;0),1,0)</x:f>
        <x:v>0</x:v>
      </x:c>
      <x:c r="R924" t="n">
        <x:f>R923+IF(OR(LEFT(H924,15)="Missing dates; ",LEFT(H924,16)="Add N/A reason; ",H924="Add dates",H924="Add registration",H924="Check date format"),1,0)</x:f>
        <x:v>0</x:v>
      </x:c>
      <x:c r="S924" t="n">
        <x:f>S923+IF(COUNTIFS(C924:F924,"Reviewed N/A")&gt;0,1,0)</x:f>
        <x:v>0</x:v>
      </x:c>
    </x:row>
    <x:row r="925" ht="48" customHeight="1">
      <x:c r="A925" s="52"/>
      <x:c r="B925" s="52"/>
      <x:c r="C925" s="53"/>
      <x:c r="D925" s="53"/>
      <x:c r="E925" s="53"/>
      <x:c r="F925" s="53"/>
      <x:c r="G925" s="52"/>
      <x:c r="H925" s="21" t="str">
        <x:f>IF(COUNTA(A925:G925,I925)=0,"",IF(A925="","Add registration",IF(OR(COUNTA(C925:F925)&gt;COUNT(C925:F925)+COUNTIFS(C925:F925,"Reviewed N/A"),AND(COUNT(C925:F925)&gt;0,OR(MIN(C925:F925)&lt;36526,MAX(C925:F925)&gt;109574))),"Check date format",IF(AND(COUNTIFS(C925:F925,"Reviewed N/A")&gt;0,I925=""),"Add N/A reason; ","")&amp;IF(COUNT(C925:F925)=0,IF(COUNTIFS(C925:F925,"Reviewed N/A")=4,"No applicable dates recorded","Add dates"),IF(COUNT(C925:F925)+COUNTIFS(C925:F925,"Reviewed N/A")&lt;4,"Missing dates; ","")&amp;IF(MIN(C925:F925)&lt;TODAY(),"Overdue: ",IF(MIN(C925:F925)=TODAY(),"Due today: ",IF(MIN(C925:F925)&lt;=TODAY()+30,"Due within 30 days: ","Next: ")))&amp;INDEX($C$8:$F$8,1,MATCH(MIN(C925:F925),C925:F925,0))&amp;" "&amp;TEXT(MIN(C925:F925),"dd mmm yyyy")))))</x:f>
      </x:c>
      <x:c r="I925" s="52"/>
      <x:c r="J925" t="str">
        <x:f>IF(AND(A925&lt;&gt;"",COUNTIFS(C925,"&gt;=36526",C925,"&lt;"&amp;TODAY())+COUNTIFS(D925,"&gt;=36526",D925,"&lt;"&amp;TODAY())+COUNTIFS(E925,"&gt;=36526",E925,"&lt;"&amp;TODAY())+COUNTIFS(F925,"&gt;=36526",F925,"&lt;"&amp;TODAY())&gt;0),O925,"")</x:f>
      </x:c>
      <x:c r="K925" t="str">
        <x:f>IF(AND(A925&lt;&gt;"",COUNTIFS(C925,"&gt;=36526",C925,TODAY())+COUNTIFS(D925,"&gt;=36526",D925,TODAY())+COUNTIFS(E925,"&gt;=36526",E925,TODAY())+COUNTIFS(F925,"&gt;=36526",F925,TODAY())&gt;0),P925,"")</x:f>
      </x:c>
      <x:c r="L925" t="str">
        <x:f>IF(AND(A925&lt;&gt;"",COUNTIFS(C925,"&gt;"&amp;TODAY(),C925,"&lt;="&amp;TODAY()+30)+COUNTIFS(D925,"&gt;"&amp;TODAY(),D925,"&lt;="&amp;TODAY()+30)+COUNTIFS(E925,"&gt;"&amp;TODAY(),E925,"&lt;="&amp;TODAY()+30)+COUNTIFS(F925,"&gt;"&amp;TODAY(),F925,"&lt;="&amp;TODAY()+30)&gt;0),Q925,"")</x:f>
      </x:c>
      <x:c r="M925" t="str">
        <x:f>IF(OR(LEFT(H925,15)="Missing dates; ",LEFT(H925,16)="Add N/A reason; ",H925="Add dates",H925="Add registration",H925="Check date format"),R925,"")</x:f>
      </x:c>
      <x:c r="N925" t="str">
        <x:f>IF(COUNTIFS(C925:F925,"Reviewed N/A")&gt;0,S925,"")</x:f>
      </x:c>
      <x:c r="O925" t="n">
        <x:f>O924+IF(AND(A925&lt;&gt;"",COUNTIFS(C925,"&gt;=36526",C925,"&lt;"&amp;TODAY())+COUNTIFS(D925,"&gt;=36526",D925,"&lt;"&amp;TODAY())+COUNTIFS(E925,"&gt;=36526",E925,"&lt;"&amp;TODAY())+COUNTIFS(F925,"&gt;=36526",F925,"&lt;"&amp;TODAY())&gt;0),1,0)</x:f>
        <x:v>0</x:v>
      </x:c>
      <x:c r="P925" t="n">
        <x:f>P924+IF(AND(A925&lt;&gt;"",COUNTIFS(C925,"&gt;=36526",C925,TODAY())+COUNTIFS(D925,"&gt;=36526",D925,TODAY())+COUNTIFS(E925,"&gt;=36526",E925,TODAY())+COUNTIFS(F925,"&gt;=36526",F925,TODAY())&gt;0),1,0)</x:f>
        <x:v>0</x:v>
      </x:c>
      <x:c r="Q925" t="n">
        <x:f>Q924+IF(AND(A925&lt;&gt;"",COUNTIFS(C925,"&gt;"&amp;TODAY(),C925,"&lt;="&amp;TODAY()+30)+COUNTIFS(D925,"&gt;"&amp;TODAY(),D925,"&lt;="&amp;TODAY()+30)+COUNTIFS(E925,"&gt;"&amp;TODAY(),E925,"&lt;="&amp;TODAY()+30)+COUNTIFS(F925,"&gt;"&amp;TODAY(),F925,"&lt;="&amp;TODAY()+30)&gt;0),1,0)</x:f>
        <x:v>0</x:v>
      </x:c>
      <x:c r="R925" t="n">
        <x:f>R924+IF(OR(LEFT(H925,15)="Missing dates; ",LEFT(H925,16)="Add N/A reason; ",H925="Add dates",H925="Add registration",H925="Check date format"),1,0)</x:f>
        <x:v>0</x:v>
      </x:c>
      <x:c r="S925" t="n">
        <x:f>S924+IF(COUNTIFS(C925:F925,"Reviewed N/A")&gt;0,1,0)</x:f>
        <x:v>0</x:v>
      </x:c>
    </x:row>
    <x:row r="926" ht="48" customHeight="1">
      <x:c r="A926" s="52"/>
      <x:c r="B926" s="52"/>
      <x:c r="C926" s="53"/>
      <x:c r="D926" s="53"/>
      <x:c r="E926" s="53"/>
      <x:c r="F926" s="53"/>
      <x:c r="G926" s="52"/>
      <x:c r="H926" s="21" t="str">
        <x:f>IF(COUNTA(A926:G926,I926)=0,"",IF(A926="","Add registration",IF(OR(COUNTA(C926:F926)&gt;COUNT(C926:F926)+COUNTIFS(C926:F926,"Reviewed N/A"),AND(COUNT(C926:F926)&gt;0,OR(MIN(C926:F926)&lt;36526,MAX(C926:F926)&gt;109574))),"Check date format",IF(AND(COUNTIFS(C926:F926,"Reviewed N/A")&gt;0,I926=""),"Add N/A reason; ","")&amp;IF(COUNT(C926:F926)=0,IF(COUNTIFS(C926:F926,"Reviewed N/A")=4,"No applicable dates recorded","Add dates"),IF(COUNT(C926:F926)+COUNTIFS(C926:F926,"Reviewed N/A")&lt;4,"Missing dates; ","")&amp;IF(MIN(C926:F926)&lt;TODAY(),"Overdue: ",IF(MIN(C926:F926)=TODAY(),"Due today: ",IF(MIN(C926:F926)&lt;=TODAY()+30,"Due within 30 days: ","Next: ")))&amp;INDEX($C$8:$F$8,1,MATCH(MIN(C926:F926),C926:F926,0))&amp;" "&amp;TEXT(MIN(C926:F926),"dd mmm yyyy")))))</x:f>
      </x:c>
      <x:c r="I926" s="52"/>
      <x:c r="J926" t="str">
        <x:f>IF(AND(A926&lt;&gt;"",COUNTIFS(C926,"&gt;=36526",C926,"&lt;"&amp;TODAY())+COUNTIFS(D926,"&gt;=36526",D926,"&lt;"&amp;TODAY())+COUNTIFS(E926,"&gt;=36526",E926,"&lt;"&amp;TODAY())+COUNTIFS(F926,"&gt;=36526",F926,"&lt;"&amp;TODAY())&gt;0),O926,"")</x:f>
      </x:c>
      <x:c r="K926" t="str">
        <x:f>IF(AND(A926&lt;&gt;"",COUNTIFS(C926,"&gt;=36526",C926,TODAY())+COUNTIFS(D926,"&gt;=36526",D926,TODAY())+COUNTIFS(E926,"&gt;=36526",E926,TODAY())+COUNTIFS(F926,"&gt;=36526",F926,TODAY())&gt;0),P926,"")</x:f>
      </x:c>
      <x:c r="L926" t="str">
        <x:f>IF(AND(A926&lt;&gt;"",COUNTIFS(C926,"&gt;"&amp;TODAY(),C926,"&lt;="&amp;TODAY()+30)+COUNTIFS(D926,"&gt;"&amp;TODAY(),D926,"&lt;="&amp;TODAY()+30)+COUNTIFS(E926,"&gt;"&amp;TODAY(),E926,"&lt;="&amp;TODAY()+30)+COUNTIFS(F926,"&gt;"&amp;TODAY(),F926,"&lt;="&amp;TODAY()+30)&gt;0),Q926,"")</x:f>
      </x:c>
      <x:c r="M926" t="str">
        <x:f>IF(OR(LEFT(H926,15)="Missing dates; ",LEFT(H926,16)="Add N/A reason; ",H926="Add dates",H926="Add registration",H926="Check date format"),R926,"")</x:f>
      </x:c>
      <x:c r="N926" t="str">
        <x:f>IF(COUNTIFS(C926:F926,"Reviewed N/A")&gt;0,S926,"")</x:f>
      </x:c>
      <x:c r="O926" t="n">
        <x:f>O925+IF(AND(A926&lt;&gt;"",COUNTIFS(C926,"&gt;=36526",C926,"&lt;"&amp;TODAY())+COUNTIFS(D926,"&gt;=36526",D926,"&lt;"&amp;TODAY())+COUNTIFS(E926,"&gt;=36526",E926,"&lt;"&amp;TODAY())+COUNTIFS(F926,"&gt;=36526",F926,"&lt;"&amp;TODAY())&gt;0),1,0)</x:f>
        <x:v>0</x:v>
      </x:c>
      <x:c r="P926" t="n">
        <x:f>P925+IF(AND(A926&lt;&gt;"",COUNTIFS(C926,"&gt;=36526",C926,TODAY())+COUNTIFS(D926,"&gt;=36526",D926,TODAY())+COUNTIFS(E926,"&gt;=36526",E926,TODAY())+COUNTIFS(F926,"&gt;=36526",F926,TODAY())&gt;0),1,0)</x:f>
        <x:v>0</x:v>
      </x:c>
      <x:c r="Q926" t="n">
        <x:f>Q925+IF(AND(A926&lt;&gt;"",COUNTIFS(C926,"&gt;"&amp;TODAY(),C926,"&lt;="&amp;TODAY()+30)+COUNTIFS(D926,"&gt;"&amp;TODAY(),D926,"&lt;="&amp;TODAY()+30)+COUNTIFS(E926,"&gt;"&amp;TODAY(),E926,"&lt;="&amp;TODAY()+30)+COUNTIFS(F926,"&gt;"&amp;TODAY(),F926,"&lt;="&amp;TODAY()+30)&gt;0),1,0)</x:f>
        <x:v>0</x:v>
      </x:c>
      <x:c r="R926" t="n">
        <x:f>R925+IF(OR(LEFT(H926,15)="Missing dates; ",LEFT(H926,16)="Add N/A reason; ",H926="Add dates",H926="Add registration",H926="Check date format"),1,0)</x:f>
        <x:v>0</x:v>
      </x:c>
      <x:c r="S926" t="n">
        <x:f>S925+IF(COUNTIFS(C926:F926,"Reviewed N/A")&gt;0,1,0)</x:f>
        <x:v>0</x:v>
      </x:c>
    </x:row>
    <x:row r="927" ht="48" customHeight="1">
      <x:c r="A927" s="52"/>
      <x:c r="B927" s="52"/>
      <x:c r="C927" s="53"/>
      <x:c r="D927" s="53"/>
      <x:c r="E927" s="53"/>
      <x:c r="F927" s="53"/>
      <x:c r="G927" s="52"/>
      <x:c r="H927" s="21" t="str">
        <x:f>IF(COUNTA(A927:G927,I927)=0,"",IF(A927="","Add registration",IF(OR(COUNTA(C927:F927)&gt;COUNT(C927:F927)+COUNTIFS(C927:F927,"Reviewed N/A"),AND(COUNT(C927:F927)&gt;0,OR(MIN(C927:F927)&lt;36526,MAX(C927:F927)&gt;109574))),"Check date format",IF(AND(COUNTIFS(C927:F927,"Reviewed N/A")&gt;0,I927=""),"Add N/A reason; ","")&amp;IF(COUNT(C927:F927)=0,IF(COUNTIFS(C927:F927,"Reviewed N/A")=4,"No applicable dates recorded","Add dates"),IF(COUNT(C927:F927)+COUNTIFS(C927:F927,"Reviewed N/A")&lt;4,"Missing dates; ","")&amp;IF(MIN(C927:F927)&lt;TODAY(),"Overdue: ",IF(MIN(C927:F927)=TODAY(),"Due today: ",IF(MIN(C927:F927)&lt;=TODAY()+30,"Due within 30 days: ","Next: ")))&amp;INDEX($C$8:$F$8,1,MATCH(MIN(C927:F927),C927:F927,0))&amp;" "&amp;TEXT(MIN(C927:F927),"dd mmm yyyy")))))</x:f>
      </x:c>
      <x:c r="I927" s="52"/>
      <x:c r="J927" t="str">
        <x:f>IF(AND(A927&lt;&gt;"",COUNTIFS(C927,"&gt;=36526",C927,"&lt;"&amp;TODAY())+COUNTIFS(D927,"&gt;=36526",D927,"&lt;"&amp;TODAY())+COUNTIFS(E927,"&gt;=36526",E927,"&lt;"&amp;TODAY())+COUNTIFS(F927,"&gt;=36526",F927,"&lt;"&amp;TODAY())&gt;0),O927,"")</x:f>
      </x:c>
      <x:c r="K927" t="str">
        <x:f>IF(AND(A927&lt;&gt;"",COUNTIFS(C927,"&gt;=36526",C927,TODAY())+COUNTIFS(D927,"&gt;=36526",D927,TODAY())+COUNTIFS(E927,"&gt;=36526",E927,TODAY())+COUNTIFS(F927,"&gt;=36526",F927,TODAY())&gt;0),P927,"")</x:f>
      </x:c>
      <x:c r="L927" t="str">
        <x:f>IF(AND(A927&lt;&gt;"",COUNTIFS(C927,"&gt;"&amp;TODAY(),C927,"&lt;="&amp;TODAY()+30)+COUNTIFS(D927,"&gt;"&amp;TODAY(),D927,"&lt;="&amp;TODAY()+30)+COUNTIFS(E927,"&gt;"&amp;TODAY(),E927,"&lt;="&amp;TODAY()+30)+COUNTIFS(F927,"&gt;"&amp;TODAY(),F927,"&lt;="&amp;TODAY()+30)&gt;0),Q927,"")</x:f>
      </x:c>
      <x:c r="M927" t="str">
        <x:f>IF(OR(LEFT(H927,15)="Missing dates; ",LEFT(H927,16)="Add N/A reason; ",H927="Add dates",H927="Add registration",H927="Check date format"),R927,"")</x:f>
      </x:c>
      <x:c r="N927" t="str">
        <x:f>IF(COUNTIFS(C927:F927,"Reviewed N/A")&gt;0,S927,"")</x:f>
      </x:c>
      <x:c r="O927" t="n">
        <x:f>O926+IF(AND(A927&lt;&gt;"",COUNTIFS(C927,"&gt;=36526",C927,"&lt;"&amp;TODAY())+COUNTIFS(D927,"&gt;=36526",D927,"&lt;"&amp;TODAY())+COUNTIFS(E927,"&gt;=36526",E927,"&lt;"&amp;TODAY())+COUNTIFS(F927,"&gt;=36526",F927,"&lt;"&amp;TODAY())&gt;0),1,0)</x:f>
        <x:v>0</x:v>
      </x:c>
      <x:c r="P927" t="n">
        <x:f>P926+IF(AND(A927&lt;&gt;"",COUNTIFS(C927,"&gt;=36526",C927,TODAY())+COUNTIFS(D927,"&gt;=36526",D927,TODAY())+COUNTIFS(E927,"&gt;=36526",E927,TODAY())+COUNTIFS(F927,"&gt;=36526",F927,TODAY())&gt;0),1,0)</x:f>
        <x:v>0</x:v>
      </x:c>
      <x:c r="Q927" t="n">
        <x:f>Q926+IF(AND(A927&lt;&gt;"",COUNTIFS(C927,"&gt;"&amp;TODAY(),C927,"&lt;="&amp;TODAY()+30)+COUNTIFS(D927,"&gt;"&amp;TODAY(),D927,"&lt;="&amp;TODAY()+30)+COUNTIFS(E927,"&gt;"&amp;TODAY(),E927,"&lt;="&amp;TODAY()+30)+COUNTIFS(F927,"&gt;"&amp;TODAY(),F927,"&lt;="&amp;TODAY()+30)&gt;0),1,0)</x:f>
        <x:v>0</x:v>
      </x:c>
      <x:c r="R927" t="n">
        <x:f>R926+IF(OR(LEFT(H927,15)="Missing dates; ",LEFT(H927,16)="Add N/A reason; ",H927="Add dates",H927="Add registration",H927="Check date format"),1,0)</x:f>
        <x:v>0</x:v>
      </x:c>
      <x:c r="S927" t="n">
        <x:f>S926+IF(COUNTIFS(C927:F927,"Reviewed N/A")&gt;0,1,0)</x:f>
        <x:v>0</x:v>
      </x:c>
    </x:row>
    <x:row r="928" ht="48" customHeight="1">
      <x:c r="A928" s="52"/>
      <x:c r="B928" s="52"/>
      <x:c r="C928" s="53"/>
      <x:c r="D928" s="53"/>
      <x:c r="E928" s="53"/>
      <x:c r="F928" s="53"/>
      <x:c r="G928" s="52"/>
      <x:c r="H928" s="21" t="str">
        <x:f>IF(COUNTA(A928:G928,I928)=0,"",IF(A928="","Add registration",IF(OR(COUNTA(C928:F928)&gt;COUNT(C928:F928)+COUNTIFS(C928:F928,"Reviewed N/A"),AND(COUNT(C928:F928)&gt;0,OR(MIN(C928:F928)&lt;36526,MAX(C928:F928)&gt;109574))),"Check date format",IF(AND(COUNTIFS(C928:F928,"Reviewed N/A")&gt;0,I928=""),"Add N/A reason; ","")&amp;IF(COUNT(C928:F928)=0,IF(COUNTIFS(C928:F928,"Reviewed N/A")=4,"No applicable dates recorded","Add dates"),IF(COUNT(C928:F928)+COUNTIFS(C928:F928,"Reviewed N/A")&lt;4,"Missing dates; ","")&amp;IF(MIN(C928:F928)&lt;TODAY(),"Overdue: ",IF(MIN(C928:F928)=TODAY(),"Due today: ",IF(MIN(C928:F928)&lt;=TODAY()+30,"Due within 30 days: ","Next: ")))&amp;INDEX($C$8:$F$8,1,MATCH(MIN(C928:F928),C928:F928,0))&amp;" "&amp;TEXT(MIN(C928:F928),"dd mmm yyyy")))))</x:f>
      </x:c>
      <x:c r="I928" s="52"/>
      <x:c r="J928" t="str">
        <x:f>IF(AND(A928&lt;&gt;"",COUNTIFS(C928,"&gt;=36526",C928,"&lt;"&amp;TODAY())+COUNTIFS(D928,"&gt;=36526",D928,"&lt;"&amp;TODAY())+COUNTIFS(E928,"&gt;=36526",E928,"&lt;"&amp;TODAY())+COUNTIFS(F928,"&gt;=36526",F928,"&lt;"&amp;TODAY())&gt;0),O928,"")</x:f>
      </x:c>
      <x:c r="K928" t="str">
        <x:f>IF(AND(A928&lt;&gt;"",COUNTIFS(C928,"&gt;=36526",C928,TODAY())+COUNTIFS(D928,"&gt;=36526",D928,TODAY())+COUNTIFS(E928,"&gt;=36526",E928,TODAY())+COUNTIFS(F928,"&gt;=36526",F928,TODAY())&gt;0),P928,"")</x:f>
      </x:c>
      <x:c r="L928" t="str">
        <x:f>IF(AND(A928&lt;&gt;"",COUNTIFS(C928,"&gt;"&amp;TODAY(),C928,"&lt;="&amp;TODAY()+30)+COUNTIFS(D928,"&gt;"&amp;TODAY(),D928,"&lt;="&amp;TODAY()+30)+COUNTIFS(E928,"&gt;"&amp;TODAY(),E928,"&lt;="&amp;TODAY()+30)+COUNTIFS(F928,"&gt;"&amp;TODAY(),F928,"&lt;="&amp;TODAY()+30)&gt;0),Q928,"")</x:f>
      </x:c>
      <x:c r="M928" t="str">
        <x:f>IF(OR(LEFT(H928,15)="Missing dates; ",LEFT(H928,16)="Add N/A reason; ",H928="Add dates",H928="Add registration",H928="Check date format"),R928,"")</x:f>
      </x:c>
      <x:c r="N928" t="str">
        <x:f>IF(COUNTIFS(C928:F928,"Reviewed N/A")&gt;0,S928,"")</x:f>
      </x:c>
      <x:c r="O928" t="n">
        <x:f>O927+IF(AND(A928&lt;&gt;"",COUNTIFS(C928,"&gt;=36526",C928,"&lt;"&amp;TODAY())+COUNTIFS(D928,"&gt;=36526",D928,"&lt;"&amp;TODAY())+COUNTIFS(E928,"&gt;=36526",E928,"&lt;"&amp;TODAY())+COUNTIFS(F928,"&gt;=36526",F928,"&lt;"&amp;TODAY())&gt;0),1,0)</x:f>
        <x:v>0</x:v>
      </x:c>
      <x:c r="P928" t="n">
        <x:f>P927+IF(AND(A928&lt;&gt;"",COUNTIFS(C928,"&gt;=36526",C928,TODAY())+COUNTIFS(D928,"&gt;=36526",D928,TODAY())+COUNTIFS(E928,"&gt;=36526",E928,TODAY())+COUNTIFS(F928,"&gt;=36526",F928,TODAY())&gt;0),1,0)</x:f>
        <x:v>0</x:v>
      </x:c>
      <x:c r="Q928" t="n">
        <x:f>Q927+IF(AND(A928&lt;&gt;"",COUNTIFS(C928,"&gt;"&amp;TODAY(),C928,"&lt;="&amp;TODAY()+30)+COUNTIFS(D928,"&gt;"&amp;TODAY(),D928,"&lt;="&amp;TODAY()+30)+COUNTIFS(E928,"&gt;"&amp;TODAY(),E928,"&lt;="&amp;TODAY()+30)+COUNTIFS(F928,"&gt;"&amp;TODAY(),F928,"&lt;="&amp;TODAY()+30)&gt;0),1,0)</x:f>
        <x:v>0</x:v>
      </x:c>
      <x:c r="R928" t="n">
        <x:f>R927+IF(OR(LEFT(H928,15)="Missing dates; ",LEFT(H928,16)="Add N/A reason; ",H928="Add dates",H928="Add registration",H928="Check date format"),1,0)</x:f>
        <x:v>0</x:v>
      </x:c>
      <x:c r="S928" t="n">
        <x:f>S927+IF(COUNTIFS(C928:F928,"Reviewed N/A")&gt;0,1,0)</x:f>
        <x:v>0</x:v>
      </x:c>
    </x:row>
    <x:row r="929" ht="48" customHeight="1">
      <x:c r="A929" s="52"/>
      <x:c r="B929" s="52"/>
      <x:c r="C929" s="53"/>
      <x:c r="D929" s="53"/>
      <x:c r="E929" s="53"/>
      <x:c r="F929" s="53"/>
      <x:c r="G929" s="52"/>
      <x:c r="H929" s="21" t="str">
        <x:f>IF(COUNTA(A929:G929,I929)=0,"",IF(A929="","Add registration",IF(OR(COUNTA(C929:F929)&gt;COUNT(C929:F929)+COUNTIFS(C929:F929,"Reviewed N/A"),AND(COUNT(C929:F929)&gt;0,OR(MIN(C929:F929)&lt;36526,MAX(C929:F929)&gt;109574))),"Check date format",IF(AND(COUNTIFS(C929:F929,"Reviewed N/A")&gt;0,I929=""),"Add N/A reason; ","")&amp;IF(COUNT(C929:F929)=0,IF(COUNTIFS(C929:F929,"Reviewed N/A")=4,"No applicable dates recorded","Add dates"),IF(COUNT(C929:F929)+COUNTIFS(C929:F929,"Reviewed N/A")&lt;4,"Missing dates; ","")&amp;IF(MIN(C929:F929)&lt;TODAY(),"Overdue: ",IF(MIN(C929:F929)=TODAY(),"Due today: ",IF(MIN(C929:F929)&lt;=TODAY()+30,"Due within 30 days: ","Next: ")))&amp;INDEX($C$8:$F$8,1,MATCH(MIN(C929:F929),C929:F929,0))&amp;" "&amp;TEXT(MIN(C929:F929),"dd mmm yyyy")))))</x:f>
      </x:c>
      <x:c r="I929" s="52"/>
      <x:c r="J929" t="str">
        <x:f>IF(AND(A929&lt;&gt;"",COUNTIFS(C929,"&gt;=36526",C929,"&lt;"&amp;TODAY())+COUNTIFS(D929,"&gt;=36526",D929,"&lt;"&amp;TODAY())+COUNTIFS(E929,"&gt;=36526",E929,"&lt;"&amp;TODAY())+COUNTIFS(F929,"&gt;=36526",F929,"&lt;"&amp;TODAY())&gt;0),O929,"")</x:f>
      </x:c>
      <x:c r="K929" t="str">
        <x:f>IF(AND(A929&lt;&gt;"",COUNTIFS(C929,"&gt;=36526",C929,TODAY())+COUNTIFS(D929,"&gt;=36526",D929,TODAY())+COUNTIFS(E929,"&gt;=36526",E929,TODAY())+COUNTIFS(F929,"&gt;=36526",F929,TODAY())&gt;0),P929,"")</x:f>
      </x:c>
      <x:c r="L929" t="str">
        <x:f>IF(AND(A929&lt;&gt;"",COUNTIFS(C929,"&gt;"&amp;TODAY(),C929,"&lt;="&amp;TODAY()+30)+COUNTIFS(D929,"&gt;"&amp;TODAY(),D929,"&lt;="&amp;TODAY()+30)+COUNTIFS(E929,"&gt;"&amp;TODAY(),E929,"&lt;="&amp;TODAY()+30)+COUNTIFS(F929,"&gt;"&amp;TODAY(),F929,"&lt;="&amp;TODAY()+30)&gt;0),Q929,"")</x:f>
      </x:c>
      <x:c r="M929" t="str">
        <x:f>IF(OR(LEFT(H929,15)="Missing dates; ",LEFT(H929,16)="Add N/A reason; ",H929="Add dates",H929="Add registration",H929="Check date format"),R929,"")</x:f>
      </x:c>
      <x:c r="N929" t="str">
        <x:f>IF(COUNTIFS(C929:F929,"Reviewed N/A")&gt;0,S929,"")</x:f>
      </x:c>
      <x:c r="O929" t="n">
        <x:f>O928+IF(AND(A929&lt;&gt;"",COUNTIFS(C929,"&gt;=36526",C929,"&lt;"&amp;TODAY())+COUNTIFS(D929,"&gt;=36526",D929,"&lt;"&amp;TODAY())+COUNTIFS(E929,"&gt;=36526",E929,"&lt;"&amp;TODAY())+COUNTIFS(F929,"&gt;=36526",F929,"&lt;"&amp;TODAY())&gt;0),1,0)</x:f>
        <x:v>0</x:v>
      </x:c>
      <x:c r="P929" t="n">
        <x:f>P928+IF(AND(A929&lt;&gt;"",COUNTIFS(C929,"&gt;=36526",C929,TODAY())+COUNTIFS(D929,"&gt;=36526",D929,TODAY())+COUNTIFS(E929,"&gt;=36526",E929,TODAY())+COUNTIFS(F929,"&gt;=36526",F929,TODAY())&gt;0),1,0)</x:f>
        <x:v>0</x:v>
      </x:c>
      <x:c r="Q929" t="n">
        <x:f>Q928+IF(AND(A929&lt;&gt;"",COUNTIFS(C929,"&gt;"&amp;TODAY(),C929,"&lt;="&amp;TODAY()+30)+COUNTIFS(D929,"&gt;"&amp;TODAY(),D929,"&lt;="&amp;TODAY()+30)+COUNTIFS(E929,"&gt;"&amp;TODAY(),E929,"&lt;="&amp;TODAY()+30)+COUNTIFS(F929,"&gt;"&amp;TODAY(),F929,"&lt;="&amp;TODAY()+30)&gt;0),1,0)</x:f>
        <x:v>0</x:v>
      </x:c>
      <x:c r="R929" t="n">
        <x:f>R928+IF(OR(LEFT(H929,15)="Missing dates; ",LEFT(H929,16)="Add N/A reason; ",H929="Add dates",H929="Add registration",H929="Check date format"),1,0)</x:f>
        <x:v>0</x:v>
      </x:c>
      <x:c r="S929" t="n">
        <x:f>S928+IF(COUNTIFS(C929:F929,"Reviewed N/A")&gt;0,1,0)</x:f>
        <x:v>0</x:v>
      </x:c>
    </x:row>
    <x:row r="930" ht="48" customHeight="1">
      <x:c r="A930" s="52"/>
      <x:c r="B930" s="52"/>
      <x:c r="C930" s="53"/>
      <x:c r="D930" s="53"/>
      <x:c r="E930" s="53"/>
      <x:c r="F930" s="53"/>
      <x:c r="G930" s="52"/>
      <x:c r="H930" s="21" t="str">
        <x:f>IF(COUNTA(A930:G930,I930)=0,"",IF(A930="","Add registration",IF(OR(COUNTA(C930:F930)&gt;COUNT(C930:F930)+COUNTIFS(C930:F930,"Reviewed N/A"),AND(COUNT(C930:F930)&gt;0,OR(MIN(C930:F930)&lt;36526,MAX(C930:F930)&gt;109574))),"Check date format",IF(AND(COUNTIFS(C930:F930,"Reviewed N/A")&gt;0,I930=""),"Add N/A reason; ","")&amp;IF(COUNT(C930:F930)=0,IF(COUNTIFS(C930:F930,"Reviewed N/A")=4,"No applicable dates recorded","Add dates"),IF(COUNT(C930:F930)+COUNTIFS(C930:F930,"Reviewed N/A")&lt;4,"Missing dates; ","")&amp;IF(MIN(C930:F930)&lt;TODAY(),"Overdue: ",IF(MIN(C930:F930)=TODAY(),"Due today: ",IF(MIN(C930:F930)&lt;=TODAY()+30,"Due within 30 days: ","Next: ")))&amp;INDEX($C$8:$F$8,1,MATCH(MIN(C930:F930),C930:F930,0))&amp;" "&amp;TEXT(MIN(C930:F930),"dd mmm yyyy")))))</x:f>
      </x:c>
      <x:c r="I930" s="52"/>
      <x:c r="J930" t="str">
        <x:f>IF(AND(A930&lt;&gt;"",COUNTIFS(C930,"&gt;=36526",C930,"&lt;"&amp;TODAY())+COUNTIFS(D930,"&gt;=36526",D930,"&lt;"&amp;TODAY())+COUNTIFS(E930,"&gt;=36526",E930,"&lt;"&amp;TODAY())+COUNTIFS(F930,"&gt;=36526",F930,"&lt;"&amp;TODAY())&gt;0),O930,"")</x:f>
      </x:c>
      <x:c r="K930" t="str">
        <x:f>IF(AND(A930&lt;&gt;"",COUNTIFS(C930,"&gt;=36526",C930,TODAY())+COUNTIFS(D930,"&gt;=36526",D930,TODAY())+COUNTIFS(E930,"&gt;=36526",E930,TODAY())+COUNTIFS(F930,"&gt;=36526",F930,TODAY())&gt;0),P930,"")</x:f>
      </x:c>
      <x:c r="L930" t="str">
        <x:f>IF(AND(A930&lt;&gt;"",COUNTIFS(C930,"&gt;"&amp;TODAY(),C930,"&lt;="&amp;TODAY()+30)+COUNTIFS(D930,"&gt;"&amp;TODAY(),D930,"&lt;="&amp;TODAY()+30)+COUNTIFS(E930,"&gt;"&amp;TODAY(),E930,"&lt;="&amp;TODAY()+30)+COUNTIFS(F930,"&gt;"&amp;TODAY(),F930,"&lt;="&amp;TODAY()+30)&gt;0),Q930,"")</x:f>
      </x:c>
      <x:c r="M930" t="str">
        <x:f>IF(OR(LEFT(H930,15)="Missing dates; ",LEFT(H930,16)="Add N/A reason; ",H930="Add dates",H930="Add registration",H930="Check date format"),R930,"")</x:f>
      </x:c>
      <x:c r="N930" t="str">
        <x:f>IF(COUNTIFS(C930:F930,"Reviewed N/A")&gt;0,S930,"")</x:f>
      </x:c>
      <x:c r="O930" t="n">
        <x:f>O929+IF(AND(A930&lt;&gt;"",COUNTIFS(C930,"&gt;=36526",C930,"&lt;"&amp;TODAY())+COUNTIFS(D930,"&gt;=36526",D930,"&lt;"&amp;TODAY())+COUNTIFS(E930,"&gt;=36526",E930,"&lt;"&amp;TODAY())+COUNTIFS(F930,"&gt;=36526",F930,"&lt;"&amp;TODAY())&gt;0),1,0)</x:f>
        <x:v>0</x:v>
      </x:c>
      <x:c r="P930" t="n">
        <x:f>P929+IF(AND(A930&lt;&gt;"",COUNTIFS(C930,"&gt;=36526",C930,TODAY())+COUNTIFS(D930,"&gt;=36526",D930,TODAY())+COUNTIFS(E930,"&gt;=36526",E930,TODAY())+COUNTIFS(F930,"&gt;=36526",F930,TODAY())&gt;0),1,0)</x:f>
        <x:v>0</x:v>
      </x:c>
      <x:c r="Q930" t="n">
        <x:f>Q929+IF(AND(A930&lt;&gt;"",COUNTIFS(C930,"&gt;"&amp;TODAY(),C930,"&lt;="&amp;TODAY()+30)+COUNTIFS(D930,"&gt;"&amp;TODAY(),D930,"&lt;="&amp;TODAY()+30)+COUNTIFS(E930,"&gt;"&amp;TODAY(),E930,"&lt;="&amp;TODAY()+30)+COUNTIFS(F930,"&gt;"&amp;TODAY(),F930,"&lt;="&amp;TODAY()+30)&gt;0),1,0)</x:f>
        <x:v>0</x:v>
      </x:c>
      <x:c r="R930" t="n">
        <x:f>R929+IF(OR(LEFT(H930,15)="Missing dates; ",LEFT(H930,16)="Add N/A reason; ",H930="Add dates",H930="Add registration",H930="Check date format"),1,0)</x:f>
        <x:v>0</x:v>
      </x:c>
      <x:c r="S930" t="n">
        <x:f>S929+IF(COUNTIFS(C930:F930,"Reviewed N/A")&gt;0,1,0)</x:f>
        <x:v>0</x:v>
      </x:c>
    </x:row>
    <x:row r="931" ht="48" customHeight="1">
      <x:c r="A931" s="52"/>
      <x:c r="B931" s="52"/>
      <x:c r="C931" s="53"/>
      <x:c r="D931" s="53"/>
      <x:c r="E931" s="53"/>
      <x:c r="F931" s="53"/>
      <x:c r="G931" s="52"/>
      <x:c r="H931" s="21" t="str">
        <x:f>IF(COUNTA(A931:G931,I931)=0,"",IF(A931="","Add registration",IF(OR(COUNTA(C931:F931)&gt;COUNT(C931:F931)+COUNTIFS(C931:F931,"Reviewed N/A"),AND(COUNT(C931:F931)&gt;0,OR(MIN(C931:F931)&lt;36526,MAX(C931:F931)&gt;109574))),"Check date format",IF(AND(COUNTIFS(C931:F931,"Reviewed N/A")&gt;0,I931=""),"Add N/A reason; ","")&amp;IF(COUNT(C931:F931)=0,IF(COUNTIFS(C931:F931,"Reviewed N/A")=4,"No applicable dates recorded","Add dates"),IF(COUNT(C931:F931)+COUNTIFS(C931:F931,"Reviewed N/A")&lt;4,"Missing dates; ","")&amp;IF(MIN(C931:F931)&lt;TODAY(),"Overdue: ",IF(MIN(C931:F931)=TODAY(),"Due today: ",IF(MIN(C931:F931)&lt;=TODAY()+30,"Due within 30 days: ","Next: ")))&amp;INDEX($C$8:$F$8,1,MATCH(MIN(C931:F931),C931:F931,0))&amp;" "&amp;TEXT(MIN(C931:F931),"dd mmm yyyy")))))</x:f>
      </x:c>
      <x:c r="I931" s="52"/>
      <x:c r="J931" t="str">
        <x:f>IF(AND(A931&lt;&gt;"",COUNTIFS(C931,"&gt;=36526",C931,"&lt;"&amp;TODAY())+COUNTIFS(D931,"&gt;=36526",D931,"&lt;"&amp;TODAY())+COUNTIFS(E931,"&gt;=36526",E931,"&lt;"&amp;TODAY())+COUNTIFS(F931,"&gt;=36526",F931,"&lt;"&amp;TODAY())&gt;0),O931,"")</x:f>
      </x:c>
      <x:c r="K931" t="str">
        <x:f>IF(AND(A931&lt;&gt;"",COUNTIFS(C931,"&gt;=36526",C931,TODAY())+COUNTIFS(D931,"&gt;=36526",D931,TODAY())+COUNTIFS(E931,"&gt;=36526",E931,TODAY())+COUNTIFS(F931,"&gt;=36526",F931,TODAY())&gt;0),P931,"")</x:f>
      </x:c>
      <x:c r="L931" t="str">
        <x:f>IF(AND(A931&lt;&gt;"",COUNTIFS(C931,"&gt;"&amp;TODAY(),C931,"&lt;="&amp;TODAY()+30)+COUNTIFS(D931,"&gt;"&amp;TODAY(),D931,"&lt;="&amp;TODAY()+30)+COUNTIFS(E931,"&gt;"&amp;TODAY(),E931,"&lt;="&amp;TODAY()+30)+COUNTIFS(F931,"&gt;"&amp;TODAY(),F931,"&lt;="&amp;TODAY()+30)&gt;0),Q931,"")</x:f>
      </x:c>
      <x:c r="M931" t="str">
        <x:f>IF(OR(LEFT(H931,15)="Missing dates; ",LEFT(H931,16)="Add N/A reason; ",H931="Add dates",H931="Add registration",H931="Check date format"),R931,"")</x:f>
      </x:c>
      <x:c r="N931" t="str">
        <x:f>IF(COUNTIFS(C931:F931,"Reviewed N/A")&gt;0,S931,"")</x:f>
      </x:c>
      <x:c r="O931" t="n">
        <x:f>O930+IF(AND(A931&lt;&gt;"",COUNTIFS(C931,"&gt;=36526",C931,"&lt;"&amp;TODAY())+COUNTIFS(D931,"&gt;=36526",D931,"&lt;"&amp;TODAY())+COUNTIFS(E931,"&gt;=36526",E931,"&lt;"&amp;TODAY())+COUNTIFS(F931,"&gt;=36526",F931,"&lt;"&amp;TODAY())&gt;0),1,0)</x:f>
        <x:v>0</x:v>
      </x:c>
      <x:c r="P931" t="n">
        <x:f>P930+IF(AND(A931&lt;&gt;"",COUNTIFS(C931,"&gt;=36526",C931,TODAY())+COUNTIFS(D931,"&gt;=36526",D931,TODAY())+COUNTIFS(E931,"&gt;=36526",E931,TODAY())+COUNTIFS(F931,"&gt;=36526",F931,TODAY())&gt;0),1,0)</x:f>
        <x:v>0</x:v>
      </x:c>
      <x:c r="Q931" t="n">
        <x:f>Q930+IF(AND(A931&lt;&gt;"",COUNTIFS(C931,"&gt;"&amp;TODAY(),C931,"&lt;="&amp;TODAY()+30)+COUNTIFS(D931,"&gt;"&amp;TODAY(),D931,"&lt;="&amp;TODAY()+30)+COUNTIFS(E931,"&gt;"&amp;TODAY(),E931,"&lt;="&amp;TODAY()+30)+COUNTIFS(F931,"&gt;"&amp;TODAY(),F931,"&lt;="&amp;TODAY()+30)&gt;0),1,0)</x:f>
        <x:v>0</x:v>
      </x:c>
      <x:c r="R931" t="n">
        <x:f>R930+IF(OR(LEFT(H931,15)="Missing dates; ",LEFT(H931,16)="Add N/A reason; ",H931="Add dates",H931="Add registration",H931="Check date format"),1,0)</x:f>
        <x:v>0</x:v>
      </x:c>
      <x:c r="S931" t="n">
        <x:f>S930+IF(COUNTIFS(C931:F931,"Reviewed N/A")&gt;0,1,0)</x:f>
        <x:v>0</x:v>
      </x:c>
    </x:row>
    <x:row r="932" ht="48" customHeight="1">
      <x:c r="A932" s="52"/>
      <x:c r="B932" s="52"/>
      <x:c r="C932" s="53"/>
      <x:c r="D932" s="53"/>
      <x:c r="E932" s="53"/>
      <x:c r="F932" s="53"/>
      <x:c r="G932" s="52"/>
      <x:c r="H932" s="21" t="str">
        <x:f>IF(COUNTA(A932:G932,I932)=0,"",IF(A932="","Add registration",IF(OR(COUNTA(C932:F932)&gt;COUNT(C932:F932)+COUNTIFS(C932:F932,"Reviewed N/A"),AND(COUNT(C932:F932)&gt;0,OR(MIN(C932:F932)&lt;36526,MAX(C932:F932)&gt;109574))),"Check date format",IF(AND(COUNTIFS(C932:F932,"Reviewed N/A")&gt;0,I932=""),"Add N/A reason; ","")&amp;IF(COUNT(C932:F932)=0,IF(COUNTIFS(C932:F932,"Reviewed N/A")=4,"No applicable dates recorded","Add dates"),IF(COUNT(C932:F932)+COUNTIFS(C932:F932,"Reviewed N/A")&lt;4,"Missing dates; ","")&amp;IF(MIN(C932:F932)&lt;TODAY(),"Overdue: ",IF(MIN(C932:F932)=TODAY(),"Due today: ",IF(MIN(C932:F932)&lt;=TODAY()+30,"Due within 30 days: ","Next: ")))&amp;INDEX($C$8:$F$8,1,MATCH(MIN(C932:F932),C932:F932,0))&amp;" "&amp;TEXT(MIN(C932:F932),"dd mmm yyyy")))))</x:f>
      </x:c>
      <x:c r="I932" s="52"/>
      <x:c r="J932" t="str">
        <x:f>IF(AND(A932&lt;&gt;"",COUNTIFS(C932,"&gt;=36526",C932,"&lt;"&amp;TODAY())+COUNTIFS(D932,"&gt;=36526",D932,"&lt;"&amp;TODAY())+COUNTIFS(E932,"&gt;=36526",E932,"&lt;"&amp;TODAY())+COUNTIFS(F932,"&gt;=36526",F932,"&lt;"&amp;TODAY())&gt;0),O932,"")</x:f>
      </x:c>
      <x:c r="K932" t="str">
        <x:f>IF(AND(A932&lt;&gt;"",COUNTIFS(C932,"&gt;=36526",C932,TODAY())+COUNTIFS(D932,"&gt;=36526",D932,TODAY())+COUNTIFS(E932,"&gt;=36526",E932,TODAY())+COUNTIFS(F932,"&gt;=36526",F932,TODAY())&gt;0),P932,"")</x:f>
      </x:c>
      <x:c r="L932" t="str">
        <x:f>IF(AND(A932&lt;&gt;"",COUNTIFS(C932,"&gt;"&amp;TODAY(),C932,"&lt;="&amp;TODAY()+30)+COUNTIFS(D932,"&gt;"&amp;TODAY(),D932,"&lt;="&amp;TODAY()+30)+COUNTIFS(E932,"&gt;"&amp;TODAY(),E932,"&lt;="&amp;TODAY()+30)+COUNTIFS(F932,"&gt;"&amp;TODAY(),F932,"&lt;="&amp;TODAY()+30)&gt;0),Q932,"")</x:f>
      </x:c>
      <x:c r="M932" t="str">
        <x:f>IF(OR(LEFT(H932,15)="Missing dates; ",LEFT(H932,16)="Add N/A reason; ",H932="Add dates",H932="Add registration",H932="Check date format"),R932,"")</x:f>
      </x:c>
      <x:c r="N932" t="str">
        <x:f>IF(COUNTIFS(C932:F932,"Reviewed N/A")&gt;0,S932,"")</x:f>
      </x:c>
      <x:c r="O932" t="n">
        <x:f>O931+IF(AND(A932&lt;&gt;"",COUNTIFS(C932,"&gt;=36526",C932,"&lt;"&amp;TODAY())+COUNTIFS(D932,"&gt;=36526",D932,"&lt;"&amp;TODAY())+COUNTIFS(E932,"&gt;=36526",E932,"&lt;"&amp;TODAY())+COUNTIFS(F932,"&gt;=36526",F932,"&lt;"&amp;TODAY())&gt;0),1,0)</x:f>
        <x:v>0</x:v>
      </x:c>
      <x:c r="P932" t="n">
        <x:f>P931+IF(AND(A932&lt;&gt;"",COUNTIFS(C932,"&gt;=36526",C932,TODAY())+COUNTIFS(D932,"&gt;=36526",D932,TODAY())+COUNTIFS(E932,"&gt;=36526",E932,TODAY())+COUNTIFS(F932,"&gt;=36526",F932,TODAY())&gt;0),1,0)</x:f>
        <x:v>0</x:v>
      </x:c>
      <x:c r="Q932" t="n">
        <x:f>Q931+IF(AND(A932&lt;&gt;"",COUNTIFS(C932,"&gt;"&amp;TODAY(),C932,"&lt;="&amp;TODAY()+30)+COUNTIFS(D932,"&gt;"&amp;TODAY(),D932,"&lt;="&amp;TODAY()+30)+COUNTIFS(E932,"&gt;"&amp;TODAY(),E932,"&lt;="&amp;TODAY()+30)+COUNTIFS(F932,"&gt;"&amp;TODAY(),F932,"&lt;="&amp;TODAY()+30)&gt;0),1,0)</x:f>
        <x:v>0</x:v>
      </x:c>
      <x:c r="R932" t="n">
        <x:f>R931+IF(OR(LEFT(H932,15)="Missing dates; ",LEFT(H932,16)="Add N/A reason; ",H932="Add dates",H932="Add registration",H932="Check date format"),1,0)</x:f>
        <x:v>0</x:v>
      </x:c>
      <x:c r="S932" t="n">
        <x:f>S931+IF(COUNTIFS(C932:F932,"Reviewed N/A")&gt;0,1,0)</x:f>
        <x:v>0</x:v>
      </x:c>
    </x:row>
    <x:row r="933" ht="48" customHeight="1">
      <x:c r="A933" s="52"/>
      <x:c r="B933" s="52"/>
      <x:c r="C933" s="53"/>
      <x:c r="D933" s="53"/>
      <x:c r="E933" s="53"/>
      <x:c r="F933" s="53"/>
      <x:c r="G933" s="52"/>
      <x:c r="H933" s="21" t="str">
        <x:f>IF(COUNTA(A933:G933,I933)=0,"",IF(A933="","Add registration",IF(OR(COUNTA(C933:F933)&gt;COUNT(C933:F933)+COUNTIFS(C933:F933,"Reviewed N/A"),AND(COUNT(C933:F933)&gt;0,OR(MIN(C933:F933)&lt;36526,MAX(C933:F933)&gt;109574))),"Check date format",IF(AND(COUNTIFS(C933:F933,"Reviewed N/A")&gt;0,I933=""),"Add N/A reason; ","")&amp;IF(COUNT(C933:F933)=0,IF(COUNTIFS(C933:F933,"Reviewed N/A")=4,"No applicable dates recorded","Add dates"),IF(COUNT(C933:F933)+COUNTIFS(C933:F933,"Reviewed N/A")&lt;4,"Missing dates; ","")&amp;IF(MIN(C933:F933)&lt;TODAY(),"Overdue: ",IF(MIN(C933:F933)=TODAY(),"Due today: ",IF(MIN(C933:F933)&lt;=TODAY()+30,"Due within 30 days: ","Next: ")))&amp;INDEX($C$8:$F$8,1,MATCH(MIN(C933:F933),C933:F933,0))&amp;" "&amp;TEXT(MIN(C933:F933),"dd mmm yyyy")))))</x:f>
      </x:c>
      <x:c r="I933" s="52"/>
      <x:c r="J933" t="str">
        <x:f>IF(AND(A933&lt;&gt;"",COUNTIFS(C933,"&gt;=36526",C933,"&lt;"&amp;TODAY())+COUNTIFS(D933,"&gt;=36526",D933,"&lt;"&amp;TODAY())+COUNTIFS(E933,"&gt;=36526",E933,"&lt;"&amp;TODAY())+COUNTIFS(F933,"&gt;=36526",F933,"&lt;"&amp;TODAY())&gt;0),O933,"")</x:f>
      </x:c>
      <x:c r="K933" t="str">
        <x:f>IF(AND(A933&lt;&gt;"",COUNTIFS(C933,"&gt;=36526",C933,TODAY())+COUNTIFS(D933,"&gt;=36526",D933,TODAY())+COUNTIFS(E933,"&gt;=36526",E933,TODAY())+COUNTIFS(F933,"&gt;=36526",F933,TODAY())&gt;0),P933,"")</x:f>
      </x:c>
      <x:c r="L933" t="str">
        <x:f>IF(AND(A933&lt;&gt;"",COUNTIFS(C933,"&gt;"&amp;TODAY(),C933,"&lt;="&amp;TODAY()+30)+COUNTIFS(D933,"&gt;"&amp;TODAY(),D933,"&lt;="&amp;TODAY()+30)+COUNTIFS(E933,"&gt;"&amp;TODAY(),E933,"&lt;="&amp;TODAY()+30)+COUNTIFS(F933,"&gt;"&amp;TODAY(),F933,"&lt;="&amp;TODAY()+30)&gt;0),Q933,"")</x:f>
      </x:c>
      <x:c r="M933" t="str">
        <x:f>IF(OR(LEFT(H933,15)="Missing dates; ",LEFT(H933,16)="Add N/A reason; ",H933="Add dates",H933="Add registration",H933="Check date format"),R933,"")</x:f>
      </x:c>
      <x:c r="N933" t="str">
        <x:f>IF(COUNTIFS(C933:F933,"Reviewed N/A")&gt;0,S933,"")</x:f>
      </x:c>
      <x:c r="O933" t="n">
        <x:f>O932+IF(AND(A933&lt;&gt;"",COUNTIFS(C933,"&gt;=36526",C933,"&lt;"&amp;TODAY())+COUNTIFS(D933,"&gt;=36526",D933,"&lt;"&amp;TODAY())+COUNTIFS(E933,"&gt;=36526",E933,"&lt;"&amp;TODAY())+COUNTIFS(F933,"&gt;=36526",F933,"&lt;"&amp;TODAY())&gt;0),1,0)</x:f>
        <x:v>0</x:v>
      </x:c>
      <x:c r="P933" t="n">
        <x:f>P932+IF(AND(A933&lt;&gt;"",COUNTIFS(C933,"&gt;=36526",C933,TODAY())+COUNTIFS(D933,"&gt;=36526",D933,TODAY())+COUNTIFS(E933,"&gt;=36526",E933,TODAY())+COUNTIFS(F933,"&gt;=36526",F933,TODAY())&gt;0),1,0)</x:f>
        <x:v>0</x:v>
      </x:c>
      <x:c r="Q933" t="n">
        <x:f>Q932+IF(AND(A933&lt;&gt;"",COUNTIFS(C933,"&gt;"&amp;TODAY(),C933,"&lt;="&amp;TODAY()+30)+COUNTIFS(D933,"&gt;"&amp;TODAY(),D933,"&lt;="&amp;TODAY()+30)+COUNTIFS(E933,"&gt;"&amp;TODAY(),E933,"&lt;="&amp;TODAY()+30)+COUNTIFS(F933,"&gt;"&amp;TODAY(),F933,"&lt;="&amp;TODAY()+30)&gt;0),1,0)</x:f>
        <x:v>0</x:v>
      </x:c>
      <x:c r="R933" t="n">
        <x:f>R932+IF(OR(LEFT(H933,15)="Missing dates; ",LEFT(H933,16)="Add N/A reason; ",H933="Add dates",H933="Add registration",H933="Check date format"),1,0)</x:f>
        <x:v>0</x:v>
      </x:c>
      <x:c r="S933" t="n">
        <x:f>S932+IF(COUNTIFS(C933:F933,"Reviewed N/A")&gt;0,1,0)</x:f>
        <x:v>0</x:v>
      </x:c>
    </x:row>
    <x:row r="934" ht="48" customHeight="1">
      <x:c r="A934" s="52"/>
      <x:c r="B934" s="52"/>
      <x:c r="C934" s="53"/>
      <x:c r="D934" s="53"/>
      <x:c r="E934" s="53"/>
      <x:c r="F934" s="53"/>
      <x:c r="G934" s="52"/>
      <x:c r="H934" s="21" t="str">
        <x:f>IF(COUNTA(A934:G934,I934)=0,"",IF(A934="","Add registration",IF(OR(COUNTA(C934:F934)&gt;COUNT(C934:F934)+COUNTIFS(C934:F934,"Reviewed N/A"),AND(COUNT(C934:F934)&gt;0,OR(MIN(C934:F934)&lt;36526,MAX(C934:F934)&gt;109574))),"Check date format",IF(AND(COUNTIFS(C934:F934,"Reviewed N/A")&gt;0,I934=""),"Add N/A reason; ","")&amp;IF(COUNT(C934:F934)=0,IF(COUNTIFS(C934:F934,"Reviewed N/A")=4,"No applicable dates recorded","Add dates"),IF(COUNT(C934:F934)+COUNTIFS(C934:F934,"Reviewed N/A")&lt;4,"Missing dates; ","")&amp;IF(MIN(C934:F934)&lt;TODAY(),"Overdue: ",IF(MIN(C934:F934)=TODAY(),"Due today: ",IF(MIN(C934:F934)&lt;=TODAY()+30,"Due within 30 days: ","Next: ")))&amp;INDEX($C$8:$F$8,1,MATCH(MIN(C934:F934),C934:F934,0))&amp;" "&amp;TEXT(MIN(C934:F934),"dd mmm yyyy")))))</x:f>
      </x:c>
      <x:c r="I934" s="52"/>
      <x:c r="J934" t="str">
        <x:f>IF(AND(A934&lt;&gt;"",COUNTIFS(C934,"&gt;=36526",C934,"&lt;"&amp;TODAY())+COUNTIFS(D934,"&gt;=36526",D934,"&lt;"&amp;TODAY())+COUNTIFS(E934,"&gt;=36526",E934,"&lt;"&amp;TODAY())+COUNTIFS(F934,"&gt;=36526",F934,"&lt;"&amp;TODAY())&gt;0),O934,"")</x:f>
      </x:c>
      <x:c r="K934" t="str">
        <x:f>IF(AND(A934&lt;&gt;"",COUNTIFS(C934,"&gt;=36526",C934,TODAY())+COUNTIFS(D934,"&gt;=36526",D934,TODAY())+COUNTIFS(E934,"&gt;=36526",E934,TODAY())+COUNTIFS(F934,"&gt;=36526",F934,TODAY())&gt;0),P934,"")</x:f>
      </x:c>
      <x:c r="L934" t="str">
        <x:f>IF(AND(A934&lt;&gt;"",COUNTIFS(C934,"&gt;"&amp;TODAY(),C934,"&lt;="&amp;TODAY()+30)+COUNTIFS(D934,"&gt;"&amp;TODAY(),D934,"&lt;="&amp;TODAY()+30)+COUNTIFS(E934,"&gt;"&amp;TODAY(),E934,"&lt;="&amp;TODAY()+30)+COUNTIFS(F934,"&gt;"&amp;TODAY(),F934,"&lt;="&amp;TODAY()+30)&gt;0),Q934,"")</x:f>
      </x:c>
      <x:c r="M934" t="str">
        <x:f>IF(OR(LEFT(H934,15)="Missing dates; ",LEFT(H934,16)="Add N/A reason; ",H934="Add dates",H934="Add registration",H934="Check date format"),R934,"")</x:f>
      </x:c>
      <x:c r="N934" t="str">
        <x:f>IF(COUNTIFS(C934:F934,"Reviewed N/A")&gt;0,S934,"")</x:f>
      </x:c>
      <x:c r="O934" t="n">
        <x:f>O933+IF(AND(A934&lt;&gt;"",COUNTIFS(C934,"&gt;=36526",C934,"&lt;"&amp;TODAY())+COUNTIFS(D934,"&gt;=36526",D934,"&lt;"&amp;TODAY())+COUNTIFS(E934,"&gt;=36526",E934,"&lt;"&amp;TODAY())+COUNTIFS(F934,"&gt;=36526",F934,"&lt;"&amp;TODAY())&gt;0),1,0)</x:f>
        <x:v>0</x:v>
      </x:c>
      <x:c r="P934" t="n">
        <x:f>P933+IF(AND(A934&lt;&gt;"",COUNTIFS(C934,"&gt;=36526",C934,TODAY())+COUNTIFS(D934,"&gt;=36526",D934,TODAY())+COUNTIFS(E934,"&gt;=36526",E934,TODAY())+COUNTIFS(F934,"&gt;=36526",F934,TODAY())&gt;0),1,0)</x:f>
        <x:v>0</x:v>
      </x:c>
      <x:c r="Q934" t="n">
        <x:f>Q933+IF(AND(A934&lt;&gt;"",COUNTIFS(C934,"&gt;"&amp;TODAY(),C934,"&lt;="&amp;TODAY()+30)+COUNTIFS(D934,"&gt;"&amp;TODAY(),D934,"&lt;="&amp;TODAY()+30)+COUNTIFS(E934,"&gt;"&amp;TODAY(),E934,"&lt;="&amp;TODAY()+30)+COUNTIFS(F934,"&gt;"&amp;TODAY(),F934,"&lt;="&amp;TODAY()+30)&gt;0),1,0)</x:f>
        <x:v>0</x:v>
      </x:c>
      <x:c r="R934" t="n">
        <x:f>R933+IF(OR(LEFT(H934,15)="Missing dates; ",LEFT(H934,16)="Add N/A reason; ",H934="Add dates",H934="Add registration",H934="Check date format"),1,0)</x:f>
        <x:v>0</x:v>
      </x:c>
      <x:c r="S934" t="n">
        <x:f>S933+IF(COUNTIFS(C934:F934,"Reviewed N/A")&gt;0,1,0)</x:f>
        <x:v>0</x:v>
      </x:c>
    </x:row>
    <x:row r="935" ht="48" customHeight="1">
      <x:c r="A935" s="52"/>
      <x:c r="B935" s="52"/>
      <x:c r="C935" s="53"/>
      <x:c r="D935" s="53"/>
      <x:c r="E935" s="53"/>
      <x:c r="F935" s="53"/>
      <x:c r="G935" s="52"/>
      <x:c r="H935" s="21" t="str">
        <x:f>IF(COUNTA(A935:G935,I935)=0,"",IF(A935="","Add registration",IF(OR(COUNTA(C935:F935)&gt;COUNT(C935:F935)+COUNTIFS(C935:F935,"Reviewed N/A"),AND(COUNT(C935:F935)&gt;0,OR(MIN(C935:F935)&lt;36526,MAX(C935:F935)&gt;109574))),"Check date format",IF(AND(COUNTIFS(C935:F935,"Reviewed N/A")&gt;0,I935=""),"Add N/A reason; ","")&amp;IF(COUNT(C935:F935)=0,IF(COUNTIFS(C935:F935,"Reviewed N/A")=4,"No applicable dates recorded","Add dates"),IF(COUNT(C935:F935)+COUNTIFS(C935:F935,"Reviewed N/A")&lt;4,"Missing dates; ","")&amp;IF(MIN(C935:F935)&lt;TODAY(),"Overdue: ",IF(MIN(C935:F935)=TODAY(),"Due today: ",IF(MIN(C935:F935)&lt;=TODAY()+30,"Due within 30 days: ","Next: ")))&amp;INDEX($C$8:$F$8,1,MATCH(MIN(C935:F935),C935:F935,0))&amp;" "&amp;TEXT(MIN(C935:F935),"dd mmm yyyy")))))</x:f>
      </x:c>
      <x:c r="I935" s="52"/>
      <x:c r="J935" t="str">
        <x:f>IF(AND(A935&lt;&gt;"",COUNTIFS(C935,"&gt;=36526",C935,"&lt;"&amp;TODAY())+COUNTIFS(D935,"&gt;=36526",D935,"&lt;"&amp;TODAY())+COUNTIFS(E935,"&gt;=36526",E935,"&lt;"&amp;TODAY())+COUNTIFS(F935,"&gt;=36526",F935,"&lt;"&amp;TODAY())&gt;0),O935,"")</x:f>
      </x:c>
      <x:c r="K935" t="str">
        <x:f>IF(AND(A935&lt;&gt;"",COUNTIFS(C935,"&gt;=36526",C935,TODAY())+COUNTIFS(D935,"&gt;=36526",D935,TODAY())+COUNTIFS(E935,"&gt;=36526",E935,TODAY())+COUNTIFS(F935,"&gt;=36526",F935,TODAY())&gt;0),P935,"")</x:f>
      </x:c>
      <x:c r="L935" t="str">
        <x:f>IF(AND(A935&lt;&gt;"",COUNTIFS(C935,"&gt;"&amp;TODAY(),C935,"&lt;="&amp;TODAY()+30)+COUNTIFS(D935,"&gt;"&amp;TODAY(),D935,"&lt;="&amp;TODAY()+30)+COUNTIFS(E935,"&gt;"&amp;TODAY(),E935,"&lt;="&amp;TODAY()+30)+COUNTIFS(F935,"&gt;"&amp;TODAY(),F935,"&lt;="&amp;TODAY()+30)&gt;0),Q935,"")</x:f>
      </x:c>
      <x:c r="M935" t="str">
        <x:f>IF(OR(LEFT(H935,15)="Missing dates; ",LEFT(H935,16)="Add N/A reason; ",H935="Add dates",H935="Add registration",H935="Check date format"),R935,"")</x:f>
      </x:c>
      <x:c r="N935" t="str">
        <x:f>IF(COUNTIFS(C935:F935,"Reviewed N/A")&gt;0,S935,"")</x:f>
      </x:c>
      <x:c r="O935" t="n">
        <x:f>O934+IF(AND(A935&lt;&gt;"",COUNTIFS(C935,"&gt;=36526",C935,"&lt;"&amp;TODAY())+COUNTIFS(D935,"&gt;=36526",D935,"&lt;"&amp;TODAY())+COUNTIFS(E935,"&gt;=36526",E935,"&lt;"&amp;TODAY())+COUNTIFS(F935,"&gt;=36526",F935,"&lt;"&amp;TODAY())&gt;0),1,0)</x:f>
        <x:v>0</x:v>
      </x:c>
      <x:c r="P935" t="n">
        <x:f>P934+IF(AND(A935&lt;&gt;"",COUNTIFS(C935,"&gt;=36526",C935,TODAY())+COUNTIFS(D935,"&gt;=36526",D935,TODAY())+COUNTIFS(E935,"&gt;=36526",E935,TODAY())+COUNTIFS(F935,"&gt;=36526",F935,TODAY())&gt;0),1,0)</x:f>
        <x:v>0</x:v>
      </x:c>
      <x:c r="Q935" t="n">
        <x:f>Q934+IF(AND(A935&lt;&gt;"",COUNTIFS(C935,"&gt;"&amp;TODAY(),C935,"&lt;="&amp;TODAY()+30)+COUNTIFS(D935,"&gt;"&amp;TODAY(),D935,"&lt;="&amp;TODAY()+30)+COUNTIFS(E935,"&gt;"&amp;TODAY(),E935,"&lt;="&amp;TODAY()+30)+COUNTIFS(F935,"&gt;"&amp;TODAY(),F935,"&lt;="&amp;TODAY()+30)&gt;0),1,0)</x:f>
        <x:v>0</x:v>
      </x:c>
      <x:c r="R935" t="n">
        <x:f>R934+IF(OR(LEFT(H935,15)="Missing dates; ",LEFT(H935,16)="Add N/A reason; ",H935="Add dates",H935="Add registration",H935="Check date format"),1,0)</x:f>
        <x:v>0</x:v>
      </x:c>
      <x:c r="S935" t="n">
        <x:f>S934+IF(COUNTIFS(C935:F935,"Reviewed N/A")&gt;0,1,0)</x:f>
        <x:v>0</x:v>
      </x:c>
    </x:row>
    <x:row r="936" ht="48" customHeight="1">
      <x:c r="A936" s="52"/>
      <x:c r="B936" s="52"/>
      <x:c r="C936" s="53"/>
      <x:c r="D936" s="53"/>
      <x:c r="E936" s="53"/>
      <x:c r="F936" s="53"/>
      <x:c r="G936" s="52"/>
      <x:c r="H936" s="21" t="str">
        <x:f>IF(COUNTA(A936:G936,I936)=0,"",IF(A936="","Add registration",IF(OR(COUNTA(C936:F936)&gt;COUNT(C936:F936)+COUNTIFS(C936:F936,"Reviewed N/A"),AND(COUNT(C936:F936)&gt;0,OR(MIN(C936:F936)&lt;36526,MAX(C936:F936)&gt;109574))),"Check date format",IF(AND(COUNTIFS(C936:F936,"Reviewed N/A")&gt;0,I936=""),"Add N/A reason; ","")&amp;IF(COUNT(C936:F936)=0,IF(COUNTIFS(C936:F936,"Reviewed N/A")=4,"No applicable dates recorded","Add dates"),IF(COUNT(C936:F936)+COUNTIFS(C936:F936,"Reviewed N/A")&lt;4,"Missing dates; ","")&amp;IF(MIN(C936:F936)&lt;TODAY(),"Overdue: ",IF(MIN(C936:F936)=TODAY(),"Due today: ",IF(MIN(C936:F936)&lt;=TODAY()+30,"Due within 30 days: ","Next: ")))&amp;INDEX($C$8:$F$8,1,MATCH(MIN(C936:F936),C936:F936,0))&amp;" "&amp;TEXT(MIN(C936:F936),"dd mmm yyyy")))))</x:f>
      </x:c>
      <x:c r="I936" s="52"/>
      <x:c r="J936" t="str">
        <x:f>IF(AND(A936&lt;&gt;"",COUNTIFS(C936,"&gt;=36526",C936,"&lt;"&amp;TODAY())+COUNTIFS(D936,"&gt;=36526",D936,"&lt;"&amp;TODAY())+COUNTIFS(E936,"&gt;=36526",E936,"&lt;"&amp;TODAY())+COUNTIFS(F936,"&gt;=36526",F936,"&lt;"&amp;TODAY())&gt;0),O936,"")</x:f>
      </x:c>
      <x:c r="K936" t="str">
        <x:f>IF(AND(A936&lt;&gt;"",COUNTIFS(C936,"&gt;=36526",C936,TODAY())+COUNTIFS(D936,"&gt;=36526",D936,TODAY())+COUNTIFS(E936,"&gt;=36526",E936,TODAY())+COUNTIFS(F936,"&gt;=36526",F936,TODAY())&gt;0),P936,"")</x:f>
      </x:c>
      <x:c r="L936" t="str">
        <x:f>IF(AND(A936&lt;&gt;"",COUNTIFS(C936,"&gt;"&amp;TODAY(),C936,"&lt;="&amp;TODAY()+30)+COUNTIFS(D936,"&gt;"&amp;TODAY(),D936,"&lt;="&amp;TODAY()+30)+COUNTIFS(E936,"&gt;"&amp;TODAY(),E936,"&lt;="&amp;TODAY()+30)+COUNTIFS(F936,"&gt;"&amp;TODAY(),F936,"&lt;="&amp;TODAY()+30)&gt;0),Q936,"")</x:f>
      </x:c>
      <x:c r="M936" t="str">
        <x:f>IF(OR(LEFT(H936,15)="Missing dates; ",LEFT(H936,16)="Add N/A reason; ",H936="Add dates",H936="Add registration",H936="Check date format"),R936,"")</x:f>
      </x:c>
      <x:c r="N936" t="str">
        <x:f>IF(COUNTIFS(C936:F936,"Reviewed N/A")&gt;0,S936,"")</x:f>
      </x:c>
      <x:c r="O936" t="n">
        <x:f>O935+IF(AND(A936&lt;&gt;"",COUNTIFS(C936,"&gt;=36526",C936,"&lt;"&amp;TODAY())+COUNTIFS(D936,"&gt;=36526",D936,"&lt;"&amp;TODAY())+COUNTIFS(E936,"&gt;=36526",E936,"&lt;"&amp;TODAY())+COUNTIFS(F936,"&gt;=36526",F936,"&lt;"&amp;TODAY())&gt;0),1,0)</x:f>
        <x:v>0</x:v>
      </x:c>
      <x:c r="P936" t="n">
        <x:f>P935+IF(AND(A936&lt;&gt;"",COUNTIFS(C936,"&gt;=36526",C936,TODAY())+COUNTIFS(D936,"&gt;=36526",D936,TODAY())+COUNTIFS(E936,"&gt;=36526",E936,TODAY())+COUNTIFS(F936,"&gt;=36526",F936,TODAY())&gt;0),1,0)</x:f>
        <x:v>0</x:v>
      </x:c>
      <x:c r="Q936" t="n">
        <x:f>Q935+IF(AND(A936&lt;&gt;"",COUNTIFS(C936,"&gt;"&amp;TODAY(),C936,"&lt;="&amp;TODAY()+30)+COUNTIFS(D936,"&gt;"&amp;TODAY(),D936,"&lt;="&amp;TODAY()+30)+COUNTIFS(E936,"&gt;"&amp;TODAY(),E936,"&lt;="&amp;TODAY()+30)+COUNTIFS(F936,"&gt;"&amp;TODAY(),F936,"&lt;="&amp;TODAY()+30)&gt;0),1,0)</x:f>
        <x:v>0</x:v>
      </x:c>
      <x:c r="R936" t="n">
        <x:f>R935+IF(OR(LEFT(H936,15)="Missing dates; ",LEFT(H936,16)="Add N/A reason; ",H936="Add dates",H936="Add registration",H936="Check date format"),1,0)</x:f>
        <x:v>0</x:v>
      </x:c>
      <x:c r="S936" t="n">
        <x:f>S935+IF(COUNTIFS(C936:F936,"Reviewed N/A")&gt;0,1,0)</x:f>
        <x:v>0</x:v>
      </x:c>
    </x:row>
    <x:row r="937" ht="48" customHeight="1">
      <x:c r="A937" s="52"/>
      <x:c r="B937" s="52"/>
      <x:c r="C937" s="53"/>
      <x:c r="D937" s="53"/>
      <x:c r="E937" s="53"/>
      <x:c r="F937" s="53"/>
      <x:c r="G937" s="52"/>
      <x:c r="H937" s="21" t="str">
        <x:f>IF(COUNTA(A937:G937,I937)=0,"",IF(A937="","Add registration",IF(OR(COUNTA(C937:F937)&gt;COUNT(C937:F937)+COUNTIFS(C937:F937,"Reviewed N/A"),AND(COUNT(C937:F937)&gt;0,OR(MIN(C937:F937)&lt;36526,MAX(C937:F937)&gt;109574))),"Check date format",IF(AND(COUNTIFS(C937:F937,"Reviewed N/A")&gt;0,I937=""),"Add N/A reason; ","")&amp;IF(COUNT(C937:F937)=0,IF(COUNTIFS(C937:F937,"Reviewed N/A")=4,"No applicable dates recorded","Add dates"),IF(COUNT(C937:F937)+COUNTIFS(C937:F937,"Reviewed N/A")&lt;4,"Missing dates; ","")&amp;IF(MIN(C937:F937)&lt;TODAY(),"Overdue: ",IF(MIN(C937:F937)=TODAY(),"Due today: ",IF(MIN(C937:F937)&lt;=TODAY()+30,"Due within 30 days: ","Next: ")))&amp;INDEX($C$8:$F$8,1,MATCH(MIN(C937:F937),C937:F937,0))&amp;" "&amp;TEXT(MIN(C937:F937),"dd mmm yyyy")))))</x:f>
      </x:c>
      <x:c r="I937" s="52"/>
      <x:c r="J937" t="str">
        <x:f>IF(AND(A937&lt;&gt;"",COUNTIFS(C937,"&gt;=36526",C937,"&lt;"&amp;TODAY())+COUNTIFS(D937,"&gt;=36526",D937,"&lt;"&amp;TODAY())+COUNTIFS(E937,"&gt;=36526",E937,"&lt;"&amp;TODAY())+COUNTIFS(F937,"&gt;=36526",F937,"&lt;"&amp;TODAY())&gt;0),O937,"")</x:f>
      </x:c>
      <x:c r="K937" t="str">
        <x:f>IF(AND(A937&lt;&gt;"",COUNTIFS(C937,"&gt;=36526",C937,TODAY())+COUNTIFS(D937,"&gt;=36526",D937,TODAY())+COUNTIFS(E937,"&gt;=36526",E937,TODAY())+COUNTIFS(F937,"&gt;=36526",F937,TODAY())&gt;0),P937,"")</x:f>
      </x:c>
      <x:c r="L937" t="str">
        <x:f>IF(AND(A937&lt;&gt;"",COUNTIFS(C937,"&gt;"&amp;TODAY(),C937,"&lt;="&amp;TODAY()+30)+COUNTIFS(D937,"&gt;"&amp;TODAY(),D937,"&lt;="&amp;TODAY()+30)+COUNTIFS(E937,"&gt;"&amp;TODAY(),E937,"&lt;="&amp;TODAY()+30)+COUNTIFS(F937,"&gt;"&amp;TODAY(),F937,"&lt;="&amp;TODAY()+30)&gt;0),Q937,"")</x:f>
      </x:c>
      <x:c r="M937" t="str">
        <x:f>IF(OR(LEFT(H937,15)="Missing dates; ",LEFT(H937,16)="Add N/A reason; ",H937="Add dates",H937="Add registration",H937="Check date format"),R937,"")</x:f>
      </x:c>
      <x:c r="N937" t="str">
        <x:f>IF(COUNTIFS(C937:F937,"Reviewed N/A")&gt;0,S937,"")</x:f>
      </x:c>
      <x:c r="O937" t="n">
        <x:f>O936+IF(AND(A937&lt;&gt;"",COUNTIFS(C937,"&gt;=36526",C937,"&lt;"&amp;TODAY())+COUNTIFS(D937,"&gt;=36526",D937,"&lt;"&amp;TODAY())+COUNTIFS(E937,"&gt;=36526",E937,"&lt;"&amp;TODAY())+COUNTIFS(F937,"&gt;=36526",F937,"&lt;"&amp;TODAY())&gt;0),1,0)</x:f>
        <x:v>0</x:v>
      </x:c>
      <x:c r="P937" t="n">
        <x:f>P936+IF(AND(A937&lt;&gt;"",COUNTIFS(C937,"&gt;=36526",C937,TODAY())+COUNTIFS(D937,"&gt;=36526",D937,TODAY())+COUNTIFS(E937,"&gt;=36526",E937,TODAY())+COUNTIFS(F937,"&gt;=36526",F937,TODAY())&gt;0),1,0)</x:f>
        <x:v>0</x:v>
      </x:c>
      <x:c r="Q937" t="n">
        <x:f>Q936+IF(AND(A937&lt;&gt;"",COUNTIFS(C937,"&gt;"&amp;TODAY(),C937,"&lt;="&amp;TODAY()+30)+COUNTIFS(D937,"&gt;"&amp;TODAY(),D937,"&lt;="&amp;TODAY()+30)+COUNTIFS(E937,"&gt;"&amp;TODAY(),E937,"&lt;="&amp;TODAY()+30)+COUNTIFS(F937,"&gt;"&amp;TODAY(),F937,"&lt;="&amp;TODAY()+30)&gt;0),1,0)</x:f>
        <x:v>0</x:v>
      </x:c>
      <x:c r="R937" t="n">
        <x:f>R936+IF(OR(LEFT(H937,15)="Missing dates; ",LEFT(H937,16)="Add N/A reason; ",H937="Add dates",H937="Add registration",H937="Check date format"),1,0)</x:f>
        <x:v>0</x:v>
      </x:c>
      <x:c r="S937" t="n">
        <x:f>S936+IF(COUNTIFS(C937:F937,"Reviewed N/A")&gt;0,1,0)</x:f>
        <x:v>0</x:v>
      </x:c>
    </x:row>
    <x:row r="938" ht="48" customHeight="1">
      <x:c r="A938" s="52"/>
      <x:c r="B938" s="52"/>
      <x:c r="C938" s="53"/>
      <x:c r="D938" s="53"/>
      <x:c r="E938" s="53"/>
      <x:c r="F938" s="53"/>
      <x:c r="G938" s="52"/>
      <x:c r="H938" s="21" t="str">
        <x:f>IF(COUNTA(A938:G938,I938)=0,"",IF(A938="","Add registration",IF(OR(COUNTA(C938:F938)&gt;COUNT(C938:F938)+COUNTIFS(C938:F938,"Reviewed N/A"),AND(COUNT(C938:F938)&gt;0,OR(MIN(C938:F938)&lt;36526,MAX(C938:F938)&gt;109574))),"Check date format",IF(AND(COUNTIFS(C938:F938,"Reviewed N/A")&gt;0,I938=""),"Add N/A reason; ","")&amp;IF(COUNT(C938:F938)=0,IF(COUNTIFS(C938:F938,"Reviewed N/A")=4,"No applicable dates recorded","Add dates"),IF(COUNT(C938:F938)+COUNTIFS(C938:F938,"Reviewed N/A")&lt;4,"Missing dates; ","")&amp;IF(MIN(C938:F938)&lt;TODAY(),"Overdue: ",IF(MIN(C938:F938)=TODAY(),"Due today: ",IF(MIN(C938:F938)&lt;=TODAY()+30,"Due within 30 days: ","Next: ")))&amp;INDEX($C$8:$F$8,1,MATCH(MIN(C938:F938),C938:F938,0))&amp;" "&amp;TEXT(MIN(C938:F938),"dd mmm yyyy")))))</x:f>
      </x:c>
      <x:c r="I938" s="52"/>
      <x:c r="J938" t="str">
        <x:f>IF(AND(A938&lt;&gt;"",COUNTIFS(C938,"&gt;=36526",C938,"&lt;"&amp;TODAY())+COUNTIFS(D938,"&gt;=36526",D938,"&lt;"&amp;TODAY())+COUNTIFS(E938,"&gt;=36526",E938,"&lt;"&amp;TODAY())+COUNTIFS(F938,"&gt;=36526",F938,"&lt;"&amp;TODAY())&gt;0),O938,"")</x:f>
      </x:c>
      <x:c r="K938" t="str">
        <x:f>IF(AND(A938&lt;&gt;"",COUNTIFS(C938,"&gt;=36526",C938,TODAY())+COUNTIFS(D938,"&gt;=36526",D938,TODAY())+COUNTIFS(E938,"&gt;=36526",E938,TODAY())+COUNTIFS(F938,"&gt;=36526",F938,TODAY())&gt;0),P938,"")</x:f>
      </x:c>
      <x:c r="L938" t="str">
        <x:f>IF(AND(A938&lt;&gt;"",COUNTIFS(C938,"&gt;"&amp;TODAY(),C938,"&lt;="&amp;TODAY()+30)+COUNTIFS(D938,"&gt;"&amp;TODAY(),D938,"&lt;="&amp;TODAY()+30)+COUNTIFS(E938,"&gt;"&amp;TODAY(),E938,"&lt;="&amp;TODAY()+30)+COUNTIFS(F938,"&gt;"&amp;TODAY(),F938,"&lt;="&amp;TODAY()+30)&gt;0),Q938,"")</x:f>
      </x:c>
      <x:c r="M938" t="str">
        <x:f>IF(OR(LEFT(H938,15)="Missing dates; ",LEFT(H938,16)="Add N/A reason; ",H938="Add dates",H938="Add registration",H938="Check date format"),R938,"")</x:f>
      </x:c>
      <x:c r="N938" t="str">
        <x:f>IF(COUNTIFS(C938:F938,"Reviewed N/A")&gt;0,S938,"")</x:f>
      </x:c>
      <x:c r="O938" t="n">
        <x:f>O937+IF(AND(A938&lt;&gt;"",COUNTIFS(C938,"&gt;=36526",C938,"&lt;"&amp;TODAY())+COUNTIFS(D938,"&gt;=36526",D938,"&lt;"&amp;TODAY())+COUNTIFS(E938,"&gt;=36526",E938,"&lt;"&amp;TODAY())+COUNTIFS(F938,"&gt;=36526",F938,"&lt;"&amp;TODAY())&gt;0),1,0)</x:f>
        <x:v>0</x:v>
      </x:c>
      <x:c r="P938" t="n">
        <x:f>P937+IF(AND(A938&lt;&gt;"",COUNTIFS(C938,"&gt;=36526",C938,TODAY())+COUNTIFS(D938,"&gt;=36526",D938,TODAY())+COUNTIFS(E938,"&gt;=36526",E938,TODAY())+COUNTIFS(F938,"&gt;=36526",F938,TODAY())&gt;0),1,0)</x:f>
        <x:v>0</x:v>
      </x:c>
      <x:c r="Q938" t="n">
        <x:f>Q937+IF(AND(A938&lt;&gt;"",COUNTIFS(C938,"&gt;"&amp;TODAY(),C938,"&lt;="&amp;TODAY()+30)+COUNTIFS(D938,"&gt;"&amp;TODAY(),D938,"&lt;="&amp;TODAY()+30)+COUNTIFS(E938,"&gt;"&amp;TODAY(),E938,"&lt;="&amp;TODAY()+30)+COUNTIFS(F938,"&gt;"&amp;TODAY(),F938,"&lt;="&amp;TODAY()+30)&gt;0),1,0)</x:f>
        <x:v>0</x:v>
      </x:c>
      <x:c r="R938" t="n">
        <x:f>R937+IF(OR(LEFT(H938,15)="Missing dates; ",LEFT(H938,16)="Add N/A reason; ",H938="Add dates",H938="Add registration",H938="Check date format"),1,0)</x:f>
        <x:v>0</x:v>
      </x:c>
      <x:c r="S938" t="n">
        <x:f>S937+IF(COUNTIFS(C938:F938,"Reviewed N/A")&gt;0,1,0)</x:f>
        <x:v>0</x:v>
      </x:c>
    </x:row>
    <x:row r="939" ht="48" customHeight="1">
      <x:c r="A939" s="52"/>
      <x:c r="B939" s="52"/>
      <x:c r="C939" s="53"/>
      <x:c r="D939" s="53"/>
      <x:c r="E939" s="53"/>
      <x:c r="F939" s="53"/>
      <x:c r="G939" s="52"/>
      <x:c r="H939" s="21" t="str">
        <x:f>IF(COUNTA(A939:G939,I939)=0,"",IF(A939="","Add registration",IF(OR(COUNTA(C939:F939)&gt;COUNT(C939:F939)+COUNTIFS(C939:F939,"Reviewed N/A"),AND(COUNT(C939:F939)&gt;0,OR(MIN(C939:F939)&lt;36526,MAX(C939:F939)&gt;109574))),"Check date format",IF(AND(COUNTIFS(C939:F939,"Reviewed N/A")&gt;0,I939=""),"Add N/A reason; ","")&amp;IF(COUNT(C939:F939)=0,IF(COUNTIFS(C939:F939,"Reviewed N/A")=4,"No applicable dates recorded","Add dates"),IF(COUNT(C939:F939)+COUNTIFS(C939:F939,"Reviewed N/A")&lt;4,"Missing dates; ","")&amp;IF(MIN(C939:F939)&lt;TODAY(),"Overdue: ",IF(MIN(C939:F939)=TODAY(),"Due today: ",IF(MIN(C939:F939)&lt;=TODAY()+30,"Due within 30 days: ","Next: ")))&amp;INDEX($C$8:$F$8,1,MATCH(MIN(C939:F939),C939:F939,0))&amp;" "&amp;TEXT(MIN(C939:F939),"dd mmm yyyy")))))</x:f>
      </x:c>
      <x:c r="I939" s="52"/>
      <x:c r="J939" t="str">
        <x:f>IF(AND(A939&lt;&gt;"",COUNTIFS(C939,"&gt;=36526",C939,"&lt;"&amp;TODAY())+COUNTIFS(D939,"&gt;=36526",D939,"&lt;"&amp;TODAY())+COUNTIFS(E939,"&gt;=36526",E939,"&lt;"&amp;TODAY())+COUNTIFS(F939,"&gt;=36526",F939,"&lt;"&amp;TODAY())&gt;0),O939,"")</x:f>
      </x:c>
      <x:c r="K939" t="str">
        <x:f>IF(AND(A939&lt;&gt;"",COUNTIFS(C939,"&gt;=36526",C939,TODAY())+COUNTIFS(D939,"&gt;=36526",D939,TODAY())+COUNTIFS(E939,"&gt;=36526",E939,TODAY())+COUNTIFS(F939,"&gt;=36526",F939,TODAY())&gt;0),P939,"")</x:f>
      </x:c>
      <x:c r="L939" t="str">
        <x:f>IF(AND(A939&lt;&gt;"",COUNTIFS(C939,"&gt;"&amp;TODAY(),C939,"&lt;="&amp;TODAY()+30)+COUNTIFS(D939,"&gt;"&amp;TODAY(),D939,"&lt;="&amp;TODAY()+30)+COUNTIFS(E939,"&gt;"&amp;TODAY(),E939,"&lt;="&amp;TODAY()+30)+COUNTIFS(F939,"&gt;"&amp;TODAY(),F939,"&lt;="&amp;TODAY()+30)&gt;0),Q939,"")</x:f>
      </x:c>
      <x:c r="M939" t="str">
        <x:f>IF(OR(LEFT(H939,15)="Missing dates; ",LEFT(H939,16)="Add N/A reason; ",H939="Add dates",H939="Add registration",H939="Check date format"),R939,"")</x:f>
      </x:c>
      <x:c r="N939" t="str">
        <x:f>IF(COUNTIFS(C939:F939,"Reviewed N/A")&gt;0,S939,"")</x:f>
      </x:c>
      <x:c r="O939" t="n">
        <x:f>O938+IF(AND(A939&lt;&gt;"",COUNTIFS(C939,"&gt;=36526",C939,"&lt;"&amp;TODAY())+COUNTIFS(D939,"&gt;=36526",D939,"&lt;"&amp;TODAY())+COUNTIFS(E939,"&gt;=36526",E939,"&lt;"&amp;TODAY())+COUNTIFS(F939,"&gt;=36526",F939,"&lt;"&amp;TODAY())&gt;0),1,0)</x:f>
        <x:v>0</x:v>
      </x:c>
      <x:c r="P939" t="n">
        <x:f>P938+IF(AND(A939&lt;&gt;"",COUNTIFS(C939,"&gt;=36526",C939,TODAY())+COUNTIFS(D939,"&gt;=36526",D939,TODAY())+COUNTIFS(E939,"&gt;=36526",E939,TODAY())+COUNTIFS(F939,"&gt;=36526",F939,TODAY())&gt;0),1,0)</x:f>
        <x:v>0</x:v>
      </x:c>
      <x:c r="Q939" t="n">
        <x:f>Q938+IF(AND(A939&lt;&gt;"",COUNTIFS(C939,"&gt;"&amp;TODAY(),C939,"&lt;="&amp;TODAY()+30)+COUNTIFS(D939,"&gt;"&amp;TODAY(),D939,"&lt;="&amp;TODAY()+30)+COUNTIFS(E939,"&gt;"&amp;TODAY(),E939,"&lt;="&amp;TODAY()+30)+COUNTIFS(F939,"&gt;"&amp;TODAY(),F939,"&lt;="&amp;TODAY()+30)&gt;0),1,0)</x:f>
        <x:v>0</x:v>
      </x:c>
      <x:c r="R939" t="n">
        <x:f>R938+IF(OR(LEFT(H939,15)="Missing dates; ",LEFT(H939,16)="Add N/A reason; ",H939="Add dates",H939="Add registration",H939="Check date format"),1,0)</x:f>
        <x:v>0</x:v>
      </x:c>
      <x:c r="S939" t="n">
        <x:f>S938+IF(COUNTIFS(C939:F939,"Reviewed N/A")&gt;0,1,0)</x:f>
        <x:v>0</x:v>
      </x:c>
    </x:row>
    <x:row r="940" ht="48" customHeight="1">
      <x:c r="A940" s="52"/>
      <x:c r="B940" s="52"/>
      <x:c r="C940" s="53"/>
      <x:c r="D940" s="53"/>
      <x:c r="E940" s="53"/>
      <x:c r="F940" s="53"/>
      <x:c r="G940" s="52"/>
      <x:c r="H940" s="21" t="str">
        <x:f>IF(COUNTA(A940:G940,I940)=0,"",IF(A940="","Add registration",IF(OR(COUNTA(C940:F940)&gt;COUNT(C940:F940)+COUNTIFS(C940:F940,"Reviewed N/A"),AND(COUNT(C940:F940)&gt;0,OR(MIN(C940:F940)&lt;36526,MAX(C940:F940)&gt;109574))),"Check date format",IF(AND(COUNTIFS(C940:F940,"Reviewed N/A")&gt;0,I940=""),"Add N/A reason; ","")&amp;IF(COUNT(C940:F940)=0,IF(COUNTIFS(C940:F940,"Reviewed N/A")=4,"No applicable dates recorded","Add dates"),IF(COUNT(C940:F940)+COUNTIFS(C940:F940,"Reviewed N/A")&lt;4,"Missing dates; ","")&amp;IF(MIN(C940:F940)&lt;TODAY(),"Overdue: ",IF(MIN(C940:F940)=TODAY(),"Due today: ",IF(MIN(C940:F940)&lt;=TODAY()+30,"Due within 30 days: ","Next: ")))&amp;INDEX($C$8:$F$8,1,MATCH(MIN(C940:F940),C940:F940,0))&amp;" "&amp;TEXT(MIN(C940:F940),"dd mmm yyyy")))))</x:f>
      </x:c>
      <x:c r="I940" s="52"/>
      <x:c r="J940" t="str">
        <x:f>IF(AND(A940&lt;&gt;"",COUNTIFS(C940,"&gt;=36526",C940,"&lt;"&amp;TODAY())+COUNTIFS(D940,"&gt;=36526",D940,"&lt;"&amp;TODAY())+COUNTIFS(E940,"&gt;=36526",E940,"&lt;"&amp;TODAY())+COUNTIFS(F940,"&gt;=36526",F940,"&lt;"&amp;TODAY())&gt;0),O940,"")</x:f>
      </x:c>
      <x:c r="K940" t="str">
        <x:f>IF(AND(A940&lt;&gt;"",COUNTIFS(C940,"&gt;=36526",C940,TODAY())+COUNTIFS(D940,"&gt;=36526",D940,TODAY())+COUNTIFS(E940,"&gt;=36526",E940,TODAY())+COUNTIFS(F940,"&gt;=36526",F940,TODAY())&gt;0),P940,"")</x:f>
      </x:c>
      <x:c r="L940" t="str">
        <x:f>IF(AND(A940&lt;&gt;"",COUNTIFS(C940,"&gt;"&amp;TODAY(),C940,"&lt;="&amp;TODAY()+30)+COUNTIFS(D940,"&gt;"&amp;TODAY(),D940,"&lt;="&amp;TODAY()+30)+COUNTIFS(E940,"&gt;"&amp;TODAY(),E940,"&lt;="&amp;TODAY()+30)+COUNTIFS(F940,"&gt;"&amp;TODAY(),F940,"&lt;="&amp;TODAY()+30)&gt;0),Q940,"")</x:f>
      </x:c>
      <x:c r="M940" t="str">
        <x:f>IF(OR(LEFT(H940,15)="Missing dates; ",LEFT(H940,16)="Add N/A reason; ",H940="Add dates",H940="Add registration",H940="Check date format"),R940,"")</x:f>
      </x:c>
      <x:c r="N940" t="str">
        <x:f>IF(COUNTIFS(C940:F940,"Reviewed N/A")&gt;0,S940,"")</x:f>
      </x:c>
      <x:c r="O940" t="n">
        <x:f>O939+IF(AND(A940&lt;&gt;"",COUNTIFS(C940,"&gt;=36526",C940,"&lt;"&amp;TODAY())+COUNTIFS(D940,"&gt;=36526",D940,"&lt;"&amp;TODAY())+COUNTIFS(E940,"&gt;=36526",E940,"&lt;"&amp;TODAY())+COUNTIFS(F940,"&gt;=36526",F940,"&lt;"&amp;TODAY())&gt;0),1,0)</x:f>
        <x:v>0</x:v>
      </x:c>
      <x:c r="P940" t="n">
        <x:f>P939+IF(AND(A940&lt;&gt;"",COUNTIFS(C940,"&gt;=36526",C940,TODAY())+COUNTIFS(D940,"&gt;=36526",D940,TODAY())+COUNTIFS(E940,"&gt;=36526",E940,TODAY())+COUNTIFS(F940,"&gt;=36526",F940,TODAY())&gt;0),1,0)</x:f>
        <x:v>0</x:v>
      </x:c>
      <x:c r="Q940" t="n">
        <x:f>Q939+IF(AND(A940&lt;&gt;"",COUNTIFS(C940,"&gt;"&amp;TODAY(),C940,"&lt;="&amp;TODAY()+30)+COUNTIFS(D940,"&gt;"&amp;TODAY(),D940,"&lt;="&amp;TODAY()+30)+COUNTIFS(E940,"&gt;"&amp;TODAY(),E940,"&lt;="&amp;TODAY()+30)+COUNTIFS(F940,"&gt;"&amp;TODAY(),F940,"&lt;="&amp;TODAY()+30)&gt;0),1,0)</x:f>
        <x:v>0</x:v>
      </x:c>
      <x:c r="R940" t="n">
        <x:f>R939+IF(OR(LEFT(H940,15)="Missing dates; ",LEFT(H940,16)="Add N/A reason; ",H940="Add dates",H940="Add registration",H940="Check date format"),1,0)</x:f>
        <x:v>0</x:v>
      </x:c>
      <x:c r="S940" t="n">
        <x:f>S939+IF(COUNTIFS(C940:F940,"Reviewed N/A")&gt;0,1,0)</x:f>
        <x:v>0</x:v>
      </x:c>
    </x:row>
    <x:row r="941" ht="48" customHeight="1">
      <x:c r="A941" s="52"/>
      <x:c r="B941" s="52"/>
      <x:c r="C941" s="53"/>
      <x:c r="D941" s="53"/>
      <x:c r="E941" s="53"/>
      <x:c r="F941" s="53"/>
      <x:c r="G941" s="52"/>
      <x:c r="H941" s="21" t="str">
        <x:f>IF(COUNTA(A941:G941,I941)=0,"",IF(A941="","Add registration",IF(OR(COUNTA(C941:F941)&gt;COUNT(C941:F941)+COUNTIFS(C941:F941,"Reviewed N/A"),AND(COUNT(C941:F941)&gt;0,OR(MIN(C941:F941)&lt;36526,MAX(C941:F941)&gt;109574))),"Check date format",IF(AND(COUNTIFS(C941:F941,"Reviewed N/A")&gt;0,I941=""),"Add N/A reason; ","")&amp;IF(COUNT(C941:F941)=0,IF(COUNTIFS(C941:F941,"Reviewed N/A")=4,"No applicable dates recorded","Add dates"),IF(COUNT(C941:F941)+COUNTIFS(C941:F941,"Reviewed N/A")&lt;4,"Missing dates; ","")&amp;IF(MIN(C941:F941)&lt;TODAY(),"Overdue: ",IF(MIN(C941:F941)=TODAY(),"Due today: ",IF(MIN(C941:F941)&lt;=TODAY()+30,"Due within 30 days: ","Next: ")))&amp;INDEX($C$8:$F$8,1,MATCH(MIN(C941:F941),C941:F941,0))&amp;" "&amp;TEXT(MIN(C941:F941),"dd mmm yyyy")))))</x:f>
      </x:c>
      <x:c r="I941" s="52"/>
      <x:c r="J941" t="str">
        <x:f>IF(AND(A941&lt;&gt;"",COUNTIFS(C941,"&gt;=36526",C941,"&lt;"&amp;TODAY())+COUNTIFS(D941,"&gt;=36526",D941,"&lt;"&amp;TODAY())+COUNTIFS(E941,"&gt;=36526",E941,"&lt;"&amp;TODAY())+COUNTIFS(F941,"&gt;=36526",F941,"&lt;"&amp;TODAY())&gt;0),O941,"")</x:f>
      </x:c>
      <x:c r="K941" t="str">
        <x:f>IF(AND(A941&lt;&gt;"",COUNTIFS(C941,"&gt;=36526",C941,TODAY())+COUNTIFS(D941,"&gt;=36526",D941,TODAY())+COUNTIFS(E941,"&gt;=36526",E941,TODAY())+COUNTIFS(F941,"&gt;=36526",F941,TODAY())&gt;0),P941,"")</x:f>
      </x:c>
      <x:c r="L941" t="str">
        <x:f>IF(AND(A941&lt;&gt;"",COUNTIFS(C941,"&gt;"&amp;TODAY(),C941,"&lt;="&amp;TODAY()+30)+COUNTIFS(D941,"&gt;"&amp;TODAY(),D941,"&lt;="&amp;TODAY()+30)+COUNTIFS(E941,"&gt;"&amp;TODAY(),E941,"&lt;="&amp;TODAY()+30)+COUNTIFS(F941,"&gt;"&amp;TODAY(),F941,"&lt;="&amp;TODAY()+30)&gt;0),Q941,"")</x:f>
      </x:c>
      <x:c r="M941" t="str">
        <x:f>IF(OR(LEFT(H941,15)="Missing dates; ",LEFT(H941,16)="Add N/A reason; ",H941="Add dates",H941="Add registration",H941="Check date format"),R941,"")</x:f>
      </x:c>
      <x:c r="N941" t="str">
        <x:f>IF(COUNTIFS(C941:F941,"Reviewed N/A")&gt;0,S941,"")</x:f>
      </x:c>
      <x:c r="O941" t="n">
        <x:f>O940+IF(AND(A941&lt;&gt;"",COUNTIFS(C941,"&gt;=36526",C941,"&lt;"&amp;TODAY())+COUNTIFS(D941,"&gt;=36526",D941,"&lt;"&amp;TODAY())+COUNTIFS(E941,"&gt;=36526",E941,"&lt;"&amp;TODAY())+COUNTIFS(F941,"&gt;=36526",F941,"&lt;"&amp;TODAY())&gt;0),1,0)</x:f>
        <x:v>0</x:v>
      </x:c>
      <x:c r="P941" t="n">
        <x:f>P940+IF(AND(A941&lt;&gt;"",COUNTIFS(C941,"&gt;=36526",C941,TODAY())+COUNTIFS(D941,"&gt;=36526",D941,TODAY())+COUNTIFS(E941,"&gt;=36526",E941,TODAY())+COUNTIFS(F941,"&gt;=36526",F941,TODAY())&gt;0),1,0)</x:f>
        <x:v>0</x:v>
      </x:c>
      <x:c r="Q941" t="n">
        <x:f>Q940+IF(AND(A941&lt;&gt;"",COUNTIFS(C941,"&gt;"&amp;TODAY(),C941,"&lt;="&amp;TODAY()+30)+COUNTIFS(D941,"&gt;"&amp;TODAY(),D941,"&lt;="&amp;TODAY()+30)+COUNTIFS(E941,"&gt;"&amp;TODAY(),E941,"&lt;="&amp;TODAY()+30)+COUNTIFS(F941,"&gt;"&amp;TODAY(),F941,"&lt;="&amp;TODAY()+30)&gt;0),1,0)</x:f>
        <x:v>0</x:v>
      </x:c>
      <x:c r="R941" t="n">
        <x:f>R940+IF(OR(LEFT(H941,15)="Missing dates; ",LEFT(H941,16)="Add N/A reason; ",H941="Add dates",H941="Add registration",H941="Check date format"),1,0)</x:f>
        <x:v>0</x:v>
      </x:c>
      <x:c r="S941" t="n">
        <x:f>S940+IF(COUNTIFS(C941:F941,"Reviewed N/A")&gt;0,1,0)</x:f>
        <x:v>0</x:v>
      </x:c>
    </x:row>
    <x:row r="942" ht="48" customHeight="1">
      <x:c r="A942" s="52"/>
      <x:c r="B942" s="52"/>
      <x:c r="C942" s="53"/>
      <x:c r="D942" s="53"/>
      <x:c r="E942" s="53"/>
      <x:c r="F942" s="53"/>
      <x:c r="G942" s="52"/>
      <x:c r="H942" s="21" t="str">
        <x:f>IF(COUNTA(A942:G942,I942)=0,"",IF(A942="","Add registration",IF(OR(COUNTA(C942:F942)&gt;COUNT(C942:F942)+COUNTIFS(C942:F942,"Reviewed N/A"),AND(COUNT(C942:F942)&gt;0,OR(MIN(C942:F942)&lt;36526,MAX(C942:F942)&gt;109574))),"Check date format",IF(AND(COUNTIFS(C942:F942,"Reviewed N/A")&gt;0,I942=""),"Add N/A reason; ","")&amp;IF(COUNT(C942:F942)=0,IF(COUNTIFS(C942:F942,"Reviewed N/A")=4,"No applicable dates recorded","Add dates"),IF(COUNT(C942:F942)+COUNTIFS(C942:F942,"Reviewed N/A")&lt;4,"Missing dates; ","")&amp;IF(MIN(C942:F942)&lt;TODAY(),"Overdue: ",IF(MIN(C942:F942)=TODAY(),"Due today: ",IF(MIN(C942:F942)&lt;=TODAY()+30,"Due within 30 days: ","Next: ")))&amp;INDEX($C$8:$F$8,1,MATCH(MIN(C942:F942),C942:F942,0))&amp;" "&amp;TEXT(MIN(C942:F942),"dd mmm yyyy")))))</x:f>
      </x:c>
      <x:c r="I942" s="52"/>
      <x:c r="J942" t="str">
        <x:f>IF(AND(A942&lt;&gt;"",COUNTIFS(C942,"&gt;=36526",C942,"&lt;"&amp;TODAY())+COUNTIFS(D942,"&gt;=36526",D942,"&lt;"&amp;TODAY())+COUNTIFS(E942,"&gt;=36526",E942,"&lt;"&amp;TODAY())+COUNTIFS(F942,"&gt;=36526",F942,"&lt;"&amp;TODAY())&gt;0),O942,"")</x:f>
      </x:c>
      <x:c r="K942" t="str">
        <x:f>IF(AND(A942&lt;&gt;"",COUNTIFS(C942,"&gt;=36526",C942,TODAY())+COUNTIFS(D942,"&gt;=36526",D942,TODAY())+COUNTIFS(E942,"&gt;=36526",E942,TODAY())+COUNTIFS(F942,"&gt;=36526",F942,TODAY())&gt;0),P942,"")</x:f>
      </x:c>
      <x:c r="L942" t="str">
        <x:f>IF(AND(A942&lt;&gt;"",COUNTIFS(C942,"&gt;"&amp;TODAY(),C942,"&lt;="&amp;TODAY()+30)+COUNTIFS(D942,"&gt;"&amp;TODAY(),D942,"&lt;="&amp;TODAY()+30)+COUNTIFS(E942,"&gt;"&amp;TODAY(),E942,"&lt;="&amp;TODAY()+30)+COUNTIFS(F942,"&gt;"&amp;TODAY(),F942,"&lt;="&amp;TODAY()+30)&gt;0),Q942,"")</x:f>
      </x:c>
      <x:c r="M942" t="str">
        <x:f>IF(OR(LEFT(H942,15)="Missing dates; ",LEFT(H942,16)="Add N/A reason; ",H942="Add dates",H942="Add registration",H942="Check date format"),R942,"")</x:f>
      </x:c>
      <x:c r="N942" t="str">
        <x:f>IF(COUNTIFS(C942:F942,"Reviewed N/A")&gt;0,S942,"")</x:f>
      </x:c>
      <x:c r="O942" t="n">
        <x:f>O941+IF(AND(A942&lt;&gt;"",COUNTIFS(C942,"&gt;=36526",C942,"&lt;"&amp;TODAY())+COUNTIFS(D942,"&gt;=36526",D942,"&lt;"&amp;TODAY())+COUNTIFS(E942,"&gt;=36526",E942,"&lt;"&amp;TODAY())+COUNTIFS(F942,"&gt;=36526",F942,"&lt;"&amp;TODAY())&gt;0),1,0)</x:f>
        <x:v>0</x:v>
      </x:c>
      <x:c r="P942" t="n">
        <x:f>P941+IF(AND(A942&lt;&gt;"",COUNTIFS(C942,"&gt;=36526",C942,TODAY())+COUNTIFS(D942,"&gt;=36526",D942,TODAY())+COUNTIFS(E942,"&gt;=36526",E942,TODAY())+COUNTIFS(F942,"&gt;=36526",F942,TODAY())&gt;0),1,0)</x:f>
        <x:v>0</x:v>
      </x:c>
      <x:c r="Q942" t="n">
        <x:f>Q941+IF(AND(A942&lt;&gt;"",COUNTIFS(C942,"&gt;"&amp;TODAY(),C942,"&lt;="&amp;TODAY()+30)+COUNTIFS(D942,"&gt;"&amp;TODAY(),D942,"&lt;="&amp;TODAY()+30)+COUNTIFS(E942,"&gt;"&amp;TODAY(),E942,"&lt;="&amp;TODAY()+30)+COUNTIFS(F942,"&gt;"&amp;TODAY(),F942,"&lt;="&amp;TODAY()+30)&gt;0),1,0)</x:f>
        <x:v>0</x:v>
      </x:c>
      <x:c r="R942" t="n">
        <x:f>R941+IF(OR(LEFT(H942,15)="Missing dates; ",LEFT(H942,16)="Add N/A reason; ",H942="Add dates",H942="Add registration",H942="Check date format"),1,0)</x:f>
        <x:v>0</x:v>
      </x:c>
      <x:c r="S942" t="n">
        <x:f>S941+IF(COUNTIFS(C942:F942,"Reviewed N/A")&gt;0,1,0)</x:f>
        <x:v>0</x:v>
      </x:c>
    </x:row>
    <x:row r="943" ht="48" customHeight="1">
      <x:c r="A943" s="52"/>
      <x:c r="B943" s="52"/>
      <x:c r="C943" s="53"/>
      <x:c r="D943" s="53"/>
      <x:c r="E943" s="53"/>
      <x:c r="F943" s="53"/>
      <x:c r="G943" s="52"/>
      <x:c r="H943" s="21" t="str">
        <x:f>IF(COUNTA(A943:G943,I943)=0,"",IF(A943="","Add registration",IF(OR(COUNTA(C943:F943)&gt;COUNT(C943:F943)+COUNTIFS(C943:F943,"Reviewed N/A"),AND(COUNT(C943:F943)&gt;0,OR(MIN(C943:F943)&lt;36526,MAX(C943:F943)&gt;109574))),"Check date format",IF(AND(COUNTIFS(C943:F943,"Reviewed N/A")&gt;0,I943=""),"Add N/A reason; ","")&amp;IF(COUNT(C943:F943)=0,IF(COUNTIFS(C943:F943,"Reviewed N/A")=4,"No applicable dates recorded","Add dates"),IF(COUNT(C943:F943)+COUNTIFS(C943:F943,"Reviewed N/A")&lt;4,"Missing dates; ","")&amp;IF(MIN(C943:F943)&lt;TODAY(),"Overdue: ",IF(MIN(C943:F943)=TODAY(),"Due today: ",IF(MIN(C943:F943)&lt;=TODAY()+30,"Due within 30 days: ","Next: ")))&amp;INDEX($C$8:$F$8,1,MATCH(MIN(C943:F943),C943:F943,0))&amp;" "&amp;TEXT(MIN(C943:F943),"dd mmm yyyy")))))</x:f>
      </x:c>
      <x:c r="I943" s="52"/>
      <x:c r="J943" t="str">
        <x:f>IF(AND(A943&lt;&gt;"",COUNTIFS(C943,"&gt;=36526",C943,"&lt;"&amp;TODAY())+COUNTIFS(D943,"&gt;=36526",D943,"&lt;"&amp;TODAY())+COUNTIFS(E943,"&gt;=36526",E943,"&lt;"&amp;TODAY())+COUNTIFS(F943,"&gt;=36526",F943,"&lt;"&amp;TODAY())&gt;0),O943,"")</x:f>
      </x:c>
      <x:c r="K943" t="str">
        <x:f>IF(AND(A943&lt;&gt;"",COUNTIFS(C943,"&gt;=36526",C943,TODAY())+COUNTIFS(D943,"&gt;=36526",D943,TODAY())+COUNTIFS(E943,"&gt;=36526",E943,TODAY())+COUNTIFS(F943,"&gt;=36526",F943,TODAY())&gt;0),P943,"")</x:f>
      </x:c>
      <x:c r="L943" t="str">
        <x:f>IF(AND(A943&lt;&gt;"",COUNTIFS(C943,"&gt;"&amp;TODAY(),C943,"&lt;="&amp;TODAY()+30)+COUNTIFS(D943,"&gt;"&amp;TODAY(),D943,"&lt;="&amp;TODAY()+30)+COUNTIFS(E943,"&gt;"&amp;TODAY(),E943,"&lt;="&amp;TODAY()+30)+COUNTIFS(F943,"&gt;"&amp;TODAY(),F943,"&lt;="&amp;TODAY()+30)&gt;0),Q943,"")</x:f>
      </x:c>
      <x:c r="M943" t="str">
        <x:f>IF(OR(LEFT(H943,15)="Missing dates; ",LEFT(H943,16)="Add N/A reason; ",H943="Add dates",H943="Add registration",H943="Check date format"),R943,"")</x:f>
      </x:c>
      <x:c r="N943" t="str">
        <x:f>IF(COUNTIFS(C943:F943,"Reviewed N/A")&gt;0,S943,"")</x:f>
      </x:c>
      <x:c r="O943" t="n">
        <x:f>O942+IF(AND(A943&lt;&gt;"",COUNTIFS(C943,"&gt;=36526",C943,"&lt;"&amp;TODAY())+COUNTIFS(D943,"&gt;=36526",D943,"&lt;"&amp;TODAY())+COUNTIFS(E943,"&gt;=36526",E943,"&lt;"&amp;TODAY())+COUNTIFS(F943,"&gt;=36526",F943,"&lt;"&amp;TODAY())&gt;0),1,0)</x:f>
        <x:v>0</x:v>
      </x:c>
      <x:c r="P943" t="n">
        <x:f>P942+IF(AND(A943&lt;&gt;"",COUNTIFS(C943,"&gt;=36526",C943,TODAY())+COUNTIFS(D943,"&gt;=36526",D943,TODAY())+COUNTIFS(E943,"&gt;=36526",E943,TODAY())+COUNTIFS(F943,"&gt;=36526",F943,TODAY())&gt;0),1,0)</x:f>
        <x:v>0</x:v>
      </x:c>
      <x:c r="Q943" t="n">
        <x:f>Q942+IF(AND(A943&lt;&gt;"",COUNTIFS(C943,"&gt;"&amp;TODAY(),C943,"&lt;="&amp;TODAY()+30)+COUNTIFS(D943,"&gt;"&amp;TODAY(),D943,"&lt;="&amp;TODAY()+30)+COUNTIFS(E943,"&gt;"&amp;TODAY(),E943,"&lt;="&amp;TODAY()+30)+COUNTIFS(F943,"&gt;"&amp;TODAY(),F943,"&lt;="&amp;TODAY()+30)&gt;0),1,0)</x:f>
        <x:v>0</x:v>
      </x:c>
      <x:c r="R943" t="n">
        <x:f>R942+IF(OR(LEFT(H943,15)="Missing dates; ",LEFT(H943,16)="Add N/A reason; ",H943="Add dates",H943="Add registration",H943="Check date format"),1,0)</x:f>
        <x:v>0</x:v>
      </x:c>
      <x:c r="S943" t="n">
        <x:f>S942+IF(COUNTIFS(C943:F943,"Reviewed N/A")&gt;0,1,0)</x:f>
        <x:v>0</x:v>
      </x:c>
    </x:row>
    <x:row r="944" ht="48" customHeight="1">
      <x:c r="A944" s="52"/>
      <x:c r="B944" s="52"/>
      <x:c r="C944" s="53"/>
      <x:c r="D944" s="53"/>
      <x:c r="E944" s="53"/>
      <x:c r="F944" s="53"/>
      <x:c r="G944" s="52"/>
      <x:c r="H944" s="21" t="str">
        <x:f>IF(COUNTA(A944:G944,I944)=0,"",IF(A944="","Add registration",IF(OR(COUNTA(C944:F944)&gt;COUNT(C944:F944)+COUNTIFS(C944:F944,"Reviewed N/A"),AND(COUNT(C944:F944)&gt;0,OR(MIN(C944:F944)&lt;36526,MAX(C944:F944)&gt;109574))),"Check date format",IF(AND(COUNTIFS(C944:F944,"Reviewed N/A")&gt;0,I944=""),"Add N/A reason; ","")&amp;IF(COUNT(C944:F944)=0,IF(COUNTIFS(C944:F944,"Reviewed N/A")=4,"No applicable dates recorded","Add dates"),IF(COUNT(C944:F944)+COUNTIFS(C944:F944,"Reviewed N/A")&lt;4,"Missing dates; ","")&amp;IF(MIN(C944:F944)&lt;TODAY(),"Overdue: ",IF(MIN(C944:F944)=TODAY(),"Due today: ",IF(MIN(C944:F944)&lt;=TODAY()+30,"Due within 30 days: ","Next: ")))&amp;INDEX($C$8:$F$8,1,MATCH(MIN(C944:F944),C944:F944,0))&amp;" "&amp;TEXT(MIN(C944:F944),"dd mmm yyyy")))))</x:f>
      </x:c>
      <x:c r="I944" s="52"/>
      <x:c r="J944" t="str">
        <x:f>IF(AND(A944&lt;&gt;"",COUNTIFS(C944,"&gt;=36526",C944,"&lt;"&amp;TODAY())+COUNTIFS(D944,"&gt;=36526",D944,"&lt;"&amp;TODAY())+COUNTIFS(E944,"&gt;=36526",E944,"&lt;"&amp;TODAY())+COUNTIFS(F944,"&gt;=36526",F944,"&lt;"&amp;TODAY())&gt;0),O944,"")</x:f>
      </x:c>
      <x:c r="K944" t="str">
        <x:f>IF(AND(A944&lt;&gt;"",COUNTIFS(C944,"&gt;=36526",C944,TODAY())+COUNTIFS(D944,"&gt;=36526",D944,TODAY())+COUNTIFS(E944,"&gt;=36526",E944,TODAY())+COUNTIFS(F944,"&gt;=36526",F944,TODAY())&gt;0),P944,"")</x:f>
      </x:c>
      <x:c r="L944" t="str">
        <x:f>IF(AND(A944&lt;&gt;"",COUNTIFS(C944,"&gt;"&amp;TODAY(),C944,"&lt;="&amp;TODAY()+30)+COUNTIFS(D944,"&gt;"&amp;TODAY(),D944,"&lt;="&amp;TODAY()+30)+COUNTIFS(E944,"&gt;"&amp;TODAY(),E944,"&lt;="&amp;TODAY()+30)+COUNTIFS(F944,"&gt;"&amp;TODAY(),F944,"&lt;="&amp;TODAY()+30)&gt;0),Q944,"")</x:f>
      </x:c>
      <x:c r="M944" t="str">
        <x:f>IF(OR(LEFT(H944,15)="Missing dates; ",LEFT(H944,16)="Add N/A reason; ",H944="Add dates",H944="Add registration",H944="Check date format"),R944,"")</x:f>
      </x:c>
      <x:c r="N944" t="str">
        <x:f>IF(COUNTIFS(C944:F944,"Reviewed N/A")&gt;0,S944,"")</x:f>
      </x:c>
      <x:c r="O944" t="n">
        <x:f>O943+IF(AND(A944&lt;&gt;"",COUNTIFS(C944,"&gt;=36526",C944,"&lt;"&amp;TODAY())+COUNTIFS(D944,"&gt;=36526",D944,"&lt;"&amp;TODAY())+COUNTIFS(E944,"&gt;=36526",E944,"&lt;"&amp;TODAY())+COUNTIFS(F944,"&gt;=36526",F944,"&lt;"&amp;TODAY())&gt;0),1,0)</x:f>
        <x:v>0</x:v>
      </x:c>
      <x:c r="P944" t="n">
        <x:f>P943+IF(AND(A944&lt;&gt;"",COUNTIFS(C944,"&gt;=36526",C944,TODAY())+COUNTIFS(D944,"&gt;=36526",D944,TODAY())+COUNTIFS(E944,"&gt;=36526",E944,TODAY())+COUNTIFS(F944,"&gt;=36526",F944,TODAY())&gt;0),1,0)</x:f>
        <x:v>0</x:v>
      </x:c>
      <x:c r="Q944" t="n">
        <x:f>Q943+IF(AND(A944&lt;&gt;"",COUNTIFS(C944,"&gt;"&amp;TODAY(),C944,"&lt;="&amp;TODAY()+30)+COUNTIFS(D944,"&gt;"&amp;TODAY(),D944,"&lt;="&amp;TODAY()+30)+COUNTIFS(E944,"&gt;"&amp;TODAY(),E944,"&lt;="&amp;TODAY()+30)+COUNTIFS(F944,"&gt;"&amp;TODAY(),F944,"&lt;="&amp;TODAY()+30)&gt;0),1,0)</x:f>
        <x:v>0</x:v>
      </x:c>
      <x:c r="R944" t="n">
        <x:f>R943+IF(OR(LEFT(H944,15)="Missing dates; ",LEFT(H944,16)="Add N/A reason; ",H944="Add dates",H944="Add registration",H944="Check date format"),1,0)</x:f>
        <x:v>0</x:v>
      </x:c>
      <x:c r="S944" t="n">
        <x:f>S943+IF(COUNTIFS(C944:F944,"Reviewed N/A")&gt;0,1,0)</x:f>
        <x:v>0</x:v>
      </x:c>
    </x:row>
    <x:row r="945" ht="48" customHeight="1">
      <x:c r="A945" s="52"/>
      <x:c r="B945" s="52"/>
      <x:c r="C945" s="53"/>
      <x:c r="D945" s="53"/>
      <x:c r="E945" s="53"/>
      <x:c r="F945" s="53"/>
      <x:c r="G945" s="52"/>
      <x:c r="H945" s="21" t="str">
        <x:f>IF(COUNTA(A945:G945,I945)=0,"",IF(A945="","Add registration",IF(OR(COUNTA(C945:F945)&gt;COUNT(C945:F945)+COUNTIFS(C945:F945,"Reviewed N/A"),AND(COUNT(C945:F945)&gt;0,OR(MIN(C945:F945)&lt;36526,MAX(C945:F945)&gt;109574))),"Check date format",IF(AND(COUNTIFS(C945:F945,"Reviewed N/A")&gt;0,I945=""),"Add N/A reason; ","")&amp;IF(COUNT(C945:F945)=0,IF(COUNTIFS(C945:F945,"Reviewed N/A")=4,"No applicable dates recorded","Add dates"),IF(COUNT(C945:F945)+COUNTIFS(C945:F945,"Reviewed N/A")&lt;4,"Missing dates; ","")&amp;IF(MIN(C945:F945)&lt;TODAY(),"Overdue: ",IF(MIN(C945:F945)=TODAY(),"Due today: ",IF(MIN(C945:F945)&lt;=TODAY()+30,"Due within 30 days: ","Next: ")))&amp;INDEX($C$8:$F$8,1,MATCH(MIN(C945:F945),C945:F945,0))&amp;" "&amp;TEXT(MIN(C945:F945),"dd mmm yyyy")))))</x:f>
      </x:c>
      <x:c r="I945" s="52"/>
      <x:c r="J945" t="str">
        <x:f>IF(AND(A945&lt;&gt;"",COUNTIFS(C945,"&gt;=36526",C945,"&lt;"&amp;TODAY())+COUNTIFS(D945,"&gt;=36526",D945,"&lt;"&amp;TODAY())+COUNTIFS(E945,"&gt;=36526",E945,"&lt;"&amp;TODAY())+COUNTIFS(F945,"&gt;=36526",F945,"&lt;"&amp;TODAY())&gt;0),O945,"")</x:f>
      </x:c>
      <x:c r="K945" t="str">
        <x:f>IF(AND(A945&lt;&gt;"",COUNTIFS(C945,"&gt;=36526",C945,TODAY())+COUNTIFS(D945,"&gt;=36526",D945,TODAY())+COUNTIFS(E945,"&gt;=36526",E945,TODAY())+COUNTIFS(F945,"&gt;=36526",F945,TODAY())&gt;0),P945,"")</x:f>
      </x:c>
      <x:c r="L945" t="str">
        <x:f>IF(AND(A945&lt;&gt;"",COUNTIFS(C945,"&gt;"&amp;TODAY(),C945,"&lt;="&amp;TODAY()+30)+COUNTIFS(D945,"&gt;"&amp;TODAY(),D945,"&lt;="&amp;TODAY()+30)+COUNTIFS(E945,"&gt;"&amp;TODAY(),E945,"&lt;="&amp;TODAY()+30)+COUNTIFS(F945,"&gt;"&amp;TODAY(),F945,"&lt;="&amp;TODAY()+30)&gt;0),Q945,"")</x:f>
      </x:c>
      <x:c r="M945" t="str">
        <x:f>IF(OR(LEFT(H945,15)="Missing dates; ",LEFT(H945,16)="Add N/A reason; ",H945="Add dates",H945="Add registration",H945="Check date format"),R945,"")</x:f>
      </x:c>
      <x:c r="N945" t="str">
        <x:f>IF(COUNTIFS(C945:F945,"Reviewed N/A")&gt;0,S945,"")</x:f>
      </x:c>
      <x:c r="O945" t="n">
        <x:f>O944+IF(AND(A945&lt;&gt;"",COUNTIFS(C945,"&gt;=36526",C945,"&lt;"&amp;TODAY())+COUNTIFS(D945,"&gt;=36526",D945,"&lt;"&amp;TODAY())+COUNTIFS(E945,"&gt;=36526",E945,"&lt;"&amp;TODAY())+COUNTIFS(F945,"&gt;=36526",F945,"&lt;"&amp;TODAY())&gt;0),1,0)</x:f>
        <x:v>0</x:v>
      </x:c>
      <x:c r="P945" t="n">
        <x:f>P944+IF(AND(A945&lt;&gt;"",COUNTIFS(C945,"&gt;=36526",C945,TODAY())+COUNTIFS(D945,"&gt;=36526",D945,TODAY())+COUNTIFS(E945,"&gt;=36526",E945,TODAY())+COUNTIFS(F945,"&gt;=36526",F945,TODAY())&gt;0),1,0)</x:f>
        <x:v>0</x:v>
      </x:c>
      <x:c r="Q945" t="n">
        <x:f>Q944+IF(AND(A945&lt;&gt;"",COUNTIFS(C945,"&gt;"&amp;TODAY(),C945,"&lt;="&amp;TODAY()+30)+COUNTIFS(D945,"&gt;"&amp;TODAY(),D945,"&lt;="&amp;TODAY()+30)+COUNTIFS(E945,"&gt;"&amp;TODAY(),E945,"&lt;="&amp;TODAY()+30)+COUNTIFS(F945,"&gt;"&amp;TODAY(),F945,"&lt;="&amp;TODAY()+30)&gt;0),1,0)</x:f>
        <x:v>0</x:v>
      </x:c>
      <x:c r="R945" t="n">
        <x:f>R944+IF(OR(LEFT(H945,15)="Missing dates; ",LEFT(H945,16)="Add N/A reason; ",H945="Add dates",H945="Add registration",H945="Check date format"),1,0)</x:f>
        <x:v>0</x:v>
      </x:c>
      <x:c r="S945" t="n">
        <x:f>S944+IF(COUNTIFS(C945:F945,"Reviewed N/A")&gt;0,1,0)</x:f>
        <x:v>0</x:v>
      </x:c>
    </x:row>
    <x:row r="946" ht="48" customHeight="1">
      <x:c r="A946" s="52"/>
      <x:c r="B946" s="52"/>
      <x:c r="C946" s="53"/>
      <x:c r="D946" s="53"/>
      <x:c r="E946" s="53"/>
      <x:c r="F946" s="53"/>
      <x:c r="G946" s="52"/>
      <x:c r="H946" s="21" t="str">
        <x:f>IF(COUNTA(A946:G946,I946)=0,"",IF(A946="","Add registration",IF(OR(COUNTA(C946:F946)&gt;COUNT(C946:F946)+COUNTIFS(C946:F946,"Reviewed N/A"),AND(COUNT(C946:F946)&gt;0,OR(MIN(C946:F946)&lt;36526,MAX(C946:F946)&gt;109574))),"Check date format",IF(AND(COUNTIFS(C946:F946,"Reviewed N/A")&gt;0,I946=""),"Add N/A reason; ","")&amp;IF(COUNT(C946:F946)=0,IF(COUNTIFS(C946:F946,"Reviewed N/A")=4,"No applicable dates recorded","Add dates"),IF(COUNT(C946:F946)+COUNTIFS(C946:F946,"Reviewed N/A")&lt;4,"Missing dates; ","")&amp;IF(MIN(C946:F946)&lt;TODAY(),"Overdue: ",IF(MIN(C946:F946)=TODAY(),"Due today: ",IF(MIN(C946:F946)&lt;=TODAY()+30,"Due within 30 days: ","Next: ")))&amp;INDEX($C$8:$F$8,1,MATCH(MIN(C946:F946),C946:F946,0))&amp;" "&amp;TEXT(MIN(C946:F946),"dd mmm yyyy")))))</x:f>
      </x:c>
      <x:c r="I946" s="52"/>
      <x:c r="J946" t="str">
        <x:f>IF(AND(A946&lt;&gt;"",COUNTIFS(C946,"&gt;=36526",C946,"&lt;"&amp;TODAY())+COUNTIFS(D946,"&gt;=36526",D946,"&lt;"&amp;TODAY())+COUNTIFS(E946,"&gt;=36526",E946,"&lt;"&amp;TODAY())+COUNTIFS(F946,"&gt;=36526",F946,"&lt;"&amp;TODAY())&gt;0),O946,"")</x:f>
      </x:c>
      <x:c r="K946" t="str">
        <x:f>IF(AND(A946&lt;&gt;"",COUNTIFS(C946,"&gt;=36526",C946,TODAY())+COUNTIFS(D946,"&gt;=36526",D946,TODAY())+COUNTIFS(E946,"&gt;=36526",E946,TODAY())+COUNTIFS(F946,"&gt;=36526",F946,TODAY())&gt;0),P946,"")</x:f>
      </x:c>
      <x:c r="L946" t="str">
        <x:f>IF(AND(A946&lt;&gt;"",COUNTIFS(C946,"&gt;"&amp;TODAY(),C946,"&lt;="&amp;TODAY()+30)+COUNTIFS(D946,"&gt;"&amp;TODAY(),D946,"&lt;="&amp;TODAY()+30)+COUNTIFS(E946,"&gt;"&amp;TODAY(),E946,"&lt;="&amp;TODAY()+30)+COUNTIFS(F946,"&gt;"&amp;TODAY(),F946,"&lt;="&amp;TODAY()+30)&gt;0),Q946,"")</x:f>
      </x:c>
      <x:c r="M946" t="str">
        <x:f>IF(OR(LEFT(H946,15)="Missing dates; ",LEFT(H946,16)="Add N/A reason; ",H946="Add dates",H946="Add registration",H946="Check date format"),R946,"")</x:f>
      </x:c>
      <x:c r="N946" t="str">
        <x:f>IF(COUNTIFS(C946:F946,"Reviewed N/A")&gt;0,S946,"")</x:f>
      </x:c>
      <x:c r="O946" t="n">
        <x:f>O945+IF(AND(A946&lt;&gt;"",COUNTIFS(C946,"&gt;=36526",C946,"&lt;"&amp;TODAY())+COUNTIFS(D946,"&gt;=36526",D946,"&lt;"&amp;TODAY())+COUNTIFS(E946,"&gt;=36526",E946,"&lt;"&amp;TODAY())+COUNTIFS(F946,"&gt;=36526",F946,"&lt;"&amp;TODAY())&gt;0),1,0)</x:f>
        <x:v>0</x:v>
      </x:c>
      <x:c r="P946" t="n">
        <x:f>P945+IF(AND(A946&lt;&gt;"",COUNTIFS(C946,"&gt;=36526",C946,TODAY())+COUNTIFS(D946,"&gt;=36526",D946,TODAY())+COUNTIFS(E946,"&gt;=36526",E946,TODAY())+COUNTIFS(F946,"&gt;=36526",F946,TODAY())&gt;0),1,0)</x:f>
        <x:v>0</x:v>
      </x:c>
      <x:c r="Q946" t="n">
        <x:f>Q945+IF(AND(A946&lt;&gt;"",COUNTIFS(C946,"&gt;"&amp;TODAY(),C946,"&lt;="&amp;TODAY()+30)+COUNTIFS(D946,"&gt;"&amp;TODAY(),D946,"&lt;="&amp;TODAY()+30)+COUNTIFS(E946,"&gt;"&amp;TODAY(),E946,"&lt;="&amp;TODAY()+30)+COUNTIFS(F946,"&gt;"&amp;TODAY(),F946,"&lt;="&amp;TODAY()+30)&gt;0),1,0)</x:f>
        <x:v>0</x:v>
      </x:c>
      <x:c r="R946" t="n">
        <x:f>R945+IF(OR(LEFT(H946,15)="Missing dates; ",LEFT(H946,16)="Add N/A reason; ",H946="Add dates",H946="Add registration",H946="Check date format"),1,0)</x:f>
        <x:v>0</x:v>
      </x:c>
      <x:c r="S946" t="n">
        <x:f>S945+IF(COUNTIFS(C946:F946,"Reviewed N/A")&gt;0,1,0)</x:f>
        <x:v>0</x:v>
      </x:c>
    </x:row>
    <x:row r="947" ht="48" customHeight="1">
      <x:c r="A947" s="52"/>
      <x:c r="B947" s="52"/>
      <x:c r="C947" s="53"/>
      <x:c r="D947" s="53"/>
      <x:c r="E947" s="53"/>
      <x:c r="F947" s="53"/>
      <x:c r="G947" s="52"/>
      <x:c r="H947" s="21" t="str">
        <x:f>IF(COUNTA(A947:G947,I947)=0,"",IF(A947="","Add registration",IF(OR(COUNTA(C947:F947)&gt;COUNT(C947:F947)+COUNTIFS(C947:F947,"Reviewed N/A"),AND(COUNT(C947:F947)&gt;0,OR(MIN(C947:F947)&lt;36526,MAX(C947:F947)&gt;109574))),"Check date format",IF(AND(COUNTIFS(C947:F947,"Reviewed N/A")&gt;0,I947=""),"Add N/A reason; ","")&amp;IF(COUNT(C947:F947)=0,IF(COUNTIFS(C947:F947,"Reviewed N/A")=4,"No applicable dates recorded","Add dates"),IF(COUNT(C947:F947)+COUNTIFS(C947:F947,"Reviewed N/A")&lt;4,"Missing dates; ","")&amp;IF(MIN(C947:F947)&lt;TODAY(),"Overdue: ",IF(MIN(C947:F947)=TODAY(),"Due today: ",IF(MIN(C947:F947)&lt;=TODAY()+30,"Due within 30 days: ","Next: ")))&amp;INDEX($C$8:$F$8,1,MATCH(MIN(C947:F947),C947:F947,0))&amp;" "&amp;TEXT(MIN(C947:F947),"dd mmm yyyy")))))</x:f>
      </x:c>
      <x:c r="I947" s="52"/>
      <x:c r="J947" t="str">
        <x:f>IF(AND(A947&lt;&gt;"",COUNTIFS(C947,"&gt;=36526",C947,"&lt;"&amp;TODAY())+COUNTIFS(D947,"&gt;=36526",D947,"&lt;"&amp;TODAY())+COUNTIFS(E947,"&gt;=36526",E947,"&lt;"&amp;TODAY())+COUNTIFS(F947,"&gt;=36526",F947,"&lt;"&amp;TODAY())&gt;0),O947,"")</x:f>
      </x:c>
      <x:c r="K947" t="str">
        <x:f>IF(AND(A947&lt;&gt;"",COUNTIFS(C947,"&gt;=36526",C947,TODAY())+COUNTIFS(D947,"&gt;=36526",D947,TODAY())+COUNTIFS(E947,"&gt;=36526",E947,TODAY())+COUNTIFS(F947,"&gt;=36526",F947,TODAY())&gt;0),P947,"")</x:f>
      </x:c>
      <x:c r="L947" t="str">
        <x:f>IF(AND(A947&lt;&gt;"",COUNTIFS(C947,"&gt;"&amp;TODAY(),C947,"&lt;="&amp;TODAY()+30)+COUNTIFS(D947,"&gt;"&amp;TODAY(),D947,"&lt;="&amp;TODAY()+30)+COUNTIFS(E947,"&gt;"&amp;TODAY(),E947,"&lt;="&amp;TODAY()+30)+COUNTIFS(F947,"&gt;"&amp;TODAY(),F947,"&lt;="&amp;TODAY()+30)&gt;0),Q947,"")</x:f>
      </x:c>
      <x:c r="M947" t="str">
        <x:f>IF(OR(LEFT(H947,15)="Missing dates; ",LEFT(H947,16)="Add N/A reason; ",H947="Add dates",H947="Add registration",H947="Check date format"),R947,"")</x:f>
      </x:c>
      <x:c r="N947" t="str">
        <x:f>IF(COUNTIFS(C947:F947,"Reviewed N/A")&gt;0,S947,"")</x:f>
      </x:c>
      <x:c r="O947" t="n">
        <x:f>O946+IF(AND(A947&lt;&gt;"",COUNTIFS(C947,"&gt;=36526",C947,"&lt;"&amp;TODAY())+COUNTIFS(D947,"&gt;=36526",D947,"&lt;"&amp;TODAY())+COUNTIFS(E947,"&gt;=36526",E947,"&lt;"&amp;TODAY())+COUNTIFS(F947,"&gt;=36526",F947,"&lt;"&amp;TODAY())&gt;0),1,0)</x:f>
        <x:v>0</x:v>
      </x:c>
      <x:c r="P947" t="n">
        <x:f>P946+IF(AND(A947&lt;&gt;"",COUNTIFS(C947,"&gt;=36526",C947,TODAY())+COUNTIFS(D947,"&gt;=36526",D947,TODAY())+COUNTIFS(E947,"&gt;=36526",E947,TODAY())+COUNTIFS(F947,"&gt;=36526",F947,TODAY())&gt;0),1,0)</x:f>
        <x:v>0</x:v>
      </x:c>
      <x:c r="Q947" t="n">
        <x:f>Q946+IF(AND(A947&lt;&gt;"",COUNTIFS(C947,"&gt;"&amp;TODAY(),C947,"&lt;="&amp;TODAY()+30)+COUNTIFS(D947,"&gt;"&amp;TODAY(),D947,"&lt;="&amp;TODAY()+30)+COUNTIFS(E947,"&gt;"&amp;TODAY(),E947,"&lt;="&amp;TODAY()+30)+COUNTIFS(F947,"&gt;"&amp;TODAY(),F947,"&lt;="&amp;TODAY()+30)&gt;0),1,0)</x:f>
        <x:v>0</x:v>
      </x:c>
      <x:c r="R947" t="n">
        <x:f>R946+IF(OR(LEFT(H947,15)="Missing dates; ",LEFT(H947,16)="Add N/A reason; ",H947="Add dates",H947="Add registration",H947="Check date format"),1,0)</x:f>
        <x:v>0</x:v>
      </x:c>
      <x:c r="S947" t="n">
        <x:f>S946+IF(COUNTIFS(C947:F947,"Reviewed N/A")&gt;0,1,0)</x:f>
        <x:v>0</x:v>
      </x:c>
    </x:row>
    <x:row r="948" ht="48" customHeight="1">
      <x:c r="A948" s="52"/>
      <x:c r="B948" s="52"/>
      <x:c r="C948" s="53"/>
      <x:c r="D948" s="53"/>
      <x:c r="E948" s="53"/>
      <x:c r="F948" s="53"/>
      <x:c r="G948" s="52"/>
      <x:c r="H948" s="21" t="str">
        <x:f>IF(COUNTA(A948:G948,I948)=0,"",IF(A948="","Add registration",IF(OR(COUNTA(C948:F948)&gt;COUNT(C948:F948)+COUNTIFS(C948:F948,"Reviewed N/A"),AND(COUNT(C948:F948)&gt;0,OR(MIN(C948:F948)&lt;36526,MAX(C948:F948)&gt;109574))),"Check date format",IF(AND(COUNTIFS(C948:F948,"Reviewed N/A")&gt;0,I948=""),"Add N/A reason; ","")&amp;IF(COUNT(C948:F948)=0,IF(COUNTIFS(C948:F948,"Reviewed N/A")=4,"No applicable dates recorded","Add dates"),IF(COUNT(C948:F948)+COUNTIFS(C948:F948,"Reviewed N/A")&lt;4,"Missing dates; ","")&amp;IF(MIN(C948:F948)&lt;TODAY(),"Overdue: ",IF(MIN(C948:F948)=TODAY(),"Due today: ",IF(MIN(C948:F948)&lt;=TODAY()+30,"Due within 30 days: ","Next: ")))&amp;INDEX($C$8:$F$8,1,MATCH(MIN(C948:F948),C948:F948,0))&amp;" "&amp;TEXT(MIN(C948:F948),"dd mmm yyyy")))))</x:f>
      </x:c>
      <x:c r="I948" s="52"/>
      <x:c r="J948" t="str">
        <x:f>IF(AND(A948&lt;&gt;"",COUNTIFS(C948,"&gt;=36526",C948,"&lt;"&amp;TODAY())+COUNTIFS(D948,"&gt;=36526",D948,"&lt;"&amp;TODAY())+COUNTIFS(E948,"&gt;=36526",E948,"&lt;"&amp;TODAY())+COUNTIFS(F948,"&gt;=36526",F948,"&lt;"&amp;TODAY())&gt;0),O948,"")</x:f>
      </x:c>
      <x:c r="K948" t="str">
        <x:f>IF(AND(A948&lt;&gt;"",COUNTIFS(C948,"&gt;=36526",C948,TODAY())+COUNTIFS(D948,"&gt;=36526",D948,TODAY())+COUNTIFS(E948,"&gt;=36526",E948,TODAY())+COUNTIFS(F948,"&gt;=36526",F948,TODAY())&gt;0),P948,"")</x:f>
      </x:c>
      <x:c r="L948" t="str">
        <x:f>IF(AND(A948&lt;&gt;"",COUNTIFS(C948,"&gt;"&amp;TODAY(),C948,"&lt;="&amp;TODAY()+30)+COUNTIFS(D948,"&gt;"&amp;TODAY(),D948,"&lt;="&amp;TODAY()+30)+COUNTIFS(E948,"&gt;"&amp;TODAY(),E948,"&lt;="&amp;TODAY()+30)+COUNTIFS(F948,"&gt;"&amp;TODAY(),F948,"&lt;="&amp;TODAY()+30)&gt;0),Q948,"")</x:f>
      </x:c>
      <x:c r="M948" t="str">
        <x:f>IF(OR(LEFT(H948,15)="Missing dates; ",LEFT(H948,16)="Add N/A reason; ",H948="Add dates",H948="Add registration",H948="Check date format"),R948,"")</x:f>
      </x:c>
      <x:c r="N948" t="str">
        <x:f>IF(COUNTIFS(C948:F948,"Reviewed N/A")&gt;0,S948,"")</x:f>
      </x:c>
      <x:c r="O948" t="n">
        <x:f>O947+IF(AND(A948&lt;&gt;"",COUNTIFS(C948,"&gt;=36526",C948,"&lt;"&amp;TODAY())+COUNTIFS(D948,"&gt;=36526",D948,"&lt;"&amp;TODAY())+COUNTIFS(E948,"&gt;=36526",E948,"&lt;"&amp;TODAY())+COUNTIFS(F948,"&gt;=36526",F948,"&lt;"&amp;TODAY())&gt;0),1,0)</x:f>
        <x:v>0</x:v>
      </x:c>
      <x:c r="P948" t="n">
        <x:f>P947+IF(AND(A948&lt;&gt;"",COUNTIFS(C948,"&gt;=36526",C948,TODAY())+COUNTIFS(D948,"&gt;=36526",D948,TODAY())+COUNTIFS(E948,"&gt;=36526",E948,TODAY())+COUNTIFS(F948,"&gt;=36526",F948,TODAY())&gt;0),1,0)</x:f>
        <x:v>0</x:v>
      </x:c>
      <x:c r="Q948" t="n">
        <x:f>Q947+IF(AND(A948&lt;&gt;"",COUNTIFS(C948,"&gt;"&amp;TODAY(),C948,"&lt;="&amp;TODAY()+30)+COUNTIFS(D948,"&gt;"&amp;TODAY(),D948,"&lt;="&amp;TODAY()+30)+COUNTIFS(E948,"&gt;"&amp;TODAY(),E948,"&lt;="&amp;TODAY()+30)+COUNTIFS(F948,"&gt;"&amp;TODAY(),F948,"&lt;="&amp;TODAY()+30)&gt;0),1,0)</x:f>
        <x:v>0</x:v>
      </x:c>
      <x:c r="R948" t="n">
        <x:f>R947+IF(OR(LEFT(H948,15)="Missing dates; ",LEFT(H948,16)="Add N/A reason; ",H948="Add dates",H948="Add registration",H948="Check date format"),1,0)</x:f>
        <x:v>0</x:v>
      </x:c>
      <x:c r="S948" t="n">
        <x:f>S947+IF(COUNTIFS(C948:F948,"Reviewed N/A")&gt;0,1,0)</x:f>
        <x:v>0</x:v>
      </x:c>
    </x:row>
    <x:row r="949" ht="48" customHeight="1">
      <x:c r="A949" s="52"/>
      <x:c r="B949" s="52"/>
      <x:c r="C949" s="53"/>
      <x:c r="D949" s="53"/>
      <x:c r="E949" s="53"/>
      <x:c r="F949" s="53"/>
      <x:c r="G949" s="52"/>
      <x:c r="H949" s="21" t="str">
        <x:f>IF(COUNTA(A949:G949,I949)=0,"",IF(A949="","Add registration",IF(OR(COUNTA(C949:F949)&gt;COUNT(C949:F949)+COUNTIFS(C949:F949,"Reviewed N/A"),AND(COUNT(C949:F949)&gt;0,OR(MIN(C949:F949)&lt;36526,MAX(C949:F949)&gt;109574))),"Check date format",IF(AND(COUNTIFS(C949:F949,"Reviewed N/A")&gt;0,I949=""),"Add N/A reason; ","")&amp;IF(COUNT(C949:F949)=0,IF(COUNTIFS(C949:F949,"Reviewed N/A")=4,"No applicable dates recorded","Add dates"),IF(COUNT(C949:F949)+COUNTIFS(C949:F949,"Reviewed N/A")&lt;4,"Missing dates; ","")&amp;IF(MIN(C949:F949)&lt;TODAY(),"Overdue: ",IF(MIN(C949:F949)=TODAY(),"Due today: ",IF(MIN(C949:F949)&lt;=TODAY()+30,"Due within 30 days: ","Next: ")))&amp;INDEX($C$8:$F$8,1,MATCH(MIN(C949:F949),C949:F949,0))&amp;" "&amp;TEXT(MIN(C949:F949),"dd mmm yyyy")))))</x:f>
      </x:c>
      <x:c r="I949" s="52"/>
      <x:c r="J949" t="str">
        <x:f>IF(AND(A949&lt;&gt;"",COUNTIFS(C949,"&gt;=36526",C949,"&lt;"&amp;TODAY())+COUNTIFS(D949,"&gt;=36526",D949,"&lt;"&amp;TODAY())+COUNTIFS(E949,"&gt;=36526",E949,"&lt;"&amp;TODAY())+COUNTIFS(F949,"&gt;=36526",F949,"&lt;"&amp;TODAY())&gt;0),O949,"")</x:f>
      </x:c>
      <x:c r="K949" t="str">
        <x:f>IF(AND(A949&lt;&gt;"",COUNTIFS(C949,"&gt;=36526",C949,TODAY())+COUNTIFS(D949,"&gt;=36526",D949,TODAY())+COUNTIFS(E949,"&gt;=36526",E949,TODAY())+COUNTIFS(F949,"&gt;=36526",F949,TODAY())&gt;0),P949,"")</x:f>
      </x:c>
      <x:c r="L949" t="str">
        <x:f>IF(AND(A949&lt;&gt;"",COUNTIFS(C949,"&gt;"&amp;TODAY(),C949,"&lt;="&amp;TODAY()+30)+COUNTIFS(D949,"&gt;"&amp;TODAY(),D949,"&lt;="&amp;TODAY()+30)+COUNTIFS(E949,"&gt;"&amp;TODAY(),E949,"&lt;="&amp;TODAY()+30)+COUNTIFS(F949,"&gt;"&amp;TODAY(),F949,"&lt;="&amp;TODAY()+30)&gt;0),Q949,"")</x:f>
      </x:c>
      <x:c r="M949" t="str">
        <x:f>IF(OR(LEFT(H949,15)="Missing dates; ",LEFT(H949,16)="Add N/A reason; ",H949="Add dates",H949="Add registration",H949="Check date format"),R949,"")</x:f>
      </x:c>
      <x:c r="N949" t="str">
        <x:f>IF(COUNTIFS(C949:F949,"Reviewed N/A")&gt;0,S949,"")</x:f>
      </x:c>
      <x:c r="O949" t="n">
        <x:f>O948+IF(AND(A949&lt;&gt;"",COUNTIFS(C949,"&gt;=36526",C949,"&lt;"&amp;TODAY())+COUNTIFS(D949,"&gt;=36526",D949,"&lt;"&amp;TODAY())+COUNTIFS(E949,"&gt;=36526",E949,"&lt;"&amp;TODAY())+COUNTIFS(F949,"&gt;=36526",F949,"&lt;"&amp;TODAY())&gt;0),1,0)</x:f>
        <x:v>0</x:v>
      </x:c>
      <x:c r="P949" t="n">
        <x:f>P948+IF(AND(A949&lt;&gt;"",COUNTIFS(C949,"&gt;=36526",C949,TODAY())+COUNTIFS(D949,"&gt;=36526",D949,TODAY())+COUNTIFS(E949,"&gt;=36526",E949,TODAY())+COUNTIFS(F949,"&gt;=36526",F949,TODAY())&gt;0),1,0)</x:f>
        <x:v>0</x:v>
      </x:c>
      <x:c r="Q949" t="n">
        <x:f>Q948+IF(AND(A949&lt;&gt;"",COUNTIFS(C949,"&gt;"&amp;TODAY(),C949,"&lt;="&amp;TODAY()+30)+COUNTIFS(D949,"&gt;"&amp;TODAY(),D949,"&lt;="&amp;TODAY()+30)+COUNTIFS(E949,"&gt;"&amp;TODAY(),E949,"&lt;="&amp;TODAY()+30)+COUNTIFS(F949,"&gt;"&amp;TODAY(),F949,"&lt;="&amp;TODAY()+30)&gt;0),1,0)</x:f>
        <x:v>0</x:v>
      </x:c>
      <x:c r="R949" t="n">
        <x:f>R948+IF(OR(LEFT(H949,15)="Missing dates; ",LEFT(H949,16)="Add N/A reason; ",H949="Add dates",H949="Add registration",H949="Check date format"),1,0)</x:f>
        <x:v>0</x:v>
      </x:c>
      <x:c r="S949" t="n">
        <x:f>S948+IF(COUNTIFS(C949:F949,"Reviewed N/A")&gt;0,1,0)</x:f>
        <x:v>0</x:v>
      </x:c>
    </x:row>
    <x:row r="950" ht="48" customHeight="1">
      <x:c r="A950" s="52"/>
      <x:c r="B950" s="52"/>
      <x:c r="C950" s="53"/>
      <x:c r="D950" s="53"/>
      <x:c r="E950" s="53"/>
      <x:c r="F950" s="53"/>
      <x:c r="G950" s="52"/>
      <x:c r="H950" s="21" t="str">
        <x:f>IF(COUNTA(A950:G950,I950)=0,"",IF(A950="","Add registration",IF(OR(COUNTA(C950:F950)&gt;COUNT(C950:F950)+COUNTIFS(C950:F950,"Reviewed N/A"),AND(COUNT(C950:F950)&gt;0,OR(MIN(C950:F950)&lt;36526,MAX(C950:F950)&gt;109574))),"Check date format",IF(AND(COUNTIFS(C950:F950,"Reviewed N/A")&gt;0,I950=""),"Add N/A reason; ","")&amp;IF(COUNT(C950:F950)=0,IF(COUNTIFS(C950:F950,"Reviewed N/A")=4,"No applicable dates recorded","Add dates"),IF(COUNT(C950:F950)+COUNTIFS(C950:F950,"Reviewed N/A")&lt;4,"Missing dates; ","")&amp;IF(MIN(C950:F950)&lt;TODAY(),"Overdue: ",IF(MIN(C950:F950)=TODAY(),"Due today: ",IF(MIN(C950:F950)&lt;=TODAY()+30,"Due within 30 days: ","Next: ")))&amp;INDEX($C$8:$F$8,1,MATCH(MIN(C950:F950),C950:F950,0))&amp;" "&amp;TEXT(MIN(C950:F950),"dd mmm yyyy")))))</x:f>
      </x:c>
      <x:c r="I950" s="52"/>
      <x:c r="J950" t="str">
        <x:f>IF(AND(A950&lt;&gt;"",COUNTIFS(C950,"&gt;=36526",C950,"&lt;"&amp;TODAY())+COUNTIFS(D950,"&gt;=36526",D950,"&lt;"&amp;TODAY())+COUNTIFS(E950,"&gt;=36526",E950,"&lt;"&amp;TODAY())+COUNTIFS(F950,"&gt;=36526",F950,"&lt;"&amp;TODAY())&gt;0),O950,"")</x:f>
      </x:c>
      <x:c r="K950" t="str">
        <x:f>IF(AND(A950&lt;&gt;"",COUNTIFS(C950,"&gt;=36526",C950,TODAY())+COUNTIFS(D950,"&gt;=36526",D950,TODAY())+COUNTIFS(E950,"&gt;=36526",E950,TODAY())+COUNTIFS(F950,"&gt;=36526",F950,TODAY())&gt;0),P950,"")</x:f>
      </x:c>
      <x:c r="L950" t="str">
        <x:f>IF(AND(A950&lt;&gt;"",COUNTIFS(C950,"&gt;"&amp;TODAY(),C950,"&lt;="&amp;TODAY()+30)+COUNTIFS(D950,"&gt;"&amp;TODAY(),D950,"&lt;="&amp;TODAY()+30)+COUNTIFS(E950,"&gt;"&amp;TODAY(),E950,"&lt;="&amp;TODAY()+30)+COUNTIFS(F950,"&gt;"&amp;TODAY(),F950,"&lt;="&amp;TODAY()+30)&gt;0),Q950,"")</x:f>
      </x:c>
      <x:c r="M950" t="str">
        <x:f>IF(OR(LEFT(H950,15)="Missing dates; ",LEFT(H950,16)="Add N/A reason; ",H950="Add dates",H950="Add registration",H950="Check date format"),R950,"")</x:f>
      </x:c>
      <x:c r="N950" t="str">
        <x:f>IF(COUNTIFS(C950:F950,"Reviewed N/A")&gt;0,S950,"")</x:f>
      </x:c>
      <x:c r="O950" t="n">
        <x:f>O949+IF(AND(A950&lt;&gt;"",COUNTIFS(C950,"&gt;=36526",C950,"&lt;"&amp;TODAY())+COUNTIFS(D950,"&gt;=36526",D950,"&lt;"&amp;TODAY())+COUNTIFS(E950,"&gt;=36526",E950,"&lt;"&amp;TODAY())+COUNTIFS(F950,"&gt;=36526",F950,"&lt;"&amp;TODAY())&gt;0),1,0)</x:f>
        <x:v>0</x:v>
      </x:c>
      <x:c r="P950" t="n">
        <x:f>P949+IF(AND(A950&lt;&gt;"",COUNTIFS(C950,"&gt;=36526",C950,TODAY())+COUNTIFS(D950,"&gt;=36526",D950,TODAY())+COUNTIFS(E950,"&gt;=36526",E950,TODAY())+COUNTIFS(F950,"&gt;=36526",F950,TODAY())&gt;0),1,0)</x:f>
        <x:v>0</x:v>
      </x:c>
      <x:c r="Q950" t="n">
        <x:f>Q949+IF(AND(A950&lt;&gt;"",COUNTIFS(C950,"&gt;"&amp;TODAY(),C950,"&lt;="&amp;TODAY()+30)+COUNTIFS(D950,"&gt;"&amp;TODAY(),D950,"&lt;="&amp;TODAY()+30)+COUNTIFS(E950,"&gt;"&amp;TODAY(),E950,"&lt;="&amp;TODAY()+30)+COUNTIFS(F950,"&gt;"&amp;TODAY(),F950,"&lt;="&amp;TODAY()+30)&gt;0),1,0)</x:f>
        <x:v>0</x:v>
      </x:c>
      <x:c r="R950" t="n">
        <x:f>R949+IF(OR(LEFT(H950,15)="Missing dates; ",LEFT(H950,16)="Add N/A reason; ",H950="Add dates",H950="Add registration",H950="Check date format"),1,0)</x:f>
        <x:v>0</x:v>
      </x:c>
      <x:c r="S950" t="n">
        <x:f>S949+IF(COUNTIFS(C950:F950,"Reviewed N/A")&gt;0,1,0)</x:f>
        <x:v>0</x:v>
      </x:c>
    </x:row>
    <x:row r="951" ht="48" customHeight="1">
      <x:c r="A951" s="52"/>
      <x:c r="B951" s="52"/>
      <x:c r="C951" s="53"/>
      <x:c r="D951" s="53"/>
      <x:c r="E951" s="53"/>
      <x:c r="F951" s="53"/>
      <x:c r="G951" s="52"/>
      <x:c r="H951" s="21" t="str">
        <x:f>IF(COUNTA(A951:G951,I951)=0,"",IF(A951="","Add registration",IF(OR(COUNTA(C951:F951)&gt;COUNT(C951:F951)+COUNTIFS(C951:F951,"Reviewed N/A"),AND(COUNT(C951:F951)&gt;0,OR(MIN(C951:F951)&lt;36526,MAX(C951:F951)&gt;109574))),"Check date format",IF(AND(COUNTIFS(C951:F951,"Reviewed N/A")&gt;0,I951=""),"Add N/A reason; ","")&amp;IF(COUNT(C951:F951)=0,IF(COUNTIFS(C951:F951,"Reviewed N/A")=4,"No applicable dates recorded","Add dates"),IF(COUNT(C951:F951)+COUNTIFS(C951:F951,"Reviewed N/A")&lt;4,"Missing dates; ","")&amp;IF(MIN(C951:F951)&lt;TODAY(),"Overdue: ",IF(MIN(C951:F951)=TODAY(),"Due today: ",IF(MIN(C951:F951)&lt;=TODAY()+30,"Due within 30 days: ","Next: ")))&amp;INDEX($C$8:$F$8,1,MATCH(MIN(C951:F951),C951:F951,0))&amp;" "&amp;TEXT(MIN(C951:F951),"dd mmm yyyy")))))</x:f>
      </x:c>
      <x:c r="I951" s="52"/>
      <x:c r="J951" t="str">
        <x:f>IF(AND(A951&lt;&gt;"",COUNTIFS(C951,"&gt;=36526",C951,"&lt;"&amp;TODAY())+COUNTIFS(D951,"&gt;=36526",D951,"&lt;"&amp;TODAY())+COUNTIFS(E951,"&gt;=36526",E951,"&lt;"&amp;TODAY())+COUNTIFS(F951,"&gt;=36526",F951,"&lt;"&amp;TODAY())&gt;0),O951,"")</x:f>
      </x:c>
      <x:c r="K951" t="str">
        <x:f>IF(AND(A951&lt;&gt;"",COUNTIFS(C951,"&gt;=36526",C951,TODAY())+COUNTIFS(D951,"&gt;=36526",D951,TODAY())+COUNTIFS(E951,"&gt;=36526",E951,TODAY())+COUNTIFS(F951,"&gt;=36526",F951,TODAY())&gt;0),P951,"")</x:f>
      </x:c>
      <x:c r="L951" t="str">
        <x:f>IF(AND(A951&lt;&gt;"",COUNTIFS(C951,"&gt;"&amp;TODAY(),C951,"&lt;="&amp;TODAY()+30)+COUNTIFS(D951,"&gt;"&amp;TODAY(),D951,"&lt;="&amp;TODAY()+30)+COUNTIFS(E951,"&gt;"&amp;TODAY(),E951,"&lt;="&amp;TODAY()+30)+COUNTIFS(F951,"&gt;"&amp;TODAY(),F951,"&lt;="&amp;TODAY()+30)&gt;0),Q951,"")</x:f>
      </x:c>
      <x:c r="M951" t="str">
        <x:f>IF(OR(LEFT(H951,15)="Missing dates; ",LEFT(H951,16)="Add N/A reason; ",H951="Add dates",H951="Add registration",H951="Check date format"),R951,"")</x:f>
      </x:c>
      <x:c r="N951" t="str">
        <x:f>IF(COUNTIFS(C951:F951,"Reviewed N/A")&gt;0,S951,"")</x:f>
      </x:c>
      <x:c r="O951" t="n">
        <x:f>O950+IF(AND(A951&lt;&gt;"",COUNTIFS(C951,"&gt;=36526",C951,"&lt;"&amp;TODAY())+COUNTIFS(D951,"&gt;=36526",D951,"&lt;"&amp;TODAY())+COUNTIFS(E951,"&gt;=36526",E951,"&lt;"&amp;TODAY())+COUNTIFS(F951,"&gt;=36526",F951,"&lt;"&amp;TODAY())&gt;0),1,0)</x:f>
        <x:v>0</x:v>
      </x:c>
      <x:c r="P951" t="n">
        <x:f>P950+IF(AND(A951&lt;&gt;"",COUNTIFS(C951,"&gt;=36526",C951,TODAY())+COUNTIFS(D951,"&gt;=36526",D951,TODAY())+COUNTIFS(E951,"&gt;=36526",E951,TODAY())+COUNTIFS(F951,"&gt;=36526",F951,TODAY())&gt;0),1,0)</x:f>
        <x:v>0</x:v>
      </x:c>
      <x:c r="Q951" t="n">
        <x:f>Q950+IF(AND(A951&lt;&gt;"",COUNTIFS(C951,"&gt;"&amp;TODAY(),C951,"&lt;="&amp;TODAY()+30)+COUNTIFS(D951,"&gt;"&amp;TODAY(),D951,"&lt;="&amp;TODAY()+30)+COUNTIFS(E951,"&gt;"&amp;TODAY(),E951,"&lt;="&amp;TODAY()+30)+COUNTIFS(F951,"&gt;"&amp;TODAY(),F951,"&lt;="&amp;TODAY()+30)&gt;0),1,0)</x:f>
        <x:v>0</x:v>
      </x:c>
      <x:c r="R951" t="n">
        <x:f>R950+IF(OR(LEFT(H951,15)="Missing dates; ",LEFT(H951,16)="Add N/A reason; ",H951="Add dates",H951="Add registration",H951="Check date format"),1,0)</x:f>
        <x:v>0</x:v>
      </x:c>
      <x:c r="S951" t="n">
        <x:f>S950+IF(COUNTIFS(C951:F951,"Reviewed N/A")&gt;0,1,0)</x:f>
        <x:v>0</x:v>
      </x:c>
    </x:row>
    <x:row r="952" ht="48" customHeight="1">
      <x:c r="A952" s="52"/>
      <x:c r="B952" s="52"/>
      <x:c r="C952" s="53"/>
      <x:c r="D952" s="53"/>
      <x:c r="E952" s="53"/>
      <x:c r="F952" s="53"/>
      <x:c r="G952" s="52"/>
      <x:c r="H952" s="21" t="str">
        <x:f>IF(COUNTA(A952:G952,I952)=0,"",IF(A952="","Add registration",IF(OR(COUNTA(C952:F952)&gt;COUNT(C952:F952)+COUNTIFS(C952:F952,"Reviewed N/A"),AND(COUNT(C952:F952)&gt;0,OR(MIN(C952:F952)&lt;36526,MAX(C952:F952)&gt;109574))),"Check date format",IF(AND(COUNTIFS(C952:F952,"Reviewed N/A")&gt;0,I952=""),"Add N/A reason; ","")&amp;IF(COUNT(C952:F952)=0,IF(COUNTIFS(C952:F952,"Reviewed N/A")=4,"No applicable dates recorded","Add dates"),IF(COUNT(C952:F952)+COUNTIFS(C952:F952,"Reviewed N/A")&lt;4,"Missing dates; ","")&amp;IF(MIN(C952:F952)&lt;TODAY(),"Overdue: ",IF(MIN(C952:F952)=TODAY(),"Due today: ",IF(MIN(C952:F952)&lt;=TODAY()+30,"Due within 30 days: ","Next: ")))&amp;INDEX($C$8:$F$8,1,MATCH(MIN(C952:F952),C952:F952,0))&amp;" "&amp;TEXT(MIN(C952:F952),"dd mmm yyyy")))))</x:f>
      </x:c>
      <x:c r="I952" s="52"/>
      <x:c r="J952" t="str">
        <x:f>IF(AND(A952&lt;&gt;"",COUNTIFS(C952,"&gt;=36526",C952,"&lt;"&amp;TODAY())+COUNTIFS(D952,"&gt;=36526",D952,"&lt;"&amp;TODAY())+COUNTIFS(E952,"&gt;=36526",E952,"&lt;"&amp;TODAY())+COUNTIFS(F952,"&gt;=36526",F952,"&lt;"&amp;TODAY())&gt;0),O952,"")</x:f>
      </x:c>
      <x:c r="K952" t="str">
        <x:f>IF(AND(A952&lt;&gt;"",COUNTIFS(C952,"&gt;=36526",C952,TODAY())+COUNTIFS(D952,"&gt;=36526",D952,TODAY())+COUNTIFS(E952,"&gt;=36526",E952,TODAY())+COUNTIFS(F952,"&gt;=36526",F952,TODAY())&gt;0),P952,"")</x:f>
      </x:c>
      <x:c r="L952" t="str">
        <x:f>IF(AND(A952&lt;&gt;"",COUNTIFS(C952,"&gt;"&amp;TODAY(),C952,"&lt;="&amp;TODAY()+30)+COUNTIFS(D952,"&gt;"&amp;TODAY(),D952,"&lt;="&amp;TODAY()+30)+COUNTIFS(E952,"&gt;"&amp;TODAY(),E952,"&lt;="&amp;TODAY()+30)+COUNTIFS(F952,"&gt;"&amp;TODAY(),F952,"&lt;="&amp;TODAY()+30)&gt;0),Q952,"")</x:f>
      </x:c>
      <x:c r="M952" t="str">
        <x:f>IF(OR(LEFT(H952,15)="Missing dates; ",LEFT(H952,16)="Add N/A reason; ",H952="Add dates",H952="Add registration",H952="Check date format"),R952,"")</x:f>
      </x:c>
      <x:c r="N952" t="str">
        <x:f>IF(COUNTIFS(C952:F952,"Reviewed N/A")&gt;0,S952,"")</x:f>
      </x:c>
      <x:c r="O952" t="n">
        <x:f>O951+IF(AND(A952&lt;&gt;"",COUNTIFS(C952,"&gt;=36526",C952,"&lt;"&amp;TODAY())+COUNTIFS(D952,"&gt;=36526",D952,"&lt;"&amp;TODAY())+COUNTIFS(E952,"&gt;=36526",E952,"&lt;"&amp;TODAY())+COUNTIFS(F952,"&gt;=36526",F952,"&lt;"&amp;TODAY())&gt;0),1,0)</x:f>
        <x:v>0</x:v>
      </x:c>
      <x:c r="P952" t="n">
        <x:f>P951+IF(AND(A952&lt;&gt;"",COUNTIFS(C952,"&gt;=36526",C952,TODAY())+COUNTIFS(D952,"&gt;=36526",D952,TODAY())+COUNTIFS(E952,"&gt;=36526",E952,TODAY())+COUNTIFS(F952,"&gt;=36526",F952,TODAY())&gt;0),1,0)</x:f>
        <x:v>0</x:v>
      </x:c>
      <x:c r="Q952" t="n">
        <x:f>Q951+IF(AND(A952&lt;&gt;"",COUNTIFS(C952,"&gt;"&amp;TODAY(),C952,"&lt;="&amp;TODAY()+30)+COUNTIFS(D952,"&gt;"&amp;TODAY(),D952,"&lt;="&amp;TODAY()+30)+COUNTIFS(E952,"&gt;"&amp;TODAY(),E952,"&lt;="&amp;TODAY()+30)+COUNTIFS(F952,"&gt;"&amp;TODAY(),F952,"&lt;="&amp;TODAY()+30)&gt;0),1,0)</x:f>
        <x:v>0</x:v>
      </x:c>
      <x:c r="R952" t="n">
        <x:f>R951+IF(OR(LEFT(H952,15)="Missing dates; ",LEFT(H952,16)="Add N/A reason; ",H952="Add dates",H952="Add registration",H952="Check date format"),1,0)</x:f>
        <x:v>0</x:v>
      </x:c>
      <x:c r="S952" t="n">
        <x:f>S951+IF(COUNTIFS(C952:F952,"Reviewed N/A")&gt;0,1,0)</x:f>
        <x:v>0</x:v>
      </x:c>
    </x:row>
    <x:row r="953" ht="48" customHeight="1">
      <x:c r="A953" s="52"/>
      <x:c r="B953" s="52"/>
      <x:c r="C953" s="53"/>
      <x:c r="D953" s="53"/>
      <x:c r="E953" s="53"/>
      <x:c r="F953" s="53"/>
      <x:c r="G953" s="52"/>
      <x:c r="H953" s="21" t="str">
        <x:f>IF(COUNTA(A953:G953,I953)=0,"",IF(A953="","Add registration",IF(OR(COUNTA(C953:F953)&gt;COUNT(C953:F953)+COUNTIFS(C953:F953,"Reviewed N/A"),AND(COUNT(C953:F953)&gt;0,OR(MIN(C953:F953)&lt;36526,MAX(C953:F953)&gt;109574))),"Check date format",IF(AND(COUNTIFS(C953:F953,"Reviewed N/A")&gt;0,I953=""),"Add N/A reason; ","")&amp;IF(COUNT(C953:F953)=0,IF(COUNTIFS(C953:F953,"Reviewed N/A")=4,"No applicable dates recorded","Add dates"),IF(COUNT(C953:F953)+COUNTIFS(C953:F953,"Reviewed N/A")&lt;4,"Missing dates; ","")&amp;IF(MIN(C953:F953)&lt;TODAY(),"Overdue: ",IF(MIN(C953:F953)=TODAY(),"Due today: ",IF(MIN(C953:F953)&lt;=TODAY()+30,"Due within 30 days: ","Next: ")))&amp;INDEX($C$8:$F$8,1,MATCH(MIN(C953:F953),C953:F953,0))&amp;" "&amp;TEXT(MIN(C953:F953),"dd mmm yyyy")))))</x:f>
      </x:c>
      <x:c r="I953" s="52"/>
      <x:c r="J953" t="str">
        <x:f>IF(AND(A953&lt;&gt;"",COUNTIFS(C953,"&gt;=36526",C953,"&lt;"&amp;TODAY())+COUNTIFS(D953,"&gt;=36526",D953,"&lt;"&amp;TODAY())+COUNTIFS(E953,"&gt;=36526",E953,"&lt;"&amp;TODAY())+COUNTIFS(F953,"&gt;=36526",F953,"&lt;"&amp;TODAY())&gt;0),O953,"")</x:f>
      </x:c>
      <x:c r="K953" t="str">
        <x:f>IF(AND(A953&lt;&gt;"",COUNTIFS(C953,"&gt;=36526",C953,TODAY())+COUNTIFS(D953,"&gt;=36526",D953,TODAY())+COUNTIFS(E953,"&gt;=36526",E953,TODAY())+COUNTIFS(F953,"&gt;=36526",F953,TODAY())&gt;0),P953,"")</x:f>
      </x:c>
      <x:c r="L953" t="str">
        <x:f>IF(AND(A953&lt;&gt;"",COUNTIFS(C953,"&gt;"&amp;TODAY(),C953,"&lt;="&amp;TODAY()+30)+COUNTIFS(D953,"&gt;"&amp;TODAY(),D953,"&lt;="&amp;TODAY()+30)+COUNTIFS(E953,"&gt;"&amp;TODAY(),E953,"&lt;="&amp;TODAY()+30)+COUNTIFS(F953,"&gt;"&amp;TODAY(),F953,"&lt;="&amp;TODAY()+30)&gt;0),Q953,"")</x:f>
      </x:c>
      <x:c r="M953" t="str">
        <x:f>IF(OR(LEFT(H953,15)="Missing dates; ",LEFT(H953,16)="Add N/A reason; ",H953="Add dates",H953="Add registration",H953="Check date format"),R953,"")</x:f>
      </x:c>
      <x:c r="N953" t="str">
        <x:f>IF(COUNTIFS(C953:F953,"Reviewed N/A")&gt;0,S953,"")</x:f>
      </x:c>
      <x:c r="O953" t="n">
        <x:f>O952+IF(AND(A953&lt;&gt;"",COUNTIFS(C953,"&gt;=36526",C953,"&lt;"&amp;TODAY())+COUNTIFS(D953,"&gt;=36526",D953,"&lt;"&amp;TODAY())+COUNTIFS(E953,"&gt;=36526",E953,"&lt;"&amp;TODAY())+COUNTIFS(F953,"&gt;=36526",F953,"&lt;"&amp;TODAY())&gt;0),1,0)</x:f>
        <x:v>0</x:v>
      </x:c>
      <x:c r="P953" t="n">
        <x:f>P952+IF(AND(A953&lt;&gt;"",COUNTIFS(C953,"&gt;=36526",C953,TODAY())+COUNTIFS(D953,"&gt;=36526",D953,TODAY())+COUNTIFS(E953,"&gt;=36526",E953,TODAY())+COUNTIFS(F953,"&gt;=36526",F953,TODAY())&gt;0),1,0)</x:f>
        <x:v>0</x:v>
      </x:c>
      <x:c r="Q953" t="n">
        <x:f>Q952+IF(AND(A953&lt;&gt;"",COUNTIFS(C953,"&gt;"&amp;TODAY(),C953,"&lt;="&amp;TODAY()+30)+COUNTIFS(D953,"&gt;"&amp;TODAY(),D953,"&lt;="&amp;TODAY()+30)+COUNTIFS(E953,"&gt;"&amp;TODAY(),E953,"&lt;="&amp;TODAY()+30)+COUNTIFS(F953,"&gt;"&amp;TODAY(),F953,"&lt;="&amp;TODAY()+30)&gt;0),1,0)</x:f>
        <x:v>0</x:v>
      </x:c>
      <x:c r="R953" t="n">
        <x:f>R952+IF(OR(LEFT(H953,15)="Missing dates; ",LEFT(H953,16)="Add N/A reason; ",H953="Add dates",H953="Add registration",H953="Check date format"),1,0)</x:f>
        <x:v>0</x:v>
      </x:c>
      <x:c r="S953" t="n">
        <x:f>S952+IF(COUNTIFS(C953:F953,"Reviewed N/A")&gt;0,1,0)</x:f>
        <x:v>0</x:v>
      </x:c>
    </x:row>
    <x:row r="954" ht="48" customHeight="1">
      <x:c r="A954" s="52"/>
      <x:c r="B954" s="52"/>
      <x:c r="C954" s="53"/>
      <x:c r="D954" s="53"/>
      <x:c r="E954" s="53"/>
      <x:c r="F954" s="53"/>
      <x:c r="G954" s="52"/>
      <x:c r="H954" s="21" t="str">
        <x:f>IF(COUNTA(A954:G954,I954)=0,"",IF(A954="","Add registration",IF(OR(COUNTA(C954:F954)&gt;COUNT(C954:F954)+COUNTIFS(C954:F954,"Reviewed N/A"),AND(COUNT(C954:F954)&gt;0,OR(MIN(C954:F954)&lt;36526,MAX(C954:F954)&gt;109574))),"Check date format",IF(AND(COUNTIFS(C954:F954,"Reviewed N/A")&gt;0,I954=""),"Add N/A reason; ","")&amp;IF(COUNT(C954:F954)=0,IF(COUNTIFS(C954:F954,"Reviewed N/A")=4,"No applicable dates recorded","Add dates"),IF(COUNT(C954:F954)+COUNTIFS(C954:F954,"Reviewed N/A")&lt;4,"Missing dates; ","")&amp;IF(MIN(C954:F954)&lt;TODAY(),"Overdue: ",IF(MIN(C954:F954)=TODAY(),"Due today: ",IF(MIN(C954:F954)&lt;=TODAY()+30,"Due within 30 days: ","Next: ")))&amp;INDEX($C$8:$F$8,1,MATCH(MIN(C954:F954),C954:F954,0))&amp;" "&amp;TEXT(MIN(C954:F954),"dd mmm yyyy")))))</x:f>
      </x:c>
      <x:c r="I954" s="52"/>
      <x:c r="J954" t="str">
        <x:f>IF(AND(A954&lt;&gt;"",COUNTIFS(C954,"&gt;=36526",C954,"&lt;"&amp;TODAY())+COUNTIFS(D954,"&gt;=36526",D954,"&lt;"&amp;TODAY())+COUNTIFS(E954,"&gt;=36526",E954,"&lt;"&amp;TODAY())+COUNTIFS(F954,"&gt;=36526",F954,"&lt;"&amp;TODAY())&gt;0),O954,"")</x:f>
      </x:c>
      <x:c r="K954" t="str">
        <x:f>IF(AND(A954&lt;&gt;"",COUNTIFS(C954,"&gt;=36526",C954,TODAY())+COUNTIFS(D954,"&gt;=36526",D954,TODAY())+COUNTIFS(E954,"&gt;=36526",E954,TODAY())+COUNTIFS(F954,"&gt;=36526",F954,TODAY())&gt;0),P954,"")</x:f>
      </x:c>
      <x:c r="L954" t="str">
        <x:f>IF(AND(A954&lt;&gt;"",COUNTIFS(C954,"&gt;"&amp;TODAY(),C954,"&lt;="&amp;TODAY()+30)+COUNTIFS(D954,"&gt;"&amp;TODAY(),D954,"&lt;="&amp;TODAY()+30)+COUNTIFS(E954,"&gt;"&amp;TODAY(),E954,"&lt;="&amp;TODAY()+30)+COUNTIFS(F954,"&gt;"&amp;TODAY(),F954,"&lt;="&amp;TODAY()+30)&gt;0),Q954,"")</x:f>
      </x:c>
      <x:c r="M954" t="str">
        <x:f>IF(OR(LEFT(H954,15)="Missing dates; ",LEFT(H954,16)="Add N/A reason; ",H954="Add dates",H954="Add registration",H954="Check date format"),R954,"")</x:f>
      </x:c>
      <x:c r="N954" t="str">
        <x:f>IF(COUNTIFS(C954:F954,"Reviewed N/A")&gt;0,S954,"")</x:f>
      </x:c>
      <x:c r="O954" t="n">
        <x:f>O953+IF(AND(A954&lt;&gt;"",COUNTIFS(C954,"&gt;=36526",C954,"&lt;"&amp;TODAY())+COUNTIFS(D954,"&gt;=36526",D954,"&lt;"&amp;TODAY())+COUNTIFS(E954,"&gt;=36526",E954,"&lt;"&amp;TODAY())+COUNTIFS(F954,"&gt;=36526",F954,"&lt;"&amp;TODAY())&gt;0),1,0)</x:f>
        <x:v>0</x:v>
      </x:c>
      <x:c r="P954" t="n">
        <x:f>P953+IF(AND(A954&lt;&gt;"",COUNTIFS(C954,"&gt;=36526",C954,TODAY())+COUNTIFS(D954,"&gt;=36526",D954,TODAY())+COUNTIFS(E954,"&gt;=36526",E954,TODAY())+COUNTIFS(F954,"&gt;=36526",F954,TODAY())&gt;0),1,0)</x:f>
        <x:v>0</x:v>
      </x:c>
      <x:c r="Q954" t="n">
        <x:f>Q953+IF(AND(A954&lt;&gt;"",COUNTIFS(C954,"&gt;"&amp;TODAY(),C954,"&lt;="&amp;TODAY()+30)+COUNTIFS(D954,"&gt;"&amp;TODAY(),D954,"&lt;="&amp;TODAY()+30)+COUNTIFS(E954,"&gt;"&amp;TODAY(),E954,"&lt;="&amp;TODAY()+30)+COUNTIFS(F954,"&gt;"&amp;TODAY(),F954,"&lt;="&amp;TODAY()+30)&gt;0),1,0)</x:f>
        <x:v>0</x:v>
      </x:c>
      <x:c r="R954" t="n">
        <x:f>R953+IF(OR(LEFT(H954,15)="Missing dates; ",LEFT(H954,16)="Add N/A reason; ",H954="Add dates",H954="Add registration",H954="Check date format"),1,0)</x:f>
        <x:v>0</x:v>
      </x:c>
      <x:c r="S954" t="n">
        <x:f>S953+IF(COUNTIFS(C954:F954,"Reviewed N/A")&gt;0,1,0)</x:f>
        <x:v>0</x:v>
      </x:c>
    </x:row>
    <x:row r="955" ht="48" customHeight="1">
      <x:c r="A955" s="52"/>
      <x:c r="B955" s="52"/>
      <x:c r="C955" s="53"/>
      <x:c r="D955" s="53"/>
      <x:c r="E955" s="53"/>
      <x:c r="F955" s="53"/>
      <x:c r="G955" s="52"/>
      <x:c r="H955" s="21" t="str">
        <x:f>IF(COUNTA(A955:G955,I955)=0,"",IF(A955="","Add registration",IF(OR(COUNTA(C955:F955)&gt;COUNT(C955:F955)+COUNTIFS(C955:F955,"Reviewed N/A"),AND(COUNT(C955:F955)&gt;0,OR(MIN(C955:F955)&lt;36526,MAX(C955:F955)&gt;109574))),"Check date format",IF(AND(COUNTIFS(C955:F955,"Reviewed N/A")&gt;0,I955=""),"Add N/A reason; ","")&amp;IF(COUNT(C955:F955)=0,IF(COUNTIFS(C955:F955,"Reviewed N/A")=4,"No applicable dates recorded","Add dates"),IF(COUNT(C955:F955)+COUNTIFS(C955:F955,"Reviewed N/A")&lt;4,"Missing dates; ","")&amp;IF(MIN(C955:F955)&lt;TODAY(),"Overdue: ",IF(MIN(C955:F955)=TODAY(),"Due today: ",IF(MIN(C955:F955)&lt;=TODAY()+30,"Due within 30 days: ","Next: ")))&amp;INDEX($C$8:$F$8,1,MATCH(MIN(C955:F955),C955:F955,0))&amp;" "&amp;TEXT(MIN(C955:F955),"dd mmm yyyy")))))</x:f>
      </x:c>
      <x:c r="I955" s="52"/>
      <x:c r="J955" t="str">
        <x:f>IF(AND(A955&lt;&gt;"",COUNTIFS(C955,"&gt;=36526",C955,"&lt;"&amp;TODAY())+COUNTIFS(D955,"&gt;=36526",D955,"&lt;"&amp;TODAY())+COUNTIFS(E955,"&gt;=36526",E955,"&lt;"&amp;TODAY())+COUNTIFS(F955,"&gt;=36526",F955,"&lt;"&amp;TODAY())&gt;0),O955,"")</x:f>
      </x:c>
      <x:c r="K955" t="str">
        <x:f>IF(AND(A955&lt;&gt;"",COUNTIFS(C955,"&gt;=36526",C955,TODAY())+COUNTIFS(D955,"&gt;=36526",D955,TODAY())+COUNTIFS(E955,"&gt;=36526",E955,TODAY())+COUNTIFS(F955,"&gt;=36526",F955,TODAY())&gt;0),P955,"")</x:f>
      </x:c>
      <x:c r="L955" t="str">
        <x:f>IF(AND(A955&lt;&gt;"",COUNTIFS(C955,"&gt;"&amp;TODAY(),C955,"&lt;="&amp;TODAY()+30)+COUNTIFS(D955,"&gt;"&amp;TODAY(),D955,"&lt;="&amp;TODAY()+30)+COUNTIFS(E955,"&gt;"&amp;TODAY(),E955,"&lt;="&amp;TODAY()+30)+COUNTIFS(F955,"&gt;"&amp;TODAY(),F955,"&lt;="&amp;TODAY()+30)&gt;0),Q955,"")</x:f>
      </x:c>
      <x:c r="M955" t="str">
        <x:f>IF(OR(LEFT(H955,15)="Missing dates; ",LEFT(H955,16)="Add N/A reason; ",H955="Add dates",H955="Add registration",H955="Check date format"),R955,"")</x:f>
      </x:c>
      <x:c r="N955" t="str">
        <x:f>IF(COUNTIFS(C955:F955,"Reviewed N/A")&gt;0,S955,"")</x:f>
      </x:c>
      <x:c r="O955" t="n">
        <x:f>O954+IF(AND(A955&lt;&gt;"",COUNTIFS(C955,"&gt;=36526",C955,"&lt;"&amp;TODAY())+COUNTIFS(D955,"&gt;=36526",D955,"&lt;"&amp;TODAY())+COUNTIFS(E955,"&gt;=36526",E955,"&lt;"&amp;TODAY())+COUNTIFS(F955,"&gt;=36526",F955,"&lt;"&amp;TODAY())&gt;0),1,0)</x:f>
        <x:v>0</x:v>
      </x:c>
      <x:c r="P955" t="n">
        <x:f>P954+IF(AND(A955&lt;&gt;"",COUNTIFS(C955,"&gt;=36526",C955,TODAY())+COUNTIFS(D955,"&gt;=36526",D955,TODAY())+COUNTIFS(E955,"&gt;=36526",E955,TODAY())+COUNTIFS(F955,"&gt;=36526",F955,TODAY())&gt;0),1,0)</x:f>
        <x:v>0</x:v>
      </x:c>
      <x:c r="Q955" t="n">
        <x:f>Q954+IF(AND(A955&lt;&gt;"",COUNTIFS(C955,"&gt;"&amp;TODAY(),C955,"&lt;="&amp;TODAY()+30)+COUNTIFS(D955,"&gt;"&amp;TODAY(),D955,"&lt;="&amp;TODAY()+30)+COUNTIFS(E955,"&gt;"&amp;TODAY(),E955,"&lt;="&amp;TODAY()+30)+COUNTIFS(F955,"&gt;"&amp;TODAY(),F955,"&lt;="&amp;TODAY()+30)&gt;0),1,0)</x:f>
        <x:v>0</x:v>
      </x:c>
      <x:c r="R955" t="n">
        <x:f>R954+IF(OR(LEFT(H955,15)="Missing dates; ",LEFT(H955,16)="Add N/A reason; ",H955="Add dates",H955="Add registration",H955="Check date format"),1,0)</x:f>
        <x:v>0</x:v>
      </x:c>
      <x:c r="S955" t="n">
        <x:f>S954+IF(COUNTIFS(C955:F955,"Reviewed N/A")&gt;0,1,0)</x:f>
        <x:v>0</x:v>
      </x:c>
    </x:row>
    <x:row r="956" ht="48" customHeight="1">
      <x:c r="A956" s="52"/>
      <x:c r="B956" s="52"/>
      <x:c r="C956" s="53"/>
      <x:c r="D956" s="53"/>
      <x:c r="E956" s="53"/>
      <x:c r="F956" s="53"/>
      <x:c r="G956" s="52"/>
      <x:c r="H956" s="21" t="str">
        <x:f>IF(COUNTA(A956:G956,I956)=0,"",IF(A956="","Add registration",IF(OR(COUNTA(C956:F956)&gt;COUNT(C956:F956)+COUNTIFS(C956:F956,"Reviewed N/A"),AND(COUNT(C956:F956)&gt;0,OR(MIN(C956:F956)&lt;36526,MAX(C956:F956)&gt;109574))),"Check date format",IF(AND(COUNTIFS(C956:F956,"Reviewed N/A")&gt;0,I956=""),"Add N/A reason; ","")&amp;IF(COUNT(C956:F956)=0,IF(COUNTIFS(C956:F956,"Reviewed N/A")=4,"No applicable dates recorded","Add dates"),IF(COUNT(C956:F956)+COUNTIFS(C956:F956,"Reviewed N/A")&lt;4,"Missing dates; ","")&amp;IF(MIN(C956:F956)&lt;TODAY(),"Overdue: ",IF(MIN(C956:F956)=TODAY(),"Due today: ",IF(MIN(C956:F956)&lt;=TODAY()+30,"Due within 30 days: ","Next: ")))&amp;INDEX($C$8:$F$8,1,MATCH(MIN(C956:F956),C956:F956,0))&amp;" "&amp;TEXT(MIN(C956:F956),"dd mmm yyyy")))))</x:f>
      </x:c>
      <x:c r="I956" s="52"/>
      <x:c r="J956" t="str">
        <x:f>IF(AND(A956&lt;&gt;"",COUNTIFS(C956,"&gt;=36526",C956,"&lt;"&amp;TODAY())+COUNTIFS(D956,"&gt;=36526",D956,"&lt;"&amp;TODAY())+COUNTIFS(E956,"&gt;=36526",E956,"&lt;"&amp;TODAY())+COUNTIFS(F956,"&gt;=36526",F956,"&lt;"&amp;TODAY())&gt;0),O956,"")</x:f>
      </x:c>
      <x:c r="K956" t="str">
        <x:f>IF(AND(A956&lt;&gt;"",COUNTIFS(C956,"&gt;=36526",C956,TODAY())+COUNTIFS(D956,"&gt;=36526",D956,TODAY())+COUNTIFS(E956,"&gt;=36526",E956,TODAY())+COUNTIFS(F956,"&gt;=36526",F956,TODAY())&gt;0),P956,"")</x:f>
      </x:c>
      <x:c r="L956" t="str">
        <x:f>IF(AND(A956&lt;&gt;"",COUNTIFS(C956,"&gt;"&amp;TODAY(),C956,"&lt;="&amp;TODAY()+30)+COUNTIFS(D956,"&gt;"&amp;TODAY(),D956,"&lt;="&amp;TODAY()+30)+COUNTIFS(E956,"&gt;"&amp;TODAY(),E956,"&lt;="&amp;TODAY()+30)+COUNTIFS(F956,"&gt;"&amp;TODAY(),F956,"&lt;="&amp;TODAY()+30)&gt;0),Q956,"")</x:f>
      </x:c>
      <x:c r="M956" t="str">
        <x:f>IF(OR(LEFT(H956,15)="Missing dates; ",LEFT(H956,16)="Add N/A reason; ",H956="Add dates",H956="Add registration",H956="Check date format"),R956,"")</x:f>
      </x:c>
      <x:c r="N956" t="str">
        <x:f>IF(COUNTIFS(C956:F956,"Reviewed N/A")&gt;0,S956,"")</x:f>
      </x:c>
      <x:c r="O956" t="n">
        <x:f>O955+IF(AND(A956&lt;&gt;"",COUNTIFS(C956,"&gt;=36526",C956,"&lt;"&amp;TODAY())+COUNTIFS(D956,"&gt;=36526",D956,"&lt;"&amp;TODAY())+COUNTIFS(E956,"&gt;=36526",E956,"&lt;"&amp;TODAY())+COUNTIFS(F956,"&gt;=36526",F956,"&lt;"&amp;TODAY())&gt;0),1,0)</x:f>
        <x:v>0</x:v>
      </x:c>
      <x:c r="P956" t="n">
        <x:f>P955+IF(AND(A956&lt;&gt;"",COUNTIFS(C956,"&gt;=36526",C956,TODAY())+COUNTIFS(D956,"&gt;=36526",D956,TODAY())+COUNTIFS(E956,"&gt;=36526",E956,TODAY())+COUNTIFS(F956,"&gt;=36526",F956,TODAY())&gt;0),1,0)</x:f>
        <x:v>0</x:v>
      </x:c>
      <x:c r="Q956" t="n">
        <x:f>Q955+IF(AND(A956&lt;&gt;"",COUNTIFS(C956,"&gt;"&amp;TODAY(),C956,"&lt;="&amp;TODAY()+30)+COUNTIFS(D956,"&gt;"&amp;TODAY(),D956,"&lt;="&amp;TODAY()+30)+COUNTIFS(E956,"&gt;"&amp;TODAY(),E956,"&lt;="&amp;TODAY()+30)+COUNTIFS(F956,"&gt;"&amp;TODAY(),F956,"&lt;="&amp;TODAY()+30)&gt;0),1,0)</x:f>
        <x:v>0</x:v>
      </x:c>
      <x:c r="R956" t="n">
        <x:f>R955+IF(OR(LEFT(H956,15)="Missing dates; ",LEFT(H956,16)="Add N/A reason; ",H956="Add dates",H956="Add registration",H956="Check date format"),1,0)</x:f>
        <x:v>0</x:v>
      </x:c>
      <x:c r="S956" t="n">
        <x:f>S955+IF(COUNTIFS(C956:F956,"Reviewed N/A")&gt;0,1,0)</x:f>
        <x:v>0</x:v>
      </x:c>
    </x:row>
    <x:row r="957" ht="48" customHeight="1">
      <x:c r="A957" s="52"/>
      <x:c r="B957" s="52"/>
      <x:c r="C957" s="53"/>
      <x:c r="D957" s="53"/>
      <x:c r="E957" s="53"/>
      <x:c r="F957" s="53"/>
      <x:c r="G957" s="52"/>
      <x:c r="H957" s="21" t="str">
        <x:f>IF(COUNTA(A957:G957,I957)=0,"",IF(A957="","Add registration",IF(OR(COUNTA(C957:F957)&gt;COUNT(C957:F957)+COUNTIFS(C957:F957,"Reviewed N/A"),AND(COUNT(C957:F957)&gt;0,OR(MIN(C957:F957)&lt;36526,MAX(C957:F957)&gt;109574))),"Check date format",IF(AND(COUNTIFS(C957:F957,"Reviewed N/A")&gt;0,I957=""),"Add N/A reason; ","")&amp;IF(COUNT(C957:F957)=0,IF(COUNTIFS(C957:F957,"Reviewed N/A")=4,"No applicable dates recorded","Add dates"),IF(COUNT(C957:F957)+COUNTIFS(C957:F957,"Reviewed N/A")&lt;4,"Missing dates; ","")&amp;IF(MIN(C957:F957)&lt;TODAY(),"Overdue: ",IF(MIN(C957:F957)=TODAY(),"Due today: ",IF(MIN(C957:F957)&lt;=TODAY()+30,"Due within 30 days: ","Next: ")))&amp;INDEX($C$8:$F$8,1,MATCH(MIN(C957:F957),C957:F957,0))&amp;" "&amp;TEXT(MIN(C957:F957),"dd mmm yyyy")))))</x:f>
      </x:c>
      <x:c r="I957" s="52"/>
      <x:c r="J957" t="str">
        <x:f>IF(AND(A957&lt;&gt;"",COUNTIFS(C957,"&gt;=36526",C957,"&lt;"&amp;TODAY())+COUNTIFS(D957,"&gt;=36526",D957,"&lt;"&amp;TODAY())+COUNTIFS(E957,"&gt;=36526",E957,"&lt;"&amp;TODAY())+COUNTIFS(F957,"&gt;=36526",F957,"&lt;"&amp;TODAY())&gt;0),O957,"")</x:f>
      </x:c>
      <x:c r="K957" t="str">
        <x:f>IF(AND(A957&lt;&gt;"",COUNTIFS(C957,"&gt;=36526",C957,TODAY())+COUNTIFS(D957,"&gt;=36526",D957,TODAY())+COUNTIFS(E957,"&gt;=36526",E957,TODAY())+COUNTIFS(F957,"&gt;=36526",F957,TODAY())&gt;0),P957,"")</x:f>
      </x:c>
      <x:c r="L957" t="str">
        <x:f>IF(AND(A957&lt;&gt;"",COUNTIFS(C957,"&gt;"&amp;TODAY(),C957,"&lt;="&amp;TODAY()+30)+COUNTIFS(D957,"&gt;"&amp;TODAY(),D957,"&lt;="&amp;TODAY()+30)+COUNTIFS(E957,"&gt;"&amp;TODAY(),E957,"&lt;="&amp;TODAY()+30)+COUNTIFS(F957,"&gt;"&amp;TODAY(),F957,"&lt;="&amp;TODAY()+30)&gt;0),Q957,"")</x:f>
      </x:c>
      <x:c r="M957" t="str">
        <x:f>IF(OR(LEFT(H957,15)="Missing dates; ",LEFT(H957,16)="Add N/A reason; ",H957="Add dates",H957="Add registration",H957="Check date format"),R957,"")</x:f>
      </x:c>
      <x:c r="N957" t="str">
        <x:f>IF(COUNTIFS(C957:F957,"Reviewed N/A")&gt;0,S957,"")</x:f>
      </x:c>
      <x:c r="O957" t="n">
        <x:f>O956+IF(AND(A957&lt;&gt;"",COUNTIFS(C957,"&gt;=36526",C957,"&lt;"&amp;TODAY())+COUNTIFS(D957,"&gt;=36526",D957,"&lt;"&amp;TODAY())+COUNTIFS(E957,"&gt;=36526",E957,"&lt;"&amp;TODAY())+COUNTIFS(F957,"&gt;=36526",F957,"&lt;"&amp;TODAY())&gt;0),1,0)</x:f>
        <x:v>0</x:v>
      </x:c>
      <x:c r="P957" t="n">
        <x:f>P956+IF(AND(A957&lt;&gt;"",COUNTIFS(C957,"&gt;=36526",C957,TODAY())+COUNTIFS(D957,"&gt;=36526",D957,TODAY())+COUNTIFS(E957,"&gt;=36526",E957,TODAY())+COUNTIFS(F957,"&gt;=36526",F957,TODAY())&gt;0),1,0)</x:f>
        <x:v>0</x:v>
      </x:c>
      <x:c r="Q957" t="n">
        <x:f>Q956+IF(AND(A957&lt;&gt;"",COUNTIFS(C957,"&gt;"&amp;TODAY(),C957,"&lt;="&amp;TODAY()+30)+COUNTIFS(D957,"&gt;"&amp;TODAY(),D957,"&lt;="&amp;TODAY()+30)+COUNTIFS(E957,"&gt;"&amp;TODAY(),E957,"&lt;="&amp;TODAY()+30)+COUNTIFS(F957,"&gt;"&amp;TODAY(),F957,"&lt;="&amp;TODAY()+30)&gt;0),1,0)</x:f>
        <x:v>0</x:v>
      </x:c>
      <x:c r="R957" t="n">
        <x:f>R956+IF(OR(LEFT(H957,15)="Missing dates; ",LEFT(H957,16)="Add N/A reason; ",H957="Add dates",H957="Add registration",H957="Check date format"),1,0)</x:f>
        <x:v>0</x:v>
      </x:c>
      <x:c r="S957" t="n">
        <x:f>S956+IF(COUNTIFS(C957:F957,"Reviewed N/A")&gt;0,1,0)</x:f>
        <x:v>0</x:v>
      </x:c>
    </x:row>
    <x:row r="958" ht="48" customHeight="1">
      <x:c r="A958" s="52"/>
      <x:c r="B958" s="52"/>
      <x:c r="C958" s="53"/>
      <x:c r="D958" s="53"/>
      <x:c r="E958" s="53"/>
      <x:c r="F958" s="53"/>
      <x:c r="G958" s="52"/>
      <x:c r="H958" s="21" t="str">
        <x:f>IF(COUNTA(A958:G958,I958)=0,"",IF(A958="","Add registration",IF(OR(COUNTA(C958:F958)&gt;COUNT(C958:F958)+COUNTIFS(C958:F958,"Reviewed N/A"),AND(COUNT(C958:F958)&gt;0,OR(MIN(C958:F958)&lt;36526,MAX(C958:F958)&gt;109574))),"Check date format",IF(AND(COUNTIFS(C958:F958,"Reviewed N/A")&gt;0,I958=""),"Add N/A reason; ","")&amp;IF(COUNT(C958:F958)=0,IF(COUNTIFS(C958:F958,"Reviewed N/A")=4,"No applicable dates recorded","Add dates"),IF(COUNT(C958:F958)+COUNTIFS(C958:F958,"Reviewed N/A")&lt;4,"Missing dates; ","")&amp;IF(MIN(C958:F958)&lt;TODAY(),"Overdue: ",IF(MIN(C958:F958)=TODAY(),"Due today: ",IF(MIN(C958:F958)&lt;=TODAY()+30,"Due within 30 days: ","Next: ")))&amp;INDEX($C$8:$F$8,1,MATCH(MIN(C958:F958),C958:F958,0))&amp;" "&amp;TEXT(MIN(C958:F958),"dd mmm yyyy")))))</x:f>
      </x:c>
      <x:c r="I958" s="52"/>
      <x:c r="J958" t="str">
        <x:f>IF(AND(A958&lt;&gt;"",COUNTIFS(C958,"&gt;=36526",C958,"&lt;"&amp;TODAY())+COUNTIFS(D958,"&gt;=36526",D958,"&lt;"&amp;TODAY())+COUNTIFS(E958,"&gt;=36526",E958,"&lt;"&amp;TODAY())+COUNTIFS(F958,"&gt;=36526",F958,"&lt;"&amp;TODAY())&gt;0),O958,"")</x:f>
      </x:c>
      <x:c r="K958" t="str">
        <x:f>IF(AND(A958&lt;&gt;"",COUNTIFS(C958,"&gt;=36526",C958,TODAY())+COUNTIFS(D958,"&gt;=36526",D958,TODAY())+COUNTIFS(E958,"&gt;=36526",E958,TODAY())+COUNTIFS(F958,"&gt;=36526",F958,TODAY())&gt;0),P958,"")</x:f>
      </x:c>
      <x:c r="L958" t="str">
        <x:f>IF(AND(A958&lt;&gt;"",COUNTIFS(C958,"&gt;"&amp;TODAY(),C958,"&lt;="&amp;TODAY()+30)+COUNTIFS(D958,"&gt;"&amp;TODAY(),D958,"&lt;="&amp;TODAY()+30)+COUNTIFS(E958,"&gt;"&amp;TODAY(),E958,"&lt;="&amp;TODAY()+30)+COUNTIFS(F958,"&gt;"&amp;TODAY(),F958,"&lt;="&amp;TODAY()+30)&gt;0),Q958,"")</x:f>
      </x:c>
      <x:c r="M958" t="str">
        <x:f>IF(OR(LEFT(H958,15)="Missing dates; ",LEFT(H958,16)="Add N/A reason; ",H958="Add dates",H958="Add registration",H958="Check date format"),R958,"")</x:f>
      </x:c>
      <x:c r="N958" t="str">
        <x:f>IF(COUNTIFS(C958:F958,"Reviewed N/A")&gt;0,S958,"")</x:f>
      </x:c>
      <x:c r="O958" t="n">
        <x:f>O957+IF(AND(A958&lt;&gt;"",COUNTIFS(C958,"&gt;=36526",C958,"&lt;"&amp;TODAY())+COUNTIFS(D958,"&gt;=36526",D958,"&lt;"&amp;TODAY())+COUNTIFS(E958,"&gt;=36526",E958,"&lt;"&amp;TODAY())+COUNTIFS(F958,"&gt;=36526",F958,"&lt;"&amp;TODAY())&gt;0),1,0)</x:f>
        <x:v>0</x:v>
      </x:c>
      <x:c r="P958" t="n">
        <x:f>P957+IF(AND(A958&lt;&gt;"",COUNTIFS(C958,"&gt;=36526",C958,TODAY())+COUNTIFS(D958,"&gt;=36526",D958,TODAY())+COUNTIFS(E958,"&gt;=36526",E958,TODAY())+COUNTIFS(F958,"&gt;=36526",F958,TODAY())&gt;0),1,0)</x:f>
        <x:v>0</x:v>
      </x:c>
      <x:c r="Q958" t="n">
        <x:f>Q957+IF(AND(A958&lt;&gt;"",COUNTIFS(C958,"&gt;"&amp;TODAY(),C958,"&lt;="&amp;TODAY()+30)+COUNTIFS(D958,"&gt;"&amp;TODAY(),D958,"&lt;="&amp;TODAY()+30)+COUNTIFS(E958,"&gt;"&amp;TODAY(),E958,"&lt;="&amp;TODAY()+30)+COUNTIFS(F958,"&gt;"&amp;TODAY(),F958,"&lt;="&amp;TODAY()+30)&gt;0),1,0)</x:f>
        <x:v>0</x:v>
      </x:c>
      <x:c r="R958" t="n">
        <x:f>R957+IF(OR(LEFT(H958,15)="Missing dates; ",LEFT(H958,16)="Add N/A reason; ",H958="Add dates",H958="Add registration",H958="Check date format"),1,0)</x:f>
        <x:v>0</x:v>
      </x:c>
      <x:c r="S958" t="n">
        <x:f>S957+IF(COUNTIFS(C958:F958,"Reviewed N/A")&gt;0,1,0)</x:f>
        <x:v>0</x:v>
      </x:c>
    </x:row>
    <x:row r="959" ht="48" customHeight="1">
      <x:c r="A959" s="52"/>
      <x:c r="B959" s="52"/>
      <x:c r="C959" s="53"/>
      <x:c r="D959" s="53"/>
      <x:c r="E959" s="53"/>
      <x:c r="F959" s="53"/>
      <x:c r="G959" s="52"/>
      <x:c r="H959" s="21" t="str">
        <x:f>IF(COUNTA(A959:G959,I959)=0,"",IF(A959="","Add registration",IF(OR(COUNTA(C959:F959)&gt;COUNT(C959:F959)+COUNTIFS(C959:F959,"Reviewed N/A"),AND(COUNT(C959:F959)&gt;0,OR(MIN(C959:F959)&lt;36526,MAX(C959:F959)&gt;109574))),"Check date format",IF(AND(COUNTIFS(C959:F959,"Reviewed N/A")&gt;0,I959=""),"Add N/A reason; ","")&amp;IF(COUNT(C959:F959)=0,IF(COUNTIFS(C959:F959,"Reviewed N/A")=4,"No applicable dates recorded","Add dates"),IF(COUNT(C959:F959)+COUNTIFS(C959:F959,"Reviewed N/A")&lt;4,"Missing dates; ","")&amp;IF(MIN(C959:F959)&lt;TODAY(),"Overdue: ",IF(MIN(C959:F959)=TODAY(),"Due today: ",IF(MIN(C959:F959)&lt;=TODAY()+30,"Due within 30 days: ","Next: ")))&amp;INDEX($C$8:$F$8,1,MATCH(MIN(C959:F959),C959:F959,0))&amp;" "&amp;TEXT(MIN(C959:F959),"dd mmm yyyy")))))</x:f>
      </x:c>
      <x:c r="I959" s="52"/>
      <x:c r="J959" t="str">
        <x:f>IF(AND(A959&lt;&gt;"",COUNTIFS(C959,"&gt;=36526",C959,"&lt;"&amp;TODAY())+COUNTIFS(D959,"&gt;=36526",D959,"&lt;"&amp;TODAY())+COUNTIFS(E959,"&gt;=36526",E959,"&lt;"&amp;TODAY())+COUNTIFS(F959,"&gt;=36526",F959,"&lt;"&amp;TODAY())&gt;0),O959,"")</x:f>
      </x:c>
      <x:c r="K959" t="str">
        <x:f>IF(AND(A959&lt;&gt;"",COUNTIFS(C959,"&gt;=36526",C959,TODAY())+COUNTIFS(D959,"&gt;=36526",D959,TODAY())+COUNTIFS(E959,"&gt;=36526",E959,TODAY())+COUNTIFS(F959,"&gt;=36526",F959,TODAY())&gt;0),P959,"")</x:f>
      </x:c>
      <x:c r="L959" t="str">
        <x:f>IF(AND(A959&lt;&gt;"",COUNTIFS(C959,"&gt;"&amp;TODAY(),C959,"&lt;="&amp;TODAY()+30)+COUNTIFS(D959,"&gt;"&amp;TODAY(),D959,"&lt;="&amp;TODAY()+30)+COUNTIFS(E959,"&gt;"&amp;TODAY(),E959,"&lt;="&amp;TODAY()+30)+COUNTIFS(F959,"&gt;"&amp;TODAY(),F959,"&lt;="&amp;TODAY()+30)&gt;0),Q959,"")</x:f>
      </x:c>
      <x:c r="M959" t="str">
        <x:f>IF(OR(LEFT(H959,15)="Missing dates; ",LEFT(H959,16)="Add N/A reason; ",H959="Add dates",H959="Add registration",H959="Check date format"),R959,"")</x:f>
      </x:c>
      <x:c r="N959" t="str">
        <x:f>IF(COUNTIFS(C959:F959,"Reviewed N/A")&gt;0,S959,"")</x:f>
      </x:c>
      <x:c r="O959" t="n">
        <x:f>O958+IF(AND(A959&lt;&gt;"",COUNTIFS(C959,"&gt;=36526",C959,"&lt;"&amp;TODAY())+COUNTIFS(D959,"&gt;=36526",D959,"&lt;"&amp;TODAY())+COUNTIFS(E959,"&gt;=36526",E959,"&lt;"&amp;TODAY())+COUNTIFS(F959,"&gt;=36526",F959,"&lt;"&amp;TODAY())&gt;0),1,0)</x:f>
        <x:v>0</x:v>
      </x:c>
      <x:c r="P959" t="n">
        <x:f>P958+IF(AND(A959&lt;&gt;"",COUNTIFS(C959,"&gt;=36526",C959,TODAY())+COUNTIFS(D959,"&gt;=36526",D959,TODAY())+COUNTIFS(E959,"&gt;=36526",E959,TODAY())+COUNTIFS(F959,"&gt;=36526",F959,TODAY())&gt;0),1,0)</x:f>
        <x:v>0</x:v>
      </x:c>
      <x:c r="Q959" t="n">
        <x:f>Q958+IF(AND(A959&lt;&gt;"",COUNTIFS(C959,"&gt;"&amp;TODAY(),C959,"&lt;="&amp;TODAY()+30)+COUNTIFS(D959,"&gt;"&amp;TODAY(),D959,"&lt;="&amp;TODAY()+30)+COUNTIFS(E959,"&gt;"&amp;TODAY(),E959,"&lt;="&amp;TODAY()+30)+COUNTIFS(F959,"&gt;"&amp;TODAY(),F959,"&lt;="&amp;TODAY()+30)&gt;0),1,0)</x:f>
        <x:v>0</x:v>
      </x:c>
      <x:c r="R959" t="n">
        <x:f>R958+IF(OR(LEFT(H959,15)="Missing dates; ",LEFT(H959,16)="Add N/A reason; ",H959="Add dates",H959="Add registration",H959="Check date format"),1,0)</x:f>
        <x:v>0</x:v>
      </x:c>
      <x:c r="S959" t="n">
        <x:f>S958+IF(COUNTIFS(C959:F959,"Reviewed N/A")&gt;0,1,0)</x:f>
        <x:v>0</x:v>
      </x:c>
    </x:row>
    <x:row r="960" ht="48" customHeight="1">
      <x:c r="A960" s="52"/>
      <x:c r="B960" s="52"/>
      <x:c r="C960" s="53"/>
      <x:c r="D960" s="53"/>
      <x:c r="E960" s="53"/>
      <x:c r="F960" s="53"/>
      <x:c r="G960" s="52"/>
      <x:c r="H960" s="21" t="str">
        <x:f>IF(COUNTA(A960:G960,I960)=0,"",IF(A960="","Add registration",IF(OR(COUNTA(C960:F960)&gt;COUNT(C960:F960)+COUNTIFS(C960:F960,"Reviewed N/A"),AND(COUNT(C960:F960)&gt;0,OR(MIN(C960:F960)&lt;36526,MAX(C960:F960)&gt;109574))),"Check date format",IF(AND(COUNTIFS(C960:F960,"Reviewed N/A")&gt;0,I960=""),"Add N/A reason; ","")&amp;IF(COUNT(C960:F960)=0,IF(COUNTIFS(C960:F960,"Reviewed N/A")=4,"No applicable dates recorded","Add dates"),IF(COUNT(C960:F960)+COUNTIFS(C960:F960,"Reviewed N/A")&lt;4,"Missing dates; ","")&amp;IF(MIN(C960:F960)&lt;TODAY(),"Overdue: ",IF(MIN(C960:F960)=TODAY(),"Due today: ",IF(MIN(C960:F960)&lt;=TODAY()+30,"Due within 30 days: ","Next: ")))&amp;INDEX($C$8:$F$8,1,MATCH(MIN(C960:F960),C960:F960,0))&amp;" "&amp;TEXT(MIN(C960:F960),"dd mmm yyyy")))))</x:f>
      </x:c>
      <x:c r="I960" s="52"/>
      <x:c r="J960" t="str">
        <x:f>IF(AND(A960&lt;&gt;"",COUNTIFS(C960,"&gt;=36526",C960,"&lt;"&amp;TODAY())+COUNTIFS(D960,"&gt;=36526",D960,"&lt;"&amp;TODAY())+COUNTIFS(E960,"&gt;=36526",E960,"&lt;"&amp;TODAY())+COUNTIFS(F960,"&gt;=36526",F960,"&lt;"&amp;TODAY())&gt;0),O960,"")</x:f>
      </x:c>
      <x:c r="K960" t="str">
        <x:f>IF(AND(A960&lt;&gt;"",COUNTIFS(C960,"&gt;=36526",C960,TODAY())+COUNTIFS(D960,"&gt;=36526",D960,TODAY())+COUNTIFS(E960,"&gt;=36526",E960,TODAY())+COUNTIFS(F960,"&gt;=36526",F960,TODAY())&gt;0),P960,"")</x:f>
      </x:c>
      <x:c r="L960" t="str">
        <x:f>IF(AND(A960&lt;&gt;"",COUNTIFS(C960,"&gt;"&amp;TODAY(),C960,"&lt;="&amp;TODAY()+30)+COUNTIFS(D960,"&gt;"&amp;TODAY(),D960,"&lt;="&amp;TODAY()+30)+COUNTIFS(E960,"&gt;"&amp;TODAY(),E960,"&lt;="&amp;TODAY()+30)+COUNTIFS(F960,"&gt;"&amp;TODAY(),F960,"&lt;="&amp;TODAY()+30)&gt;0),Q960,"")</x:f>
      </x:c>
      <x:c r="M960" t="str">
        <x:f>IF(OR(LEFT(H960,15)="Missing dates; ",LEFT(H960,16)="Add N/A reason; ",H960="Add dates",H960="Add registration",H960="Check date format"),R960,"")</x:f>
      </x:c>
      <x:c r="N960" t="str">
        <x:f>IF(COUNTIFS(C960:F960,"Reviewed N/A")&gt;0,S960,"")</x:f>
      </x:c>
      <x:c r="O960" t="n">
        <x:f>O959+IF(AND(A960&lt;&gt;"",COUNTIFS(C960,"&gt;=36526",C960,"&lt;"&amp;TODAY())+COUNTIFS(D960,"&gt;=36526",D960,"&lt;"&amp;TODAY())+COUNTIFS(E960,"&gt;=36526",E960,"&lt;"&amp;TODAY())+COUNTIFS(F960,"&gt;=36526",F960,"&lt;"&amp;TODAY())&gt;0),1,0)</x:f>
        <x:v>0</x:v>
      </x:c>
      <x:c r="P960" t="n">
        <x:f>P959+IF(AND(A960&lt;&gt;"",COUNTIFS(C960,"&gt;=36526",C960,TODAY())+COUNTIFS(D960,"&gt;=36526",D960,TODAY())+COUNTIFS(E960,"&gt;=36526",E960,TODAY())+COUNTIFS(F960,"&gt;=36526",F960,TODAY())&gt;0),1,0)</x:f>
        <x:v>0</x:v>
      </x:c>
      <x:c r="Q960" t="n">
        <x:f>Q959+IF(AND(A960&lt;&gt;"",COUNTIFS(C960,"&gt;"&amp;TODAY(),C960,"&lt;="&amp;TODAY()+30)+COUNTIFS(D960,"&gt;"&amp;TODAY(),D960,"&lt;="&amp;TODAY()+30)+COUNTIFS(E960,"&gt;"&amp;TODAY(),E960,"&lt;="&amp;TODAY()+30)+COUNTIFS(F960,"&gt;"&amp;TODAY(),F960,"&lt;="&amp;TODAY()+30)&gt;0),1,0)</x:f>
        <x:v>0</x:v>
      </x:c>
      <x:c r="R960" t="n">
        <x:f>R959+IF(OR(LEFT(H960,15)="Missing dates; ",LEFT(H960,16)="Add N/A reason; ",H960="Add dates",H960="Add registration",H960="Check date format"),1,0)</x:f>
        <x:v>0</x:v>
      </x:c>
      <x:c r="S960" t="n">
        <x:f>S959+IF(COUNTIFS(C960:F960,"Reviewed N/A")&gt;0,1,0)</x:f>
        <x:v>0</x:v>
      </x:c>
    </x:row>
    <x:row r="961" ht="48" customHeight="1">
      <x:c r="A961" s="52"/>
      <x:c r="B961" s="52"/>
      <x:c r="C961" s="53"/>
      <x:c r="D961" s="53"/>
      <x:c r="E961" s="53"/>
      <x:c r="F961" s="53"/>
      <x:c r="G961" s="52"/>
      <x:c r="H961" s="21" t="str">
        <x:f>IF(COUNTA(A961:G961,I961)=0,"",IF(A961="","Add registration",IF(OR(COUNTA(C961:F961)&gt;COUNT(C961:F961)+COUNTIFS(C961:F961,"Reviewed N/A"),AND(COUNT(C961:F961)&gt;0,OR(MIN(C961:F961)&lt;36526,MAX(C961:F961)&gt;109574))),"Check date format",IF(AND(COUNTIFS(C961:F961,"Reviewed N/A")&gt;0,I961=""),"Add N/A reason; ","")&amp;IF(COUNT(C961:F961)=0,IF(COUNTIFS(C961:F961,"Reviewed N/A")=4,"No applicable dates recorded","Add dates"),IF(COUNT(C961:F961)+COUNTIFS(C961:F961,"Reviewed N/A")&lt;4,"Missing dates; ","")&amp;IF(MIN(C961:F961)&lt;TODAY(),"Overdue: ",IF(MIN(C961:F961)=TODAY(),"Due today: ",IF(MIN(C961:F961)&lt;=TODAY()+30,"Due within 30 days: ","Next: ")))&amp;INDEX($C$8:$F$8,1,MATCH(MIN(C961:F961),C961:F961,0))&amp;" "&amp;TEXT(MIN(C961:F961),"dd mmm yyyy")))))</x:f>
      </x:c>
      <x:c r="I961" s="52"/>
      <x:c r="J961" t="str">
        <x:f>IF(AND(A961&lt;&gt;"",COUNTIFS(C961,"&gt;=36526",C961,"&lt;"&amp;TODAY())+COUNTIFS(D961,"&gt;=36526",D961,"&lt;"&amp;TODAY())+COUNTIFS(E961,"&gt;=36526",E961,"&lt;"&amp;TODAY())+COUNTIFS(F961,"&gt;=36526",F961,"&lt;"&amp;TODAY())&gt;0),O961,"")</x:f>
      </x:c>
      <x:c r="K961" t="str">
        <x:f>IF(AND(A961&lt;&gt;"",COUNTIFS(C961,"&gt;=36526",C961,TODAY())+COUNTIFS(D961,"&gt;=36526",D961,TODAY())+COUNTIFS(E961,"&gt;=36526",E961,TODAY())+COUNTIFS(F961,"&gt;=36526",F961,TODAY())&gt;0),P961,"")</x:f>
      </x:c>
      <x:c r="L961" t="str">
        <x:f>IF(AND(A961&lt;&gt;"",COUNTIFS(C961,"&gt;"&amp;TODAY(),C961,"&lt;="&amp;TODAY()+30)+COUNTIFS(D961,"&gt;"&amp;TODAY(),D961,"&lt;="&amp;TODAY()+30)+COUNTIFS(E961,"&gt;"&amp;TODAY(),E961,"&lt;="&amp;TODAY()+30)+COUNTIFS(F961,"&gt;"&amp;TODAY(),F961,"&lt;="&amp;TODAY()+30)&gt;0),Q961,"")</x:f>
      </x:c>
      <x:c r="M961" t="str">
        <x:f>IF(OR(LEFT(H961,15)="Missing dates; ",LEFT(H961,16)="Add N/A reason; ",H961="Add dates",H961="Add registration",H961="Check date format"),R961,"")</x:f>
      </x:c>
      <x:c r="N961" t="str">
        <x:f>IF(COUNTIFS(C961:F961,"Reviewed N/A")&gt;0,S961,"")</x:f>
      </x:c>
      <x:c r="O961" t="n">
        <x:f>O960+IF(AND(A961&lt;&gt;"",COUNTIFS(C961,"&gt;=36526",C961,"&lt;"&amp;TODAY())+COUNTIFS(D961,"&gt;=36526",D961,"&lt;"&amp;TODAY())+COUNTIFS(E961,"&gt;=36526",E961,"&lt;"&amp;TODAY())+COUNTIFS(F961,"&gt;=36526",F961,"&lt;"&amp;TODAY())&gt;0),1,0)</x:f>
        <x:v>0</x:v>
      </x:c>
      <x:c r="P961" t="n">
        <x:f>P960+IF(AND(A961&lt;&gt;"",COUNTIFS(C961,"&gt;=36526",C961,TODAY())+COUNTIFS(D961,"&gt;=36526",D961,TODAY())+COUNTIFS(E961,"&gt;=36526",E961,TODAY())+COUNTIFS(F961,"&gt;=36526",F961,TODAY())&gt;0),1,0)</x:f>
        <x:v>0</x:v>
      </x:c>
      <x:c r="Q961" t="n">
        <x:f>Q960+IF(AND(A961&lt;&gt;"",COUNTIFS(C961,"&gt;"&amp;TODAY(),C961,"&lt;="&amp;TODAY()+30)+COUNTIFS(D961,"&gt;"&amp;TODAY(),D961,"&lt;="&amp;TODAY()+30)+COUNTIFS(E961,"&gt;"&amp;TODAY(),E961,"&lt;="&amp;TODAY()+30)+COUNTIFS(F961,"&gt;"&amp;TODAY(),F961,"&lt;="&amp;TODAY()+30)&gt;0),1,0)</x:f>
        <x:v>0</x:v>
      </x:c>
      <x:c r="R961" t="n">
        <x:f>R960+IF(OR(LEFT(H961,15)="Missing dates; ",LEFT(H961,16)="Add N/A reason; ",H961="Add dates",H961="Add registration",H961="Check date format"),1,0)</x:f>
        <x:v>0</x:v>
      </x:c>
      <x:c r="S961" t="n">
        <x:f>S960+IF(COUNTIFS(C961:F961,"Reviewed N/A")&gt;0,1,0)</x:f>
        <x:v>0</x:v>
      </x:c>
    </x:row>
    <x:row r="962" ht="48" customHeight="1">
      <x:c r="A962" s="52"/>
      <x:c r="B962" s="52"/>
      <x:c r="C962" s="53"/>
      <x:c r="D962" s="53"/>
      <x:c r="E962" s="53"/>
      <x:c r="F962" s="53"/>
      <x:c r="G962" s="52"/>
      <x:c r="H962" s="21" t="str">
        <x:f>IF(COUNTA(A962:G962,I962)=0,"",IF(A962="","Add registration",IF(OR(COUNTA(C962:F962)&gt;COUNT(C962:F962)+COUNTIFS(C962:F962,"Reviewed N/A"),AND(COUNT(C962:F962)&gt;0,OR(MIN(C962:F962)&lt;36526,MAX(C962:F962)&gt;109574))),"Check date format",IF(AND(COUNTIFS(C962:F962,"Reviewed N/A")&gt;0,I962=""),"Add N/A reason; ","")&amp;IF(COUNT(C962:F962)=0,IF(COUNTIFS(C962:F962,"Reviewed N/A")=4,"No applicable dates recorded","Add dates"),IF(COUNT(C962:F962)+COUNTIFS(C962:F962,"Reviewed N/A")&lt;4,"Missing dates; ","")&amp;IF(MIN(C962:F962)&lt;TODAY(),"Overdue: ",IF(MIN(C962:F962)=TODAY(),"Due today: ",IF(MIN(C962:F962)&lt;=TODAY()+30,"Due within 30 days: ","Next: ")))&amp;INDEX($C$8:$F$8,1,MATCH(MIN(C962:F962),C962:F962,0))&amp;" "&amp;TEXT(MIN(C962:F962),"dd mmm yyyy")))))</x:f>
      </x:c>
      <x:c r="I962" s="52"/>
      <x:c r="J962" t="str">
        <x:f>IF(AND(A962&lt;&gt;"",COUNTIFS(C962,"&gt;=36526",C962,"&lt;"&amp;TODAY())+COUNTIFS(D962,"&gt;=36526",D962,"&lt;"&amp;TODAY())+COUNTIFS(E962,"&gt;=36526",E962,"&lt;"&amp;TODAY())+COUNTIFS(F962,"&gt;=36526",F962,"&lt;"&amp;TODAY())&gt;0),O962,"")</x:f>
      </x:c>
      <x:c r="K962" t="str">
        <x:f>IF(AND(A962&lt;&gt;"",COUNTIFS(C962,"&gt;=36526",C962,TODAY())+COUNTIFS(D962,"&gt;=36526",D962,TODAY())+COUNTIFS(E962,"&gt;=36526",E962,TODAY())+COUNTIFS(F962,"&gt;=36526",F962,TODAY())&gt;0),P962,"")</x:f>
      </x:c>
      <x:c r="L962" t="str">
        <x:f>IF(AND(A962&lt;&gt;"",COUNTIFS(C962,"&gt;"&amp;TODAY(),C962,"&lt;="&amp;TODAY()+30)+COUNTIFS(D962,"&gt;"&amp;TODAY(),D962,"&lt;="&amp;TODAY()+30)+COUNTIFS(E962,"&gt;"&amp;TODAY(),E962,"&lt;="&amp;TODAY()+30)+COUNTIFS(F962,"&gt;"&amp;TODAY(),F962,"&lt;="&amp;TODAY()+30)&gt;0),Q962,"")</x:f>
      </x:c>
      <x:c r="M962" t="str">
        <x:f>IF(OR(LEFT(H962,15)="Missing dates; ",LEFT(H962,16)="Add N/A reason; ",H962="Add dates",H962="Add registration",H962="Check date format"),R962,"")</x:f>
      </x:c>
      <x:c r="N962" t="str">
        <x:f>IF(COUNTIFS(C962:F962,"Reviewed N/A")&gt;0,S962,"")</x:f>
      </x:c>
      <x:c r="O962" t="n">
        <x:f>O961+IF(AND(A962&lt;&gt;"",COUNTIFS(C962,"&gt;=36526",C962,"&lt;"&amp;TODAY())+COUNTIFS(D962,"&gt;=36526",D962,"&lt;"&amp;TODAY())+COUNTIFS(E962,"&gt;=36526",E962,"&lt;"&amp;TODAY())+COUNTIFS(F962,"&gt;=36526",F962,"&lt;"&amp;TODAY())&gt;0),1,0)</x:f>
        <x:v>0</x:v>
      </x:c>
      <x:c r="P962" t="n">
        <x:f>P961+IF(AND(A962&lt;&gt;"",COUNTIFS(C962,"&gt;=36526",C962,TODAY())+COUNTIFS(D962,"&gt;=36526",D962,TODAY())+COUNTIFS(E962,"&gt;=36526",E962,TODAY())+COUNTIFS(F962,"&gt;=36526",F962,TODAY())&gt;0),1,0)</x:f>
        <x:v>0</x:v>
      </x:c>
      <x:c r="Q962" t="n">
        <x:f>Q961+IF(AND(A962&lt;&gt;"",COUNTIFS(C962,"&gt;"&amp;TODAY(),C962,"&lt;="&amp;TODAY()+30)+COUNTIFS(D962,"&gt;"&amp;TODAY(),D962,"&lt;="&amp;TODAY()+30)+COUNTIFS(E962,"&gt;"&amp;TODAY(),E962,"&lt;="&amp;TODAY()+30)+COUNTIFS(F962,"&gt;"&amp;TODAY(),F962,"&lt;="&amp;TODAY()+30)&gt;0),1,0)</x:f>
        <x:v>0</x:v>
      </x:c>
      <x:c r="R962" t="n">
        <x:f>R961+IF(OR(LEFT(H962,15)="Missing dates; ",LEFT(H962,16)="Add N/A reason; ",H962="Add dates",H962="Add registration",H962="Check date format"),1,0)</x:f>
        <x:v>0</x:v>
      </x:c>
      <x:c r="S962" t="n">
        <x:f>S961+IF(COUNTIFS(C962:F962,"Reviewed N/A")&gt;0,1,0)</x:f>
        <x:v>0</x:v>
      </x:c>
    </x:row>
    <x:row r="963" ht="48" customHeight="1">
      <x:c r="A963" s="52"/>
      <x:c r="B963" s="52"/>
      <x:c r="C963" s="53"/>
      <x:c r="D963" s="53"/>
      <x:c r="E963" s="53"/>
      <x:c r="F963" s="53"/>
      <x:c r="G963" s="52"/>
      <x:c r="H963" s="21" t="str">
        <x:f>IF(COUNTA(A963:G963,I963)=0,"",IF(A963="","Add registration",IF(OR(COUNTA(C963:F963)&gt;COUNT(C963:F963)+COUNTIFS(C963:F963,"Reviewed N/A"),AND(COUNT(C963:F963)&gt;0,OR(MIN(C963:F963)&lt;36526,MAX(C963:F963)&gt;109574))),"Check date format",IF(AND(COUNTIFS(C963:F963,"Reviewed N/A")&gt;0,I963=""),"Add N/A reason; ","")&amp;IF(COUNT(C963:F963)=0,IF(COUNTIFS(C963:F963,"Reviewed N/A")=4,"No applicable dates recorded","Add dates"),IF(COUNT(C963:F963)+COUNTIFS(C963:F963,"Reviewed N/A")&lt;4,"Missing dates; ","")&amp;IF(MIN(C963:F963)&lt;TODAY(),"Overdue: ",IF(MIN(C963:F963)=TODAY(),"Due today: ",IF(MIN(C963:F963)&lt;=TODAY()+30,"Due within 30 days: ","Next: ")))&amp;INDEX($C$8:$F$8,1,MATCH(MIN(C963:F963),C963:F963,0))&amp;" "&amp;TEXT(MIN(C963:F963),"dd mmm yyyy")))))</x:f>
      </x:c>
      <x:c r="I963" s="52"/>
      <x:c r="J963" t="str">
        <x:f>IF(AND(A963&lt;&gt;"",COUNTIFS(C963,"&gt;=36526",C963,"&lt;"&amp;TODAY())+COUNTIFS(D963,"&gt;=36526",D963,"&lt;"&amp;TODAY())+COUNTIFS(E963,"&gt;=36526",E963,"&lt;"&amp;TODAY())+COUNTIFS(F963,"&gt;=36526",F963,"&lt;"&amp;TODAY())&gt;0),O963,"")</x:f>
      </x:c>
      <x:c r="K963" t="str">
        <x:f>IF(AND(A963&lt;&gt;"",COUNTIFS(C963,"&gt;=36526",C963,TODAY())+COUNTIFS(D963,"&gt;=36526",D963,TODAY())+COUNTIFS(E963,"&gt;=36526",E963,TODAY())+COUNTIFS(F963,"&gt;=36526",F963,TODAY())&gt;0),P963,"")</x:f>
      </x:c>
      <x:c r="L963" t="str">
        <x:f>IF(AND(A963&lt;&gt;"",COUNTIFS(C963,"&gt;"&amp;TODAY(),C963,"&lt;="&amp;TODAY()+30)+COUNTIFS(D963,"&gt;"&amp;TODAY(),D963,"&lt;="&amp;TODAY()+30)+COUNTIFS(E963,"&gt;"&amp;TODAY(),E963,"&lt;="&amp;TODAY()+30)+COUNTIFS(F963,"&gt;"&amp;TODAY(),F963,"&lt;="&amp;TODAY()+30)&gt;0),Q963,"")</x:f>
      </x:c>
      <x:c r="M963" t="str">
        <x:f>IF(OR(LEFT(H963,15)="Missing dates; ",LEFT(H963,16)="Add N/A reason; ",H963="Add dates",H963="Add registration",H963="Check date format"),R963,"")</x:f>
      </x:c>
      <x:c r="N963" t="str">
        <x:f>IF(COUNTIFS(C963:F963,"Reviewed N/A")&gt;0,S963,"")</x:f>
      </x:c>
      <x:c r="O963" t="n">
        <x:f>O962+IF(AND(A963&lt;&gt;"",COUNTIFS(C963,"&gt;=36526",C963,"&lt;"&amp;TODAY())+COUNTIFS(D963,"&gt;=36526",D963,"&lt;"&amp;TODAY())+COUNTIFS(E963,"&gt;=36526",E963,"&lt;"&amp;TODAY())+COUNTIFS(F963,"&gt;=36526",F963,"&lt;"&amp;TODAY())&gt;0),1,0)</x:f>
        <x:v>0</x:v>
      </x:c>
      <x:c r="P963" t="n">
        <x:f>P962+IF(AND(A963&lt;&gt;"",COUNTIFS(C963,"&gt;=36526",C963,TODAY())+COUNTIFS(D963,"&gt;=36526",D963,TODAY())+COUNTIFS(E963,"&gt;=36526",E963,TODAY())+COUNTIFS(F963,"&gt;=36526",F963,TODAY())&gt;0),1,0)</x:f>
        <x:v>0</x:v>
      </x:c>
      <x:c r="Q963" t="n">
        <x:f>Q962+IF(AND(A963&lt;&gt;"",COUNTIFS(C963,"&gt;"&amp;TODAY(),C963,"&lt;="&amp;TODAY()+30)+COUNTIFS(D963,"&gt;"&amp;TODAY(),D963,"&lt;="&amp;TODAY()+30)+COUNTIFS(E963,"&gt;"&amp;TODAY(),E963,"&lt;="&amp;TODAY()+30)+COUNTIFS(F963,"&gt;"&amp;TODAY(),F963,"&lt;="&amp;TODAY()+30)&gt;0),1,0)</x:f>
        <x:v>0</x:v>
      </x:c>
      <x:c r="R963" t="n">
        <x:f>R962+IF(OR(LEFT(H963,15)="Missing dates; ",LEFT(H963,16)="Add N/A reason; ",H963="Add dates",H963="Add registration",H963="Check date format"),1,0)</x:f>
        <x:v>0</x:v>
      </x:c>
      <x:c r="S963" t="n">
        <x:f>S962+IF(COUNTIFS(C963:F963,"Reviewed N/A")&gt;0,1,0)</x:f>
        <x:v>0</x:v>
      </x:c>
    </x:row>
    <x:row r="964" ht="48" customHeight="1">
      <x:c r="A964" s="52"/>
      <x:c r="B964" s="52"/>
      <x:c r="C964" s="53"/>
      <x:c r="D964" s="53"/>
      <x:c r="E964" s="53"/>
      <x:c r="F964" s="53"/>
      <x:c r="G964" s="52"/>
      <x:c r="H964" s="21" t="str">
        <x:f>IF(COUNTA(A964:G964,I964)=0,"",IF(A964="","Add registration",IF(OR(COUNTA(C964:F964)&gt;COUNT(C964:F964)+COUNTIFS(C964:F964,"Reviewed N/A"),AND(COUNT(C964:F964)&gt;0,OR(MIN(C964:F964)&lt;36526,MAX(C964:F964)&gt;109574))),"Check date format",IF(AND(COUNTIFS(C964:F964,"Reviewed N/A")&gt;0,I964=""),"Add N/A reason; ","")&amp;IF(COUNT(C964:F964)=0,IF(COUNTIFS(C964:F964,"Reviewed N/A")=4,"No applicable dates recorded","Add dates"),IF(COUNT(C964:F964)+COUNTIFS(C964:F964,"Reviewed N/A")&lt;4,"Missing dates; ","")&amp;IF(MIN(C964:F964)&lt;TODAY(),"Overdue: ",IF(MIN(C964:F964)=TODAY(),"Due today: ",IF(MIN(C964:F964)&lt;=TODAY()+30,"Due within 30 days: ","Next: ")))&amp;INDEX($C$8:$F$8,1,MATCH(MIN(C964:F964),C964:F964,0))&amp;" "&amp;TEXT(MIN(C964:F964),"dd mmm yyyy")))))</x:f>
      </x:c>
      <x:c r="I964" s="52"/>
      <x:c r="J964" t="str">
        <x:f>IF(AND(A964&lt;&gt;"",COUNTIFS(C964,"&gt;=36526",C964,"&lt;"&amp;TODAY())+COUNTIFS(D964,"&gt;=36526",D964,"&lt;"&amp;TODAY())+COUNTIFS(E964,"&gt;=36526",E964,"&lt;"&amp;TODAY())+COUNTIFS(F964,"&gt;=36526",F964,"&lt;"&amp;TODAY())&gt;0),O964,"")</x:f>
      </x:c>
      <x:c r="K964" t="str">
        <x:f>IF(AND(A964&lt;&gt;"",COUNTIFS(C964,"&gt;=36526",C964,TODAY())+COUNTIFS(D964,"&gt;=36526",D964,TODAY())+COUNTIFS(E964,"&gt;=36526",E964,TODAY())+COUNTIFS(F964,"&gt;=36526",F964,TODAY())&gt;0),P964,"")</x:f>
      </x:c>
      <x:c r="L964" t="str">
        <x:f>IF(AND(A964&lt;&gt;"",COUNTIFS(C964,"&gt;"&amp;TODAY(),C964,"&lt;="&amp;TODAY()+30)+COUNTIFS(D964,"&gt;"&amp;TODAY(),D964,"&lt;="&amp;TODAY()+30)+COUNTIFS(E964,"&gt;"&amp;TODAY(),E964,"&lt;="&amp;TODAY()+30)+COUNTIFS(F964,"&gt;"&amp;TODAY(),F964,"&lt;="&amp;TODAY()+30)&gt;0),Q964,"")</x:f>
      </x:c>
      <x:c r="M964" t="str">
        <x:f>IF(OR(LEFT(H964,15)="Missing dates; ",LEFT(H964,16)="Add N/A reason; ",H964="Add dates",H964="Add registration",H964="Check date format"),R964,"")</x:f>
      </x:c>
      <x:c r="N964" t="str">
        <x:f>IF(COUNTIFS(C964:F964,"Reviewed N/A")&gt;0,S964,"")</x:f>
      </x:c>
      <x:c r="O964" t="n">
        <x:f>O963+IF(AND(A964&lt;&gt;"",COUNTIFS(C964,"&gt;=36526",C964,"&lt;"&amp;TODAY())+COUNTIFS(D964,"&gt;=36526",D964,"&lt;"&amp;TODAY())+COUNTIFS(E964,"&gt;=36526",E964,"&lt;"&amp;TODAY())+COUNTIFS(F964,"&gt;=36526",F964,"&lt;"&amp;TODAY())&gt;0),1,0)</x:f>
        <x:v>0</x:v>
      </x:c>
      <x:c r="P964" t="n">
        <x:f>P963+IF(AND(A964&lt;&gt;"",COUNTIFS(C964,"&gt;=36526",C964,TODAY())+COUNTIFS(D964,"&gt;=36526",D964,TODAY())+COUNTIFS(E964,"&gt;=36526",E964,TODAY())+COUNTIFS(F964,"&gt;=36526",F964,TODAY())&gt;0),1,0)</x:f>
        <x:v>0</x:v>
      </x:c>
      <x:c r="Q964" t="n">
        <x:f>Q963+IF(AND(A964&lt;&gt;"",COUNTIFS(C964,"&gt;"&amp;TODAY(),C964,"&lt;="&amp;TODAY()+30)+COUNTIFS(D964,"&gt;"&amp;TODAY(),D964,"&lt;="&amp;TODAY()+30)+COUNTIFS(E964,"&gt;"&amp;TODAY(),E964,"&lt;="&amp;TODAY()+30)+COUNTIFS(F964,"&gt;"&amp;TODAY(),F964,"&lt;="&amp;TODAY()+30)&gt;0),1,0)</x:f>
        <x:v>0</x:v>
      </x:c>
      <x:c r="R964" t="n">
        <x:f>R963+IF(OR(LEFT(H964,15)="Missing dates; ",LEFT(H964,16)="Add N/A reason; ",H964="Add dates",H964="Add registration",H964="Check date format"),1,0)</x:f>
        <x:v>0</x:v>
      </x:c>
      <x:c r="S964" t="n">
        <x:f>S963+IF(COUNTIFS(C964:F964,"Reviewed N/A")&gt;0,1,0)</x:f>
        <x:v>0</x:v>
      </x:c>
    </x:row>
    <x:row r="965" ht="48" customHeight="1">
      <x:c r="A965" s="52"/>
      <x:c r="B965" s="52"/>
      <x:c r="C965" s="53"/>
      <x:c r="D965" s="53"/>
      <x:c r="E965" s="53"/>
      <x:c r="F965" s="53"/>
      <x:c r="G965" s="52"/>
      <x:c r="H965" s="21" t="str">
        <x:f>IF(COUNTA(A965:G965,I965)=0,"",IF(A965="","Add registration",IF(OR(COUNTA(C965:F965)&gt;COUNT(C965:F965)+COUNTIFS(C965:F965,"Reviewed N/A"),AND(COUNT(C965:F965)&gt;0,OR(MIN(C965:F965)&lt;36526,MAX(C965:F965)&gt;109574))),"Check date format",IF(AND(COUNTIFS(C965:F965,"Reviewed N/A")&gt;0,I965=""),"Add N/A reason; ","")&amp;IF(COUNT(C965:F965)=0,IF(COUNTIFS(C965:F965,"Reviewed N/A")=4,"No applicable dates recorded","Add dates"),IF(COUNT(C965:F965)+COUNTIFS(C965:F965,"Reviewed N/A")&lt;4,"Missing dates; ","")&amp;IF(MIN(C965:F965)&lt;TODAY(),"Overdue: ",IF(MIN(C965:F965)=TODAY(),"Due today: ",IF(MIN(C965:F965)&lt;=TODAY()+30,"Due within 30 days: ","Next: ")))&amp;INDEX($C$8:$F$8,1,MATCH(MIN(C965:F965),C965:F965,0))&amp;" "&amp;TEXT(MIN(C965:F965),"dd mmm yyyy")))))</x:f>
      </x:c>
      <x:c r="I965" s="52"/>
      <x:c r="J965" t="str">
        <x:f>IF(AND(A965&lt;&gt;"",COUNTIFS(C965,"&gt;=36526",C965,"&lt;"&amp;TODAY())+COUNTIFS(D965,"&gt;=36526",D965,"&lt;"&amp;TODAY())+COUNTIFS(E965,"&gt;=36526",E965,"&lt;"&amp;TODAY())+COUNTIFS(F965,"&gt;=36526",F965,"&lt;"&amp;TODAY())&gt;0),O965,"")</x:f>
      </x:c>
      <x:c r="K965" t="str">
        <x:f>IF(AND(A965&lt;&gt;"",COUNTIFS(C965,"&gt;=36526",C965,TODAY())+COUNTIFS(D965,"&gt;=36526",D965,TODAY())+COUNTIFS(E965,"&gt;=36526",E965,TODAY())+COUNTIFS(F965,"&gt;=36526",F965,TODAY())&gt;0),P965,"")</x:f>
      </x:c>
      <x:c r="L965" t="str">
        <x:f>IF(AND(A965&lt;&gt;"",COUNTIFS(C965,"&gt;"&amp;TODAY(),C965,"&lt;="&amp;TODAY()+30)+COUNTIFS(D965,"&gt;"&amp;TODAY(),D965,"&lt;="&amp;TODAY()+30)+COUNTIFS(E965,"&gt;"&amp;TODAY(),E965,"&lt;="&amp;TODAY()+30)+COUNTIFS(F965,"&gt;"&amp;TODAY(),F965,"&lt;="&amp;TODAY()+30)&gt;0),Q965,"")</x:f>
      </x:c>
      <x:c r="M965" t="str">
        <x:f>IF(OR(LEFT(H965,15)="Missing dates; ",LEFT(H965,16)="Add N/A reason; ",H965="Add dates",H965="Add registration",H965="Check date format"),R965,"")</x:f>
      </x:c>
      <x:c r="N965" t="str">
        <x:f>IF(COUNTIFS(C965:F965,"Reviewed N/A")&gt;0,S965,"")</x:f>
      </x:c>
      <x:c r="O965" t="n">
        <x:f>O964+IF(AND(A965&lt;&gt;"",COUNTIFS(C965,"&gt;=36526",C965,"&lt;"&amp;TODAY())+COUNTIFS(D965,"&gt;=36526",D965,"&lt;"&amp;TODAY())+COUNTIFS(E965,"&gt;=36526",E965,"&lt;"&amp;TODAY())+COUNTIFS(F965,"&gt;=36526",F965,"&lt;"&amp;TODAY())&gt;0),1,0)</x:f>
        <x:v>0</x:v>
      </x:c>
      <x:c r="P965" t="n">
        <x:f>P964+IF(AND(A965&lt;&gt;"",COUNTIFS(C965,"&gt;=36526",C965,TODAY())+COUNTIFS(D965,"&gt;=36526",D965,TODAY())+COUNTIFS(E965,"&gt;=36526",E965,TODAY())+COUNTIFS(F965,"&gt;=36526",F965,TODAY())&gt;0),1,0)</x:f>
        <x:v>0</x:v>
      </x:c>
      <x:c r="Q965" t="n">
        <x:f>Q964+IF(AND(A965&lt;&gt;"",COUNTIFS(C965,"&gt;"&amp;TODAY(),C965,"&lt;="&amp;TODAY()+30)+COUNTIFS(D965,"&gt;"&amp;TODAY(),D965,"&lt;="&amp;TODAY()+30)+COUNTIFS(E965,"&gt;"&amp;TODAY(),E965,"&lt;="&amp;TODAY()+30)+COUNTIFS(F965,"&gt;"&amp;TODAY(),F965,"&lt;="&amp;TODAY()+30)&gt;0),1,0)</x:f>
        <x:v>0</x:v>
      </x:c>
      <x:c r="R965" t="n">
        <x:f>R964+IF(OR(LEFT(H965,15)="Missing dates; ",LEFT(H965,16)="Add N/A reason; ",H965="Add dates",H965="Add registration",H965="Check date format"),1,0)</x:f>
        <x:v>0</x:v>
      </x:c>
      <x:c r="S965" t="n">
        <x:f>S964+IF(COUNTIFS(C965:F965,"Reviewed N/A")&gt;0,1,0)</x:f>
        <x:v>0</x:v>
      </x:c>
    </x:row>
    <x:row r="966" ht="48" customHeight="1">
      <x:c r="A966" s="52"/>
      <x:c r="B966" s="52"/>
      <x:c r="C966" s="53"/>
      <x:c r="D966" s="53"/>
      <x:c r="E966" s="53"/>
      <x:c r="F966" s="53"/>
      <x:c r="G966" s="52"/>
      <x:c r="H966" s="21" t="str">
        <x:f>IF(COUNTA(A966:G966,I966)=0,"",IF(A966="","Add registration",IF(OR(COUNTA(C966:F966)&gt;COUNT(C966:F966)+COUNTIFS(C966:F966,"Reviewed N/A"),AND(COUNT(C966:F966)&gt;0,OR(MIN(C966:F966)&lt;36526,MAX(C966:F966)&gt;109574))),"Check date format",IF(AND(COUNTIFS(C966:F966,"Reviewed N/A")&gt;0,I966=""),"Add N/A reason; ","")&amp;IF(COUNT(C966:F966)=0,IF(COUNTIFS(C966:F966,"Reviewed N/A")=4,"No applicable dates recorded","Add dates"),IF(COUNT(C966:F966)+COUNTIFS(C966:F966,"Reviewed N/A")&lt;4,"Missing dates; ","")&amp;IF(MIN(C966:F966)&lt;TODAY(),"Overdue: ",IF(MIN(C966:F966)=TODAY(),"Due today: ",IF(MIN(C966:F966)&lt;=TODAY()+30,"Due within 30 days: ","Next: ")))&amp;INDEX($C$8:$F$8,1,MATCH(MIN(C966:F966),C966:F966,0))&amp;" "&amp;TEXT(MIN(C966:F966),"dd mmm yyyy")))))</x:f>
      </x:c>
      <x:c r="I966" s="52"/>
      <x:c r="J966" t="str">
        <x:f>IF(AND(A966&lt;&gt;"",COUNTIFS(C966,"&gt;=36526",C966,"&lt;"&amp;TODAY())+COUNTIFS(D966,"&gt;=36526",D966,"&lt;"&amp;TODAY())+COUNTIFS(E966,"&gt;=36526",E966,"&lt;"&amp;TODAY())+COUNTIFS(F966,"&gt;=36526",F966,"&lt;"&amp;TODAY())&gt;0),O966,"")</x:f>
      </x:c>
      <x:c r="K966" t="str">
        <x:f>IF(AND(A966&lt;&gt;"",COUNTIFS(C966,"&gt;=36526",C966,TODAY())+COUNTIFS(D966,"&gt;=36526",D966,TODAY())+COUNTIFS(E966,"&gt;=36526",E966,TODAY())+COUNTIFS(F966,"&gt;=36526",F966,TODAY())&gt;0),P966,"")</x:f>
      </x:c>
      <x:c r="L966" t="str">
        <x:f>IF(AND(A966&lt;&gt;"",COUNTIFS(C966,"&gt;"&amp;TODAY(),C966,"&lt;="&amp;TODAY()+30)+COUNTIFS(D966,"&gt;"&amp;TODAY(),D966,"&lt;="&amp;TODAY()+30)+COUNTIFS(E966,"&gt;"&amp;TODAY(),E966,"&lt;="&amp;TODAY()+30)+COUNTIFS(F966,"&gt;"&amp;TODAY(),F966,"&lt;="&amp;TODAY()+30)&gt;0),Q966,"")</x:f>
      </x:c>
      <x:c r="M966" t="str">
        <x:f>IF(OR(LEFT(H966,15)="Missing dates; ",LEFT(H966,16)="Add N/A reason; ",H966="Add dates",H966="Add registration",H966="Check date format"),R966,"")</x:f>
      </x:c>
      <x:c r="N966" t="str">
        <x:f>IF(COUNTIFS(C966:F966,"Reviewed N/A")&gt;0,S966,"")</x:f>
      </x:c>
      <x:c r="O966" t="n">
        <x:f>O965+IF(AND(A966&lt;&gt;"",COUNTIFS(C966,"&gt;=36526",C966,"&lt;"&amp;TODAY())+COUNTIFS(D966,"&gt;=36526",D966,"&lt;"&amp;TODAY())+COUNTIFS(E966,"&gt;=36526",E966,"&lt;"&amp;TODAY())+COUNTIFS(F966,"&gt;=36526",F966,"&lt;"&amp;TODAY())&gt;0),1,0)</x:f>
        <x:v>0</x:v>
      </x:c>
      <x:c r="P966" t="n">
        <x:f>P965+IF(AND(A966&lt;&gt;"",COUNTIFS(C966,"&gt;=36526",C966,TODAY())+COUNTIFS(D966,"&gt;=36526",D966,TODAY())+COUNTIFS(E966,"&gt;=36526",E966,TODAY())+COUNTIFS(F966,"&gt;=36526",F966,TODAY())&gt;0),1,0)</x:f>
        <x:v>0</x:v>
      </x:c>
      <x:c r="Q966" t="n">
        <x:f>Q965+IF(AND(A966&lt;&gt;"",COUNTIFS(C966,"&gt;"&amp;TODAY(),C966,"&lt;="&amp;TODAY()+30)+COUNTIFS(D966,"&gt;"&amp;TODAY(),D966,"&lt;="&amp;TODAY()+30)+COUNTIFS(E966,"&gt;"&amp;TODAY(),E966,"&lt;="&amp;TODAY()+30)+COUNTIFS(F966,"&gt;"&amp;TODAY(),F966,"&lt;="&amp;TODAY()+30)&gt;0),1,0)</x:f>
        <x:v>0</x:v>
      </x:c>
      <x:c r="R966" t="n">
        <x:f>R965+IF(OR(LEFT(H966,15)="Missing dates; ",LEFT(H966,16)="Add N/A reason; ",H966="Add dates",H966="Add registration",H966="Check date format"),1,0)</x:f>
        <x:v>0</x:v>
      </x:c>
      <x:c r="S966" t="n">
        <x:f>S965+IF(COUNTIFS(C966:F966,"Reviewed N/A")&gt;0,1,0)</x:f>
        <x:v>0</x:v>
      </x:c>
    </x:row>
    <x:row r="967" ht="48" customHeight="1">
      <x:c r="A967" s="52"/>
      <x:c r="B967" s="52"/>
      <x:c r="C967" s="53"/>
      <x:c r="D967" s="53"/>
      <x:c r="E967" s="53"/>
      <x:c r="F967" s="53"/>
      <x:c r="G967" s="52"/>
      <x:c r="H967" s="21" t="str">
        <x:f>IF(COUNTA(A967:G967,I967)=0,"",IF(A967="","Add registration",IF(OR(COUNTA(C967:F967)&gt;COUNT(C967:F967)+COUNTIFS(C967:F967,"Reviewed N/A"),AND(COUNT(C967:F967)&gt;0,OR(MIN(C967:F967)&lt;36526,MAX(C967:F967)&gt;109574))),"Check date format",IF(AND(COUNTIFS(C967:F967,"Reviewed N/A")&gt;0,I967=""),"Add N/A reason; ","")&amp;IF(COUNT(C967:F967)=0,IF(COUNTIFS(C967:F967,"Reviewed N/A")=4,"No applicable dates recorded","Add dates"),IF(COUNT(C967:F967)+COUNTIFS(C967:F967,"Reviewed N/A")&lt;4,"Missing dates; ","")&amp;IF(MIN(C967:F967)&lt;TODAY(),"Overdue: ",IF(MIN(C967:F967)=TODAY(),"Due today: ",IF(MIN(C967:F967)&lt;=TODAY()+30,"Due within 30 days: ","Next: ")))&amp;INDEX($C$8:$F$8,1,MATCH(MIN(C967:F967),C967:F967,0))&amp;" "&amp;TEXT(MIN(C967:F967),"dd mmm yyyy")))))</x:f>
      </x:c>
      <x:c r="I967" s="52"/>
      <x:c r="J967" t="str">
        <x:f>IF(AND(A967&lt;&gt;"",COUNTIFS(C967,"&gt;=36526",C967,"&lt;"&amp;TODAY())+COUNTIFS(D967,"&gt;=36526",D967,"&lt;"&amp;TODAY())+COUNTIFS(E967,"&gt;=36526",E967,"&lt;"&amp;TODAY())+COUNTIFS(F967,"&gt;=36526",F967,"&lt;"&amp;TODAY())&gt;0),O967,"")</x:f>
      </x:c>
      <x:c r="K967" t="str">
        <x:f>IF(AND(A967&lt;&gt;"",COUNTIFS(C967,"&gt;=36526",C967,TODAY())+COUNTIFS(D967,"&gt;=36526",D967,TODAY())+COUNTIFS(E967,"&gt;=36526",E967,TODAY())+COUNTIFS(F967,"&gt;=36526",F967,TODAY())&gt;0),P967,"")</x:f>
      </x:c>
      <x:c r="L967" t="str">
        <x:f>IF(AND(A967&lt;&gt;"",COUNTIFS(C967,"&gt;"&amp;TODAY(),C967,"&lt;="&amp;TODAY()+30)+COUNTIFS(D967,"&gt;"&amp;TODAY(),D967,"&lt;="&amp;TODAY()+30)+COUNTIFS(E967,"&gt;"&amp;TODAY(),E967,"&lt;="&amp;TODAY()+30)+COUNTIFS(F967,"&gt;"&amp;TODAY(),F967,"&lt;="&amp;TODAY()+30)&gt;0),Q967,"")</x:f>
      </x:c>
      <x:c r="M967" t="str">
        <x:f>IF(OR(LEFT(H967,15)="Missing dates; ",LEFT(H967,16)="Add N/A reason; ",H967="Add dates",H967="Add registration",H967="Check date format"),R967,"")</x:f>
      </x:c>
      <x:c r="N967" t="str">
        <x:f>IF(COUNTIFS(C967:F967,"Reviewed N/A")&gt;0,S967,"")</x:f>
      </x:c>
      <x:c r="O967" t="n">
        <x:f>O966+IF(AND(A967&lt;&gt;"",COUNTIFS(C967,"&gt;=36526",C967,"&lt;"&amp;TODAY())+COUNTIFS(D967,"&gt;=36526",D967,"&lt;"&amp;TODAY())+COUNTIFS(E967,"&gt;=36526",E967,"&lt;"&amp;TODAY())+COUNTIFS(F967,"&gt;=36526",F967,"&lt;"&amp;TODAY())&gt;0),1,0)</x:f>
        <x:v>0</x:v>
      </x:c>
      <x:c r="P967" t="n">
        <x:f>P966+IF(AND(A967&lt;&gt;"",COUNTIFS(C967,"&gt;=36526",C967,TODAY())+COUNTIFS(D967,"&gt;=36526",D967,TODAY())+COUNTIFS(E967,"&gt;=36526",E967,TODAY())+COUNTIFS(F967,"&gt;=36526",F967,TODAY())&gt;0),1,0)</x:f>
        <x:v>0</x:v>
      </x:c>
      <x:c r="Q967" t="n">
        <x:f>Q966+IF(AND(A967&lt;&gt;"",COUNTIFS(C967,"&gt;"&amp;TODAY(),C967,"&lt;="&amp;TODAY()+30)+COUNTIFS(D967,"&gt;"&amp;TODAY(),D967,"&lt;="&amp;TODAY()+30)+COUNTIFS(E967,"&gt;"&amp;TODAY(),E967,"&lt;="&amp;TODAY()+30)+COUNTIFS(F967,"&gt;"&amp;TODAY(),F967,"&lt;="&amp;TODAY()+30)&gt;0),1,0)</x:f>
        <x:v>0</x:v>
      </x:c>
      <x:c r="R967" t="n">
        <x:f>R966+IF(OR(LEFT(H967,15)="Missing dates; ",LEFT(H967,16)="Add N/A reason; ",H967="Add dates",H967="Add registration",H967="Check date format"),1,0)</x:f>
        <x:v>0</x:v>
      </x:c>
      <x:c r="S967" t="n">
        <x:f>S966+IF(COUNTIFS(C967:F967,"Reviewed N/A")&gt;0,1,0)</x:f>
        <x:v>0</x:v>
      </x:c>
    </x:row>
    <x:row r="968" ht="48" customHeight="1">
      <x:c r="A968" s="52"/>
      <x:c r="B968" s="52"/>
      <x:c r="C968" s="53"/>
      <x:c r="D968" s="53"/>
      <x:c r="E968" s="53"/>
      <x:c r="F968" s="53"/>
      <x:c r="G968" s="52"/>
      <x:c r="H968" s="21" t="str">
        <x:f>IF(COUNTA(A968:G968,I968)=0,"",IF(A968="","Add registration",IF(OR(COUNTA(C968:F968)&gt;COUNT(C968:F968)+COUNTIFS(C968:F968,"Reviewed N/A"),AND(COUNT(C968:F968)&gt;0,OR(MIN(C968:F968)&lt;36526,MAX(C968:F968)&gt;109574))),"Check date format",IF(AND(COUNTIFS(C968:F968,"Reviewed N/A")&gt;0,I968=""),"Add N/A reason; ","")&amp;IF(COUNT(C968:F968)=0,IF(COUNTIFS(C968:F968,"Reviewed N/A")=4,"No applicable dates recorded","Add dates"),IF(COUNT(C968:F968)+COUNTIFS(C968:F968,"Reviewed N/A")&lt;4,"Missing dates; ","")&amp;IF(MIN(C968:F968)&lt;TODAY(),"Overdue: ",IF(MIN(C968:F968)=TODAY(),"Due today: ",IF(MIN(C968:F968)&lt;=TODAY()+30,"Due within 30 days: ","Next: ")))&amp;INDEX($C$8:$F$8,1,MATCH(MIN(C968:F968),C968:F968,0))&amp;" "&amp;TEXT(MIN(C968:F968),"dd mmm yyyy")))))</x:f>
      </x:c>
      <x:c r="I968" s="52"/>
      <x:c r="J968" t="str">
        <x:f>IF(AND(A968&lt;&gt;"",COUNTIFS(C968,"&gt;=36526",C968,"&lt;"&amp;TODAY())+COUNTIFS(D968,"&gt;=36526",D968,"&lt;"&amp;TODAY())+COUNTIFS(E968,"&gt;=36526",E968,"&lt;"&amp;TODAY())+COUNTIFS(F968,"&gt;=36526",F968,"&lt;"&amp;TODAY())&gt;0),O968,"")</x:f>
      </x:c>
      <x:c r="K968" t="str">
        <x:f>IF(AND(A968&lt;&gt;"",COUNTIFS(C968,"&gt;=36526",C968,TODAY())+COUNTIFS(D968,"&gt;=36526",D968,TODAY())+COUNTIFS(E968,"&gt;=36526",E968,TODAY())+COUNTIFS(F968,"&gt;=36526",F968,TODAY())&gt;0),P968,"")</x:f>
      </x:c>
      <x:c r="L968" t="str">
        <x:f>IF(AND(A968&lt;&gt;"",COUNTIFS(C968,"&gt;"&amp;TODAY(),C968,"&lt;="&amp;TODAY()+30)+COUNTIFS(D968,"&gt;"&amp;TODAY(),D968,"&lt;="&amp;TODAY()+30)+COUNTIFS(E968,"&gt;"&amp;TODAY(),E968,"&lt;="&amp;TODAY()+30)+COUNTIFS(F968,"&gt;"&amp;TODAY(),F968,"&lt;="&amp;TODAY()+30)&gt;0),Q968,"")</x:f>
      </x:c>
      <x:c r="M968" t="str">
        <x:f>IF(OR(LEFT(H968,15)="Missing dates; ",LEFT(H968,16)="Add N/A reason; ",H968="Add dates",H968="Add registration",H968="Check date format"),R968,"")</x:f>
      </x:c>
      <x:c r="N968" t="str">
        <x:f>IF(COUNTIFS(C968:F968,"Reviewed N/A")&gt;0,S968,"")</x:f>
      </x:c>
      <x:c r="O968" t="n">
        <x:f>O967+IF(AND(A968&lt;&gt;"",COUNTIFS(C968,"&gt;=36526",C968,"&lt;"&amp;TODAY())+COUNTIFS(D968,"&gt;=36526",D968,"&lt;"&amp;TODAY())+COUNTIFS(E968,"&gt;=36526",E968,"&lt;"&amp;TODAY())+COUNTIFS(F968,"&gt;=36526",F968,"&lt;"&amp;TODAY())&gt;0),1,0)</x:f>
        <x:v>0</x:v>
      </x:c>
      <x:c r="P968" t="n">
        <x:f>P967+IF(AND(A968&lt;&gt;"",COUNTIFS(C968,"&gt;=36526",C968,TODAY())+COUNTIFS(D968,"&gt;=36526",D968,TODAY())+COUNTIFS(E968,"&gt;=36526",E968,TODAY())+COUNTIFS(F968,"&gt;=36526",F968,TODAY())&gt;0),1,0)</x:f>
        <x:v>0</x:v>
      </x:c>
      <x:c r="Q968" t="n">
        <x:f>Q967+IF(AND(A968&lt;&gt;"",COUNTIFS(C968,"&gt;"&amp;TODAY(),C968,"&lt;="&amp;TODAY()+30)+COUNTIFS(D968,"&gt;"&amp;TODAY(),D968,"&lt;="&amp;TODAY()+30)+COUNTIFS(E968,"&gt;"&amp;TODAY(),E968,"&lt;="&amp;TODAY()+30)+COUNTIFS(F968,"&gt;"&amp;TODAY(),F968,"&lt;="&amp;TODAY()+30)&gt;0),1,0)</x:f>
        <x:v>0</x:v>
      </x:c>
      <x:c r="R968" t="n">
        <x:f>R967+IF(OR(LEFT(H968,15)="Missing dates; ",LEFT(H968,16)="Add N/A reason; ",H968="Add dates",H968="Add registration",H968="Check date format"),1,0)</x:f>
        <x:v>0</x:v>
      </x:c>
      <x:c r="S968" t="n">
        <x:f>S967+IF(COUNTIFS(C968:F968,"Reviewed N/A")&gt;0,1,0)</x:f>
        <x:v>0</x:v>
      </x:c>
    </x:row>
    <x:row r="969" ht="48" customHeight="1">
      <x:c r="A969" s="52"/>
      <x:c r="B969" s="52"/>
      <x:c r="C969" s="53"/>
      <x:c r="D969" s="53"/>
      <x:c r="E969" s="53"/>
      <x:c r="F969" s="53"/>
      <x:c r="G969" s="52"/>
      <x:c r="H969" s="21" t="str">
        <x:f>IF(COUNTA(A969:G969,I969)=0,"",IF(A969="","Add registration",IF(OR(COUNTA(C969:F969)&gt;COUNT(C969:F969)+COUNTIFS(C969:F969,"Reviewed N/A"),AND(COUNT(C969:F969)&gt;0,OR(MIN(C969:F969)&lt;36526,MAX(C969:F969)&gt;109574))),"Check date format",IF(AND(COUNTIFS(C969:F969,"Reviewed N/A")&gt;0,I969=""),"Add N/A reason; ","")&amp;IF(COUNT(C969:F969)=0,IF(COUNTIFS(C969:F969,"Reviewed N/A")=4,"No applicable dates recorded","Add dates"),IF(COUNT(C969:F969)+COUNTIFS(C969:F969,"Reviewed N/A")&lt;4,"Missing dates; ","")&amp;IF(MIN(C969:F969)&lt;TODAY(),"Overdue: ",IF(MIN(C969:F969)=TODAY(),"Due today: ",IF(MIN(C969:F969)&lt;=TODAY()+30,"Due within 30 days: ","Next: ")))&amp;INDEX($C$8:$F$8,1,MATCH(MIN(C969:F969),C969:F969,0))&amp;" "&amp;TEXT(MIN(C969:F969),"dd mmm yyyy")))))</x:f>
      </x:c>
      <x:c r="I969" s="52"/>
      <x:c r="J969" t="str">
        <x:f>IF(AND(A969&lt;&gt;"",COUNTIFS(C969,"&gt;=36526",C969,"&lt;"&amp;TODAY())+COUNTIFS(D969,"&gt;=36526",D969,"&lt;"&amp;TODAY())+COUNTIFS(E969,"&gt;=36526",E969,"&lt;"&amp;TODAY())+COUNTIFS(F969,"&gt;=36526",F969,"&lt;"&amp;TODAY())&gt;0),O969,"")</x:f>
      </x:c>
      <x:c r="K969" t="str">
        <x:f>IF(AND(A969&lt;&gt;"",COUNTIFS(C969,"&gt;=36526",C969,TODAY())+COUNTIFS(D969,"&gt;=36526",D969,TODAY())+COUNTIFS(E969,"&gt;=36526",E969,TODAY())+COUNTIFS(F969,"&gt;=36526",F969,TODAY())&gt;0),P969,"")</x:f>
      </x:c>
      <x:c r="L969" t="str">
        <x:f>IF(AND(A969&lt;&gt;"",COUNTIFS(C969,"&gt;"&amp;TODAY(),C969,"&lt;="&amp;TODAY()+30)+COUNTIFS(D969,"&gt;"&amp;TODAY(),D969,"&lt;="&amp;TODAY()+30)+COUNTIFS(E969,"&gt;"&amp;TODAY(),E969,"&lt;="&amp;TODAY()+30)+COUNTIFS(F969,"&gt;"&amp;TODAY(),F969,"&lt;="&amp;TODAY()+30)&gt;0),Q969,"")</x:f>
      </x:c>
      <x:c r="M969" t="str">
        <x:f>IF(OR(LEFT(H969,15)="Missing dates; ",LEFT(H969,16)="Add N/A reason; ",H969="Add dates",H969="Add registration",H969="Check date format"),R969,"")</x:f>
      </x:c>
      <x:c r="N969" t="str">
        <x:f>IF(COUNTIFS(C969:F969,"Reviewed N/A")&gt;0,S969,"")</x:f>
      </x:c>
      <x:c r="O969" t="n">
        <x:f>O968+IF(AND(A969&lt;&gt;"",COUNTIFS(C969,"&gt;=36526",C969,"&lt;"&amp;TODAY())+COUNTIFS(D969,"&gt;=36526",D969,"&lt;"&amp;TODAY())+COUNTIFS(E969,"&gt;=36526",E969,"&lt;"&amp;TODAY())+COUNTIFS(F969,"&gt;=36526",F969,"&lt;"&amp;TODAY())&gt;0),1,0)</x:f>
        <x:v>0</x:v>
      </x:c>
      <x:c r="P969" t="n">
        <x:f>P968+IF(AND(A969&lt;&gt;"",COUNTIFS(C969,"&gt;=36526",C969,TODAY())+COUNTIFS(D969,"&gt;=36526",D969,TODAY())+COUNTIFS(E969,"&gt;=36526",E969,TODAY())+COUNTIFS(F969,"&gt;=36526",F969,TODAY())&gt;0),1,0)</x:f>
        <x:v>0</x:v>
      </x:c>
      <x:c r="Q969" t="n">
        <x:f>Q968+IF(AND(A969&lt;&gt;"",COUNTIFS(C969,"&gt;"&amp;TODAY(),C969,"&lt;="&amp;TODAY()+30)+COUNTIFS(D969,"&gt;"&amp;TODAY(),D969,"&lt;="&amp;TODAY()+30)+COUNTIFS(E969,"&gt;"&amp;TODAY(),E969,"&lt;="&amp;TODAY()+30)+COUNTIFS(F969,"&gt;"&amp;TODAY(),F969,"&lt;="&amp;TODAY()+30)&gt;0),1,0)</x:f>
        <x:v>0</x:v>
      </x:c>
      <x:c r="R969" t="n">
        <x:f>R968+IF(OR(LEFT(H969,15)="Missing dates; ",LEFT(H969,16)="Add N/A reason; ",H969="Add dates",H969="Add registration",H969="Check date format"),1,0)</x:f>
        <x:v>0</x:v>
      </x:c>
      <x:c r="S969" t="n">
        <x:f>S968+IF(COUNTIFS(C969:F969,"Reviewed N/A")&gt;0,1,0)</x:f>
        <x:v>0</x:v>
      </x:c>
    </x:row>
    <x:row r="970" ht="48" customHeight="1">
      <x:c r="A970" s="52"/>
      <x:c r="B970" s="52"/>
      <x:c r="C970" s="53"/>
      <x:c r="D970" s="53"/>
      <x:c r="E970" s="53"/>
      <x:c r="F970" s="53"/>
      <x:c r="G970" s="52"/>
      <x:c r="H970" s="21" t="str">
        <x:f>IF(COUNTA(A970:G970,I970)=0,"",IF(A970="","Add registration",IF(OR(COUNTA(C970:F970)&gt;COUNT(C970:F970)+COUNTIFS(C970:F970,"Reviewed N/A"),AND(COUNT(C970:F970)&gt;0,OR(MIN(C970:F970)&lt;36526,MAX(C970:F970)&gt;109574))),"Check date format",IF(AND(COUNTIFS(C970:F970,"Reviewed N/A")&gt;0,I970=""),"Add N/A reason; ","")&amp;IF(COUNT(C970:F970)=0,IF(COUNTIFS(C970:F970,"Reviewed N/A")=4,"No applicable dates recorded","Add dates"),IF(COUNT(C970:F970)+COUNTIFS(C970:F970,"Reviewed N/A")&lt;4,"Missing dates; ","")&amp;IF(MIN(C970:F970)&lt;TODAY(),"Overdue: ",IF(MIN(C970:F970)=TODAY(),"Due today: ",IF(MIN(C970:F970)&lt;=TODAY()+30,"Due within 30 days: ","Next: ")))&amp;INDEX($C$8:$F$8,1,MATCH(MIN(C970:F970),C970:F970,0))&amp;" "&amp;TEXT(MIN(C970:F970),"dd mmm yyyy")))))</x:f>
      </x:c>
      <x:c r="I970" s="52"/>
      <x:c r="J970" t="str">
        <x:f>IF(AND(A970&lt;&gt;"",COUNTIFS(C970,"&gt;=36526",C970,"&lt;"&amp;TODAY())+COUNTIFS(D970,"&gt;=36526",D970,"&lt;"&amp;TODAY())+COUNTIFS(E970,"&gt;=36526",E970,"&lt;"&amp;TODAY())+COUNTIFS(F970,"&gt;=36526",F970,"&lt;"&amp;TODAY())&gt;0),O970,"")</x:f>
      </x:c>
      <x:c r="K970" t="str">
        <x:f>IF(AND(A970&lt;&gt;"",COUNTIFS(C970,"&gt;=36526",C970,TODAY())+COUNTIFS(D970,"&gt;=36526",D970,TODAY())+COUNTIFS(E970,"&gt;=36526",E970,TODAY())+COUNTIFS(F970,"&gt;=36526",F970,TODAY())&gt;0),P970,"")</x:f>
      </x:c>
      <x:c r="L970" t="str">
        <x:f>IF(AND(A970&lt;&gt;"",COUNTIFS(C970,"&gt;"&amp;TODAY(),C970,"&lt;="&amp;TODAY()+30)+COUNTIFS(D970,"&gt;"&amp;TODAY(),D970,"&lt;="&amp;TODAY()+30)+COUNTIFS(E970,"&gt;"&amp;TODAY(),E970,"&lt;="&amp;TODAY()+30)+COUNTIFS(F970,"&gt;"&amp;TODAY(),F970,"&lt;="&amp;TODAY()+30)&gt;0),Q970,"")</x:f>
      </x:c>
      <x:c r="M970" t="str">
        <x:f>IF(OR(LEFT(H970,15)="Missing dates; ",LEFT(H970,16)="Add N/A reason; ",H970="Add dates",H970="Add registration",H970="Check date format"),R970,"")</x:f>
      </x:c>
      <x:c r="N970" t="str">
        <x:f>IF(COUNTIFS(C970:F970,"Reviewed N/A")&gt;0,S970,"")</x:f>
      </x:c>
      <x:c r="O970" t="n">
        <x:f>O969+IF(AND(A970&lt;&gt;"",COUNTIFS(C970,"&gt;=36526",C970,"&lt;"&amp;TODAY())+COUNTIFS(D970,"&gt;=36526",D970,"&lt;"&amp;TODAY())+COUNTIFS(E970,"&gt;=36526",E970,"&lt;"&amp;TODAY())+COUNTIFS(F970,"&gt;=36526",F970,"&lt;"&amp;TODAY())&gt;0),1,0)</x:f>
        <x:v>0</x:v>
      </x:c>
      <x:c r="P970" t="n">
        <x:f>P969+IF(AND(A970&lt;&gt;"",COUNTIFS(C970,"&gt;=36526",C970,TODAY())+COUNTIFS(D970,"&gt;=36526",D970,TODAY())+COUNTIFS(E970,"&gt;=36526",E970,TODAY())+COUNTIFS(F970,"&gt;=36526",F970,TODAY())&gt;0),1,0)</x:f>
        <x:v>0</x:v>
      </x:c>
      <x:c r="Q970" t="n">
        <x:f>Q969+IF(AND(A970&lt;&gt;"",COUNTIFS(C970,"&gt;"&amp;TODAY(),C970,"&lt;="&amp;TODAY()+30)+COUNTIFS(D970,"&gt;"&amp;TODAY(),D970,"&lt;="&amp;TODAY()+30)+COUNTIFS(E970,"&gt;"&amp;TODAY(),E970,"&lt;="&amp;TODAY()+30)+COUNTIFS(F970,"&gt;"&amp;TODAY(),F970,"&lt;="&amp;TODAY()+30)&gt;0),1,0)</x:f>
        <x:v>0</x:v>
      </x:c>
      <x:c r="R970" t="n">
        <x:f>R969+IF(OR(LEFT(H970,15)="Missing dates; ",LEFT(H970,16)="Add N/A reason; ",H970="Add dates",H970="Add registration",H970="Check date format"),1,0)</x:f>
        <x:v>0</x:v>
      </x:c>
      <x:c r="S970" t="n">
        <x:f>S969+IF(COUNTIFS(C970:F970,"Reviewed N/A")&gt;0,1,0)</x:f>
        <x:v>0</x:v>
      </x:c>
    </x:row>
    <x:row r="971" ht="48" customHeight="1">
      <x:c r="A971" s="52"/>
      <x:c r="B971" s="52"/>
      <x:c r="C971" s="53"/>
      <x:c r="D971" s="53"/>
      <x:c r="E971" s="53"/>
      <x:c r="F971" s="53"/>
      <x:c r="G971" s="52"/>
      <x:c r="H971" s="21" t="str">
        <x:f>IF(COUNTA(A971:G971,I971)=0,"",IF(A971="","Add registration",IF(OR(COUNTA(C971:F971)&gt;COUNT(C971:F971)+COUNTIFS(C971:F971,"Reviewed N/A"),AND(COUNT(C971:F971)&gt;0,OR(MIN(C971:F971)&lt;36526,MAX(C971:F971)&gt;109574))),"Check date format",IF(AND(COUNTIFS(C971:F971,"Reviewed N/A")&gt;0,I971=""),"Add N/A reason; ","")&amp;IF(COUNT(C971:F971)=0,IF(COUNTIFS(C971:F971,"Reviewed N/A")=4,"No applicable dates recorded","Add dates"),IF(COUNT(C971:F971)+COUNTIFS(C971:F971,"Reviewed N/A")&lt;4,"Missing dates; ","")&amp;IF(MIN(C971:F971)&lt;TODAY(),"Overdue: ",IF(MIN(C971:F971)=TODAY(),"Due today: ",IF(MIN(C971:F971)&lt;=TODAY()+30,"Due within 30 days: ","Next: ")))&amp;INDEX($C$8:$F$8,1,MATCH(MIN(C971:F971),C971:F971,0))&amp;" "&amp;TEXT(MIN(C971:F971),"dd mmm yyyy")))))</x:f>
      </x:c>
      <x:c r="I971" s="52"/>
      <x:c r="J971" t="str">
        <x:f>IF(AND(A971&lt;&gt;"",COUNTIFS(C971,"&gt;=36526",C971,"&lt;"&amp;TODAY())+COUNTIFS(D971,"&gt;=36526",D971,"&lt;"&amp;TODAY())+COUNTIFS(E971,"&gt;=36526",E971,"&lt;"&amp;TODAY())+COUNTIFS(F971,"&gt;=36526",F971,"&lt;"&amp;TODAY())&gt;0),O971,"")</x:f>
      </x:c>
      <x:c r="K971" t="str">
        <x:f>IF(AND(A971&lt;&gt;"",COUNTIFS(C971,"&gt;=36526",C971,TODAY())+COUNTIFS(D971,"&gt;=36526",D971,TODAY())+COUNTIFS(E971,"&gt;=36526",E971,TODAY())+COUNTIFS(F971,"&gt;=36526",F971,TODAY())&gt;0),P971,"")</x:f>
      </x:c>
      <x:c r="L971" t="str">
        <x:f>IF(AND(A971&lt;&gt;"",COUNTIFS(C971,"&gt;"&amp;TODAY(),C971,"&lt;="&amp;TODAY()+30)+COUNTIFS(D971,"&gt;"&amp;TODAY(),D971,"&lt;="&amp;TODAY()+30)+COUNTIFS(E971,"&gt;"&amp;TODAY(),E971,"&lt;="&amp;TODAY()+30)+COUNTIFS(F971,"&gt;"&amp;TODAY(),F971,"&lt;="&amp;TODAY()+30)&gt;0),Q971,"")</x:f>
      </x:c>
      <x:c r="M971" t="str">
        <x:f>IF(OR(LEFT(H971,15)="Missing dates; ",LEFT(H971,16)="Add N/A reason; ",H971="Add dates",H971="Add registration",H971="Check date format"),R971,"")</x:f>
      </x:c>
      <x:c r="N971" t="str">
        <x:f>IF(COUNTIFS(C971:F971,"Reviewed N/A")&gt;0,S971,"")</x:f>
      </x:c>
      <x:c r="O971" t="n">
        <x:f>O970+IF(AND(A971&lt;&gt;"",COUNTIFS(C971,"&gt;=36526",C971,"&lt;"&amp;TODAY())+COUNTIFS(D971,"&gt;=36526",D971,"&lt;"&amp;TODAY())+COUNTIFS(E971,"&gt;=36526",E971,"&lt;"&amp;TODAY())+COUNTIFS(F971,"&gt;=36526",F971,"&lt;"&amp;TODAY())&gt;0),1,0)</x:f>
        <x:v>0</x:v>
      </x:c>
      <x:c r="P971" t="n">
        <x:f>P970+IF(AND(A971&lt;&gt;"",COUNTIFS(C971,"&gt;=36526",C971,TODAY())+COUNTIFS(D971,"&gt;=36526",D971,TODAY())+COUNTIFS(E971,"&gt;=36526",E971,TODAY())+COUNTIFS(F971,"&gt;=36526",F971,TODAY())&gt;0),1,0)</x:f>
        <x:v>0</x:v>
      </x:c>
      <x:c r="Q971" t="n">
        <x:f>Q970+IF(AND(A971&lt;&gt;"",COUNTIFS(C971,"&gt;"&amp;TODAY(),C971,"&lt;="&amp;TODAY()+30)+COUNTIFS(D971,"&gt;"&amp;TODAY(),D971,"&lt;="&amp;TODAY()+30)+COUNTIFS(E971,"&gt;"&amp;TODAY(),E971,"&lt;="&amp;TODAY()+30)+COUNTIFS(F971,"&gt;"&amp;TODAY(),F971,"&lt;="&amp;TODAY()+30)&gt;0),1,0)</x:f>
        <x:v>0</x:v>
      </x:c>
      <x:c r="R971" t="n">
        <x:f>R970+IF(OR(LEFT(H971,15)="Missing dates; ",LEFT(H971,16)="Add N/A reason; ",H971="Add dates",H971="Add registration",H971="Check date format"),1,0)</x:f>
        <x:v>0</x:v>
      </x:c>
      <x:c r="S971" t="n">
        <x:f>S970+IF(COUNTIFS(C971:F971,"Reviewed N/A")&gt;0,1,0)</x:f>
        <x:v>0</x:v>
      </x:c>
    </x:row>
    <x:row r="972" ht="48" customHeight="1">
      <x:c r="A972" s="52"/>
      <x:c r="B972" s="52"/>
      <x:c r="C972" s="53"/>
      <x:c r="D972" s="53"/>
      <x:c r="E972" s="53"/>
      <x:c r="F972" s="53"/>
      <x:c r="G972" s="52"/>
      <x:c r="H972" s="21" t="str">
        <x:f>IF(COUNTA(A972:G972,I972)=0,"",IF(A972="","Add registration",IF(OR(COUNTA(C972:F972)&gt;COUNT(C972:F972)+COUNTIFS(C972:F972,"Reviewed N/A"),AND(COUNT(C972:F972)&gt;0,OR(MIN(C972:F972)&lt;36526,MAX(C972:F972)&gt;109574))),"Check date format",IF(AND(COUNTIFS(C972:F972,"Reviewed N/A")&gt;0,I972=""),"Add N/A reason; ","")&amp;IF(COUNT(C972:F972)=0,IF(COUNTIFS(C972:F972,"Reviewed N/A")=4,"No applicable dates recorded","Add dates"),IF(COUNT(C972:F972)+COUNTIFS(C972:F972,"Reviewed N/A")&lt;4,"Missing dates; ","")&amp;IF(MIN(C972:F972)&lt;TODAY(),"Overdue: ",IF(MIN(C972:F972)=TODAY(),"Due today: ",IF(MIN(C972:F972)&lt;=TODAY()+30,"Due within 30 days: ","Next: ")))&amp;INDEX($C$8:$F$8,1,MATCH(MIN(C972:F972),C972:F972,0))&amp;" "&amp;TEXT(MIN(C972:F972),"dd mmm yyyy")))))</x:f>
      </x:c>
      <x:c r="I972" s="52"/>
      <x:c r="J972" t="str">
        <x:f>IF(AND(A972&lt;&gt;"",COUNTIFS(C972,"&gt;=36526",C972,"&lt;"&amp;TODAY())+COUNTIFS(D972,"&gt;=36526",D972,"&lt;"&amp;TODAY())+COUNTIFS(E972,"&gt;=36526",E972,"&lt;"&amp;TODAY())+COUNTIFS(F972,"&gt;=36526",F972,"&lt;"&amp;TODAY())&gt;0),O972,"")</x:f>
      </x:c>
      <x:c r="K972" t="str">
        <x:f>IF(AND(A972&lt;&gt;"",COUNTIFS(C972,"&gt;=36526",C972,TODAY())+COUNTIFS(D972,"&gt;=36526",D972,TODAY())+COUNTIFS(E972,"&gt;=36526",E972,TODAY())+COUNTIFS(F972,"&gt;=36526",F972,TODAY())&gt;0),P972,"")</x:f>
      </x:c>
      <x:c r="L972" t="str">
        <x:f>IF(AND(A972&lt;&gt;"",COUNTIFS(C972,"&gt;"&amp;TODAY(),C972,"&lt;="&amp;TODAY()+30)+COUNTIFS(D972,"&gt;"&amp;TODAY(),D972,"&lt;="&amp;TODAY()+30)+COUNTIFS(E972,"&gt;"&amp;TODAY(),E972,"&lt;="&amp;TODAY()+30)+COUNTIFS(F972,"&gt;"&amp;TODAY(),F972,"&lt;="&amp;TODAY()+30)&gt;0),Q972,"")</x:f>
      </x:c>
      <x:c r="M972" t="str">
        <x:f>IF(OR(LEFT(H972,15)="Missing dates; ",LEFT(H972,16)="Add N/A reason; ",H972="Add dates",H972="Add registration",H972="Check date format"),R972,"")</x:f>
      </x:c>
      <x:c r="N972" t="str">
        <x:f>IF(COUNTIFS(C972:F972,"Reviewed N/A")&gt;0,S972,"")</x:f>
      </x:c>
      <x:c r="O972" t="n">
        <x:f>O971+IF(AND(A972&lt;&gt;"",COUNTIFS(C972,"&gt;=36526",C972,"&lt;"&amp;TODAY())+COUNTIFS(D972,"&gt;=36526",D972,"&lt;"&amp;TODAY())+COUNTIFS(E972,"&gt;=36526",E972,"&lt;"&amp;TODAY())+COUNTIFS(F972,"&gt;=36526",F972,"&lt;"&amp;TODAY())&gt;0),1,0)</x:f>
        <x:v>0</x:v>
      </x:c>
      <x:c r="P972" t="n">
        <x:f>P971+IF(AND(A972&lt;&gt;"",COUNTIFS(C972,"&gt;=36526",C972,TODAY())+COUNTIFS(D972,"&gt;=36526",D972,TODAY())+COUNTIFS(E972,"&gt;=36526",E972,TODAY())+COUNTIFS(F972,"&gt;=36526",F972,TODAY())&gt;0),1,0)</x:f>
        <x:v>0</x:v>
      </x:c>
      <x:c r="Q972" t="n">
        <x:f>Q971+IF(AND(A972&lt;&gt;"",COUNTIFS(C972,"&gt;"&amp;TODAY(),C972,"&lt;="&amp;TODAY()+30)+COUNTIFS(D972,"&gt;"&amp;TODAY(),D972,"&lt;="&amp;TODAY()+30)+COUNTIFS(E972,"&gt;"&amp;TODAY(),E972,"&lt;="&amp;TODAY()+30)+COUNTIFS(F972,"&gt;"&amp;TODAY(),F972,"&lt;="&amp;TODAY()+30)&gt;0),1,0)</x:f>
        <x:v>0</x:v>
      </x:c>
      <x:c r="R972" t="n">
        <x:f>R971+IF(OR(LEFT(H972,15)="Missing dates; ",LEFT(H972,16)="Add N/A reason; ",H972="Add dates",H972="Add registration",H972="Check date format"),1,0)</x:f>
        <x:v>0</x:v>
      </x:c>
      <x:c r="S972" t="n">
        <x:f>S971+IF(COUNTIFS(C972:F972,"Reviewed N/A")&gt;0,1,0)</x:f>
        <x:v>0</x:v>
      </x:c>
    </x:row>
    <x:row r="973" ht="48" customHeight="1">
      <x:c r="A973" s="52"/>
      <x:c r="B973" s="52"/>
      <x:c r="C973" s="53"/>
      <x:c r="D973" s="53"/>
      <x:c r="E973" s="53"/>
      <x:c r="F973" s="53"/>
      <x:c r="G973" s="52"/>
      <x:c r="H973" s="21" t="str">
        <x:f>IF(COUNTA(A973:G973,I973)=0,"",IF(A973="","Add registration",IF(OR(COUNTA(C973:F973)&gt;COUNT(C973:F973)+COUNTIFS(C973:F973,"Reviewed N/A"),AND(COUNT(C973:F973)&gt;0,OR(MIN(C973:F973)&lt;36526,MAX(C973:F973)&gt;109574))),"Check date format",IF(AND(COUNTIFS(C973:F973,"Reviewed N/A")&gt;0,I973=""),"Add N/A reason; ","")&amp;IF(COUNT(C973:F973)=0,IF(COUNTIFS(C973:F973,"Reviewed N/A")=4,"No applicable dates recorded","Add dates"),IF(COUNT(C973:F973)+COUNTIFS(C973:F973,"Reviewed N/A")&lt;4,"Missing dates; ","")&amp;IF(MIN(C973:F973)&lt;TODAY(),"Overdue: ",IF(MIN(C973:F973)=TODAY(),"Due today: ",IF(MIN(C973:F973)&lt;=TODAY()+30,"Due within 30 days: ","Next: ")))&amp;INDEX($C$8:$F$8,1,MATCH(MIN(C973:F973),C973:F973,0))&amp;" "&amp;TEXT(MIN(C973:F973),"dd mmm yyyy")))))</x:f>
      </x:c>
      <x:c r="I973" s="52"/>
      <x:c r="J973" t="str">
        <x:f>IF(AND(A973&lt;&gt;"",COUNTIFS(C973,"&gt;=36526",C973,"&lt;"&amp;TODAY())+COUNTIFS(D973,"&gt;=36526",D973,"&lt;"&amp;TODAY())+COUNTIFS(E973,"&gt;=36526",E973,"&lt;"&amp;TODAY())+COUNTIFS(F973,"&gt;=36526",F973,"&lt;"&amp;TODAY())&gt;0),O973,"")</x:f>
      </x:c>
      <x:c r="K973" t="str">
        <x:f>IF(AND(A973&lt;&gt;"",COUNTIFS(C973,"&gt;=36526",C973,TODAY())+COUNTIFS(D973,"&gt;=36526",D973,TODAY())+COUNTIFS(E973,"&gt;=36526",E973,TODAY())+COUNTIFS(F973,"&gt;=36526",F973,TODAY())&gt;0),P973,"")</x:f>
      </x:c>
      <x:c r="L973" t="str">
        <x:f>IF(AND(A973&lt;&gt;"",COUNTIFS(C973,"&gt;"&amp;TODAY(),C973,"&lt;="&amp;TODAY()+30)+COUNTIFS(D973,"&gt;"&amp;TODAY(),D973,"&lt;="&amp;TODAY()+30)+COUNTIFS(E973,"&gt;"&amp;TODAY(),E973,"&lt;="&amp;TODAY()+30)+COUNTIFS(F973,"&gt;"&amp;TODAY(),F973,"&lt;="&amp;TODAY()+30)&gt;0),Q973,"")</x:f>
      </x:c>
      <x:c r="M973" t="str">
        <x:f>IF(OR(LEFT(H973,15)="Missing dates; ",LEFT(H973,16)="Add N/A reason; ",H973="Add dates",H973="Add registration",H973="Check date format"),R973,"")</x:f>
      </x:c>
      <x:c r="N973" t="str">
        <x:f>IF(COUNTIFS(C973:F973,"Reviewed N/A")&gt;0,S973,"")</x:f>
      </x:c>
      <x:c r="O973" t="n">
        <x:f>O972+IF(AND(A973&lt;&gt;"",COUNTIFS(C973,"&gt;=36526",C973,"&lt;"&amp;TODAY())+COUNTIFS(D973,"&gt;=36526",D973,"&lt;"&amp;TODAY())+COUNTIFS(E973,"&gt;=36526",E973,"&lt;"&amp;TODAY())+COUNTIFS(F973,"&gt;=36526",F973,"&lt;"&amp;TODAY())&gt;0),1,0)</x:f>
        <x:v>0</x:v>
      </x:c>
      <x:c r="P973" t="n">
        <x:f>P972+IF(AND(A973&lt;&gt;"",COUNTIFS(C973,"&gt;=36526",C973,TODAY())+COUNTIFS(D973,"&gt;=36526",D973,TODAY())+COUNTIFS(E973,"&gt;=36526",E973,TODAY())+COUNTIFS(F973,"&gt;=36526",F973,TODAY())&gt;0),1,0)</x:f>
        <x:v>0</x:v>
      </x:c>
      <x:c r="Q973" t="n">
        <x:f>Q972+IF(AND(A973&lt;&gt;"",COUNTIFS(C973,"&gt;"&amp;TODAY(),C973,"&lt;="&amp;TODAY()+30)+COUNTIFS(D973,"&gt;"&amp;TODAY(),D973,"&lt;="&amp;TODAY()+30)+COUNTIFS(E973,"&gt;"&amp;TODAY(),E973,"&lt;="&amp;TODAY()+30)+COUNTIFS(F973,"&gt;"&amp;TODAY(),F973,"&lt;="&amp;TODAY()+30)&gt;0),1,0)</x:f>
        <x:v>0</x:v>
      </x:c>
      <x:c r="R973" t="n">
        <x:f>R972+IF(OR(LEFT(H973,15)="Missing dates; ",LEFT(H973,16)="Add N/A reason; ",H973="Add dates",H973="Add registration",H973="Check date format"),1,0)</x:f>
        <x:v>0</x:v>
      </x:c>
      <x:c r="S973" t="n">
        <x:f>S972+IF(COUNTIFS(C973:F973,"Reviewed N/A")&gt;0,1,0)</x:f>
        <x:v>0</x:v>
      </x:c>
    </x:row>
    <x:row r="974" ht="48" customHeight="1">
      <x:c r="A974" s="52"/>
      <x:c r="B974" s="52"/>
      <x:c r="C974" s="53"/>
      <x:c r="D974" s="53"/>
      <x:c r="E974" s="53"/>
      <x:c r="F974" s="53"/>
      <x:c r="G974" s="52"/>
      <x:c r="H974" s="21" t="str">
        <x:f>IF(COUNTA(A974:G974,I974)=0,"",IF(A974="","Add registration",IF(OR(COUNTA(C974:F974)&gt;COUNT(C974:F974)+COUNTIFS(C974:F974,"Reviewed N/A"),AND(COUNT(C974:F974)&gt;0,OR(MIN(C974:F974)&lt;36526,MAX(C974:F974)&gt;109574))),"Check date format",IF(AND(COUNTIFS(C974:F974,"Reviewed N/A")&gt;0,I974=""),"Add N/A reason; ","")&amp;IF(COUNT(C974:F974)=0,IF(COUNTIFS(C974:F974,"Reviewed N/A")=4,"No applicable dates recorded","Add dates"),IF(COUNT(C974:F974)+COUNTIFS(C974:F974,"Reviewed N/A")&lt;4,"Missing dates; ","")&amp;IF(MIN(C974:F974)&lt;TODAY(),"Overdue: ",IF(MIN(C974:F974)=TODAY(),"Due today: ",IF(MIN(C974:F974)&lt;=TODAY()+30,"Due within 30 days: ","Next: ")))&amp;INDEX($C$8:$F$8,1,MATCH(MIN(C974:F974),C974:F974,0))&amp;" "&amp;TEXT(MIN(C974:F974),"dd mmm yyyy")))))</x:f>
      </x:c>
      <x:c r="I974" s="52"/>
      <x:c r="J974" t="str">
        <x:f>IF(AND(A974&lt;&gt;"",COUNTIFS(C974,"&gt;=36526",C974,"&lt;"&amp;TODAY())+COUNTIFS(D974,"&gt;=36526",D974,"&lt;"&amp;TODAY())+COUNTIFS(E974,"&gt;=36526",E974,"&lt;"&amp;TODAY())+COUNTIFS(F974,"&gt;=36526",F974,"&lt;"&amp;TODAY())&gt;0),O974,"")</x:f>
      </x:c>
      <x:c r="K974" t="str">
        <x:f>IF(AND(A974&lt;&gt;"",COUNTIFS(C974,"&gt;=36526",C974,TODAY())+COUNTIFS(D974,"&gt;=36526",D974,TODAY())+COUNTIFS(E974,"&gt;=36526",E974,TODAY())+COUNTIFS(F974,"&gt;=36526",F974,TODAY())&gt;0),P974,"")</x:f>
      </x:c>
      <x:c r="L974" t="str">
        <x:f>IF(AND(A974&lt;&gt;"",COUNTIFS(C974,"&gt;"&amp;TODAY(),C974,"&lt;="&amp;TODAY()+30)+COUNTIFS(D974,"&gt;"&amp;TODAY(),D974,"&lt;="&amp;TODAY()+30)+COUNTIFS(E974,"&gt;"&amp;TODAY(),E974,"&lt;="&amp;TODAY()+30)+COUNTIFS(F974,"&gt;"&amp;TODAY(),F974,"&lt;="&amp;TODAY()+30)&gt;0),Q974,"")</x:f>
      </x:c>
      <x:c r="M974" t="str">
        <x:f>IF(OR(LEFT(H974,15)="Missing dates; ",LEFT(H974,16)="Add N/A reason; ",H974="Add dates",H974="Add registration",H974="Check date format"),R974,"")</x:f>
      </x:c>
      <x:c r="N974" t="str">
        <x:f>IF(COUNTIFS(C974:F974,"Reviewed N/A")&gt;0,S974,"")</x:f>
      </x:c>
      <x:c r="O974" t="n">
        <x:f>O973+IF(AND(A974&lt;&gt;"",COUNTIFS(C974,"&gt;=36526",C974,"&lt;"&amp;TODAY())+COUNTIFS(D974,"&gt;=36526",D974,"&lt;"&amp;TODAY())+COUNTIFS(E974,"&gt;=36526",E974,"&lt;"&amp;TODAY())+COUNTIFS(F974,"&gt;=36526",F974,"&lt;"&amp;TODAY())&gt;0),1,0)</x:f>
        <x:v>0</x:v>
      </x:c>
      <x:c r="P974" t="n">
        <x:f>P973+IF(AND(A974&lt;&gt;"",COUNTIFS(C974,"&gt;=36526",C974,TODAY())+COUNTIFS(D974,"&gt;=36526",D974,TODAY())+COUNTIFS(E974,"&gt;=36526",E974,TODAY())+COUNTIFS(F974,"&gt;=36526",F974,TODAY())&gt;0),1,0)</x:f>
        <x:v>0</x:v>
      </x:c>
      <x:c r="Q974" t="n">
        <x:f>Q973+IF(AND(A974&lt;&gt;"",COUNTIFS(C974,"&gt;"&amp;TODAY(),C974,"&lt;="&amp;TODAY()+30)+COUNTIFS(D974,"&gt;"&amp;TODAY(),D974,"&lt;="&amp;TODAY()+30)+COUNTIFS(E974,"&gt;"&amp;TODAY(),E974,"&lt;="&amp;TODAY()+30)+COUNTIFS(F974,"&gt;"&amp;TODAY(),F974,"&lt;="&amp;TODAY()+30)&gt;0),1,0)</x:f>
        <x:v>0</x:v>
      </x:c>
      <x:c r="R974" t="n">
        <x:f>R973+IF(OR(LEFT(H974,15)="Missing dates; ",LEFT(H974,16)="Add N/A reason; ",H974="Add dates",H974="Add registration",H974="Check date format"),1,0)</x:f>
        <x:v>0</x:v>
      </x:c>
      <x:c r="S974" t="n">
        <x:f>S973+IF(COUNTIFS(C974:F974,"Reviewed N/A")&gt;0,1,0)</x:f>
        <x:v>0</x:v>
      </x:c>
    </x:row>
    <x:row r="975" ht="48" customHeight="1">
      <x:c r="A975" s="52"/>
      <x:c r="B975" s="52"/>
      <x:c r="C975" s="53"/>
      <x:c r="D975" s="53"/>
      <x:c r="E975" s="53"/>
      <x:c r="F975" s="53"/>
      <x:c r="G975" s="52"/>
      <x:c r="H975" s="21" t="str">
        <x:f>IF(COUNTA(A975:G975,I975)=0,"",IF(A975="","Add registration",IF(OR(COUNTA(C975:F975)&gt;COUNT(C975:F975)+COUNTIFS(C975:F975,"Reviewed N/A"),AND(COUNT(C975:F975)&gt;0,OR(MIN(C975:F975)&lt;36526,MAX(C975:F975)&gt;109574))),"Check date format",IF(AND(COUNTIFS(C975:F975,"Reviewed N/A")&gt;0,I975=""),"Add N/A reason; ","")&amp;IF(COUNT(C975:F975)=0,IF(COUNTIFS(C975:F975,"Reviewed N/A")=4,"No applicable dates recorded","Add dates"),IF(COUNT(C975:F975)+COUNTIFS(C975:F975,"Reviewed N/A")&lt;4,"Missing dates; ","")&amp;IF(MIN(C975:F975)&lt;TODAY(),"Overdue: ",IF(MIN(C975:F975)=TODAY(),"Due today: ",IF(MIN(C975:F975)&lt;=TODAY()+30,"Due within 30 days: ","Next: ")))&amp;INDEX($C$8:$F$8,1,MATCH(MIN(C975:F975),C975:F975,0))&amp;" "&amp;TEXT(MIN(C975:F975),"dd mmm yyyy")))))</x:f>
      </x:c>
      <x:c r="I975" s="52"/>
      <x:c r="J975" t="str">
        <x:f>IF(AND(A975&lt;&gt;"",COUNTIFS(C975,"&gt;=36526",C975,"&lt;"&amp;TODAY())+COUNTIFS(D975,"&gt;=36526",D975,"&lt;"&amp;TODAY())+COUNTIFS(E975,"&gt;=36526",E975,"&lt;"&amp;TODAY())+COUNTIFS(F975,"&gt;=36526",F975,"&lt;"&amp;TODAY())&gt;0),O975,"")</x:f>
      </x:c>
      <x:c r="K975" t="str">
        <x:f>IF(AND(A975&lt;&gt;"",COUNTIFS(C975,"&gt;=36526",C975,TODAY())+COUNTIFS(D975,"&gt;=36526",D975,TODAY())+COUNTIFS(E975,"&gt;=36526",E975,TODAY())+COUNTIFS(F975,"&gt;=36526",F975,TODAY())&gt;0),P975,"")</x:f>
      </x:c>
      <x:c r="L975" t="str">
        <x:f>IF(AND(A975&lt;&gt;"",COUNTIFS(C975,"&gt;"&amp;TODAY(),C975,"&lt;="&amp;TODAY()+30)+COUNTIFS(D975,"&gt;"&amp;TODAY(),D975,"&lt;="&amp;TODAY()+30)+COUNTIFS(E975,"&gt;"&amp;TODAY(),E975,"&lt;="&amp;TODAY()+30)+COUNTIFS(F975,"&gt;"&amp;TODAY(),F975,"&lt;="&amp;TODAY()+30)&gt;0),Q975,"")</x:f>
      </x:c>
      <x:c r="M975" t="str">
        <x:f>IF(OR(LEFT(H975,15)="Missing dates; ",LEFT(H975,16)="Add N/A reason; ",H975="Add dates",H975="Add registration",H975="Check date format"),R975,"")</x:f>
      </x:c>
      <x:c r="N975" t="str">
        <x:f>IF(COUNTIFS(C975:F975,"Reviewed N/A")&gt;0,S975,"")</x:f>
      </x:c>
      <x:c r="O975" t="n">
        <x:f>O974+IF(AND(A975&lt;&gt;"",COUNTIFS(C975,"&gt;=36526",C975,"&lt;"&amp;TODAY())+COUNTIFS(D975,"&gt;=36526",D975,"&lt;"&amp;TODAY())+COUNTIFS(E975,"&gt;=36526",E975,"&lt;"&amp;TODAY())+COUNTIFS(F975,"&gt;=36526",F975,"&lt;"&amp;TODAY())&gt;0),1,0)</x:f>
        <x:v>0</x:v>
      </x:c>
      <x:c r="P975" t="n">
        <x:f>P974+IF(AND(A975&lt;&gt;"",COUNTIFS(C975,"&gt;=36526",C975,TODAY())+COUNTIFS(D975,"&gt;=36526",D975,TODAY())+COUNTIFS(E975,"&gt;=36526",E975,TODAY())+COUNTIFS(F975,"&gt;=36526",F975,TODAY())&gt;0),1,0)</x:f>
        <x:v>0</x:v>
      </x:c>
      <x:c r="Q975" t="n">
        <x:f>Q974+IF(AND(A975&lt;&gt;"",COUNTIFS(C975,"&gt;"&amp;TODAY(),C975,"&lt;="&amp;TODAY()+30)+COUNTIFS(D975,"&gt;"&amp;TODAY(),D975,"&lt;="&amp;TODAY()+30)+COUNTIFS(E975,"&gt;"&amp;TODAY(),E975,"&lt;="&amp;TODAY()+30)+COUNTIFS(F975,"&gt;"&amp;TODAY(),F975,"&lt;="&amp;TODAY()+30)&gt;0),1,0)</x:f>
        <x:v>0</x:v>
      </x:c>
      <x:c r="R975" t="n">
        <x:f>R974+IF(OR(LEFT(H975,15)="Missing dates; ",LEFT(H975,16)="Add N/A reason; ",H975="Add dates",H975="Add registration",H975="Check date format"),1,0)</x:f>
        <x:v>0</x:v>
      </x:c>
      <x:c r="S975" t="n">
        <x:f>S974+IF(COUNTIFS(C975:F975,"Reviewed N/A")&gt;0,1,0)</x:f>
        <x:v>0</x:v>
      </x:c>
    </x:row>
    <x:row r="976" ht="48" customHeight="1">
      <x:c r="A976" s="52"/>
      <x:c r="B976" s="52"/>
      <x:c r="C976" s="53"/>
      <x:c r="D976" s="53"/>
      <x:c r="E976" s="53"/>
      <x:c r="F976" s="53"/>
      <x:c r="G976" s="52"/>
      <x:c r="H976" s="21" t="str">
        <x:f>IF(COUNTA(A976:G976,I976)=0,"",IF(A976="","Add registration",IF(OR(COUNTA(C976:F976)&gt;COUNT(C976:F976)+COUNTIFS(C976:F976,"Reviewed N/A"),AND(COUNT(C976:F976)&gt;0,OR(MIN(C976:F976)&lt;36526,MAX(C976:F976)&gt;109574))),"Check date format",IF(AND(COUNTIFS(C976:F976,"Reviewed N/A")&gt;0,I976=""),"Add N/A reason; ","")&amp;IF(COUNT(C976:F976)=0,IF(COUNTIFS(C976:F976,"Reviewed N/A")=4,"No applicable dates recorded","Add dates"),IF(COUNT(C976:F976)+COUNTIFS(C976:F976,"Reviewed N/A")&lt;4,"Missing dates; ","")&amp;IF(MIN(C976:F976)&lt;TODAY(),"Overdue: ",IF(MIN(C976:F976)=TODAY(),"Due today: ",IF(MIN(C976:F976)&lt;=TODAY()+30,"Due within 30 days: ","Next: ")))&amp;INDEX($C$8:$F$8,1,MATCH(MIN(C976:F976),C976:F976,0))&amp;" "&amp;TEXT(MIN(C976:F976),"dd mmm yyyy")))))</x:f>
      </x:c>
      <x:c r="I976" s="52"/>
      <x:c r="J976" t="str">
        <x:f>IF(AND(A976&lt;&gt;"",COUNTIFS(C976,"&gt;=36526",C976,"&lt;"&amp;TODAY())+COUNTIFS(D976,"&gt;=36526",D976,"&lt;"&amp;TODAY())+COUNTIFS(E976,"&gt;=36526",E976,"&lt;"&amp;TODAY())+COUNTIFS(F976,"&gt;=36526",F976,"&lt;"&amp;TODAY())&gt;0),O976,"")</x:f>
      </x:c>
      <x:c r="K976" t="str">
        <x:f>IF(AND(A976&lt;&gt;"",COUNTIFS(C976,"&gt;=36526",C976,TODAY())+COUNTIFS(D976,"&gt;=36526",D976,TODAY())+COUNTIFS(E976,"&gt;=36526",E976,TODAY())+COUNTIFS(F976,"&gt;=36526",F976,TODAY())&gt;0),P976,"")</x:f>
      </x:c>
      <x:c r="L976" t="str">
        <x:f>IF(AND(A976&lt;&gt;"",COUNTIFS(C976,"&gt;"&amp;TODAY(),C976,"&lt;="&amp;TODAY()+30)+COUNTIFS(D976,"&gt;"&amp;TODAY(),D976,"&lt;="&amp;TODAY()+30)+COUNTIFS(E976,"&gt;"&amp;TODAY(),E976,"&lt;="&amp;TODAY()+30)+COUNTIFS(F976,"&gt;"&amp;TODAY(),F976,"&lt;="&amp;TODAY()+30)&gt;0),Q976,"")</x:f>
      </x:c>
      <x:c r="M976" t="str">
        <x:f>IF(OR(LEFT(H976,15)="Missing dates; ",LEFT(H976,16)="Add N/A reason; ",H976="Add dates",H976="Add registration",H976="Check date format"),R976,"")</x:f>
      </x:c>
      <x:c r="N976" t="str">
        <x:f>IF(COUNTIFS(C976:F976,"Reviewed N/A")&gt;0,S976,"")</x:f>
      </x:c>
      <x:c r="O976" t="n">
        <x:f>O975+IF(AND(A976&lt;&gt;"",COUNTIFS(C976,"&gt;=36526",C976,"&lt;"&amp;TODAY())+COUNTIFS(D976,"&gt;=36526",D976,"&lt;"&amp;TODAY())+COUNTIFS(E976,"&gt;=36526",E976,"&lt;"&amp;TODAY())+COUNTIFS(F976,"&gt;=36526",F976,"&lt;"&amp;TODAY())&gt;0),1,0)</x:f>
        <x:v>0</x:v>
      </x:c>
      <x:c r="P976" t="n">
        <x:f>P975+IF(AND(A976&lt;&gt;"",COUNTIFS(C976,"&gt;=36526",C976,TODAY())+COUNTIFS(D976,"&gt;=36526",D976,TODAY())+COUNTIFS(E976,"&gt;=36526",E976,TODAY())+COUNTIFS(F976,"&gt;=36526",F976,TODAY())&gt;0),1,0)</x:f>
        <x:v>0</x:v>
      </x:c>
      <x:c r="Q976" t="n">
        <x:f>Q975+IF(AND(A976&lt;&gt;"",COUNTIFS(C976,"&gt;"&amp;TODAY(),C976,"&lt;="&amp;TODAY()+30)+COUNTIFS(D976,"&gt;"&amp;TODAY(),D976,"&lt;="&amp;TODAY()+30)+COUNTIFS(E976,"&gt;"&amp;TODAY(),E976,"&lt;="&amp;TODAY()+30)+COUNTIFS(F976,"&gt;"&amp;TODAY(),F976,"&lt;="&amp;TODAY()+30)&gt;0),1,0)</x:f>
        <x:v>0</x:v>
      </x:c>
      <x:c r="R976" t="n">
        <x:f>R975+IF(OR(LEFT(H976,15)="Missing dates; ",LEFT(H976,16)="Add N/A reason; ",H976="Add dates",H976="Add registration",H976="Check date format"),1,0)</x:f>
        <x:v>0</x:v>
      </x:c>
      <x:c r="S976" t="n">
        <x:f>S975+IF(COUNTIFS(C976:F976,"Reviewed N/A")&gt;0,1,0)</x:f>
        <x:v>0</x:v>
      </x:c>
    </x:row>
    <x:row r="977" ht="48" customHeight="1">
      <x:c r="A977" s="52"/>
      <x:c r="B977" s="52"/>
      <x:c r="C977" s="53"/>
      <x:c r="D977" s="53"/>
      <x:c r="E977" s="53"/>
      <x:c r="F977" s="53"/>
      <x:c r="G977" s="52"/>
      <x:c r="H977" s="21" t="str">
        <x:f>IF(COUNTA(A977:G977,I977)=0,"",IF(A977="","Add registration",IF(OR(COUNTA(C977:F977)&gt;COUNT(C977:F977)+COUNTIFS(C977:F977,"Reviewed N/A"),AND(COUNT(C977:F977)&gt;0,OR(MIN(C977:F977)&lt;36526,MAX(C977:F977)&gt;109574))),"Check date format",IF(AND(COUNTIFS(C977:F977,"Reviewed N/A")&gt;0,I977=""),"Add N/A reason; ","")&amp;IF(COUNT(C977:F977)=0,IF(COUNTIFS(C977:F977,"Reviewed N/A")=4,"No applicable dates recorded","Add dates"),IF(COUNT(C977:F977)+COUNTIFS(C977:F977,"Reviewed N/A")&lt;4,"Missing dates; ","")&amp;IF(MIN(C977:F977)&lt;TODAY(),"Overdue: ",IF(MIN(C977:F977)=TODAY(),"Due today: ",IF(MIN(C977:F977)&lt;=TODAY()+30,"Due within 30 days: ","Next: ")))&amp;INDEX($C$8:$F$8,1,MATCH(MIN(C977:F977),C977:F977,0))&amp;" "&amp;TEXT(MIN(C977:F977),"dd mmm yyyy")))))</x:f>
      </x:c>
      <x:c r="I977" s="52"/>
      <x:c r="J977" t="str">
        <x:f>IF(AND(A977&lt;&gt;"",COUNTIFS(C977,"&gt;=36526",C977,"&lt;"&amp;TODAY())+COUNTIFS(D977,"&gt;=36526",D977,"&lt;"&amp;TODAY())+COUNTIFS(E977,"&gt;=36526",E977,"&lt;"&amp;TODAY())+COUNTIFS(F977,"&gt;=36526",F977,"&lt;"&amp;TODAY())&gt;0),O977,"")</x:f>
      </x:c>
      <x:c r="K977" t="str">
        <x:f>IF(AND(A977&lt;&gt;"",COUNTIFS(C977,"&gt;=36526",C977,TODAY())+COUNTIFS(D977,"&gt;=36526",D977,TODAY())+COUNTIFS(E977,"&gt;=36526",E977,TODAY())+COUNTIFS(F977,"&gt;=36526",F977,TODAY())&gt;0),P977,"")</x:f>
      </x:c>
      <x:c r="L977" t="str">
        <x:f>IF(AND(A977&lt;&gt;"",COUNTIFS(C977,"&gt;"&amp;TODAY(),C977,"&lt;="&amp;TODAY()+30)+COUNTIFS(D977,"&gt;"&amp;TODAY(),D977,"&lt;="&amp;TODAY()+30)+COUNTIFS(E977,"&gt;"&amp;TODAY(),E977,"&lt;="&amp;TODAY()+30)+COUNTIFS(F977,"&gt;"&amp;TODAY(),F977,"&lt;="&amp;TODAY()+30)&gt;0),Q977,"")</x:f>
      </x:c>
      <x:c r="M977" t="str">
        <x:f>IF(OR(LEFT(H977,15)="Missing dates; ",LEFT(H977,16)="Add N/A reason; ",H977="Add dates",H977="Add registration",H977="Check date format"),R977,"")</x:f>
      </x:c>
      <x:c r="N977" t="str">
        <x:f>IF(COUNTIFS(C977:F977,"Reviewed N/A")&gt;0,S977,"")</x:f>
      </x:c>
      <x:c r="O977" t="n">
        <x:f>O976+IF(AND(A977&lt;&gt;"",COUNTIFS(C977,"&gt;=36526",C977,"&lt;"&amp;TODAY())+COUNTIFS(D977,"&gt;=36526",D977,"&lt;"&amp;TODAY())+COUNTIFS(E977,"&gt;=36526",E977,"&lt;"&amp;TODAY())+COUNTIFS(F977,"&gt;=36526",F977,"&lt;"&amp;TODAY())&gt;0),1,0)</x:f>
        <x:v>0</x:v>
      </x:c>
      <x:c r="P977" t="n">
        <x:f>P976+IF(AND(A977&lt;&gt;"",COUNTIFS(C977,"&gt;=36526",C977,TODAY())+COUNTIFS(D977,"&gt;=36526",D977,TODAY())+COUNTIFS(E977,"&gt;=36526",E977,TODAY())+COUNTIFS(F977,"&gt;=36526",F977,TODAY())&gt;0),1,0)</x:f>
        <x:v>0</x:v>
      </x:c>
      <x:c r="Q977" t="n">
        <x:f>Q976+IF(AND(A977&lt;&gt;"",COUNTIFS(C977,"&gt;"&amp;TODAY(),C977,"&lt;="&amp;TODAY()+30)+COUNTIFS(D977,"&gt;"&amp;TODAY(),D977,"&lt;="&amp;TODAY()+30)+COUNTIFS(E977,"&gt;"&amp;TODAY(),E977,"&lt;="&amp;TODAY()+30)+COUNTIFS(F977,"&gt;"&amp;TODAY(),F977,"&lt;="&amp;TODAY()+30)&gt;0),1,0)</x:f>
        <x:v>0</x:v>
      </x:c>
      <x:c r="R977" t="n">
        <x:f>R976+IF(OR(LEFT(H977,15)="Missing dates; ",LEFT(H977,16)="Add N/A reason; ",H977="Add dates",H977="Add registration",H977="Check date format"),1,0)</x:f>
        <x:v>0</x:v>
      </x:c>
      <x:c r="S977" t="n">
        <x:f>S976+IF(COUNTIFS(C977:F977,"Reviewed N/A")&gt;0,1,0)</x:f>
        <x:v>0</x:v>
      </x:c>
    </x:row>
    <x:row r="978" ht="48" customHeight="1">
      <x:c r="A978" s="52"/>
      <x:c r="B978" s="52"/>
      <x:c r="C978" s="53"/>
      <x:c r="D978" s="53"/>
      <x:c r="E978" s="53"/>
      <x:c r="F978" s="53"/>
      <x:c r="G978" s="52"/>
      <x:c r="H978" s="21" t="str">
        <x:f>IF(COUNTA(A978:G978,I978)=0,"",IF(A978="","Add registration",IF(OR(COUNTA(C978:F978)&gt;COUNT(C978:F978)+COUNTIFS(C978:F978,"Reviewed N/A"),AND(COUNT(C978:F978)&gt;0,OR(MIN(C978:F978)&lt;36526,MAX(C978:F978)&gt;109574))),"Check date format",IF(AND(COUNTIFS(C978:F978,"Reviewed N/A")&gt;0,I978=""),"Add N/A reason; ","")&amp;IF(COUNT(C978:F978)=0,IF(COUNTIFS(C978:F978,"Reviewed N/A")=4,"No applicable dates recorded","Add dates"),IF(COUNT(C978:F978)+COUNTIFS(C978:F978,"Reviewed N/A")&lt;4,"Missing dates; ","")&amp;IF(MIN(C978:F978)&lt;TODAY(),"Overdue: ",IF(MIN(C978:F978)=TODAY(),"Due today: ",IF(MIN(C978:F978)&lt;=TODAY()+30,"Due within 30 days: ","Next: ")))&amp;INDEX($C$8:$F$8,1,MATCH(MIN(C978:F978),C978:F978,0))&amp;" "&amp;TEXT(MIN(C978:F978),"dd mmm yyyy")))))</x:f>
      </x:c>
      <x:c r="I978" s="52"/>
      <x:c r="J978" t="str">
        <x:f>IF(AND(A978&lt;&gt;"",COUNTIFS(C978,"&gt;=36526",C978,"&lt;"&amp;TODAY())+COUNTIFS(D978,"&gt;=36526",D978,"&lt;"&amp;TODAY())+COUNTIFS(E978,"&gt;=36526",E978,"&lt;"&amp;TODAY())+COUNTIFS(F978,"&gt;=36526",F978,"&lt;"&amp;TODAY())&gt;0),O978,"")</x:f>
      </x:c>
      <x:c r="K978" t="str">
        <x:f>IF(AND(A978&lt;&gt;"",COUNTIFS(C978,"&gt;=36526",C978,TODAY())+COUNTIFS(D978,"&gt;=36526",D978,TODAY())+COUNTIFS(E978,"&gt;=36526",E978,TODAY())+COUNTIFS(F978,"&gt;=36526",F978,TODAY())&gt;0),P978,"")</x:f>
      </x:c>
      <x:c r="L978" t="str">
        <x:f>IF(AND(A978&lt;&gt;"",COUNTIFS(C978,"&gt;"&amp;TODAY(),C978,"&lt;="&amp;TODAY()+30)+COUNTIFS(D978,"&gt;"&amp;TODAY(),D978,"&lt;="&amp;TODAY()+30)+COUNTIFS(E978,"&gt;"&amp;TODAY(),E978,"&lt;="&amp;TODAY()+30)+COUNTIFS(F978,"&gt;"&amp;TODAY(),F978,"&lt;="&amp;TODAY()+30)&gt;0),Q978,"")</x:f>
      </x:c>
      <x:c r="M978" t="str">
        <x:f>IF(OR(LEFT(H978,15)="Missing dates; ",LEFT(H978,16)="Add N/A reason; ",H978="Add dates",H978="Add registration",H978="Check date format"),R978,"")</x:f>
      </x:c>
      <x:c r="N978" t="str">
        <x:f>IF(COUNTIFS(C978:F978,"Reviewed N/A")&gt;0,S978,"")</x:f>
      </x:c>
      <x:c r="O978" t="n">
        <x:f>O977+IF(AND(A978&lt;&gt;"",COUNTIFS(C978,"&gt;=36526",C978,"&lt;"&amp;TODAY())+COUNTIFS(D978,"&gt;=36526",D978,"&lt;"&amp;TODAY())+COUNTIFS(E978,"&gt;=36526",E978,"&lt;"&amp;TODAY())+COUNTIFS(F978,"&gt;=36526",F978,"&lt;"&amp;TODAY())&gt;0),1,0)</x:f>
        <x:v>0</x:v>
      </x:c>
      <x:c r="P978" t="n">
        <x:f>P977+IF(AND(A978&lt;&gt;"",COUNTIFS(C978,"&gt;=36526",C978,TODAY())+COUNTIFS(D978,"&gt;=36526",D978,TODAY())+COUNTIFS(E978,"&gt;=36526",E978,TODAY())+COUNTIFS(F978,"&gt;=36526",F978,TODAY())&gt;0),1,0)</x:f>
        <x:v>0</x:v>
      </x:c>
      <x:c r="Q978" t="n">
        <x:f>Q977+IF(AND(A978&lt;&gt;"",COUNTIFS(C978,"&gt;"&amp;TODAY(),C978,"&lt;="&amp;TODAY()+30)+COUNTIFS(D978,"&gt;"&amp;TODAY(),D978,"&lt;="&amp;TODAY()+30)+COUNTIFS(E978,"&gt;"&amp;TODAY(),E978,"&lt;="&amp;TODAY()+30)+COUNTIFS(F978,"&gt;"&amp;TODAY(),F978,"&lt;="&amp;TODAY()+30)&gt;0),1,0)</x:f>
        <x:v>0</x:v>
      </x:c>
      <x:c r="R978" t="n">
        <x:f>R977+IF(OR(LEFT(H978,15)="Missing dates; ",LEFT(H978,16)="Add N/A reason; ",H978="Add dates",H978="Add registration",H978="Check date format"),1,0)</x:f>
        <x:v>0</x:v>
      </x:c>
      <x:c r="S978" t="n">
        <x:f>S977+IF(COUNTIFS(C978:F978,"Reviewed N/A")&gt;0,1,0)</x:f>
        <x:v>0</x:v>
      </x:c>
    </x:row>
    <x:row r="979" ht="48" customHeight="1">
      <x:c r="A979" s="52"/>
      <x:c r="B979" s="52"/>
      <x:c r="C979" s="53"/>
      <x:c r="D979" s="53"/>
      <x:c r="E979" s="53"/>
      <x:c r="F979" s="53"/>
      <x:c r="G979" s="52"/>
      <x:c r="H979" s="21" t="str">
        <x:f>IF(COUNTA(A979:G979,I979)=0,"",IF(A979="","Add registration",IF(OR(COUNTA(C979:F979)&gt;COUNT(C979:F979)+COUNTIFS(C979:F979,"Reviewed N/A"),AND(COUNT(C979:F979)&gt;0,OR(MIN(C979:F979)&lt;36526,MAX(C979:F979)&gt;109574))),"Check date format",IF(AND(COUNTIFS(C979:F979,"Reviewed N/A")&gt;0,I979=""),"Add N/A reason; ","")&amp;IF(COUNT(C979:F979)=0,IF(COUNTIFS(C979:F979,"Reviewed N/A")=4,"No applicable dates recorded","Add dates"),IF(COUNT(C979:F979)+COUNTIFS(C979:F979,"Reviewed N/A")&lt;4,"Missing dates; ","")&amp;IF(MIN(C979:F979)&lt;TODAY(),"Overdue: ",IF(MIN(C979:F979)=TODAY(),"Due today: ",IF(MIN(C979:F979)&lt;=TODAY()+30,"Due within 30 days: ","Next: ")))&amp;INDEX($C$8:$F$8,1,MATCH(MIN(C979:F979),C979:F979,0))&amp;" "&amp;TEXT(MIN(C979:F979),"dd mmm yyyy")))))</x:f>
      </x:c>
      <x:c r="I979" s="52"/>
      <x:c r="J979" t="str">
        <x:f>IF(AND(A979&lt;&gt;"",COUNTIFS(C979,"&gt;=36526",C979,"&lt;"&amp;TODAY())+COUNTIFS(D979,"&gt;=36526",D979,"&lt;"&amp;TODAY())+COUNTIFS(E979,"&gt;=36526",E979,"&lt;"&amp;TODAY())+COUNTIFS(F979,"&gt;=36526",F979,"&lt;"&amp;TODAY())&gt;0),O979,"")</x:f>
      </x:c>
      <x:c r="K979" t="str">
        <x:f>IF(AND(A979&lt;&gt;"",COUNTIFS(C979,"&gt;=36526",C979,TODAY())+COUNTIFS(D979,"&gt;=36526",D979,TODAY())+COUNTIFS(E979,"&gt;=36526",E979,TODAY())+COUNTIFS(F979,"&gt;=36526",F979,TODAY())&gt;0),P979,"")</x:f>
      </x:c>
      <x:c r="L979" t="str">
        <x:f>IF(AND(A979&lt;&gt;"",COUNTIFS(C979,"&gt;"&amp;TODAY(),C979,"&lt;="&amp;TODAY()+30)+COUNTIFS(D979,"&gt;"&amp;TODAY(),D979,"&lt;="&amp;TODAY()+30)+COUNTIFS(E979,"&gt;"&amp;TODAY(),E979,"&lt;="&amp;TODAY()+30)+COUNTIFS(F979,"&gt;"&amp;TODAY(),F979,"&lt;="&amp;TODAY()+30)&gt;0),Q979,"")</x:f>
      </x:c>
      <x:c r="M979" t="str">
        <x:f>IF(OR(LEFT(H979,15)="Missing dates; ",LEFT(H979,16)="Add N/A reason; ",H979="Add dates",H979="Add registration",H979="Check date format"),R979,"")</x:f>
      </x:c>
      <x:c r="N979" t="str">
        <x:f>IF(COUNTIFS(C979:F979,"Reviewed N/A")&gt;0,S979,"")</x:f>
      </x:c>
      <x:c r="O979" t="n">
        <x:f>O978+IF(AND(A979&lt;&gt;"",COUNTIFS(C979,"&gt;=36526",C979,"&lt;"&amp;TODAY())+COUNTIFS(D979,"&gt;=36526",D979,"&lt;"&amp;TODAY())+COUNTIFS(E979,"&gt;=36526",E979,"&lt;"&amp;TODAY())+COUNTIFS(F979,"&gt;=36526",F979,"&lt;"&amp;TODAY())&gt;0),1,0)</x:f>
        <x:v>0</x:v>
      </x:c>
      <x:c r="P979" t="n">
        <x:f>P978+IF(AND(A979&lt;&gt;"",COUNTIFS(C979,"&gt;=36526",C979,TODAY())+COUNTIFS(D979,"&gt;=36526",D979,TODAY())+COUNTIFS(E979,"&gt;=36526",E979,TODAY())+COUNTIFS(F979,"&gt;=36526",F979,TODAY())&gt;0),1,0)</x:f>
        <x:v>0</x:v>
      </x:c>
      <x:c r="Q979" t="n">
        <x:f>Q978+IF(AND(A979&lt;&gt;"",COUNTIFS(C979,"&gt;"&amp;TODAY(),C979,"&lt;="&amp;TODAY()+30)+COUNTIFS(D979,"&gt;"&amp;TODAY(),D979,"&lt;="&amp;TODAY()+30)+COUNTIFS(E979,"&gt;"&amp;TODAY(),E979,"&lt;="&amp;TODAY()+30)+COUNTIFS(F979,"&gt;"&amp;TODAY(),F979,"&lt;="&amp;TODAY()+30)&gt;0),1,0)</x:f>
        <x:v>0</x:v>
      </x:c>
      <x:c r="R979" t="n">
        <x:f>R978+IF(OR(LEFT(H979,15)="Missing dates; ",LEFT(H979,16)="Add N/A reason; ",H979="Add dates",H979="Add registration",H979="Check date format"),1,0)</x:f>
        <x:v>0</x:v>
      </x:c>
      <x:c r="S979" t="n">
        <x:f>S978+IF(COUNTIFS(C979:F979,"Reviewed N/A")&gt;0,1,0)</x:f>
        <x:v>0</x:v>
      </x:c>
    </x:row>
    <x:row r="980" ht="48" customHeight="1">
      <x:c r="A980" s="52"/>
      <x:c r="B980" s="52"/>
      <x:c r="C980" s="53"/>
      <x:c r="D980" s="53"/>
      <x:c r="E980" s="53"/>
      <x:c r="F980" s="53"/>
      <x:c r="G980" s="52"/>
      <x:c r="H980" s="21" t="str">
        <x:f>IF(COUNTA(A980:G980,I980)=0,"",IF(A980="","Add registration",IF(OR(COUNTA(C980:F980)&gt;COUNT(C980:F980)+COUNTIFS(C980:F980,"Reviewed N/A"),AND(COUNT(C980:F980)&gt;0,OR(MIN(C980:F980)&lt;36526,MAX(C980:F980)&gt;109574))),"Check date format",IF(AND(COUNTIFS(C980:F980,"Reviewed N/A")&gt;0,I980=""),"Add N/A reason; ","")&amp;IF(COUNT(C980:F980)=0,IF(COUNTIFS(C980:F980,"Reviewed N/A")=4,"No applicable dates recorded","Add dates"),IF(COUNT(C980:F980)+COUNTIFS(C980:F980,"Reviewed N/A")&lt;4,"Missing dates; ","")&amp;IF(MIN(C980:F980)&lt;TODAY(),"Overdue: ",IF(MIN(C980:F980)=TODAY(),"Due today: ",IF(MIN(C980:F980)&lt;=TODAY()+30,"Due within 30 days: ","Next: ")))&amp;INDEX($C$8:$F$8,1,MATCH(MIN(C980:F980),C980:F980,0))&amp;" "&amp;TEXT(MIN(C980:F980),"dd mmm yyyy")))))</x:f>
      </x:c>
      <x:c r="I980" s="52"/>
      <x:c r="J980" t="str">
        <x:f>IF(AND(A980&lt;&gt;"",COUNTIFS(C980,"&gt;=36526",C980,"&lt;"&amp;TODAY())+COUNTIFS(D980,"&gt;=36526",D980,"&lt;"&amp;TODAY())+COUNTIFS(E980,"&gt;=36526",E980,"&lt;"&amp;TODAY())+COUNTIFS(F980,"&gt;=36526",F980,"&lt;"&amp;TODAY())&gt;0),O980,"")</x:f>
      </x:c>
      <x:c r="K980" t="str">
        <x:f>IF(AND(A980&lt;&gt;"",COUNTIFS(C980,"&gt;=36526",C980,TODAY())+COUNTIFS(D980,"&gt;=36526",D980,TODAY())+COUNTIFS(E980,"&gt;=36526",E980,TODAY())+COUNTIFS(F980,"&gt;=36526",F980,TODAY())&gt;0),P980,"")</x:f>
      </x:c>
      <x:c r="L980" t="str">
        <x:f>IF(AND(A980&lt;&gt;"",COUNTIFS(C980,"&gt;"&amp;TODAY(),C980,"&lt;="&amp;TODAY()+30)+COUNTIFS(D980,"&gt;"&amp;TODAY(),D980,"&lt;="&amp;TODAY()+30)+COUNTIFS(E980,"&gt;"&amp;TODAY(),E980,"&lt;="&amp;TODAY()+30)+COUNTIFS(F980,"&gt;"&amp;TODAY(),F980,"&lt;="&amp;TODAY()+30)&gt;0),Q980,"")</x:f>
      </x:c>
      <x:c r="M980" t="str">
        <x:f>IF(OR(LEFT(H980,15)="Missing dates; ",LEFT(H980,16)="Add N/A reason; ",H980="Add dates",H980="Add registration",H980="Check date format"),R980,"")</x:f>
      </x:c>
      <x:c r="N980" t="str">
        <x:f>IF(COUNTIFS(C980:F980,"Reviewed N/A")&gt;0,S980,"")</x:f>
      </x:c>
      <x:c r="O980" t="n">
        <x:f>O979+IF(AND(A980&lt;&gt;"",COUNTIFS(C980,"&gt;=36526",C980,"&lt;"&amp;TODAY())+COUNTIFS(D980,"&gt;=36526",D980,"&lt;"&amp;TODAY())+COUNTIFS(E980,"&gt;=36526",E980,"&lt;"&amp;TODAY())+COUNTIFS(F980,"&gt;=36526",F980,"&lt;"&amp;TODAY())&gt;0),1,0)</x:f>
        <x:v>0</x:v>
      </x:c>
      <x:c r="P980" t="n">
        <x:f>P979+IF(AND(A980&lt;&gt;"",COUNTIFS(C980,"&gt;=36526",C980,TODAY())+COUNTIFS(D980,"&gt;=36526",D980,TODAY())+COUNTIFS(E980,"&gt;=36526",E980,TODAY())+COUNTIFS(F980,"&gt;=36526",F980,TODAY())&gt;0),1,0)</x:f>
        <x:v>0</x:v>
      </x:c>
      <x:c r="Q980" t="n">
        <x:f>Q979+IF(AND(A980&lt;&gt;"",COUNTIFS(C980,"&gt;"&amp;TODAY(),C980,"&lt;="&amp;TODAY()+30)+COUNTIFS(D980,"&gt;"&amp;TODAY(),D980,"&lt;="&amp;TODAY()+30)+COUNTIFS(E980,"&gt;"&amp;TODAY(),E980,"&lt;="&amp;TODAY()+30)+COUNTIFS(F980,"&gt;"&amp;TODAY(),F980,"&lt;="&amp;TODAY()+30)&gt;0),1,0)</x:f>
        <x:v>0</x:v>
      </x:c>
      <x:c r="R980" t="n">
        <x:f>R979+IF(OR(LEFT(H980,15)="Missing dates; ",LEFT(H980,16)="Add N/A reason; ",H980="Add dates",H980="Add registration",H980="Check date format"),1,0)</x:f>
        <x:v>0</x:v>
      </x:c>
      <x:c r="S980" t="n">
        <x:f>S979+IF(COUNTIFS(C980:F980,"Reviewed N/A")&gt;0,1,0)</x:f>
        <x:v>0</x:v>
      </x:c>
    </x:row>
    <x:row r="981" ht="48" customHeight="1">
      <x:c r="A981" s="52"/>
      <x:c r="B981" s="52"/>
      <x:c r="C981" s="53"/>
      <x:c r="D981" s="53"/>
      <x:c r="E981" s="53"/>
      <x:c r="F981" s="53"/>
      <x:c r="G981" s="52"/>
      <x:c r="H981" s="21" t="str">
        <x:f>IF(COUNTA(A981:G981,I981)=0,"",IF(A981="","Add registration",IF(OR(COUNTA(C981:F981)&gt;COUNT(C981:F981)+COUNTIFS(C981:F981,"Reviewed N/A"),AND(COUNT(C981:F981)&gt;0,OR(MIN(C981:F981)&lt;36526,MAX(C981:F981)&gt;109574))),"Check date format",IF(AND(COUNTIFS(C981:F981,"Reviewed N/A")&gt;0,I981=""),"Add N/A reason; ","")&amp;IF(COUNT(C981:F981)=0,IF(COUNTIFS(C981:F981,"Reviewed N/A")=4,"No applicable dates recorded","Add dates"),IF(COUNT(C981:F981)+COUNTIFS(C981:F981,"Reviewed N/A")&lt;4,"Missing dates; ","")&amp;IF(MIN(C981:F981)&lt;TODAY(),"Overdue: ",IF(MIN(C981:F981)=TODAY(),"Due today: ",IF(MIN(C981:F981)&lt;=TODAY()+30,"Due within 30 days: ","Next: ")))&amp;INDEX($C$8:$F$8,1,MATCH(MIN(C981:F981),C981:F981,0))&amp;" "&amp;TEXT(MIN(C981:F981),"dd mmm yyyy")))))</x:f>
      </x:c>
      <x:c r="I981" s="52"/>
      <x:c r="J981" t="str">
        <x:f>IF(AND(A981&lt;&gt;"",COUNTIFS(C981,"&gt;=36526",C981,"&lt;"&amp;TODAY())+COUNTIFS(D981,"&gt;=36526",D981,"&lt;"&amp;TODAY())+COUNTIFS(E981,"&gt;=36526",E981,"&lt;"&amp;TODAY())+COUNTIFS(F981,"&gt;=36526",F981,"&lt;"&amp;TODAY())&gt;0),O981,"")</x:f>
      </x:c>
      <x:c r="K981" t="str">
        <x:f>IF(AND(A981&lt;&gt;"",COUNTIFS(C981,"&gt;=36526",C981,TODAY())+COUNTIFS(D981,"&gt;=36526",D981,TODAY())+COUNTIFS(E981,"&gt;=36526",E981,TODAY())+COUNTIFS(F981,"&gt;=36526",F981,TODAY())&gt;0),P981,"")</x:f>
      </x:c>
      <x:c r="L981" t="str">
        <x:f>IF(AND(A981&lt;&gt;"",COUNTIFS(C981,"&gt;"&amp;TODAY(),C981,"&lt;="&amp;TODAY()+30)+COUNTIFS(D981,"&gt;"&amp;TODAY(),D981,"&lt;="&amp;TODAY()+30)+COUNTIFS(E981,"&gt;"&amp;TODAY(),E981,"&lt;="&amp;TODAY()+30)+COUNTIFS(F981,"&gt;"&amp;TODAY(),F981,"&lt;="&amp;TODAY()+30)&gt;0),Q981,"")</x:f>
      </x:c>
      <x:c r="M981" t="str">
        <x:f>IF(OR(LEFT(H981,15)="Missing dates; ",LEFT(H981,16)="Add N/A reason; ",H981="Add dates",H981="Add registration",H981="Check date format"),R981,"")</x:f>
      </x:c>
      <x:c r="N981" t="str">
        <x:f>IF(COUNTIFS(C981:F981,"Reviewed N/A")&gt;0,S981,"")</x:f>
      </x:c>
      <x:c r="O981" t="n">
        <x:f>O980+IF(AND(A981&lt;&gt;"",COUNTIFS(C981,"&gt;=36526",C981,"&lt;"&amp;TODAY())+COUNTIFS(D981,"&gt;=36526",D981,"&lt;"&amp;TODAY())+COUNTIFS(E981,"&gt;=36526",E981,"&lt;"&amp;TODAY())+COUNTIFS(F981,"&gt;=36526",F981,"&lt;"&amp;TODAY())&gt;0),1,0)</x:f>
        <x:v>0</x:v>
      </x:c>
      <x:c r="P981" t="n">
        <x:f>P980+IF(AND(A981&lt;&gt;"",COUNTIFS(C981,"&gt;=36526",C981,TODAY())+COUNTIFS(D981,"&gt;=36526",D981,TODAY())+COUNTIFS(E981,"&gt;=36526",E981,TODAY())+COUNTIFS(F981,"&gt;=36526",F981,TODAY())&gt;0),1,0)</x:f>
        <x:v>0</x:v>
      </x:c>
      <x:c r="Q981" t="n">
        <x:f>Q980+IF(AND(A981&lt;&gt;"",COUNTIFS(C981,"&gt;"&amp;TODAY(),C981,"&lt;="&amp;TODAY()+30)+COUNTIFS(D981,"&gt;"&amp;TODAY(),D981,"&lt;="&amp;TODAY()+30)+COUNTIFS(E981,"&gt;"&amp;TODAY(),E981,"&lt;="&amp;TODAY()+30)+COUNTIFS(F981,"&gt;"&amp;TODAY(),F981,"&lt;="&amp;TODAY()+30)&gt;0),1,0)</x:f>
        <x:v>0</x:v>
      </x:c>
      <x:c r="R981" t="n">
        <x:f>R980+IF(OR(LEFT(H981,15)="Missing dates; ",LEFT(H981,16)="Add N/A reason; ",H981="Add dates",H981="Add registration",H981="Check date format"),1,0)</x:f>
        <x:v>0</x:v>
      </x:c>
      <x:c r="S981" t="n">
        <x:f>S980+IF(COUNTIFS(C981:F981,"Reviewed N/A")&gt;0,1,0)</x:f>
        <x:v>0</x:v>
      </x:c>
    </x:row>
    <x:row r="982" ht="48" customHeight="1">
      <x:c r="A982" s="52"/>
      <x:c r="B982" s="52"/>
      <x:c r="C982" s="53"/>
      <x:c r="D982" s="53"/>
      <x:c r="E982" s="53"/>
      <x:c r="F982" s="53"/>
      <x:c r="G982" s="52"/>
      <x:c r="H982" s="21" t="str">
        <x:f>IF(COUNTA(A982:G982,I982)=0,"",IF(A982="","Add registration",IF(OR(COUNTA(C982:F982)&gt;COUNT(C982:F982)+COUNTIFS(C982:F982,"Reviewed N/A"),AND(COUNT(C982:F982)&gt;0,OR(MIN(C982:F982)&lt;36526,MAX(C982:F982)&gt;109574))),"Check date format",IF(AND(COUNTIFS(C982:F982,"Reviewed N/A")&gt;0,I982=""),"Add N/A reason; ","")&amp;IF(COUNT(C982:F982)=0,IF(COUNTIFS(C982:F982,"Reviewed N/A")=4,"No applicable dates recorded","Add dates"),IF(COUNT(C982:F982)+COUNTIFS(C982:F982,"Reviewed N/A")&lt;4,"Missing dates; ","")&amp;IF(MIN(C982:F982)&lt;TODAY(),"Overdue: ",IF(MIN(C982:F982)=TODAY(),"Due today: ",IF(MIN(C982:F982)&lt;=TODAY()+30,"Due within 30 days: ","Next: ")))&amp;INDEX($C$8:$F$8,1,MATCH(MIN(C982:F982),C982:F982,0))&amp;" "&amp;TEXT(MIN(C982:F982),"dd mmm yyyy")))))</x:f>
      </x:c>
      <x:c r="I982" s="52"/>
      <x:c r="J982" t="str">
        <x:f>IF(AND(A982&lt;&gt;"",COUNTIFS(C982,"&gt;=36526",C982,"&lt;"&amp;TODAY())+COUNTIFS(D982,"&gt;=36526",D982,"&lt;"&amp;TODAY())+COUNTIFS(E982,"&gt;=36526",E982,"&lt;"&amp;TODAY())+COUNTIFS(F982,"&gt;=36526",F982,"&lt;"&amp;TODAY())&gt;0),O982,"")</x:f>
      </x:c>
      <x:c r="K982" t="str">
        <x:f>IF(AND(A982&lt;&gt;"",COUNTIFS(C982,"&gt;=36526",C982,TODAY())+COUNTIFS(D982,"&gt;=36526",D982,TODAY())+COUNTIFS(E982,"&gt;=36526",E982,TODAY())+COUNTIFS(F982,"&gt;=36526",F982,TODAY())&gt;0),P982,"")</x:f>
      </x:c>
      <x:c r="L982" t="str">
        <x:f>IF(AND(A982&lt;&gt;"",COUNTIFS(C982,"&gt;"&amp;TODAY(),C982,"&lt;="&amp;TODAY()+30)+COUNTIFS(D982,"&gt;"&amp;TODAY(),D982,"&lt;="&amp;TODAY()+30)+COUNTIFS(E982,"&gt;"&amp;TODAY(),E982,"&lt;="&amp;TODAY()+30)+COUNTIFS(F982,"&gt;"&amp;TODAY(),F982,"&lt;="&amp;TODAY()+30)&gt;0),Q982,"")</x:f>
      </x:c>
      <x:c r="M982" t="str">
        <x:f>IF(OR(LEFT(H982,15)="Missing dates; ",LEFT(H982,16)="Add N/A reason; ",H982="Add dates",H982="Add registration",H982="Check date format"),R982,"")</x:f>
      </x:c>
      <x:c r="N982" t="str">
        <x:f>IF(COUNTIFS(C982:F982,"Reviewed N/A")&gt;0,S982,"")</x:f>
      </x:c>
      <x:c r="O982" t="n">
        <x:f>O981+IF(AND(A982&lt;&gt;"",COUNTIFS(C982,"&gt;=36526",C982,"&lt;"&amp;TODAY())+COUNTIFS(D982,"&gt;=36526",D982,"&lt;"&amp;TODAY())+COUNTIFS(E982,"&gt;=36526",E982,"&lt;"&amp;TODAY())+COUNTIFS(F982,"&gt;=36526",F982,"&lt;"&amp;TODAY())&gt;0),1,0)</x:f>
        <x:v>0</x:v>
      </x:c>
      <x:c r="P982" t="n">
        <x:f>P981+IF(AND(A982&lt;&gt;"",COUNTIFS(C982,"&gt;=36526",C982,TODAY())+COUNTIFS(D982,"&gt;=36526",D982,TODAY())+COUNTIFS(E982,"&gt;=36526",E982,TODAY())+COUNTIFS(F982,"&gt;=36526",F982,TODAY())&gt;0),1,0)</x:f>
        <x:v>0</x:v>
      </x:c>
      <x:c r="Q982" t="n">
        <x:f>Q981+IF(AND(A982&lt;&gt;"",COUNTIFS(C982,"&gt;"&amp;TODAY(),C982,"&lt;="&amp;TODAY()+30)+COUNTIFS(D982,"&gt;"&amp;TODAY(),D982,"&lt;="&amp;TODAY()+30)+COUNTIFS(E982,"&gt;"&amp;TODAY(),E982,"&lt;="&amp;TODAY()+30)+COUNTIFS(F982,"&gt;"&amp;TODAY(),F982,"&lt;="&amp;TODAY()+30)&gt;0),1,0)</x:f>
        <x:v>0</x:v>
      </x:c>
      <x:c r="R982" t="n">
        <x:f>R981+IF(OR(LEFT(H982,15)="Missing dates; ",LEFT(H982,16)="Add N/A reason; ",H982="Add dates",H982="Add registration",H982="Check date format"),1,0)</x:f>
        <x:v>0</x:v>
      </x:c>
      <x:c r="S982" t="n">
        <x:f>S981+IF(COUNTIFS(C982:F982,"Reviewed N/A")&gt;0,1,0)</x:f>
        <x:v>0</x:v>
      </x:c>
    </x:row>
    <x:row r="983" ht="48" customHeight="1">
      <x:c r="A983" s="52"/>
      <x:c r="B983" s="52"/>
      <x:c r="C983" s="53"/>
      <x:c r="D983" s="53"/>
      <x:c r="E983" s="53"/>
      <x:c r="F983" s="53"/>
      <x:c r="G983" s="52"/>
      <x:c r="H983" s="21" t="str">
        <x:f>IF(COUNTA(A983:G983,I983)=0,"",IF(A983="","Add registration",IF(OR(COUNTA(C983:F983)&gt;COUNT(C983:F983)+COUNTIFS(C983:F983,"Reviewed N/A"),AND(COUNT(C983:F983)&gt;0,OR(MIN(C983:F983)&lt;36526,MAX(C983:F983)&gt;109574))),"Check date format",IF(AND(COUNTIFS(C983:F983,"Reviewed N/A")&gt;0,I983=""),"Add N/A reason; ","")&amp;IF(COUNT(C983:F983)=0,IF(COUNTIFS(C983:F983,"Reviewed N/A")=4,"No applicable dates recorded","Add dates"),IF(COUNT(C983:F983)+COUNTIFS(C983:F983,"Reviewed N/A")&lt;4,"Missing dates; ","")&amp;IF(MIN(C983:F983)&lt;TODAY(),"Overdue: ",IF(MIN(C983:F983)=TODAY(),"Due today: ",IF(MIN(C983:F983)&lt;=TODAY()+30,"Due within 30 days: ","Next: ")))&amp;INDEX($C$8:$F$8,1,MATCH(MIN(C983:F983),C983:F983,0))&amp;" "&amp;TEXT(MIN(C983:F983),"dd mmm yyyy")))))</x:f>
      </x:c>
      <x:c r="I983" s="52"/>
      <x:c r="J983" t="str">
        <x:f>IF(AND(A983&lt;&gt;"",COUNTIFS(C983,"&gt;=36526",C983,"&lt;"&amp;TODAY())+COUNTIFS(D983,"&gt;=36526",D983,"&lt;"&amp;TODAY())+COUNTIFS(E983,"&gt;=36526",E983,"&lt;"&amp;TODAY())+COUNTIFS(F983,"&gt;=36526",F983,"&lt;"&amp;TODAY())&gt;0),O983,"")</x:f>
      </x:c>
      <x:c r="K983" t="str">
        <x:f>IF(AND(A983&lt;&gt;"",COUNTIFS(C983,"&gt;=36526",C983,TODAY())+COUNTIFS(D983,"&gt;=36526",D983,TODAY())+COUNTIFS(E983,"&gt;=36526",E983,TODAY())+COUNTIFS(F983,"&gt;=36526",F983,TODAY())&gt;0),P983,"")</x:f>
      </x:c>
      <x:c r="L983" t="str">
        <x:f>IF(AND(A983&lt;&gt;"",COUNTIFS(C983,"&gt;"&amp;TODAY(),C983,"&lt;="&amp;TODAY()+30)+COUNTIFS(D983,"&gt;"&amp;TODAY(),D983,"&lt;="&amp;TODAY()+30)+COUNTIFS(E983,"&gt;"&amp;TODAY(),E983,"&lt;="&amp;TODAY()+30)+COUNTIFS(F983,"&gt;"&amp;TODAY(),F983,"&lt;="&amp;TODAY()+30)&gt;0),Q983,"")</x:f>
      </x:c>
      <x:c r="M983" t="str">
        <x:f>IF(OR(LEFT(H983,15)="Missing dates; ",LEFT(H983,16)="Add N/A reason; ",H983="Add dates",H983="Add registration",H983="Check date format"),R983,"")</x:f>
      </x:c>
      <x:c r="N983" t="str">
        <x:f>IF(COUNTIFS(C983:F983,"Reviewed N/A")&gt;0,S983,"")</x:f>
      </x:c>
      <x:c r="O983" t="n">
        <x:f>O982+IF(AND(A983&lt;&gt;"",COUNTIFS(C983,"&gt;=36526",C983,"&lt;"&amp;TODAY())+COUNTIFS(D983,"&gt;=36526",D983,"&lt;"&amp;TODAY())+COUNTIFS(E983,"&gt;=36526",E983,"&lt;"&amp;TODAY())+COUNTIFS(F983,"&gt;=36526",F983,"&lt;"&amp;TODAY())&gt;0),1,0)</x:f>
        <x:v>0</x:v>
      </x:c>
      <x:c r="P983" t="n">
        <x:f>P982+IF(AND(A983&lt;&gt;"",COUNTIFS(C983,"&gt;=36526",C983,TODAY())+COUNTIFS(D983,"&gt;=36526",D983,TODAY())+COUNTIFS(E983,"&gt;=36526",E983,TODAY())+COUNTIFS(F983,"&gt;=36526",F983,TODAY())&gt;0),1,0)</x:f>
        <x:v>0</x:v>
      </x:c>
      <x:c r="Q983" t="n">
        <x:f>Q982+IF(AND(A983&lt;&gt;"",COUNTIFS(C983,"&gt;"&amp;TODAY(),C983,"&lt;="&amp;TODAY()+30)+COUNTIFS(D983,"&gt;"&amp;TODAY(),D983,"&lt;="&amp;TODAY()+30)+COUNTIFS(E983,"&gt;"&amp;TODAY(),E983,"&lt;="&amp;TODAY()+30)+COUNTIFS(F983,"&gt;"&amp;TODAY(),F983,"&lt;="&amp;TODAY()+30)&gt;0),1,0)</x:f>
        <x:v>0</x:v>
      </x:c>
      <x:c r="R983" t="n">
        <x:f>R982+IF(OR(LEFT(H983,15)="Missing dates; ",LEFT(H983,16)="Add N/A reason; ",H983="Add dates",H983="Add registration",H983="Check date format"),1,0)</x:f>
        <x:v>0</x:v>
      </x:c>
      <x:c r="S983" t="n">
        <x:f>S982+IF(COUNTIFS(C983:F983,"Reviewed N/A")&gt;0,1,0)</x:f>
        <x:v>0</x:v>
      </x:c>
    </x:row>
    <x:row r="984" ht="48" customHeight="1">
      <x:c r="A984" s="52"/>
      <x:c r="B984" s="52"/>
      <x:c r="C984" s="53"/>
      <x:c r="D984" s="53"/>
      <x:c r="E984" s="53"/>
      <x:c r="F984" s="53"/>
      <x:c r="G984" s="52"/>
      <x:c r="H984" s="21" t="str">
        <x:f>IF(COUNTA(A984:G984,I984)=0,"",IF(A984="","Add registration",IF(OR(COUNTA(C984:F984)&gt;COUNT(C984:F984)+COUNTIFS(C984:F984,"Reviewed N/A"),AND(COUNT(C984:F984)&gt;0,OR(MIN(C984:F984)&lt;36526,MAX(C984:F984)&gt;109574))),"Check date format",IF(AND(COUNTIFS(C984:F984,"Reviewed N/A")&gt;0,I984=""),"Add N/A reason; ","")&amp;IF(COUNT(C984:F984)=0,IF(COUNTIFS(C984:F984,"Reviewed N/A")=4,"No applicable dates recorded","Add dates"),IF(COUNT(C984:F984)+COUNTIFS(C984:F984,"Reviewed N/A")&lt;4,"Missing dates; ","")&amp;IF(MIN(C984:F984)&lt;TODAY(),"Overdue: ",IF(MIN(C984:F984)=TODAY(),"Due today: ",IF(MIN(C984:F984)&lt;=TODAY()+30,"Due within 30 days: ","Next: ")))&amp;INDEX($C$8:$F$8,1,MATCH(MIN(C984:F984),C984:F984,0))&amp;" "&amp;TEXT(MIN(C984:F984),"dd mmm yyyy")))))</x:f>
      </x:c>
      <x:c r="I984" s="52"/>
      <x:c r="J984" t="str">
        <x:f>IF(AND(A984&lt;&gt;"",COUNTIFS(C984,"&gt;=36526",C984,"&lt;"&amp;TODAY())+COUNTIFS(D984,"&gt;=36526",D984,"&lt;"&amp;TODAY())+COUNTIFS(E984,"&gt;=36526",E984,"&lt;"&amp;TODAY())+COUNTIFS(F984,"&gt;=36526",F984,"&lt;"&amp;TODAY())&gt;0),O984,"")</x:f>
      </x:c>
      <x:c r="K984" t="str">
        <x:f>IF(AND(A984&lt;&gt;"",COUNTIFS(C984,"&gt;=36526",C984,TODAY())+COUNTIFS(D984,"&gt;=36526",D984,TODAY())+COUNTIFS(E984,"&gt;=36526",E984,TODAY())+COUNTIFS(F984,"&gt;=36526",F984,TODAY())&gt;0),P984,"")</x:f>
      </x:c>
      <x:c r="L984" t="str">
        <x:f>IF(AND(A984&lt;&gt;"",COUNTIFS(C984,"&gt;"&amp;TODAY(),C984,"&lt;="&amp;TODAY()+30)+COUNTIFS(D984,"&gt;"&amp;TODAY(),D984,"&lt;="&amp;TODAY()+30)+COUNTIFS(E984,"&gt;"&amp;TODAY(),E984,"&lt;="&amp;TODAY()+30)+COUNTIFS(F984,"&gt;"&amp;TODAY(),F984,"&lt;="&amp;TODAY()+30)&gt;0),Q984,"")</x:f>
      </x:c>
      <x:c r="M984" t="str">
        <x:f>IF(OR(LEFT(H984,15)="Missing dates; ",LEFT(H984,16)="Add N/A reason; ",H984="Add dates",H984="Add registration",H984="Check date format"),R984,"")</x:f>
      </x:c>
      <x:c r="N984" t="str">
        <x:f>IF(COUNTIFS(C984:F984,"Reviewed N/A")&gt;0,S984,"")</x:f>
      </x:c>
      <x:c r="O984" t="n">
        <x:f>O983+IF(AND(A984&lt;&gt;"",COUNTIFS(C984,"&gt;=36526",C984,"&lt;"&amp;TODAY())+COUNTIFS(D984,"&gt;=36526",D984,"&lt;"&amp;TODAY())+COUNTIFS(E984,"&gt;=36526",E984,"&lt;"&amp;TODAY())+COUNTIFS(F984,"&gt;=36526",F984,"&lt;"&amp;TODAY())&gt;0),1,0)</x:f>
        <x:v>0</x:v>
      </x:c>
      <x:c r="P984" t="n">
        <x:f>P983+IF(AND(A984&lt;&gt;"",COUNTIFS(C984,"&gt;=36526",C984,TODAY())+COUNTIFS(D984,"&gt;=36526",D984,TODAY())+COUNTIFS(E984,"&gt;=36526",E984,TODAY())+COUNTIFS(F984,"&gt;=36526",F984,TODAY())&gt;0),1,0)</x:f>
        <x:v>0</x:v>
      </x:c>
      <x:c r="Q984" t="n">
        <x:f>Q983+IF(AND(A984&lt;&gt;"",COUNTIFS(C984,"&gt;"&amp;TODAY(),C984,"&lt;="&amp;TODAY()+30)+COUNTIFS(D984,"&gt;"&amp;TODAY(),D984,"&lt;="&amp;TODAY()+30)+COUNTIFS(E984,"&gt;"&amp;TODAY(),E984,"&lt;="&amp;TODAY()+30)+COUNTIFS(F984,"&gt;"&amp;TODAY(),F984,"&lt;="&amp;TODAY()+30)&gt;0),1,0)</x:f>
        <x:v>0</x:v>
      </x:c>
      <x:c r="R984" t="n">
        <x:f>R983+IF(OR(LEFT(H984,15)="Missing dates; ",LEFT(H984,16)="Add N/A reason; ",H984="Add dates",H984="Add registration",H984="Check date format"),1,0)</x:f>
        <x:v>0</x:v>
      </x:c>
      <x:c r="S984" t="n">
        <x:f>S983+IF(COUNTIFS(C984:F984,"Reviewed N/A")&gt;0,1,0)</x:f>
        <x:v>0</x:v>
      </x:c>
    </x:row>
    <x:row r="985" ht="48" customHeight="1">
      <x:c r="A985" s="52"/>
      <x:c r="B985" s="52"/>
      <x:c r="C985" s="53"/>
      <x:c r="D985" s="53"/>
      <x:c r="E985" s="53"/>
      <x:c r="F985" s="53"/>
      <x:c r="G985" s="52"/>
      <x:c r="H985" s="21" t="str">
        <x:f>IF(COUNTA(A985:G985,I985)=0,"",IF(A985="","Add registration",IF(OR(COUNTA(C985:F985)&gt;COUNT(C985:F985)+COUNTIFS(C985:F985,"Reviewed N/A"),AND(COUNT(C985:F985)&gt;0,OR(MIN(C985:F985)&lt;36526,MAX(C985:F985)&gt;109574))),"Check date format",IF(AND(COUNTIFS(C985:F985,"Reviewed N/A")&gt;0,I985=""),"Add N/A reason; ","")&amp;IF(COUNT(C985:F985)=0,IF(COUNTIFS(C985:F985,"Reviewed N/A")=4,"No applicable dates recorded","Add dates"),IF(COUNT(C985:F985)+COUNTIFS(C985:F985,"Reviewed N/A")&lt;4,"Missing dates; ","")&amp;IF(MIN(C985:F985)&lt;TODAY(),"Overdue: ",IF(MIN(C985:F985)=TODAY(),"Due today: ",IF(MIN(C985:F985)&lt;=TODAY()+30,"Due within 30 days: ","Next: ")))&amp;INDEX($C$8:$F$8,1,MATCH(MIN(C985:F985),C985:F985,0))&amp;" "&amp;TEXT(MIN(C985:F985),"dd mmm yyyy")))))</x:f>
      </x:c>
      <x:c r="I985" s="52"/>
      <x:c r="J985" t="str">
        <x:f>IF(AND(A985&lt;&gt;"",COUNTIFS(C985,"&gt;=36526",C985,"&lt;"&amp;TODAY())+COUNTIFS(D985,"&gt;=36526",D985,"&lt;"&amp;TODAY())+COUNTIFS(E985,"&gt;=36526",E985,"&lt;"&amp;TODAY())+COUNTIFS(F985,"&gt;=36526",F985,"&lt;"&amp;TODAY())&gt;0),O985,"")</x:f>
      </x:c>
      <x:c r="K985" t="str">
        <x:f>IF(AND(A985&lt;&gt;"",COUNTIFS(C985,"&gt;=36526",C985,TODAY())+COUNTIFS(D985,"&gt;=36526",D985,TODAY())+COUNTIFS(E985,"&gt;=36526",E985,TODAY())+COUNTIFS(F985,"&gt;=36526",F985,TODAY())&gt;0),P985,"")</x:f>
      </x:c>
      <x:c r="L985" t="str">
        <x:f>IF(AND(A985&lt;&gt;"",COUNTIFS(C985,"&gt;"&amp;TODAY(),C985,"&lt;="&amp;TODAY()+30)+COUNTIFS(D985,"&gt;"&amp;TODAY(),D985,"&lt;="&amp;TODAY()+30)+COUNTIFS(E985,"&gt;"&amp;TODAY(),E985,"&lt;="&amp;TODAY()+30)+COUNTIFS(F985,"&gt;"&amp;TODAY(),F985,"&lt;="&amp;TODAY()+30)&gt;0),Q985,"")</x:f>
      </x:c>
      <x:c r="M985" t="str">
        <x:f>IF(OR(LEFT(H985,15)="Missing dates; ",LEFT(H985,16)="Add N/A reason; ",H985="Add dates",H985="Add registration",H985="Check date format"),R985,"")</x:f>
      </x:c>
      <x:c r="N985" t="str">
        <x:f>IF(COUNTIFS(C985:F985,"Reviewed N/A")&gt;0,S985,"")</x:f>
      </x:c>
      <x:c r="O985" t="n">
        <x:f>O984+IF(AND(A985&lt;&gt;"",COUNTIFS(C985,"&gt;=36526",C985,"&lt;"&amp;TODAY())+COUNTIFS(D985,"&gt;=36526",D985,"&lt;"&amp;TODAY())+COUNTIFS(E985,"&gt;=36526",E985,"&lt;"&amp;TODAY())+COUNTIFS(F985,"&gt;=36526",F985,"&lt;"&amp;TODAY())&gt;0),1,0)</x:f>
        <x:v>0</x:v>
      </x:c>
      <x:c r="P985" t="n">
        <x:f>P984+IF(AND(A985&lt;&gt;"",COUNTIFS(C985,"&gt;=36526",C985,TODAY())+COUNTIFS(D985,"&gt;=36526",D985,TODAY())+COUNTIFS(E985,"&gt;=36526",E985,TODAY())+COUNTIFS(F985,"&gt;=36526",F985,TODAY())&gt;0),1,0)</x:f>
        <x:v>0</x:v>
      </x:c>
      <x:c r="Q985" t="n">
        <x:f>Q984+IF(AND(A985&lt;&gt;"",COUNTIFS(C985,"&gt;"&amp;TODAY(),C985,"&lt;="&amp;TODAY()+30)+COUNTIFS(D985,"&gt;"&amp;TODAY(),D985,"&lt;="&amp;TODAY()+30)+COUNTIFS(E985,"&gt;"&amp;TODAY(),E985,"&lt;="&amp;TODAY()+30)+COUNTIFS(F985,"&gt;"&amp;TODAY(),F985,"&lt;="&amp;TODAY()+30)&gt;0),1,0)</x:f>
        <x:v>0</x:v>
      </x:c>
      <x:c r="R985" t="n">
        <x:f>R984+IF(OR(LEFT(H985,15)="Missing dates; ",LEFT(H985,16)="Add N/A reason; ",H985="Add dates",H985="Add registration",H985="Check date format"),1,0)</x:f>
        <x:v>0</x:v>
      </x:c>
      <x:c r="S985" t="n">
        <x:f>S984+IF(COUNTIFS(C985:F985,"Reviewed N/A")&gt;0,1,0)</x:f>
        <x:v>0</x:v>
      </x:c>
    </x:row>
    <x:row r="986" ht="48" customHeight="1">
      <x:c r="A986" s="52"/>
      <x:c r="B986" s="52"/>
      <x:c r="C986" s="53"/>
      <x:c r="D986" s="53"/>
      <x:c r="E986" s="53"/>
      <x:c r="F986" s="53"/>
      <x:c r="G986" s="52"/>
      <x:c r="H986" s="21" t="str">
        <x:f>IF(COUNTA(A986:G986,I986)=0,"",IF(A986="","Add registration",IF(OR(COUNTA(C986:F986)&gt;COUNT(C986:F986)+COUNTIFS(C986:F986,"Reviewed N/A"),AND(COUNT(C986:F986)&gt;0,OR(MIN(C986:F986)&lt;36526,MAX(C986:F986)&gt;109574))),"Check date format",IF(AND(COUNTIFS(C986:F986,"Reviewed N/A")&gt;0,I986=""),"Add N/A reason; ","")&amp;IF(COUNT(C986:F986)=0,IF(COUNTIFS(C986:F986,"Reviewed N/A")=4,"No applicable dates recorded","Add dates"),IF(COUNT(C986:F986)+COUNTIFS(C986:F986,"Reviewed N/A")&lt;4,"Missing dates; ","")&amp;IF(MIN(C986:F986)&lt;TODAY(),"Overdue: ",IF(MIN(C986:F986)=TODAY(),"Due today: ",IF(MIN(C986:F986)&lt;=TODAY()+30,"Due within 30 days: ","Next: ")))&amp;INDEX($C$8:$F$8,1,MATCH(MIN(C986:F986),C986:F986,0))&amp;" "&amp;TEXT(MIN(C986:F986),"dd mmm yyyy")))))</x:f>
      </x:c>
      <x:c r="I986" s="52"/>
      <x:c r="J986" t="str">
        <x:f>IF(AND(A986&lt;&gt;"",COUNTIFS(C986,"&gt;=36526",C986,"&lt;"&amp;TODAY())+COUNTIFS(D986,"&gt;=36526",D986,"&lt;"&amp;TODAY())+COUNTIFS(E986,"&gt;=36526",E986,"&lt;"&amp;TODAY())+COUNTIFS(F986,"&gt;=36526",F986,"&lt;"&amp;TODAY())&gt;0),O986,"")</x:f>
      </x:c>
      <x:c r="K986" t="str">
        <x:f>IF(AND(A986&lt;&gt;"",COUNTIFS(C986,"&gt;=36526",C986,TODAY())+COUNTIFS(D986,"&gt;=36526",D986,TODAY())+COUNTIFS(E986,"&gt;=36526",E986,TODAY())+COUNTIFS(F986,"&gt;=36526",F986,TODAY())&gt;0),P986,"")</x:f>
      </x:c>
      <x:c r="L986" t="str">
        <x:f>IF(AND(A986&lt;&gt;"",COUNTIFS(C986,"&gt;"&amp;TODAY(),C986,"&lt;="&amp;TODAY()+30)+COUNTIFS(D986,"&gt;"&amp;TODAY(),D986,"&lt;="&amp;TODAY()+30)+COUNTIFS(E986,"&gt;"&amp;TODAY(),E986,"&lt;="&amp;TODAY()+30)+COUNTIFS(F986,"&gt;"&amp;TODAY(),F986,"&lt;="&amp;TODAY()+30)&gt;0),Q986,"")</x:f>
      </x:c>
      <x:c r="M986" t="str">
        <x:f>IF(OR(LEFT(H986,15)="Missing dates; ",LEFT(H986,16)="Add N/A reason; ",H986="Add dates",H986="Add registration",H986="Check date format"),R986,"")</x:f>
      </x:c>
      <x:c r="N986" t="str">
        <x:f>IF(COUNTIFS(C986:F986,"Reviewed N/A")&gt;0,S986,"")</x:f>
      </x:c>
      <x:c r="O986" t="n">
        <x:f>O985+IF(AND(A986&lt;&gt;"",COUNTIFS(C986,"&gt;=36526",C986,"&lt;"&amp;TODAY())+COUNTIFS(D986,"&gt;=36526",D986,"&lt;"&amp;TODAY())+COUNTIFS(E986,"&gt;=36526",E986,"&lt;"&amp;TODAY())+COUNTIFS(F986,"&gt;=36526",F986,"&lt;"&amp;TODAY())&gt;0),1,0)</x:f>
        <x:v>0</x:v>
      </x:c>
      <x:c r="P986" t="n">
        <x:f>P985+IF(AND(A986&lt;&gt;"",COUNTIFS(C986,"&gt;=36526",C986,TODAY())+COUNTIFS(D986,"&gt;=36526",D986,TODAY())+COUNTIFS(E986,"&gt;=36526",E986,TODAY())+COUNTIFS(F986,"&gt;=36526",F986,TODAY())&gt;0),1,0)</x:f>
        <x:v>0</x:v>
      </x:c>
      <x:c r="Q986" t="n">
        <x:f>Q985+IF(AND(A986&lt;&gt;"",COUNTIFS(C986,"&gt;"&amp;TODAY(),C986,"&lt;="&amp;TODAY()+30)+COUNTIFS(D986,"&gt;"&amp;TODAY(),D986,"&lt;="&amp;TODAY()+30)+COUNTIFS(E986,"&gt;"&amp;TODAY(),E986,"&lt;="&amp;TODAY()+30)+COUNTIFS(F986,"&gt;"&amp;TODAY(),F986,"&lt;="&amp;TODAY()+30)&gt;0),1,0)</x:f>
        <x:v>0</x:v>
      </x:c>
      <x:c r="R986" t="n">
        <x:f>R985+IF(OR(LEFT(H986,15)="Missing dates; ",LEFT(H986,16)="Add N/A reason; ",H986="Add dates",H986="Add registration",H986="Check date format"),1,0)</x:f>
        <x:v>0</x:v>
      </x:c>
      <x:c r="S986" t="n">
        <x:f>S985+IF(COUNTIFS(C986:F986,"Reviewed N/A")&gt;0,1,0)</x:f>
        <x:v>0</x:v>
      </x:c>
    </x:row>
    <x:row r="987" ht="48" customHeight="1">
      <x:c r="A987" s="52"/>
      <x:c r="B987" s="52"/>
      <x:c r="C987" s="53"/>
      <x:c r="D987" s="53"/>
      <x:c r="E987" s="53"/>
      <x:c r="F987" s="53"/>
      <x:c r="G987" s="52"/>
      <x:c r="H987" s="21" t="str">
        <x:f>IF(COUNTA(A987:G987,I987)=0,"",IF(A987="","Add registration",IF(OR(COUNTA(C987:F987)&gt;COUNT(C987:F987)+COUNTIFS(C987:F987,"Reviewed N/A"),AND(COUNT(C987:F987)&gt;0,OR(MIN(C987:F987)&lt;36526,MAX(C987:F987)&gt;109574))),"Check date format",IF(AND(COUNTIFS(C987:F987,"Reviewed N/A")&gt;0,I987=""),"Add N/A reason; ","")&amp;IF(COUNT(C987:F987)=0,IF(COUNTIFS(C987:F987,"Reviewed N/A")=4,"No applicable dates recorded","Add dates"),IF(COUNT(C987:F987)+COUNTIFS(C987:F987,"Reviewed N/A")&lt;4,"Missing dates; ","")&amp;IF(MIN(C987:F987)&lt;TODAY(),"Overdue: ",IF(MIN(C987:F987)=TODAY(),"Due today: ",IF(MIN(C987:F987)&lt;=TODAY()+30,"Due within 30 days: ","Next: ")))&amp;INDEX($C$8:$F$8,1,MATCH(MIN(C987:F987),C987:F987,0))&amp;" "&amp;TEXT(MIN(C987:F987),"dd mmm yyyy")))))</x:f>
      </x:c>
      <x:c r="I987" s="52"/>
      <x:c r="J987" t="str">
        <x:f>IF(AND(A987&lt;&gt;"",COUNTIFS(C987,"&gt;=36526",C987,"&lt;"&amp;TODAY())+COUNTIFS(D987,"&gt;=36526",D987,"&lt;"&amp;TODAY())+COUNTIFS(E987,"&gt;=36526",E987,"&lt;"&amp;TODAY())+COUNTIFS(F987,"&gt;=36526",F987,"&lt;"&amp;TODAY())&gt;0),O987,"")</x:f>
      </x:c>
      <x:c r="K987" t="str">
        <x:f>IF(AND(A987&lt;&gt;"",COUNTIFS(C987,"&gt;=36526",C987,TODAY())+COUNTIFS(D987,"&gt;=36526",D987,TODAY())+COUNTIFS(E987,"&gt;=36526",E987,TODAY())+COUNTIFS(F987,"&gt;=36526",F987,TODAY())&gt;0),P987,"")</x:f>
      </x:c>
      <x:c r="L987" t="str">
        <x:f>IF(AND(A987&lt;&gt;"",COUNTIFS(C987,"&gt;"&amp;TODAY(),C987,"&lt;="&amp;TODAY()+30)+COUNTIFS(D987,"&gt;"&amp;TODAY(),D987,"&lt;="&amp;TODAY()+30)+COUNTIFS(E987,"&gt;"&amp;TODAY(),E987,"&lt;="&amp;TODAY()+30)+COUNTIFS(F987,"&gt;"&amp;TODAY(),F987,"&lt;="&amp;TODAY()+30)&gt;0),Q987,"")</x:f>
      </x:c>
      <x:c r="M987" t="str">
        <x:f>IF(OR(LEFT(H987,15)="Missing dates; ",LEFT(H987,16)="Add N/A reason; ",H987="Add dates",H987="Add registration",H987="Check date format"),R987,"")</x:f>
      </x:c>
      <x:c r="N987" t="str">
        <x:f>IF(COUNTIFS(C987:F987,"Reviewed N/A")&gt;0,S987,"")</x:f>
      </x:c>
      <x:c r="O987" t="n">
        <x:f>O986+IF(AND(A987&lt;&gt;"",COUNTIFS(C987,"&gt;=36526",C987,"&lt;"&amp;TODAY())+COUNTIFS(D987,"&gt;=36526",D987,"&lt;"&amp;TODAY())+COUNTIFS(E987,"&gt;=36526",E987,"&lt;"&amp;TODAY())+COUNTIFS(F987,"&gt;=36526",F987,"&lt;"&amp;TODAY())&gt;0),1,0)</x:f>
        <x:v>0</x:v>
      </x:c>
      <x:c r="P987" t="n">
        <x:f>P986+IF(AND(A987&lt;&gt;"",COUNTIFS(C987,"&gt;=36526",C987,TODAY())+COUNTIFS(D987,"&gt;=36526",D987,TODAY())+COUNTIFS(E987,"&gt;=36526",E987,TODAY())+COUNTIFS(F987,"&gt;=36526",F987,TODAY())&gt;0),1,0)</x:f>
        <x:v>0</x:v>
      </x:c>
      <x:c r="Q987" t="n">
        <x:f>Q986+IF(AND(A987&lt;&gt;"",COUNTIFS(C987,"&gt;"&amp;TODAY(),C987,"&lt;="&amp;TODAY()+30)+COUNTIFS(D987,"&gt;"&amp;TODAY(),D987,"&lt;="&amp;TODAY()+30)+COUNTIFS(E987,"&gt;"&amp;TODAY(),E987,"&lt;="&amp;TODAY()+30)+COUNTIFS(F987,"&gt;"&amp;TODAY(),F987,"&lt;="&amp;TODAY()+30)&gt;0),1,0)</x:f>
        <x:v>0</x:v>
      </x:c>
      <x:c r="R987" t="n">
        <x:f>R986+IF(OR(LEFT(H987,15)="Missing dates; ",LEFT(H987,16)="Add N/A reason; ",H987="Add dates",H987="Add registration",H987="Check date format"),1,0)</x:f>
        <x:v>0</x:v>
      </x:c>
      <x:c r="S987" t="n">
        <x:f>S986+IF(COUNTIFS(C987:F987,"Reviewed N/A")&gt;0,1,0)</x:f>
        <x:v>0</x:v>
      </x:c>
    </x:row>
    <x:row r="988" ht="48" customHeight="1">
      <x:c r="A988" s="52"/>
      <x:c r="B988" s="52"/>
      <x:c r="C988" s="53"/>
      <x:c r="D988" s="53"/>
      <x:c r="E988" s="53"/>
      <x:c r="F988" s="53"/>
      <x:c r="G988" s="52"/>
      <x:c r="H988" s="21" t="str">
        <x:f>IF(COUNTA(A988:G988,I988)=0,"",IF(A988="","Add registration",IF(OR(COUNTA(C988:F988)&gt;COUNT(C988:F988)+COUNTIFS(C988:F988,"Reviewed N/A"),AND(COUNT(C988:F988)&gt;0,OR(MIN(C988:F988)&lt;36526,MAX(C988:F988)&gt;109574))),"Check date format",IF(AND(COUNTIFS(C988:F988,"Reviewed N/A")&gt;0,I988=""),"Add N/A reason; ","")&amp;IF(COUNT(C988:F988)=0,IF(COUNTIFS(C988:F988,"Reviewed N/A")=4,"No applicable dates recorded","Add dates"),IF(COUNT(C988:F988)+COUNTIFS(C988:F988,"Reviewed N/A")&lt;4,"Missing dates; ","")&amp;IF(MIN(C988:F988)&lt;TODAY(),"Overdue: ",IF(MIN(C988:F988)=TODAY(),"Due today: ",IF(MIN(C988:F988)&lt;=TODAY()+30,"Due within 30 days: ","Next: ")))&amp;INDEX($C$8:$F$8,1,MATCH(MIN(C988:F988),C988:F988,0))&amp;" "&amp;TEXT(MIN(C988:F988),"dd mmm yyyy")))))</x:f>
      </x:c>
      <x:c r="I988" s="52"/>
      <x:c r="J988" t="str">
        <x:f>IF(AND(A988&lt;&gt;"",COUNTIFS(C988,"&gt;=36526",C988,"&lt;"&amp;TODAY())+COUNTIFS(D988,"&gt;=36526",D988,"&lt;"&amp;TODAY())+COUNTIFS(E988,"&gt;=36526",E988,"&lt;"&amp;TODAY())+COUNTIFS(F988,"&gt;=36526",F988,"&lt;"&amp;TODAY())&gt;0),O988,"")</x:f>
      </x:c>
      <x:c r="K988" t="str">
        <x:f>IF(AND(A988&lt;&gt;"",COUNTIFS(C988,"&gt;=36526",C988,TODAY())+COUNTIFS(D988,"&gt;=36526",D988,TODAY())+COUNTIFS(E988,"&gt;=36526",E988,TODAY())+COUNTIFS(F988,"&gt;=36526",F988,TODAY())&gt;0),P988,"")</x:f>
      </x:c>
      <x:c r="L988" t="str">
        <x:f>IF(AND(A988&lt;&gt;"",COUNTIFS(C988,"&gt;"&amp;TODAY(),C988,"&lt;="&amp;TODAY()+30)+COUNTIFS(D988,"&gt;"&amp;TODAY(),D988,"&lt;="&amp;TODAY()+30)+COUNTIFS(E988,"&gt;"&amp;TODAY(),E988,"&lt;="&amp;TODAY()+30)+COUNTIFS(F988,"&gt;"&amp;TODAY(),F988,"&lt;="&amp;TODAY()+30)&gt;0),Q988,"")</x:f>
      </x:c>
      <x:c r="M988" t="str">
        <x:f>IF(OR(LEFT(H988,15)="Missing dates; ",LEFT(H988,16)="Add N/A reason; ",H988="Add dates",H988="Add registration",H988="Check date format"),R988,"")</x:f>
      </x:c>
      <x:c r="N988" t="str">
        <x:f>IF(COUNTIFS(C988:F988,"Reviewed N/A")&gt;0,S988,"")</x:f>
      </x:c>
      <x:c r="O988" t="n">
        <x:f>O987+IF(AND(A988&lt;&gt;"",COUNTIFS(C988,"&gt;=36526",C988,"&lt;"&amp;TODAY())+COUNTIFS(D988,"&gt;=36526",D988,"&lt;"&amp;TODAY())+COUNTIFS(E988,"&gt;=36526",E988,"&lt;"&amp;TODAY())+COUNTIFS(F988,"&gt;=36526",F988,"&lt;"&amp;TODAY())&gt;0),1,0)</x:f>
        <x:v>0</x:v>
      </x:c>
      <x:c r="P988" t="n">
        <x:f>P987+IF(AND(A988&lt;&gt;"",COUNTIFS(C988,"&gt;=36526",C988,TODAY())+COUNTIFS(D988,"&gt;=36526",D988,TODAY())+COUNTIFS(E988,"&gt;=36526",E988,TODAY())+COUNTIFS(F988,"&gt;=36526",F988,TODAY())&gt;0),1,0)</x:f>
        <x:v>0</x:v>
      </x:c>
      <x:c r="Q988" t="n">
        <x:f>Q987+IF(AND(A988&lt;&gt;"",COUNTIFS(C988,"&gt;"&amp;TODAY(),C988,"&lt;="&amp;TODAY()+30)+COUNTIFS(D988,"&gt;"&amp;TODAY(),D988,"&lt;="&amp;TODAY()+30)+COUNTIFS(E988,"&gt;"&amp;TODAY(),E988,"&lt;="&amp;TODAY()+30)+COUNTIFS(F988,"&gt;"&amp;TODAY(),F988,"&lt;="&amp;TODAY()+30)&gt;0),1,0)</x:f>
        <x:v>0</x:v>
      </x:c>
      <x:c r="R988" t="n">
        <x:f>R987+IF(OR(LEFT(H988,15)="Missing dates; ",LEFT(H988,16)="Add N/A reason; ",H988="Add dates",H988="Add registration",H988="Check date format"),1,0)</x:f>
        <x:v>0</x:v>
      </x:c>
      <x:c r="S988" t="n">
        <x:f>S987+IF(COUNTIFS(C988:F988,"Reviewed N/A")&gt;0,1,0)</x:f>
        <x:v>0</x:v>
      </x:c>
    </x:row>
    <x:row r="989" ht="48" customHeight="1">
      <x:c r="A989" s="52"/>
      <x:c r="B989" s="52"/>
      <x:c r="C989" s="53"/>
      <x:c r="D989" s="53"/>
      <x:c r="E989" s="53"/>
      <x:c r="F989" s="53"/>
      <x:c r="G989" s="52"/>
      <x:c r="H989" s="21" t="str">
        <x:f>IF(COUNTA(A989:G989,I989)=0,"",IF(A989="","Add registration",IF(OR(COUNTA(C989:F989)&gt;COUNT(C989:F989)+COUNTIFS(C989:F989,"Reviewed N/A"),AND(COUNT(C989:F989)&gt;0,OR(MIN(C989:F989)&lt;36526,MAX(C989:F989)&gt;109574))),"Check date format",IF(AND(COUNTIFS(C989:F989,"Reviewed N/A")&gt;0,I989=""),"Add N/A reason; ","")&amp;IF(COUNT(C989:F989)=0,IF(COUNTIFS(C989:F989,"Reviewed N/A")=4,"No applicable dates recorded","Add dates"),IF(COUNT(C989:F989)+COUNTIFS(C989:F989,"Reviewed N/A")&lt;4,"Missing dates; ","")&amp;IF(MIN(C989:F989)&lt;TODAY(),"Overdue: ",IF(MIN(C989:F989)=TODAY(),"Due today: ",IF(MIN(C989:F989)&lt;=TODAY()+30,"Due within 30 days: ","Next: ")))&amp;INDEX($C$8:$F$8,1,MATCH(MIN(C989:F989),C989:F989,0))&amp;" "&amp;TEXT(MIN(C989:F989),"dd mmm yyyy")))))</x:f>
      </x:c>
      <x:c r="I989" s="52"/>
      <x:c r="J989" t="str">
        <x:f>IF(AND(A989&lt;&gt;"",COUNTIFS(C989,"&gt;=36526",C989,"&lt;"&amp;TODAY())+COUNTIFS(D989,"&gt;=36526",D989,"&lt;"&amp;TODAY())+COUNTIFS(E989,"&gt;=36526",E989,"&lt;"&amp;TODAY())+COUNTIFS(F989,"&gt;=36526",F989,"&lt;"&amp;TODAY())&gt;0),O989,"")</x:f>
      </x:c>
      <x:c r="K989" t="str">
        <x:f>IF(AND(A989&lt;&gt;"",COUNTIFS(C989,"&gt;=36526",C989,TODAY())+COUNTIFS(D989,"&gt;=36526",D989,TODAY())+COUNTIFS(E989,"&gt;=36526",E989,TODAY())+COUNTIFS(F989,"&gt;=36526",F989,TODAY())&gt;0),P989,"")</x:f>
      </x:c>
      <x:c r="L989" t="str">
        <x:f>IF(AND(A989&lt;&gt;"",COUNTIFS(C989,"&gt;"&amp;TODAY(),C989,"&lt;="&amp;TODAY()+30)+COUNTIFS(D989,"&gt;"&amp;TODAY(),D989,"&lt;="&amp;TODAY()+30)+COUNTIFS(E989,"&gt;"&amp;TODAY(),E989,"&lt;="&amp;TODAY()+30)+COUNTIFS(F989,"&gt;"&amp;TODAY(),F989,"&lt;="&amp;TODAY()+30)&gt;0),Q989,"")</x:f>
      </x:c>
      <x:c r="M989" t="str">
        <x:f>IF(OR(LEFT(H989,15)="Missing dates; ",LEFT(H989,16)="Add N/A reason; ",H989="Add dates",H989="Add registration",H989="Check date format"),R989,"")</x:f>
      </x:c>
      <x:c r="N989" t="str">
        <x:f>IF(COUNTIFS(C989:F989,"Reviewed N/A")&gt;0,S989,"")</x:f>
      </x:c>
      <x:c r="O989" t="n">
        <x:f>O988+IF(AND(A989&lt;&gt;"",COUNTIFS(C989,"&gt;=36526",C989,"&lt;"&amp;TODAY())+COUNTIFS(D989,"&gt;=36526",D989,"&lt;"&amp;TODAY())+COUNTIFS(E989,"&gt;=36526",E989,"&lt;"&amp;TODAY())+COUNTIFS(F989,"&gt;=36526",F989,"&lt;"&amp;TODAY())&gt;0),1,0)</x:f>
        <x:v>0</x:v>
      </x:c>
      <x:c r="P989" t="n">
        <x:f>P988+IF(AND(A989&lt;&gt;"",COUNTIFS(C989,"&gt;=36526",C989,TODAY())+COUNTIFS(D989,"&gt;=36526",D989,TODAY())+COUNTIFS(E989,"&gt;=36526",E989,TODAY())+COUNTIFS(F989,"&gt;=36526",F989,TODAY())&gt;0),1,0)</x:f>
        <x:v>0</x:v>
      </x:c>
      <x:c r="Q989" t="n">
        <x:f>Q988+IF(AND(A989&lt;&gt;"",COUNTIFS(C989,"&gt;"&amp;TODAY(),C989,"&lt;="&amp;TODAY()+30)+COUNTIFS(D989,"&gt;"&amp;TODAY(),D989,"&lt;="&amp;TODAY()+30)+COUNTIFS(E989,"&gt;"&amp;TODAY(),E989,"&lt;="&amp;TODAY()+30)+COUNTIFS(F989,"&gt;"&amp;TODAY(),F989,"&lt;="&amp;TODAY()+30)&gt;0),1,0)</x:f>
        <x:v>0</x:v>
      </x:c>
      <x:c r="R989" t="n">
        <x:f>R988+IF(OR(LEFT(H989,15)="Missing dates; ",LEFT(H989,16)="Add N/A reason; ",H989="Add dates",H989="Add registration",H989="Check date format"),1,0)</x:f>
        <x:v>0</x:v>
      </x:c>
      <x:c r="S989" t="n">
        <x:f>S988+IF(COUNTIFS(C989:F989,"Reviewed N/A")&gt;0,1,0)</x:f>
        <x:v>0</x:v>
      </x:c>
    </x:row>
    <x:row r="990" ht="48" customHeight="1">
      <x:c r="A990" s="52"/>
      <x:c r="B990" s="52"/>
      <x:c r="C990" s="53"/>
      <x:c r="D990" s="53"/>
      <x:c r="E990" s="53"/>
      <x:c r="F990" s="53"/>
      <x:c r="G990" s="52"/>
      <x:c r="H990" s="21" t="str">
        <x:f>IF(COUNTA(A990:G990,I990)=0,"",IF(A990="","Add registration",IF(OR(COUNTA(C990:F990)&gt;COUNT(C990:F990)+COUNTIFS(C990:F990,"Reviewed N/A"),AND(COUNT(C990:F990)&gt;0,OR(MIN(C990:F990)&lt;36526,MAX(C990:F990)&gt;109574))),"Check date format",IF(AND(COUNTIFS(C990:F990,"Reviewed N/A")&gt;0,I990=""),"Add N/A reason; ","")&amp;IF(COUNT(C990:F990)=0,IF(COUNTIFS(C990:F990,"Reviewed N/A")=4,"No applicable dates recorded","Add dates"),IF(COUNT(C990:F990)+COUNTIFS(C990:F990,"Reviewed N/A")&lt;4,"Missing dates; ","")&amp;IF(MIN(C990:F990)&lt;TODAY(),"Overdue: ",IF(MIN(C990:F990)=TODAY(),"Due today: ",IF(MIN(C990:F990)&lt;=TODAY()+30,"Due within 30 days: ","Next: ")))&amp;INDEX($C$8:$F$8,1,MATCH(MIN(C990:F990),C990:F990,0))&amp;" "&amp;TEXT(MIN(C990:F990),"dd mmm yyyy")))))</x:f>
      </x:c>
      <x:c r="I990" s="52"/>
      <x:c r="J990" t="str">
        <x:f>IF(AND(A990&lt;&gt;"",COUNTIFS(C990,"&gt;=36526",C990,"&lt;"&amp;TODAY())+COUNTIFS(D990,"&gt;=36526",D990,"&lt;"&amp;TODAY())+COUNTIFS(E990,"&gt;=36526",E990,"&lt;"&amp;TODAY())+COUNTIFS(F990,"&gt;=36526",F990,"&lt;"&amp;TODAY())&gt;0),O990,"")</x:f>
      </x:c>
      <x:c r="K990" t="str">
        <x:f>IF(AND(A990&lt;&gt;"",COUNTIFS(C990,"&gt;=36526",C990,TODAY())+COUNTIFS(D990,"&gt;=36526",D990,TODAY())+COUNTIFS(E990,"&gt;=36526",E990,TODAY())+COUNTIFS(F990,"&gt;=36526",F990,TODAY())&gt;0),P990,"")</x:f>
      </x:c>
      <x:c r="L990" t="str">
        <x:f>IF(AND(A990&lt;&gt;"",COUNTIFS(C990,"&gt;"&amp;TODAY(),C990,"&lt;="&amp;TODAY()+30)+COUNTIFS(D990,"&gt;"&amp;TODAY(),D990,"&lt;="&amp;TODAY()+30)+COUNTIFS(E990,"&gt;"&amp;TODAY(),E990,"&lt;="&amp;TODAY()+30)+COUNTIFS(F990,"&gt;"&amp;TODAY(),F990,"&lt;="&amp;TODAY()+30)&gt;0),Q990,"")</x:f>
      </x:c>
      <x:c r="M990" t="str">
        <x:f>IF(OR(LEFT(H990,15)="Missing dates; ",LEFT(H990,16)="Add N/A reason; ",H990="Add dates",H990="Add registration",H990="Check date format"),R990,"")</x:f>
      </x:c>
      <x:c r="N990" t="str">
        <x:f>IF(COUNTIFS(C990:F990,"Reviewed N/A")&gt;0,S990,"")</x:f>
      </x:c>
      <x:c r="O990" t="n">
        <x:f>O989+IF(AND(A990&lt;&gt;"",COUNTIFS(C990,"&gt;=36526",C990,"&lt;"&amp;TODAY())+COUNTIFS(D990,"&gt;=36526",D990,"&lt;"&amp;TODAY())+COUNTIFS(E990,"&gt;=36526",E990,"&lt;"&amp;TODAY())+COUNTIFS(F990,"&gt;=36526",F990,"&lt;"&amp;TODAY())&gt;0),1,0)</x:f>
        <x:v>0</x:v>
      </x:c>
      <x:c r="P990" t="n">
        <x:f>P989+IF(AND(A990&lt;&gt;"",COUNTIFS(C990,"&gt;=36526",C990,TODAY())+COUNTIFS(D990,"&gt;=36526",D990,TODAY())+COUNTIFS(E990,"&gt;=36526",E990,TODAY())+COUNTIFS(F990,"&gt;=36526",F990,TODAY())&gt;0),1,0)</x:f>
        <x:v>0</x:v>
      </x:c>
      <x:c r="Q990" t="n">
        <x:f>Q989+IF(AND(A990&lt;&gt;"",COUNTIFS(C990,"&gt;"&amp;TODAY(),C990,"&lt;="&amp;TODAY()+30)+COUNTIFS(D990,"&gt;"&amp;TODAY(),D990,"&lt;="&amp;TODAY()+30)+COUNTIFS(E990,"&gt;"&amp;TODAY(),E990,"&lt;="&amp;TODAY()+30)+COUNTIFS(F990,"&gt;"&amp;TODAY(),F990,"&lt;="&amp;TODAY()+30)&gt;0),1,0)</x:f>
        <x:v>0</x:v>
      </x:c>
      <x:c r="R990" t="n">
        <x:f>R989+IF(OR(LEFT(H990,15)="Missing dates; ",LEFT(H990,16)="Add N/A reason; ",H990="Add dates",H990="Add registration",H990="Check date format"),1,0)</x:f>
        <x:v>0</x:v>
      </x:c>
      <x:c r="S990" t="n">
        <x:f>S989+IF(COUNTIFS(C990:F990,"Reviewed N/A")&gt;0,1,0)</x:f>
        <x:v>0</x:v>
      </x:c>
    </x:row>
    <x:row r="991" ht="48" customHeight="1">
      <x:c r="A991" s="52"/>
      <x:c r="B991" s="52"/>
      <x:c r="C991" s="53"/>
      <x:c r="D991" s="53"/>
      <x:c r="E991" s="53"/>
      <x:c r="F991" s="53"/>
      <x:c r="G991" s="52"/>
      <x:c r="H991" s="21" t="str">
        <x:f>IF(COUNTA(A991:G991,I991)=0,"",IF(A991="","Add registration",IF(OR(COUNTA(C991:F991)&gt;COUNT(C991:F991)+COUNTIFS(C991:F991,"Reviewed N/A"),AND(COUNT(C991:F991)&gt;0,OR(MIN(C991:F991)&lt;36526,MAX(C991:F991)&gt;109574))),"Check date format",IF(AND(COUNTIFS(C991:F991,"Reviewed N/A")&gt;0,I991=""),"Add N/A reason; ","")&amp;IF(COUNT(C991:F991)=0,IF(COUNTIFS(C991:F991,"Reviewed N/A")=4,"No applicable dates recorded","Add dates"),IF(COUNT(C991:F991)+COUNTIFS(C991:F991,"Reviewed N/A")&lt;4,"Missing dates; ","")&amp;IF(MIN(C991:F991)&lt;TODAY(),"Overdue: ",IF(MIN(C991:F991)=TODAY(),"Due today: ",IF(MIN(C991:F991)&lt;=TODAY()+30,"Due within 30 days: ","Next: ")))&amp;INDEX($C$8:$F$8,1,MATCH(MIN(C991:F991),C991:F991,0))&amp;" "&amp;TEXT(MIN(C991:F991),"dd mmm yyyy")))))</x:f>
      </x:c>
      <x:c r="I991" s="52"/>
      <x:c r="J991" t="str">
        <x:f>IF(AND(A991&lt;&gt;"",COUNTIFS(C991,"&gt;=36526",C991,"&lt;"&amp;TODAY())+COUNTIFS(D991,"&gt;=36526",D991,"&lt;"&amp;TODAY())+COUNTIFS(E991,"&gt;=36526",E991,"&lt;"&amp;TODAY())+COUNTIFS(F991,"&gt;=36526",F991,"&lt;"&amp;TODAY())&gt;0),O991,"")</x:f>
      </x:c>
      <x:c r="K991" t="str">
        <x:f>IF(AND(A991&lt;&gt;"",COUNTIFS(C991,"&gt;=36526",C991,TODAY())+COUNTIFS(D991,"&gt;=36526",D991,TODAY())+COUNTIFS(E991,"&gt;=36526",E991,TODAY())+COUNTIFS(F991,"&gt;=36526",F991,TODAY())&gt;0),P991,"")</x:f>
      </x:c>
      <x:c r="L991" t="str">
        <x:f>IF(AND(A991&lt;&gt;"",COUNTIFS(C991,"&gt;"&amp;TODAY(),C991,"&lt;="&amp;TODAY()+30)+COUNTIFS(D991,"&gt;"&amp;TODAY(),D991,"&lt;="&amp;TODAY()+30)+COUNTIFS(E991,"&gt;"&amp;TODAY(),E991,"&lt;="&amp;TODAY()+30)+COUNTIFS(F991,"&gt;"&amp;TODAY(),F991,"&lt;="&amp;TODAY()+30)&gt;0),Q991,"")</x:f>
      </x:c>
      <x:c r="M991" t="str">
        <x:f>IF(OR(LEFT(H991,15)="Missing dates; ",LEFT(H991,16)="Add N/A reason; ",H991="Add dates",H991="Add registration",H991="Check date format"),R991,"")</x:f>
      </x:c>
      <x:c r="N991" t="str">
        <x:f>IF(COUNTIFS(C991:F991,"Reviewed N/A")&gt;0,S991,"")</x:f>
      </x:c>
      <x:c r="O991" t="n">
        <x:f>O990+IF(AND(A991&lt;&gt;"",COUNTIFS(C991,"&gt;=36526",C991,"&lt;"&amp;TODAY())+COUNTIFS(D991,"&gt;=36526",D991,"&lt;"&amp;TODAY())+COUNTIFS(E991,"&gt;=36526",E991,"&lt;"&amp;TODAY())+COUNTIFS(F991,"&gt;=36526",F991,"&lt;"&amp;TODAY())&gt;0),1,0)</x:f>
        <x:v>0</x:v>
      </x:c>
      <x:c r="P991" t="n">
        <x:f>P990+IF(AND(A991&lt;&gt;"",COUNTIFS(C991,"&gt;=36526",C991,TODAY())+COUNTIFS(D991,"&gt;=36526",D991,TODAY())+COUNTIFS(E991,"&gt;=36526",E991,TODAY())+COUNTIFS(F991,"&gt;=36526",F991,TODAY())&gt;0),1,0)</x:f>
        <x:v>0</x:v>
      </x:c>
      <x:c r="Q991" t="n">
        <x:f>Q990+IF(AND(A991&lt;&gt;"",COUNTIFS(C991,"&gt;"&amp;TODAY(),C991,"&lt;="&amp;TODAY()+30)+COUNTIFS(D991,"&gt;"&amp;TODAY(),D991,"&lt;="&amp;TODAY()+30)+COUNTIFS(E991,"&gt;"&amp;TODAY(),E991,"&lt;="&amp;TODAY()+30)+COUNTIFS(F991,"&gt;"&amp;TODAY(),F991,"&lt;="&amp;TODAY()+30)&gt;0),1,0)</x:f>
        <x:v>0</x:v>
      </x:c>
      <x:c r="R991" t="n">
        <x:f>R990+IF(OR(LEFT(H991,15)="Missing dates; ",LEFT(H991,16)="Add N/A reason; ",H991="Add dates",H991="Add registration",H991="Check date format"),1,0)</x:f>
        <x:v>0</x:v>
      </x:c>
      <x:c r="S991" t="n">
        <x:f>S990+IF(COUNTIFS(C991:F991,"Reviewed N/A")&gt;0,1,0)</x:f>
        <x:v>0</x:v>
      </x:c>
    </x:row>
    <x:row r="992" ht="48" customHeight="1">
      <x:c r="A992" s="52"/>
      <x:c r="B992" s="52"/>
      <x:c r="C992" s="53"/>
      <x:c r="D992" s="53"/>
      <x:c r="E992" s="53"/>
      <x:c r="F992" s="53"/>
      <x:c r="G992" s="52"/>
      <x:c r="H992" s="21" t="str">
        <x:f>IF(COUNTA(A992:G992,I992)=0,"",IF(A992="","Add registration",IF(OR(COUNTA(C992:F992)&gt;COUNT(C992:F992)+COUNTIFS(C992:F992,"Reviewed N/A"),AND(COUNT(C992:F992)&gt;0,OR(MIN(C992:F992)&lt;36526,MAX(C992:F992)&gt;109574))),"Check date format",IF(AND(COUNTIFS(C992:F992,"Reviewed N/A")&gt;0,I992=""),"Add N/A reason; ","")&amp;IF(COUNT(C992:F992)=0,IF(COUNTIFS(C992:F992,"Reviewed N/A")=4,"No applicable dates recorded","Add dates"),IF(COUNT(C992:F992)+COUNTIFS(C992:F992,"Reviewed N/A")&lt;4,"Missing dates; ","")&amp;IF(MIN(C992:F992)&lt;TODAY(),"Overdue: ",IF(MIN(C992:F992)=TODAY(),"Due today: ",IF(MIN(C992:F992)&lt;=TODAY()+30,"Due within 30 days: ","Next: ")))&amp;INDEX($C$8:$F$8,1,MATCH(MIN(C992:F992),C992:F992,0))&amp;" "&amp;TEXT(MIN(C992:F992),"dd mmm yyyy")))))</x:f>
      </x:c>
      <x:c r="I992" s="52"/>
      <x:c r="J992" t="str">
        <x:f>IF(AND(A992&lt;&gt;"",COUNTIFS(C992,"&gt;=36526",C992,"&lt;"&amp;TODAY())+COUNTIFS(D992,"&gt;=36526",D992,"&lt;"&amp;TODAY())+COUNTIFS(E992,"&gt;=36526",E992,"&lt;"&amp;TODAY())+COUNTIFS(F992,"&gt;=36526",F992,"&lt;"&amp;TODAY())&gt;0),O992,"")</x:f>
      </x:c>
      <x:c r="K992" t="str">
        <x:f>IF(AND(A992&lt;&gt;"",COUNTIFS(C992,"&gt;=36526",C992,TODAY())+COUNTIFS(D992,"&gt;=36526",D992,TODAY())+COUNTIFS(E992,"&gt;=36526",E992,TODAY())+COUNTIFS(F992,"&gt;=36526",F992,TODAY())&gt;0),P992,"")</x:f>
      </x:c>
      <x:c r="L992" t="str">
        <x:f>IF(AND(A992&lt;&gt;"",COUNTIFS(C992,"&gt;"&amp;TODAY(),C992,"&lt;="&amp;TODAY()+30)+COUNTIFS(D992,"&gt;"&amp;TODAY(),D992,"&lt;="&amp;TODAY()+30)+COUNTIFS(E992,"&gt;"&amp;TODAY(),E992,"&lt;="&amp;TODAY()+30)+COUNTIFS(F992,"&gt;"&amp;TODAY(),F992,"&lt;="&amp;TODAY()+30)&gt;0),Q992,"")</x:f>
      </x:c>
      <x:c r="M992" t="str">
        <x:f>IF(OR(LEFT(H992,15)="Missing dates; ",LEFT(H992,16)="Add N/A reason; ",H992="Add dates",H992="Add registration",H992="Check date format"),R992,"")</x:f>
      </x:c>
      <x:c r="N992" t="str">
        <x:f>IF(COUNTIFS(C992:F992,"Reviewed N/A")&gt;0,S992,"")</x:f>
      </x:c>
      <x:c r="O992" t="n">
        <x:f>O991+IF(AND(A992&lt;&gt;"",COUNTIFS(C992,"&gt;=36526",C992,"&lt;"&amp;TODAY())+COUNTIFS(D992,"&gt;=36526",D992,"&lt;"&amp;TODAY())+COUNTIFS(E992,"&gt;=36526",E992,"&lt;"&amp;TODAY())+COUNTIFS(F992,"&gt;=36526",F992,"&lt;"&amp;TODAY())&gt;0),1,0)</x:f>
        <x:v>0</x:v>
      </x:c>
      <x:c r="P992" t="n">
        <x:f>P991+IF(AND(A992&lt;&gt;"",COUNTIFS(C992,"&gt;=36526",C992,TODAY())+COUNTIFS(D992,"&gt;=36526",D992,TODAY())+COUNTIFS(E992,"&gt;=36526",E992,TODAY())+COUNTIFS(F992,"&gt;=36526",F992,TODAY())&gt;0),1,0)</x:f>
        <x:v>0</x:v>
      </x:c>
      <x:c r="Q992" t="n">
        <x:f>Q991+IF(AND(A992&lt;&gt;"",COUNTIFS(C992,"&gt;"&amp;TODAY(),C992,"&lt;="&amp;TODAY()+30)+COUNTIFS(D992,"&gt;"&amp;TODAY(),D992,"&lt;="&amp;TODAY()+30)+COUNTIFS(E992,"&gt;"&amp;TODAY(),E992,"&lt;="&amp;TODAY()+30)+COUNTIFS(F992,"&gt;"&amp;TODAY(),F992,"&lt;="&amp;TODAY()+30)&gt;0),1,0)</x:f>
        <x:v>0</x:v>
      </x:c>
      <x:c r="R992" t="n">
        <x:f>R991+IF(OR(LEFT(H992,15)="Missing dates; ",LEFT(H992,16)="Add N/A reason; ",H992="Add dates",H992="Add registration",H992="Check date format"),1,0)</x:f>
        <x:v>0</x:v>
      </x:c>
      <x:c r="S992" t="n">
        <x:f>S991+IF(COUNTIFS(C992:F992,"Reviewed N/A")&gt;0,1,0)</x:f>
        <x:v>0</x:v>
      </x:c>
    </x:row>
    <x:row r="993" ht="48" customHeight="1">
      <x:c r="A993" s="52"/>
      <x:c r="B993" s="52"/>
      <x:c r="C993" s="53"/>
      <x:c r="D993" s="53"/>
      <x:c r="E993" s="53"/>
      <x:c r="F993" s="53"/>
      <x:c r="G993" s="52"/>
      <x:c r="H993" s="21" t="str">
        <x:f>IF(COUNTA(A993:G993,I993)=0,"",IF(A993="","Add registration",IF(OR(COUNTA(C993:F993)&gt;COUNT(C993:F993)+COUNTIFS(C993:F993,"Reviewed N/A"),AND(COUNT(C993:F993)&gt;0,OR(MIN(C993:F993)&lt;36526,MAX(C993:F993)&gt;109574))),"Check date format",IF(AND(COUNTIFS(C993:F993,"Reviewed N/A")&gt;0,I993=""),"Add N/A reason; ","")&amp;IF(COUNT(C993:F993)=0,IF(COUNTIFS(C993:F993,"Reviewed N/A")=4,"No applicable dates recorded","Add dates"),IF(COUNT(C993:F993)+COUNTIFS(C993:F993,"Reviewed N/A")&lt;4,"Missing dates; ","")&amp;IF(MIN(C993:F993)&lt;TODAY(),"Overdue: ",IF(MIN(C993:F993)=TODAY(),"Due today: ",IF(MIN(C993:F993)&lt;=TODAY()+30,"Due within 30 days: ","Next: ")))&amp;INDEX($C$8:$F$8,1,MATCH(MIN(C993:F993),C993:F993,0))&amp;" "&amp;TEXT(MIN(C993:F993),"dd mmm yyyy")))))</x:f>
      </x:c>
      <x:c r="I993" s="52"/>
      <x:c r="J993" t="str">
        <x:f>IF(AND(A993&lt;&gt;"",COUNTIFS(C993,"&gt;=36526",C993,"&lt;"&amp;TODAY())+COUNTIFS(D993,"&gt;=36526",D993,"&lt;"&amp;TODAY())+COUNTIFS(E993,"&gt;=36526",E993,"&lt;"&amp;TODAY())+COUNTIFS(F993,"&gt;=36526",F993,"&lt;"&amp;TODAY())&gt;0),O993,"")</x:f>
      </x:c>
      <x:c r="K993" t="str">
        <x:f>IF(AND(A993&lt;&gt;"",COUNTIFS(C993,"&gt;=36526",C993,TODAY())+COUNTIFS(D993,"&gt;=36526",D993,TODAY())+COUNTIFS(E993,"&gt;=36526",E993,TODAY())+COUNTIFS(F993,"&gt;=36526",F993,TODAY())&gt;0),P993,"")</x:f>
      </x:c>
      <x:c r="L993" t="str">
        <x:f>IF(AND(A993&lt;&gt;"",COUNTIFS(C993,"&gt;"&amp;TODAY(),C993,"&lt;="&amp;TODAY()+30)+COUNTIFS(D993,"&gt;"&amp;TODAY(),D993,"&lt;="&amp;TODAY()+30)+COUNTIFS(E993,"&gt;"&amp;TODAY(),E993,"&lt;="&amp;TODAY()+30)+COUNTIFS(F993,"&gt;"&amp;TODAY(),F993,"&lt;="&amp;TODAY()+30)&gt;0),Q993,"")</x:f>
      </x:c>
      <x:c r="M993" t="str">
        <x:f>IF(OR(LEFT(H993,15)="Missing dates; ",LEFT(H993,16)="Add N/A reason; ",H993="Add dates",H993="Add registration",H993="Check date format"),R993,"")</x:f>
      </x:c>
      <x:c r="N993" t="str">
        <x:f>IF(COUNTIFS(C993:F993,"Reviewed N/A")&gt;0,S993,"")</x:f>
      </x:c>
      <x:c r="O993" t="n">
        <x:f>O992+IF(AND(A993&lt;&gt;"",COUNTIFS(C993,"&gt;=36526",C993,"&lt;"&amp;TODAY())+COUNTIFS(D993,"&gt;=36526",D993,"&lt;"&amp;TODAY())+COUNTIFS(E993,"&gt;=36526",E993,"&lt;"&amp;TODAY())+COUNTIFS(F993,"&gt;=36526",F993,"&lt;"&amp;TODAY())&gt;0),1,0)</x:f>
        <x:v>0</x:v>
      </x:c>
      <x:c r="P993" t="n">
        <x:f>P992+IF(AND(A993&lt;&gt;"",COUNTIFS(C993,"&gt;=36526",C993,TODAY())+COUNTIFS(D993,"&gt;=36526",D993,TODAY())+COUNTIFS(E993,"&gt;=36526",E993,TODAY())+COUNTIFS(F993,"&gt;=36526",F993,TODAY())&gt;0),1,0)</x:f>
        <x:v>0</x:v>
      </x:c>
      <x:c r="Q993" t="n">
        <x:f>Q992+IF(AND(A993&lt;&gt;"",COUNTIFS(C993,"&gt;"&amp;TODAY(),C993,"&lt;="&amp;TODAY()+30)+COUNTIFS(D993,"&gt;"&amp;TODAY(),D993,"&lt;="&amp;TODAY()+30)+COUNTIFS(E993,"&gt;"&amp;TODAY(),E993,"&lt;="&amp;TODAY()+30)+COUNTIFS(F993,"&gt;"&amp;TODAY(),F993,"&lt;="&amp;TODAY()+30)&gt;0),1,0)</x:f>
        <x:v>0</x:v>
      </x:c>
      <x:c r="R993" t="n">
        <x:f>R992+IF(OR(LEFT(H993,15)="Missing dates; ",LEFT(H993,16)="Add N/A reason; ",H993="Add dates",H993="Add registration",H993="Check date format"),1,0)</x:f>
        <x:v>0</x:v>
      </x:c>
      <x:c r="S993" t="n">
        <x:f>S992+IF(COUNTIFS(C993:F993,"Reviewed N/A")&gt;0,1,0)</x:f>
        <x:v>0</x:v>
      </x:c>
    </x:row>
    <x:row r="994" ht="48" customHeight="1">
      <x:c r="A994" s="52"/>
      <x:c r="B994" s="52"/>
      <x:c r="C994" s="53"/>
      <x:c r="D994" s="53"/>
      <x:c r="E994" s="53"/>
      <x:c r="F994" s="53"/>
      <x:c r="G994" s="52"/>
      <x:c r="H994" s="21" t="str">
        <x:f>IF(COUNTA(A994:G994,I994)=0,"",IF(A994="","Add registration",IF(OR(COUNTA(C994:F994)&gt;COUNT(C994:F994)+COUNTIFS(C994:F994,"Reviewed N/A"),AND(COUNT(C994:F994)&gt;0,OR(MIN(C994:F994)&lt;36526,MAX(C994:F994)&gt;109574))),"Check date format",IF(AND(COUNTIFS(C994:F994,"Reviewed N/A")&gt;0,I994=""),"Add N/A reason; ","")&amp;IF(COUNT(C994:F994)=0,IF(COUNTIFS(C994:F994,"Reviewed N/A")=4,"No applicable dates recorded","Add dates"),IF(COUNT(C994:F994)+COUNTIFS(C994:F994,"Reviewed N/A")&lt;4,"Missing dates; ","")&amp;IF(MIN(C994:F994)&lt;TODAY(),"Overdue: ",IF(MIN(C994:F994)=TODAY(),"Due today: ",IF(MIN(C994:F994)&lt;=TODAY()+30,"Due within 30 days: ","Next: ")))&amp;INDEX($C$8:$F$8,1,MATCH(MIN(C994:F994),C994:F994,0))&amp;" "&amp;TEXT(MIN(C994:F994),"dd mmm yyyy")))))</x:f>
      </x:c>
      <x:c r="I994" s="52"/>
      <x:c r="J994" t="str">
        <x:f>IF(AND(A994&lt;&gt;"",COUNTIFS(C994,"&gt;=36526",C994,"&lt;"&amp;TODAY())+COUNTIFS(D994,"&gt;=36526",D994,"&lt;"&amp;TODAY())+COUNTIFS(E994,"&gt;=36526",E994,"&lt;"&amp;TODAY())+COUNTIFS(F994,"&gt;=36526",F994,"&lt;"&amp;TODAY())&gt;0),O994,"")</x:f>
      </x:c>
      <x:c r="K994" t="str">
        <x:f>IF(AND(A994&lt;&gt;"",COUNTIFS(C994,"&gt;=36526",C994,TODAY())+COUNTIFS(D994,"&gt;=36526",D994,TODAY())+COUNTIFS(E994,"&gt;=36526",E994,TODAY())+COUNTIFS(F994,"&gt;=36526",F994,TODAY())&gt;0),P994,"")</x:f>
      </x:c>
      <x:c r="L994" t="str">
        <x:f>IF(AND(A994&lt;&gt;"",COUNTIFS(C994,"&gt;"&amp;TODAY(),C994,"&lt;="&amp;TODAY()+30)+COUNTIFS(D994,"&gt;"&amp;TODAY(),D994,"&lt;="&amp;TODAY()+30)+COUNTIFS(E994,"&gt;"&amp;TODAY(),E994,"&lt;="&amp;TODAY()+30)+COUNTIFS(F994,"&gt;"&amp;TODAY(),F994,"&lt;="&amp;TODAY()+30)&gt;0),Q994,"")</x:f>
      </x:c>
      <x:c r="M994" t="str">
        <x:f>IF(OR(LEFT(H994,15)="Missing dates; ",LEFT(H994,16)="Add N/A reason; ",H994="Add dates",H994="Add registration",H994="Check date format"),R994,"")</x:f>
      </x:c>
      <x:c r="N994" t="str">
        <x:f>IF(COUNTIFS(C994:F994,"Reviewed N/A")&gt;0,S994,"")</x:f>
      </x:c>
      <x:c r="O994" t="n">
        <x:f>O993+IF(AND(A994&lt;&gt;"",COUNTIFS(C994,"&gt;=36526",C994,"&lt;"&amp;TODAY())+COUNTIFS(D994,"&gt;=36526",D994,"&lt;"&amp;TODAY())+COUNTIFS(E994,"&gt;=36526",E994,"&lt;"&amp;TODAY())+COUNTIFS(F994,"&gt;=36526",F994,"&lt;"&amp;TODAY())&gt;0),1,0)</x:f>
        <x:v>0</x:v>
      </x:c>
      <x:c r="P994" t="n">
        <x:f>P993+IF(AND(A994&lt;&gt;"",COUNTIFS(C994,"&gt;=36526",C994,TODAY())+COUNTIFS(D994,"&gt;=36526",D994,TODAY())+COUNTIFS(E994,"&gt;=36526",E994,TODAY())+COUNTIFS(F994,"&gt;=36526",F994,TODAY())&gt;0),1,0)</x:f>
        <x:v>0</x:v>
      </x:c>
      <x:c r="Q994" t="n">
        <x:f>Q993+IF(AND(A994&lt;&gt;"",COUNTIFS(C994,"&gt;"&amp;TODAY(),C994,"&lt;="&amp;TODAY()+30)+COUNTIFS(D994,"&gt;"&amp;TODAY(),D994,"&lt;="&amp;TODAY()+30)+COUNTIFS(E994,"&gt;"&amp;TODAY(),E994,"&lt;="&amp;TODAY()+30)+COUNTIFS(F994,"&gt;"&amp;TODAY(),F994,"&lt;="&amp;TODAY()+30)&gt;0),1,0)</x:f>
        <x:v>0</x:v>
      </x:c>
      <x:c r="R994" t="n">
        <x:f>R993+IF(OR(LEFT(H994,15)="Missing dates; ",LEFT(H994,16)="Add N/A reason; ",H994="Add dates",H994="Add registration",H994="Check date format"),1,0)</x:f>
        <x:v>0</x:v>
      </x:c>
      <x:c r="S994" t="n">
        <x:f>S993+IF(COUNTIFS(C994:F994,"Reviewed N/A")&gt;0,1,0)</x:f>
        <x:v>0</x:v>
      </x:c>
    </x:row>
    <x:row r="995" ht="48" customHeight="1">
      <x:c r="A995" s="52"/>
      <x:c r="B995" s="52"/>
      <x:c r="C995" s="53"/>
      <x:c r="D995" s="53"/>
      <x:c r="E995" s="53"/>
      <x:c r="F995" s="53"/>
      <x:c r="G995" s="52"/>
      <x:c r="H995" s="21" t="str">
        <x:f>IF(COUNTA(A995:G995,I995)=0,"",IF(A995="","Add registration",IF(OR(COUNTA(C995:F995)&gt;COUNT(C995:F995)+COUNTIFS(C995:F995,"Reviewed N/A"),AND(COUNT(C995:F995)&gt;0,OR(MIN(C995:F995)&lt;36526,MAX(C995:F995)&gt;109574))),"Check date format",IF(AND(COUNTIFS(C995:F995,"Reviewed N/A")&gt;0,I995=""),"Add N/A reason; ","")&amp;IF(COUNT(C995:F995)=0,IF(COUNTIFS(C995:F995,"Reviewed N/A")=4,"No applicable dates recorded","Add dates"),IF(COUNT(C995:F995)+COUNTIFS(C995:F995,"Reviewed N/A")&lt;4,"Missing dates; ","")&amp;IF(MIN(C995:F995)&lt;TODAY(),"Overdue: ",IF(MIN(C995:F995)=TODAY(),"Due today: ",IF(MIN(C995:F995)&lt;=TODAY()+30,"Due within 30 days: ","Next: ")))&amp;INDEX($C$8:$F$8,1,MATCH(MIN(C995:F995),C995:F995,0))&amp;" "&amp;TEXT(MIN(C995:F995),"dd mmm yyyy")))))</x:f>
      </x:c>
      <x:c r="I995" s="52"/>
      <x:c r="J995" t="str">
        <x:f>IF(AND(A995&lt;&gt;"",COUNTIFS(C995,"&gt;=36526",C995,"&lt;"&amp;TODAY())+COUNTIFS(D995,"&gt;=36526",D995,"&lt;"&amp;TODAY())+COUNTIFS(E995,"&gt;=36526",E995,"&lt;"&amp;TODAY())+COUNTIFS(F995,"&gt;=36526",F995,"&lt;"&amp;TODAY())&gt;0),O995,"")</x:f>
      </x:c>
      <x:c r="K995" t="str">
        <x:f>IF(AND(A995&lt;&gt;"",COUNTIFS(C995,"&gt;=36526",C995,TODAY())+COUNTIFS(D995,"&gt;=36526",D995,TODAY())+COUNTIFS(E995,"&gt;=36526",E995,TODAY())+COUNTIFS(F995,"&gt;=36526",F995,TODAY())&gt;0),P995,"")</x:f>
      </x:c>
      <x:c r="L995" t="str">
        <x:f>IF(AND(A995&lt;&gt;"",COUNTIFS(C995,"&gt;"&amp;TODAY(),C995,"&lt;="&amp;TODAY()+30)+COUNTIFS(D995,"&gt;"&amp;TODAY(),D995,"&lt;="&amp;TODAY()+30)+COUNTIFS(E995,"&gt;"&amp;TODAY(),E995,"&lt;="&amp;TODAY()+30)+COUNTIFS(F995,"&gt;"&amp;TODAY(),F995,"&lt;="&amp;TODAY()+30)&gt;0),Q995,"")</x:f>
      </x:c>
      <x:c r="M995" t="str">
        <x:f>IF(OR(LEFT(H995,15)="Missing dates; ",LEFT(H995,16)="Add N/A reason; ",H995="Add dates",H995="Add registration",H995="Check date format"),R995,"")</x:f>
      </x:c>
      <x:c r="N995" t="str">
        <x:f>IF(COUNTIFS(C995:F995,"Reviewed N/A")&gt;0,S995,"")</x:f>
      </x:c>
      <x:c r="O995" t="n">
        <x:f>O994+IF(AND(A995&lt;&gt;"",COUNTIFS(C995,"&gt;=36526",C995,"&lt;"&amp;TODAY())+COUNTIFS(D995,"&gt;=36526",D995,"&lt;"&amp;TODAY())+COUNTIFS(E995,"&gt;=36526",E995,"&lt;"&amp;TODAY())+COUNTIFS(F995,"&gt;=36526",F995,"&lt;"&amp;TODAY())&gt;0),1,0)</x:f>
        <x:v>0</x:v>
      </x:c>
      <x:c r="P995" t="n">
        <x:f>P994+IF(AND(A995&lt;&gt;"",COUNTIFS(C995,"&gt;=36526",C995,TODAY())+COUNTIFS(D995,"&gt;=36526",D995,TODAY())+COUNTIFS(E995,"&gt;=36526",E995,TODAY())+COUNTIFS(F995,"&gt;=36526",F995,TODAY())&gt;0),1,0)</x:f>
        <x:v>0</x:v>
      </x:c>
      <x:c r="Q995" t="n">
        <x:f>Q994+IF(AND(A995&lt;&gt;"",COUNTIFS(C995,"&gt;"&amp;TODAY(),C995,"&lt;="&amp;TODAY()+30)+COUNTIFS(D995,"&gt;"&amp;TODAY(),D995,"&lt;="&amp;TODAY()+30)+COUNTIFS(E995,"&gt;"&amp;TODAY(),E995,"&lt;="&amp;TODAY()+30)+COUNTIFS(F995,"&gt;"&amp;TODAY(),F995,"&lt;="&amp;TODAY()+30)&gt;0),1,0)</x:f>
        <x:v>0</x:v>
      </x:c>
      <x:c r="R995" t="n">
        <x:f>R994+IF(OR(LEFT(H995,15)="Missing dates; ",LEFT(H995,16)="Add N/A reason; ",H995="Add dates",H995="Add registration",H995="Check date format"),1,0)</x:f>
        <x:v>0</x:v>
      </x:c>
      <x:c r="S995" t="n">
        <x:f>S994+IF(COUNTIFS(C995:F995,"Reviewed N/A")&gt;0,1,0)</x:f>
        <x:v>0</x:v>
      </x:c>
    </x:row>
    <x:row r="996" ht="48" customHeight="1">
      <x:c r="A996" s="52"/>
      <x:c r="B996" s="52"/>
      <x:c r="C996" s="53"/>
      <x:c r="D996" s="53"/>
      <x:c r="E996" s="53"/>
      <x:c r="F996" s="53"/>
      <x:c r="G996" s="52"/>
      <x:c r="H996" s="21" t="str">
        <x:f>IF(COUNTA(A996:G996,I996)=0,"",IF(A996="","Add registration",IF(OR(COUNTA(C996:F996)&gt;COUNT(C996:F996)+COUNTIFS(C996:F996,"Reviewed N/A"),AND(COUNT(C996:F996)&gt;0,OR(MIN(C996:F996)&lt;36526,MAX(C996:F996)&gt;109574))),"Check date format",IF(AND(COUNTIFS(C996:F996,"Reviewed N/A")&gt;0,I996=""),"Add N/A reason; ","")&amp;IF(COUNT(C996:F996)=0,IF(COUNTIFS(C996:F996,"Reviewed N/A")=4,"No applicable dates recorded","Add dates"),IF(COUNT(C996:F996)+COUNTIFS(C996:F996,"Reviewed N/A")&lt;4,"Missing dates; ","")&amp;IF(MIN(C996:F996)&lt;TODAY(),"Overdue: ",IF(MIN(C996:F996)=TODAY(),"Due today: ",IF(MIN(C996:F996)&lt;=TODAY()+30,"Due within 30 days: ","Next: ")))&amp;INDEX($C$8:$F$8,1,MATCH(MIN(C996:F996),C996:F996,0))&amp;" "&amp;TEXT(MIN(C996:F996),"dd mmm yyyy")))))</x:f>
      </x:c>
      <x:c r="I996" s="52"/>
      <x:c r="J996" t="str">
        <x:f>IF(AND(A996&lt;&gt;"",COUNTIFS(C996,"&gt;=36526",C996,"&lt;"&amp;TODAY())+COUNTIFS(D996,"&gt;=36526",D996,"&lt;"&amp;TODAY())+COUNTIFS(E996,"&gt;=36526",E996,"&lt;"&amp;TODAY())+COUNTIFS(F996,"&gt;=36526",F996,"&lt;"&amp;TODAY())&gt;0),O996,"")</x:f>
      </x:c>
      <x:c r="K996" t="str">
        <x:f>IF(AND(A996&lt;&gt;"",COUNTIFS(C996,"&gt;=36526",C996,TODAY())+COUNTIFS(D996,"&gt;=36526",D996,TODAY())+COUNTIFS(E996,"&gt;=36526",E996,TODAY())+COUNTIFS(F996,"&gt;=36526",F996,TODAY())&gt;0),P996,"")</x:f>
      </x:c>
      <x:c r="L996" t="str">
        <x:f>IF(AND(A996&lt;&gt;"",COUNTIFS(C996,"&gt;"&amp;TODAY(),C996,"&lt;="&amp;TODAY()+30)+COUNTIFS(D996,"&gt;"&amp;TODAY(),D996,"&lt;="&amp;TODAY()+30)+COUNTIFS(E996,"&gt;"&amp;TODAY(),E996,"&lt;="&amp;TODAY()+30)+COUNTIFS(F996,"&gt;"&amp;TODAY(),F996,"&lt;="&amp;TODAY()+30)&gt;0),Q996,"")</x:f>
      </x:c>
      <x:c r="M996" t="str">
        <x:f>IF(OR(LEFT(H996,15)="Missing dates; ",LEFT(H996,16)="Add N/A reason; ",H996="Add dates",H996="Add registration",H996="Check date format"),R996,"")</x:f>
      </x:c>
      <x:c r="N996" t="str">
        <x:f>IF(COUNTIFS(C996:F996,"Reviewed N/A")&gt;0,S996,"")</x:f>
      </x:c>
      <x:c r="O996" t="n">
        <x:f>O995+IF(AND(A996&lt;&gt;"",COUNTIFS(C996,"&gt;=36526",C996,"&lt;"&amp;TODAY())+COUNTIFS(D996,"&gt;=36526",D996,"&lt;"&amp;TODAY())+COUNTIFS(E996,"&gt;=36526",E996,"&lt;"&amp;TODAY())+COUNTIFS(F996,"&gt;=36526",F996,"&lt;"&amp;TODAY())&gt;0),1,0)</x:f>
        <x:v>0</x:v>
      </x:c>
      <x:c r="P996" t="n">
        <x:f>P995+IF(AND(A996&lt;&gt;"",COUNTIFS(C996,"&gt;=36526",C996,TODAY())+COUNTIFS(D996,"&gt;=36526",D996,TODAY())+COUNTIFS(E996,"&gt;=36526",E996,TODAY())+COUNTIFS(F996,"&gt;=36526",F996,TODAY())&gt;0),1,0)</x:f>
        <x:v>0</x:v>
      </x:c>
      <x:c r="Q996" t="n">
        <x:f>Q995+IF(AND(A996&lt;&gt;"",COUNTIFS(C996,"&gt;"&amp;TODAY(),C996,"&lt;="&amp;TODAY()+30)+COUNTIFS(D996,"&gt;"&amp;TODAY(),D996,"&lt;="&amp;TODAY()+30)+COUNTIFS(E996,"&gt;"&amp;TODAY(),E996,"&lt;="&amp;TODAY()+30)+COUNTIFS(F996,"&gt;"&amp;TODAY(),F996,"&lt;="&amp;TODAY()+30)&gt;0),1,0)</x:f>
        <x:v>0</x:v>
      </x:c>
      <x:c r="R996" t="n">
        <x:f>R995+IF(OR(LEFT(H996,15)="Missing dates; ",LEFT(H996,16)="Add N/A reason; ",H996="Add dates",H996="Add registration",H996="Check date format"),1,0)</x:f>
        <x:v>0</x:v>
      </x:c>
      <x:c r="S996" t="n">
        <x:f>S995+IF(COUNTIFS(C996:F996,"Reviewed N/A")&gt;0,1,0)</x:f>
        <x:v>0</x:v>
      </x:c>
    </x:row>
    <x:row r="997" ht="48" customHeight="1">
      <x:c r="A997" s="52"/>
      <x:c r="B997" s="52"/>
      <x:c r="C997" s="53"/>
      <x:c r="D997" s="53"/>
      <x:c r="E997" s="53"/>
      <x:c r="F997" s="53"/>
      <x:c r="G997" s="52"/>
      <x:c r="H997" s="21" t="str">
        <x:f>IF(COUNTA(A997:G997,I997)=0,"",IF(A997="","Add registration",IF(OR(COUNTA(C997:F997)&gt;COUNT(C997:F997)+COUNTIFS(C997:F997,"Reviewed N/A"),AND(COUNT(C997:F997)&gt;0,OR(MIN(C997:F997)&lt;36526,MAX(C997:F997)&gt;109574))),"Check date format",IF(AND(COUNTIFS(C997:F997,"Reviewed N/A")&gt;0,I997=""),"Add N/A reason; ","")&amp;IF(COUNT(C997:F997)=0,IF(COUNTIFS(C997:F997,"Reviewed N/A")=4,"No applicable dates recorded","Add dates"),IF(COUNT(C997:F997)+COUNTIFS(C997:F997,"Reviewed N/A")&lt;4,"Missing dates; ","")&amp;IF(MIN(C997:F997)&lt;TODAY(),"Overdue: ",IF(MIN(C997:F997)=TODAY(),"Due today: ",IF(MIN(C997:F997)&lt;=TODAY()+30,"Due within 30 days: ","Next: ")))&amp;INDEX($C$8:$F$8,1,MATCH(MIN(C997:F997),C997:F997,0))&amp;" "&amp;TEXT(MIN(C997:F997),"dd mmm yyyy")))))</x:f>
      </x:c>
      <x:c r="I997" s="52"/>
      <x:c r="J997" t="str">
        <x:f>IF(AND(A997&lt;&gt;"",COUNTIFS(C997,"&gt;=36526",C997,"&lt;"&amp;TODAY())+COUNTIFS(D997,"&gt;=36526",D997,"&lt;"&amp;TODAY())+COUNTIFS(E997,"&gt;=36526",E997,"&lt;"&amp;TODAY())+COUNTIFS(F997,"&gt;=36526",F997,"&lt;"&amp;TODAY())&gt;0),O997,"")</x:f>
      </x:c>
      <x:c r="K997" t="str">
        <x:f>IF(AND(A997&lt;&gt;"",COUNTIFS(C997,"&gt;=36526",C997,TODAY())+COUNTIFS(D997,"&gt;=36526",D997,TODAY())+COUNTIFS(E997,"&gt;=36526",E997,TODAY())+COUNTIFS(F997,"&gt;=36526",F997,TODAY())&gt;0),P997,"")</x:f>
      </x:c>
      <x:c r="L997" t="str">
        <x:f>IF(AND(A997&lt;&gt;"",COUNTIFS(C997,"&gt;"&amp;TODAY(),C997,"&lt;="&amp;TODAY()+30)+COUNTIFS(D997,"&gt;"&amp;TODAY(),D997,"&lt;="&amp;TODAY()+30)+COUNTIFS(E997,"&gt;"&amp;TODAY(),E997,"&lt;="&amp;TODAY()+30)+COUNTIFS(F997,"&gt;"&amp;TODAY(),F997,"&lt;="&amp;TODAY()+30)&gt;0),Q997,"")</x:f>
      </x:c>
      <x:c r="M997" t="str">
        <x:f>IF(OR(LEFT(H997,15)="Missing dates; ",LEFT(H997,16)="Add N/A reason; ",H997="Add dates",H997="Add registration",H997="Check date format"),R997,"")</x:f>
      </x:c>
      <x:c r="N997" t="str">
        <x:f>IF(COUNTIFS(C997:F997,"Reviewed N/A")&gt;0,S997,"")</x:f>
      </x:c>
      <x:c r="O997" t="n">
        <x:f>O996+IF(AND(A997&lt;&gt;"",COUNTIFS(C997,"&gt;=36526",C997,"&lt;"&amp;TODAY())+COUNTIFS(D997,"&gt;=36526",D997,"&lt;"&amp;TODAY())+COUNTIFS(E997,"&gt;=36526",E997,"&lt;"&amp;TODAY())+COUNTIFS(F997,"&gt;=36526",F997,"&lt;"&amp;TODAY())&gt;0),1,0)</x:f>
        <x:v>0</x:v>
      </x:c>
      <x:c r="P997" t="n">
        <x:f>P996+IF(AND(A997&lt;&gt;"",COUNTIFS(C997,"&gt;=36526",C997,TODAY())+COUNTIFS(D997,"&gt;=36526",D997,TODAY())+COUNTIFS(E997,"&gt;=36526",E997,TODAY())+COUNTIFS(F997,"&gt;=36526",F997,TODAY())&gt;0),1,0)</x:f>
        <x:v>0</x:v>
      </x:c>
      <x:c r="Q997" t="n">
        <x:f>Q996+IF(AND(A997&lt;&gt;"",COUNTIFS(C997,"&gt;"&amp;TODAY(),C997,"&lt;="&amp;TODAY()+30)+COUNTIFS(D997,"&gt;"&amp;TODAY(),D997,"&lt;="&amp;TODAY()+30)+COUNTIFS(E997,"&gt;"&amp;TODAY(),E997,"&lt;="&amp;TODAY()+30)+COUNTIFS(F997,"&gt;"&amp;TODAY(),F997,"&lt;="&amp;TODAY()+30)&gt;0),1,0)</x:f>
        <x:v>0</x:v>
      </x:c>
      <x:c r="R997" t="n">
        <x:f>R996+IF(OR(LEFT(H997,15)="Missing dates; ",LEFT(H997,16)="Add N/A reason; ",H997="Add dates",H997="Add registration",H997="Check date format"),1,0)</x:f>
        <x:v>0</x:v>
      </x:c>
      <x:c r="S997" t="n">
        <x:f>S996+IF(COUNTIFS(C997:F997,"Reviewed N/A")&gt;0,1,0)</x:f>
        <x:v>0</x:v>
      </x:c>
    </x:row>
    <x:row r="998" ht="48" customHeight="1">
      <x:c r="A998" s="52"/>
      <x:c r="B998" s="52"/>
      <x:c r="C998" s="53"/>
      <x:c r="D998" s="53"/>
      <x:c r="E998" s="53"/>
      <x:c r="F998" s="53"/>
      <x:c r="G998" s="52"/>
      <x:c r="H998" s="21" t="str">
        <x:f>IF(COUNTA(A998:G998,I998)=0,"",IF(A998="","Add registration",IF(OR(COUNTA(C998:F998)&gt;COUNT(C998:F998)+COUNTIFS(C998:F998,"Reviewed N/A"),AND(COUNT(C998:F998)&gt;0,OR(MIN(C998:F998)&lt;36526,MAX(C998:F998)&gt;109574))),"Check date format",IF(AND(COUNTIFS(C998:F998,"Reviewed N/A")&gt;0,I998=""),"Add N/A reason; ","")&amp;IF(COUNT(C998:F998)=0,IF(COUNTIFS(C998:F998,"Reviewed N/A")=4,"No applicable dates recorded","Add dates"),IF(COUNT(C998:F998)+COUNTIFS(C998:F998,"Reviewed N/A")&lt;4,"Missing dates; ","")&amp;IF(MIN(C998:F998)&lt;TODAY(),"Overdue: ",IF(MIN(C998:F998)=TODAY(),"Due today: ",IF(MIN(C998:F998)&lt;=TODAY()+30,"Due within 30 days: ","Next: ")))&amp;INDEX($C$8:$F$8,1,MATCH(MIN(C998:F998),C998:F998,0))&amp;" "&amp;TEXT(MIN(C998:F998),"dd mmm yyyy")))))</x:f>
      </x:c>
      <x:c r="I998" s="52"/>
      <x:c r="J998" t="str">
        <x:f>IF(AND(A998&lt;&gt;"",COUNTIFS(C998,"&gt;=36526",C998,"&lt;"&amp;TODAY())+COUNTIFS(D998,"&gt;=36526",D998,"&lt;"&amp;TODAY())+COUNTIFS(E998,"&gt;=36526",E998,"&lt;"&amp;TODAY())+COUNTIFS(F998,"&gt;=36526",F998,"&lt;"&amp;TODAY())&gt;0),O998,"")</x:f>
      </x:c>
      <x:c r="K998" t="str">
        <x:f>IF(AND(A998&lt;&gt;"",COUNTIFS(C998,"&gt;=36526",C998,TODAY())+COUNTIFS(D998,"&gt;=36526",D998,TODAY())+COUNTIFS(E998,"&gt;=36526",E998,TODAY())+COUNTIFS(F998,"&gt;=36526",F998,TODAY())&gt;0),P998,"")</x:f>
      </x:c>
      <x:c r="L998" t="str">
        <x:f>IF(AND(A998&lt;&gt;"",COUNTIFS(C998,"&gt;"&amp;TODAY(),C998,"&lt;="&amp;TODAY()+30)+COUNTIFS(D998,"&gt;"&amp;TODAY(),D998,"&lt;="&amp;TODAY()+30)+COUNTIFS(E998,"&gt;"&amp;TODAY(),E998,"&lt;="&amp;TODAY()+30)+COUNTIFS(F998,"&gt;"&amp;TODAY(),F998,"&lt;="&amp;TODAY()+30)&gt;0),Q998,"")</x:f>
      </x:c>
      <x:c r="M998" t="str">
        <x:f>IF(OR(LEFT(H998,15)="Missing dates; ",LEFT(H998,16)="Add N/A reason; ",H998="Add dates",H998="Add registration",H998="Check date format"),R998,"")</x:f>
      </x:c>
      <x:c r="N998" t="str">
        <x:f>IF(COUNTIFS(C998:F998,"Reviewed N/A")&gt;0,S998,"")</x:f>
      </x:c>
      <x:c r="O998" t="n">
        <x:f>O997+IF(AND(A998&lt;&gt;"",COUNTIFS(C998,"&gt;=36526",C998,"&lt;"&amp;TODAY())+COUNTIFS(D998,"&gt;=36526",D998,"&lt;"&amp;TODAY())+COUNTIFS(E998,"&gt;=36526",E998,"&lt;"&amp;TODAY())+COUNTIFS(F998,"&gt;=36526",F998,"&lt;"&amp;TODAY())&gt;0),1,0)</x:f>
        <x:v>0</x:v>
      </x:c>
      <x:c r="P998" t="n">
        <x:f>P997+IF(AND(A998&lt;&gt;"",COUNTIFS(C998,"&gt;=36526",C998,TODAY())+COUNTIFS(D998,"&gt;=36526",D998,TODAY())+COUNTIFS(E998,"&gt;=36526",E998,TODAY())+COUNTIFS(F998,"&gt;=36526",F998,TODAY())&gt;0),1,0)</x:f>
        <x:v>0</x:v>
      </x:c>
      <x:c r="Q998" t="n">
        <x:f>Q997+IF(AND(A998&lt;&gt;"",COUNTIFS(C998,"&gt;"&amp;TODAY(),C998,"&lt;="&amp;TODAY()+30)+COUNTIFS(D998,"&gt;"&amp;TODAY(),D998,"&lt;="&amp;TODAY()+30)+COUNTIFS(E998,"&gt;"&amp;TODAY(),E998,"&lt;="&amp;TODAY()+30)+COUNTIFS(F998,"&gt;"&amp;TODAY(),F998,"&lt;="&amp;TODAY()+30)&gt;0),1,0)</x:f>
        <x:v>0</x:v>
      </x:c>
      <x:c r="R998" t="n">
        <x:f>R997+IF(OR(LEFT(H998,15)="Missing dates; ",LEFT(H998,16)="Add N/A reason; ",H998="Add dates",H998="Add registration",H998="Check date format"),1,0)</x:f>
        <x:v>0</x:v>
      </x:c>
      <x:c r="S998" t="n">
        <x:f>S997+IF(COUNTIFS(C998:F998,"Reviewed N/A")&gt;0,1,0)</x:f>
        <x:v>0</x:v>
      </x:c>
    </x:row>
    <x:row r="999" ht="48" customHeight="1">
      <x:c r="A999" s="52"/>
      <x:c r="B999" s="52"/>
      <x:c r="C999" s="53"/>
      <x:c r="D999" s="53"/>
      <x:c r="E999" s="53"/>
      <x:c r="F999" s="53"/>
      <x:c r="G999" s="52"/>
      <x:c r="H999" s="21" t="str">
        <x:f>IF(COUNTA(A999:G999,I999)=0,"",IF(A999="","Add registration",IF(OR(COUNTA(C999:F999)&gt;COUNT(C999:F999)+COUNTIFS(C999:F999,"Reviewed N/A"),AND(COUNT(C999:F999)&gt;0,OR(MIN(C999:F999)&lt;36526,MAX(C999:F999)&gt;109574))),"Check date format",IF(AND(COUNTIFS(C999:F999,"Reviewed N/A")&gt;0,I999=""),"Add N/A reason; ","")&amp;IF(COUNT(C999:F999)=0,IF(COUNTIFS(C999:F999,"Reviewed N/A")=4,"No applicable dates recorded","Add dates"),IF(COUNT(C999:F999)+COUNTIFS(C999:F999,"Reviewed N/A")&lt;4,"Missing dates; ","")&amp;IF(MIN(C999:F999)&lt;TODAY(),"Overdue: ",IF(MIN(C999:F999)=TODAY(),"Due today: ",IF(MIN(C999:F999)&lt;=TODAY()+30,"Due within 30 days: ","Next: ")))&amp;INDEX($C$8:$F$8,1,MATCH(MIN(C999:F999),C999:F999,0))&amp;" "&amp;TEXT(MIN(C999:F999),"dd mmm yyyy")))))</x:f>
      </x:c>
      <x:c r="I999" s="52"/>
      <x:c r="J999" t="str">
        <x:f>IF(AND(A999&lt;&gt;"",COUNTIFS(C999,"&gt;=36526",C999,"&lt;"&amp;TODAY())+COUNTIFS(D999,"&gt;=36526",D999,"&lt;"&amp;TODAY())+COUNTIFS(E999,"&gt;=36526",E999,"&lt;"&amp;TODAY())+COUNTIFS(F999,"&gt;=36526",F999,"&lt;"&amp;TODAY())&gt;0),O999,"")</x:f>
      </x:c>
      <x:c r="K999" t="str">
        <x:f>IF(AND(A999&lt;&gt;"",COUNTIFS(C999,"&gt;=36526",C999,TODAY())+COUNTIFS(D999,"&gt;=36526",D999,TODAY())+COUNTIFS(E999,"&gt;=36526",E999,TODAY())+COUNTIFS(F999,"&gt;=36526",F999,TODAY())&gt;0),P999,"")</x:f>
      </x:c>
      <x:c r="L999" t="str">
        <x:f>IF(AND(A999&lt;&gt;"",COUNTIFS(C999,"&gt;"&amp;TODAY(),C999,"&lt;="&amp;TODAY()+30)+COUNTIFS(D999,"&gt;"&amp;TODAY(),D999,"&lt;="&amp;TODAY()+30)+COUNTIFS(E999,"&gt;"&amp;TODAY(),E999,"&lt;="&amp;TODAY()+30)+COUNTIFS(F999,"&gt;"&amp;TODAY(),F999,"&lt;="&amp;TODAY()+30)&gt;0),Q999,"")</x:f>
      </x:c>
      <x:c r="M999" t="str">
        <x:f>IF(OR(LEFT(H999,15)="Missing dates; ",LEFT(H999,16)="Add N/A reason; ",H999="Add dates",H999="Add registration",H999="Check date format"),R999,"")</x:f>
      </x:c>
      <x:c r="N999" t="str">
        <x:f>IF(COUNTIFS(C999:F999,"Reviewed N/A")&gt;0,S999,"")</x:f>
      </x:c>
      <x:c r="O999" t="n">
        <x:f>O998+IF(AND(A999&lt;&gt;"",COUNTIFS(C999,"&gt;=36526",C999,"&lt;"&amp;TODAY())+COUNTIFS(D999,"&gt;=36526",D999,"&lt;"&amp;TODAY())+COUNTIFS(E999,"&gt;=36526",E999,"&lt;"&amp;TODAY())+COUNTIFS(F999,"&gt;=36526",F999,"&lt;"&amp;TODAY())&gt;0),1,0)</x:f>
        <x:v>0</x:v>
      </x:c>
      <x:c r="P999" t="n">
        <x:f>P998+IF(AND(A999&lt;&gt;"",COUNTIFS(C999,"&gt;=36526",C999,TODAY())+COUNTIFS(D999,"&gt;=36526",D999,TODAY())+COUNTIFS(E999,"&gt;=36526",E999,TODAY())+COUNTIFS(F999,"&gt;=36526",F999,TODAY())&gt;0),1,0)</x:f>
        <x:v>0</x:v>
      </x:c>
      <x:c r="Q999" t="n">
        <x:f>Q998+IF(AND(A999&lt;&gt;"",COUNTIFS(C999,"&gt;"&amp;TODAY(),C999,"&lt;="&amp;TODAY()+30)+COUNTIFS(D999,"&gt;"&amp;TODAY(),D999,"&lt;="&amp;TODAY()+30)+COUNTIFS(E999,"&gt;"&amp;TODAY(),E999,"&lt;="&amp;TODAY()+30)+COUNTIFS(F999,"&gt;"&amp;TODAY(),F999,"&lt;="&amp;TODAY()+30)&gt;0),1,0)</x:f>
        <x:v>0</x:v>
      </x:c>
      <x:c r="R999" t="n">
        <x:f>R998+IF(OR(LEFT(H999,15)="Missing dates; ",LEFT(H999,16)="Add N/A reason; ",H999="Add dates",H999="Add registration",H999="Check date format"),1,0)</x:f>
        <x:v>0</x:v>
      </x:c>
      <x:c r="S999" t="n">
        <x:f>S998+IF(COUNTIFS(C999:F999,"Reviewed N/A")&gt;0,1,0)</x:f>
        <x:v>0</x:v>
      </x:c>
    </x:row>
    <x:row r="1000" ht="48" customHeight="1">
      <x:c r="A1000" s="52"/>
      <x:c r="B1000" s="52"/>
      <x:c r="C1000" s="53"/>
      <x:c r="D1000" s="53"/>
      <x:c r="E1000" s="53"/>
      <x:c r="F1000" s="53"/>
      <x:c r="G1000" s="52"/>
      <x:c r="H1000" s="21" t="str">
        <x:f>IF(COUNTA(A1000:G1000,I1000)=0,"",IF(A1000="","Add registration",IF(OR(COUNTA(C1000:F1000)&gt;COUNT(C1000:F1000)+COUNTIFS(C1000:F1000,"Reviewed N/A"),AND(COUNT(C1000:F1000)&gt;0,OR(MIN(C1000:F1000)&lt;36526,MAX(C1000:F1000)&gt;109574))),"Check date format",IF(AND(COUNTIFS(C1000:F1000,"Reviewed N/A")&gt;0,I1000=""),"Add N/A reason; ","")&amp;IF(COUNT(C1000:F1000)=0,IF(COUNTIFS(C1000:F1000,"Reviewed N/A")=4,"No applicable dates recorded","Add dates"),IF(COUNT(C1000:F1000)+COUNTIFS(C1000:F1000,"Reviewed N/A")&lt;4,"Missing dates; ","")&amp;IF(MIN(C1000:F1000)&lt;TODAY(),"Overdue: ",IF(MIN(C1000:F1000)=TODAY(),"Due today: ",IF(MIN(C1000:F1000)&lt;=TODAY()+30,"Due within 30 days: ","Next: ")))&amp;INDEX($C$8:$F$8,1,MATCH(MIN(C1000:F1000),C1000:F1000,0))&amp;" "&amp;TEXT(MIN(C1000:F1000),"dd mmm yyyy")))))</x:f>
      </x:c>
      <x:c r="I1000" s="52"/>
      <x:c r="J1000" t="str">
        <x:f>IF(AND(A1000&lt;&gt;"",COUNTIFS(C1000,"&gt;=36526",C1000,"&lt;"&amp;TODAY())+COUNTIFS(D1000,"&gt;=36526",D1000,"&lt;"&amp;TODAY())+COUNTIFS(E1000,"&gt;=36526",E1000,"&lt;"&amp;TODAY())+COUNTIFS(F1000,"&gt;=36526",F1000,"&lt;"&amp;TODAY())&gt;0),O1000,"")</x:f>
      </x:c>
      <x:c r="K1000" t="str">
        <x:f>IF(AND(A1000&lt;&gt;"",COUNTIFS(C1000,"&gt;=36526",C1000,TODAY())+COUNTIFS(D1000,"&gt;=36526",D1000,TODAY())+COUNTIFS(E1000,"&gt;=36526",E1000,TODAY())+COUNTIFS(F1000,"&gt;=36526",F1000,TODAY())&gt;0),P1000,"")</x:f>
      </x:c>
      <x:c r="L1000" t="str">
        <x:f>IF(AND(A1000&lt;&gt;"",COUNTIFS(C1000,"&gt;"&amp;TODAY(),C1000,"&lt;="&amp;TODAY()+30)+COUNTIFS(D1000,"&gt;"&amp;TODAY(),D1000,"&lt;="&amp;TODAY()+30)+COUNTIFS(E1000,"&gt;"&amp;TODAY(),E1000,"&lt;="&amp;TODAY()+30)+COUNTIFS(F1000,"&gt;"&amp;TODAY(),F1000,"&lt;="&amp;TODAY()+30)&gt;0),Q1000,"")</x:f>
      </x:c>
      <x:c r="M1000" t="str">
        <x:f>IF(OR(LEFT(H1000,15)="Missing dates; ",LEFT(H1000,16)="Add N/A reason; ",H1000="Add dates",H1000="Add registration",H1000="Check date format"),R1000,"")</x:f>
      </x:c>
      <x:c r="N1000" t="str">
        <x:f>IF(COUNTIFS(C1000:F1000,"Reviewed N/A")&gt;0,S1000,"")</x:f>
      </x:c>
      <x:c r="O1000" t="n">
        <x:f>O999+IF(AND(A1000&lt;&gt;"",COUNTIFS(C1000,"&gt;=36526",C1000,"&lt;"&amp;TODAY())+COUNTIFS(D1000,"&gt;=36526",D1000,"&lt;"&amp;TODAY())+COUNTIFS(E1000,"&gt;=36526",E1000,"&lt;"&amp;TODAY())+COUNTIFS(F1000,"&gt;=36526",F1000,"&lt;"&amp;TODAY())&gt;0),1,0)</x:f>
        <x:v>0</x:v>
      </x:c>
      <x:c r="P1000" t="n">
        <x:f>P999+IF(AND(A1000&lt;&gt;"",COUNTIFS(C1000,"&gt;=36526",C1000,TODAY())+COUNTIFS(D1000,"&gt;=36526",D1000,TODAY())+COUNTIFS(E1000,"&gt;=36526",E1000,TODAY())+COUNTIFS(F1000,"&gt;=36526",F1000,TODAY())&gt;0),1,0)</x:f>
        <x:v>0</x:v>
      </x:c>
      <x:c r="Q1000" t="n">
        <x:f>Q999+IF(AND(A1000&lt;&gt;"",COUNTIFS(C1000,"&gt;"&amp;TODAY(),C1000,"&lt;="&amp;TODAY()+30)+COUNTIFS(D1000,"&gt;"&amp;TODAY(),D1000,"&lt;="&amp;TODAY()+30)+COUNTIFS(E1000,"&gt;"&amp;TODAY(),E1000,"&lt;="&amp;TODAY()+30)+COUNTIFS(F1000,"&gt;"&amp;TODAY(),F1000,"&lt;="&amp;TODAY()+30)&gt;0),1,0)</x:f>
        <x:v>0</x:v>
      </x:c>
      <x:c r="R1000" t="n">
        <x:f>R999+IF(OR(LEFT(H1000,15)="Missing dates; ",LEFT(H1000,16)="Add N/A reason; ",H1000="Add dates",H1000="Add registration",H1000="Check date format"),1,0)</x:f>
        <x:v>0</x:v>
      </x:c>
      <x:c r="S1000" t="n">
        <x:f>S999+IF(COUNTIFS(C1000:F1000,"Reviewed N/A")&gt;0,1,0)</x:f>
        <x:v>0</x:v>
      </x:c>
    </x:row>
    <x:row r="1001" ht="48" customHeight="1">
      <x:c r="A1001" s="52"/>
      <x:c r="B1001" s="52"/>
      <x:c r="C1001" s="53"/>
      <x:c r="D1001" s="53"/>
      <x:c r="E1001" s="53"/>
      <x:c r="F1001" s="53"/>
      <x:c r="G1001" s="52"/>
      <x:c r="H1001" s="21" t="str">
        <x:f>IF(COUNTA(A1001:G1001,I1001)=0,"",IF(A1001="","Add registration",IF(OR(COUNTA(C1001:F1001)&gt;COUNT(C1001:F1001)+COUNTIFS(C1001:F1001,"Reviewed N/A"),AND(COUNT(C1001:F1001)&gt;0,OR(MIN(C1001:F1001)&lt;36526,MAX(C1001:F1001)&gt;109574))),"Check date format",IF(AND(COUNTIFS(C1001:F1001,"Reviewed N/A")&gt;0,I1001=""),"Add N/A reason; ","")&amp;IF(COUNT(C1001:F1001)=0,IF(COUNTIFS(C1001:F1001,"Reviewed N/A")=4,"No applicable dates recorded","Add dates"),IF(COUNT(C1001:F1001)+COUNTIFS(C1001:F1001,"Reviewed N/A")&lt;4,"Missing dates; ","")&amp;IF(MIN(C1001:F1001)&lt;TODAY(),"Overdue: ",IF(MIN(C1001:F1001)=TODAY(),"Due today: ",IF(MIN(C1001:F1001)&lt;=TODAY()+30,"Due within 30 days: ","Next: ")))&amp;INDEX($C$8:$F$8,1,MATCH(MIN(C1001:F1001),C1001:F1001,0))&amp;" "&amp;TEXT(MIN(C1001:F1001),"dd mmm yyyy")))))</x:f>
      </x:c>
      <x:c r="I1001" s="52"/>
      <x:c r="J1001" t="str">
        <x:f>IF(AND(A1001&lt;&gt;"",COUNTIFS(C1001,"&gt;=36526",C1001,"&lt;"&amp;TODAY())+COUNTIFS(D1001,"&gt;=36526",D1001,"&lt;"&amp;TODAY())+COUNTIFS(E1001,"&gt;=36526",E1001,"&lt;"&amp;TODAY())+COUNTIFS(F1001,"&gt;=36526",F1001,"&lt;"&amp;TODAY())&gt;0),O1001,"")</x:f>
      </x:c>
      <x:c r="K1001" t="str">
        <x:f>IF(AND(A1001&lt;&gt;"",COUNTIFS(C1001,"&gt;=36526",C1001,TODAY())+COUNTIFS(D1001,"&gt;=36526",D1001,TODAY())+COUNTIFS(E1001,"&gt;=36526",E1001,TODAY())+COUNTIFS(F1001,"&gt;=36526",F1001,TODAY())&gt;0),P1001,"")</x:f>
      </x:c>
      <x:c r="L1001" t="str">
        <x:f>IF(AND(A1001&lt;&gt;"",COUNTIFS(C1001,"&gt;"&amp;TODAY(),C1001,"&lt;="&amp;TODAY()+30)+COUNTIFS(D1001,"&gt;"&amp;TODAY(),D1001,"&lt;="&amp;TODAY()+30)+COUNTIFS(E1001,"&gt;"&amp;TODAY(),E1001,"&lt;="&amp;TODAY()+30)+COUNTIFS(F1001,"&gt;"&amp;TODAY(),F1001,"&lt;="&amp;TODAY()+30)&gt;0),Q1001,"")</x:f>
      </x:c>
      <x:c r="M1001" t="str">
        <x:f>IF(OR(LEFT(H1001,15)="Missing dates; ",LEFT(H1001,16)="Add N/A reason; ",H1001="Add dates",H1001="Add registration",H1001="Check date format"),R1001,"")</x:f>
      </x:c>
      <x:c r="N1001" t="str">
        <x:f>IF(COUNTIFS(C1001:F1001,"Reviewed N/A")&gt;0,S1001,"")</x:f>
      </x:c>
      <x:c r="O1001" t="n">
        <x:f>O1000+IF(AND(A1001&lt;&gt;"",COUNTIFS(C1001,"&gt;=36526",C1001,"&lt;"&amp;TODAY())+COUNTIFS(D1001,"&gt;=36526",D1001,"&lt;"&amp;TODAY())+COUNTIFS(E1001,"&gt;=36526",E1001,"&lt;"&amp;TODAY())+COUNTIFS(F1001,"&gt;=36526",F1001,"&lt;"&amp;TODAY())&gt;0),1,0)</x:f>
        <x:v>0</x:v>
      </x:c>
      <x:c r="P1001" t="n">
        <x:f>P1000+IF(AND(A1001&lt;&gt;"",COUNTIFS(C1001,"&gt;=36526",C1001,TODAY())+COUNTIFS(D1001,"&gt;=36526",D1001,TODAY())+COUNTIFS(E1001,"&gt;=36526",E1001,TODAY())+COUNTIFS(F1001,"&gt;=36526",F1001,TODAY())&gt;0),1,0)</x:f>
        <x:v>0</x:v>
      </x:c>
      <x:c r="Q1001" t="n">
        <x:f>Q1000+IF(AND(A1001&lt;&gt;"",COUNTIFS(C1001,"&gt;"&amp;TODAY(),C1001,"&lt;="&amp;TODAY()+30)+COUNTIFS(D1001,"&gt;"&amp;TODAY(),D1001,"&lt;="&amp;TODAY()+30)+COUNTIFS(E1001,"&gt;"&amp;TODAY(),E1001,"&lt;="&amp;TODAY()+30)+COUNTIFS(F1001,"&gt;"&amp;TODAY(),F1001,"&lt;="&amp;TODAY()+30)&gt;0),1,0)</x:f>
        <x:v>0</x:v>
      </x:c>
      <x:c r="R1001" t="n">
        <x:f>R1000+IF(OR(LEFT(H1001,15)="Missing dates; ",LEFT(H1001,16)="Add N/A reason; ",H1001="Add dates",H1001="Add registration",H1001="Check date format"),1,0)</x:f>
        <x:v>0</x:v>
      </x:c>
      <x:c r="S1001" t="n">
        <x:f>S1000+IF(COUNTIFS(C1001:F1001,"Reviewed N/A")&gt;0,1,0)</x:f>
        <x:v>0</x:v>
      </x:c>
    </x:row>
    <x:row r="1002" ht="48" customHeight="1">
      <x:c r="A1002" s="52"/>
      <x:c r="B1002" s="52"/>
      <x:c r="C1002" s="53"/>
      <x:c r="D1002" s="53"/>
      <x:c r="E1002" s="53"/>
      <x:c r="F1002" s="53"/>
      <x:c r="G1002" s="52"/>
      <x:c r="H1002" s="21" t="str">
        <x:f>IF(COUNTA(A1002:G1002,I1002)=0,"",IF(A1002="","Add registration",IF(OR(COUNTA(C1002:F1002)&gt;COUNT(C1002:F1002)+COUNTIFS(C1002:F1002,"Reviewed N/A"),AND(COUNT(C1002:F1002)&gt;0,OR(MIN(C1002:F1002)&lt;36526,MAX(C1002:F1002)&gt;109574))),"Check date format",IF(AND(COUNTIFS(C1002:F1002,"Reviewed N/A")&gt;0,I1002=""),"Add N/A reason; ","")&amp;IF(COUNT(C1002:F1002)=0,IF(COUNTIFS(C1002:F1002,"Reviewed N/A")=4,"No applicable dates recorded","Add dates"),IF(COUNT(C1002:F1002)+COUNTIFS(C1002:F1002,"Reviewed N/A")&lt;4,"Missing dates; ","")&amp;IF(MIN(C1002:F1002)&lt;TODAY(),"Overdue: ",IF(MIN(C1002:F1002)=TODAY(),"Due today: ",IF(MIN(C1002:F1002)&lt;=TODAY()+30,"Due within 30 days: ","Next: ")))&amp;INDEX($C$8:$F$8,1,MATCH(MIN(C1002:F1002),C1002:F1002,0))&amp;" "&amp;TEXT(MIN(C1002:F1002),"dd mmm yyyy")))))</x:f>
      </x:c>
      <x:c r="I1002" s="52"/>
      <x:c r="J1002" t="str">
        <x:f>IF(AND(A1002&lt;&gt;"",COUNTIFS(C1002,"&gt;=36526",C1002,"&lt;"&amp;TODAY())+COUNTIFS(D1002,"&gt;=36526",D1002,"&lt;"&amp;TODAY())+COUNTIFS(E1002,"&gt;=36526",E1002,"&lt;"&amp;TODAY())+COUNTIFS(F1002,"&gt;=36526",F1002,"&lt;"&amp;TODAY())&gt;0),O1002,"")</x:f>
      </x:c>
      <x:c r="K1002" t="str">
        <x:f>IF(AND(A1002&lt;&gt;"",COUNTIFS(C1002,"&gt;=36526",C1002,TODAY())+COUNTIFS(D1002,"&gt;=36526",D1002,TODAY())+COUNTIFS(E1002,"&gt;=36526",E1002,TODAY())+COUNTIFS(F1002,"&gt;=36526",F1002,TODAY())&gt;0),P1002,"")</x:f>
      </x:c>
      <x:c r="L1002" t="str">
        <x:f>IF(AND(A1002&lt;&gt;"",COUNTIFS(C1002,"&gt;"&amp;TODAY(),C1002,"&lt;="&amp;TODAY()+30)+COUNTIFS(D1002,"&gt;"&amp;TODAY(),D1002,"&lt;="&amp;TODAY()+30)+COUNTIFS(E1002,"&gt;"&amp;TODAY(),E1002,"&lt;="&amp;TODAY()+30)+COUNTIFS(F1002,"&gt;"&amp;TODAY(),F1002,"&lt;="&amp;TODAY()+30)&gt;0),Q1002,"")</x:f>
      </x:c>
      <x:c r="M1002" t="str">
        <x:f>IF(OR(LEFT(H1002,15)="Missing dates; ",LEFT(H1002,16)="Add N/A reason; ",H1002="Add dates",H1002="Add registration",H1002="Check date format"),R1002,"")</x:f>
      </x:c>
      <x:c r="N1002" t="str">
        <x:f>IF(COUNTIFS(C1002:F1002,"Reviewed N/A")&gt;0,S1002,"")</x:f>
      </x:c>
      <x:c r="O1002" t="n">
        <x:f>O1001+IF(AND(A1002&lt;&gt;"",COUNTIFS(C1002,"&gt;=36526",C1002,"&lt;"&amp;TODAY())+COUNTIFS(D1002,"&gt;=36526",D1002,"&lt;"&amp;TODAY())+COUNTIFS(E1002,"&gt;=36526",E1002,"&lt;"&amp;TODAY())+COUNTIFS(F1002,"&gt;=36526",F1002,"&lt;"&amp;TODAY())&gt;0),1,0)</x:f>
        <x:v>0</x:v>
      </x:c>
      <x:c r="P1002" t="n">
        <x:f>P1001+IF(AND(A1002&lt;&gt;"",COUNTIFS(C1002,"&gt;=36526",C1002,TODAY())+COUNTIFS(D1002,"&gt;=36526",D1002,TODAY())+COUNTIFS(E1002,"&gt;=36526",E1002,TODAY())+COUNTIFS(F1002,"&gt;=36526",F1002,TODAY())&gt;0),1,0)</x:f>
        <x:v>0</x:v>
      </x:c>
      <x:c r="Q1002" t="n">
        <x:f>Q1001+IF(AND(A1002&lt;&gt;"",COUNTIFS(C1002,"&gt;"&amp;TODAY(),C1002,"&lt;="&amp;TODAY()+30)+COUNTIFS(D1002,"&gt;"&amp;TODAY(),D1002,"&lt;="&amp;TODAY()+30)+COUNTIFS(E1002,"&gt;"&amp;TODAY(),E1002,"&lt;="&amp;TODAY()+30)+COUNTIFS(F1002,"&gt;"&amp;TODAY(),F1002,"&lt;="&amp;TODAY()+30)&gt;0),1,0)</x:f>
        <x:v>0</x:v>
      </x:c>
      <x:c r="R1002" t="n">
        <x:f>R1001+IF(OR(LEFT(H1002,15)="Missing dates; ",LEFT(H1002,16)="Add N/A reason; ",H1002="Add dates",H1002="Add registration",H1002="Check date format"),1,0)</x:f>
        <x:v>0</x:v>
      </x:c>
      <x:c r="S1002" t="n">
        <x:f>S1001+IF(COUNTIFS(C1002:F1002,"Reviewed N/A")&gt;0,1,0)</x:f>
        <x:v>0</x:v>
      </x:c>
    </x:row>
    <x:row r="1003" ht="48" customHeight="1">
      <x:c r="A1003" s="52"/>
      <x:c r="B1003" s="52"/>
      <x:c r="C1003" s="53"/>
      <x:c r="D1003" s="53"/>
      <x:c r="E1003" s="53"/>
      <x:c r="F1003" s="53"/>
      <x:c r="G1003" s="52"/>
      <x:c r="H1003" s="21" t="str">
        <x:f>IF(COUNTA(A1003:G1003,I1003)=0,"",IF(A1003="","Add registration",IF(OR(COUNTA(C1003:F1003)&gt;COUNT(C1003:F1003)+COUNTIFS(C1003:F1003,"Reviewed N/A"),AND(COUNT(C1003:F1003)&gt;0,OR(MIN(C1003:F1003)&lt;36526,MAX(C1003:F1003)&gt;109574))),"Check date format",IF(AND(COUNTIFS(C1003:F1003,"Reviewed N/A")&gt;0,I1003=""),"Add N/A reason; ","")&amp;IF(COUNT(C1003:F1003)=0,IF(COUNTIFS(C1003:F1003,"Reviewed N/A")=4,"No applicable dates recorded","Add dates"),IF(COUNT(C1003:F1003)+COUNTIFS(C1003:F1003,"Reviewed N/A")&lt;4,"Missing dates; ","")&amp;IF(MIN(C1003:F1003)&lt;TODAY(),"Overdue: ",IF(MIN(C1003:F1003)=TODAY(),"Due today: ",IF(MIN(C1003:F1003)&lt;=TODAY()+30,"Due within 30 days: ","Next: ")))&amp;INDEX($C$8:$F$8,1,MATCH(MIN(C1003:F1003),C1003:F1003,0))&amp;" "&amp;TEXT(MIN(C1003:F1003),"dd mmm yyyy")))))</x:f>
      </x:c>
      <x:c r="I1003" s="52"/>
      <x:c r="J1003" t="str">
        <x:f>IF(AND(A1003&lt;&gt;"",COUNTIFS(C1003,"&gt;=36526",C1003,"&lt;"&amp;TODAY())+COUNTIFS(D1003,"&gt;=36526",D1003,"&lt;"&amp;TODAY())+COUNTIFS(E1003,"&gt;=36526",E1003,"&lt;"&amp;TODAY())+COUNTIFS(F1003,"&gt;=36526",F1003,"&lt;"&amp;TODAY())&gt;0),O1003,"")</x:f>
      </x:c>
      <x:c r="K1003" t="str">
        <x:f>IF(AND(A1003&lt;&gt;"",COUNTIFS(C1003,"&gt;=36526",C1003,TODAY())+COUNTIFS(D1003,"&gt;=36526",D1003,TODAY())+COUNTIFS(E1003,"&gt;=36526",E1003,TODAY())+COUNTIFS(F1003,"&gt;=36526",F1003,TODAY())&gt;0),P1003,"")</x:f>
      </x:c>
      <x:c r="L1003" t="str">
        <x:f>IF(AND(A1003&lt;&gt;"",COUNTIFS(C1003,"&gt;"&amp;TODAY(),C1003,"&lt;="&amp;TODAY()+30)+COUNTIFS(D1003,"&gt;"&amp;TODAY(),D1003,"&lt;="&amp;TODAY()+30)+COUNTIFS(E1003,"&gt;"&amp;TODAY(),E1003,"&lt;="&amp;TODAY()+30)+COUNTIFS(F1003,"&gt;"&amp;TODAY(),F1003,"&lt;="&amp;TODAY()+30)&gt;0),Q1003,"")</x:f>
      </x:c>
      <x:c r="M1003" t="str">
        <x:f>IF(OR(LEFT(H1003,15)="Missing dates; ",LEFT(H1003,16)="Add N/A reason; ",H1003="Add dates",H1003="Add registration",H1003="Check date format"),R1003,"")</x:f>
      </x:c>
      <x:c r="N1003" t="str">
        <x:f>IF(COUNTIFS(C1003:F1003,"Reviewed N/A")&gt;0,S1003,"")</x:f>
      </x:c>
      <x:c r="O1003" t="n">
        <x:f>O1002+IF(AND(A1003&lt;&gt;"",COUNTIFS(C1003,"&gt;=36526",C1003,"&lt;"&amp;TODAY())+COUNTIFS(D1003,"&gt;=36526",D1003,"&lt;"&amp;TODAY())+COUNTIFS(E1003,"&gt;=36526",E1003,"&lt;"&amp;TODAY())+COUNTIFS(F1003,"&gt;=36526",F1003,"&lt;"&amp;TODAY())&gt;0),1,0)</x:f>
        <x:v>0</x:v>
      </x:c>
      <x:c r="P1003" t="n">
        <x:f>P1002+IF(AND(A1003&lt;&gt;"",COUNTIFS(C1003,"&gt;=36526",C1003,TODAY())+COUNTIFS(D1003,"&gt;=36526",D1003,TODAY())+COUNTIFS(E1003,"&gt;=36526",E1003,TODAY())+COUNTIFS(F1003,"&gt;=36526",F1003,TODAY())&gt;0),1,0)</x:f>
        <x:v>0</x:v>
      </x:c>
      <x:c r="Q1003" t="n">
        <x:f>Q1002+IF(AND(A1003&lt;&gt;"",COUNTIFS(C1003,"&gt;"&amp;TODAY(),C1003,"&lt;="&amp;TODAY()+30)+COUNTIFS(D1003,"&gt;"&amp;TODAY(),D1003,"&lt;="&amp;TODAY()+30)+COUNTIFS(E1003,"&gt;"&amp;TODAY(),E1003,"&lt;="&amp;TODAY()+30)+COUNTIFS(F1003,"&gt;"&amp;TODAY(),F1003,"&lt;="&amp;TODAY()+30)&gt;0),1,0)</x:f>
        <x:v>0</x:v>
      </x:c>
      <x:c r="R1003" t="n">
        <x:f>R1002+IF(OR(LEFT(H1003,15)="Missing dates; ",LEFT(H1003,16)="Add N/A reason; ",H1003="Add dates",H1003="Add registration",H1003="Check date format"),1,0)</x:f>
        <x:v>0</x:v>
      </x:c>
      <x:c r="S1003" t="n">
        <x:f>S1002+IF(COUNTIFS(C1003:F1003,"Reviewed N/A")&gt;0,1,0)</x:f>
        <x:v>0</x:v>
      </x:c>
    </x:row>
    <x:row r="1004" ht="48" customHeight="1">
      <x:c r="A1004" s="52"/>
      <x:c r="B1004" s="52"/>
      <x:c r="C1004" s="53"/>
      <x:c r="D1004" s="53"/>
      <x:c r="E1004" s="53"/>
      <x:c r="F1004" s="53"/>
      <x:c r="G1004" s="52"/>
      <x:c r="H1004" s="21" t="str">
        <x:f>IF(COUNTA(A1004:G1004,I1004)=0,"",IF(A1004="","Add registration",IF(OR(COUNTA(C1004:F1004)&gt;COUNT(C1004:F1004)+COUNTIFS(C1004:F1004,"Reviewed N/A"),AND(COUNT(C1004:F1004)&gt;0,OR(MIN(C1004:F1004)&lt;36526,MAX(C1004:F1004)&gt;109574))),"Check date format",IF(AND(COUNTIFS(C1004:F1004,"Reviewed N/A")&gt;0,I1004=""),"Add N/A reason; ","")&amp;IF(COUNT(C1004:F1004)=0,IF(COUNTIFS(C1004:F1004,"Reviewed N/A")=4,"No applicable dates recorded","Add dates"),IF(COUNT(C1004:F1004)+COUNTIFS(C1004:F1004,"Reviewed N/A")&lt;4,"Missing dates; ","")&amp;IF(MIN(C1004:F1004)&lt;TODAY(),"Overdue: ",IF(MIN(C1004:F1004)=TODAY(),"Due today: ",IF(MIN(C1004:F1004)&lt;=TODAY()+30,"Due within 30 days: ","Next: ")))&amp;INDEX($C$8:$F$8,1,MATCH(MIN(C1004:F1004),C1004:F1004,0))&amp;" "&amp;TEXT(MIN(C1004:F1004),"dd mmm yyyy")))))</x:f>
      </x:c>
      <x:c r="I1004" s="52"/>
      <x:c r="J1004" t="str">
        <x:f>IF(AND(A1004&lt;&gt;"",COUNTIFS(C1004,"&gt;=36526",C1004,"&lt;"&amp;TODAY())+COUNTIFS(D1004,"&gt;=36526",D1004,"&lt;"&amp;TODAY())+COUNTIFS(E1004,"&gt;=36526",E1004,"&lt;"&amp;TODAY())+COUNTIFS(F1004,"&gt;=36526",F1004,"&lt;"&amp;TODAY())&gt;0),O1004,"")</x:f>
      </x:c>
      <x:c r="K1004" t="str">
        <x:f>IF(AND(A1004&lt;&gt;"",COUNTIFS(C1004,"&gt;=36526",C1004,TODAY())+COUNTIFS(D1004,"&gt;=36526",D1004,TODAY())+COUNTIFS(E1004,"&gt;=36526",E1004,TODAY())+COUNTIFS(F1004,"&gt;=36526",F1004,TODAY())&gt;0),P1004,"")</x:f>
      </x:c>
      <x:c r="L1004" t="str">
        <x:f>IF(AND(A1004&lt;&gt;"",COUNTIFS(C1004,"&gt;"&amp;TODAY(),C1004,"&lt;="&amp;TODAY()+30)+COUNTIFS(D1004,"&gt;"&amp;TODAY(),D1004,"&lt;="&amp;TODAY()+30)+COUNTIFS(E1004,"&gt;"&amp;TODAY(),E1004,"&lt;="&amp;TODAY()+30)+COUNTIFS(F1004,"&gt;"&amp;TODAY(),F1004,"&lt;="&amp;TODAY()+30)&gt;0),Q1004,"")</x:f>
      </x:c>
      <x:c r="M1004" t="str">
        <x:f>IF(OR(LEFT(H1004,15)="Missing dates; ",LEFT(H1004,16)="Add N/A reason; ",H1004="Add dates",H1004="Add registration",H1004="Check date format"),R1004,"")</x:f>
      </x:c>
      <x:c r="N1004" t="str">
        <x:f>IF(COUNTIFS(C1004:F1004,"Reviewed N/A")&gt;0,S1004,"")</x:f>
      </x:c>
      <x:c r="O1004" t="n">
        <x:f>O1003+IF(AND(A1004&lt;&gt;"",COUNTIFS(C1004,"&gt;=36526",C1004,"&lt;"&amp;TODAY())+COUNTIFS(D1004,"&gt;=36526",D1004,"&lt;"&amp;TODAY())+COUNTIFS(E1004,"&gt;=36526",E1004,"&lt;"&amp;TODAY())+COUNTIFS(F1004,"&gt;=36526",F1004,"&lt;"&amp;TODAY())&gt;0),1,0)</x:f>
        <x:v>0</x:v>
      </x:c>
      <x:c r="P1004" t="n">
        <x:f>P1003+IF(AND(A1004&lt;&gt;"",COUNTIFS(C1004,"&gt;=36526",C1004,TODAY())+COUNTIFS(D1004,"&gt;=36526",D1004,TODAY())+COUNTIFS(E1004,"&gt;=36526",E1004,TODAY())+COUNTIFS(F1004,"&gt;=36526",F1004,TODAY())&gt;0),1,0)</x:f>
        <x:v>0</x:v>
      </x:c>
      <x:c r="Q1004" t="n">
        <x:f>Q1003+IF(AND(A1004&lt;&gt;"",COUNTIFS(C1004,"&gt;"&amp;TODAY(),C1004,"&lt;="&amp;TODAY()+30)+COUNTIFS(D1004,"&gt;"&amp;TODAY(),D1004,"&lt;="&amp;TODAY()+30)+COUNTIFS(E1004,"&gt;"&amp;TODAY(),E1004,"&lt;="&amp;TODAY()+30)+COUNTIFS(F1004,"&gt;"&amp;TODAY(),F1004,"&lt;="&amp;TODAY()+30)&gt;0),1,0)</x:f>
        <x:v>0</x:v>
      </x:c>
      <x:c r="R1004" t="n">
        <x:f>R1003+IF(OR(LEFT(H1004,15)="Missing dates; ",LEFT(H1004,16)="Add N/A reason; ",H1004="Add dates",H1004="Add registration",H1004="Check date format"),1,0)</x:f>
        <x:v>0</x:v>
      </x:c>
      <x:c r="S1004" t="n">
        <x:f>S1003+IF(COUNTIFS(C1004:F1004,"Reviewed N/A")&gt;0,1,0)</x:f>
        <x:v>0</x:v>
      </x:c>
    </x:row>
    <x:row r="1005" ht="48" customHeight="1">
      <x:c r="A1005" s="52"/>
      <x:c r="B1005" s="52"/>
      <x:c r="C1005" s="53"/>
      <x:c r="D1005" s="53"/>
      <x:c r="E1005" s="53"/>
      <x:c r="F1005" s="53"/>
      <x:c r="G1005" s="52"/>
      <x:c r="H1005" s="21" t="str">
        <x:f>IF(COUNTA(A1005:G1005,I1005)=0,"",IF(A1005="","Add registration",IF(OR(COUNTA(C1005:F1005)&gt;COUNT(C1005:F1005)+COUNTIFS(C1005:F1005,"Reviewed N/A"),AND(COUNT(C1005:F1005)&gt;0,OR(MIN(C1005:F1005)&lt;36526,MAX(C1005:F1005)&gt;109574))),"Check date format",IF(AND(COUNTIFS(C1005:F1005,"Reviewed N/A")&gt;0,I1005=""),"Add N/A reason; ","")&amp;IF(COUNT(C1005:F1005)=0,IF(COUNTIFS(C1005:F1005,"Reviewed N/A")=4,"No applicable dates recorded","Add dates"),IF(COUNT(C1005:F1005)+COUNTIFS(C1005:F1005,"Reviewed N/A")&lt;4,"Missing dates; ","")&amp;IF(MIN(C1005:F1005)&lt;TODAY(),"Overdue: ",IF(MIN(C1005:F1005)=TODAY(),"Due today: ",IF(MIN(C1005:F1005)&lt;=TODAY()+30,"Due within 30 days: ","Next: ")))&amp;INDEX($C$8:$F$8,1,MATCH(MIN(C1005:F1005),C1005:F1005,0))&amp;" "&amp;TEXT(MIN(C1005:F1005),"dd mmm yyyy")))))</x:f>
      </x:c>
      <x:c r="I1005" s="52"/>
      <x:c r="J1005" t="str">
        <x:f>IF(AND(A1005&lt;&gt;"",COUNTIFS(C1005,"&gt;=36526",C1005,"&lt;"&amp;TODAY())+COUNTIFS(D1005,"&gt;=36526",D1005,"&lt;"&amp;TODAY())+COUNTIFS(E1005,"&gt;=36526",E1005,"&lt;"&amp;TODAY())+COUNTIFS(F1005,"&gt;=36526",F1005,"&lt;"&amp;TODAY())&gt;0),O1005,"")</x:f>
      </x:c>
      <x:c r="K1005" t="str">
        <x:f>IF(AND(A1005&lt;&gt;"",COUNTIFS(C1005,"&gt;=36526",C1005,TODAY())+COUNTIFS(D1005,"&gt;=36526",D1005,TODAY())+COUNTIFS(E1005,"&gt;=36526",E1005,TODAY())+COUNTIFS(F1005,"&gt;=36526",F1005,TODAY())&gt;0),P1005,"")</x:f>
      </x:c>
      <x:c r="L1005" t="str">
        <x:f>IF(AND(A1005&lt;&gt;"",COUNTIFS(C1005,"&gt;"&amp;TODAY(),C1005,"&lt;="&amp;TODAY()+30)+COUNTIFS(D1005,"&gt;"&amp;TODAY(),D1005,"&lt;="&amp;TODAY()+30)+COUNTIFS(E1005,"&gt;"&amp;TODAY(),E1005,"&lt;="&amp;TODAY()+30)+COUNTIFS(F1005,"&gt;"&amp;TODAY(),F1005,"&lt;="&amp;TODAY()+30)&gt;0),Q1005,"")</x:f>
      </x:c>
      <x:c r="M1005" t="str">
        <x:f>IF(OR(LEFT(H1005,15)="Missing dates; ",LEFT(H1005,16)="Add N/A reason; ",H1005="Add dates",H1005="Add registration",H1005="Check date format"),R1005,"")</x:f>
      </x:c>
      <x:c r="N1005" t="str">
        <x:f>IF(COUNTIFS(C1005:F1005,"Reviewed N/A")&gt;0,S1005,"")</x:f>
      </x:c>
      <x:c r="O1005" t="n">
        <x:f>O1004+IF(AND(A1005&lt;&gt;"",COUNTIFS(C1005,"&gt;=36526",C1005,"&lt;"&amp;TODAY())+COUNTIFS(D1005,"&gt;=36526",D1005,"&lt;"&amp;TODAY())+COUNTIFS(E1005,"&gt;=36526",E1005,"&lt;"&amp;TODAY())+COUNTIFS(F1005,"&gt;=36526",F1005,"&lt;"&amp;TODAY())&gt;0),1,0)</x:f>
        <x:v>0</x:v>
      </x:c>
      <x:c r="P1005" t="n">
        <x:f>P1004+IF(AND(A1005&lt;&gt;"",COUNTIFS(C1005,"&gt;=36526",C1005,TODAY())+COUNTIFS(D1005,"&gt;=36526",D1005,TODAY())+COUNTIFS(E1005,"&gt;=36526",E1005,TODAY())+COUNTIFS(F1005,"&gt;=36526",F1005,TODAY())&gt;0),1,0)</x:f>
        <x:v>0</x:v>
      </x:c>
      <x:c r="Q1005" t="n">
        <x:f>Q1004+IF(AND(A1005&lt;&gt;"",COUNTIFS(C1005,"&gt;"&amp;TODAY(),C1005,"&lt;="&amp;TODAY()+30)+COUNTIFS(D1005,"&gt;"&amp;TODAY(),D1005,"&lt;="&amp;TODAY()+30)+COUNTIFS(E1005,"&gt;"&amp;TODAY(),E1005,"&lt;="&amp;TODAY()+30)+COUNTIFS(F1005,"&gt;"&amp;TODAY(),F1005,"&lt;="&amp;TODAY()+30)&gt;0),1,0)</x:f>
        <x:v>0</x:v>
      </x:c>
      <x:c r="R1005" t="n">
        <x:f>R1004+IF(OR(LEFT(H1005,15)="Missing dates; ",LEFT(H1005,16)="Add N/A reason; ",H1005="Add dates",H1005="Add registration",H1005="Check date format"),1,0)</x:f>
        <x:v>0</x:v>
      </x:c>
      <x:c r="S1005" t="n">
        <x:f>S1004+IF(COUNTIFS(C1005:F1005,"Reviewed N/A")&gt;0,1,0)</x:f>
        <x:v>0</x:v>
      </x:c>
    </x:row>
    <x:row r="1006" ht="48" customHeight="1">
      <x:c r="A1006" s="52"/>
      <x:c r="B1006" s="52"/>
      <x:c r="C1006" s="53"/>
      <x:c r="D1006" s="53"/>
      <x:c r="E1006" s="53"/>
      <x:c r="F1006" s="53"/>
      <x:c r="G1006" s="52"/>
      <x:c r="H1006" s="21" t="str">
        <x:f>IF(COUNTA(A1006:G1006,I1006)=0,"",IF(A1006="","Add registration",IF(OR(COUNTA(C1006:F1006)&gt;COUNT(C1006:F1006)+COUNTIFS(C1006:F1006,"Reviewed N/A"),AND(COUNT(C1006:F1006)&gt;0,OR(MIN(C1006:F1006)&lt;36526,MAX(C1006:F1006)&gt;109574))),"Check date format",IF(AND(COUNTIFS(C1006:F1006,"Reviewed N/A")&gt;0,I1006=""),"Add N/A reason; ","")&amp;IF(COUNT(C1006:F1006)=0,IF(COUNTIFS(C1006:F1006,"Reviewed N/A")=4,"No applicable dates recorded","Add dates"),IF(COUNT(C1006:F1006)+COUNTIFS(C1006:F1006,"Reviewed N/A")&lt;4,"Missing dates; ","")&amp;IF(MIN(C1006:F1006)&lt;TODAY(),"Overdue: ",IF(MIN(C1006:F1006)=TODAY(),"Due today: ",IF(MIN(C1006:F1006)&lt;=TODAY()+30,"Due within 30 days: ","Next: ")))&amp;INDEX($C$8:$F$8,1,MATCH(MIN(C1006:F1006),C1006:F1006,0))&amp;" "&amp;TEXT(MIN(C1006:F1006),"dd mmm yyyy")))))</x:f>
      </x:c>
      <x:c r="I1006" s="52"/>
      <x:c r="J1006" t="str">
        <x:f>IF(AND(A1006&lt;&gt;"",COUNTIFS(C1006,"&gt;=36526",C1006,"&lt;"&amp;TODAY())+COUNTIFS(D1006,"&gt;=36526",D1006,"&lt;"&amp;TODAY())+COUNTIFS(E1006,"&gt;=36526",E1006,"&lt;"&amp;TODAY())+COUNTIFS(F1006,"&gt;=36526",F1006,"&lt;"&amp;TODAY())&gt;0),O1006,"")</x:f>
      </x:c>
      <x:c r="K1006" t="str">
        <x:f>IF(AND(A1006&lt;&gt;"",COUNTIFS(C1006,"&gt;=36526",C1006,TODAY())+COUNTIFS(D1006,"&gt;=36526",D1006,TODAY())+COUNTIFS(E1006,"&gt;=36526",E1006,TODAY())+COUNTIFS(F1006,"&gt;=36526",F1006,TODAY())&gt;0),P1006,"")</x:f>
      </x:c>
      <x:c r="L1006" t="str">
        <x:f>IF(AND(A1006&lt;&gt;"",COUNTIFS(C1006,"&gt;"&amp;TODAY(),C1006,"&lt;="&amp;TODAY()+30)+COUNTIFS(D1006,"&gt;"&amp;TODAY(),D1006,"&lt;="&amp;TODAY()+30)+COUNTIFS(E1006,"&gt;"&amp;TODAY(),E1006,"&lt;="&amp;TODAY()+30)+COUNTIFS(F1006,"&gt;"&amp;TODAY(),F1006,"&lt;="&amp;TODAY()+30)&gt;0),Q1006,"")</x:f>
      </x:c>
      <x:c r="M1006" t="str">
        <x:f>IF(OR(LEFT(H1006,15)="Missing dates; ",LEFT(H1006,16)="Add N/A reason; ",H1006="Add dates",H1006="Add registration",H1006="Check date format"),R1006,"")</x:f>
      </x:c>
      <x:c r="N1006" t="str">
        <x:f>IF(COUNTIFS(C1006:F1006,"Reviewed N/A")&gt;0,S1006,"")</x:f>
      </x:c>
      <x:c r="O1006" t="n">
        <x:f>O1005+IF(AND(A1006&lt;&gt;"",COUNTIFS(C1006,"&gt;=36526",C1006,"&lt;"&amp;TODAY())+COUNTIFS(D1006,"&gt;=36526",D1006,"&lt;"&amp;TODAY())+COUNTIFS(E1006,"&gt;=36526",E1006,"&lt;"&amp;TODAY())+COUNTIFS(F1006,"&gt;=36526",F1006,"&lt;"&amp;TODAY())&gt;0),1,0)</x:f>
        <x:v>0</x:v>
      </x:c>
      <x:c r="P1006" t="n">
        <x:f>P1005+IF(AND(A1006&lt;&gt;"",COUNTIFS(C1006,"&gt;=36526",C1006,TODAY())+COUNTIFS(D1006,"&gt;=36526",D1006,TODAY())+COUNTIFS(E1006,"&gt;=36526",E1006,TODAY())+COUNTIFS(F1006,"&gt;=36526",F1006,TODAY())&gt;0),1,0)</x:f>
        <x:v>0</x:v>
      </x:c>
      <x:c r="Q1006" t="n">
        <x:f>Q1005+IF(AND(A1006&lt;&gt;"",COUNTIFS(C1006,"&gt;"&amp;TODAY(),C1006,"&lt;="&amp;TODAY()+30)+COUNTIFS(D1006,"&gt;"&amp;TODAY(),D1006,"&lt;="&amp;TODAY()+30)+COUNTIFS(E1006,"&gt;"&amp;TODAY(),E1006,"&lt;="&amp;TODAY()+30)+COUNTIFS(F1006,"&gt;"&amp;TODAY(),F1006,"&lt;="&amp;TODAY()+30)&gt;0),1,0)</x:f>
        <x:v>0</x:v>
      </x:c>
      <x:c r="R1006" t="n">
        <x:f>R1005+IF(OR(LEFT(H1006,15)="Missing dates; ",LEFT(H1006,16)="Add N/A reason; ",H1006="Add dates",H1006="Add registration",H1006="Check date format"),1,0)</x:f>
        <x:v>0</x:v>
      </x:c>
      <x:c r="S1006" t="n">
        <x:f>S1005+IF(COUNTIFS(C1006:F1006,"Reviewed N/A")&gt;0,1,0)</x:f>
        <x:v>0</x:v>
      </x:c>
    </x:row>
    <x:row r="1007" ht="48" customHeight="1">
      <x:c r="A1007" s="52"/>
      <x:c r="B1007" s="52"/>
      <x:c r="C1007" s="53"/>
      <x:c r="D1007" s="53"/>
      <x:c r="E1007" s="53"/>
      <x:c r="F1007" s="53"/>
      <x:c r="G1007" s="52"/>
      <x:c r="H1007" s="21" t="str">
        <x:f>IF(COUNTA(A1007:G1007,I1007)=0,"",IF(A1007="","Add registration",IF(OR(COUNTA(C1007:F1007)&gt;COUNT(C1007:F1007)+COUNTIFS(C1007:F1007,"Reviewed N/A"),AND(COUNT(C1007:F1007)&gt;0,OR(MIN(C1007:F1007)&lt;36526,MAX(C1007:F1007)&gt;109574))),"Check date format",IF(AND(COUNTIFS(C1007:F1007,"Reviewed N/A")&gt;0,I1007=""),"Add N/A reason; ","")&amp;IF(COUNT(C1007:F1007)=0,IF(COUNTIFS(C1007:F1007,"Reviewed N/A")=4,"No applicable dates recorded","Add dates"),IF(COUNT(C1007:F1007)+COUNTIFS(C1007:F1007,"Reviewed N/A")&lt;4,"Missing dates; ","")&amp;IF(MIN(C1007:F1007)&lt;TODAY(),"Overdue: ",IF(MIN(C1007:F1007)=TODAY(),"Due today: ",IF(MIN(C1007:F1007)&lt;=TODAY()+30,"Due within 30 days: ","Next: ")))&amp;INDEX($C$8:$F$8,1,MATCH(MIN(C1007:F1007),C1007:F1007,0))&amp;" "&amp;TEXT(MIN(C1007:F1007),"dd mmm yyyy")))))</x:f>
      </x:c>
      <x:c r="I1007" s="52"/>
      <x:c r="J1007" t="str">
        <x:f>IF(AND(A1007&lt;&gt;"",COUNTIFS(C1007,"&gt;=36526",C1007,"&lt;"&amp;TODAY())+COUNTIFS(D1007,"&gt;=36526",D1007,"&lt;"&amp;TODAY())+COUNTIFS(E1007,"&gt;=36526",E1007,"&lt;"&amp;TODAY())+COUNTIFS(F1007,"&gt;=36526",F1007,"&lt;"&amp;TODAY())&gt;0),O1007,"")</x:f>
      </x:c>
      <x:c r="K1007" t="str">
        <x:f>IF(AND(A1007&lt;&gt;"",COUNTIFS(C1007,"&gt;=36526",C1007,TODAY())+COUNTIFS(D1007,"&gt;=36526",D1007,TODAY())+COUNTIFS(E1007,"&gt;=36526",E1007,TODAY())+COUNTIFS(F1007,"&gt;=36526",F1007,TODAY())&gt;0),P1007,"")</x:f>
      </x:c>
      <x:c r="L1007" t="str">
        <x:f>IF(AND(A1007&lt;&gt;"",COUNTIFS(C1007,"&gt;"&amp;TODAY(),C1007,"&lt;="&amp;TODAY()+30)+COUNTIFS(D1007,"&gt;"&amp;TODAY(),D1007,"&lt;="&amp;TODAY()+30)+COUNTIFS(E1007,"&gt;"&amp;TODAY(),E1007,"&lt;="&amp;TODAY()+30)+COUNTIFS(F1007,"&gt;"&amp;TODAY(),F1007,"&lt;="&amp;TODAY()+30)&gt;0),Q1007,"")</x:f>
      </x:c>
      <x:c r="M1007" t="str">
        <x:f>IF(OR(LEFT(H1007,15)="Missing dates; ",LEFT(H1007,16)="Add N/A reason; ",H1007="Add dates",H1007="Add registration",H1007="Check date format"),R1007,"")</x:f>
      </x:c>
      <x:c r="N1007" t="str">
        <x:f>IF(COUNTIFS(C1007:F1007,"Reviewed N/A")&gt;0,S1007,"")</x:f>
      </x:c>
      <x:c r="O1007" t="n">
        <x:f>O1006+IF(AND(A1007&lt;&gt;"",COUNTIFS(C1007,"&gt;=36526",C1007,"&lt;"&amp;TODAY())+COUNTIFS(D1007,"&gt;=36526",D1007,"&lt;"&amp;TODAY())+COUNTIFS(E1007,"&gt;=36526",E1007,"&lt;"&amp;TODAY())+COUNTIFS(F1007,"&gt;=36526",F1007,"&lt;"&amp;TODAY())&gt;0),1,0)</x:f>
        <x:v>0</x:v>
      </x:c>
      <x:c r="P1007" t="n">
        <x:f>P1006+IF(AND(A1007&lt;&gt;"",COUNTIFS(C1007,"&gt;=36526",C1007,TODAY())+COUNTIFS(D1007,"&gt;=36526",D1007,TODAY())+COUNTIFS(E1007,"&gt;=36526",E1007,TODAY())+COUNTIFS(F1007,"&gt;=36526",F1007,TODAY())&gt;0),1,0)</x:f>
        <x:v>0</x:v>
      </x:c>
      <x:c r="Q1007" t="n">
        <x:f>Q1006+IF(AND(A1007&lt;&gt;"",COUNTIFS(C1007,"&gt;"&amp;TODAY(),C1007,"&lt;="&amp;TODAY()+30)+COUNTIFS(D1007,"&gt;"&amp;TODAY(),D1007,"&lt;="&amp;TODAY()+30)+COUNTIFS(E1007,"&gt;"&amp;TODAY(),E1007,"&lt;="&amp;TODAY()+30)+COUNTIFS(F1007,"&gt;"&amp;TODAY(),F1007,"&lt;="&amp;TODAY()+30)&gt;0),1,0)</x:f>
        <x:v>0</x:v>
      </x:c>
      <x:c r="R1007" t="n">
        <x:f>R1006+IF(OR(LEFT(H1007,15)="Missing dates; ",LEFT(H1007,16)="Add N/A reason; ",H1007="Add dates",H1007="Add registration",H1007="Check date format"),1,0)</x:f>
        <x:v>0</x:v>
      </x:c>
      <x:c r="S1007" t="n">
        <x:f>S1006+IF(COUNTIFS(C1007:F1007,"Reviewed N/A")&gt;0,1,0)</x:f>
        <x:v>0</x:v>
      </x:c>
    </x:row>
    <x:row r="1008" ht="48" customHeight="1">
      <x:c r="A1008" s="52"/>
      <x:c r="B1008" s="52"/>
      <x:c r="C1008" s="53"/>
      <x:c r="D1008" s="53"/>
      <x:c r="E1008" s="53"/>
      <x:c r="F1008" s="53"/>
      <x:c r="G1008" s="52"/>
      <x:c r="H1008" s="21" t="str">
        <x:f>IF(COUNTA(A1008:G1008,I1008)=0,"",IF(A1008="","Add registration",IF(OR(COUNTA(C1008:F1008)&gt;COUNT(C1008:F1008)+COUNTIFS(C1008:F1008,"Reviewed N/A"),AND(COUNT(C1008:F1008)&gt;0,OR(MIN(C1008:F1008)&lt;36526,MAX(C1008:F1008)&gt;109574))),"Check date format",IF(AND(COUNTIFS(C1008:F1008,"Reviewed N/A")&gt;0,I1008=""),"Add N/A reason; ","")&amp;IF(COUNT(C1008:F1008)=0,IF(COUNTIFS(C1008:F1008,"Reviewed N/A")=4,"No applicable dates recorded","Add dates"),IF(COUNT(C1008:F1008)+COUNTIFS(C1008:F1008,"Reviewed N/A")&lt;4,"Missing dates; ","")&amp;IF(MIN(C1008:F1008)&lt;TODAY(),"Overdue: ",IF(MIN(C1008:F1008)=TODAY(),"Due today: ",IF(MIN(C1008:F1008)&lt;=TODAY()+30,"Due within 30 days: ","Next: ")))&amp;INDEX($C$8:$F$8,1,MATCH(MIN(C1008:F1008),C1008:F1008,0))&amp;" "&amp;TEXT(MIN(C1008:F1008),"dd mmm yyyy")))))</x:f>
      </x:c>
      <x:c r="I1008" s="52"/>
      <x:c r="J1008" t="str">
        <x:f>IF(AND(A1008&lt;&gt;"",COUNTIFS(C1008,"&gt;=36526",C1008,"&lt;"&amp;TODAY())+COUNTIFS(D1008,"&gt;=36526",D1008,"&lt;"&amp;TODAY())+COUNTIFS(E1008,"&gt;=36526",E1008,"&lt;"&amp;TODAY())+COUNTIFS(F1008,"&gt;=36526",F1008,"&lt;"&amp;TODAY())&gt;0),O1008,"")</x:f>
      </x:c>
      <x:c r="K1008" t="str">
        <x:f>IF(AND(A1008&lt;&gt;"",COUNTIFS(C1008,"&gt;=36526",C1008,TODAY())+COUNTIFS(D1008,"&gt;=36526",D1008,TODAY())+COUNTIFS(E1008,"&gt;=36526",E1008,TODAY())+COUNTIFS(F1008,"&gt;=36526",F1008,TODAY())&gt;0),P1008,"")</x:f>
      </x:c>
      <x:c r="L1008" t="str">
        <x:f>IF(AND(A1008&lt;&gt;"",COUNTIFS(C1008,"&gt;"&amp;TODAY(),C1008,"&lt;="&amp;TODAY()+30)+COUNTIFS(D1008,"&gt;"&amp;TODAY(),D1008,"&lt;="&amp;TODAY()+30)+COUNTIFS(E1008,"&gt;"&amp;TODAY(),E1008,"&lt;="&amp;TODAY()+30)+COUNTIFS(F1008,"&gt;"&amp;TODAY(),F1008,"&lt;="&amp;TODAY()+30)&gt;0),Q1008,"")</x:f>
      </x:c>
      <x:c r="M1008" t="str">
        <x:f>IF(OR(LEFT(H1008,15)="Missing dates; ",LEFT(H1008,16)="Add N/A reason; ",H1008="Add dates",H1008="Add registration",H1008="Check date format"),R1008,"")</x:f>
      </x:c>
      <x:c r="N1008" t="str">
        <x:f>IF(COUNTIFS(C1008:F1008,"Reviewed N/A")&gt;0,S1008,"")</x:f>
      </x:c>
      <x:c r="O1008" t="n">
        <x:f>O1007+IF(AND(A1008&lt;&gt;"",COUNTIFS(C1008,"&gt;=36526",C1008,"&lt;"&amp;TODAY())+COUNTIFS(D1008,"&gt;=36526",D1008,"&lt;"&amp;TODAY())+COUNTIFS(E1008,"&gt;=36526",E1008,"&lt;"&amp;TODAY())+COUNTIFS(F1008,"&gt;=36526",F1008,"&lt;"&amp;TODAY())&gt;0),1,0)</x:f>
        <x:v>0</x:v>
      </x:c>
      <x:c r="P1008" t="n">
        <x:f>P1007+IF(AND(A1008&lt;&gt;"",COUNTIFS(C1008,"&gt;=36526",C1008,TODAY())+COUNTIFS(D1008,"&gt;=36526",D1008,TODAY())+COUNTIFS(E1008,"&gt;=36526",E1008,TODAY())+COUNTIFS(F1008,"&gt;=36526",F1008,TODAY())&gt;0),1,0)</x:f>
        <x:v>0</x:v>
      </x:c>
      <x:c r="Q1008" t="n">
        <x:f>Q1007+IF(AND(A1008&lt;&gt;"",COUNTIFS(C1008,"&gt;"&amp;TODAY(),C1008,"&lt;="&amp;TODAY()+30)+COUNTIFS(D1008,"&gt;"&amp;TODAY(),D1008,"&lt;="&amp;TODAY()+30)+COUNTIFS(E1008,"&gt;"&amp;TODAY(),E1008,"&lt;="&amp;TODAY()+30)+COUNTIFS(F1008,"&gt;"&amp;TODAY(),F1008,"&lt;="&amp;TODAY()+30)&gt;0),1,0)</x:f>
        <x:v>0</x:v>
      </x:c>
      <x:c r="R1008" t="n">
        <x:f>R1007+IF(OR(LEFT(H1008,15)="Missing dates; ",LEFT(H1008,16)="Add N/A reason; ",H1008="Add dates",H1008="Add registration",H1008="Check date format"),1,0)</x:f>
        <x:v>0</x:v>
      </x:c>
      <x:c r="S1008" t="n">
        <x:f>S1007+IF(COUNTIFS(C1008:F1008,"Reviewed N/A")&gt;0,1,0)</x:f>
        <x:v>0</x:v>
      </x:c>
    </x:row>
  </x:sheetData>
  <x:sheetProtection sheet="1" objects="1" scenarios="1" autoFilter="0" selectLockedCells="0" selectUnlockedCells="0"/>
  <x:mergeCells>
    <x:mergeCell ref="B1:I2"/>
    <x:mergeCell ref="A3:I3"/>
    <x:mergeCell ref="A4:I4"/>
    <x:mergeCell ref="A5:I5"/>
    <x:mergeCell ref="A6:I6"/>
  </x:mergeCells>
  <x:conditionalFormatting sqref="C9:F1008">
    <x:cfRule type="expression" dxfId="0" priority="1">
      <x:formula>AND(ISNUMBER(C9),C9&lt;TODAY())</x:formula>
    </x:cfRule>
    <x:cfRule type="expression" dxfId="1" priority="2">
      <x:formula>AND(ISNUMBER(C9),C9&gt;=TODAY(),C9&lt;=TODAY()+30)</x:formula>
    </x:cfRule>
  </x:conditionalFormatting>
  <x:conditionalFormatting sqref="H9:H1008">
    <x:cfRule type="expression" dxfId="2" priority="3">
      <x:formula>AND(COUNT($C9:$F9)&gt;0,MIN($C9:$F9)&lt;TODAY())</x:formula>
    </x:cfRule>
    <x:cfRule type="expression" dxfId="3" priority="4">
      <x:formula>AND($A9&lt;&gt;"",OR(COUNT($C9:$F9)+COUNTIFS($C9:$F9,"Reviewed N/A")&lt;4,AND(COUNT($C9:$F9)&gt;0,MIN($C9:$F9)&gt;=TODAY(),MIN($C9:$F9)&lt;=TODAY()+30),AND(COUNTIFS($C9:$F9,"Reviewed N/A")&gt;0,$I9="")))</x:formula>
    </x:cfRule>
  </x:conditionalFormatting>
  <x:pageMargins left="0.7" right="0.7" top="0.75" bottom="0.75" header="0.3" footer="0.3"/>
  <x:dataValidations count="1">
    <x:dataValidation type="custom" allowBlank="1" showErrorMessage="1" errorStyle="stop" errorTitle="Enter a date or Reviewed N/A" error="Use a real date, or Reviewed N/A with a reason in Notes." sqref="C9:F1008">
      <x:formula1>OR(C9="",C9="Reviewed N/A",AND(ISNUMBER(C9),C9&gt;=36526,C9&lt;=109574,C9=INT(C9)))</x:formula1>
    </x:dataValidation>
  </x:dataValidations>
  <x:drawing ns1:id="R8b7ba6bf28824130"/>
  <x:tableParts count="1">
    <x:tablePart ns1:id="Rb1e3381eeaa5481c"/>
  </x:tableParts>
</x:worksheet>
</file>

<file path=xl/worksheets/sheet3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.670000076293945" hidden="0" customWidth="1"/>
    <x:col min="2" max="2" width="20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5.5600004196167" hidden="0" customWidth="1"/>
    <x:col min="7" max="7" width="18.329999923706055" hidden="0" customWidth="1"/>
    <x:col min="8" max="8" width="28.889999389648438" hidden="0" customWidth="1"/>
    <x:col min="9" max="9" hidden="1" width="14" customWidth="1"/>
  </x:cols>
  <x:sheetData>
    <x:row r="1" ht="40" customHeight="1">
      <x:c r="A1" s="3"/>
      <x:c r="B1" s="6" t="str">
        <x:v>Overdue</x:v>
      </x:c>
      <x:c r="C1" s="6" t="str">
        <x:v>Overdue</x:v>
      </x:c>
      <x:c r="D1" s="6" t="str">
        <x:v>Overdue</x:v>
      </x:c>
      <x:c r="E1" s="6" t="str">
        <x:v>Overdue</x:v>
      </x:c>
      <x:c r="F1" s="6" t="str">
        <x:v>Overdue</x:v>
      </x:c>
      <x:c r="G1" s="6" t="str">
        <x:v>Overdue</x:v>
      </x:c>
      <x:c r="H1" s="6" t="str">
        <x:v>Overdue</x:v>
      </x:c>
    </x:row>
    <x:row r="2" ht="40" customHeight="1">
      <x:c r="A2" s="3"/>
      <x:c r="B2" s="6" t="str">
        <x:v>Overdue</x:v>
      </x:c>
      <x:c r="C2" s="6" t="str">
        <x:v>Overdue</x:v>
      </x:c>
      <x:c r="D2" s="6" t="str">
        <x:v>Overdue</x:v>
      </x:c>
      <x:c r="E2" s="6" t="str">
        <x:v>Overdue</x:v>
      </x:c>
      <x:c r="F2" s="6" t="str">
        <x:v>Overdue</x:v>
      </x:c>
      <x:c r="G2" s="6" t="str">
        <x:v>Overdue</x:v>
      </x:c>
      <x:c r="H2" s="6" t="str">
        <x:v>Overdue</x:v>
      </x:c>
    </x:row>
    <x:row r="3" ht="36" customHeight="1">
      <x:c r="A3" s="2"/>
      <x:c r="B3" s="2"/>
      <x:c r="C3" s="2"/>
      <x:c r="D3" s="2"/>
      <x:c r="E3" s="2"/>
      <x:c r="F3" s="2"/>
      <x:c r="G3" s="2"/>
      <x:c r="H3" s="2"/>
    </x:row>
    <x:row r="4" ht="36" customHeight="1">
      <x:c r="A4" s="26" t="str">
        <x:v>Matching vehicles or rows</x:v>
      </x:c>
      <x:c r="B4" s="26" t="str">
        <x:v>Matching vehicles or rows</x:v>
      </x:c>
      <x:c r="C4" s="26" t="str">
        <x:v>Matching vehicles or rows</x:v>
      </x:c>
      <x:c r="D4" s="26" t="str">
        <x:v>Matching vehicles or rows</x:v>
      </x:c>
      <x:c r="E4" s="26" t="str">
        <x:v>Matching vehicles or rows</x:v>
      </x:c>
      <x:c r="F4" s="26" t="str">
        <x:v>Matching vehicles or rows</x:v>
      </x:c>
      <x:c r="G4" s="26" t="str">
        <x:v>Matching vehicles or rows</x:v>
      </x:c>
      <x:c r="H4" s="48" t="n">
        <x:f>COUNT('Fleet dates'!$J$9:$J$1008)</x:f>
        <x:v>0</x:v>
      </x:c>
    </x:row>
    <x:row r="5" ht="36" customHeight="1">
      <x:c r="A5" s="9" t="str">
        <x:v>Read-only list. Dates update when the workbook recalculates. Edit records on Fleet dates.</x:v>
      </x:c>
      <x:c r="B5" s="9" t="str">
        <x:v>Read-only list. Dates update when the workbook recalculates. Edit records on Fleet dates.</x:v>
      </x:c>
      <x:c r="C5" s="9" t="str">
        <x:v>Read-only list. Dates update when the workbook recalculates. Edit records on Fleet dates.</x:v>
      </x:c>
      <x:c r="D5" s="9" t="str">
        <x:v>Read-only list. Dates update when the workbook recalculates. Edit records on Fleet dates.</x:v>
      </x:c>
      <x:c r="E5" s="9" t="str">
        <x:v>Read-only list. Dates update when the workbook recalculates. Edit records on Fleet dates.</x:v>
      </x:c>
      <x:c r="F5" s="9" t="str">
        <x:v>Read-only list. Dates update when the workbook recalculates. Edit records on Fleet dates.</x:v>
      </x:c>
      <x:c r="G5" s="9" t="str">
        <x:v>Read-only list. Dates update when the workbook recalculates. Edit records on Fleet dates.</x:v>
      </x:c>
      <x:c r="H5" s="9" t="str">
        <x:v>Read-only list. Dates update when the workbook recalculates. Edit records on Fleet dates.</x:v>
      </x:c>
    </x:row>
    <x:row r="6" ht="36" customHeight="1">
      <x:c r="A6" s="9" t="str">
        <x:v>Back to Summary</x:v>
      </x:c>
      <x:c r="B6" s="9" t="str">
        <x:v>Back to Summary</x:v>
      </x:c>
      <x:c r="C6" s="9" t="str">
        <x:v>Back to Summary</x:v>
      </x:c>
      <x:c r="D6" s="9" t="str">
        <x:v>Back to Summary</x:v>
      </x:c>
      <x:c r="E6" s="9" t="str">
        <x:v>Back to Summary</x:v>
      </x:c>
      <x:c r="F6" s="9" t="str">
        <x:v>Back to Summary</x:v>
      </x:c>
      <x:c r="G6" s="9" t="str">
        <x:v>Back to Summary</x:v>
      </x:c>
      <x:c r="H6" s="9" t="str">
        <x:v>Back to Summary</x:v>
      </x:c>
    </x:row>
    <x:row r="7" ht="36" customHeight="1">
      <x:c r="A7" s="2"/>
      <x:c r="B7" s="2"/>
      <x:c r="C7" s="2"/>
      <x:c r="D7" s="2"/>
      <x:c r="E7" s="2"/>
      <x:c r="F7" s="2"/>
      <x:c r="G7" s="2"/>
      <x:c r="H7" s="2"/>
    </x:row>
    <x:row r="8" ht="48" customHeight="1">
      <x:c r="A8" s="49" t="str">
        <x:v>Vehicle registration</x:v>
      </x:c>
      <x:c r="B8" s="49" t="str">
        <x:v>Vehicle label</x:v>
      </x:c>
      <x:c r="C8" s="49" t="str">
        <x:v>MOT due</x:v>
      </x:c>
      <x:c r="D8" s="49" t="str">
        <x:v>Tax due</x:v>
      </x:c>
      <x:c r="E8" s="49" t="str">
        <x:v>Insurance due</x:v>
      </x:c>
      <x:c r="F8" s="49" t="str">
        <x:v>Next service due</x:v>
      </x:c>
      <x:c r="G8" s="49" t="str">
        <x:v>Responsible person</x:v>
      </x:c>
      <x:c r="H8" s="49" t="str">
        <x:v>Notes / exemptions</x:v>
      </x:c>
    </x:row>
    <x:row r="9" ht="36" customHeight="1">
      <x:c r="A9" s="50" t="str">
        <x:f>IF(1&gt;$H$4,"",IF(INDEX('Fleet dates'!$A$9:$A$1008,$I9-8)="","",INDEX('Fleet dates'!$A$9:$A$1008,$I9-8)))</x:f>
      </x:c>
      <x:c r="B9" s="50" t="str">
        <x:f>IF(1&gt;$H$4,"",IF(INDEX('Fleet dates'!$B$9:$B$1008,$I9-8)="","",INDEX('Fleet dates'!$B$9:$B$1008,$I9-8)))</x:f>
      </x:c>
      <x:c r="C9" s="51" t="str">
        <x:f>IF(1&gt;$H$4,"",IF(INDEX('Fleet dates'!$C$9:$C$1008,$I9-8)="","",INDEX('Fleet dates'!$C$9:$C$1008,$I9-8)))</x:f>
      </x:c>
      <x:c r="D9" s="51" t="str">
        <x:f>IF(1&gt;$H$4,"",IF(INDEX('Fleet dates'!$D$9:$D$1008,$I9-8)="","",INDEX('Fleet dates'!$D$9:$D$1008,$I9-8)))</x:f>
      </x:c>
      <x:c r="E9" s="51" t="str">
        <x:f>IF(1&gt;$H$4,"",IF(INDEX('Fleet dates'!$E$9:$E$1008,$I9-8)="","",INDEX('Fleet dates'!$E$9:$E$1008,$I9-8)))</x:f>
      </x:c>
      <x:c r="F9" s="51" t="str">
        <x:f>IF(1&gt;$H$4,"",IF(INDEX('Fleet dates'!$F$9:$F$1008,$I9-8)="","",INDEX('Fleet dates'!$F$9:$F$1008,$I9-8)))</x:f>
      </x:c>
      <x:c r="G9" s="50" t="str">
        <x:f>IF(1&gt;$H$4,"",IF(INDEX('Fleet dates'!$G$9:$G$1008,$I9-8)="","",INDEX('Fleet dates'!$G$9:$G$1008,$I9-8)))</x:f>
      </x:c>
      <x:c r="H9" s="50" t="str">
        <x:f>IF(1&gt;$H$4,"",IF(INDEX('Fleet dates'!$I$9:$I$1008,$I9-8)="","",INDEX('Fleet dates'!$I$9:$I$1008,$I9-8)))</x:f>
      </x:c>
      <x:c r="I9" t="str">
        <x:f>IF(1&gt;$H$4,"",MATCH(1,'Fleet dates'!$J$9:$J$1008,0)+8)</x:f>
      </x:c>
    </x:row>
    <x:row r="10" ht="36" customHeight="1">
      <x:c r="A10" s="50" t="str">
        <x:f>IF(2&gt;$H$4,"",IF(INDEX('Fleet dates'!$A$9:$A$1008,$I10-8)="","",INDEX('Fleet dates'!$A$9:$A$1008,$I10-8)))</x:f>
      </x:c>
      <x:c r="B10" s="50" t="str">
        <x:f>IF(2&gt;$H$4,"",IF(INDEX('Fleet dates'!$B$9:$B$1008,$I10-8)="","",INDEX('Fleet dates'!$B$9:$B$1008,$I10-8)))</x:f>
      </x:c>
      <x:c r="C10" s="51" t="str">
        <x:f>IF(2&gt;$H$4,"",IF(INDEX('Fleet dates'!$C$9:$C$1008,$I10-8)="","",INDEX('Fleet dates'!$C$9:$C$1008,$I10-8)))</x:f>
      </x:c>
      <x:c r="D10" s="51" t="str">
        <x:f>IF(2&gt;$H$4,"",IF(INDEX('Fleet dates'!$D$9:$D$1008,$I10-8)="","",INDEX('Fleet dates'!$D$9:$D$1008,$I10-8)))</x:f>
      </x:c>
      <x:c r="E10" s="51" t="str">
        <x:f>IF(2&gt;$H$4,"",IF(INDEX('Fleet dates'!$E$9:$E$1008,$I10-8)="","",INDEX('Fleet dates'!$E$9:$E$1008,$I10-8)))</x:f>
      </x:c>
      <x:c r="F10" s="51" t="str">
        <x:f>IF(2&gt;$H$4,"",IF(INDEX('Fleet dates'!$F$9:$F$1008,$I10-8)="","",INDEX('Fleet dates'!$F$9:$F$1008,$I10-8)))</x:f>
      </x:c>
      <x:c r="G10" s="50" t="str">
        <x:f>IF(2&gt;$H$4,"",IF(INDEX('Fleet dates'!$G$9:$G$1008,$I10-8)="","",INDEX('Fleet dates'!$G$9:$G$1008,$I10-8)))</x:f>
      </x:c>
      <x:c r="H10" s="50" t="str">
        <x:f>IF(2&gt;$H$4,"",IF(INDEX('Fleet dates'!$I$9:$I$1008,$I10-8)="","",INDEX('Fleet dates'!$I$9:$I$1008,$I10-8)))</x:f>
      </x:c>
      <x:c r="I10" t="str">
        <x:f>IF(2&gt;$H$4,"",MATCH(2,'Fleet dates'!$J$9:$J$1008,0)+8)</x:f>
      </x:c>
    </x:row>
    <x:row r="11" ht="36" customHeight="1">
      <x:c r="A11" s="50" t="str">
        <x:f>IF(3&gt;$H$4,"",IF(INDEX('Fleet dates'!$A$9:$A$1008,$I11-8)="","",INDEX('Fleet dates'!$A$9:$A$1008,$I11-8)))</x:f>
      </x:c>
      <x:c r="B11" s="50" t="str">
        <x:f>IF(3&gt;$H$4,"",IF(INDEX('Fleet dates'!$B$9:$B$1008,$I11-8)="","",INDEX('Fleet dates'!$B$9:$B$1008,$I11-8)))</x:f>
      </x:c>
      <x:c r="C11" s="51" t="str">
        <x:f>IF(3&gt;$H$4,"",IF(INDEX('Fleet dates'!$C$9:$C$1008,$I11-8)="","",INDEX('Fleet dates'!$C$9:$C$1008,$I11-8)))</x:f>
      </x:c>
      <x:c r="D11" s="51" t="str">
        <x:f>IF(3&gt;$H$4,"",IF(INDEX('Fleet dates'!$D$9:$D$1008,$I11-8)="","",INDEX('Fleet dates'!$D$9:$D$1008,$I11-8)))</x:f>
      </x:c>
      <x:c r="E11" s="51" t="str">
        <x:f>IF(3&gt;$H$4,"",IF(INDEX('Fleet dates'!$E$9:$E$1008,$I11-8)="","",INDEX('Fleet dates'!$E$9:$E$1008,$I11-8)))</x:f>
      </x:c>
      <x:c r="F11" s="51" t="str">
        <x:f>IF(3&gt;$H$4,"",IF(INDEX('Fleet dates'!$F$9:$F$1008,$I11-8)="","",INDEX('Fleet dates'!$F$9:$F$1008,$I11-8)))</x:f>
      </x:c>
      <x:c r="G11" s="50" t="str">
        <x:f>IF(3&gt;$H$4,"",IF(INDEX('Fleet dates'!$G$9:$G$1008,$I11-8)="","",INDEX('Fleet dates'!$G$9:$G$1008,$I11-8)))</x:f>
      </x:c>
      <x:c r="H11" s="50" t="str">
        <x:f>IF(3&gt;$H$4,"",IF(INDEX('Fleet dates'!$I$9:$I$1008,$I11-8)="","",INDEX('Fleet dates'!$I$9:$I$1008,$I11-8)))</x:f>
      </x:c>
      <x:c r="I11" t="str">
        <x:f>IF(3&gt;$H$4,"",MATCH(3,'Fleet dates'!$J$9:$J$1008,0)+8)</x:f>
      </x:c>
    </x:row>
    <x:row r="12" ht="36" customHeight="1">
      <x:c r="A12" s="50" t="str">
        <x:f>IF(4&gt;$H$4,"",IF(INDEX('Fleet dates'!$A$9:$A$1008,$I12-8)="","",INDEX('Fleet dates'!$A$9:$A$1008,$I12-8)))</x:f>
      </x:c>
      <x:c r="B12" s="50" t="str">
        <x:f>IF(4&gt;$H$4,"",IF(INDEX('Fleet dates'!$B$9:$B$1008,$I12-8)="","",INDEX('Fleet dates'!$B$9:$B$1008,$I12-8)))</x:f>
      </x:c>
      <x:c r="C12" s="51" t="str">
        <x:f>IF(4&gt;$H$4,"",IF(INDEX('Fleet dates'!$C$9:$C$1008,$I12-8)="","",INDEX('Fleet dates'!$C$9:$C$1008,$I12-8)))</x:f>
      </x:c>
      <x:c r="D12" s="51" t="str">
        <x:f>IF(4&gt;$H$4,"",IF(INDEX('Fleet dates'!$D$9:$D$1008,$I12-8)="","",INDEX('Fleet dates'!$D$9:$D$1008,$I12-8)))</x:f>
      </x:c>
      <x:c r="E12" s="51" t="str">
        <x:f>IF(4&gt;$H$4,"",IF(INDEX('Fleet dates'!$E$9:$E$1008,$I12-8)="","",INDEX('Fleet dates'!$E$9:$E$1008,$I12-8)))</x:f>
      </x:c>
      <x:c r="F12" s="51" t="str">
        <x:f>IF(4&gt;$H$4,"",IF(INDEX('Fleet dates'!$F$9:$F$1008,$I12-8)="","",INDEX('Fleet dates'!$F$9:$F$1008,$I12-8)))</x:f>
      </x:c>
      <x:c r="G12" s="50" t="str">
        <x:f>IF(4&gt;$H$4,"",IF(INDEX('Fleet dates'!$G$9:$G$1008,$I12-8)="","",INDEX('Fleet dates'!$G$9:$G$1008,$I12-8)))</x:f>
      </x:c>
      <x:c r="H12" s="50" t="str">
        <x:f>IF(4&gt;$H$4,"",IF(INDEX('Fleet dates'!$I$9:$I$1008,$I12-8)="","",INDEX('Fleet dates'!$I$9:$I$1008,$I12-8)))</x:f>
      </x:c>
      <x:c r="I12" t="str">
        <x:f>IF(4&gt;$H$4,"",MATCH(4,'Fleet dates'!$J$9:$J$1008,0)+8)</x:f>
      </x:c>
    </x:row>
    <x:row r="13" ht="36" customHeight="1">
      <x:c r="A13" s="50" t="str">
        <x:f>IF(5&gt;$H$4,"",IF(INDEX('Fleet dates'!$A$9:$A$1008,$I13-8)="","",INDEX('Fleet dates'!$A$9:$A$1008,$I13-8)))</x:f>
      </x:c>
      <x:c r="B13" s="50" t="str">
        <x:f>IF(5&gt;$H$4,"",IF(INDEX('Fleet dates'!$B$9:$B$1008,$I13-8)="","",INDEX('Fleet dates'!$B$9:$B$1008,$I13-8)))</x:f>
      </x:c>
      <x:c r="C13" s="51" t="str">
        <x:f>IF(5&gt;$H$4,"",IF(INDEX('Fleet dates'!$C$9:$C$1008,$I13-8)="","",INDEX('Fleet dates'!$C$9:$C$1008,$I13-8)))</x:f>
      </x:c>
      <x:c r="D13" s="51" t="str">
        <x:f>IF(5&gt;$H$4,"",IF(INDEX('Fleet dates'!$D$9:$D$1008,$I13-8)="","",INDEX('Fleet dates'!$D$9:$D$1008,$I13-8)))</x:f>
      </x:c>
      <x:c r="E13" s="51" t="str">
        <x:f>IF(5&gt;$H$4,"",IF(INDEX('Fleet dates'!$E$9:$E$1008,$I13-8)="","",INDEX('Fleet dates'!$E$9:$E$1008,$I13-8)))</x:f>
      </x:c>
      <x:c r="F13" s="51" t="str">
        <x:f>IF(5&gt;$H$4,"",IF(INDEX('Fleet dates'!$F$9:$F$1008,$I13-8)="","",INDEX('Fleet dates'!$F$9:$F$1008,$I13-8)))</x:f>
      </x:c>
      <x:c r="G13" s="50" t="str">
        <x:f>IF(5&gt;$H$4,"",IF(INDEX('Fleet dates'!$G$9:$G$1008,$I13-8)="","",INDEX('Fleet dates'!$G$9:$G$1008,$I13-8)))</x:f>
      </x:c>
      <x:c r="H13" s="50" t="str">
        <x:f>IF(5&gt;$H$4,"",IF(INDEX('Fleet dates'!$I$9:$I$1008,$I13-8)="","",INDEX('Fleet dates'!$I$9:$I$1008,$I13-8)))</x:f>
      </x:c>
      <x:c r="I13" t="str">
        <x:f>IF(5&gt;$H$4,"",MATCH(5,'Fleet dates'!$J$9:$J$1008,0)+8)</x:f>
      </x:c>
    </x:row>
    <x:row r="14" ht="36" customHeight="1">
      <x:c r="A14" s="50" t="str">
        <x:f>IF(6&gt;$H$4,"",IF(INDEX('Fleet dates'!$A$9:$A$1008,$I14-8)="","",INDEX('Fleet dates'!$A$9:$A$1008,$I14-8)))</x:f>
      </x:c>
      <x:c r="B14" s="50" t="str">
        <x:f>IF(6&gt;$H$4,"",IF(INDEX('Fleet dates'!$B$9:$B$1008,$I14-8)="","",INDEX('Fleet dates'!$B$9:$B$1008,$I14-8)))</x:f>
      </x:c>
      <x:c r="C14" s="51" t="str">
        <x:f>IF(6&gt;$H$4,"",IF(INDEX('Fleet dates'!$C$9:$C$1008,$I14-8)="","",INDEX('Fleet dates'!$C$9:$C$1008,$I14-8)))</x:f>
      </x:c>
      <x:c r="D14" s="51" t="str">
        <x:f>IF(6&gt;$H$4,"",IF(INDEX('Fleet dates'!$D$9:$D$1008,$I14-8)="","",INDEX('Fleet dates'!$D$9:$D$1008,$I14-8)))</x:f>
      </x:c>
      <x:c r="E14" s="51" t="str">
        <x:f>IF(6&gt;$H$4,"",IF(INDEX('Fleet dates'!$E$9:$E$1008,$I14-8)="","",INDEX('Fleet dates'!$E$9:$E$1008,$I14-8)))</x:f>
      </x:c>
      <x:c r="F14" s="51" t="str">
        <x:f>IF(6&gt;$H$4,"",IF(INDEX('Fleet dates'!$F$9:$F$1008,$I14-8)="","",INDEX('Fleet dates'!$F$9:$F$1008,$I14-8)))</x:f>
      </x:c>
      <x:c r="G14" s="50" t="str">
        <x:f>IF(6&gt;$H$4,"",IF(INDEX('Fleet dates'!$G$9:$G$1008,$I14-8)="","",INDEX('Fleet dates'!$G$9:$G$1008,$I14-8)))</x:f>
      </x:c>
      <x:c r="H14" s="50" t="str">
        <x:f>IF(6&gt;$H$4,"",IF(INDEX('Fleet dates'!$I$9:$I$1008,$I14-8)="","",INDEX('Fleet dates'!$I$9:$I$1008,$I14-8)))</x:f>
      </x:c>
      <x:c r="I14" t="str">
        <x:f>IF(6&gt;$H$4,"",MATCH(6,'Fleet dates'!$J$9:$J$1008,0)+8)</x:f>
      </x:c>
    </x:row>
    <x:row r="15" ht="36" customHeight="1">
      <x:c r="A15" s="50" t="str">
        <x:f>IF(7&gt;$H$4,"",IF(INDEX('Fleet dates'!$A$9:$A$1008,$I15-8)="","",INDEX('Fleet dates'!$A$9:$A$1008,$I15-8)))</x:f>
      </x:c>
      <x:c r="B15" s="50" t="str">
        <x:f>IF(7&gt;$H$4,"",IF(INDEX('Fleet dates'!$B$9:$B$1008,$I15-8)="","",INDEX('Fleet dates'!$B$9:$B$1008,$I15-8)))</x:f>
      </x:c>
      <x:c r="C15" s="51" t="str">
        <x:f>IF(7&gt;$H$4,"",IF(INDEX('Fleet dates'!$C$9:$C$1008,$I15-8)="","",INDEX('Fleet dates'!$C$9:$C$1008,$I15-8)))</x:f>
      </x:c>
      <x:c r="D15" s="51" t="str">
        <x:f>IF(7&gt;$H$4,"",IF(INDEX('Fleet dates'!$D$9:$D$1008,$I15-8)="","",INDEX('Fleet dates'!$D$9:$D$1008,$I15-8)))</x:f>
      </x:c>
      <x:c r="E15" s="51" t="str">
        <x:f>IF(7&gt;$H$4,"",IF(INDEX('Fleet dates'!$E$9:$E$1008,$I15-8)="","",INDEX('Fleet dates'!$E$9:$E$1008,$I15-8)))</x:f>
      </x:c>
      <x:c r="F15" s="51" t="str">
        <x:f>IF(7&gt;$H$4,"",IF(INDEX('Fleet dates'!$F$9:$F$1008,$I15-8)="","",INDEX('Fleet dates'!$F$9:$F$1008,$I15-8)))</x:f>
      </x:c>
      <x:c r="G15" s="50" t="str">
        <x:f>IF(7&gt;$H$4,"",IF(INDEX('Fleet dates'!$G$9:$G$1008,$I15-8)="","",INDEX('Fleet dates'!$G$9:$G$1008,$I15-8)))</x:f>
      </x:c>
      <x:c r="H15" s="50" t="str">
        <x:f>IF(7&gt;$H$4,"",IF(INDEX('Fleet dates'!$I$9:$I$1008,$I15-8)="","",INDEX('Fleet dates'!$I$9:$I$1008,$I15-8)))</x:f>
      </x:c>
      <x:c r="I15" t="str">
        <x:f>IF(7&gt;$H$4,"",MATCH(7,'Fleet dates'!$J$9:$J$1008,0)+8)</x:f>
      </x:c>
    </x:row>
    <x:row r="16" ht="36" customHeight="1">
      <x:c r="A16" s="50" t="str">
        <x:f>IF(8&gt;$H$4,"",IF(INDEX('Fleet dates'!$A$9:$A$1008,$I16-8)="","",INDEX('Fleet dates'!$A$9:$A$1008,$I16-8)))</x:f>
      </x:c>
      <x:c r="B16" s="50" t="str">
        <x:f>IF(8&gt;$H$4,"",IF(INDEX('Fleet dates'!$B$9:$B$1008,$I16-8)="","",INDEX('Fleet dates'!$B$9:$B$1008,$I16-8)))</x:f>
      </x:c>
      <x:c r="C16" s="51" t="str">
        <x:f>IF(8&gt;$H$4,"",IF(INDEX('Fleet dates'!$C$9:$C$1008,$I16-8)="","",INDEX('Fleet dates'!$C$9:$C$1008,$I16-8)))</x:f>
      </x:c>
      <x:c r="D16" s="51" t="str">
        <x:f>IF(8&gt;$H$4,"",IF(INDEX('Fleet dates'!$D$9:$D$1008,$I16-8)="","",INDEX('Fleet dates'!$D$9:$D$1008,$I16-8)))</x:f>
      </x:c>
      <x:c r="E16" s="51" t="str">
        <x:f>IF(8&gt;$H$4,"",IF(INDEX('Fleet dates'!$E$9:$E$1008,$I16-8)="","",INDEX('Fleet dates'!$E$9:$E$1008,$I16-8)))</x:f>
      </x:c>
      <x:c r="F16" s="51" t="str">
        <x:f>IF(8&gt;$H$4,"",IF(INDEX('Fleet dates'!$F$9:$F$1008,$I16-8)="","",INDEX('Fleet dates'!$F$9:$F$1008,$I16-8)))</x:f>
      </x:c>
      <x:c r="G16" s="50" t="str">
        <x:f>IF(8&gt;$H$4,"",IF(INDEX('Fleet dates'!$G$9:$G$1008,$I16-8)="","",INDEX('Fleet dates'!$G$9:$G$1008,$I16-8)))</x:f>
      </x:c>
      <x:c r="H16" s="50" t="str">
        <x:f>IF(8&gt;$H$4,"",IF(INDEX('Fleet dates'!$I$9:$I$1008,$I16-8)="","",INDEX('Fleet dates'!$I$9:$I$1008,$I16-8)))</x:f>
      </x:c>
      <x:c r="I16" t="str">
        <x:f>IF(8&gt;$H$4,"",MATCH(8,'Fleet dates'!$J$9:$J$1008,0)+8)</x:f>
      </x:c>
    </x:row>
    <x:row r="17" ht="36" customHeight="1">
      <x:c r="A17" s="50" t="str">
        <x:f>IF(9&gt;$H$4,"",IF(INDEX('Fleet dates'!$A$9:$A$1008,$I17-8)="","",INDEX('Fleet dates'!$A$9:$A$1008,$I17-8)))</x:f>
      </x:c>
      <x:c r="B17" s="50" t="str">
        <x:f>IF(9&gt;$H$4,"",IF(INDEX('Fleet dates'!$B$9:$B$1008,$I17-8)="","",INDEX('Fleet dates'!$B$9:$B$1008,$I17-8)))</x:f>
      </x:c>
      <x:c r="C17" s="51" t="str">
        <x:f>IF(9&gt;$H$4,"",IF(INDEX('Fleet dates'!$C$9:$C$1008,$I17-8)="","",INDEX('Fleet dates'!$C$9:$C$1008,$I17-8)))</x:f>
      </x:c>
      <x:c r="D17" s="51" t="str">
        <x:f>IF(9&gt;$H$4,"",IF(INDEX('Fleet dates'!$D$9:$D$1008,$I17-8)="","",INDEX('Fleet dates'!$D$9:$D$1008,$I17-8)))</x:f>
      </x:c>
      <x:c r="E17" s="51" t="str">
        <x:f>IF(9&gt;$H$4,"",IF(INDEX('Fleet dates'!$E$9:$E$1008,$I17-8)="","",INDEX('Fleet dates'!$E$9:$E$1008,$I17-8)))</x:f>
      </x:c>
      <x:c r="F17" s="51" t="str">
        <x:f>IF(9&gt;$H$4,"",IF(INDEX('Fleet dates'!$F$9:$F$1008,$I17-8)="","",INDEX('Fleet dates'!$F$9:$F$1008,$I17-8)))</x:f>
      </x:c>
      <x:c r="G17" s="50" t="str">
        <x:f>IF(9&gt;$H$4,"",IF(INDEX('Fleet dates'!$G$9:$G$1008,$I17-8)="","",INDEX('Fleet dates'!$G$9:$G$1008,$I17-8)))</x:f>
      </x:c>
      <x:c r="H17" s="50" t="str">
        <x:f>IF(9&gt;$H$4,"",IF(INDEX('Fleet dates'!$I$9:$I$1008,$I17-8)="","",INDEX('Fleet dates'!$I$9:$I$1008,$I17-8)))</x:f>
      </x:c>
      <x:c r="I17" t="str">
        <x:f>IF(9&gt;$H$4,"",MATCH(9,'Fleet dates'!$J$9:$J$1008,0)+8)</x:f>
      </x:c>
    </x:row>
    <x:row r="18" ht="36" customHeight="1">
      <x:c r="A18" s="50" t="str">
        <x:f>IF(10&gt;$H$4,"",IF(INDEX('Fleet dates'!$A$9:$A$1008,$I18-8)="","",INDEX('Fleet dates'!$A$9:$A$1008,$I18-8)))</x:f>
      </x:c>
      <x:c r="B18" s="50" t="str">
        <x:f>IF(10&gt;$H$4,"",IF(INDEX('Fleet dates'!$B$9:$B$1008,$I18-8)="","",INDEX('Fleet dates'!$B$9:$B$1008,$I18-8)))</x:f>
      </x:c>
      <x:c r="C18" s="51" t="str">
        <x:f>IF(10&gt;$H$4,"",IF(INDEX('Fleet dates'!$C$9:$C$1008,$I18-8)="","",INDEX('Fleet dates'!$C$9:$C$1008,$I18-8)))</x:f>
      </x:c>
      <x:c r="D18" s="51" t="str">
        <x:f>IF(10&gt;$H$4,"",IF(INDEX('Fleet dates'!$D$9:$D$1008,$I18-8)="","",INDEX('Fleet dates'!$D$9:$D$1008,$I18-8)))</x:f>
      </x:c>
      <x:c r="E18" s="51" t="str">
        <x:f>IF(10&gt;$H$4,"",IF(INDEX('Fleet dates'!$E$9:$E$1008,$I18-8)="","",INDEX('Fleet dates'!$E$9:$E$1008,$I18-8)))</x:f>
      </x:c>
      <x:c r="F18" s="51" t="str">
        <x:f>IF(10&gt;$H$4,"",IF(INDEX('Fleet dates'!$F$9:$F$1008,$I18-8)="","",INDEX('Fleet dates'!$F$9:$F$1008,$I18-8)))</x:f>
      </x:c>
      <x:c r="G18" s="50" t="str">
        <x:f>IF(10&gt;$H$4,"",IF(INDEX('Fleet dates'!$G$9:$G$1008,$I18-8)="","",INDEX('Fleet dates'!$G$9:$G$1008,$I18-8)))</x:f>
      </x:c>
      <x:c r="H18" s="50" t="str">
        <x:f>IF(10&gt;$H$4,"",IF(INDEX('Fleet dates'!$I$9:$I$1008,$I18-8)="","",INDEX('Fleet dates'!$I$9:$I$1008,$I18-8)))</x:f>
      </x:c>
      <x:c r="I18" t="str">
        <x:f>IF(10&gt;$H$4,"",MATCH(10,'Fleet dates'!$J$9:$J$1008,0)+8)</x:f>
      </x:c>
    </x:row>
    <x:row r="19" ht="36" customHeight="1">
      <x:c r="A19" s="50" t="str">
        <x:f>IF(11&gt;$H$4,"",IF(INDEX('Fleet dates'!$A$9:$A$1008,$I19-8)="","",INDEX('Fleet dates'!$A$9:$A$1008,$I19-8)))</x:f>
      </x:c>
      <x:c r="B19" s="50" t="str">
        <x:f>IF(11&gt;$H$4,"",IF(INDEX('Fleet dates'!$B$9:$B$1008,$I19-8)="","",INDEX('Fleet dates'!$B$9:$B$1008,$I19-8)))</x:f>
      </x:c>
      <x:c r="C19" s="51" t="str">
        <x:f>IF(11&gt;$H$4,"",IF(INDEX('Fleet dates'!$C$9:$C$1008,$I19-8)="","",INDEX('Fleet dates'!$C$9:$C$1008,$I19-8)))</x:f>
      </x:c>
      <x:c r="D19" s="51" t="str">
        <x:f>IF(11&gt;$H$4,"",IF(INDEX('Fleet dates'!$D$9:$D$1008,$I19-8)="","",INDEX('Fleet dates'!$D$9:$D$1008,$I19-8)))</x:f>
      </x:c>
      <x:c r="E19" s="51" t="str">
        <x:f>IF(11&gt;$H$4,"",IF(INDEX('Fleet dates'!$E$9:$E$1008,$I19-8)="","",INDEX('Fleet dates'!$E$9:$E$1008,$I19-8)))</x:f>
      </x:c>
      <x:c r="F19" s="51" t="str">
        <x:f>IF(11&gt;$H$4,"",IF(INDEX('Fleet dates'!$F$9:$F$1008,$I19-8)="","",INDEX('Fleet dates'!$F$9:$F$1008,$I19-8)))</x:f>
      </x:c>
      <x:c r="G19" s="50" t="str">
        <x:f>IF(11&gt;$H$4,"",IF(INDEX('Fleet dates'!$G$9:$G$1008,$I19-8)="","",INDEX('Fleet dates'!$G$9:$G$1008,$I19-8)))</x:f>
      </x:c>
      <x:c r="H19" s="50" t="str">
        <x:f>IF(11&gt;$H$4,"",IF(INDEX('Fleet dates'!$I$9:$I$1008,$I19-8)="","",INDEX('Fleet dates'!$I$9:$I$1008,$I19-8)))</x:f>
      </x:c>
      <x:c r="I19" t="str">
        <x:f>IF(11&gt;$H$4,"",MATCH(11,'Fleet dates'!$J$9:$J$1008,0)+8)</x:f>
      </x:c>
    </x:row>
    <x:row r="20" ht="36" customHeight="1">
      <x:c r="A20" s="50" t="str">
        <x:f>IF(12&gt;$H$4,"",IF(INDEX('Fleet dates'!$A$9:$A$1008,$I20-8)="","",INDEX('Fleet dates'!$A$9:$A$1008,$I20-8)))</x:f>
      </x:c>
      <x:c r="B20" s="50" t="str">
        <x:f>IF(12&gt;$H$4,"",IF(INDEX('Fleet dates'!$B$9:$B$1008,$I20-8)="","",INDEX('Fleet dates'!$B$9:$B$1008,$I20-8)))</x:f>
      </x:c>
      <x:c r="C20" s="51" t="str">
        <x:f>IF(12&gt;$H$4,"",IF(INDEX('Fleet dates'!$C$9:$C$1008,$I20-8)="","",INDEX('Fleet dates'!$C$9:$C$1008,$I20-8)))</x:f>
      </x:c>
      <x:c r="D20" s="51" t="str">
        <x:f>IF(12&gt;$H$4,"",IF(INDEX('Fleet dates'!$D$9:$D$1008,$I20-8)="","",INDEX('Fleet dates'!$D$9:$D$1008,$I20-8)))</x:f>
      </x:c>
      <x:c r="E20" s="51" t="str">
        <x:f>IF(12&gt;$H$4,"",IF(INDEX('Fleet dates'!$E$9:$E$1008,$I20-8)="","",INDEX('Fleet dates'!$E$9:$E$1008,$I20-8)))</x:f>
      </x:c>
      <x:c r="F20" s="51" t="str">
        <x:f>IF(12&gt;$H$4,"",IF(INDEX('Fleet dates'!$F$9:$F$1008,$I20-8)="","",INDEX('Fleet dates'!$F$9:$F$1008,$I20-8)))</x:f>
      </x:c>
      <x:c r="G20" s="50" t="str">
        <x:f>IF(12&gt;$H$4,"",IF(INDEX('Fleet dates'!$G$9:$G$1008,$I20-8)="","",INDEX('Fleet dates'!$G$9:$G$1008,$I20-8)))</x:f>
      </x:c>
      <x:c r="H20" s="50" t="str">
        <x:f>IF(12&gt;$H$4,"",IF(INDEX('Fleet dates'!$I$9:$I$1008,$I20-8)="","",INDEX('Fleet dates'!$I$9:$I$1008,$I20-8)))</x:f>
      </x:c>
      <x:c r="I20" t="str">
        <x:f>IF(12&gt;$H$4,"",MATCH(12,'Fleet dates'!$J$9:$J$1008,0)+8)</x:f>
      </x:c>
    </x:row>
    <x:row r="21" ht="36" customHeight="1">
      <x:c r="A21" s="50" t="str">
        <x:f>IF(13&gt;$H$4,"",IF(INDEX('Fleet dates'!$A$9:$A$1008,$I21-8)="","",INDEX('Fleet dates'!$A$9:$A$1008,$I21-8)))</x:f>
      </x:c>
      <x:c r="B21" s="50" t="str">
        <x:f>IF(13&gt;$H$4,"",IF(INDEX('Fleet dates'!$B$9:$B$1008,$I21-8)="","",INDEX('Fleet dates'!$B$9:$B$1008,$I21-8)))</x:f>
      </x:c>
      <x:c r="C21" s="51" t="str">
        <x:f>IF(13&gt;$H$4,"",IF(INDEX('Fleet dates'!$C$9:$C$1008,$I21-8)="","",INDEX('Fleet dates'!$C$9:$C$1008,$I21-8)))</x:f>
      </x:c>
      <x:c r="D21" s="51" t="str">
        <x:f>IF(13&gt;$H$4,"",IF(INDEX('Fleet dates'!$D$9:$D$1008,$I21-8)="","",INDEX('Fleet dates'!$D$9:$D$1008,$I21-8)))</x:f>
      </x:c>
      <x:c r="E21" s="51" t="str">
        <x:f>IF(13&gt;$H$4,"",IF(INDEX('Fleet dates'!$E$9:$E$1008,$I21-8)="","",INDEX('Fleet dates'!$E$9:$E$1008,$I21-8)))</x:f>
      </x:c>
      <x:c r="F21" s="51" t="str">
        <x:f>IF(13&gt;$H$4,"",IF(INDEX('Fleet dates'!$F$9:$F$1008,$I21-8)="","",INDEX('Fleet dates'!$F$9:$F$1008,$I21-8)))</x:f>
      </x:c>
      <x:c r="G21" s="50" t="str">
        <x:f>IF(13&gt;$H$4,"",IF(INDEX('Fleet dates'!$G$9:$G$1008,$I21-8)="","",INDEX('Fleet dates'!$G$9:$G$1008,$I21-8)))</x:f>
      </x:c>
      <x:c r="H21" s="50" t="str">
        <x:f>IF(13&gt;$H$4,"",IF(INDEX('Fleet dates'!$I$9:$I$1008,$I21-8)="","",INDEX('Fleet dates'!$I$9:$I$1008,$I21-8)))</x:f>
      </x:c>
      <x:c r="I21" t="str">
        <x:f>IF(13&gt;$H$4,"",MATCH(13,'Fleet dates'!$J$9:$J$1008,0)+8)</x:f>
      </x:c>
    </x:row>
    <x:row r="22" ht="36" customHeight="1">
      <x:c r="A22" s="50" t="str">
        <x:f>IF(14&gt;$H$4,"",IF(INDEX('Fleet dates'!$A$9:$A$1008,$I22-8)="","",INDEX('Fleet dates'!$A$9:$A$1008,$I22-8)))</x:f>
      </x:c>
      <x:c r="B22" s="50" t="str">
        <x:f>IF(14&gt;$H$4,"",IF(INDEX('Fleet dates'!$B$9:$B$1008,$I22-8)="","",INDEX('Fleet dates'!$B$9:$B$1008,$I22-8)))</x:f>
      </x:c>
      <x:c r="C22" s="51" t="str">
        <x:f>IF(14&gt;$H$4,"",IF(INDEX('Fleet dates'!$C$9:$C$1008,$I22-8)="","",INDEX('Fleet dates'!$C$9:$C$1008,$I22-8)))</x:f>
      </x:c>
      <x:c r="D22" s="51" t="str">
        <x:f>IF(14&gt;$H$4,"",IF(INDEX('Fleet dates'!$D$9:$D$1008,$I22-8)="","",INDEX('Fleet dates'!$D$9:$D$1008,$I22-8)))</x:f>
      </x:c>
      <x:c r="E22" s="51" t="str">
        <x:f>IF(14&gt;$H$4,"",IF(INDEX('Fleet dates'!$E$9:$E$1008,$I22-8)="","",INDEX('Fleet dates'!$E$9:$E$1008,$I22-8)))</x:f>
      </x:c>
      <x:c r="F22" s="51" t="str">
        <x:f>IF(14&gt;$H$4,"",IF(INDEX('Fleet dates'!$F$9:$F$1008,$I22-8)="","",INDEX('Fleet dates'!$F$9:$F$1008,$I22-8)))</x:f>
      </x:c>
      <x:c r="G22" s="50" t="str">
        <x:f>IF(14&gt;$H$4,"",IF(INDEX('Fleet dates'!$G$9:$G$1008,$I22-8)="","",INDEX('Fleet dates'!$G$9:$G$1008,$I22-8)))</x:f>
      </x:c>
      <x:c r="H22" s="50" t="str">
        <x:f>IF(14&gt;$H$4,"",IF(INDEX('Fleet dates'!$I$9:$I$1008,$I22-8)="","",INDEX('Fleet dates'!$I$9:$I$1008,$I22-8)))</x:f>
      </x:c>
      <x:c r="I22" t="str">
        <x:f>IF(14&gt;$H$4,"",MATCH(14,'Fleet dates'!$J$9:$J$1008,0)+8)</x:f>
      </x:c>
    </x:row>
    <x:row r="23" ht="36" customHeight="1">
      <x:c r="A23" s="50" t="str">
        <x:f>IF(15&gt;$H$4,"",IF(INDEX('Fleet dates'!$A$9:$A$1008,$I23-8)="","",INDEX('Fleet dates'!$A$9:$A$1008,$I23-8)))</x:f>
      </x:c>
      <x:c r="B23" s="50" t="str">
        <x:f>IF(15&gt;$H$4,"",IF(INDEX('Fleet dates'!$B$9:$B$1008,$I23-8)="","",INDEX('Fleet dates'!$B$9:$B$1008,$I23-8)))</x:f>
      </x:c>
      <x:c r="C23" s="51" t="str">
        <x:f>IF(15&gt;$H$4,"",IF(INDEX('Fleet dates'!$C$9:$C$1008,$I23-8)="","",INDEX('Fleet dates'!$C$9:$C$1008,$I23-8)))</x:f>
      </x:c>
      <x:c r="D23" s="51" t="str">
        <x:f>IF(15&gt;$H$4,"",IF(INDEX('Fleet dates'!$D$9:$D$1008,$I23-8)="","",INDEX('Fleet dates'!$D$9:$D$1008,$I23-8)))</x:f>
      </x:c>
      <x:c r="E23" s="51" t="str">
        <x:f>IF(15&gt;$H$4,"",IF(INDEX('Fleet dates'!$E$9:$E$1008,$I23-8)="","",INDEX('Fleet dates'!$E$9:$E$1008,$I23-8)))</x:f>
      </x:c>
      <x:c r="F23" s="51" t="str">
        <x:f>IF(15&gt;$H$4,"",IF(INDEX('Fleet dates'!$F$9:$F$1008,$I23-8)="","",INDEX('Fleet dates'!$F$9:$F$1008,$I23-8)))</x:f>
      </x:c>
      <x:c r="G23" s="50" t="str">
        <x:f>IF(15&gt;$H$4,"",IF(INDEX('Fleet dates'!$G$9:$G$1008,$I23-8)="","",INDEX('Fleet dates'!$G$9:$G$1008,$I23-8)))</x:f>
      </x:c>
      <x:c r="H23" s="50" t="str">
        <x:f>IF(15&gt;$H$4,"",IF(INDEX('Fleet dates'!$I$9:$I$1008,$I23-8)="","",INDEX('Fleet dates'!$I$9:$I$1008,$I23-8)))</x:f>
      </x:c>
      <x:c r="I23" t="str">
        <x:f>IF(15&gt;$H$4,"",MATCH(15,'Fleet dates'!$J$9:$J$1008,0)+8)</x:f>
      </x:c>
    </x:row>
    <x:row r="24" ht="36" customHeight="1">
      <x:c r="A24" s="50" t="str">
        <x:f>IF(16&gt;$H$4,"",IF(INDEX('Fleet dates'!$A$9:$A$1008,$I24-8)="","",INDEX('Fleet dates'!$A$9:$A$1008,$I24-8)))</x:f>
      </x:c>
      <x:c r="B24" s="50" t="str">
        <x:f>IF(16&gt;$H$4,"",IF(INDEX('Fleet dates'!$B$9:$B$1008,$I24-8)="","",INDEX('Fleet dates'!$B$9:$B$1008,$I24-8)))</x:f>
      </x:c>
      <x:c r="C24" s="51" t="str">
        <x:f>IF(16&gt;$H$4,"",IF(INDEX('Fleet dates'!$C$9:$C$1008,$I24-8)="","",INDEX('Fleet dates'!$C$9:$C$1008,$I24-8)))</x:f>
      </x:c>
      <x:c r="D24" s="51" t="str">
        <x:f>IF(16&gt;$H$4,"",IF(INDEX('Fleet dates'!$D$9:$D$1008,$I24-8)="","",INDEX('Fleet dates'!$D$9:$D$1008,$I24-8)))</x:f>
      </x:c>
      <x:c r="E24" s="51" t="str">
        <x:f>IF(16&gt;$H$4,"",IF(INDEX('Fleet dates'!$E$9:$E$1008,$I24-8)="","",INDEX('Fleet dates'!$E$9:$E$1008,$I24-8)))</x:f>
      </x:c>
      <x:c r="F24" s="51" t="str">
        <x:f>IF(16&gt;$H$4,"",IF(INDEX('Fleet dates'!$F$9:$F$1008,$I24-8)="","",INDEX('Fleet dates'!$F$9:$F$1008,$I24-8)))</x:f>
      </x:c>
      <x:c r="G24" s="50" t="str">
        <x:f>IF(16&gt;$H$4,"",IF(INDEX('Fleet dates'!$G$9:$G$1008,$I24-8)="","",INDEX('Fleet dates'!$G$9:$G$1008,$I24-8)))</x:f>
      </x:c>
      <x:c r="H24" s="50" t="str">
        <x:f>IF(16&gt;$H$4,"",IF(INDEX('Fleet dates'!$I$9:$I$1008,$I24-8)="","",INDEX('Fleet dates'!$I$9:$I$1008,$I24-8)))</x:f>
      </x:c>
      <x:c r="I24" t="str">
        <x:f>IF(16&gt;$H$4,"",MATCH(16,'Fleet dates'!$J$9:$J$1008,0)+8)</x:f>
      </x:c>
    </x:row>
    <x:row r="25" ht="36" customHeight="1">
      <x:c r="A25" s="50" t="str">
        <x:f>IF(17&gt;$H$4,"",IF(INDEX('Fleet dates'!$A$9:$A$1008,$I25-8)="","",INDEX('Fleet dates'!$A$9:$A$1008,$I25-8)))</x:f>
      </x:c>
      <x:c r="B25" s="50" t="str">
        <x:f>IF(17&gt;$H$4,"",IF(INDEX('Fleet dates'!$B$9:$B$1008,$I25-8)="","",INDEX('Fleet dates'!$B$9:$B$1008,$I25-8)))</x:f>
      </x:c>
      <x:c r="C25" s="51" t="str">
        <x:f>IF(17&gt;$H$4,"",IF(INDEX('Fleet dates'!$C$9:$C$1008,$I25-8)="","",INDEX('Fleet dates'!$C$9:$C$1008,$I25-8)))</x:f>
      </x:c>
      <x:c r="D25" s="51" t="str">
        <x:f>IF(17&gt;$H$4,"",IF(INDEX('Fleet dates'!$D$9:$D$1008,$I25-8)="","",INDEX('Fleet dates'!$D$9:$D$1008,$I25-8)))</x:f>
      </x:c>
      <x:c r="E25" s="51" t="str">
        <x:f>IF(17&gt;$H$4,"",IF(INDEX('Fleet dates'!$E$9:$E$1008,$I25-8)="","",INDEX('Fleet dates'!$E$9:$E$1008,$I25-8)))</x:f>
      </x:c>
      <x:c r="F25" s="51" t="str">
        <x:f>IF(17&gt;$H$4,"",IF(INDEX('Fleet dates'!$F$9:$F$1008,$I25-8)="","",INDEX('Fleet dates'!$F$9:$F$1008,$I25-8)))</x:f>
      </x:c>
      <x:c r="G25" s="50" t="str">
        <x:f>IF(17&gt;$H$4,"",IF(INDEX('Fleet dates'!$G$9:$G$1008,$I25-8)="","",INDEX('Fleet dates'!$G$9:$G$1008,$I25-8)))</x:f>
      </x:c>
      <x:c r="H25" s="50" t="str">
        <x:f>IF(17&gt;$H$4,"",IF(INDEX('Fleet dates'!$I$9:$I$1008,$I25-8)="","",INDEX('Fleet dates'!$I$9:$I$1008,$I25-8)))</x:f>
      </x:c>
      <x:c r="I25" t="str">
        <x:f>IF(17&gt;$H$4,"",MATCH(17,'Fleet dates'!$J$9:$J$1008,0)+8)</x:f>
      </x:c>
    </x:row>
    <x:row r="26" ht="36" customHeight="1">
      <x:c r="A26" s="50" t="str">
        <x:f>IF(18&gt;$H$4,"",IF(INDEX('Fleet dates'!$A$9:$A$1008,$I26-8)="","",INDEX('Fleet dates'!$A$9:$A$1008,$I26-8)))</x:f>
      </x:c>
      <x:c r="B26" s="50" t="str">
        <x:f>IF(18&gt;$H$4,"",IF(INDEX('Fleet dates'!$B$9:$B$1008,$I26-8)="","",INDEX('Fleet dates'!$B$9:$B$1008,$I26-8)))</x:f>
      </x:c>
      <x:c r="C26" s="51" t="str">
        <x:f>IF(18&gt;$H$4,"",IF(INDEX('Fleet dates'!$C$9:$C$1008,$I26-8)="","",INDEX('Fleet dates'!$C$9:$C$1008,$I26-8)))</x:f>
      </x:c>
      <x:c r="D26" s="51" t="str">
        <x:f>IF(18&gt;$H$4,"",IF(INDEX('Fleet dates'!$D$9:$D$1008,$I26-8)="","",INDEX('Fleet dates'!$D$9:$D$1008,$I26-8)))</x:f>
      </x:c>
      <x:c r="E26" s="51" t="str">
        <x:f>IF(18&gt;$H$4,"",IF(INDEX('Fleet dates'!$E$9:$E$1008,$I26-8)="","",INDEX('Fleet dates'!$E$9:$E$1008,$I26-8)))</x:f>
      </x:c>
      <x:c r="F26" s="51" t="str">
        <x:f>IF(18&gt;$H$4,"",IF(INDEX('Fleet dates'!$F$9:$F$1008,$I26-8)="","",INDEX('Fleet dates'!$F$9:$F$1008,$I26-8)))</x:f>
      </x:c>
      <x:c r="G26" s="50" t="str">
        <x:f>IF(18&gt;$H$4,"",IF(INDEX('Fleet dates'!$G$9:$G$1008,$I26-8)="","",INDEX('Fleet dates'!$G$9:$G$1008,$I26-8)))</x:f>
      </x:c>
      <x:c r="H26" s="50" t="str">
        <x:f>IF(18&gt;$H$4,"",IF(INDEX('Fleet dates'!$I$9:$I$1008,$I26-8)="","",INDEX('Fleet dates'!$I$9:$I$1008,$I26-8)))</x:f>
      </x:c>
      <x:c r="I26" t="str">
        <x:f>IF(18&gt;$H$4,"",MATCH(18,'Fleet dates'!$J$9:$J$1008,0)+8)</x:f>
      </x:c>
    </x:row>
    <x:row r="27" ht="36" customHeight="1">
      <x:c r="A27" s="50" t="str">
        <x:f>IF(19&gt;$H$4,"",IF(INDEX('Fleet dates'!$A$9:$A$1008,$I27-8)="","",INDEX('Fleet dates'!$A$9:$A$1008,$I27-8)))</x:f>
      </x:c>
      <x:c r="B27" s="50" t="str">
        <x:f>IF(19&gt;$H$4,"",IF(INDEX('Fleet dates'!$B$9:$B$1008,$I27-8)="","",INDEX('Fleet dates'!$B$9:$B$1008,$I27-8)))</x:f>
      </x:c>
      <x:c r="C27" s="51" t="str">
        <x:f>IF(19&gt;$H$4,"",IF(INDEX('Fleet dates'!$C$9:$C$1008,$I27-8)="","",INDEX('Fleet dates'!$C$9:$C$1008,$I27-8)))</x:f>
      </x:c>
      <x:c r="D27" s="51" t="str">
        <x:f>IF(19&gt;$H$4,"",IF(INDEX('Fleet dates'!$D$9:$D$1008,$I27-8)="","",INDEX('Fleet dates'!$D$9:$D$1008,$I27-8)))</x:f>
      </x:c>
      <x:c r="E27" s="51" t="str">
        <x:f>IF(19&gt;$H$4,"",IF(INDEX('Fleet dates'!$E$9:$E$1008,$I27-8)="","",INDEX('Fleet dates'!$E$9:$E$1008,$I27-8)))</x:f>
      </x:c>
      <x:c r="F27" s="51" t="str">
        <x:f>IF(19&gt;$H$4,"",IF(INDEX('Fleet dates'!$F$9:$F$1008,$I27-8)="","",INDEX('Fleet dates'!$F$9:$F$1008,$I27-8)))</x:f>
      </x:c>
      <x:c r="G27" s="50" t="str">
        <x:f>IF(19&gt;$H$4,"",IF(INDEX('Fleet dates'!$G$9:$G$1008,$I27-8)="","",INDEX('Fleet dates'!$G$9:$G$1008,$I27-8)))</x:f>
      </x:c>
      <x:c r="H27" s="50" t="str">
        <x:f>IF(19&gt;$H$4,"",IF(INDEX('Fleet dates'!$I$9:$I$1008,$I27-8)="","",INDEX('Fleet dates'!$I$9:$I$1008,$I27-8)))</x:f>
      </x:c>
      <x:c r="I27" t="str">
        <x:f>IF(19&gt;$H$4,"",MATCH(19,'Fleet dates'!$J$9:$J$1008,0)+8)</x:f>
      </x:c>
    </x:row>
    <x:row r="28" ht="36" customHeight="1">
      <x:c r="A28" s="50" t="str">
        <x:f>IF(20&gt;$H$4,"",IF(INDEX('Fleet dates'!$A$9:$A$1008,$I28-8)="","",INDEX('Fleet dates'!$A$9:$A$1008,$I28-8)))</x:f>
      </x:c>
      <x:c r="B28" s="50" t="str">
        <x:f>IF(20&gt;$H$4,"",IF(INDEX('Fleet dates'!$B$9:$B$1008,$I28-8)="","",INDEX('Fleet dates'!$B$9:$B$1008,$I28-8)))</x:f>
      </x:c>
      <x:c r="C28" s="51" t="str">
        <x:f>IF(20&gt;$H$4,"",IF(INDEX('Fleet dates'!$C$9:$C$1008,$I28-8)="","",INDEX('Fleet dates'!$C$9:$C$1008,$I28-8)))</x:f>
      </x:c>
      <x:c r="D28" s="51" t="str">
        <x:f>IF(20&gt;$H$4,"",IF(INDEX('Fleet dates'!$D$9:$D$1008,$I28-8)="","",INDEX('Fleet dates'!$D$9:$D$1008,$I28-8)))</x:f>
      </x:c>
      <x:c r="E28" s="51" t="str">
        <x:f>IF(20&gt;$H$4,"",IF(INDEX('Fleet dates'!$E$9:$E$1008,$I28-8)="","",INDEX('Fleet dates'!$E$9:$E$1008,$I28-8)))</x:f>
      </x:c>
      <x:c r="F28" s="51" t="str">
        <x:f>IF(20&gt;$H$4,"",IF(INDEX('Fleet dates'!$F$9:$F$1008,$I28-8)="","",INDEX('Fleet dates'!$F$9:$F$1008,$I28-8)))</x:f>
      </x:c>
      <x:c r="G28" s="50" t="str">
        <x:f>IF(20&gt;$H$4,"",IF(INDEX('Fleet dates'!$G$9:$G$1008,$I28-8)="","",INDEX('Fleet dates'!$G$9:$G$1008,$I28-8)))</x:f>
      </x:c>
      <x:c r="H28" s="50" t="str">
        <x:f>IF(20&gt;$H$4,"",IF(INDEX('Fleet dates'!$I$9:$I$1008,$I28-8)="","",INDEX('Fleet dates'!$I$9:$I$1008,$I28-8)))</x:f>
      </x:c>
      <x:c r="I28" t="str">
        <x:f>IF(20&gt;$H$4,"",MATCH(20,'Fleet dates'!$J$9:$J$1008,0)+8)</x:f>
      </x:c>
    </x:row>
    <x:row r="29" ht="36" customHeight="1">
      <x:c r="A29" s="50" t="str">
        <x:f>IF(21&gt;$H$4,"",IF(INDEX('Fleet dates'!$A$9:$A$1008,$I29-8)="","",INDEX('Fleet dates'!$A$9:$A$1008,$I29-8)))</x:f>
      </x:c>
      <x:c r="B29" s="50" t="str">
        <x:f>IF(21&gt;$H$4,"",IF(INDEX('Fleet dates'!$B$9:$B$1008,$I29-8)="","",INDEX('Fleet dates'!$B$9:$B$1008,$I29-8)))</x:f>
      </x:c>
      <x:c r="C29" s="51" t="str">
        <x:f>IF(21&gt;$H$4,"",IF(INDEX('Fleet dates'!$C$9:$C$1008,$I29-8)="","",INDEX('Fleet dates'!$C$9:$C$1008,$I29-8)))</x:f>
      </x:c>
      <x:c r="D29" s="51" t="str">
        <x:f>IF(21&gt;$H$4,"",IF(INDEX('Fleet dates'!$D$9:$D$1008,$I29-8)="","",INDEX('Fleet dates'!$D$9:$D$1008,$I29-8)))</x:f>
      </x:c>
      <x:c r="E29" s="51" t="str">
        <x:f>IF(21&gt;$H$4,"",IF(INDEX('Fleet dates'!$E$9:$E$1008,$I29-8)="","",INDEX('Fleet dates'!$E$9:$E$1008,$I29-8)))</x:f>
      </x:c>
      <x:c r="F29" s="51" t="str">
        <x:f>IF(21&gt;$H$4,"",IF(INDEX('Fleet dates'!$F$9:$F$1008,$I29-8)="","",INDEX('Fleet dates'!$F$9:$F$1008,$I29-8)))</x:f>
      </x:c>
      <x:c r="G29" s="50" t="str">
        <x:f>IF(21&gt;$H$4,"",IF(INDEX('Fleet dates'!$G$9:$G$1008,$I29-8)="","",INDEX('Fleet dates'!$G$9:$G$1008,$I29-8)))</x:f>
      </x:c>
      <x:c r="H29" s="50" t="str">
        <x:f>IF(21&gt;$H$4,"",IF(INDEX('Fleet dates'!$I$9:$I$1008,$I29-8)="","",INDEX('Fleet dates'!$I$9:$I$1008,$I29-8)))</x:f>
      </x:c>
      <x:c r="I29" t="str">
        <x:f>IF(21&gt;$H$4,"",MATCH(21,'Fleet dates'!$J$9:$J$1008,0)+8)</x:f>
      </x:c>
    </x:row>
    <x:row r="30" ht="36" customHeight="1">
      <x:c r="A30" s="50" t="str">
        <x:f>IF(22&gt;$H$4,"",IF(INDEX('Fleet dates'!$A$9:$A$1008,$I30-8)="","",INDEX('Fleet dates'!$A$9:$A$1008,$I30-8)))</x:f>
      </x:c>
      <x:c r="B30" s="50" t="str">
        <x:f>IF(22&gt;$H$4,"",IF(INDEX('Fleet dates'!$B$9:$B$1008,$I30-8)="","",INDEX('Fleet dates'!$B$9:$B$1008,$I30-8)))</x:f>
      </x:c>
      <x:c r="C30" s="51" t="str">
        <x:f>IF(22&gt;$H$4,"",IF(INDEX('Fleet dates'!$C$9:$C$1008,$I30-8)="","",INDEX('Fleet dates'!$C$9:$C$1008,$I30-8)))</x:f>
      </x:c>
      <x:c r="D30" s="51" t="str">
        <x:f>IF(22&gt;$H$4,"",IF(INDEX('Fleet dates'!$D$9:$D$1008,$I30-8)="","",INDEX('Fleet dates'!$D$9:$D$1008,$I30-8)))</x:f>
      </x:c>
      <x:c r="E30" s="51" t="str">
        <x:f>IF(22&gt;$H$4,"",IF(INDEX('Fleet dates'!$E$9:$E$1008,$I30-8)="","",INDEX('Fleet dates'!$E$9:$E$1008,$I30-8)))</x:f>
      </x:c>
      <x:c r="F30" s="51" t="str">
        <x:f>IF(22&gt;$H$4,"",IF(INDEX('Fleet dates'!$F$9:$F$1008,$I30-8)="","",INDEX('Fleet dates'!$F$9:$F$1008,$I30-8)))</x:f>
      </x:c>
      <x:c r="G30" s="50" t="str">
        <x:f>IF(22&gt;$H$4,"",IF(INDEX('Fleet dates'!$G$9:$G$1008,$I30-8)="","",INDEX('Fleet dates'!$G$9:$G$1008,$I30-8)))</x:f>
      </x:c>
      <x:c r="H30" s="50" t="str">
        <x:f>IF(22&gt;$H$4,"",IF(INDEX('Fleet dates'!$I$9:$I$1008,$I30-8)="","",INDEX('Fleet dates'!$I$9:$I$1008,$I30-8)))</x:f>
      </x:c>
      <x:c r="I30" t="str">
        <x:f>IF(22&gt;$H$4,"",MATCH(22,'Fleet dates'!$J$9:$J$1008,0)+8)</x:f>
      </x:c>
    </x:row>
    <x:row r="31" ht="36" customHeight="1">
      <x:c r="A31" s="50" t="str">
        <x:f>IF(23&gt;$H$4,"",IF(INDEX('Fleet dates'!$A$9:$A$1008,$I31-8)="","",INDEX('Fleet dates'!$A$9:$A$1008,$I31-8)))</x:f>
      </x:c>
      <x:c r="B31" s="50" t="str">
        <x:f>IF(23&gt;$H$4,"",IF(INDEX('Fleet dates'!$B$9:$B$1008,$I31-8)="","",INDEX('Fleet dates'!$B$9:$B$1008,$I31-8)))</x:f>
      </x:c>
      <x:c r="C31" s="51" t="str">
        <x:f>IF(23&gt;$H$4,"",IF(INDEX('Fleet dates'!$C$9:$C$1008,$I31-8)="","",INDEX('Fleet dates'!$C$9:$C$1008,$I31-8)))</x:f>
      </x:c>
      <x:c r="D31" s="51" t="str">
        <x:f>IF(23&gt;$H$4,"",IF(INDEX('Fleet dates'!$D$9:$D$1008,$I31-8)="","",INDEX('Fleet dates'!$D$9:$D$1008,$I31-8)))</x:f>
      </x:c>
      <x:c r="E31" s="51" t="str">
        <x:f>IF(23&gt;$H$4,"",IF(INDEX('Fleet dates'!$E$9:$E$1008,$I31-8)="","",INDEX('Fleet dates'!$E$9:$E$1008,$I31-8)))</x:f>
      </x:c>
      <x:c r="F31" s="51" t="str">
        <x:f>IF(23&gt;$H$4,"",IF(INDEX('Fleet dates'!$F$9:$F$1008,$I31-8)="","",INDEX('Fleet dates'!$F$9:$F$1008,$I31-8)))</x:f>
      </x:c>
      <x:c r="G31" s="50" t="str">
        <x:f>IF(23&gt;$H$4,"",IF(INDEX('Fleet dates'!$G$9:$G$1008,$I31-8)="","",INDEX('Fleet dates'!$G$9:$G$1008,$I31-8)))</x:f>
      </x:c>
      <x:c r="H31" s="50" t="str">
        <x:f>IF(23&gt;$H$4,"",IF(INDEX('Fleet dates'!$I$9:$I$1008,$I31-8)="","",INDEX('Fleet dates'!$I$9:$I$1008,$I31-8)))</x:f>
      </x:c>
      <x:c r="I31" t="str">
        <x:f>IF(23&gt;$H$4,"",MATCH(23,'Fleet dates'!$J$9:$J$1008,0)+8)</x:f>
      </x:c>
    </x:row>
    <x:row r="32" ht="36" customHeight="1">
      <x:c r="A32" s="50" t="str">
        <x:f>IF(24&gt;$H$4,"",IF(INDEX('Fleet dates'!$A$9:$A$1008,$I32-8)="","",INDEX('Fleet dates'!$A$9:$A$1008,$I32-8)))</x:f>
      </x:c>
      <x:c r="B32" s="50" t="str">
        <x:f>IF(24&gt;$H$4,"",IF(INDEX('Fleet dates'!$B$9:$B$1008,$I32-8)="","",INDEX('Fleet dates'!$B$9:$B$1008,$I32-8)))</x:f>
      </x:c>
      <x:c r="C32" s="51" t="str">
        <x:f>IF(24&gt;$H$4,"",IF(INDEX('Fleet dates'!$C$9:$C$1008,$I32-8)="","",INDEX('Fleet dates'!$C$9:$C$1008,$I32-8)))</x:f>
      </x:c>
      <x:c r="D32" s="51" t="str">
        <x:f>IF(24&gt;$H$4,"",IF(INDEX('Fleet dates'!$D$9:$D$1008,$I32-8)="","",INDEX('Fleet dates'!$D$9:$D$1008,$I32-8)))</x:f>
      </x:c>
      <x:c r="E32" s="51" t="str">
        <x:f>IF(24&gt;$H$4,"",IF(INDEX('Fleet dates'!$E$9:$E$1008,$I32-8)="","",INDEX('Fleet dates'!$E$9:$E$1008,$I32-8)))</x:f>
      </x:c>
      <x:c r="F32" s="51" t="str">
        <x:f>IF(24&gt;$H$4,"",IF(INDEX('Fleet dates'!$F$9:$F$1008,$I32-8)="","",INDEX('Fleet dates'!$F$9:$F$1008,$I32-8)))</x:f>
      </x:c>
      <x:c r="G32" s="50" t="str">
        <x:f>IF(24&gt;$H$4,"",IF(INDEX('Fleet dates'!$G$9:$G$1008,$I32-8)="","",INDEX('Fleet dates'!$G$9:$G$1008,$I32-8)))</x:f>
      </x:c>
      <x:c r="H32" s="50" t="str">
        <x:f>IF(24&gt;$H$4,"",IF(INDEX('Fleet dates'!$I$9:$I$1008,$I32-8)="","",INDEX('Fleet dates'!$I$9:$I$1008,$I32-8)))</x:f>
      </x:c>
      <x:c r="I32" t="str">
        <x:f>IF(24&gt;$H$4,"",MATCH(24,'Fleet dates'!$J$9:$J$1008,0)+8)</x:f>
      </x:c>
    </x:row>
    <x:row r="33" ht="36" customHeight="1">
      <x:c r="A33" s="50" t="str">
        <x:f>IF(25&gt;$H$4,"",IF(INDEX('Fleet dates'!$A$9:$A$1008,$I33-8)="","",INDEX('Fleet dates'!$A$9:$A$1008,$I33-8)))</x:f>
      </x:c>
      <x:c r="B33" s="50" t="str">
        <x:f>IF(25&gt;$H$4,"",IF(INDEX('Fleet dates'!$B$9:$B$1008,$I33-8)="","",INDEX('Fleet dates'!$B$9:$B$1008,$I33-8)))</x:f>
      </x:c>
      <x:c r="C33" s="51" t="str">
        <x:f>IF(25&gt;$H$4,"",IF(INDEX('Fleet dates'!$C$9:$C$1008,$I33-8)="","",INDEX('Fleet dates'!$C$9:$C$1008,$I33-8)))</x:f>
      </x:c>
      <x:c r="D33" s="51" t="str">
        <x:f>IF(25&gt;$H$4,"",IF(INDEX('Fleet dates'!$D$9:$D$1008,$I33-8)="","",INDEX('Fleet dates'!$D$9:$D$1008,$I33-8)))</x:f>
      </x:c>
      <x:c r="E33" s="51" t="str">
        <x:f>IF(25&gt;$H$4,"",IF(INDEX('Fleet dates'!$E$9:$E$1008,$I33-8)="","",INDEX('Fleet dates'!$E$9:$E$1008,$I33-8)))</x:f>
      </x:c>
      <x:c r="F33" s="51" t="str">
        <x:f>IF(25&gt;$H$4,"",IF(INDEX('Fleet dates'!$F$9:$F$1008,$I33-8)="","",INDEX('Fleet dates'!$F$9:$F$1008,$I33-8)))</x:f>
      </x:c>
      <x:c r="G33" s="50" t="str">
        <x:f>IF(25&gt;$H$4,"",IF(INDEX('Fleet dates'!$G$9:$G$1008,$I33-8)="","",INDEX('Fleet dates'!$G$9:$G$1008,$I33-8)))</x:f>
      </x:c>
      <x:c r="H33" s="50" t="str">
        <x:f>IF(25&gt;$H$4,"",IF(INDEX('Fleet dates'!$I$9:$I$1008,$I33-8)="","",INDEX('Fleet dates'!$I$9:$I$1008,$I33-8)))</x:f>
      </x:c>
      <x:c r="I33" t="str">
        <x:f>IF(25&gt;$H$4,"",MATCH(25,'Fleet dates'!$J$9:$J$1008,0)+8)</x:f>
      </x:c>
    </x:row>
    <x:row r="34" ht="36" customHeight="1">
      <x:c r="A34" s="50" t="str">
        <x:f>IF(26&gt;$H$4,"",IF(INDEX('Fleet dates'!$A$9:$A$1008,$I34-8)="","",INDEX('Fleet dates'!$A$9:$A$1008,$I34-8)))</x:f>
      </x:c>
      <x:c r="B34" s="50" t="str">
        <x:f>IF(26&gt;$H$4,"",IF(INDEX('Fleet dates'!$B$9:$B$1008,$I34-8)="","",INDEX('Fleet dates'!$B$9:$B$1008,$I34-8)))</x:f>
      </x:c>
      <x:c r="C34" s="51" t="str">
        <x:f>IF(26&gt;$H$4,"",IF(INDEX('Fleet dates'!$C$9:$C$1008,$I34-8)="","",INDEX('Fleet dates'!$C$9:$C$1008,$I34-8)))</x:f>
      </x:c>
      <x:c r="D34" s="51" t="str">
        <x:f>IF(26&gt;$H$4,"",IF(INDEX('Fleet dates'!$D$9:$D$1008,$I34-8)="","",INDEX('Fleet dates'!$D$9:$D$1008,$I34-8)))</x:f>
      </x:c>
      <x:c r="E34" s="51" t="str">
        <x:f>IF(26&gt;$H$4,"",IF(INDEX('Fleet dates'!$E$9:$E$1008,$I34-8)="","",INDEX('Fleet dates'!$E$9:$E$1008,$I34-8)))</x:f>
      </x:c>
      <x:c r="F34" s="51" t="str">
        <x:f>IF(26&gt;$H$4,"",IF(INDEX('Fleet dates'!$F$9:$F$1008,$I34-8)="","",INDEX('Fleet dates'!$F$9:$F$1008,$I34-8)))</x:f>
      </x:c>
      <x:c r="G34" s="50" t="str">
        <x:f>IF(26&gt;$H$4,"",IF(INDEX('Fleet dates'!$G$9:$G$1008,$I34-8)="","",INDEX('Fleet dates'!$G$9:$G$1008,$I34-8)))</x:f>
      </x:c>
      <x:c r="H34" s="50" t="str">
        <x:f>IF(26&gt;$H$4,"",IF(INDEX('Fleet dates'!$I$9:$I$1008,$I34-8)="","",INDEX('Fleet dates'!$I$9:$I$1008,$I34-8)))</x:f>
      </x:c>
      <x:c r="I34" t="str">
        <x:f>IF(26&gt;$H$4,"",MATCH(26,'Fleet dates'!$J$9:$J$1008,0)+8)</x:f>
      </x:c>
    </x:row>
    <x:row r="35" ht="36" customHeight="1">
      <x:c r="A35" s="50" t="str">
        <x:f>IF(27&gt;$H$4,"",IF(INDEX('Fleet dates'!$A$9:$A$1008,$I35-8)="","",INDEX('Fleet dates'!$A$9:$A$1008,$I35-8)))</x:f>
      </x:c>
      <x:c r="B35" s="50" t="str">
        <x:f>IF(27&gt;$H$4,"",IF(INDEX('Fleet dates'!$B$9:$B$1008,$I35-8)="","",INDEX('Fleet dates'!$B$9:$B$1008,$I35-8)))</x:f>
      </x:c>
      <x:c r="C35" s="51" t="str">
        <x:f>IF(27&gt;$H$4,"",IF(INDEX('Fleet dates'!$C$9:$C$1008,$I35-8)="","",INDEX('Fleet dates'!$C$9:$C$1008,$I35-8)))</x:f>
      </x:c>
      <x:c r="D35" s="51" t="str">
        <x:f>IF(27&gt;$H$4,"",IF(INDEX('Fleet dates'!$D$9:$D$1008,$I35-8)="","",INDEX('Fleet dates'!$D$9:$D$1008,$I35-8)))</x:f>
      </x:c>
      <x:c r="E35" s="51" t="str">
        <x:f>IF(27&gt;$H$4,"",IF(INDEX('Fleet dates'!$E$9:$E$1008,$I35-8)="","",INDEX('Fleet dates'!$E$9:$E$1008,$I35-8)))</x:f>
      </x:c>
      <x:c r="F35" s="51" t="str">
        <x:f>IF(27&gt;$H$4,"",IF(INDEX('Fleet dates'!$F$9:$F$1008,$I35-8)="","",INDEX('Fleet dates'!$F$9:$F$1008,$I35-8)))</x:f>
      </x:c>
      <x:c r="G35" s="50" t="str">
        <x:f>IF(27&gt;$H$4,"",IF(INDEX('Fleet dates'!$G$9:$G$1008,$I35-8)="","",INDEX('Fleet dates'!$G$9:$G$1008,$I35-8)))</x:f>
      </x:c>
      <x:c r="H35" s="50" t="str">
        <x:f>IF(27&gt;$H$4,"",IF(INDEX('Fleet dates'!$I$9:$I$1008,$I35-8)="","",INDEX('Fleet dates'!$I$9:$I$1008,$I35-8)))</x:f>
      </x:c>
      <x:c r="I35" t="str">
        <x:f>IF(27&gt;$H$4,"",MATCH(27,'Fleet dates'!$J$9:$J$1008,0)+8)</x:f>
      </x:c>
    </x:row>
    <x:row r="36" ht="36" customHeight="1">
      <x:c r="A36" s="50" t="str">
        <x:f>IF(28&gt;$H$4,"",IF(INDEX('Fleet dates'!$A$9:$A$1008,$I36-8)="","",INDEX('Fleet dates'!$A$9:$A$1008,$I36-8)))</x:f>
      </x:c>
      <x:c r="B36" s="50" t="str">
        <x:f>IF(28&gt;$H$4,"",IF(INDEX('Fleet dates'!$B$9:$B$1008,$I36-8)="","",INDEX('Fleet dates'!$B$9:$B$1008,$I36-8)))</x:f>
      </x:c>
      <x:c r="C36" s="51" t="str">
        <x:f>IF(28&gt;$H$4,"",IF(INDEX('Fleet dates'!$C$9:$C$1008,$I36-8)="","",INDEX('Fleet dates'!$C$9:$C$1008,$I36-8)))</x:f>
      </x:c>
      <x:c r="D36" s="51" t="str">
        <x:f>IF(28&gt;$H$4,"",IF(INDEX('Fleet dates'!$D$9:$D$1008,$I36-8)="","",INDEX('Fleet dates'!$D$9:$D$1008,$I36-8)))</x:f>
      </x:c>
      <x:c r="E36" s="51" t="str">
        <x:f>IF(28&gt;$H$4,"",IF(INDEX('Fleet dates'!$E$9:$E$1008,$I36-8)="","",INDEX('Fleet dates'!$E$9:$E$1008,$I36-8)))</x:f>
      </x:c>
      <x:c r="F36" s="51" t="str">
        <x:f>IF(28&gt;$H$4,"",IF(INDEX('Fleet dates'!$F$9:$F$1008,$I36-8)="","",INDEX('Fleet dates'!$F$9:$F$1008,$I36-8)))</x:f>
      </x:c>
      <x:c r="G36" s="50" t="str">
        <x:f>IF(28&gt;$H$4,"",IF(INDEX('Fleet dates'!$G$9:$G$1008,$I36-8)="","",INDEX('Fleet dates'!$G$9:$G$1008,$I36-8)))</x:f>
      </x:c>
      <x:c r="H36" s="50" t="str">
        <x:f>IF(28&gt;$H$4,"",IF(INDEX('Fleet dates'!$I$9:$I$1008,$I36-8)="","",INDEX('Fleet dates'!$I$9:$I$1008,$I36-8)))</x:f>
      </x:c>
      <x:c r="I36" t="str">
        <x:f>IF(28&gt;$H$4,"",MATCH(28,'Fleet dates'!$J$9:$J$1008,0)+8)</x:f>
      </x:c>
    </x:row>
    <x:row r="37" ht="36" customHeight="1">
      <x:c r="A37" s="50" t="str">
        <x:f>IF(29&gt;$H$4,"",IF(INDEX('Fleet dates'!$A$9:$A$1008,$I37-8)="","",INDEX('Fleet dates'!$A$9:$A$1008,$I37-8)))</x:f>
      </x:c>
      <x:c r="B37" s="50" t="str">
        <x:f>IF(29&gt;$H$4,"",IF(INDEX('Fleet dates'!$B$9:$B$1008,$I37-8)="","",INDEX('Fleet dates'!$B$9:$B$1008,$I37-8)))</x:f>
      </x:c>
      <x:c r="C37" s="51" t="str">
        <x:f>IF(29&gt;$H$4,"",IF(INDEX('Fleet dates'!$C$9:$C$1008,$I37-8)="","",INDEX('Fleet dates'!$C$9:$C$1008,$I37-8)))</x:f>
      </x:c>
      <x:c r="D37" s="51" t="str">
        <x:f>IF(29&gt;$H$4,"",IF(INDEX('Fleet dates'!$D$9:$D$1008,$I37-8)="","",INDEX('Fleet dates'!$D$9:$D$1008,$I37-8)))</x:f>
      </x:c>
      <x:c r="E37" s="51" t="str">
        <x:f>IF(29&gt;$H$4,"",IF(INDEX('Fleet dates'!$E$9:$E$1008,$I37-8)="","",INDEX('Fleet dates'!$E$9:$E$1008,$I37-8)))</x:f>
      </x:c>
      <x:c r="F37" s="51" t="str">
        <x:f>IF(29&gt;$H$4,"",IF(INDEX('Fleet dates'!$F$9:$F$1008,$I37-8)="","",INDEX('Fleet dates'!$F$9:$F$1008,$I37-8)))</x:f>
      </x:c>
      <x:c r="G37" s="50" t="str">
        <x:f>IF(29&gt;$H$4,"",IF(INDEX('Fleet dates'!$G$9:$G$1008,$I37-8)="","",INDEX('Fleet dates'!$G$9:$G$1008,$I37-8)))</x:f>
      </x:c>
      <x:c r="H37" s="50" t="str">
        <x:f>IF(29&gt;$H$4,"",IF(INDEX('Fleet dates'!$I$9:$I$1008,$I37-8)="","",INDEX('Fleet dates'!$I$9:$I$1008,$I37-8)))</x:f>
      </x:c>
      <x:c r="I37" t="str">
        <x:f>IF(29&gt;$H$4,"",MATCH(29,'Fleet dates'!$J$9:$J$1008,0)+8)</x:f>
      </x:c>
    </x:row>
    <x:row r="38" ht="36" customHeight="1">
      <x:c r="A38" s="50" t="str">
        <x:f>IF(30&gt;$H$4,"",IF(INDEX('Fleet dates'!$A$9:$A$1008,$I38-8)="","",INDEX('Fleet dates'!$A$9:$A$1008,$I38-8)))</x:f>
      </x:c>
      <x:c r="B38" s="50" t="str">
        <x:f>IF(30&gt;$H$4,"",IF(INDEX('Fleet dates'!$B$9:$B$1008,$I38-8)="","",INDEX('Fleet dates'!$B$9:$B$1008,$I38-8)))</x:f>
      </x:c>
      <x:c r="C38" s="51" t="str">
        <x:f>IF(30&gt;$H$4,"",IF(INDEX('Fleet dates'!$C$9:$C$1008,$I38-8)="","",INDEX('Fleet dates'!$C$9:$C$1008,$I38-8)))</x:f>
      </x:c>
      <x:c r="D38" s="51" t="str">
        <x:f>IF(30&gt;$H$4,"",IF(INDEX('Fleet dates'!$D$9:$D$1008,$I38-8)="","",INDEX('Fleet dates'!$D$9:$D$1008,$I38-8)))</x:f>
      </x:c>
      <x:c r="E38" s="51" t="str">
        <x:f>IF(30&gt;$H$4,"",IF(INDEX('Fleet dates'!$E$9:$E$1008,$I38-8)="","",INDEX('Fleet dates'!$E$9:$E$1008,$I38-8)))</x:f>
      </x:c>
      <x:c r="F38" s="51" t="str">
        <x:f>IF(30&gt;$H$4,"",IF(INDEX('Fleet dates'!$F$9:$F$1008,$I38-8)="","",INDEX('Fleet dates'!$F$9:$F$1008,$I38-8)))</x:f>
      </x:c>
      <x:c r="G38" s="50" t="str">
        <x:f>IF(30&gt;$H$4,"",IF(INDEX('Fleet dates'!$G$9:$G$1008,$I38-8)="","",INDEX('Fleet dates'!$G$9:$G$1008,$I38-8)))</x:f>
      </x:c>
      <x:c r="H38" s="50" t="str">
        <x:f>IF(30&gt;$H$4,"",IF(INDEX('Fleet dates'!$I$9:$I$1008,$I38-8)="","",INDEX('Fleet dates'!$I$9:$I$1008,$I38-8)))</x:f>
      </x:c>
      <x:c r="I38" t="str">
        <x:f>IF(30&gt;$H$4,"",MATCH(30,'Fleet dates'!$J$9:$J$1008,0)+8)</x:f>
      </x:c>
    </x:row>
    <x:row r="39" ht="36" customHeight="1">
      <x:c r="A39" s="50" t="str">
        <x:f>IF(31&gt;$H$4,"",IF(INDEX('Fleet dates'!$A$9:$A$1008,$I39-8)="","",INDEX('Fleet dates'!$A$9:$A$1008,$I39-8)))</x:f>
      </x:c>
      <x:c r="B39" s="50" t="str">
        <x:f>IF(31&gt;$H$4,"",IF(INDEX('Fleet dates'!$B$9:$B$1008,$I39-8)="","",INDEX('Fleet dates'!$B$9:$B$1008,$I39-8)))</x:f>
      </x:c>
      <x:c r="C39" s="51" t="str">
        <x:f>IF(31&gt;$H$4,"",IF(INDEX('Fleet dates'!$C$9:$C$1008,$I39-8)="","",INDEX('Fleet dates'!$C$9:$C$1008,$I39-8)))</x:f>
      </x:c>
      <x:c r="D39" s="51" t="str">
        <x:f>IF(31&gt;$H$4,"",IF(INDEX('Fleet dates'!$D$9:$D$1008,$I39-8)="","",INDEX('Fleet dates'!$D$9:$D$1008,$I39-8)))</x:f>
      </x:c>
      <x:c r="E39" s="51" t="str">
        <x:f>IF(31&gt;$H$4,"",IF(INDEX('Fleet dates'!$E$9:$E$1008,$I39-8)="","",INDEX('Fleet dates'!$E$9:$E$1008,$I39-8)))</x:f>
      </x:c>
      <x:c r="F39" s="51" t="str">
        <x:f>IF(31&gt;$H$4,"",IF(INDEX('Fleet dates'!$F$9:$F$1008,$I39-8)="","",INDEX('Fleet dates'!$F$9:$F$1008,$I39-8)))</x:f>
      </x:c>
      <x:c r="G39" s="50" t="str">
        <x:f>IF(31&gt;$H$4,"",IF(INDEX('Fleet dates'!$G$9:$G$1008,$I39-8)="","",INDEX('Fleet dates'!$G$9:$G$1008,$I39-8)))</x:f>
      </x:c>
      <x:c r="H39" s="50" t="str">
        <x:f>IF(31&gt;$H$4,"",IF(INDEX('Fleet dates'!$I$9:$I$1008,$I39-8)="","",INDEX('Fleet dates'!$I$9:$I$1008,$I39-8)))</x:f>
      </x:c>
      <x:c r="I39" t="str">
        <x:f>IF(31&gt;$H$4,"",MATCH(31,'Fleet dates'!$J$9:$J$1008,0)+8)</x:f>
      </x:c>
    </x:row>
    <x:row r="40" ht="36" customHeight="1">
      <x:c r="A40" s="50" t="str">
        <x:f>IF(32&gt;$H$4,"",IF(INDEX('Fleet dates'!$A$9:$A$1008,$I40-8)="","",INDEX('Fleet dates'!$A$9:$A$1008,$I40-8)))</x:f>
      </x:c>
      <x:c r="B40" s="50" t="str">
        <x:f>IF(32&gt;$H$4,"",IF(INDEX('Fleet dates'!$B$9:$B$1008,$I40-8)="","",INDEX('Fleet dates'!$B$9:$B$1008,$I40-8)))</x:f>
      </x:c>
      <x:c r="C40" s="51" t="str">
        <x:f>IF(32&gt;$H$4,"",IF(INDEX('Fleet dates'!$C$9:$C$1008,$I40-8)="","",INDEX('Fleet dates'!$C$9:$C$1008,$I40-8)))</x:f>
      </x:c>
      <x:c r="D40" s="51" t="str">
        <x:f>IF(32&gt;$H$4,"",IF(INDEX('Fleet dates'!$D$9:$D$1008,$I40-8)="","",INDEX('Fleet dates'!$D$9:$D$1008,$I40-8)))</x:f>
      </x:c>
      <x:c r="E40" s="51" t="str">
        <x:f>IF(32&gt;$H$4,"",IF(INDEX('Fleet dates'!$E$9:$E$1008,$I40-8)="","",INDEX('Fleet dates'!$E$9:$E$1008,$I40-8)))</x:f>
      </x:c>
      <x:c r="F40" s="51" t="str">
        <x:f>IF(32&gt;$H$4,"",IF(INDEX('Fleet dates'!$F$9:$F$1008,$I40-8)="","",INDEX('Fleet dates'!$F$9:$F$1008,$I40-8)))</x:f>
      </x:c>
      <x:c r="G40" s="50" t="str">
        <x:f>IF(32&gt;$H$4,"",IF(INDEX('Fleet dates'!$G$9:$G$1008,$I40-8)="","",INDEX('Fleet dates'!$G$9:$G$1008,$I40-8)))</x:f>
      </x:c>
      <x:c r="H40" s="50" t="str">
        <x:f>IF(32&gt;$H$4,"",IF(INDEX('Fleet dates'!$I$9:$I$1008,$I40-8)="","",INDEX('Fleet dates'!$I$9:$I$1008,$I40-8)))</x:f>
      </x:c>
      <x:c r="I40" t="str">
        <x:f>IF(32&gt;$H$4,"",MATCH(32,'Fleet dates'!$J$9:$J$1008,0)+8)</x:f>
      </x:c>
    </x:row>
    <x:row r="41" ht="36" customHeight="1">
      <x:c r="A41" s="50" t="str">
        <x:f>IF(33&gt;$H$4,"",IF(INDEX('Fleet dates'!$A$9:$A$1008,$I41-8)="","",INDEX('Fleet dates'!$A$9:$A$1008,$I41-8)))</x:f>
      </x:c>
      <x:c r="B41" s="50" t="str">
        <x:f>IF(33&gt;$H$4,"",IF(INDEX('Fleet dates'!$B$9:$B$1008,$I41-8)="","",INDEX('Fleet dates'!$B$9:$B$1008,$I41-8)))</x:f>
      </x:c>
      <x:c r="C41" s="51" t="str">
        <x:f>IF(33&gt;$H$4,"",IF(INDEX('Fleet dates'!$C$9:$C$1008,$I41-8)="","",INDEX('Fleet dates'!$C$9:$C$1008,$I41-8)))</x:f>
      </x:c>
      <x:c r="D41" s="51" t="str">
        <x:f>IF(33&gt;$H$4,"",IF(INDEX('Fleet dates'!$D$9:$D$1008,$I41-8)="","",INDEX('Fleet dates'!$D$9:$D$1008,$I41-8)))</x:f>
      </x:c>
      <x:c r="E41" s="51" t="str">
        <x:f>IF(33&gt;$H$4,"",IF(INDEX('Fleet dates'!$E$9:$E$1008,$I41-8)="","",INDEX('Fleet dates'!$E$9:$E$1008,$I41-8)))</x:f>
      </x:c>
      <x:c r="F41" s="51" t="str">
        <x:f>IF(33&gt;$H$4,"",IF(INDEX('Fleet dates'!$F$9:$F$1008,$I41-8)="","",INDEX('Fleet dates'!$F$9:$F$1008,$I41-8)))</x:f>
      </x:c>
      <x:c r="G41" s="50" t="str">
        <x:f>IF(33&gt;$H$4,"",IF(INDEX('Fleet dates'!$G$9:$G$1008,$I41-8)="","",INDEX('Fleet dates'!$G$9:$G$1008,$I41-8)))</x:f>
      </x:c>
      <x:c r="H41" s="50" t="str">
        <x:f>IF(33&gt;$H$4,"",IF(INDEX('Fleet dates'!$I$9:$I$1008,$I41-8)="","",INDEX('Fleet dates'!$I$9:$I$1008,$I41-8)))</x:f>
      </x:c>
      <x:c r="I41" t="str">
        <x:f>IF(33&gt;$H$4,"",MATCH(33,'Fleet dates'!$J$9:$J$1008,0)+8)</x:f>
      </x:c>
    </x:row>
    <x:row r="42" ht="36" customHeight="1">
      <x:c r="A42" s="50" t="str">
        <x:f>IF(34&gt;$H$4,"",IF(INDEX('Fleet dates'!$A$9:$A$1008,$I42-8)="","",INDEX('Fleet dates'!$A$9:$A$1008,$I42-8)))</x:f>
      </x:c>
      <x:c r="B42" s="50" t="str">
        <x:f>IF(34&gt;$H$4,"",IF(INDEX('Fleet dates'!$B$9:$B$1008,$I42-8)="","",INDEX('Fleet dates'!$B$9:$B$1008,$I42-8)))</x:f>
      </x:c>
      <x:c r="C42" s="51" t="str">
        <x:f>IF(34&gt;$H$4,"",IF(INDEX('Fleet dates'!$C$9:$C$1008,$I42-8)="","",INDEX('Fleet dates'!$C$9:$C$1008,$I42-8)))</x:f>
      </x:c>
      <x:c r="D42" s="51" t="str">
        <x:f>IF(34&gt;$H$4,"",IF(INDEX('Fleet dates'!$D$9:$D$1008,$I42-8)="","",INDEX('Fleet dates'!$D$9:$D$1008,$I42-8)))</x:f>
      </x:c>
      <x:c r="E42" s="51" t="str">
        <x:f>IF(34&gt;$H$4,"",IF(INDEX('Fleet dates'!$E$9:$E$1008,$I42-8)="","",INDEX('Fleet dates'!$E$9:$E$1008,$I42-8)))</x:f>
      </x:c>
      <x:c r="F42" s="51" t="str">
        <x:f>IF(34&gt;$H$4,"",IF(INDEX('Fleet dates'!$F$9:$F$1008,$I42-8)="","",INDEX('Fleet dates'!$F$9:$F$1008,$I42-8)))</x:f>
      </x:c>
      <x:c r="G42" s="50" t="str">
        <x:f>IF(34&gt;$H$4,"",IF(INDEX('Fleet dates'!$G$9:$G$1008,$I42-8)="","",INDEX('Fleet dates'!$G$9:$G$1008,$I42-8)))</x:f>
      </x:c>
      <x:c r="H42" s="50" t="str">
        <x:f>IF(34&gt;$H$4,"",IF(INDEX('Fleet dates'!$I$9:$I$1008,$I42-8)="","",INDEX('Fleet dates'!$I$9:$I$1008,$I42-8)))</x:f>
      </x:c>
      <x:c r="I42" t="str">
        <x:f>IF(34&gt;$H$4,"",MATCH(34,'Fleet dates'!$J$9:$J$1008,0)+8)</x:f>
      </x:c>
    </x:row>
    <x:row r="43" ht="36" customHeight="1">
      <x:c r="A43" s="50" t="str">
        <x:f>IF(35&gt;$H$4,"",IF(INDEX('Fleet dates'!$A$9:$A$1008,$I43-8)="","",INDEX('Fleet dates'!$A$9:$A$1008,$I43-8)))</x:f>
      </x:c>
      <x:c r="B43" s="50" t="str">
        <x:f>IF(35&gt;$H$4,"",IF(INDEX('Fleet dates'!$B$9:$B$1008,$I43-8)="","",INDEX('Fleet dates'!$B$9:$B$1008,$I43-8)))</x:f>
      </x:c>
      <x:c r="C43" s="51" t="str">
        <x:f>IF(35&gt;$H$4,"",IF(INDEX('Fleet dates'!$C$9:$C$1008,$I43-8)="","",INDEX('Fleet dates'!$C$9:$C$1008,$I43-8)))</x:f>
      </x:c>
      <x:c r="D43" s="51" t="str">
        <x:f>IF(35&gt;$H$4,"",IF(INDEX('Fleet dates'!$D$9:$D$1008,$I43-8)="","",INDEX('Fleet dates'!$D$9:$D$1008,$I43-8)))</x:f>
      </x:c>
      <x:c r="E43" s="51" t="str">
        <x:f>IF(35&gt;$H$4,"",IF(INDEX('Fleet dates'!$E$9:$E$1008,$I43-8)="","",INDEX('Fleet dates'!$E$9:$E$1008,$I43-8)))</x:f>
      </x:c>
      <x:c r="F43" s="51" t="str">
        <x:f>IF(35&gt;$H$4,"",IF(INDEX('Fleet dates'!$F$9:$F$1008,$I43-8)="","",INDEX('Fleet dates'!$F$9:$F$1008,$I43-8)))</x:f>
      </x:c>
      <x:c r="G43" s="50" t="str">
        <x:f>IF(35&gt;$H$4,"",IF(INDEX('Fleet dates'!$G$9:$G$1008,$I43-8)="","",INDEX('Fleet dates'!$G$9:$G$1008,$I43-8)))</x:f>
      </x:c>
      <x:c r="H43" s="50" t="str">
        <x:f>IF(35&gt;$H$4,"",IF(INDEX('Fleet dates'!$I$9:$I$1008,$I43-8)="","",INDEX('Fleet dates'!$I$9:$I$1008,$I43-8)))</x:f>
      </x:c>
      <x:c r="I43" t="str">
        <x:f>IF(35&gt;$H$4,"",MATCH(35,'Fleet dates'!$J$9:$J$1008,0)+8)</x:f>
      </x:c>
    </x:row>
    <x:row r="44" ht="36" customHeight="1">
      <x:c r="A44" s="50" t="str">
        <x:f>IF(36&gt;$H$4,"",IF(INDEX('Fleet dates'!$A$9:$A$1008,$I44-8)="","",INDEX('Fleet dates'!$A$9:$A$1008,$I44-8)))</x:f>
      </x:c>
      <x:c r="B44" s="50" t="str">
        <x:f>IF(36&gt;$H$4,"",IF(INDEX('Fleet dates'!$B$9:$B$1008,$I44-8)="","",INDEX('Fleet dates'!$B$9:$B$1008,$I44-8)))</x:f>
      </x:c>
      <x:c r="C44" s="51" t="str">
        <x:f>IF(36&gt;$H$4,"",IF(INDEX('Fleet dates'!$C$9:$C$1008,$I44-8)="","",INDEX('Fleet dates'!$C$9:$C$1008,$I44-8)))</x:f>
      </x:c>
      <x:c r="D44" s="51" t="str">
        <x:f>IF(36&gt;$H$4,"",IF(INDEX('Fleet dates'!$D$9:$D$1008,$I44-8)="","",INDEX('Fleet dates'!$D$9:$D$1008,$I44-8)))</x:f>
      </x:c>
      <x:c r="E44" s="51" t="str">
        <x:f>IF(36&gt;$H$4,"",IF(INDEX('Fleet dates'!$E$9:$E$1008,$I44-8)="","",INDEX('Fleet dates'!$E$9:$E$1008,$I44-8)))</x:f>
      </x:c>
      <x:c r="F44" s="51" t="str">
        <x:f>IF(36&gt;$H$4,"",IF(INDEX('Fleet dates'!$F$9:$F$1008,$I44-8)="","",INDEX('Fleet dates'!$F$9:$F$1008,$I44-8)))</x:f>
      </x:c>
      <x:c r="G44" s="50" t="str">
        <x:f>IF(36&gt;$H$4,"",IF(INDEX('Fleet dates'!$G$9:$G$1008,$I44-8)="","",INDEX('Fleet dates'!$G$9:$G$1008,$I44-8)))</x:f>
      </x:c>
      <x:c r="H44" s="50" t="str">
        <x:f>IF(36&gt;$H$4,"",IF(INDEX('Fleet dates'!$I$9:$I$1008,$I44-8)="","",INDEX('Fleet dates'!$I$9:$I$1008,$I44-8)))</x:f>
      </x:c>
      <x:c r="I44" t="str">
        <x:f>IF(36&gt;$H$4,"",MATCH(36,'Fleet dates'!$J$9:$J$1008,0)+8)</x:f>
      </x:c>
    </x:row>
    <x:row r="45" ht="36" customHeight="1">
      <x:c r="A45" s="50" t="str">
        <x:f>IF(37&gt;$H$4,"",IF(INDEX('Fleet dates'!$A$9:$A$1008,$I45-8)="","",INDEX('Fleet dates'!$A$9:$A$1008,$I45-8)))</x:f>
      </x:c>
      <x:c r="B45" s="50" t="str">
        <x:f>IF(37&gt;$H$4,"",IF(INDEX('Fleet dates'!$B$9:$B$1008,$I45-8)="","",INDEX('Fleet dates'!$B$9:$B$1008,$I45-8)))</x:f>
      </x:c>
      <x:c r="C45" s="51" t="str">
        <x:f>IF(37&gt;$H$4,"",IF(INDEX('Fleet dates'!$C$9:$C$1008,$I45-8)="","",INDEX('Fleet dates'!$C$9:$C$1008,$I45-8)))</x:f>
      </x:c>
      <x:c r="D45" s="51" t="str">
        <x:f>IF(37&gt;$H$4,"",IF(INDEX('Fleet dates'!$D$9:$D$1008,$I45-8)="","",INDEX('Fleet dates'!$D$9:$D$1008,$I45-8)))</x:f>
      </x:c>
      <x:c r="E45" s="51" t="str">
        <x:f>IF(37&gt;$H$4,"",IF(INDEX('Fleet dates'!$E$9:$E$1008,$I45-8)="","",INDEX('Fleet dates'!$E$9:$E$1008,$I45-8)))</x:f>
      </x:c>
      <x:c r="F45" s="51" t="str">
        <x:f>IF(37&gt;$H$4,"",IF(INDEX('Fleet dates'!$F$9:$F$1008,$I45-8)="","",INDEX('Fleet dates'!$F$9:$F$1008,$I45-8)))</x:f>
      </x:c>
      <x:c r="G45" s="50" t="str">
        <x:f>IF(37&gt;$H$4,"",IF(INDEX('Fleet dates'!$G$9:$G$1008,$I45-8)="","",INDEX('Fleet dates'!$G$9:$G$1008,$I45-8)))</x:f>
      </x:c>
      <x:c r="H45" s="50" t="str">
        <x:f>IF(37&gt;$H$4,"",IF(INDEX('Fleet dates'!$I$9:$I$1008,$I45-8)="","",INDEX('Fleet dates'!$I$9:$I$1008,$I45-8)))</x:f>
      </x:c>
      <x:c r="I45" t="str">
        <x:f>IF(37&gt;$H$4,"",MATCH(37,'Fleet dates'!$J$9:$J$1008,0)+8)</x:f>
      </x:c>
    </x:row>
    <x:row r="46" ht="36" customHeight="1">
      <x:c r="A46" s="50" t="str">
        <x:f>IF(38&gt;$H$4,"",IF(INDEX('Fleet dates'!$A$9:$A$1008,$I46-8)="","",INDEX('Fleet dates'!$A$9:$A$1008,$I46-8)))</x:f>
      </x:c>
      <x:c r="B46" s="50" t="str">
        <x:f>IF(38&gt;$H$4,"",IF(INDEX('Fleet dates'!$B$9:$B$1008,$I46-8)="","",INDEX('Fleet dates'!$B$9:$B$1008,$I46-8)))</x:f>
      </x:c>
      <x:c r="C46" s="51" t="str">
        <x:f>IF(38&gt;$H$4,"",IF(INDEX('Fleet dates'!$C$9:$C$1008,$I46-8)="","",INDEX('Fleet dates'!$C$9:$C$1008,$I46-8)))</x:f>
      </x:c>
      <x:c r="D46" s="51" t="str">
        <x:f>IF(38&gt;$H$4,"",IF(INDEX('Fleet dates'!$D$9:$D$1008,$I46-8)="","",INDEX('Fleet dates'!$D$9:$D$1008,$I46-8)))</x:f>
      </x:c>
      <x:c r="E46" s="51" t="str">
        <x:f>IF(38&gt;$H$4,"",IF(INDEX('Fleet dates'!$E$9:$E$1008,$I46-8)="","",INDEX('Fleet dates'!$E$9:$E$1008,$I46-8)))</x:f>
      </x:c>
      <x:c r="F46" s="51" t="str">
        <x:f>IF(38&gt;$H$4,"",IF(INDEX('Fleet dates'!$F$9:$F$1008,$I46-8)="","",INDEX('Fleet dates'!$F$9:$F$1008,$I46-8)))</x:f>
      </x:c>
      <x:c r="G46" s="50" t="str">
        <x:f>IF(38&gt;$H$4,"",IF(INDEX('Fleet dates'!$G$9:$G$1008,$I46-8)="","",INDEX('Fleet dates'!$G$9:$G$1008,$I46-8)))</x:f>
      </x:c>
      <x:c r="H46" s="50" t="str">
        <x:f>IF(38&gt;$H$4,"",IF(INDEX('Fleet dates'!$I$9:$I$1008,$I46-8)="","",INDEX('Fleet dates'!$I$9:$I$1008,$I46-8)))</x:f>
      </x:c>
      <x:c r="I46" t="str">
        <x:f>IF(38&gt;$H$4,"",MATCH(38,'Fleet dates'!$J$9:$J$1008,0)+8)</x:f>
      </x:c>
    </x:row>
    <x:row r="47" ht="36" customHeight="1">
      <x:c r="A47" s="50" t="str">
        <x:f>IF(39&gt;$H$4,"",IF(INDEX('Fleet dates'!$A$9:$A$1008,$I47-8)="","",INDEX('Fleet dates'!$A$9:$A$1008,$I47-8)))</x:f>
      </x:c>
      <x:c r="B47" s="50" t="str">
        <x:f>IF(39&gt;$H$4,"",IF(INDEX('Fleet dates'!$B$9:$B$1008,$I47-8)="","",INDEX('Fleet dates'!$B$9:$B$1008,$I47-8)))</x:f>
      </x:c>
      <x:c r="C47" s="51" t="str">
        <x:f>IF(39&gt;$H$4,"",IF(INDEX('Fleet dates'!$C$9:$C$1008,$I47-8)="","",INDEX('Fleet dates'!$C$9:$C$1008,$I47-8)))</x:f>
      </x:c>
      <x:c r="D47" s="51" t="str">
        <x:f>IF(39&gt;$H$4,"",IF(INDEX('Fleet dates'!$D$9:$D$1008,$I47-8)="","",INDEX('Fleet dates'!$D$9:$D$1008,$I47-8)))</x:f>
      </x:c>
      <x:c r="E47" s="51" t="str">
        <x:f>IF(39&gt;$H$4,"",IF(INDEX('Fleet dates'!$E$9:$E$1008,$I47-8)="","",INDEX('Fleet dates'!$E$9:$E$1008,$I47-8)))</x:f>
      </x:c>
      <x:c r="F47" s="51" t="str">
        <x:f>IF(39&gt;$H$4,"",IF(INDEX('Fleet dates'!$F$9:$F$1008,$I47-8)="","",INDEX('Fleet dates'!$F$9:$F$1008,$I47-8)))</x:f>
      </x:c>
      <x:c r="G47" s="50" t="str">
        <x:f>IF(39&gt;$H$4,"",IF(INDEX('Fleet dates'!$G$9:$G$1008,$I47-8)="","",INDEX('Fleet dates'!$G$9:$G$1008,$I47-8)))</x:f>
      </x:c>
      <x:c r="H47" s="50" t="str">
        <x:f>IF(39&gt;$H$4,"",IF(INDEX('Fleet dates'!$I$9:$I$1008,$I47-8)="","",INDEX('Fleet dates'!$I$9:$I$1008,$I47-8)))</x:f>
      </x:c>
      <x:c r="I47" t="str">
        <x:f>IF(39&gt;$H$4,"",MATCH(39,'Fleet dates'!$J$9:$J$1008,0)+8)</x:f>
      </x:c>
    </x:row>
    <x:row r="48" ht="36" customHeight="1">
      <x:c r="A48" s="50" t="str">
        <x:f>IF(40&gt;$H$4,"",IF(INDEX('Fleet dates'!$A$9:$A$1008,$I48-8)="","",INDEX('Fleet dates'!$A$9:$A$1008,$I48-8)))</x:f>
      </x:c>
      <x:c r="B48" s="50" t="str">
        <x:f>IF(40&gt;$H$4,"",IF(INDEX('Fleet dates'!$B$9:$B$1008,$I48-8)="","",INDEX('Fleet dates'!$B$9:$B$1008,$I48-8)))</x:f>
      </x:c>
      <x:c r="C48" s="51" t="str">
        <x:f>IF(40&gt;$H$4,"",IF(INDEX('Fleet dates'!$C$9:$C$1008,$I48-8)="","",INDEX('Fleet dates'!$C$9:$C$1008,$I48-8)))</x:f>
      </x:c>
      <x:c r="D48" s="51" t="str">
        <x:f>IF(40&gt;$H$4,"",IF(INDEX('Fleet dates'!$D$9:$D$1008,$I48-8)="","",INDEX('Fleet dates'!$D$9:$D$1008,$I48-8)))</x:f>
      </x:c>
      <x:c r="E48" s="51" t="str">
        <x:f>IF(40&gt;$H$4,"",IF(INDEX('Fleet dates'!$E$9:$E$1008,$I48-8)="","",INDEX('Fleet dates'!$E$9:$E$1008,$I48-8)))</x:f>
      </x:c>
      <x:c r="F48" s="51" t="str">
        <x:f>IF(40&gt;$H$4,"",IF(INDEX('Fleet dates'!$F$9:$F$1008,$I48-8)="","",INDEX('Fleet dates'!$F$9:$F$1008,$I48-8)))</x:f>
      </x:c>
      <x:c r="G48" s="50" t="str">
        <x:f>IF(40&gt;$H$4,"",IF(INDEX('Fleet dates'!$G$9:$G$1008,$I48-8)="","",INDEX('Fleet dates'!$G$9:$G$1008,$I48-8)))</x:f>
      </x:c>
      <x:c r="H48" s="50" t="str">
        <x:f>IF(40&gt;$H$4,"",IF(INDEX('Fleet dates'!$I$9:$I$1008,$I48-8)="","",INDEX('Fleet dates'!$I$9:$I$1008,$I48-8)))</x:f>
      </x:c>
      <x:c r="I48" t="str">
        <x:f>IF(40&gt;$H$4,"",MATCH(40,'Fleet dates'!$J$9:$J$1008,0)+8)</x:f>
      </x:c>
    </x:row>
    <x:row r="49" ht="36" customHeight="1">
      <x:c r="A49" s="50" t="str">
        <x:f>IF(41&gt;$H$4,"",IF(INDEX('Fleet dates'!$A$9:$A$1008,$I49-8)="","",INDEX('Fleet dates'!$A$9:$A$1008,$I49-8)))</x:f>
      </x:c>
      <x:c r="B49" s="50" t="str">
        <x:f>IF(41&gt;$H$4,"",IF(INDEX('Fleet dates'!$B$9:$B$1008,$I49-8)="","",INDEX('Fleet dates'!$B$9:$B$1008,$I49-8)))</x:f>
      </x:c>
      <x:c r="C49" s="51" t="str">
        <x:f>IF(41&gt;$H$4,"",IF(INDEX('Fleet dates'!$C$9:$C$1008,$I49-8)="","",INDEX('Fleet dates'!$C$9:$C$1008,$I49-8)))</x:f>
      </x:c>
      <x:c r="D49" s="51" t="str">
        <x:f>IF(41&gt;$H$4,"",IF(INDEX('Fleet dates'!$D$9:$D$1008,$I49-8)="","",INDEX('Fleet dates'!$D$9:$D$1008,$I49-8)))</x:f>
      </x:c>
      <x:c r="E49" s="51" t="str">
        <x:f>IF(41&gt;$H$4,"",IF(INDEX('Fleet dates'!$E$9:$E$1008,$I49-8)="","",INDEX('Fleet dates'!$E$9:$E$1008,$I49-8)))</x:f>
      </x:c>
      <x:c r="F49" s="51" t="str">
        <x:f>IF(41&gt;$H$4,"",IF(INDEX('Fleet dates'!$F$9:$F$1008,$I49-8)="","",INDEX('Fleet dates'!$F$9:$F$1008,$I49-8)))</x:f>
      </x:c>
      <x:c r="G49" s="50" t="str">
        <x:f>IF(41&gt;$H$4,"",IF(INDEX('Fleet dates'!$G$9:$G$1008,$I49-8)="","",INDEX('Fleet dates'!$G$9:$G$1008,$I49-8)))</x:f>
      </x:c>
      <x:c r="H49" s="50" t="str">
        <x:f>IF(41&gt;$H$4,"",IF(INDEX('Fleet dates'!$I$9:$I$1008,$I49-8)="","",INDEX('Fleet dates'!$I$9:$I$1008,$I49-8)))</x:f>
      </x:c>
      <x:c r="I49" t="str">
        <x:f>IF(41&gt;$H$4,"",MATCH(41,'Fleet dates'!$J$9:$J$1008,0)+8)</x:f>
      </x:c>
    </x:row>
    <x:row r="50" ht="36" customHeight="1">
      <x:c r="A50" s="50" t="str">
        <x:f>IF(42&gt;$H$4,"",IF(INDEX('Fleet dates'!$A$9:$A$1008,$I50-8)="","",INDEX('Fleet dates'!$A$9:$A$1008,$I50-8)))</x:f>
      </x:c>
      <x:c r="B50" s="50" t="str">
        <x:f>IF(42&gt;$H$4,"",IF(INDEX('Fleet dates'!$B$9:$B$1008,$I50-8)="","",INDEX('Fleet dates'!$B$9:$B$1008,$I50-8)))</x:f>
      </x:c>
      <x:c r="C50" s="51" t="str">
        <x:f>IF(42&gt;$H$4,"",IF(INDEX('Fleet dates'!$C$9:$C$1008,$I50-8)="","",INDEX('Fleet dates'!$C$9:$C$1008,$I50-8)))</x:f>
      </x:c>
      <x:c r="D50" s="51" t="str">
        <x:f>IF(42&gt;$H$4,"",IF(INDEX('Fleet dates'!$D$9:$D$1008,$I50-8)="","",INDEX('Fleet dates'!$D$9:$D$1008,$I50-8)))</x:f>
      </x:c>
      <x:c r="E50" s="51" t="str">
        <x:f>IF(42&gt;$H$4,"",IF(INDEX('Fleet dates'!$E$9:$E$1008,$I50-8)="","",INDEX('Fleet dates'!$E$9:$E$1008,$I50-8)))</x:f>
      </x:c>
      <x:c r="F50" s="51" t="str">
        <x:f>IF(42&gt;$H$4,"",IF(INDEX('Fleet dates'!$F$9:$F$1008,$I50-8)="","",INDEX('Fleet dates'!$F$9:$F$1008,$I50-8)))</x:f>
      </x:c>
      <x:c r="G50" s="50" t="str">
        <x:f>IF(42&gt;$H$4,"",IF(INDEX('Fleet dates'!$G$9:$G$1008,$I50-8)="","",INDEX('Fleet dates'!$G$9:$G$1008,$I50-8)))</x:f>
      </x:c>
      <x:c r="H50" s="50" t="str">
        <x:f>IF(42&gt;$H$4,"",IF(INDEX('Fleet dates'!$I$9:$I$1008,$I50-8)="","",INDEX('Fleet dates'!$I$9:$I$1008,$I50-8)))</x:f>
      </x:c>
      <x:c r="I50" t="str">
        <x:f>IF(42&gt;$H$4,"",MATCH(42,'Fleet dates'!$J$9:$J$1008,0)+8)</x:f>
      </x:c>
    </x:row>
    <x:row r="51" ht="36" customHeight="1">
      <x:c r="A51" s="50" t="str">
        <x:f>IF(43&gt;$H$4,"",IF(INDEX('Fleet dates'!$A$9:$A$1008,$I51-8)="","",INDEX('Fleet dates'!$A$9:$A$1008,$I51-8)))</x:f>
      </x:c>
      <x:c r="B51" s="50" t="str">
        <x:f>IF(43&gt;$H$4,"",IF(INDEX('Fleet dates'!$B$9:$B$1008,$I51-8)="","",INDEX('Fleet dates'!$B$9:$B$1008,$I51-8)))</x:f>
      </x:c>
      <x:c r="C51" s="51" t="str">
        <x:f>IF(43&gt;$H$4,"",IF(INDEX('Fleet dates'!$C$9:$C$1008,$I51-8)="","",INDEX('Fleet dates'!$C$9:$C$1008,$I51-8)))</x:f>
      </x:c>
      <x:c r="D51" s="51" t="str">
        <x:f>IF(43&gt;$H$4,"",IF(INDEX('Fleet dates'!$D$9:$D$1008,$I51-8)="","",INDEX('Fleet dates'!$D$9:$D$1008,$I51-8)))</x:f>
      </x:c>
      <x:c r="E51" s="51" t="str">
        <x:f>IF(43&gt;$H$4,"",IF(INDEX('Fleet dates'!$E$9:$E$1008,$I51-8)="","",INDEX('Fleet dates'!$E$9:$E$1008,$I51-8)))</x:f>
      </x:c>
      <x:c r="F51" s="51" t="str">
        <x:f>IF(43&gt;$H$4,"",IF(INDEX('Fleet dates'!$F$9:$F$1008,$I51-8)="","",INDEX('Fleet dates'!$F$9:$F$1008,$I51-8)))</x:f>
      </x:c>
      <x:c r="G51" s="50" t="str">
        <x:f>IF(43&gt;$H$4,"",IF(INDEX('Fleet dates'!$G$9:$G$1008,$I51-8)="","",INDEX('Fleet dates'!$G$9:$G$1008,$I51-8)))</x:f>
      </x:c>
      <x:c r="H51" s="50" t="str">
        <x:f>IF(43&gt;$H$4,"",IF(INDEX('Fleet dates'!$I$9:$I$1008,$I51-8)="","",INDEX('Fleet dates'!$I$9:$I$1008,$I51-8)))</x:f>
      </x:c>
      <x:c r="I51" t="str">
        <x:f>IF(43&gt;$H$4,"",MATCH(43,'Fleet dates'!$J$9:$J$1008,0)+8)</x:f>
      </x:c>
    </x:row>
    <x:row r="52" ht="36" customHeight="1">
      <x:c r="A52" s="50" t="str">
        <x:f>IF(44&gt;$H$4,"",IF(INDEX('Fleet dates'!$A$9:$A$1008,$I52-8)="","",INDEX('Fleet dates'!$A$9:$A$1008,$I52-8)))</x:f>
      </x:c>
      <x:c r="B52" s="50" t="str">
        <x:f>IF(44&gt;$H$4,"",IF(INDEX('Fleet dates'!$B$9:$B$1008,$I52-8)="","",INDEX('Fleet dates'!$B$9:$B$1008,$I52-8)))</x:f>
      </x:c>
      <x:c r="C52" s="51" t="str">
        <x:f>IF(44&gt;$H$4,"",IF(INDEX('Fleet dates'!$C$9:$C$1008,$I52-8)="","",INDEX('Fleet dates'!$C$9:$C$1008,$I52-8)))</x:f>
      </x:c>
      <x:c r="D52" s="51" t="str">
        <x:f>IF(44&gt;$H$4,"",IF(INDEX('Fleet dates'!$D$9:$D$1008,$I52-8)="","",INDEX('Fleet dates'!$D$9:$D$1008,$I52-8)))</x:f>
      </x:c>
      <x:c r="E52" s="51" t="str">
        <x:f>IF(44&gt;$H$4,"",IF(INDEX('Fleet dates'!$E$9:$E$1008,$I52-8)="","",INDEX('Fleet dates'!$E$9:$E$1008,$I52-8)))</x:f>
      </x:c>
      <x:c r="F52" s="51" t="str">
        <x:f>IF(44&gt;$H$4,"",IF(INDEX('Fleet dates'!$F$9:$F$1008,$I52-8)="","",INDEX('Fleet dates'!$F$9:$F$1008,$I52-8)))</x:f>
      </x:c>
      <x:c r="G52" s="50" t="str">
        <x:f>IF(44&gt;$H$4,"",IF(INDEX('Fleet dates'!$G$9:$G$1008,$I52-8)="","",INDEX('Fleet dates'!$G$9:$G$1008,$I52-8)))</x:f>
      </x:c>
      <x:c r="H52" s="50" t="str">
        <x:f>IF(44&gt;$H$4,"",IF(INDEX('Fleet dates'!$I$9:$I$1008,$I52-8)="","",INDEX('Fleet dates'!$I$9:$I$1008,$I52-8)))</x:f>
      </x:c>
      <x:c r="I52" t="str">
        <x:f>IF(44&gt;$H$4,"",MATCH(44,'Fleet dates'!$J$9:$J$1008,0)+8)</x:f>
      </x:c>
    </x:row>
    <x:row r="53" ht="36" customHeight="1">
      <x:c r="A53" s="50" t="str">
        <x:f>IF(45&gt;$H$4,"",IF(INDEX('Fleet dates'!$A$9:$A$1008,$I53-8)="","",INDEX('Fleet dates'!$A$9:$A$1008,$I53-8)))</x:f>
      </x:c>
      <x:c r="B53" s="50" t="str">
        <x:f>IF(45&gt;$H$4,"",IF(INDEX('Fleet dates'!$B$9:$B$1008,$I53-8)="","",INDEX('Fleet dates'!$B$9:$B$1008,$I53-8)))</x:f>
      </x:c>
      <x:c r="C53" s="51" t="str">
        <x:f>IF(45&gt;$H$4,"",IF(INDEX('Fleet dates'!$C$9:$C$1008,$I53-8)="","",INDEX('Fleet dates'!$C$9:$C$1008,$I53-8)))</x:f>
      </x:c>
      <x:c r="D53" s="51" t="str">
        <x:f>IF(45&gt;$H$4,"",IF(INDEX('Fleet dates'!$D$9:$D$1008,$I53-8)="","",INDEX('Fleet dates'!$D$9:$D$1008,$I53-8)))</x:f>
      </x:c>
      <x:c r="E53" s="51" t="str">
        <x:f>IF(45&gt;$H$4,"",IF(INDEX('Fleet dates'!$E$9:$E$1008,$I53-8)="","",INDEX('Fleet dates'!$E$9:$E$1008,$I53-8)))</x:f>
      </x:c>
      <x:c r="F53" s="51" t="str">
        <x:f>IF(45&gt;$H$4,"",IF(INDEX('Fleet dates'!$F$9:$F$1008,$I53-8)="","",INDEX('Fleet dates'!$F$9:$F$1008,$I53-8)))</x:f>
      </x:c>
      <x:c r="G53" s="50" t="str">
        <x:f>IF(45&gt;$H$4,"",IF(INDEX('Fleet dates'!$G$9:$G$1008,$I53-8)="","",INDEX('Fleet dates'!$G$9:$G$1008,$I53-8)))</x:f>
      </x:c>
      <x:c r="H53" s="50" t="str">
        <x:f>IF(45&gt;$H$4,"",IF(INDEX('Fleet dates'!$I$9:$I$1008,$I53-8)="","",INDEX('Fleet dates'!$I$9:$I$1008,$I53-8)))</x:f>
      </x:c>
      <x:c r="I53" t="str">
        <x:f>IF(45&gt;$H$4,"",MATCH(45,'Fleet dates'!$J$9:$J$1008,0)+8)</x:f>
      </x:c>
    </x:row>
    <x:row r="54" ht="36" customHeight="1">
      <x:c r="A54" s="50" t="str">
        <x:f>IF(46&gt;$H$4,"",IF(INDEX('Fleet dates'!$A$9:$A$1008,$I54-8)="","",INDEX('Fleet dates'!$A$9:$A$1008,$I54-8)))</x:f>
      </x:c>
      <x:c r="B54" s="50" t="str">
        <x:f>IF(46&gt;$H$4,"",IF(INDEX('Fleet dates'!$B$9:$B$1008,$I54-8)="","",INDEX('Fleet dates'!$B$9:$B$1008,$I54-8)))</x:f>
      </x:c>
      <x:c r="C54" s="51" t="str">
        <x:f>IF(46&gt;$H$4,"",IF(INDEX('Fleet dates'!$C$9:$C$1008,$I54-8)="","",INDEX('Fleet dates'!$C$9:$C$1008,$I54-8)))</x:f>
      </x:c>
      <x:c r="D54" s="51" t="str">
        <x:f>IF(46&gt;$H$4,"",IF(INDEX('Fleet dates'!$D$9:$D$1008,$I54-8)="","",INDEX('Fleet dates'!$D$9:$D$1008,$I54-8)))</x:f>
      </x:c>
      <x:c r="E54" s="51" t="str">
        <x:f>IF(46&gt;$H$4,"",IF(INDEX('Fleet dates'!$E$9:$E$1008,$I54-8)="","",INDEX('Fleet dates'!$E$9:$E$1008,$I54-8)))</x:f>
      </x:c>
      <x:c r="F54" s="51" t="str">
        <x:f>IF(46&gt;$H$4,"",IF(INDEX('Fleet dates'!$F$9:$F$1008,$I54-8)="","",INDEX('Fleet dates'!$F$9:$F$1008,$I54-8)))</x:f>
      </x:c>
      <x:c r="G54" s="50" t="str">
        <x:f>IF(46&gt;$H$4,"",IF(INDEX('Fleet dates'!$G$9:$G$1008,$I54-8)="","",INDEX('Fleet dates'!$G$9:$G$1008,$I54-8)))</x:f>
      </x:c>
      <x:c r="H54" s="50" t="str">
        <x:f>IF(46&gt;$H$4,"",IF(INDEX('Fleet dates'!$I$9:$I$1008,$I54-8)="","",INDEX('Fleet dates'!$I$9:$I$1008,$I54-8)))</x:f>
      </x:c>
      <x:c r="I54" t="str">
        <x:f>IF(46&gt;$H$4,"",MATCH(46,'Fleet dates'!$J$9:$J$1008,0)+8)</x:f>
      </x:c>
    </x:row>
    <x:row r="55" ht="36" customHeight="1">
      <x:c r="A55" s="50" t="str">
        <x:f>IF(47&gt;$H$4,"",IF(INDEX('Fleet dates'!$A$9:$A$1008,$I55-8)="","",INDEX('Fleet dates'!$A$9:$A$1008,$I55-8)))</x:f>
      </x:c>
      <x:c r="B55" s="50" t="str">
        <x:f>IF(47&gt;$H$4,"",IF(INDEX('Fleet dates'!$B$9:$B$1008,$I55-8)="","",INDEX('Fleet dates'!$B$9:$B$1008,$I55-8)))</x:f>
      </x:c>
      <x:c r="C55" s="51" t="str">
        <x:f>IF(47&gt;$H$4,"",IF(INDEX('Fleet dates'!$C$9:$C$1008,$I55-8)="","",INDEX('Fleet dates'!$C$9:$C$1008,$I55-8)))</x:f>
      </x:c>
      <x:c r="D55" s="51" t="str">
        <x:f>IF(47&gt;$H$4,"",IF(INDEX('Fleet dates'!$D$9:$D$1008,$I55-8)="","",INDEX('Fleet dates'!$D$9:$D$1008,$I55-8)))</x:f>
      </x:c>
      <x:c r="E55" s="51" t="str">
        <x:f>IF(47&gt;$H$4,"",IF(INDEX('Fleet dates'!$E$9:$E$1008,$I55-8)="","",INDEX('Fleet dates'!$E$9:$E$1008,$I55-8)))</x:f>
      </x:c>
      <x:c r="F55" s="51" t="str">
        <x:f>IF(47&gt;$H$4,"",IF(INDEX('Fleet dates'!$F$9:$F$1008,$I55-8)="","",INDEX('Fleet dates'!$F$9:$F$1008,$I55-8)))</x:f>
      </x:c>
      <x:c r="G55" s="50" t="str">
        <x:f>IF(47&gt;$H$4,"",IF(INDEX('Fleet dates'!$G$9:$G$1008,$I55-8)="","",INDEX('Fleet dates'!$G$9:$G$1008,$I55-8)))</x:f>
      </x:c>
      <x:c r="H55" s="50" t="str">
        <x:f>IF(47&gt;$H$4,"",IF(INDEX('Fleet dates'!$I$9:$I$1008,$I55-8)="","",INDEX('Fleet dates'!$I$9:$I$1008,$I55-8)))</x:f>
      </x:c>
      <x:c r="I55" t="str">
        <x:f>IF(47&gt;$H$4,"",MATCH(47,'Fleet dates'!$J$9:$J$1008,0)+8)</x:f>
      </x:c>
    </x:row>
    <x:row r="56" ht="36" customHeight="1">
      <x:c r="A56" s="50" t="str">
        <x:f>IF(48&gt;$H$4,"",IF(INDEX('Fleet dates'!$A$9:$A$1008,$I56-8)="","",INDEX('Fleet dates'!$A$9:$A$1008,$I56-8)))</x:f>
      </x:c>
      <x:c r="B56" s="50" t="str">
        <x:f>IF(48&gt;$H$4,"",IF(INDEX('Fleet dates'!$B$9:$B$1008,$I56-8)="","",INDEX('Fleet dates'!$B$9:$B$1008,$I56-8)))</x:f>
      </x:c>
      <x:c r="C56" s="51" t="str">
        <x:f>IF(48&gt;$H$4,"",IF(INDEX('Fleet dates'!$C$9:$C$1008,$I56-8)="","",INDEX('Fleet dates'!$C$9:$C$1008,$I56-8)))</x:f>
      </x:c>
      <x:c r="D56" s="51" t="str">
        <x:f>IF(48&gt;$H$4,"",IF(INDEX('Fleet dates'!$D$9:$D$1008,$I56-8)="","",INDEX('Fleet dates'!$D$9:$D$1008,$I56-8)))</x:f>
      </x:c>
      <x:c r="E56" s="51" t="str">
        <x:f>IF(48&gt;$H$4,"",IF(INDEX('Fleet dates'!$E$9:$E$1008,$I56-8)="","",INDEX('Fleet dates'!$E$9:$E$1008,$I56-8)))</x:f>
      </x:c>
      <x:c r="F56" s="51" t="str">
        <x:f>IF(48&gt;$H$4,"",IF(INDEX('Fleet dates'!$F$9:$F$1008,$I56-8)="","",INDEX('Fleet dates'!$F$9:$F$1008,$I56-8)))</x:f>
      </x:c>
      <x:c r="G56" s="50" t="str">
        <x:f>IF(48&gt;$H$4,"",IF(INDEX('Fleet dates'!$G$9:$G$1008,$I56-8)="","",INDEX('Fleet dates'!$G$9:$G$1008,$I56-8)))</x:f>
      </x:c>
      <x:c r="H56" s="50" t="str">
        <x:f>IF(48&gt;$H$4,"",IF(INDEX('Fleet dates'!$I$9:$I$1008,$I56-8)="","",INDEX('Fleet dates'!$I$9:$I$1008,$I56-8)))</x:f>
      </x:c>
      <x:c r="I56" t="str">
        <x:f>IF(48&gt;$H$4,"",MATCH(48,'Fleet dates'!$J$9:$J$1008,0)+8)</x:f>
      </x:c>
    </x:row>
    <x:row r="57" ht="36" customHeight="1">
      <x:c r="A57" s="50" t="str">
        <x:f>IF(49&gt;$H$4,"",IF(INDEX('Fleet dates'!$A$9:$A$1008,$I57-8)="","",INDEX('Fleet dates'!$A$9:$A$1008,$I57-8)))</x:f>
      </x:c>
      <x:c r="B57" s="50" t="str">
        <x:f>IF(49&gt;$H$4,"",IF(INDEX('Fleet dates'!$B$9:$B$1008,$I57-8)="","",INDEX('Fleet dates'!$B$9:$B$1008,$I57-8)))</x:f>
      </x:c>
      <x:c r="C57" s="51" t="str">
        <x:f>IF(49&gt;$H$4,"",IF(INDEX('Fleet dates'!$C$9:$C$1008,$I57-8)="","",INDEX('Fleet dates'!$C$9:$C$1008,$I57-8)))</x:f>
      </x:c>
      <x:c r="D57" s="51" t="str">
        <x:f>IF(49&gt;$H$4,"",IF(INDEX('Fleet dates'!$D$9:$D$1008,$I57-8)="","",INDEX('Fleet dates'!$D$9:$D$1008,$I57-8)))</x:f>
      </x:c>
      <x:c r="E57" s="51" t="str">
        <x:f>IF(49&gt;$H$4,"",IF(INDEX('Fleet dates'!$E$9:$E$1008,$I57-8)="","",INDEX('Fleet dates'!$E$9:$E$1008,$I57-8)))</x:f>
      </x:c>
      <x:c r="F57" s="51" t="str">
        <x:f>IF(49&gt;$H$4,"",IF(INDEX('Fleet dates'!$F$9:$F$1008,$I57-8)="","",INDEX('Fleet dates'!$F$9:$F$1008,$I57-8)))</x:f>
      </x:c>
      <x:c r="G57" s="50" t="str">
        <x:f>IF(49&gt;$H$4,"",IF(INDEX('Fleet dates'!$G$9:$G$1008,$I57-8)="","",INDEX('Fleet dates'!$G$9:$G$1008,$I57-8)))</x:f>
      </x:c>
      <x:c r="H57" s="50" t="str">
        <x:f>IF(49&gt;$H$4,"",IF(INDEX('Fleet dates'!$I$9:$I$1008,$I57-8)="","",INDEX('Fleet dates'!$I$9:$I$1008,$I57-8)))</x:f>
      </x:c>
      <x:c r="I57" t="str">
        <x:f>IF(49&gt;$H$4,"",MATCH(49,'Fleet dates'!$J$9:$J$1008,0)+8)</x:f>
      </x:c>
    </x:row>
    <x:row r="58" ht="36" customHeight="1">
      <x:c r="A58" s="50" t="str">
        <x:f>IF(50&gt;$H$4,"",IF(INDEX('Fleet dates'!$A$9:$A$1008,$I58-8)="","",INDEX('Fleet dates'!$A$9:$A$1008,$I58-8)))</x:f>
      </x:c>
      <x:c r="B58" s="50" t="str">
        <x:f>IF(50&gt;$H$4,"",IF(INDEX('Fleet dates'!$B$9:$B$1008,$I58-8)="","",INDEX('Fleet dates'!$B$9:$B$1008,$I58-8)))</x:f>
      </x:c>
      <x:c r="C58" s="51" t="str">
        <x:f>IF(50&gt;$H$4,"",IF(INDEX('Fleet dates'!$C$9:$C$1008,$I58-8)="","",INDEX('Fleet dates'!$C$9:$C$1008,$I58-8)))</x:f>
      </x:c>
      <x:c r="D58" s="51" t="str">
        <x:f>IF(50&gt;$H$4,"",IF(INDEX('Fleet dates'!$D$9:$D$1008,$I58-8)="","",INDEX('Fleet dates'!$D$9:$D$1008,$I58-8)))</x:f>
      </x:c>
      <x:c r="E58" s="51" t="str">
        <x:f>IF(50&gt;$H$4,"",IF(INDEX('Fleet dates'!$E$9:$E$1008,$I58-8)="","",INDEX('Fleet dates'!$E$9:$E$1008,$I58-8)))</x:f>
      </x:c>
      <x:c r="F58" s="51" t="str">
        <x:f>IF(50&gt;$H$4,"",IF(INDEX('Fleet dates'!$F$9:$F$1008,$I58-8)="","",INDEX('Fleet dates'!$F$9:$F$1008,$I58-8)))</x:f>
      </x:c>
      <x:c r="G58" s="50" t="str">
        <x:f>IF(50&gt;$H$4,"",IF(INDEX('Fleet dates'!$G$9:$G$1008,$I58-8)="","",INDEX('Fleet dates'!$G$9:$G$1008,$I58-8)))</x:f>
      </x:c>
      <x:c r="H58" s="50" t="str">
        <x:f>IF(50&gt;$H$4,"",IF(INDEX('Fleet dates'!$I$9:$I$1008,$I58-8)="","",INDEX('Fleet dates'!$I$9:$I$1008,$I58-8)))</x:f>
      </x:c>
      <x:c r="I58" t="str">
        <x:f>IF(50&gt;$H$4,"",MATCH(50,'Fleet dates'!$J$9:$J$1008,0)+8)</x:f>
      </x:c>
    </x:row>
    <x:row r="59" ht="36" customHeight="1">
      <x:c r="A59" s="50" t="str">
        <x:f>IF(51&gt;$H$4,"",IF(INDEX('Fleet dates'!$A$9:$A$1008,$I59-8)="","",INDEX('Fleet dates'!$A$9:$A$1008,$I59-8)))</x:f>
      </x:c>
      <x:c r="B59" s="50" t="str">
        <x:f>IF(51&gt;$H$4,"",IF(INDEX('Fleet dates'!$B$9:$B$1008,$I59-8)="","",INDEX('Fleet dates'!$B$9:$B$1008,$I59-8)))</x:f>
      </x:c>
      <x:c r="C59" s="51" t="str">
        <x:f>IF(51&gt;$H$4,"",IF(INDEX('Fleet dates'!$C$9:$C$1008,$I59-8)="","",INDEX('Fleet dates'!$C$9:$C$1008,$I59-8)))</x:f>
      </x:c>
      <x:c r="D59" s="51" t="str">
        <x:f>IF(51&gt;$H$4,"",IF(INDEX('Fleet dates'!$D$9:$D$1008,$I59-8)="","",INDEX('Fleet dates'!$D$9:$D$1008,$I59-8)))</x:f>
      </x:c>
      <x:c r="E59" s="51" t="str">
        <x:f>IF(51&gt;$H$4,"",IF(INDEX('Fleet dates'!$E$9:$E$1008,$I59-8)="","",INDEX('Fleet dates'!$E$9:$E$1008,$I59-8)))</x:f>
      </x:c>
      <x:c r="F59" s="51" t="str">
        <x:f>IF(51&gt;$H$4,"",IF(INDEX('Fleet dates'!$F$9:$F$1008,$I59-8)="","",INDEX('Fleet dates'!$F$9:$F$1008,$I59-8)))</x:f>
      </x:c>
      <x:c r="G59" s="50" t="str">
        <x:f>IF(51&gt;$H$4,"",IF(INDEX('Fleet dates'!$G$9:$G$1008,$I59-8)="","",INDEX('Fleet dates'!$G$9:$G$1008,$I59-8)))</x:f>
      </x:c>
      <x:c r="H59" s="50" t="str">
        <x:f>IF(51&gt;$H$4,"",IF(INDEX('Fleet dates'!$I$9:$I$1008,$I59-8)="","",INDEX('Fleet dates'!$I$9:$I$1008,$I59-8)))</x:f>
      </x:c>
      <x:c r="I59" t="str">
        <x:f>IF(51&gt;$H$4,"",MATCH(51,'Fleet dates'!$J$9:$J$1008,0)+8)</x:f>
      </x:c>
    </x:row>
    <x:row r="60" ht="36" customHeight="1">
      <x:c r="A60" s="50" t="str">
        <x:f>IF(52&gt;$H$4,"",IF(INDEX('Fleet dates'!$A$9:$A$1008,$I60-8)="","",INDEX('Fleet dates'!$A$9:$A$1008,$I60-8)))</x:f>
      </x:c>
      <x:c r="B60" s="50" t="str">
        <x:f>IF(52&gt;$H$4,"",IF(INDEX('Fleet dates'!$B$9:$B$1008,$I60-8)="","",INDEX('Fleet dates'!$B$9:$B$1008,$I60-8)))</x:f>
      </x:c>
      <x:c r="C60" s="51" t="str">
        <x:f>IF(52&gt;$H$4,"",IF(INDEX('Fleet dates'!$C$9:$C$1008,$I60-8)="","",INDEX('Fleet dates'!$C$9:$C$1008,$I60-8)))</x:f>
      </x:c>
      <x:c r="D60" s="51" t="str">
        <x:f>IF(52&gt;$H$4,"",IF(INDEX('Fleet dates'!$D$9:$D$1008,$I60-8)="","",INDEX('Fleet dates'!$D$9:$D$1008,$I60-8)))</x:f>
      </x:c>
      <x:c r="E60" s="51" t="str">
        <x:f>IF(52&gt;$H$4,"",IF(INDEX('Fleet dates'!$E$9:$E$1008,$I60-8)="","",INDEX('Fleet dates'!$E$9:$E$1008,$I60-8)))</x:f>
      </x:c>
      <x:c r="F60" s="51" t="str">
        <x:f>IF(52&gt;$H$4,"",IF(INDEX('Fleet dates'!$F$9:$F$1008,$I60-8)="","",INDEX('Fleet dates'!$F$9:$F$1008,$I60-8)))</x:f>
      </x:c>
      <x:c r="G60" s="50" t="str">
        <x:f>IF(52&gt;$H$4,"",IF(INDEX('Fleet dates'!$G$9:$G$1008,$I60-8)="","",INDEX('Fleet dates'!$G$9:$G$1008,$I60-8)))</x:f>
      </x:c>
      <x:c r="H60" s="50" t="str">
        <x:f>IF(52&gt;$H$4,"",IF(INDEX('Fleet dates'!$I$9:$I$1008,$I60-8)="","",INDEX('Fleet dates'!$I$9:$I$1008,$I60-8)))</x:f>
      </x:c>
      <x:c r="I60" t="str">
        <x:f>IF(52&gt;$H$4,"",MATCH(52,'Fleet dates'!$J$9:$J$1008,0)+8)</x:f>
      </x:c>
    </x:row>
    <x:row r="61" ht="36" customHeight="1">
      <x:c r="A61" s="50" t="str">
        <x:f>IF(53&gt;$H$4,"",IF(INDEX('Fleet dates'!$A$9:$A$1008,$I61-8)="","",INDEX('Fleet dates'!$A$9:$A$1008,$I61-8)))</x:f>
      </x:c>
      <x:c r="B61" s="50" t="str">
        <x:f>IF(53&gt;$H$4,"",IF(INDEX('Fleet dates'!$B$9:$B$1008,$I61-8)="","",INDEX('Fleet dates'!$B$9:$B$1008,$I61-8)))</x:f>
      </x:c>
      <x:c r="C61" s="51" t="str">
        <x:f>IF(53&gt;$H$4,"",IF(INDEX('Fleet dates'!$C$9:$C$1008,$I61-8)="","",INDEX('Fleet dates'!$C$9:$C$1008,$I61-8)))</x:f>
      </x:c>
      <x:c r="D61" s="51" t="str">
        <x:f>IF(53&gt;$H$4,"",IF(INDEX('Fleet dates'!$D$9:$D$1008,$I61-8)="","",INDEX('Fleet dates'!$D$9:$D$1008,$I61-8)))</x:f>
      </x:c>
      <x:c r="E61" s="51" t="str">
        <x:f>IF(53&gt;$H$4,"",IF(INDEX('Fleet dates'!$E$9:$E$1008,$I61-8)="","",INDEX('Fleet dates'!$E$9:$E$1008,$I61-8)))</x:f>
      </x:c>
      <x:c r="F61" s="51" t="str">
        <x:f>IF(53&gt;$H$4,"",IF(INDEX('Fleet dates'!$F$9:$F$1008,$I61-8)="","",INDEX('Fleet dates'!$F$9:$F$1008,$I61-8)))</x:f>
      </x:c>
      <x:c r="G61" s="50" t="str">
        <x:f>IF(53&gt;$H$4,"",IF(INDEX('Fleet dates'!$G$9:$G$1008,$I61-8)="","",INDEX('Fleet dates'!$G$9:$G$1008,$I61-8)))</x:f>
      </x:c>
      <x:c r="H61" s="50" t="str">
        <x:f>IF(53&gt;$H$4,"",IF(INDEX('Fleet dates'!$I$9:$I$1008,$I61-8)="","",INDEX('Fleet dates'!$I$9:$I$1008,$I61-8)))</x:f>
      </x:c>
      <x:c r="I61" t="str">
        <x:f>IF(53&gt;$H$4,"",MATCH(53,'Fleet dates'!$J$9:$J$1008,0)+8)</x:f>
      </x:c>
    </x:row>
    <x:row r="62" ht="36" customHeight="1">
      <x:c r="A62" s="50" t="str">
        <x:f>IF(54&gt;$H$4,"",IF(INDEX('Fleet dates'!$A$9:$A$1008,$I62-8)="","",INDEX('Fleet dates'!$A$9:$A$1008,$I62-8)))</x:f>
      </x:c>
      <x:c r="B62" s="50" t="str">
        <x:f>IF(54&gt;$H$4,"",IF(INDEX('Fleet dates'!$B$9:$B$1008,$I62-8)="","",INDEX('Fleet dates'!$B$9:$B$1008,$I62-8)))</x:f>
      </x:c>
      <x:c r="C62" s="51" t="str">
        <x:f>IF(54&gt;$H$4,"",IF(INDEX('Fleet dates'!$C$9:$C$1008,$I62-8)="","",INDEX('Fleet dates'!$C$9:$C$1008,$I62-8)))</x:f>
      </x:c>
      <x:c r="D62" s="51" t="str">
        <x:f>IF(54&gt;$H$4,"",IF(INDEX('Fleet dates'!$D$9:$D$1008,$I62-8)="","",INDEX('Fleet dates'!$D$9:$D$1008,$I62-8)))</x:f>
      </x:c>
      <x:c r="E62" s="51" t="str">
        <x:f>IF(54&gt;$H$4,"",IF(INDEX('Fleet dates'!$E$9:$E$1008,$I62-8)="","",INDEX('Fleet dates'!$E$9:$E$1008,$I62-8)))</x:f>
      </x:c>
      <x:c r="F62" s="51" t="str">
        <x:f>IF(54&gt;$H$4,"",IF(INDEX('Fleet dates'!$F$9:$F$1008,$I62-8)="","",INDEX('Fleet dates'!$F$9:$F$1008,$I62-8)))</x:f>
      </x:c>
      <x:c r="G62" s="50" t="str">
        <x:f>IF(54&gt;$H$4,"",IF(INDEX('Fleet dates'!$G$9:$G$1008,$I62-8)="","",INDEX('Fleet dates'!$G$9:$G$1008,$I62-8)))</x:f>
      </x:c>
      <x:c r="H62" s="50" t="str">
        <x:f>IF(54&gt;$H$4,"",IF(INDEX('Fleet dates'!$I$9:$I$1008,$I62-8)="","",INDEX('Fleet dates'!$I$9:$I$1008,$I62-8)))</x:f>
      </x:c>
      <x:c r="I62" t="str">
        <x:f>IF(54&gt;$H$4,"",MATCH(54,'Fleet dates'!$J$9:$J$1008,0)+8)</x:f>
      </x:c>
    </x:row>
    <x:row r="63" ht="36" customHeight="1">
      <x:c r="A63" s="50" t="str">
        <x:f>IF(55&gt;$H$4,"",IF(INDEX('Fleet dates'!$A$9:$A$1008,$I63-8)="","",INDEX('Fleet dates'!$A$9:$A$1008,$I63-8)))</x:f>
      </x:c>
      <x:c r="B63" s="50" t="str">
        <x:f>IF(55&gt;$H$4,"",IF(INDEX('Fleet dates'!$B$9:$B$1008,$I63-8)="","",INDEX('Fleet dates'!$B$9:$B$1008,$I63-8)))</x:f>
      </x:c>
      <x:c r="C63" s="51" t="str">
        <x:f>IF(55&gt;$H$4,"",IF(INDEX('Fleet dates'!$C$9:$C$1008,$I63-8)="","",INDEX('Fleet dates'!$C$9:$C$1008,$I63-8)))</x:f>
      </x:c>
      <x:c r="D63" s="51" t="str">
        <x:f>IF(55&gt;$H$4,"",IF(INDEX('Fleet dates'!$D$9:$D$1008,$I63-8)="","",INDEX('Fleet dates'!$D$9:$D$1008,$I63-8)))</x:f>
      </x:c>
      <x:c r="E63" s="51" t="str">
        <x:f>IF(55&gt;$H$4,"",IF(INDEX('Fleet dates'!$E$9:$E$1008,$I63-8)="","",INDEX('Fleet dates'!$E$9:$E$1008,$I63-8)))</x:f>
      </x:c>
      <x:c r="F63" s="51" t="str">
        <x:f>IF(55&gt;$H$4,"",IF(INDEX('Fleet dates'!$F$9:$F$1008,$I63-8)="","",INDEX('Fleet dates'!$F$9:$F$1008,$I63-8)))</x:f>
      </x:c>
      <x:c r="G63" s="50" t="str">
        <x:f>IF(55&gt;$H$4,"",IF(INDEX('Fleet dates'!$G$9:$G$1008,$I63-8)="","",INDEX('Fleet dates'!$G$9:$G$1008,$I63-8)))</x:f>
      </x:c>
      <x:c r="H63" s="50" t="str">
        <x:f>IF(55&gt;$H$4,"",IF(INDEX('Fleet dates'!$I$9:$I$1008,$I63-8)="","",INDEX('Fleet dates'!$I$9:$I$1008,$I63-8)))</x:f>
      </x:c>
      <x:c r="I63" t="str">
        <x:f>IF(55&gt;$H$4,"",MATCH(55,'Fleet dates'!$J$9:$J$1008,0)+8)</x:f>
      </x:c>
    </x:row>
    <x:row r="64" ht="36" customHeight="1">
      <x:c r="A64" s="50" t="str">
        <x:f>IF(56&gt;$H$4,"",IF(INDEX('Fleet dates'!$A$9:$A$1008,$I64-8)="","",INDEX('Fleet dates'!$A$9:$A$1008,$I64-8)))</x:f>
      </x:c>
      <x:c r="B64" s="50" t="str">
        <x:f>IF(56&gt;$H$4,"",IF(INDEX('Fleet dates'!$B$9:$B$1008,$I64-8)="","",INDEX('Fleet dates'!$B$9:$B$1008,$I64-8)))</x:f>
      </x:c>
      <x:c r="C64" s="51" t="str">
        <x:f>IF(56&gt;$H$4,"",IF(INDEX('Fleet dates'!$C$9:$C$1008,$I64-8)="","",INDEX('Fleet dates'!$C$9:$C$1008,$I64-8)))</x:f>
      </x:c>
      <x:c r="D64" s="51" t="str">
        <x:f>IF(56&gt;$H$4,"",IF(INDEX('Fleet dates'!$D$9:$D$1008,$I64-8)="","",INDEX('Fleet dates'!$D$9:$D$1008,$I64-8)))</x:f>
      </x:c>
      <x:c r="E64" s="51" t="str">
        <x:f>IF(56&gt;$H$4,"",IF(INDEX('Fleet dates'!$E$9:$E$1008,$I64-8)="","",INDEX('Fleet dates'!$E$9:$E$1008,$I64-8)))</x:f>
      </x:c>
      <x:c r="F64" s="51" t="str">
        <x:f>IF(56&gt;$H$4,"",IF(INDEX('Fleet dates'!$F$9:$F$1008,$I64-8)="","",INDEX('Fleet dates'!$F$9:$F$1008,$I64-8)))</x:f>
      </x:c>
      <x:c r="G64" s="50" t="str">
        <x:f>IF(56&gt;$H$4,"",IF(INDEX('Fleet dates'!$G$9:$G$1008,$I64-8)="","",INDEX('Fleet dates'!$G$9:$G$1008,$I64-8)))</x:f>
      </x:c>
      <x:c r="H64" s="50" t="str">
        <x:f>IF(56&gt;$H$4,"",IF(INDEX('Fleet dates'!$I$9:$I$1008,$I64-8)="","",INDEX('Fleet dates'!$I$9:$I$1008,$I64-8)))</x:f>
      </x:c>
      <x:c r="I64" t="str">
        <x:f>IF(56&gt;$H$4,"",MATCH(56,'Fleet dates'!$J$9:$J$1008,0)+8)</x:f>
      </x:c>
    </x:row>
    <x:row r="65" ht="36" customHeight="1">
      <x:c r="A65" s="50" t="str">
        <x:f>IF(57&gt;$H$4,"",IF(INDEX('Fleet dates'!$A$9:$A$1008,$I65-8)="","",INDEX('Fleet dates'!$A$9:$A$1008,$I65-8)))</x:f>
      </x:c>
      <x:c r="B65" s="50" t="str">
        <x:f>IF(57&gt;$H$4,"",IF(INDEX('Fleet dates'!$B$9:$B$1008,$I65-8)="","",INDEX('Fleet dates'!$B$9:$B$1008,$I65-8)))</x:f>
      </x:c>
      <x:c r="C65" s="51" t="str">
        <x:f>IF(57&gt;$H$4,"",IF(INDEX('Fleet dates'!$C$9:$C$1008,$I65-8)="","",INDEX('Fleet dates'!$C$9:$C$1008,$I65-8)))</x:f>
      </x:c>
      <x:c r="D65" s="51" t="str">
        <x:f>IF(57&gt;$H$4,"",IF(INDEX('Fleet dates'!$D$9:$D$1008,$I65-8)="","",INDEX('Fleet dates'!$D$9:$D$1008,$I65-8)))</x:f>
      </x:c>
      <x:c r="E65" s="51" t="str">
        <x:f>IF(57&gt;$H$4,"",IF(INDEX('Fleet dates'!$E$9:$E$1008,$I65-8)="","",INDEX('Fleet dates'!$E$9:$E$1008,$I65-8)))</x:f>
      </x:c>
      <x:c r="F65" s="51" t="str">
        <x:f>IF(57&gt;$H$4,"",IF(INDEX('Fleet dates'!$F$9:$F$1008,$I65-8)="","",INDEX('Fleet dates'!$F$9:$F$1008,$I65-8)))</x:f>
      </x:c>
      <x:c r="G65" s="50" t="str">
        <x:f>IF(57&gt;$H$4,"",IF(INDEX('Fleet dates'!$G$9:$G$1008,$I65-8)="","",INDEX('Fleet dates'!$G$9:$G$1008,$I65-8)))</x:f>
      </x:c>
      <x:c r="H65" s="50" t="str">
        <x:f>IF(57&gt;$H$4,"",IF(INDEX('Fleet dates'!$I$9:$I$1008,$I65-8)="","",INDEX('Fleet dates'!$I$9:$I$1008,$I65-8)))</x:f>
      </x:c>
      <x:c r="I65" t="str">
        <x:f>IF(57&gt;$H$4,"",MATCH(57,'Fleet dates'!$J$9:$J$1008,0)+8)</x:f>
      </x:c>
    </x:row>
    <x:row r="66" ht="36" customHeight="1">
      <x:c r="A66" s="50" t="str">
        <x:f>IF(58&gt;$H$4,"",IF(INDEX('Fleet dates'!$A$9:$A$1008,$I66-8)="","",INDEX('Fleet dates'!$A$9:$A$1008,$I66-8)))</x:f>
      </x:c>
      <x:c r="B66" s="50" t="str">
        <x:f>IF(58&gt;$H$4,"",IF(INDEX('Fleet dates'!$B$9:$B$1008,$I66-8)="","",INDEX('Fleet dates'!$B$9:$B$1008,$I66-8)))</x:f>
      </x:c>
      <x:c r="C66" s="51" t="str">
        <x:f>IF(58&gt;$H$4,"",IF(INDEX('Fleet dates'!$C$9:$C$1008,$I66-8)="","",INDEX('Fleet dates'!$C$9:$C$1008,$I66-8)))</x:f>
      </x:c>
      <x:c r="D66" s="51" t="str">
        <x:f>IF(58&gt;$H$4,"",IF(INDEX('Fleet dates'!$D$9:$D$1008,$I66-8)="","",INDEX('Fleet dates'!$D$9:$D$1008,$I66-8)))</x:f>
      </x:c>
      <x:c r="E66" s="51" t="str">
        <x:f>IF(58&gt;$H$4,"",IF(INDEX('Fleet dates'!$E$9:$E$1008,$I66-8)="","",INDEX('Fleet dates'!$E$9:$E$1008,$I66-8)))</x:f>
      </x:c>
      <x:c r="F66" s="51" t="str">
        <x:f>IF(58&gt;$H$4,"",IF(INDEX('Fleet dates'!$F$9:$F$1008,$I66-8)="","",INDEX('Fleet dates'!$F$9:$F$1008,$I66-8)))</x:f>
      </x:c>
      <x:c r="G66" s="50" t="str">
        <x:f>IF(58&gt;$H$4,"",IF(INDEX('Fleet dates'!$G$9:$G$1008,$I66-8)="","",INDEX('Fleet dates'!$G$9:$G$1008,$I66-8)))</x:f>
      </x:c>
      <x:c r="H66" s="50" t="str">
        <x:f>IF(58&gt;$H$4,"",IF(INDEX('Fleet dates'!$I$9:$I$1008,$I66-8)="","",INDEX('Fleet dates'!$I$9:$I$1008,$I66-8)))</x:f>
      </x:c>
      <x:c r="I66" t="str">
        <x:f>IF(58&gt;$H$4,"",MATCH(58,'Fleet dates'!$J$9:$J$1008,0)+8)</x:f>
      </x:c>
    </x:row>
    <x:row r="67" ht="36" customHeight="1">
      <x:c r="A67" s="50" t="str">
        <x:f>IF(59&gt;$H$4,"",IF(INDEX('Fleet dates'!$A$9:$A$1008,$I67-8)="","",INDEX('Fleet dates'!$A$9:$A$1008,$I67-8)))</x:f>
      </x:c>
      <x:c r="B67" s="50" t="str">
        <x:f>IF(59&gt;$H$4,"",IF(INDEX('Fleet dates'!$B$9:$B$1008,$I67-8)="","",INDEX('Fleet dates'!$B$9:$B$1008,$I67-8)))</x:f>
      </x:c>
      <x:c r="C67" s="51" t="str">
        <x:f>IF(59&gt;$H$4,"",IF(INDEX('Fleet dates'!$C$9:$C$1008,$I67-8)="","",INDEX('Fleet dates'!$C$9:$C$1008,$I67-8)))</x:f>
      </x:c>
      <x:c r="D67" s="51" t="str">
        <x:f>IF(59&gt;$H$4,"",IF(INDEX('Fleet dates'!$D$9:$D$1008,$I67-8)="","",INDEX('Fleet dates'!$D$9:$D$1008,$I67-8)))</x:f>
      </x:c>
      <x:c r="E67" s="51" t="str">
        <x:f>IF(59&gt;$H$4,"",IF(INDEX('Fleet dates'!$E$9:$E$1008,$I67-8)="","",INDEX('Fleet dates'!$E$9:$E$1008,$I67-8)))</x:f>
      </x:c>
      <x:c r="F67" s="51" t="str">
        <x:f>IF(59&gt;$H$4,"",IF(INDEX('Fleet dates'!$F$9:$F$1008,$I67-8)="","",INDEX('Fleet dates'!$F$9:$F$1008,$I67-8)))</x:f>
      </x:c>
      <x:c r="G67" s="50" t="str">
        <x:f>IF(59&gt;$H$4,"",IF(INDEX('Fleet dates'!$G$9:$G$1008,$I67-8)="","",INDEX('Fleet dates'!$G$9:$G$1008,$I67-8)))</x:f>
      </x:c>
      <x:c r="H67" s="50" t="str">
        <x:f>IF(59&gt;$H$4,"",IF(INDEX('Fleet dates'!$I$9:$I$1008,$I67-8)="","",INDEX('Fleet dates'!$I$9:$I$1008,$I67-8)))</x:f>
      </x:c>
      <x:c r="I67" t="str">
        <x:f>IF(59&gt;$H$4,"",MATCH(59,'Fleet dates'!$J$9:$J$1008,0)+8)</x:f>
      </x:c>
    </x:row>
    <x:row r="68" ht="36" customHeight="1">
      <x:c r="A68" s="50" t="str">
        <x:f>IF(60&gt;$H$4,"",IF(INDEX('Fleet dates'!$A$9:$A$1008,$I68-8)="","",INDEX('Fleet dates'!$A$9:$A$1008,$I68-8)))</x:f>
      </x:c>
      <x:c r="B68" s="50" t="str">
        <x:f>IF(60&gt;$H$4,"",IF(INDEX('Fleet dates'!$B$9:$B$1008,$I68-8)="","",INDEX('Fleet dates'!$B$9:$B$1008,$I68-8)))</x:f>
      </x:c>
      <x:c r="C68" s="51" t="str">
        <x:f>IF(60&gt;$H$4,"",IF(INDEX('Fleet dates'!$C$9:$C$1008,$I68-8)="","",INDEX('Fleet dates'!$C$9:$C$1008,$I68-8)))</x:f>
      </x:c>
      <x:c r="D68" s="51" t="str">
        <x:f>IF(60&gt;$H$4,"",IF(INDEX('Fleet dates'!$D$9:$D$1008,$I68-8)="","",INDEX('Fleet dates'!$D$9:$D$1008,$I68-8)))</x:f>
      </x:c>
      <x:c r="E68" s="51" t="str">
        <x:f>IF(60&gt;$H$4,"",IF(INDEX('Fleet dates'!$E$9:$E$1008,$I68-8)="","",INDEX('Fleet dates'!$E$9:$E$1008,$I68-8)))</x:f>
      </x:c>
      <x:c r="F68" s="51" t="str">
        <x:f>IF(60&gt;$H$4,"",IF(INDEX('Fleet dates'!$F$9:$F$1008,$I68-8)="","",INDEX('Fleet dates'!$F$9:$F$1008,$I68-8)))</x:f>
      </x:c>
      <x:c r="G68" s="50" t="str">
        <x:f>IF(60&gt;$H$4,"",IF(INDEX('Fleet dates'!$G$9:$G$1008,$I68-8)="","",INDEX('Fleet dates'!$G$9:$G$1008,$I68-8)))</x:f>
      </x:c>
      <x:c r="H68" s="50" t="str">
        <x:f>IF(60&gt;$H$4,"",IF(INDEX('Fleet dates'!$I$9:$I$1008,$I68-8)="","",INDEX('Fleet dates'!$I$9:$I$1008,$I68-8)))</x:f>
      </x:c>
      <x:c r="I68" t="str">
        <x:f>IF(60&gt;$H$4,"",MATCH(60,'Fleet dates'!$J$9:$J$1008,0)+8)</x:f>
      </x:c>
    </x:row>
    <x:row r="69" ht="36" customHeight="1">
      <x:c r="A69" s="50" t="str">
        <x:f>IF(61&gt;$H$4,"",IF(INDEX('Fleet dates'!$A$9:$A$1008,$I69-8)="","",INDEX('Fleet dates'!$A$9:$A$1008,$I69-8)))</x:f>
      </x:c>
      <x:c r="B69" s="50" t="str">
        <x:f>IF(61&gt;$H$4,"",IF(INDEX('Fleet dates'!$B$9:$B$1008,$I69-8)="","",INDEX('Fleet dates'!$B$9:$B$1008,$I69-8)))</x:f>
      </x:c>
      <x:c r="C69" s="51" t="str">
        <x:f>IF(61&gt;$H$4,"",IF(INDEX('Fleet dates'!$C$9:$C$1008,$I69-8)="","",INDEX('Fleet dates'!$C$9:$C$1008,$I69-8)))</x:f>
      </x:c>
      <x:c r="D69" s="51" t="str">
        <x:f>IF(61&gt;$H$4,"",IF(INDEX('Fleet dates'!$D$9:$D$1008,$I69-8)="","",INDEX('Fleet dates'!$D$9:$D$1008,$I69-8)))</x:f>
      </x:c>
      <x:c r="E69" s="51" t="str">
        <x:f>IF(61&gt;$H$4,"",IF(INDEX('Fleet dates'!$E$9:$E$1008,$I69-8)="","",INDEX('Fleet dates'!$E$9:$E$1008,$I69-8)))</x:f>
      </x:c>
      <x:c r="F69" s="51" t="str">
        <x:f>IF(61&gt;$H$4,"",IF(INDEX('Fleet dates'!$F$9:$F$1008,$I69-8)="","",INDEX('Fleet dates'!$F$9:$F$1008,$I69-8)))</x:f>
      </x:c>
      <x:c r="G69" s="50" t="str">
        <x:f>IF(61&gt;$H$4,"",IF(INDEX('Fleet dates'!$G$9:$G$1008,$I69-8)="","",INDEX('Fleet dates'!$G$9:$G$1008,$I69-8)))</x:f>
      </x:c>
      <x:c r="H69" s="50" t="str">
        <x:f>IF(61&gt;$H$4,"",IF(INDEX('Fleet dates'!$I$9:$I$1008,$I69-8)="","",INDEX('Fleet dates'!$I$9:$I$1008,$I69-8)))</x:f>
      </x:c>
      <x:c r="I69" t="str">
        <x:f>IF(61&gt;$H$4,"",MATCH(61,'Fleet dates'!$J$9:$J$1008,0)+8)</x:f>
      </x:c>
    </x:row>
    <x:row r="70" ht="36" customHeight="1">
      <x:c r="A70" s="50" t="str">
        <x:f>IF(62&gt;$H$4,"",IF(INDEX('Fleet dates'!$A$9:$A$1008,$I70-8)="","",INDEX('Fleet dates'!$A$9:$A$1008,$I70-8)))</x:f>
      </x:c>
      <x:c r="B70" s="50" t="str">
        <x:f>IF(62&gt;$H$4,"",IF(INDEX('Fleet dates'!$B$9:$B$1008,$I70-8)="","",INDEX('Fleet dates'!$B$9:$B$1008,$I70-8)))</x:f>
      </x:c>
      <x:c r="C70" s="51" t="str">
        <x:f>IF(62&gt;$H$4,"",IF(INDEX('Fleet dates'!$C$9:$C$1008,$I70-8)="","",INDEX('Fleet dates'!$C$9:$C$1008,$I70-8)))</x:f>
      </x:c>
      <x:c r="D70" s="51" t="str">
        <x:f>IF(62&gt;$H$4,"",IF(INDEX('Fleet dates'!$D$9:$D$1008,$I70-8)="","",INDEX('Fleet dates'!$D$9:$D$1008,$I70-8)))</x:f>
      </x:c>
      <x:c r="E70" s="51" t="str">
        <x:f>IF(62&gt;$H$4,"",IF(INDEX('Fleet dates'!$E$9:$E$1008,$I70-8)="","",INDEX('Fleet dates'!$E$9:$E$1008,$I70-8)))</x:f>
      </x:c>
      <x:c r="F70" s="51" t="str">
        <x:f>IF(62&gt;$H$4,"",IF(INDEX('Fleet dates'!$F$9:$F$1008,$I70-8)="","",INDEX('Fleet dates'!$F$9:$F$1008,$I70-8)))</x:f>
      </x:c>
      <x:c r="G70" s="50" t="str">
        <x:f>IF(62&gt;$H$4,"",IF(INDEX('Fleet dates'!$G$9:$G$1008,$I70-8)="","",INDEX('Fleet dates'!$G$9:$G$1008,$I70-8)))</x:f>
      </x:c>
      <x:c r="H70" s="50" t="str">
        <x:f>IF(62&gt;$H$4,"",IF(INDEX('Fleet dates'!$I$9:$I$1008,$I70-8)="","",INDEX('Fleet dates'!$I$9:$I$1008,$I70-8)))</x:f>
      </x:c>
      <x:c r="I70" t="str">
        <x:f>IF(62&gt;$H$4,"",MATCH(62,'Fleet dates'!$J$9:$J$1008,0)+8)</x:f>
      </x:c>
    </x:row>
    <x:row r="71" ht="36" customHeight="1">
      <x:c r="A71" s="50" t="str">
        <x:f>IF(63&gt;$H$4,"",IF(INDEX('Fleet dates'!$A$9:$A$1008,$I71-8)="","",INDEX('Fleet dates'!$A$9:$A$1008,$I71-8)))</x:f>
      </x:c>
      <x:c r="B71" s="50" t="str">
        <x:f>IF(63&gt;$H$4,"",IF(INDEX('Fleet dates'!$B$9:$B$1008,$I71-8)="","",INDEX('Fleet dates'!$B$9:$B$1008,$I71-8)))</x:f>
      </x:c>
      <x:c r="C71" s="51" t="str">
        <x:f>IF(63&gt;$H$4,"",IF(INDEX('Fleet dates'!$C$9:$C$1008,$I71-8)="","",INDEX('Fleet dates'!$C$9:$C$1008,$I71-8)))</x:f>
      </x:c>
      <x:c r="D71" s="51" t="str">
        <x:f>IF(63&gt;$H$4,"",IF(INDEX('Fleet dates'!$D$9:$D$1008,$I71-8)="","",INDEX('Fleet dates'!$D$9:$D$1008,$I71-8)))</x:f>
      </x:c>
      <x:c r="E71" s="51" t="str">
        <x:f>IF(63&gt;$H$4,"",IF(INDEX('Fleet dates'!$E$9:$E$1008,$I71-8)="","",INDEX('Fleet dates'!$E$9:$E$1008,$I71-8)))</x:f>
      </x:c>
      <x:c r="F71" s="51" t="str">
        <x:f>IF(63&gt;$H$4,"",IF(INDEX('Fleet dates'!$F$9:$F$1008,$I71-8)="","",INDEX('Fleet dates'!$F$9:$F$1008,$I71-8)))</x:f>
      </x:c>
      <x:c r="G71" s="50" t="str">
        <x:f>IF(63&gt;$H$4,"",IF(INDEX('Fleet dates'!$G$9:$G$1008,$I71-8)="","",INDEX('Fleet dates'!$G$9:$G$1008,$I71-8)))</x:f>
      </x:c>
      <x:c r="H71" s="50" t="str">
        <x:f>IF(63&gt;$H$4,"",IF(INDEX('Fleet dates'!$I$9:$I$1008,$I71-8)="","",INDEX('Fleet dates'!$I$9:$I$1008,$I71-8)))</x:f>
      </x:c>
      <x:c r="I71" t="str">
        <x:f>IF(63&gt;$H$4,"",MATCH(63,'Fleet dates'!$J$9:$J$1008,0)+8)</x:f>
      </x:c>
    </x:row>
    <x:row r="72" ht="36" customHeight="1">
      <x:c r="A72" s="50" t="str">
        <x:f>IF(64&gt;$H$4,"",IF(INDEX('Fleet dates'!$A$9:$A$1008,$I72-8)="","",INDEX('Fleet dates'!$A$9:$A$1008,$I72-8)))</x:f>
      </x:c>
      <x:c r="B72" s="50" t="str">
        <x:f>IF(64&gt;$H$4,"",IF(INDEX('Fleet dates'!$B$9:$B$1008,$I72-8)="","",INDEX('Fleet dates'!$B$9:$B$1008,$I72-8)))</x:f>
      </x:c>
      <x:c r="C72" s="51" t="str">
        <x:f>IF(64&gt;$H$4,"",IF(INDEX('Fleet dates'!$C$9:$C$1008,$I72-8)="","",INDEX('Fleet dates'!$C$9:$C$1008,$I72-8)))</x:f>
      </x:c>
      <x:c r="D72" s="51" t="str">
        <x:f>IF(64&gt;$H$4,"",IF(INDEX('Fleet dates'!$D$9:$D$1008,$I72-8)="","",INDEX('Fleet dates'!$D$9:$D$1008,$I72-8)))</x:f>
      </x:c>
      <x:c r="E72" s="51" t="str">
        <x:f>IF(64&gt;$H$4,"",IF(INDEX('Fleet dates'!$E$9:$E$1008,$I72-8)="","",INDEX('Fleet dates'!$E$9:$E$1008,$I72-8)))</x:f>
      </x:c>
      <x:c r="F72" s="51" t="str">
        <x:f>IF(64&gt;$H$4,"",IF(INDEX('Fleet dates'!$F$9:$F$1008,$I72-8)="","",INDEX('Fleet dates'!$F$9:$F$1008,$I72-8)))</x:f>
      </x:c>
      <x:c r="G72" s="50" t="str">
        <x:f>IF(64&gt;$H$4,"",IF(INDEX('Fleet dates'!$G$9:$G$1008,$I72-8)="","",INDEX('Fleet dates'!$G$9:$G$1008,$I72-8)))</x:f>
      </x:c>
      <x:c r="H72" s="50" t="str">
        <x:f>IF(64&gt;$H$4,"",IF(INDEX('Fleet dates'!$I$9:$I$1008,$I72-8)="","",INDEX('Fleet dates'!$I$9:$I$1008,$I72-8)))</x:f>
      </x:c>
      <x:c r="I72" t="str">
        <x:f>IF(64&gt;$H$4,"",MATCH(64,'Fleet dates'!$J$9:$J$1008,0)+8)</x:f>
      </x:c>
    </x:row>
    <x:row r="73" ht="36" customHeight="1">
      <x:c r="A73" s="50" t="str">
        <x:f>IF(65&gt;$H$4,"",IF(INDEX('Fleet dates'!$A$9:$A$1008,$I73-8)="","",INDEX('Fleet dates'!$A$9:$A$1008,$I73-8)))</x:f>
      </x:c>
      <x:c r="B73" s="50" t="str">
        <x:f>IF(65&gt;$H$4,"",IF(INDEX('Fleet dates'!$B$9:$B$1008,$I73-8)="","",INDEX('Fleet dates'!$B$9:$B$1008,$I73-8)))</x:f>
      </x:c>
      <x:c r="C73" s="51" t="str">
        <x:f>IF(65&gt;$H$4,"",IF(INDEX('Fleet dates'!$C$9:$C$1008,$I73-8)="","",INDEX('Fleet dates'!$C$9:$C$1008,$I73-8)))</x:f>
      </x:c>
      <x:c r="D73" s="51" t="str">
        <x:f>IF(65&gt;$H$4,"",IF(INDEX('Fleet dates'!$D$9:$D$1008,$I73-8)="","",INDEX('Fleet dates'!$D$9:$D$1008,$I73-8)))</x:f>
      </x:c>
      <x:c r="E73" s="51" t="str">
        <x:f>IF(65&gt;$H$4,"",IF(INDEX('Fleet dates'!$E$9:$E$1008,$I73-8)="","",INDEX('Fleet dates'!$E$9:$E$1008,$I73-8)))</x:f>
      </x:c>
      <x:c r="F73" s="51" t="str">
        <x:f>IF(65&gt;$H$4,"",IF(INDEX('Fleet dates'!$F$9:$F$1008,$I73-8)="","",INDEX('Fleet dates'!$F$9:$F$1008,$I73-8)))</x:f>
      </x:c>
      <x:c r="G73" s="50" t="str">
        <x:f>IF(65&gt;$H$4,"",IF(INDEX('Fleet dates'!$G$9:$G$1008,$I73-8)="","",INDEX('Fleet dates'!$G$9:$G$1008,$I73-8)))</x:f>
      </x:c>
      <x:c r="H73" s="50" t="str">
        <x:f>IF(65&gt;$H$4,"",IF(INDEX('Fleet dates'!$I$9:$I$1008,$I73-8)="","",INDEX('Fleet dates'!$I$9:$I$1008,$I73-8)))</x:f>
      </x:c>
      <x:c r="I73" t="str">
        <x:f>IF(65&gt;$H$4,"",MATCH(65,'Fleet dates'!$J$9:$J$1008,0)+8)</x:f>
      </x:c>
    </x:row>
    <x:row r="74" ht="36" customHeight="1">
      <x:c r="A74" s="50" t="str">
        <x:f>IF(66&gt;$H$4,"",IF(INDEX('Fleet dates'!$A$9:$A$1008,$I74-8)="","",INDEX('Fleet dates'!$A$9:$A$1008,$I74-8)))</x:f>
      </x:c>
      <x:c r="B74" s="50" t="str">
        <x:f>IF(66&gt;$H$4,"",IF(INDEX('Fleet dates'!$B$9:$B$1008,$I74-8)="","",INDEX('Fleet dates'!$B$9:$B$1008,$I74-8)))</x:f>
      </x:c>
      <x:c r="C74" s="51" t="str">
        <x:f>IF(66&gt;$H$4,"",IF(INDEX('Fleet dates'!$C$9:$C$1008,$I74-8)="","",INDEX('Fleet dates'!$C$9:$C$1008,$I74-8)))</x:f>
      </x:c>
      <x:c r="D74" s="51" t="str">
        <x:f>IF(66&gt;$H$4,"",IF(INDEX('Fleet dates'!$D$9:$D$1008,$I74-8)="","",INDEX('Fleet dates'!$D$9:$D$1008,$I74-8)))</x:f>
      </x:c>
      <x:c r="E74" s="51" t="str">
        <x:f>IF(66&gt;$H$4,"",IF(INDEX('Fleet dates'!$E$9:$E$1008,$I74-8)="","",INDEX('Fleet dates'!$E$9:$E$1008,$I74-8)))</x:f>
      </x:c>
      <x:c r="F74" s="51" t="str">
        <x:f>IF(66&gt;$H$4,"",IF(INDEX('Fleet dates'!$F$9:$F$1008,$I74-8)="","",INDEX('Fleet dates'!$F$9:$F$1008,$I74-8)))</x:f>
      </x:c>
      <x:c r="G74" s="50" t="str">
        <x:f>IF(66&gt;$H$4,"",IF(INDEX('Fleet dates'!$G$9:$G$1008,$I74-8)="","",INDEX('Fleet dates'!$G$9:$G$1008,$I74-8)))</x:f>
      </x:c>
      <x:c r="H74" s="50" t="str">
        <x:f>IF(66&gt;$H$4,"",IF(INDEX('Fleet dates'!$I$9:$I$1008,$I74-8)="","",INDEX('Fleet dates'!$I$9:$I$1008,$I74-8)))</x:f>
      </x:c>
      <x:c r="I74" t="str">
        <x:f>IF(66&gt;$H$4,"",MATCH(66,'Fleet dates'!$J$9:$J$1008,0)+8)</x:f>
      </x:c>
    </x:row>
    <x:row r="75" ht="36" customHeight="1">
      <x:c r="A75" s="50" t="str">
        <x:f>IF(67&gt;$H$4,"",IF(INDEX('Fleet dates'!$A$9:$A$1008,$I75-8)="","",INDEX('Fleet dates'!$A$9:$A$1008,$I75-8)))</x:f>
      </x:c>
      <x:c r="B75" s="50" t="str">
        <x:f>IF(67&gt;$H$4,"",IF(INDEX('Fleet dates'!$B$9:$B$1008,$I75-8)="","",INDEX('Fleet dates'!$B$9:$B$1008,$I75-8)))</x:f>
      </x:c>
      <x:c r="C75" s="51" t="str">
        <x:f>IF(67&gt;$H$4,"",IF(INDEX('Fleet dates'!$C$9:$C$1008,$I75-8)="","",INDEX('Fleet dates'!$C$9:$C$1008,$I75-8)))</x:f>
      </x:c>
      <x:c r="D75" s="51" t="str">
        <x:f>IF(67&gt;$H$4,"",IF(INDEX('Fleet dates'!$D$9:$D$1008,$I75-8)="","",INDEX('Fleet dates'!$D$9:$D$1008,$I75-8)))</x:f>
      </x:c>
      <x:c r="E75" s="51" t="str">
        <x:f>IF(67&gt;$H$4,"",IF(INDEX('Fleet dates'!$E$9:$E$1008,$I75-8)="","",INDEX('Fleet dates'!$E$9:$E$1008,$I75-8)))</x:f>
      </x:c>
      <x:c r="F75" s="51" t="str">
        <x:f>IF(67&gt;$H$4,"",IF(INDEX('Fleet dates'!$F$9:$F$1008,$I75-8)="","",INDEX('Fleet dates'!$F$9:$F$1008,$I75-8)))</x:f>
      </x:c>
      <x:c r="G75" s="50" t="str">
        <x:f>IF(67&gt;$H$4,"",IF(INDEX('Fleet dates'!$G$9:$G$1008,$I75-8)="","",INDEX('Fleet dates'!$G$9:$G$1008,$I75-8)))</x:f>
      </x:c>
      <x:c r="H75" s="50" t="str">
        <x:f>IF(67&gt;$H$4,"",IF(INDEX('Fleet dates'!$I$9:$I$1008,$I75-8)="","",INDEX('Fleet dates'!$I$9:$I$1008,$I75-8)))</x:f>
      </x:c>
      <x:c r="I75" t="str">
        <x:f>IF(67&gt;$H$4,"",MATCH(67,'Fleet dates'!$J$9:$J$1008,0)+8)</x:f>
      </x:c>
    </x:row>
    <x:row r="76" ht="36" customHeight="1">
      <x:c r="A76" s="50" t="str">
        <x:f>IF(68&gt;$H$4,"",IF(INDEX('Fleet dates'!$A$9:$A$1008,$I76-8)="","",INDEX('Fleet dates'!$A$9:$A$1008,$I76-8)))</x:f>
      </x:c>
      <x:c r="B76" s="50" t="str">
        <x:f>IF(68&gt;$H$4,"",IF(INDEX('Fleet dates'!$B$9:$B$1008,$I76-8)="","",INDEX('Fleet dates'!$B$9:$B$1008,$I76-8)))</x:f>
      </x:c>
      <x:c r="C76" s="51" t="str">
        <x:f>IF(68&gt;$H$4,"",IF(INDEX('Fleet dates'!$C$9:$C$1008,$I76-8)="","",INDEX('Fleet dates'!$C$9:$C$1008,$I76-8)))</x:f>
      </x:c>
      <x:c r="D76" s="51" t="str">
        <x:f>IF(68&gt;$H$4,"",IF(INDEX('Fleet dates'!$D$9:$D$1008,$I76-8)="","",INDEX('Fleet dates'!$D$9:$D$1008,$I76-8)))</x:f>
      </x:c>
      <x:c r="E76" s="51" t="str">
        <x:f>IF(68&gt;$H$4,"",IF(INDEX('Fleet dates'!$E$9:$E$1008,$I76-8)="","",INDEX('Fleet dates'!$E$9:$E$1008,$I76-8)))</x:f>
      </x:c>
      <x:c r="F76" s="51" t="str">
        <x:f>IF(68&gt;$H$4,"",IF(INDEX('Fleet dates'!$F$9:$F$1008,$I76-8)="","",INDEX('Fleet dates'!$F$9:$F$1008,$I76-8)))</x:f>
      </x:c>
      <x:c r="G76" s="50" t="str">
        <x:f>IF(68&gt;$H$4,"",IF(INDEX('Fleet dates'!$G$9:$G$1008,$I76-8)="","",INDEX('Fleet dates'!$G$9:$G$1008,$I76-8)))</x:f>
      </x:c>
      <x:c r="H76" s="50" t="str">
        <x:f>IF(68&gt;$H$4,"",IF(INDEX('Fleet dates'!$I$9:$I$1008,$I76-8)="","",INDEX('Fleet dates'!$I$9:$I$1008,$I76-8)))</x:f>
      </x:c>
      <x:c r="I76" t="str">
        <x:f>IF(68&gt;$H$4,"",MATCH(68,'Fleet dates'!$J$9:$J$1008,0)+8)</x:f>
      </x:c>
    </x:row>
    <x:row r="77" ht="36" customHeight="1">
      <x:c r="A77" s="50" t="str">
        <x:f>IF(69&gt;$H$4,"",IF(INDEX('Fleet dates'!$A$9:$A$1008,$I77-8)="","",INDEX('Fleet dates'!$A$9:$A$1008,$I77-8)))</x:f>
      </x:c>
      <x:c r="B77" s="50" t="str">
        <x:f>IF(69&gt;$H$4,"",IF(INDEX('Fleet dates'!$B$9:$B$1008,$I77-8)="","",INDEX('Fleet dates'!$B$9:$B$1008,$I77-8)))</x:f>
      </x:c>
      <x:c r="C77" s="51" t="str">
        <x:f>IF(69&gt;$H$4,"",IF(INDEX('Fleet dates'!$C$9:$C$1008,$I77-8)="","",INDEX('Fleet dates'!$C$9:$C$1008,$I77-8)))</x:f>
      </x:c>
      <x:c r="D77" s="51" t="str">
        <x:f>IF(69&gt;$H$4,"",IF(INDEX('Fleet dates'!$D$9:$D$1008,$I77-8)="","",INDEX('Fleet dates'!$D$9:$D$1008,$I77-8)))</x:f>
      </x:c>
      <x:c r="E77" s="51" t="str">
        <x:f>IF(69&gt;$H$4,"",IF(INDEX('Fleet dates'!$E$9:$E$1008,$I77-8)="","",INDEX('Fleet dates'!$E$9:$E$1008,$I77-8)))</x:f>
      </x:c>
      <x:c r="F77" s="51" t="str">
        <x:f>IF(69&gt;$H$4,"",IF(INDEX('Fleet dates'!$F$9:$F$1008,$I77-8)="","",INDEX('Fleet dates'!$F$9:$F$1008,$I77-8)))</x:f>
      </x:c>
      <x:c r="G77" s="50" t="str">
        <x:f>IF(69&gt;$H$4,"",IF(INDEX('Fleet dates'!$G$9:$G$1008,$I77-8)="","",INDEX('Fleet dates'!$G$9:$G$1008,$I77-8)))</x:f>
      </x:c>
      <x:c r="H77" s="50" t="str">
        <x:f>IF(69&gt;$H$4,"",IF(INDEX('Fleet dates'!$I$9:$I$1008,$I77-8)="","",INDEX('Fleet dates'!$I$9:$I$1008,$I77-8)))</x:f>
      </x:c>
      <x:c r="I77" t="str">
        <x:f>IF(69&gt;$H$4,"",MATCH(69,'Fleet dates'!$J$9:$J$1008,0)+8)</x:f>
      </x:c>
    </x:row>
    <x:row r="78" ht="36" customHeight="1">
      <x:c r="A78" s="50" t="str">
        <x:f>IF(70&gt;$H$4,"",IF(INDEX('Fleet dates'!$A$9:$A$1008,$I78-8)="","",INDEX('Fleet dates'!$A$9:$A$1008,$I78-8)))</x:f>
      </x:c>
      <x:c r="B78" s="50" t="str">
        <x:f>IF(70&gt;$H$4,"",IF(INDEX('Fleet dates'!$B$9:$B$1008,$I78-8)="","",INDEX('Fleet dates'!$B$9:$B$1008,$I78-8)))</x:f>
      </x:c>
      <x:c r="C78" s="51" t="str">
        <x:f>IF(70&gt;$H$4,"",IF(INDEX('Fleet dates'!$C$9:$C$1008,$I78-8)="","",INDEX('Fleet dates'!$C$9:$C$1008,$I78-8)))</x:f>
      </x:c>
      <x:c r="D78" s="51" t="str">
        <x:f>IF(70&gt;$H$4,"",IF(INDEX('Fleet dates'!$D$9:$D$1008,$I78-8)="","",INDEX('Fleet dates'!$D$9:$D$1008,$I78-8)))</x:f>
      </x:c>
      <x:c r="E78" s="51" t="str">
        <x:f>IF(70&gt;$H$4,"",IF(INDEX('Fleet dates'!$E$9:$E$1008,$I78-8)="","",INDEX('Fleet dates'!$E$9:$E$1008,$I78-8)))</x:f>
      </x:c>
      <x:c r="F78" s="51" t="str">
        <x:f>IF(70&gt;$H$4,"",IF(INDEX('Fleet dates'!$F$9:$F$1008,$I78-8)="","",INDEX('Fleet dates'!$F$9:$F$1008,$I78-8)))</x:f>
      </x:c>
      <x:c r="G78" s="50" t="str">
        <x:f>IF(70&gt;$H$4,"",IF(INDEX('Fleet dates'!$G$9:$G$1008,$I78-8)="","",INDEX('Fleet dates'!$G$9:$G$1008,$I78-8)))</x:f>
      </x:c>
      <x:c r="H78" s="50" t="str">
        <x:f>IF(70&gt;$H$4,"",IF(INDEX('Fleet dates'!$I$9:$I$1008,$I78-8)="","",INDEX('Fleet dates'!$I$9:$I$1008,$I78-8)))</x:f>
      </x:c>
      <x:c r="I78" t="str">
        <x:f>IF(70&gt;$H$4,"",MATCH(70,'Fleet dates'!$J$9:$J$1008,0)+8)</x:f>
      </x:c>
    </x:row>
    <x:row r="79" ht="36" customHeight="1">
      <x:c r="A79" s="50" t="str">
        <x:f>IF(71&gt;$H$4,"",IF(INDEX('Fleet dates'!$A$9:$A$1008,$I79-8)="","",INDEX('Fleet dates'!$A$9:$A$1008,$I79-8)))</x:f>
      </x:c>
      <x:c r="B79" s="50" t="str">
        <x:f>IF(71&gt;$H$4,"",IF(INDEX('Fleet dates'!$B$9:$B$1008,$I79-8)="","",INDEX('Fleet dates'!$B$9:$B$1008,$I79-8)))</x:f>
      </x:c>
      <x:c r="C79" s="51" t="str">
        <x:f>IF(71&gt;$H$4,"",IF(INDEX('Fleet dates'!$C$9:$C$1008,$I79-8)="","",INDEX('Fleet dates'!$C$9:$C$1008,$I79-8)))</x:f>
      </x:c>
      <x:c r="D79" s="51" t="str">
        <x:f>IF(71&gt;$H$4,"",IF(INDEX('Fleet dates'!$D$9:$D$1008,$I79-8)="","",INDEX('Fleet dates'!$D$9:$D$1008,$I79-8)))</x:f>
      </x:c>
      <x:c r="E79" s="51" t="str">
        <x:f>IF(71&gt;$H$4,"",IF(INDEX('Fleet dates'!$E$9:$E$1008,$I79-8)="","",INDEX('Fleet dates'!$E$9:$E$1008,$I79-8)))</x:f>
      </x:c>
      <x:c r="F79" s="51" t="str">
        <x:f>IF(71&gt;$H$4,"",IF(INDEX('Fleet dates'!$F$9:$F$1008,$I79-8)="","",INDEX('Fleet dates'!$F$9:$F$1008,$I79-8)))</x:f>
      </x:c>
      <x:c r="G79" s="50" t="str">
        <x:f>IF(71&gt;$H$4,"",IF(INDEX('Fleet dates'!$G$9:$G$1008,$I79-8)="","",INDEX('Fleet dates'!$G$9:$G$1008,$I79-8)))</x:f>
      </x:c>
      <x:c r="H79" s="50" t="str">
        <x:f>IF(71&gt;$H$4,"",IF(INDEX('Fleet dates'!$I$9:$I$1008,$I79-8)="","",INDEX('Fleet dates'!$I$9:$I$1008,$I79-8)))</x:f>
      </x:c>
      <x:c r="I79" t="str">
        <x:f>IF(71&gt;$H$4,"",MATCH(71,'Fleet dates'!$J$9:$J$1008,0)+8)</x:f>
      </x:c>
    </x:row>
    <x:row r="80" ht="36" customHeight="1">
      <x:c r="A80" s="50" t="str">
        <x:f>IF(72&gt;$H$4,"",IF(INDEX('Fleet dates'!$A$9:$A$1008,$I80-8)="","",INDEX('Fleet dates'!$A$9:$A$1008,$I80-8)))</x:f>
      </x:c>
      <x:c r="B80" s="50" t="str">
        <x:f>IF(72&gt;$H$4,"",IF(INDEX('Fleet dates'!$B$9:$B$1008,$I80-8)="","",INDEX('Fleet dates'!$B$9:$B$1008,$I80-8)))</x:f>
      </x:c>
      <x:c r="C80" s="51" t="str">
        <x:f>IF(72&gt;$H$4,"",IF(INDEX('Fleet dates'!$C$9:$C$1008,$I80-8)="","",INDEX('Fleet dates'!$C$9:$C$1008,$I80-8)))</x:f>
      </x:c>
      <x:c r="D80" s="51" t="str">
        <x:f>IF(72&gt;$H$4,"",IF(INDEX('Fleet dates'!$D$9:$D$1008,$I80-8)="","",INDEX('Fleet dates'!$D$9:$D$1008,$I80-8)))</x:f>
      </x:c>
      <x:c r="E80" s="51" t="str">
        <x:f>IF(72&gt;$H$4,"",IF(INDEX('Fleet dates'!$E$9:$E$1008,$I80-8)="","",INDEX('Fleet dates'!$E$9:$E$1008,$I80-8)))</x:f>
      </x:c>
      <x:c r="F80" s="51" t="str">
        <x:f>IF(72&gt;$H$4,"",IF(INDEX('Fleet dates'!$F$9:$F$1008,$I80-8)="","",INDEX('Fleet dates'!$F$9:$F$1008,$I80-8)))</x:f>
      </x:c>
      <x:c r="G80" s="50" t="str">
        <x:f>IF(72&gt;$H$4,"",IF(INDEX('Fleet dates'!$G$9:$G$1008,$I80-8)="","",INDEX('Fleet dates'!$G$9:$G$1008,$I80-8)))</x:f>
      </x:c>
      <x:c r="H80" s="50" t="str">
        <x:f>IF(72&gt;$H$4,"",IF(INDEX('Fleet dates'!$I$9:$I$1008,$I80-8)="","",INDEX('Fleet dates'!$I$9:$I$1008,$I80-8)))</x:f>
      </x:c>
      <x:c r="I80" t="str">
        <x:f>IF(72&gt;$H$4,"",MATCH(72,'Fleet dates'!$J$9:$J$1008,0)+8)</x:f>
      </x:c>
    </x:row>
    <x:row r="81" ht="36" customHeight="1">
      <x:c r="A81" s="50" t="str">
        <x:f>IF(73&gt;$H$4,"",IF(INDEX('Fleet dates'!$A$9:$A$1008,$I81-8)="","",INDEX('Fleet dates'!$A$9:$A$1008,$I81-8)))</x:f>
      </x:c>
      <x:c r="B81" s="50" t="str">
        <x:f>IF(73&gt;$H$4,"",IF(INDEX('Fleet dates'!$B$9:$B$1008,$I81-8)="","",INDEX('Fleet dates'!$B$9:$B$1008,$I81-8)))</x:f>
      </x:c>
      <x:c r="C81" s="51" t="str">
        <x:f>IF(73&gt;$H$4,"",IF(INDEX('Fleet dates'!$C$9:$C$1008,$I81-8)="","",INDEX('Fleet dates'!$C$9:$C$1008,$I81-8)))</x:f>
      </x:c>
      <x:c r="D81" s="51" t="str">
        <x:f>IF(73&gt;$H$4,"",IF(INDEX('Fleet dates'!$D$9:$D$1008,$I81-8)="","",INDEX('Fleet dates'!$D$9:$D$1008,$I81-8)))</x:f>
      </x:c>
      <x:c r="E81" s="51" t="str">
        <x:f>IF(73&gt;$H$4,"",IF(INDEX('Fleet dates'!$E$9:$E$1008,$I81-8)="","",INDEX('Fleet dates'!$E$9:$E$1008,$I81-8)))</x:f>
      </x:c>
      <x:c r="F81" s="51" t="str">
        <x:f>IF(73&gt;$H$4,"",IF(INDEX('Fleet dates'!$F$9:$F$1008,$I81-8)="","",INDEX('Fleet dates'!$F$9:$F$1008,$I81-8)))</x:f>
      </x:c>
      <x:c r="G81" s="50" t="str">
        <x:f>IF(73&gt;$H$4,"",IF(INDEX('Fleet dates'!$G$9:$G$1008,$I81-8)="","",INDEX('Fleet dates'!$G$9:$G$1008,$I81-8)))</x:f>
      </x:c>
      <x:c r="H81" s="50" t="str">
        <x:f>IF(73&gt;$H$4,"",IF(INDEX('Fleet dates'!$I$9:$I$1008,$I81-8)="","",INDEX('Fleet dates'!$I$9:$I$1008,$I81-8)))</x:f>
      </x:c>
      <x:c r="I81" t="str">
        <x:f>IF(73&gt;$H$4,"",MATCH(73,'Fleet dates'!$J$9:$J$1008,0)+8)</x:f>
      </x:c>
    </x:row>
    <x:row r="82" ht="36" customHeight="1">
      <x:c r="A82" s="50" t="str">
        <x:f>IF(74&gt;$H$4,"",IF(INDEX('Fleet dates'!$A$9:$A$1008,$I82-8)="","",INDEX('Fleet dates'!$A$9:$A$1008,$I82-8)))</x:f>
      </x:c>
      <x:c r="B82" s="50" t="str">
        <x:f>IF(74&gt;$H$4,"",IF(INDEX('Fleet dates'!$B$9:$B$1008,$I82-8)="","",INDEX('Fleet dates'!$B$9:$B$1008,$I82-8)))</x:f>
      </x:c>
      <x:c r="C82" s="51" t="str">
        <x:f>IF(74&gt;$H$4,"",IF(INDEX('Fleet dates'!$C$9:$C$1008,$I82-8)="","",INDEX('Fleet dates'!$C$9:$C$1008,$I82-8)))</x:f>
      </x:c>
      <x:c r="D82" s="51" t="str">
        <x:f>IF(74&gt;$H$4,"",IF(INDEX('Fleet dates'!$D$9:$D$1008,$I82-8)="","",INDEX('Fleet dates'!$D$9:$D$1008,$I82-8)))</x:f>
      </x:c>
      <x:c r="E82" s="51" t="str">
        <x:f>IF(74&gt;$H$4,"",IF(INDEX('Fleet dates'!$E$9:$E$1008,$I82-8)="","",INDEX('Fleet dates'!$E$9:$E$1008,$I82-8)))</x:f>
      </x:c>
      <x:c r="F82" s="51" t="str">
        <x:f>IF(74&gt;$H$4,"",IF(INDEX('Fleet dates'!$F$9:$F$1008,$I82-8)="","",INDEX('Fleet dates'!$F$9:$F$1008,$I82-8)))</x:f>
      </x:c>
      <x:c r="G82" s="50" t="str">
        <x:f>IF(74&gt;$H$4,"",IF(INDEX('Fleet dates'!$G$9:$G$1008,$I82-8)="","",INDEX('Fleet dates'!$G$9:$G$1008,$I82-8)))</x:f>
      </x:c>
      <x:c r="H82" s="50" t="str">
        <x:f>IF(74&gt;$H$4,"",IF(INDEX('Fleet dates'!$I$9:$I$1008,$I82-8)="","",INDEX('Fleet dates'!$I$9:$I$1008,$I82-8)))</x:f>
      </x:c>
      <x:c r="I82" t="str">
        <x:f>IF(74&gt;$H$4,"",MATCH(74,'Fleet dates'!$J$9:$J$1008,0)+8)</x:f>
      </x:c>
    </x:row>
    <x:row r="83" ht="36" customHeight="1">
      <x:c r="A83" s="50" t="str">
        <x:f>IF(75&gt;$H$4,"",IF(INDEX('Fleet dates'!$A$9:$A$1008,$I83-8)="","",INDEX('Fleet dates'!$A$9:$A$1008,$I83-8)))</x:f>
      </x:c>
      <x:c r="B83" s="50" t="str">
        <x:f>IF(75&gt;$H$4,"",IF(INDEX('Fleet dates'!$B$9:$B$1008,$I83-8)="","",INDEX('Fleet dates'!$B$9:$B$1008,$I83-8)))</x:f>
      </x:c>
      <x:c r="C83" s="51" t="str">
        <x:f>IF(75&gt;$H$4,"",IF(INDEX('Fleet dates'!$C$9:$C$1008,$I83-8)="","",INDEX('Fleet dates'!$C$9:$C$1008,$I83-8)))</x:f>
      </x:c>
      <x:c r="D83" s="51" t="str">
        <x:f>IF(75&gt;$H$4,"",IF(INDEX('Fleet dates'!$D$9:$D$1008,$I83-8)="","",INDEX('Fleet dates'!$D$9:$D$1008,$I83-8)))</x:f>
      </x:c>
      <x:c r="E83" s="51" t="str">
        <x:f>IF(75&gt;$H$4,"",IF(INDEX('Fleet dates'!$E$9:$E$1008,$I83-8)="","",INDEX('Fleet dates'!$E$9:$E$1008,$I83-8)))</x:f>
      </x:c>
      <x:c r="F83" s="51" t="str">
        <x:f>IF(75&gt;$H$4,"",IF(INDEX('Fleet dates'!$F$9:$F$1008,$I83-8)="","",INDEX('Fleet dates'!$F$9:$F$1008,$I83-8)))</x:f>
      </x:c>
      <x:c r="G83" s="50" t="str">
        <x:f>IF(75&gt;$H$4,"",IF(INDEX('Fleet dates'!$G$9:$G$1008,$I83-8)="","",INDEX('Fleet dates'!$G$9:$G$1008,$I83-8)))</x:f>
      </x:c>
      <x:c r="H83" s="50" t="str">
        <x:f>IF(75&gt;$H$4,"",IF(INDEX('Fleet dates'!$I$9:$I$1008,$I83-8)="","",INDEX('Fleet dates'!$I$9:$I$1008,$I83-8)))</x:f>
      </x:c>
      <x:c r="I83" t="str">
        <x:f>IF(75&gt;$H$4,"",MATCH(75,'Fleet dates'!$J$9:$J$1008,0)+8)</x:f>
      </x:c>
    </x:row>
    <x:row r="84" ht="36" customHeight="1">
      <x:c r="A84" s="50" t="str">
        <x:f>IF(76&gt;$H$4,"",IF(INDEX('Fleet dates'!$A$9:$A$1008,$I84-8)="","",INDEX('Fleet dates'!$A$9:$A$1008,$I84-8)))</x:f>
      </x:c>
      <x:c r="B84" s="50" t="str">
        <x:f>IF(76&gt;$H$4,"",IF(INDEX('Fleet dates'!$B$9:$B$1008,$I84-8)="","",INDEX('Fleet dates'!$B$9:$B$1008,$I84-8)))</x:f>
      </x:c>
      <x:c r="C84" s="51" t="str">
        <x:f>IF(76&gt;$H$4,"",IF(INDEX('Fleet dates'!$C$9:$C$1008,$I84-8)="","",INDEX('Fleet dates'!$C$9:$C$1008,$I84-8)))</x:f>
      </x:c>
      <x:c r="D84" s="51" t="str">
        <x:f>IF(76&gt;$H$4,"",IF(INDEX('Fleet dates'!$D$9:$D$1008,$I84-8)="","",INDEX('Fleet dates'!$D$9:$D$1008,$I84-8)))</x:f>
      </x:c>
      <x:c r="E84" s="51" t="str">
        <x:f>IF(76&gt;$H$4,"",IF(INDEX('Fleet dates'!$E$9:$E$1008,$I84-8)="","",INDEX('Fleet dates'!$E$9:$E$1008,$I84-8)))</x:f>
      </x:c>
      <x:c r="F84" s="51" t="str">
        <x:f>IF(76&gt;$H$4,"",IF(INDEX('Fleet dates'!$F$9:$F$1008,$I84-8)="","",INDEX('Fleet dates'!$F$9:$F$1008,$I84-8)))</x:f>
      </x:c>
      <x:c r="G84" s="50" t="str">
        <x:f>IF(76&gt;$H$4,"",IF(INDEX('Fleet dates'!$G$9:$G$1008,$I84-8)="","",INDEX('Fleet dates'!$G$9:$G$1008,$I84-8)))</x:f>
      </x:c>
      <x:c r="H84" s="50" t="str">
        <x:f>IF(76&gt;$H$4,"",IF(INDEX('Fleet dates'!$I$9:$I$1008,$I84-8)="","",INDEX('Fleet dates'!$I$9:$I$1008,$I84-8)))</x:f>
      </x:c>
      <x:c r="I84" t="str">
        <x:f>IF(76&gt;$H$4,"",MATCH(76,'Fleet dates'!$J$9:$J$1008,0)+8)</x:f>
      </x:c>
    </x:row>
    <x:row r="85" ht="36" customHeight="1">
      <x:c r="A85" s="50" t="str">
        <x:f>IF(77&gt;$H$4,"",IF(INDEX('Fleet dates'!$A$9:$A$1008,$I85-8)="","",INDEX('Fleet dates'!$A$9:$A$1008,$I85-8)))</x:f>
      </x:c>
      <x:c r="B85" s="50" t="str">
        <x:f>IF(77&gt;$H$4,"",IF(INDEX('Fleet dates'!$B$9:$B$1008,$I85-8)="","",INDEX('Fleet dates'!$B$9:$B$1008,$I85-8)))</x:f>
      </x:c>
      <x:c r="C85" s="51" t="str">
        <x:f>IF(77&gt;$H$4,"",IF(INDEX('Fleet dates'!$C$9:$C$1008,$I85-8)="","",INDEX('Fleet dates'!$C$9:$C$1008,$I85-8)))</x:f>
      </x:c>
      <x:c r="D85" s="51" t="str">
        <x:f>IF(77&gt;$H$4,"",IF(INDEX('Fleet dates'!$D$9:$D$1008,$I85-8)="","",INDEX('Fleet dates'!$D$9:$D$1008,$I85-8)))</x:f>
      </x:c>
      <x:c r="E85" s="51" t="str">
        <x:f>IF(77&gt;$H$4,"",IF(INDEX('Fleet dates'!$E$9:$E$1008,$I85-8)="","",INDEX('Fleet dates'!$E$9:$E$1008,$I85-8)))</x:f>
      </x:c>
      <x:c r="F85" s="51" t="str">
        <x:f>IF(77&gt;$H$4,"",IF(INDEX('Fleet dates'!$F$9:$F$1008,$I85-8)="","",INDEX('Fleet dates'!$F$9:$F$1008,$I85-8)))</x:f>
      </x:c>
      <x:c r="G85" s="50" t="str">
        <x:f>IF(77&gt;$H$4,"",IF(INDEX('Fleet dates'!$G$9:$G$1008,$I85-8)="","",INDEX('Fleet dates'!$G$9:$G$1008,$I85-8)))</x:f>
      </x:c>
      <x:c r="H85" s="50" t="str">
        <x:f>IF(77&gt;$H$4,"",IF(INDEX('Fleet dates'!$I$9:$I$1008,$I85-8)="","",INDEX('Fleet dates'!$I$9:$I$1008,$I85-8)))</x:f>
      </x:c>
      <x:c r="I85" t="str">
        <x:f>IF(77&gt;$H$4,"",MATCH(77,'Fleet dates'!$J$9:$J$1008,0)+8)</x:f>
      </x:c>
    </x:row>
    <x:row r="86" ht="36" customHeight="1">
      <x:c r="A86" s="50" t="str">
        <x:f>IF(78&gt;$H$4,"",IF(INDEX('Fleet dates'!$A$9:$A$1008,$I86-8)="","",INDEX('Fleet dates'!$A$9:$A$1008,$I86-8)))</x:f>
      </x:c>
      <x:c r="B86" s="50" t="str">
        <x:f>IF(78&gt;$H$4,"",IF(INDEX('Fleet dates'!$B$9:$B$1008,$I86-8)="","",INDEX('Fleet dates'!$B$9:$B$1008,$I86-8)))</x:f>
      </x:c>
      <x:c r="C86" s="51" t="str">
        <x:f>IF(78&gt;$H$4,"",IF(INDEX('Fleet dates'!$C$9:$C$1008,$I86-8)="","",INDEX('Fleet dates'!$C$9:$C$1008,$I86-8)))</x:f>
      </x:c>
      <x:c r="D86" s="51" t="str">
        <x:f>IF(78&gt;$H$4,"",IF(INDEX('Fleet dates'!$D$9:$D$1008,$I86-8)="","",INDEX('Fleet dates'!$D$9:$D$1008,$I86-8)))</x:f>
      </x:c>
      <x:c r="E86" s="51" t="str">
        <x:f>IF(78&gt;$H$4,"",IF(INDEX('Fleet dates'!$E$9:$E$1008,$I86-8)="","",INDEX('Fleet dates'!$E$9:$E$1008,$I86-8)))</x:f>
      </x:c>
      <x:c r="F86" s="51" t="str">
        <x:f>IF(78&gt;$H$4,"",IF(INDEX('Fleet dates'!$F$9:$F$1008,$I86-8)="","",INDEX('Fleet dates'!$F$9:$F$1008,$I86-8)))</x:f>
      </x:c>
      <x:c r="G86" s="50" t="str">
        <x:f>IF(78&gt;$H$4,"",IF(INDEX('Fleet dates'!$G$9:$G$1008,$I86-8)="","",INDEX('Fleet dates'!$G$9:$G$1008,$I86-8)))</x:f>
      </x:c>
      <x:c r="H86" s="50" t="str">
        <x:f>IF(78&gt;$H$4,"",IF(INDEX('Fleet dates'!$I$9:$I$1008,$I86-8)="","",INDEX('Fleet dates'!$I$9:$I$1008,$I86-8)))</x:f>
      </x:c>
      <x:c r="I86" t="str">
        <x:f>IF(78&gt;$H$4,"",MATCH(78,'Fleet dates'!$J$9:$J$1008,0)+8)</x:f>
      </x:c>
    </x:row>
    <x:row r="87" ht="36" customHeight="1">
      <x:c r="A87" s="50" t="str">
        <x:f>IF(79&gt;$H$4,"",IF(INDEX('Fleet dates'!$A$9:$A$1008,$I87-8)="","",INDEX('Fleet dates'!$A$9:$A$1008,$I87-8)))</x:f>
      </x:c>
      <x:c r="B87" s="50" t="str">
        <x:f>IF(79&gt;$H$4,"",IF(INDEX('Fleet dates'!$B$9:$B$1008,$I87-8)="","",INDEX('Fleet dates'!$B$9:$B$1008,$I87-8)))</x:f>
      </x:c>
      <x:c r="C87" s="51" t="str">
        <x:f>IF(79&gt;$H$4,"",IF(INDEX('Fleet dates'!$C$9:$C$1008,$I87-8)="","",INDEX('Fleet dates'!$C$9:$C$1008,$I87-8)))</x:f>
      </x:c>
      <x:c r="D87" s="51" t="str">
        <x:f>IF(79&gt;$H$4,"",IF(INDEX('Fleet dates'!$D$9:$D$1008,$I87-8)="","",INDEX('Fleet dates'!$D$9:$D$1008,$I87-8)))</x:f>
      </x:c>
      <x:c r="E87" s="51" t="str">
        <x:f>IF(79&gt;$H$4,"",IF(INDEX('Fleet dates'!$E$9:$E$1008,$I87-8)="","",INDEX('Fleet dates'!$E$9:$E$1008,$I87-8)))</x:f>
      </x:c>
      <x:c r="F87" s="51" t="str">
        <x:f>IF(79&gt;$H$4,"",IF(INDEX('Fleet dates'!$F$9:$F$1008,$I87-8)="","",INDEX('Fleet dates'!$F$9:$F$1008,$I87-8)))</x:f>
      </x:c>
      <x:c r="G87" s="50" t="str">
        <x:f>IF(79&gt;$H$4,"",IF(INDEX('Fleet dates'!$G$9:$G$1008,$I87-8)="","",INDEX('Fleet dates'!$G$9:$G$1008,$I87-8)))</x:f>
      </x:c>
      <x:c r="H87" s="50" t="str">
        <x:f>IF(79&gt;$H$4,"",IF(INDEX('Fleet dates'!$I$9:$I$1008,$I87-8)="","",INDEX('Fleet dates'!$I$9:$I$1008,$I87-8)))</x:f>
      </x:c>
      <x:c r="I87" t="str">
        <x:f>IF(79&gt;$H$4,"",MATCH(79,'Fleet dates'!$J$9:$J$1008,0)+8)</x:f>
      </x:c>
    </x:row>
    <x:row r="88" ht="36" customHeight="1">
      <x:c r="A88" s="50" t="str">
        <x:f>IF(80&gt;$H$4,"",IF(INDEX('Fleet dates'!$A$9:$A$1008,$I88-8)="","",INDEX('Fleet dates'!$A$9:$A$1008,$I88-8)))</x:f>
      </x:c>
      <x:c r="B88" s="50" t="str">
        <x:f>IF(80&gt;$H$4,"",IF(INDEX('Fleet dates'!$B$9:$B$1008,$I88-8)="","",INDEX('Fleet dates'!$B$9:$B$1008,$I88-8)))</x:f>
      </x:c>
      <x:c r="C88" s="51" t="str">
        <x:f>IF(80&gt;$H$4,"",IF(INDEX('Fleet dates'!$C$9:$C$1008,$I88-8)="","",INDEX('Fleet dates'!$C$9:$C$1008,$I88-8)))</x:f>
      </x:c>
      <x:c r="D88" s="51" t="str">
        <x:f>IF(80&gt;$H$4,"",IF(INDEX('Fleet dates'!$D$9:$D$1008,$I88-8)="","",INDEX('Fleet dates'!$D$9:$D$1008,$I88-8)))</x:f>
      </x:c>
      <x:c r="E88" s="51" t="str">
        <x:f>IF(80&gt;$H$4,"",IF(INDEX('Fleet dates'!$E$9:$E$1008,$I88-8)="","",INDEX('Fleet dates'!$E$9:$E$1008,$I88-8)))</x:f>
      </x:c>
      <x:c r="F88" s="51" t="str">
        <x:f>IF(80&gt;$H$4,"",IF(INDEX('Fleet dates'!$F$9:$F$1008,$I88-8)="","",INDEX('Fleet dates'!$F$9:$F$1008,$I88-8)))</x:f>
      </x:c>
      <x:c r="G88" s="50" t="str">
        <x:f>IF(80&gt;$H$4,"",IF(INDEX('Fleet dates'!$G$9:$G$1008,$I88-8)="","",INDEX('Fleet dates'!$G$9:$G$1008,$I88-8)))</x:f>
      </x:c>
      <x:c r="H88" s="50" t="str">
        <x:f>IF(80&gt;$H$4,"",IF(INDEX('Fleet dates'!$I$9:$I$1008,$I88-8)="","",INDEX('Fleet dates'!$I$9:$I$1008,$I88-8)))</x:f>
      </x:c>
      <x:c r="I88" t="str">
        <x:f>IF(80&gt;$H$4,"",MATCH(80,'Fleet dates'!$J$9:$J$1008,0)+8)</x:f>
      </x:c>
    </x:row>
    <x:row r="89" ht="36" customHeight="1">
      <x:c r="A89" s="50" t="str">
        <x:f>IF(81&gt;$H$4,"",IF(INDEX('Fleet dates'!$A$9:$A$1008,$I89-8)="","",INDEX('Fleet dates'!$A$9:$A$1008,$I89-8)))</x:f>
      </x:c>
      <x:c r="B89" s="50" t="str">
        <x:f>IF(81&gt;$H$4,"",IF(INDEX('Fleet dates'!$B$9:$B$1008,$I89-8)="","",INDEX('Fleet dates'!$B$9:$B$1008,$I89-8)))</x:f>
      </x:c>
      <x:c r="C89" s="51" t="str">
        <x:f>IF(81&gt;$H$4,"",IF(INDEX('Fleet dates'!$C$9:$C$1008,$I89-8)="","",INDEX('Fleet dates'!$C$9:$C$1008,$I89-8)))</x:f>
      </x:c>
      <x:c r="D89" s="51" t="str">
        <x:f>IF(81&gt;$H$4,"",IF(INDEX('Fleet dates'!$D$9:$D$1008,$I89-8)="","",INDEX('Fleet dates'!$D$9:$D$1008,$I89-8)))</x:f>
      </x:c>
      <x:c r="E89" s="51" t="str">
        <x:f>IF(81&gt;$H$4,"",IF(INDEX('Fleet dates'!$E$9:$E$1008,$I89-8)="","",INDEX('Fleet dates'!$E$9:$E$1008,$I89-8)))</x:f>
      </x:c>
      <x:c r="F89" s="51" t="str">
        <x:f>IF(81&gt;$H$4,"",IF(INDEX('Fleet dates'!$F$9:$F$1008,$I89-8)="","",INDEX('Fleet dates'!$F$9:$F$1008,$I89-8)))</x:f>
      </x:c>
      <x:c r="G89" s="50" t="str">
        <x:f>IF(81&gt;$H$4,"",IF(INDEX('Fleet dates'!$G$9:$G$1008,$I89-8)="","",INDEX('Fleet dates'!$G$9:$G$1008,$I89-8)))</x:f>
      </x:c>
      <x:c r="H89" s="50" t="str">
        <x:f>IF(81&gt;$H$4,"",IF(INDEX('Fleet dates'!$I$9:$I$1008,$I89-8)="","",INDEX('Fleet dates'!$I$9:$I$1008,$I89-8)))</x:f>
      </x:c>
      <x:c r="I89" t="str">
        <x:f>IF(81&gt;$H$4,"",MATCH(81,'Fleet dates'!$J$9:$J$1008,0)+8)</x:f>
      </x:c>
    </x:row>
    <x:row r="90" ht="36" customHeight="1">
      <x:c r="A90" s="50" t="str">
        <x:f>IF(82&gt;$H$4,"",IF(INDEX('Fleet dates'!$A$9:$A$1008,$I90-8)="","",INDEX('Fleet dates'!$A$9:$A$1008,$I90-8)))</x:f>
      </x:c>
      <x:c r="B90" s="50" t="str">
        <x:f>IF(82&gt;$H$4,"",IF(INDEX('Fleet dates'!$B$9:$B$1008,$I90-8)="","",INDEX('Fleet dates'!$B$9:$B$1008,$I90-8)))</x:f>
      </x:c>
      <x:c r="C90" s="51" t="str">
        <x:f>IF(82&gt;$H$4,"",IF(INDEX('Fleet dates'!$C$9:$C$1008,$I90-8)="","",INDEX('Fleet dates'!$C$9:$C$1008,$I90-8)))</x:f>
      </x:c>
      <x:c r="D90" s="51" t="str">
        <x:f>IF(82&gt;$H$4,"",IF(INDEX('Fleet dates'!$D$9:$D$1008,$I90-8)="","",INDEX('Fleet dates'!$D$9:$D$1008,$I90-8)))</x:f>
      </x:c>
      <x:c r="E90" s="51" t="str">
        <x:f>IF(82&gt;$H$4,"",IF(INDEX('Fleet dates'!$E$9:$E$1008,$I90-8)="","",INDEX('Fleet dates'!$E$9:$E$1008,$I90-8)))</x:f>
      </x:c>
      <x:c r="F90" s="51" t="str">
        <x:f>IF(82&gt;$H$4,"",IF(INDEX('Fleet dates'!$F$9:$F$1008,$I90-8)="","",INDEX('Fleet dates'!$F$9:$F$1008,$I90-8)))</x:f>
      </x:c>
      <x:c r="G90" s="50" t="str">
        <x:f>IF(82&gt;$H$4,"",IF(INDEX('Fleet dates'!$G$9:$G$1008,$I90-8)="","",INDEX('Fleet dates'!$G$9:$G$1008,$I90-8)))</x:f>
      </x:c>
      <x:c r="H90" s="50" t="str">
        <x:f>IF(82&gt;$H$4,"",IF(INDEX('Fleet dates'!$I$9:$I$1008,$I90-8)="","",INDEX('Fleet dates'!$I$9:$I$1008,$I90-8)))</x:f>
      </x:c>
      <x:c r="I90" t="str">
        <x:f>IF(82&gt;$H$4,"",MATCH(82,'Fleet dates'!$J$9:$J$1008,0)+8)</x:f>
      </x:c>
    </x:row>
    <x:row r="91" ht="36" customHeight="1">
      <x:c r="A91" s="50" t="str">
        <x:f>IF(83&gt;$H$4,"",IF(INDEX('Fleet dates'!$A$9:$A$1008,$I91-8)="","",INDEX('Fleet dates'!$A$9:$A$1008,$I91-8)))</x:f>
      </x:c>
      <x:c r="B91" s="50" t="str">
        <x:f>IF(83&gt;$H$4,"",IF(INDEX('Fleet dates'!$B$9:$B$1008,$I91-8)="","",INDEX('Fleet dates'!$B$9:$B$1008,$I91-8)))</x:f>
      </x:c>
      <x:c r="C91" s="51" t="str">
        <x:f>IF(83&gt;$H$4,"",IF(INDEX('Fleet dates'!$C$9:$C$1008,$I91-8)="","",INDEX('Fleet dates'!$C$9:$C$1008,$I91-8)))</x:f>
      </x:c>
      <x:c r="D91" s="51" t="str">
        <x:f>IF(83&gt;$H$4,"",IF(INDEX('Fleet dates'!$D$9:$D$1008,$I91-8)="","",INDEX('Fleet dates'!$D$9:$D$1008,$I91-8)))</x:f>
      </x:c>
      <x:c r="E91" s="51" t="str">
        <x:f>IF(83&gt;$H$4,"",IF(INDEX('Fleet dates'!$E$9:$E$1008,$I91-8)="","",INDEX('Fleet dates'!$E$9:$E$1008,$I91-8)))</x:f>
      </x:c>
      <x:c r="F91" s="51" t="str">
        <x:f>IF(83&gt;$H$4,"",IF(INDEX('Fleet dates'!$F$9:$F$1008,$I91-8)="","",INDEX('Fleet dates'!$F$9:$F$1008,$I91-8)))</x:f>
      </x:c>
      <x:c r="G91" s="50" t="str">
        <x:f>IF(83&gt;$H$4,"",IF(INDEX('Fleet dates'!$G$9:$G$1008,$I91-8)="","",INDEX('Fleet dates'!$G$9:$G$1008,$I91-8)))</x:f>
      </x:c>
      <x:c r="H91" s="50" t="str">
        <x:f>IF(83&gt;$H$4,"",IF(INDEX('Fleet dates'!$I$9:$I$1008,$I91-8)="","",INDEX('Fleet dates'!$I$9:$I$1008,$I91-8)))</x:f>
      </x:c>
      <x:c r="I91" t="str">
        <x:f>IF(83&gt;$H$4,"",MATCH(83,'Fleet dates'!$J$9:$J$1008,0)+8)</x:f>
      </x:c>
    </x:row>
    <x:row r="92" ht="36" customHeight="1">
      <x:c r="A92" s="50" t="str">
        <x:f>IF(84&gt;$H$4,"",IF(INDEX('Fleet dates'!$A$9:$A$1008,$I92-8)="","",INDEX('Fleet dates'!$A$9:$A$1008,$I92-8)))</x:f>
      </x:c>
      <x:c r="B92" s="50" t="str">
        <x:f>IF(84&gt;$H$4,"",IF(INDEX('Fleet dates'!$B$9:$B$1008,$I92-8)="","",INDEX('Fleet dates'!$B$9:$B$1008,$I92-8)))</x:f>
      </x:c>
      <x:c r="C92" s="51" t="str">
        <x:f>IF(84&gt;$H$4,"",IF(INDEX('Fleet dates'!$C$9:$C$1008,$I92-8)="","",INDEX('Fleet dates'!$C$9:$C$1008,$I92-8)))</x:f>
      </x:c>
      <x:c r="D92" s="51" t="str">
        <x:f>IF(84&gt;$H$4,"",IF(INDEX('Fleet dates'!$D$9:$D$1008,$I92-8)="","",INDEX('Fleet dates'!$D$9:$D$1008,$I92-8)))</x:f>
      </x:c>
      <x:c r="E92" s="51" t="str">
        <x:f>IF(84&gt;$H$4,"",IF(INDEX('Fleet dates'!$E$9:$E$1008,$I92-8)="","",INDEX('Fleet dates'!$E$9:$E$1008,$I92-8)))</x:f>
      </x:c>
      <x:c r="F92" s="51" t="str">
        <x:f>IF(84&gt;$H$4,"",IF(INDEX('Fleet dates'!$F$9:$F$1008,$I92-8)="","",INDEX('Fleet dates'!$F$9:$F$1008,$I92-8)))</x:f>
      </x:c>
      <x:c r="G92" s="50" t="str">
        <x:f>IF(84&gt;$H$4,"",IF(INDEX('Fleet dates'!$G$9:$G$1008,$I92-8)="","",INDEX('Fleet dates'!$G$9:$G$1008,$I92-8)))</x:f>
      </x:c>
      <x:c r="H92" s="50" t="str">
        <x:f>IF(84&gt;$H$4,"",IF(INDEX('Fleet dates'!$I$9:$I$1008,$I92-8)="","",INDEX('Fleet dates'!$I$9:$I$1008,$I92-8)))</x:f>
      </x:c>
      <x:c r="I92" t="str">
        <x:f>IF(84&gt;$H$4,"",MATCH(84,'Fleet dates'!$J$9:$J$1008,0)+8)</x:f>
      </x:c>
    </x:row>
    <x:row r="93" ht="36" customHeight="1">
      <x:c r="A93" s="50" t="str">
        <x:f>IF(85&gt;$H$4,"",IF(INDEX('Fleet dates'!$A$9:$A$1008,$I93-8)="","",INDEX('Fleet dates'!$A$9:$A$1008,$I93-8)))</x:f>
      </x:c>
      <x:c r="B93" s="50" t="str">
        <x:f>IF(85&gt;$H$4,"",IF(INDEX('Fleet dates'!$B$9:$B$1008,$I93-8)="","",INDEX('Fleet dates'!$B$9:$B$1008,$I93-8)))</x:f>
      </x:c>
      <x:c r="C93" s="51" t="str">
        <x:f>IF(85&gt;$H$4,"",IF(INDEX('Fleet dates'!$C$9:$C$1008,$I93-8)="","",INDEX('Fleet dates'!$C$9:$C$1008,$I93-8)))</x:f>
      </x:c>
      <x:c r="D93" s="51" t="str">
        <x:f>IF(85&gt;$H$4,"",IF(INDEX('Fleet dates'!$D$9:$D$1008,$I93-8)="","",INDEX('Fleet dates'!$D$9:$D$1008,$I93-8)))</x:f>
      </x:c>
      <x:c r="E93" s="51" t="str">
        <x:f>IF(85&gt;$H$4,"",IF(INDEX('Fleet dates'!$E$9:$E$1008,$I93-8)="","",INDEX('Fleet dates'!$E$9:$E$1008,$I93-8)))</x:f>
      </x:c>
      <x:c r="F93" s="51" t="str">
        <x:f>IF(85&gt;$H$4,"",IF(INDEX('Fleet dates'!$F$9:$F$1008,$I93-8)="","",INDEX('Fleet dates'!$F$9:$F$1008,$I93-8)))</x:f>
      </x:c>
      <x:c r="G93" s="50" t="str">
        <x:f>IF(85&gt;$H$4,"",IF(INDEX('Fleet dates'!$G$9:$G$1008,$I93-8)="","",INDEX('Fleet dates'!$G$9:$G$1008,$I93-8)))</x:f>
      </x:c>
      <x:c r="H93" s="50" t="str">
        <x:f>IF(85&gt;$H$4,"",IF(INDEX('Fleet dates'!$I$9:$I$1008,$I93-8)="","",INDEX('Fleet dates'!$I$9:$I$1008,$I93-8)))</x:f>
      </x:c>
      <x:c r="I93" t="str">
        <x:f>IF(85&gt;$H$4,"",MATCH(85,'Fleet dates'!$J$9:$J$1008,0)+8)</x:f>
      </x:c>
    </x:row>
    <x:row r="94" ht="36" customHeight="1">
      <x:c r="A94" s="50" t="str">
        <x:f>IF(86&gt;$H$4,"",IF(INDEX('Fleet dates'!$A$9:$A$1008,$I94-8)="","",INDEX('Fleet dates'!$A$9:$A$1008,$I94-8)))</x:f>
      </x:c>
      <x:c r="B94" s="50" t="str">
        <x:f>IF(86&gt;$H$4,"",IF(INDEX('Fleet dates'!$B$9:$B$1008,$I94-8)="","",INDEX('Fleet dates'!$B$9:$B$1008,$I94-8)))</x:f>
      </x:c>
      <x:c r="C94" s="51" t="str">
        <x:f>IF(86&gt;$H$4,"",IF(INDEX('Fleet dates'!$C$9:$C$1008,$I94-8)="","",INDEX('Fleet dates'!$C$9:$C$1008,$I94-8)))</x:f>
      </x:c>
      <x:c r="D94" s="51" t="str">
        <x:f>IF(86&gt;$H$4,"",IF(INDEX('Fleet dates'!$D$9:$D$1008,$I94-8)="","",INDEX('Fleet dates'!$D$9:$D$1008,$I94-8)))</x:f>
      </x:c>
      <x:c r="E94" s="51" t="str">
        <x:f>IF(86&gt;$H$4,"",IF(INDEX('Fleet dates'!$E$9:$E$1008,$I94-8)="","",INDEX('Fleet dates'!$E$9:$E$1008,$I94-8)))</x:f>
      </x:c>
      <x:c r="F94" s="51" t="str">
        <x:f>IF(86&gt;$H$4,"",IF(INDEX('Fleet dates'!$F$9:$F$1008,$I94-8)="","",INDEX('Fleet dates'!$F$9:$F$1008,$I94-8)))</x:f>
      </x:c>
      <x:c r="G94" s="50" t="str">
        <x:f>IF(86&gt;$H$4,"",IF(INDEX('Fleet dates'!$G$9:$G$1008,$I94-8)="","",INDEX('Fleet dates'!$G$9:$G$1008,$I94-8)))</x:f>
      </x:c>
      <x:c r="H94" s="50" t="str">
        <x:f>IF(86&gt;$H$4,"",IF(INDEX('Fleet dates'!$I$9:$I$1008,$I94-8)="","",INDEX('Fleet dates'!$I$9:$I$1008,$I94-8)))</x:f>
      </x:c>
      <x:c r="I94" t="str">
        <x:f>IF(86&gt;$H$4,"",MATCH(86,'Fleet dates'!$J$9:$J$1008,0)+8)</x:f>
      </x:c>
    </x:row>
    <x:row r="95" ht="36" customHeight="1">
      <x:c r="A95" s="50" t="str">
        <x:f>IF(87&gt;$H$4,"",IF(INDEX('Fleet dates'!$A$9:$A$1008,$I95-8)="","",INDEX('Fleet dates'!$A$9:$A$1008,$I95-8)))</x:f>
      </x:c>
      <x:c r="B95" s="50" t="str">
        <x:f>IF(87&gt;$H$4,"",IF(INDEX('Fleet dates'!$B$9:$B$1008,$I95-8)="","",INDEX('Fleet dates'!$B$9:$B$1008,$I95-8)))</x:f>
      </x:c>
      <x:c r="C95" s="51" t="str">
        <x:f>IF(87&gt;$H$4,"",IF(INDEX('Fleet dates'!$C$9:$C$1008,$I95-8)="","",INDEX('Fleet dates'!$C$9:$C$1008,$I95-8)))</x:f>
      </x:c>
      <x:c r="D95" s="51" t="str">
        <x:f>IF(87&gt;$H$4,"",IF(INDEX('Fleet dates'!$D$9:$D$1008,$I95-8)="","",INDEX('Fleet dates'!$D$9:$D$1008,$I95-8)))</x:f>
      </x:c>
      <x:c r="E95" s="51" t="str">
        <x:f>IF(87&gt;$H$4,"",IF(INDEX('Fleet dates'!$E$9:$E$1008,$I95-8)="","",INDEX('Fleet dates'!$E$9:$E$1008,$I95-8)))</x:f>
      </x:c>
      <x:c r="F95" s="51" t="str">
        <x:f>IF(87&gt;$H$4,"",IF(INDEX('Fleet dates'!$F$9:$F$1008,$I95-8)="","",INDEX('Fleet dates'!$F$9:$F$1008,$I95-8)))</x:f>
      </x:c>
      <x:c r="G95" s="50" t="str">
        <x:f>IF(87&gt;$H$4,"",IF(INDEX('Fleet dates'!$G$9:$G$1008,$I95-8)="","",INDEX('Fleet dates'!$G$9:$G$1008,$I95-8)))</x:f>
      </x:c>
      <x:c r="H95" s="50" t="str">
        <x:f>IF(87&gt;$H$4,"",IF(INDEX('Fleet dates'!$I$9:$I$1008,$I95-8)="","",INDEX('Fleet dates'!$I$9:$I$1008,$I95-8)))</x:f>
      </x:c>
      <x:c r="I95" t="str">
        <x:f>IF(87&gt;$H$4,"",MATCH(87,'Fleet dates'!$J$9:$J$1008,0)+8)</x:f>
      </x:c>
    </x:row>
    <x:row r="96" ht="36" customHeight="1">
      <x:c r="A96" s="50" t="str">
        <x:f>IF(88&gt;$H$4,"",IF(INDEX('Fleet dates'!$A$9:$A$1008,$I96-8)="","",INDEX('Fleet dates'!$A$9:$A$1008,$I96-8)))</x:f>
      </x:c>
      <x:c r="B96" s="50" t="str">
        <x:f>IF(88&gt;$H$4,"",IF(INDEX('Fleet dates'!$B$9:$B$1008,$I96-8)="","",INDEX('Fleet dates'!$B$9:$B$1008,$I96-8)))</x:f>
      </x:c>
      <x:c r="C96" s="51" t="str">
        <x:f>IF(88&gt;$H$4,"",IF(INDEX('Fleet dates'!$C$9:$C$1008,$I96-8)="","",INDEX('Fleet dates'!$C$9:$C$1008,$I96-8)))</x:f>
      </x:c>
      <x:c r="D96" s="51" t="str">
        <x:f>IF(88&gt;$H$4,"",IF(INDEX('Fleet dates'!$D$9:$D$1008,$I96-8)="","",INDEX('Fleet dates'!$D$9:$D$1008,$I96-8)))</x:f>
      </x:c>
      <x:c r="E96" s="51" t="str">
        <x:f>IF(88&gt;$H$4,"",IF(INDEX('Fleet dates'!$E$9:$E$1008,$I96-8)="","",INDEX('Fleet dates'!$E$9:$E$1008,$I96-8)))</x:f>
      </x:c>
      <x:c r="F96" s="51" t="str">
        <x:f>IF(88&gt;$H$4,"",IF(INDEX('Fleet dates'!$F$9:$F$1008,$I96-8)="","",INDEX('Fleet dates'!$F$9:$F$1008,$I96-8)))</x:f>
      </x:c>
      <x:c r="G96" s="50" t="str">
        <x:f>IF(88&gt;$H$4,"",IF(INDEX('Fleet dates'!$G$9:$G$1008,$I96-8)="","",INDEX('Fleet dates'!$G$9:$G$1008,$I96-8)))</x:f>
      </x:c>
      <x:c r="H96" s="50" t="str">
        <x:f>IF(88&gt;$H$4,"",IF(INDEX('Fleet dates'!$I$9:$I$1008,$I96-8)="","",INDEX('Fleet dates'!$I$9:$I$1008,$I96-8)))</x:f>
      </x:c>
      <x:c r="I96" t="str">
        <x:f>IF(88&gt;$H$4,"",MATCH(88,'Fleet dates'!$J$9:$J$1008,0)+8)</x:f>
      </x:c>
    </x:row>
    <x:row r="97" ht="36" customHeight="1">
      <x:c r="A97" s="50" t="str">
        <x:f>IF(89&gt;$H$4,"",IF(INDEX('Fleet dates'!$A$9:$A$1008,$I97-8)="","",INDEX('Fleet dates'!$A$9:$A$1008,$I97-8)))</x:f>
      </x:c>
      <x:c r="B97" s="50" t="str">
        <x:f>IF(89&gt;$H$4,"",IF(INDEX('Fleet dates'!$B$9:$B$1008,$I97-8)="","",INDEX('Fleet dates'!$B$9:$B$1008,$I97-8)))</x:f>
      </x:c>
      <x:c r="C97" s="51" t="str">
        <x:f>IF(89&gt;$H$4,"",IF(INDEX('Fleet dates'!$C$9:$C$1008,$I97-8)="","",INDEX('Fleet dates'!$C$9:$C$1008,$I97-8)))</x:f>
      </x:c>
      <x:c r="D97" s="51" t="str">
        <x:f>IF(89&gt;$H$4,"",IF(INDEX('Fleet dates'!$D$9:$D$1008,$I97-8)="","",INDEX('Fleet dates'!$D$9:$D$1008,$I97-8)))</x:f>
      </x:c>
      <x:c r="E97" s="51" t="str">
        <x:f>IF(89&gt;$H$4,"",IF(INDEX('Fleet dates'!$E$9:$E$1008,$I97-8)="","",INDEX('Fleet dates'!$E$9:$E$1008,$I97-8)))</x:f>
      </x:c>
      <x:c r="F97" s="51" t="str">
        <x:f>IF(89&gt;$H$4,"",IF(INDEX('Fleet dates'!$F$9:$F$1008,$I97-8)="","",INDEX('Fleet dates'!$F$9:$F$1008,$I97-8)))</x:f>
      </x:c>
      <x:c r="G97" s="50" t="str">
        <x:f>IF(89&gt;$H$4,"",IF(INDEX('Fleet dates'!$G$9:$G$1008,$I97-8)="","",INDEX('Fleet dates'!$G$9:$G$1008,$I97-8)))</x:f>
      </x:c>
      <x:c r="H97" s="50" t="str">
        <x:f>IF(89&gt;$H$4,"",IF(INDEX('Fleet dates'!$I$9:$I$1008,$I97-8)="","",INDEX('Fleet dates'!$I$9:$I$1008,$I97-8)))</x:f>
      </x:c>
      <x:c r="I97" t="str">
        <x:f>IF(89&gt;$H$4,"",MATCH(89,'Fleet dates'!$J$9:$J$1008,0)+8)</x:f>
      </x:c>
    </x:row>
    <x:row r="98" ht="36" customHeight="1">
      <x:c r="A98" s="50" t="str">
        <x:f>IF(90&gt;$H$4,"",IF(INDEX('Fleet dates'!$A$9:$A$1008,$I98-8)="","",INDEX('Fleet dates'!$A$9:$A$1008,$I98-8)))</x:f>
      </x:c>
      <x:c r="B98" s="50" t="str">
        <x:f>IF(90&gt;$H$4,"",IF(INDEX('Fleet dates'!$B$9:$B$1008,$I98-8)="","",INDEX('Fleet dates'!$B$9:$B$1008,$I98-8)))</x:f>
      </x:c>
      <x:c r="C98" s="51" t="str">
        <x:f>IF(90&gt;$H$4,"",IF(INDEX('Fleet dates'!$C$9:$C$1008,$I98-8)="","",INDEX('Fleet dates'!$C$9:$C$1008,$I98-8)))</x:f>
      </x:c>
      <x:c r="D98" s="51" t="str">
        <x:f>IF(90&gt;$H$4,"",IF(INDEX('Fleet dates'!$D$9:$D$1008,$I98-8)="","",INDEX('Fleet dates'!$D$9:$D$1008,$I98-8)))</x:f>
      </x:c>
      <x:c r="E98" s="51" t="str">
        <x:f>IF(90&gt;$H$4,"",IF(INDEX('Fleet dates'!$E$9:$E$1008,$I98-8)="","",INDEX('Fleet dates'!$E$9:$E$1008,$I98-8)))</x:f>
      </x:c>
      <x:c r="F98" s="51" t="str">
        <x:f>IF(90&gt;$H$4,"",IF(INDEX('Fleet dates'!$F$9:$F$1008,$I98-8)="","",INDEX('Fleet dates'!$F$9:$F$1008,$I98-8)))</x:f>
      </x:c>
      <x:c r="G98" s="50" t="str">
        <x:f>IF(90&gt;$H$4,"",IF(INDEX('Fleet dates'!$G$9:$G$1008,$I98-8)="","",INDEX('Fleet dates'!$G$9:$G$1008,$I98-8)))</x:f>
      </x:c>
      <x:c r="H98" s="50" t="str">
        <x:f>IF(90&gt;$H$4,"",IF(INDEX('Fleet dates'!$I$9:$I$1008,$I98-8)="","",INDEX('Fleet dates'!$I$9:$I$1008,$I98-8)))</x:f>
      </x:c>
      <x:c r="I98" t="str">
        <x:f>IF(90&gt;$H$4,"",MATCH(90,'Fleet dates'!$J$9:$J$1008,0)+8)</x:f>
      </x:c>
    </x:row>
    <x:row r="99" ht="36" customHeight="1">
      <x:c r="A99" s="50" t="str">
        <x:f>IF(91&gt;$H$4,"",IF(INDEX('Fleet dates'!$A$9:$A$1008,$I99-8)="","",INDEX('Fleet dates'!$A$9:$A$1008,$I99-8)))</x:f>
      </x:c>
      <x:c r="B99" s="50" t="str">
        <x:f>IF(91&gt;$H$4,"",IF(INDEX('Fleet dates'!$B$9:$B$1008,$I99-8)="","",INDEX('Fleet dates'!$B$9:$B$1008,$I99-8)))</x:f>
      </x:c>
      <x:c r="C99" s="51" t="str">
        <x:f>IF(91&gt;$H$4,"",IF(INDEX('Fleet dates'!$C$9:$C$1008,$I99-8)="","",INDEX('Fleet dates'!$C$9:$C$1008,$I99-8)))</x:f>
      </x:c>
      <x:c r="D99" s="51" t="str">
        <x:f>IF(91&gt;$H$4,"",IF(INDEX('Fleet dates'!$D$9:$D$1008,$I99-8)="","",INDEX('Fleet dates'!$D$9:$D$1008,$I99-8)))</x:f>
      </x:c>
      <x:c r="E99" s="51" t="str">
        <x:f>IF(91&gt;$H$4,"",IF(INDEX('Fleet dates'!$E$9:$E$1008,$I99-8)="","",INDEX('Fleet dates'!$E$9:$E$1008,$I99-8)))</x:f>
      </x:c>
      <x:c r="F99" s="51" t="str">
        <x:f>IF(91&gt;$H$4,"",IF(INDEX('Fleet dates'!$F$9:$F$1008,$I99-8)="","",INDEX('Fleet dates'!$F$9:$F$1008,$I99-8)))</x:f>
      </x:c>
      <x:c r="G99" s="50" t="str">
        <x:f>IF(91&gt;$H$4,"",IF(INDEX('Fleet dates'!$G$9:$G$1008,$I99-8)="","",INDEX('Fleet dates'!$G$9:$G$1008,$I99-8)))</x:f>
      </x:c>
      <x:c r="H99" s="50" t="str">
        <x:f>IF(91&gt;$H$4,"",IF(INDEX('Fleet dates'!$I$9:$I$1008,$I99-8)="","",INDEX('Fleet dates'!$I$9:$I$1008,$I99-8)))</x:f>
      </x:c>
      <x:c r="I99" t="str">
        <x:f>IF(91&gt;$H$4,"",MATCH(91,'Fleet dates'!$J$9:$J$1008,0)+8)</x:f>
      </x:c>
    </x:row>
    <x:row r="100" ht="36" customHeight="1">
      <x:c r="A100" s="50" t="str">
        <x:f>IF(92&gt;$H$4,"",IF(INDEX('Fleet dates'!$A$9:$A$1008,$I100-8)="","",INDEX('Fleet dates'!$A$9:$A$1008,$I100-8)))</x:f>
      </x:c>
      <x:c r="B100" s="50" t="str">
        <x:f>IF(92&gt;$H$4,"",IF(INDEX('Fleet dates'!$B$9:$B$1008,$I100-8)="","",INDEX('Fleet dates'!$B$9:$B$1008,$I100-8)))</x:f>
      </x:c>
      <x:c r="C100" s="51" t="str">
        <x:f>IF(92&gt;$H$4,"",IF(INDEX('Fleet dates'!$C$9:$C$1008,$I100-8)="","",INDEX('Fleet dates'!$C$9:$C$1008,$I100-8)))</x:f>
      </x:c>
      <x:c r="D100" s="51" t="str">
        <x:f>IF(92&gt;$H$4,"",IF(INDEX('Fleet dates'!$D$9:$D$1008,$I100-8)="","",INDEX('Fleet dates'!$D$9:$D$1008,$I100-8)))</x:f>
      </x:c>
      <x:c r="E100" s="51" t="str">
        <x:f>IF(92&gt;$H$4,"",IF(INDEX('Fleet dates'!$E$9:$E$1008,$I100-8)="","",INDEX('Fleet dates'!$E$9:$E$1008,$I100-8)))</x:f>
      </x:c>
      <x:c r="F100" s="51" t="str">
        <x:f>IF(92&gt;$H$4,"",IF(INDEX('Fleet dates'!$F$9:$F$1008,$I100-8)="","",INDEX('Fleet dates'!$F$9:$F$1008,$I100-8)))</x:f>
      </x:c>
      <x:c r="G100" s="50" t="str">
        <x:f>IF(92&gt;$H$4,"",IF(INDEX('Fleet dates'!$G$9:$G$1008,$I100-8)="","",INDEX('Fleet dates'!$G$9:$G$1008,$I100-8)))</x:f>
      </x:c>
      <x:c r="H100" s="50" t="str">
        <x:f>IF(92&gt;$H$4,"",IF(INDEX('Fleet dates'!$I$9:$I$1008,$I100-8)="","",INDEX('Fleet dates'!$I$9:$I$1008,$I100-8)))</x:f>
      </x:c>
      <x:c r="I100" t="str">
        <x:f>IF(92&gt;$H$4,"",MATCH(92,'Fleet dates'!$J$9:$J$1008,0)+8)</x:f>
      </x:c>
    </x:row>
    <x:row r="101" ht="36" customHeight="1">
      <x:c r="A101" s="50" t="str">
        <x:f>IF(93&gt;$H$4,"",IF(INDEX('Fleet dates'!$A$9:$A$1008,$I101-8)="","",INDEX('Fleet dates'!$A$9:$A$1008,$I101-8)))</x:f>
      </x:c>
      <x:c r="B101" s="50" t="str">
        <x:f>IF(93&gt;$H$4,"",IF(INDEX('Fleet dates'!$B$9:$B$1008,$I101-8)="","",INDEX('Fleet dates'!$B$9:$B$1008,$I101-8)))</x:f>
      </x:c>
      <x:c r="C101" s="51" t="str">
        <x:f>IF(93&gt;$H$4,"",IF(INDEX('Fleet dates'!$C$9:$C$1008,$I101-8)="","",INDEX('Fleet dates'!$C$9:$C$1008,$I101-8)))</x:f>
      </x:c>
      <x:c r="D101" s="51" t="str">
        <x:f>IF(93&gt;$H$4,"",IF(INDEX('Fleet dates'!$D$9:$D$1008,$I101-8)="","",INDEX('Fleet dates'!$D$9:$D$1008,$I101-8)))</x:f>
      </x:c>
      <x:c r="E101" s="51" t="str">
        <x:f>IF(93&gt;$H$4,"",IF(INDEX('Fleet dates'!$E$9:$E$1008,$I101-8)="","",INDEX('Fleet dates'!$E$9:$E$1008,$I101-8)))</x:f>
      </x:c>
      <x:c r="F101" s="51" t="str">
        <x:f>IF(93&gt;$H$4,"",IF(INDEX('Fleet dates'!$F$9:$F$1008,$I101-8)="","",INDEX('Fleet dates'!$F$9:$F$1008,$I101-8)))</x:f>
      </x:c>
      <x:c r="G101" s="50" t="str">
        <x:f>IF(93&gt;$H$4,"",IF(INDEX('Fleet dates'!$G$9:$G$1008,$I101-8)="","",INDEX('Fleet dates'!$G$9:$G$1008,$I101-8)))</x:f>
      </x:c>
      <x:c r="H101" s="50" t="str">
        <x:f>IF(93&gt;$H$4,"",IF(INDEX('Fleet dates'!$I$9:$I$1008,$I101-8)="","",INDEX('Fleet dates'!$I$9:$I$1008,$I101-8)))</x:f>
      </x:c>
      <x:c r="I101" t="str">
        <x:f>IF(93&gt;$H$4,"",MATCH(93,'Fleet dates'!$J$9:$J$1008,0)+8)</x:f>
      </x:c>
    </x:row>
    <x:row r="102" ht="36" customHeight="1">
      <x:c r="A102" s="50" t="str">
        <x:f>IF(94&gt;$H$4,"",IF(INDEX('Fleet dates'!$A$9:$A$1008,$I102-8)="","",INDEX('Fleet dates'!$A$9:$A$1008,$I102-8)))</x:f>
      </x:c>
      <x:c r="B102" s="50" t="str">
        <x:f>IF(94&gt;$H$4,"",IF(INDEX('Fleet dates'!$B$9:$B$1008,$I102-8)="","",INDEX('Fleet dates'!$B$9:$B$1008,$I102-8)))</x:f>
      </x:c>
      <x:c r="C102" s="51" t="str">
        <x:f>IF(94&gt;$H$4,"",IF(INDEX('Fleet dates'!$C$9:$C$1008,$I102-8)="","",INDEX('Fleet dates'!$C$9:$C$1008,$I102-8)))</x:f>
      </x:c>
      <x:c r="D102" s="51" t="str">
        <x:f>IF(94&gt;$H$4,"",IF(INDEX('Fleet dates'!$D$9:$D$1008,$I102-8)="","",INDEX('Fleet dates'!$D$9:$D$1008,$I102-8)))</x:f>
      </x:c>
      <x:c r="E102" s="51" t="str">
        <x:f>IF(94&gt;$H$4,"",IF(INDEX('Fleet dates'!$E$9:$E$1008,$I102-8)="","",INDEX('Fleet dates'!$E$9:$E$1008,$I102-8)))</x:f>
      </x:c>
      <x:c r="F102" s="51" t="str">
        <x:f>IF(94&gt;$H$4,"",IF(INDEX('Fleet dates'!$F$9:$F$1008,$I102-8)="","",INDEX('Fleet dates'!$F$9:$F$1008,$I102-8)))</x:f>
      </x:c>
      <x:c r="G102" s="50" t="str">
        <x:f>IF(94&gt;$H$4,"",IF(INDEX('Fleet dates'!$G$9:$G$1008,$I102-8)="","",INDEX('Fleet dates'!$G$9:$G$1008,$I102-8)))</x:f>
      </x:c>
      <x:c r="H102" s="50" t="str">
        <x:f>IF(94&gt;$H$4,"",IF(INDEX('Fleet dates'!$I$9:$I$1008,$I102-8)="","",INDEX('Fleet dates'!$I$9:$I$1008,$I102-8)))</x:f>
      </x:c>
      <x:c r="I102" t="str">
        <x:f>IF(94&gt;$H$4,"",MATCH(94,'Fleet dates'!$J$9:$J$1008,0)+8)</x:f>
      </x:c>
    </x:row>
    <x:row r="103" ht="36" customHeight="1">
      <x:c r="A103" s="50" t="str">
        <x:f>IF(95&gt;$H$4,"",IF(INDEX('Fleet dates'!$A$9:$A$1008,$I103-8)="","",INDEX('Fleet dates'!$A$9:$A$1008,$I103-8)))</x:f>
      </x:c>
      <x:c r="B103" s="50" t="str">
        <x:f>IF(95&gt;$H$4,"",IF(INDEX('Fleet dates'!$B$9:$B$1008,$I103-8)="","",INDEX('Fleet dates'!$B$9:$B$1008,$I103-8)))</x:f>
      </x:c>
      <x:c r="C103" s="51" t="str">
        <x:f>IF(95&gt;$H$4,"",IF(INDEX('Fleet dates'!$C$9:$C$1008,$I103-8)="","",INDEX('Fleet dates'!$C$9:$C$1008,$I103-8)))</x:f>
      </x:c>
      <x:c r="D103" s="51" t="str">
        <x:f>IF(95&gt;$H$4,"",IF(INDEX('Fleet dates'!$D$9:$D$1008,$I103-8)="","",INDEX('Fleet dates'!$D$9:$D$1008,$I103-8)))</x:f>
      </x:c>
      <x:c r="E103" s="51" t="str">
        <x:f>IF(95&gt;$H$4,"",IF(INDEX('Fleet dates'!$E$9:$E$1008,$I103-8)="","",INDEX('Fleet dates'!$E$9:$E$1008,$I103-8)))</x:f>
      </x:c>
      <x:c r="F103" s="51" t="str">
        <x:f>IF(95&gt;$H$4,"",IF(INDEX('Fleet dates'!$F$9:$F$1008,$I103-8)="","",INDEX('Fleet dates'!$F$9:$F$1008,$I103-8)))</x:f>
      </x:c>
      <x:c r="G103" s="50" t="str">
        <x:f>IF(95&gt;$H$4,"",IF(INDEX('Fleet dates'!$G$9:$G$1008,$I103-8)="","",INDEX('Fleet dates'!$G$9:$G$1008,$I103-8)))</x:f>
      </x:c>
      <x:c r="H103" s="50" t="str">
        <x:f>IF(95&gt;$H$4,"",IF(INDEX('Fleet dates'!$I$9:$I$1008,$I103-8)="","",INDEX('Fleet dates'!$I$9:$I$1008,$I103-8)))</x:f>
      </x:c>
      <x:c r="I103" t="str">
        <x:f>IF(95&gt;$H$4,"",MATCH(95,'Fleet dates'!$J$9:$J$1008,0)+8)</x:f>
      </x:c>
    </x:row>
    <x:row r="104" ht="36" customHeight="1">
      <x:c r="A104" s="50" t="str">
        <x:f>IF(96&gt;$H$4,"",IF(INDEX('Fleet dates'!$A$9:$A$1008,$I104-8)="","",INDEX('Fleet dates'!$A$9:$A$1008,$I104-8)))</x:f>
      </x:c>
      <x:c r="B104" s="50" t="str">
        <x:f>IF(96&gt;$H$4,"",IF(INDEX('Fleet dates'!$B$9:$B$1008,$I104-8)="","",INDEX('Fleet dates'!$B$9:$B$1008,$I104-8)))</x:f>
      </x:c>
      <x:c r="C104" s="51" t="str">
        <x:f>IF(96&gt;$H$4,"",IF(INDEX('Fleet dates'!$C$9:$C$1008,$I104-8)="","",INDEX('Fleet dates'!$C$9:$C$1008,$I104-8)))</x:f>
      </x:c>
      <x:c r="D104" s="51" t="str">
        <x:f>IF(96&gt;$H$4,"",IF(INDEX('Fleet dates'!$D$9:$D$1008,$I104-8)="","",INDEX('Fleet dates'!$D$9:$D$1008,$I104-8)))</x:f>
      </x:c>
      <x:c r="E104" s="51" t="str">
        <x:f>IF(96&gt;$H$4,"",IF(INDEX('Fleet dates'!$E$9:$E$1008,$I104-8)="","",INDEX('Fleet dates'!$E$9:$E$1008,$I104-8)))</x:f>
      </x:c>
      <x:c r="F104" s="51" t="str">
        <x:f>IF(96&gt;$H$4,"",IF(INDEX('Fleet dates'!$F$9:$F$1008,$I104-8)="","",INDEX('Fleet dates'!$F$9:$F$1008,$I104-8)))</x:f>
      </x:c>
      <x:c r="G104" s="50" t="str">
        <x:f>IF(96&gt;$H$4,"",IF(INDEX('Fleet dates'!$G$9:$G$1008,$I104-8)="","",INDEX('Fleet dates'!$G$9:$G$1008,$I104-8)))</x:f>
      </x:c>
      <x:c r="H104" s="50" t="str">
        <x:f>IF(96&gt;$H$4,"",IF(INDEX('Fleet dates'!$I$9:$I$1008,$I104-8)="","",INDEX('Fleet dates'!$I$9:$I$1008,$I104-8)))</x:f>
      </x:c>
      <x:c r="I104" t="str">
        <x:f>IF(96&gt;$H$4,"",MATCH(96,'Fleet dates'!$J$9:$J$1008,0)+8)</x:f>
      </x:c>
    </x:row>
    <x:row r="105" ht="36" customHeight="1">
      <x:c r="A105" s="50" t="str">
        <x:f>IF(97&gt;$H$4,"",IF(INDEX('Fleet dates'!$A$9:$A$1008,$I105-8)="","",INDEX('Fleet dates'!$A$9:$A$1008,$I105-8)))</x:f>
      </x:c>
      <x:c r="B105" s="50" t="str">
        <x:f>IF(97&gt;$H$4,"",IF(INDEX('Fleet dates'!$B$9:$B$1008,$I105-8)="","",INDEX('Fleet dates'!$B$9:$B$1008,$I105-8)))</x:f>
      </x:c>
      <x:c r="C105" s="51" t="str">
        <x:f>IF(97&gt;$H$4,"",IF(INDEX('Fleet dates'!$C$9:$C$1008,$I105-8)="","",INDEX('Fleet dates'!$C$9:$C$1008,$I105-8)))</x:f>
      </x:c>
      <x:c r="D105" s="51" t="str">
        <x:f>IF(97&gt;$H$4,"",IF(INDEX('Fleet dates'!$D$9:$D$1008,$I105-8)="","",INDEX('Fleet dates'!$D$9:$D$1008,$I105-8)))</x:f>
      </x:c>
      <x:c r="E105" s="51" t="str">
        <x:f>IF(97&gt;$H$4,"",IF(INDEX('Fleet dates'!$E$9:$E$1008,$I105-8)="","",INDEX('Fleet dates'!$E$9:$E$1008,$I105-8)))</x:f>
      </x:c>
      <x:c r="F105" s="51" t="str">
        <x:f>IF(97&gt;$H$4,"",IF(INDEX('Fleet dates'!$F$9:$F$1008,$I105-8)="","",INDEX('Fleet dates'!$F$9:$F$1008,$I105-8)))</x:f>
      </x:c>
      <x:c r="G105" s="50" t="str">
        <x:f>IF(97&gt;$H$4,"",IF(INDEX('Fleet dates'!$G$9:$G$1008,$I105-8)="","",INDEX('Fleet dates'!$G$9:$G$1008,$I105-8)))</x:f>
      </x:c>
      <x:c r="H105" s="50" t="str">
        <x:f>IF(97&gt;$H$4,"",IF(INDEX('Fleet dates'!$I$9:$I$1008,$I105-8)="","",INDEX('Fleet dates'!$I$9:$I$1008,$I105-8)))</x:f>
      </x:c>
      <x:c r="I105" t="str">
        <x:f>IF(97&gt;$H$4,"",MATCH(97,'Fleet dates'!$J$9:$J$1008,0)+8)</x:f>
      </x:c>
    </x:row>
    <x:row r="106" ht="36" customHeight="1">
      <x:c r="A106" s="50" t="str">
        <x:f>IF(98&gt;$H$4,"",IF(INDEX('Fleet dates'!$A$9:$A$1008,$I106-8)="","",INDEX('Fleet dates'!$A$9:$A$1008,$I106-8)))</x:f>
      </x:c>
      <x:c r="B106" s="50" t="str">
        <x:f>IF(98&gt;$H$4,"",IF(INDEX('Fleet dates'!$B$9:$B$1008,$I106-8)="","",INDEX('Fleet dates'!$B$9:$B$1008,$I106-8)))</x:f>
      </x:c>
      <x:c r="C106" s="51" t="str">
        <x:f>IF(98&gt;$H$4,"",IF(INDEX('Fleet dates'!$C$9:$C$1008,$I106-8)="","",INDEX('Fleet dates'!$C$9:$C$1008,$I106-8)))</x:f>
      </x:c>
      <x:c r="D106" s="51" t="str">
        <x:f>IF(98&gt;$H$4,"",IF(INDEX('Fleet dates'!$D$9:$D$1008,$I106-8)="","",INDEX('Fleet dates'!$D$9:$D$1008,$I106-8)))</x:f>
      </x:c>
      <x:c r="E106" s="51" t="str">
        <x:f>IF(98&gt;$H$4,"",IF(INDEX('Fleet dates'!$E$9:$E$1008,$I106-8)="","",INDEX('Fleet dates'!$E$9:$E$1008,$I106-8)))</x:f>
      </x:c>
      <x:c r="F106" s="51" t="str">
        <x:f>IF(98&gt;$H$4,"",IF(INDEX('Fleet dates'!$F$9:$F$1008,$I106-8)="","",INDEX('Fleet dates'!$F$9:$F$1008,$I106-8)))</x:f>
      </x:c>
      <x:c r="G106" s="50" t="str">
        <x:f>IF(98&gt;$H$4,"",IF(INDEX('Fleet dates'!$G$9:$G$1008,$I106-8)="","",INDEX('Fleet dates'!$G$9:$G$1008,$I106-8)))</x:f>
      </x:c>
      <x:c r="H106" s="50" t="str">
        <x:f>IF(98&gt;$H$4,"",IF(INDEX('Fleet dates'!$I$9:$I$1008,$I106-8)="","",INDEX('Fleet dates'!$I$9:$I$1008,$I106-8)))</x:f>
      </x:c>
      <x:c r="I106" t="str">
        <x:f>IF(98&gt;$H$4,"",MATCH(98,'Fleet dates'!$J$9:$J$1008,0)+8)</x:f>
      </x:c>
    </x:row>
    <x:row r="107" ht="36" customHeight="1">
      <x:c r="A107" s="50" t="str">
        <x:f>IF(99&gt;$H$4,"",IF(INDEX('Fleet dates'!$A$9:$A$1008,$I107-8)="","",INDEX('Fleet dates'!$A$9:$A$1008,$I107-8)))</x:f>
      </x:c>
      <x:c r="B107" s="50" t="str">
        <x:f>IF(99&gt;$H$4,"",IF(INDEX('Fleet dates'!$B$9:$B$1008,$I107-8)="","",INDEX('Fleet dates'!$B$9:$B$1008,$I107-8)))</x:f>
      </x:c>
      <x:c r="C107" s="51" t="str">
        <x:f>IF(99&gt;$H$4,"",IF(INDEX('Fleet dates'!$C$9:$C$1008,$I107-8)="","",INDEX('Fleet dates'!$C$9:$C$1008,$I107-8)))</x:f>
      </x:c>
      <x:c r="D107" s="51" t="str">
        <x:f>IF(99&gt;$H$4,"",IF(INDEX('Fleet dates'!$D$9:$D$1008,$I107-8)="","",INDEX('Fleet dates'!$D$9:$D$1008,$I107-8)))</x:f>
      </x:c>
      <x:c r="E107" s="51" t="str">
        <x:f>IF(99&gt;$H$4,"",IF(INDEX('Fleet dates'!$E$9:$E$1008,$I107-8)="","",INDEX('Fleet dates'!$E$9:$E$1008,$I107-8)))</x:f>
      </x:c>
      <x:c r="F107" s="51" t="str">
        <x:f>IF(99&gt;$H$4,"",IF(INDEX('Fleet dates'!$F$9:$F$1008,$I107-8)="","",INDEX('Fleet dates'!$F$9:$F$1008,$I107-8)))</x:f>
      </x:c>
      <x:c r="G107" s="50" t="str">
        <x:f>IF(99&gt;$H$4,"",IF(INDEX('Fleet dates'!$G$9:$G$1008,$I107-8)="","",INDEX('Fleet dates'!$G$9:$G$1008,$I107-8)))</x:f>
      </x:c>
      <x:c r="H107" s="50" t="str">
        <x:f>IF(99&gt;$H$4,"",IF(INDEX('Fleet dates'!$I$9:$I$1008,$I107-8)="","",INDEX('Fleet dates'!$I$9:$I$1008,$I107-8)))</x:f>
      </x:c>
      <x:c r="I107" t="str">
        <x:f>IF(99&gt;$H$4,"",MATCH(99,'Fleet dates'!$J$9:$J$1008,0)+8)</x:f>
      </x:c>
    </x:row>
    <x:row r="108" ht="36" customHeight="1">
      <x:c r="A108" s="50" t="str">
        <x:f>IF(100&gt;$H$4,"",IF(INDEX('Fleet dates'!$A$9:$A$1008,$I108-8)="","",INDEX('Fleet dates'!$A$9:$A$1008,$I108-8)))</x:f>
      </x:c>
      <x:c r="B108" s="50" t="str">
        <x:f>IF(100&gt;$H$4,"",IF(INDEX('Fleet dates'!$B$9:$B$1008,$I108-8)="","",INDEX('Fleet dates'!$B$9:$B$1008,$I108-8)))</x:f>
      </x:c>
      <x:c r="C108" s="51" t="str">
        <x:f>IF(100&gt;$H$4,"",IF(INDEX('Fleet dates'!$C$9:$C$1008,$I108-8)="","",INDEX('Fleet dates'!$C$9:$C$1008,$I108-8)))</x:f>
      </x:c>
      <x:c r="D108" s="51" t="str">
        <x:f>IF(100&gt;$H$4,"",IF(INDEX('Fleet dates'!$D$9:$D$1008,$I108-8)="","",INDEX('Fleet dates'!$D$9:$D$1008,$I108-8)))</x:f>
      </x:c>
      <x:c r="E108" s="51" t="str">
        <x:f>IF(100&gt;$H$4,"",IF(INDEX('Fleet dates'!$E$9:$E$1008,$I108-8)="","",INDEX('Fleet dates'!$E$9:$E$1008,$I108-8)))</x:f>
      </x:c>
      <x:c r="F108" s="51" t="str">
        <x:f>IF(100&gt;$H$4,"",IF(INDEX('Fleet dates'!$F$9:$F$1008,$I108-8)="","",INDEX('Fleet dates'!$F$9:$F$1008,$I108-8)))</x:f>
      </x:c>
      <x:c r="G108" s="50" t="str">
        <x:f>IF(100&gt;$H$4,"",IF(INDEX('Fleet dates'!$G$9:$G$1008,$I108-8)="","",INDEX('Fleet dates'!$G$9:$G$1008,$I108-8)))</x:f>
      </x:c>
      <x:c r="H108" s="50" t="str">
        <x:f>IF(100&gt;$H$4,"",IF(INDEX('Fleet dates'!$I$9:$I$1008,$I108-8)="","",INDEX('Fleet dates'!$I$9:$I$1008,$I108-8)))</x:f>
      </x:c>
      <x:c r="I108" t="str">
        <x:f>IF(100&gt;$H$4,"",MATCH(100,'Fleet dates'!$J$9:$J$1008,0)+8)</x:f>
      </x:c>
    </x:row>
    <x:row r="109" ht="36" customHeight="1">
      <x:c r="A109" s="50" t="str">
        <x:f>IF(101&gt;$H$4,"",IF(INDEX('Fleet dates'!$A$9:$A$1008,$I109-8)="","",INDEX('Fleet dates'!$A$9:$A$1008,$I109-8)))</x:f>
      </x:c>
      <x:c r="B109" s="50" t="str">
        <x:f>IF(101&gt;$H$4,"",IF(INDEX('Fleet dates'!$B$9:$B$1008,$I109-8)="","",INDEX('Fleet dates'!$B$9:$B$1008,$I109-8)))</x:f>
      </x:c>
      <x:c r="C109" s="51" t="str">
        <x:f>IF(101&gt;$H$4,"",IF(INDEX('Fleet dates'!$C$9:$C$1008,$I109-8)="","",INDEX('Fleet dates'!$C$9:$C$1008,$I109-8)))</x:f>
      </x:c>
      <x:c r="D109" s="51" t="str">
        <x:f>IF(101&gt;$H$4,"",IF(INDEX('Fleet dates'!$D$9:$D$1008,$I109-8)="","",INDEX('Fleet dates'!$D$9:$D$1008,$I109-8)))</x:f>
      </x:c>
      <x:c r="E109" s="51" t="str">
        <x:f>IF(101&gt;$H$4,"",IF(INDEX('Fleet dates'!$E$9:$E$1008,$I109-8)="","",INDEX('Fleet dates'!$E$9:$E$1008,$I109-8)))</x:f>
      </x:c>
      <x:c r="F109" s="51" t="str">
        <x:f>IF(101&gt;$H$4,"",IF(INDEX('Fleet dates'!$F$9:$F$1008,$I109-8)="","",INDEX('Fleet dates'!$F$9:$F$1008,$I109-8)))</x:f>
      </x:c>
      <x:c r="G109" s="50" t="str">
        <x:f>IF(101&gt;$H$4,"",IF(INDEX('Fleet dates'!$G$9:$G$1008,$I109-8)="","",INDEX('Fleet dates'!$G$9:$G$1008,$I109-8)))</x:f>
      </x:c>
      <x:c r="H109" s="50" t="str">
        <x:f>IF(101&gt;$H$4,"",IF(INDEX('Fleet dates'!$I$9:$I$1008,$I109-8)="","",INDEX('Fleet dates'!$I$9:$I$1008,$I109-8)))</x:f>
      </x:c>
      <x:c r="I109" t="str">
        <x:f>IF(101&gt;$H$4,"",MATCH(101,'Fleet dates'!$J$9:$J$1008,0)+8)</x:f>
      </x:c>
    </x:row>
    <x:row r="110" ht="36" customHeight="1">
      <x:c r="A110" s="50" t="str">
        <x:f>IF(102&gt;$H$4,"",IF(INDEX('Fleet dates'!$A$9:$A$1008,$I110-8)="","",INDEX('Fleet dates'!$A$9:$A$1008,$I110-8)))</x:f>
      </x:c>
      <x:c r="B110" s="50" t="str">
        <x:f>IF(102&gt;$H$4,"",IF(INDEX('Fleet dates'!$B$9:$B$1008,$I110-8)="","",INDEX('Fleet dates'!$B$9:$B$1008,$I110-8)))</x:f>
      </x:c>
      <x:c r="C110" s="51" t="str">
        <x:f>IF(102&gt;$H$4,"",IF(INDEX('Fleet dates'!$C$9:$C$1008,$I110-8)="","",INDEX('Fleet dates'!$C$9:$C$1008,$I110-8)))</x:f>
      </x:c>
      <x:c r="D110" s="51" t="str">
        <x:f>IF(102&gt;$H$4,"",IF(INDEX('Fleet dates'!$D$9:$D$1008,$I110-8)="","",INDEX('Fleet dates'!$D$9:$D$1008,$I110-8)))</x:f>
      </x:c>
      <x:c r="E110" s="51" t="str">
        <x:f>IF(102&gt;$H$4,"",IF(INDEX('Fleet dates'!$E$9:$E$1008,$I110-8)="","",INDEX('Fleet dates'!$E$9:$E$1008,$I110-8)))</x:f>
      </x:c>
      <x:c r="F110" s="51" t="str">
        <x:f>IF(102&gt;$H$4,"",IF(INDEX('Fleet dates'!$F$9:$F$1008,$I110-8)="","",INDEX('Fleet dates'!$F$9:$F$1008,$I110-8)))</x:f>
      </x:c>
      <x:c r="G110" s="50" t="str">
        <x:f>IF(102&gt;$H$4,"",IF(INDEX('Fleet dates'!$G$9:$G$1008,$I110-8)="","",INDEX('Fleet dates'!$G$9:$G$1008,$I110-8)))</x:f>
      </x:c>
      <x:c r="H110" s="50" t="str">
        <x:f>IF(102&gt;$H$4,"",IF(INDEX('Fleet dates'!$I$9:$I$1008,$I110-8)="","",INDEX('Fleet dates'!$I$9:$I$1008,$I110-8)))</x:f>
      </x:c>
      <x:c r="I110" t="str">
        <x:f>IF(102&gt;$H$4,"",MATCH(102,'Fleet dates'!$J$9:$J$1008,0)+8)</x:f>
      </x:c>
    </x:row>
    <x:row r="111" ht="36" customHeight="1">
      <x:c r="A111" s="50" t="str">
        <x:f>IF(103&gt;$H$4,"",IF(INDEX('Fleet dates'!$A$9:$A$1008,$I111-8)="","",INDEX('Fleet dates'!$A$9:$A$1008,$I111-8)))</x:f>
      </x:c>
      <x:c r="B111" s="50" t="str">
        <x:f>IF(103&gt;$H$4,"",IF(INDEX('Fleet dates'!$B$9:$B$1008,$I111-8)="","",INDEX('Fleet dates'!$B$9:$B$1008,$I111-8)))</x:f>
      </x:c>
      <x:c r="C111" s="51" t="str">
        <x:f>IF(103&gt;$H$4,"",IF(INDEX('Fleet dates'!$C$9:$C$1008,$I111-8)="","",INDEX('Fleet dates'!$C$9:$C$1008,$I111-8)))</x:f>
      </x:c>
      <x:c r="D111" s="51" t="str">
        <x:f>IF(103&gt;$H$4,"",IF(INDEX('Fleet dates'!$D$9:$D$1008,$I111-8)="","",INDEX('Fleet dates'!$D$9:$D$1008,$I111-8)))</x:f>
      </x:c>
      <x:c r="E111" s="51" t="str">
        <x:f>IF(103&gt;$H$4,"",IF(INDEX('Fleet dates'!$E$9:$E$1008,$I111-8)="","",INDEX('Fleet dates'!$E$9:$E$1008,$I111-8)))</x:f>
      </x:c>
      <x:c r="F111" s="51" t="str">
        <x:f>IF(103&gt;$H$4,"",IF(INDEX('Fleet dates'!$F$9:$F$1008,$I111-8)="","",INDEX('Fleet dates'!$F$9:$F$1008,$I111-8)))</x:f>
      </x:c>
      <x:c r="G111" s="50" t="str">
        <x:f>IF(103&gt;$H$4,"",IF(INDEX('Fleet dates'!$G$9:$G$1008,$I111-8)="","",INDEX('Fleet dates'!$G$9:$G$1008,$I111-8)))</x:f>
      </x:c>
      <x:c r="H111" s="50" t="str">
        <x:f>IF(103&gt;$H$4,"",IF(INDEX('Fleet dates'!$I$9:$I$1008,$I111-8)="","",INDEX('Fleet dates'!$I$9:$I$1008,$I111-8)))</x:f>
      </x:c>
      <x:c r="I111" t="str">
        <x:f>IF(103&gt;$H$4,"",MATCH(103,'Fleet dates'!$J$9:$J$1008,0)+8)</x:f>
      </x:c>
    </x:row>
    <x:row r="112" ht="36" customHeight="1">
      <x:c r="A112" s="50" t="str">
        <x:f>IF(104&gt;$H$4,"",IF(INDEX('Fleet dates'!$A$9:$A$1008,$I112-8)="","",INDEX('Fleet dates'!$A$9:$A$1008,$I112-8)))</x:f>
      </x:c>
      <x:c r="B112" s="50" t="str">
        <x:f>IF(104&gt;$H$4,"",IF(INDEX('Fleet dates'!$B$9:$B$1008,$I112-8)="","",INDEX('Fleet dates'!$B$9:$B$1008,$I112-8)))</x:f>
      </x:c>
      <x:c r="C112" s="51" t="str">
        <x:f>IF(104&gt;$H$4,"",IF(INDEX('Fleet dates'!$C$9:$C$1008,$I112-8)="","",INDEX('Fleet dates'!$C$9:$C$1008,$I112-8)))</x:f>
      </x:c>
      <x:c r="D112" s="51" t="str">
        <x:f>IF(104&gt;$H$4,"",IF(INDEX('Fleet dates'!$D$9:$D$1008,$I112-8)="","",INDEX('Fleet dates'!$D$9:$D$1008,$I112-8)))</x:f>
      </x:c>
      <x:c r="E112" s="51" t="str">
        <x:f>IF(104&gt;$H$4,"",IF(INDEX('Fleet dates'!$E$9:$E$1008,$I112-8)="","",INDEX('Fleet dates'!$E$9:$E$1008,$I112-8)))</x:f>
      </x:c>
      <x:c r="F112" s="51" t="str">
        <x:f>IF(104&gt;$H$4,"",IF(INDEX('Fleet dates'!$F$9:$F$1008,$I112-8)="","",INDEX('Fleet dates'!$F$9:$F$1008,$I112-8)))</x:f>
      </x:c>
      <x:c r="G112" s="50" t="str">
        <x:f>IF(104&gt;$H$4,"",IF(INDEX('Fleet dates'!$G$9:$G$1008,$I112-8)="","",INDEX('Fleet dates'!$G$9:$G$1008,$I112-8)))</x:f>
      </x:c>
      <x:c r="H112" s="50" t="str">
        <x:f>IF(104&gt;$H$4,"",IF(INDEX('Fleet dates'!$I$9:$I$1008,$I112-8)="","",INDEX('Fleet dates'!$I$9:$I$1008,$I112-8)))</x:f>
      </x:c>
      <x:c r="I112" t="str">
        <x:f>IF(104&gt;$H$4,"",MATCH(104,'Fleet dates'!$J$9:$J$1008,0)+8)</x:f>
      </x:c>
    </x:row>
    <x:row r="113" ht="36" customHeight="1">
      <x:c r="A113" s="50" t="str">
        <x:f>IF(105&gt;$H$4,"",IF(INDEX('Fleet dates'!$A$9:$A$1008,$I113-8)="","",INDEX('Fleet dates'!$A$9:$A$1008,$I113-8)))</x:f>
      </x:c>
      <x:c r="B113" s="50" t="str">
        <x:f>IF(105&gt;$H$4,"",IF(INDEX('Fleet dates'!$B$9:$B$1008,$I113-8)="","",INDEX('Fleet dates'!$B$9:$B$1008,$I113-8)))</x:f>
      </x:c>
      <x:c r="C113" s="51" t="str">
        <x:f>IF(105&gt;$H$4,"",IF(INDEX('Fleet dates'!$C$9:$C$1008,$I113-8)="","",INDEX('Fleet dates'!$C$9:$C$1008,$I113-8)))</x:f>
      </x:c>
      <x:c r="D113" s="51" t="str">
        <x:f>IF(105&gt;$H$4,"",IF(INDEX('Fleet dates'!$D$9:$D$1008,$I113-8)="","",INDEX('Fleet dates'!$D$9:$D$1008,$I113-8)))</x:f>
      </x:c>
      <x:c r="E113" s="51" t="str">
        <x:f>IF(105&gt;$H$4,"",IF(INDEX('Fleet dates'!$E$9:$E$1008,$I113-8)="","",INDEX('Fleet dates'!$E$9:$E$1008,$I113-8)))</x:f>
      </x:c>
      <x:c r="F113" s="51" t="str">
        <x:f>IF(105&gt;$H$4,"",IF(INDEX('Fleet dates'!$F$9:$F$1008,$I113-8)="","",INDEX('Fleet dates'!$F$9:$F$1008,$I113-8)))</x:f>
      </x:c>
      <x:c r="G113" s="50" t="str">
        <x:f>IF(105&gt;$H$4,"",IF(INDEX('Fleet dates'!$G$9:$G$1008,$I113-8)="","",INDEX('Fleet dates'!$G$9:$G$1008,$I113-8)))</x:f>
      </x:c>
      <x:c r="H113" s="50" t="str">
        <x:f>IF(105&gt;$H$4,"",IF(INDEX('Fleet dates'!$I$9:$I$1008,$I113-8)="","",INDEX('Fleet dates'!$I$9:$I$1008,$I113-8)))</x:f>
      </x:c>
      <x:c r="I113" t="str">
        <x:f>IF(105&gt;$H$4,"",MATCH(105,'Fleet dates'!$J$9:$J$1008,0)+8)</x:f>
      </x:c>
    </x:row>
    <x:row r="114" ht="36" customHeight="1">
      <x:c r="A114" s="50" t="str">
        <x:f>IF(106&gt;$H$4,"",IF(INDEX('Fleet dates'!$A$9:$A$1008,$I114-8)="","",INDEX('Fleet dates'!$A$9:$A$1008,$I114-8)))</x:f>
      </x:c>
      <x:c r="B114" s="50" t="str">
        <x:f>IF(106&gt;$H$4,"",IF(INDEX('Fleet dates'!$B$9:$B$1008,$I114-8)="","",INDEX('Fleet dates'!$B$9:$B$1008,$I114-8)))</x:f>
      </x:c>
      <x:c r="C114" s="51" t="str">
        <x:f>IF(106&gt;$H$4,"",IF(INDEX('Fleet dates'!$C$9:$C$1008,$I114-8)="","",INDEX('Fleet dates'!$C$9:$C$1008,$I114-8)))</x:f>
      </x:c>
      <x:c r="D114" s="51" t="str">
        <x:f>IF(106&gt;$H$4,"",IF(INDEX('Fleet dates'!$D$9:$D$1008,$I114-8)="","",INDEX('Fleet dates'!$D$9:$D$1008,$I114-8)))</x:f>
      </x:c>
      <x:c r="E114" s="51" t="str">
        <x:f>IF(106&gt;$H$4,"",IF(INDEX('Fleet dates'!$E$9:$E$1008,$I114-8)="","",INDEX('Fleet dates'!$E$9:$E$1008,$I114-8)))</x:f>
      </x:c>
      <x:c r="F114" s="51" t="str">
        <x:f>IF(106&gt;$H$4,"",IF(INDEX('Fleet dates'!$F$9:$F$1008,$I114-8)="","",INDEX('Fleet dates'!$F$9:$F$1008,$I114-8)))</x:f>
      </x:c>
      <x:c r="G114" s="50" t="str">
        <x:f>IF(106&gt;$H$4,"",IF(INDEX('Fleet dates'!$G$9:$G$1008,$I114-8)="","",INDEX('Fleet dates'!$G$9:$G$1008,$I114-8)))</x:f>
      </x:c>
      <x:c r="H114" s="50" t="str">
        <x:f>IF(106&gt;$H$4,"",IF(INDEX('Fleet dates'!$I$9:$I$1008,$I114-8)="","",INDEX('Fleet dates'!$I$9:$I$1008,$I114-8)))</x:f>
      </x:c>
      <x:c r="I114" t="str">
        <x:f>IF(106&gt;$H$4,"",MATCH(106,'Fleet dates'!$J$9:$J$1008,0)+8)</x:f>
      </x:c>
    </x:row>
    <x:row r="115" ht="36" customHeight="1">
      <x:c r="A115" s="50" t="str">
        <x:f>IF(107&gt;$H$4,"",IF(INDEX('Fleet dates'!$A$9:$A$1008,$I115-8)="","",INDEX('Fleet dates'!$A$9:$A$1008,$I115-8)))</x:f>
      </x:c>
      <x:c r="B115" s="50" t="str">
        <x:f>IF(107&gt;$H$4,"",IF(INDEX('Fleet dates'!$B$9:$B$1008,$I115-8)="","",INDEX('Fleet dates'!$B$9:$B$1008,$I115-8)))</x:f>
      </x:c>
      <x:c r="C115" s="51" t="str">
        <x:f>IF(107&gt;$H$4,"",IF(INDEX('Fleet dates'!$C$9:$C$1008,$I115-8)="","",INDEX('Fleet dates'!$C$9:$C$1008,$I115-8)))</x:f>
      </x:c>
      <x:c r="D115" s="51" t="str">
        <x:f>IF(107&gt;$H$4,"",IF(INDEX('Fleet dates'!$D$9:$D$1008,$I115-8)="","",INDEX('Fleet dates'!$D$9:$D$1008,$I115-8)))</x:f>
      </x:c>
      <x:c r="E115" s="51" t="str">
        <x:f>IF(107&gt;$H$4,"",IF(INDEX('Fleet dates'!$E$9:$E$1008,$I115-8)="","",INDEX('Fleet dates'!$E$9:$E$1008,$I115-8)))</x:f>
      </x:c>
      <x:c r="F115" s="51" t="str">
        <x:f>IF(107&gt;$H$4,"",IF(INDEX('Fleet dates'!$F$9:$F$1008,$I115-8)="","",INDEX('Fleet dates'!$F$9:$F$1008,$I115-8)))</x:f>
      </x:c>
      <x:c r="G115" s="50" t="str">
        <x:f>IF(107&gt;$H$4,"",IF(INDEX('Fleet dates'!$G$9:$G$1008,$I115-8)="","",INDEX('Fleet dates'!$G$9:$G$1008,$I115-8)))</x:f>
      </x:c>
      <x:c r="H115" s="50" t="str">
        <x:f>IF(107&gt;$H$4,"",IF(INDEX('Fleet dates'!$I$9:$I$1008,$I115-8)="","",INDEX('Fleet dates'!$I$9:$I$1008,$I115-8)))</x:f>
      </x:c>
      <x:c r="I115" t="str">
        <x:f>IF(107&gt;$H$4,"",MATCH(107,'Fleet dates'!$J$9:$J$1008,0)+8)</x:f>
      </x:c>
    </x:row>
    <x:row r="116" ht="36" customHeight="1">
      <x:c r="A116" s="50" t="str">
        <x:f>IF(108&gt;$H$4,"",IF(INDEX('Fleet dates'!$A$9:$A$1008,$I116-8)="","",INDEX('Fleet dates'!$A$9:$A$1008,$I116-8)))</x:f>
      </x:c>
      <x:c r="B116" s="50" t="str">
        <x:f>IF(108&gt;$H$4,"",IF(INDEX('Fleet dates'!$B$9:$B$1008,$I116-8)="","",INDEX('Fleet dates'!$B$9:$B$1008,$I116-8)))</x:f>
      </x:c>
      <x:c r="C116" s="51" t="str">
        <x:f>IF(108&gt;$H$4,"",IF(INDEX('Fleet dates'!$C$9:$C$1008,$I116-8)="","",INDEX('Fleet dates'!$C$9:$C$1008,$I116-8)))</x:f>
      </x:c>
      <x:c r="D116" s="51" t="str">
        <x:f>IF(108&gt;$H$4,"",IF(INDEX('Fleet dates'!$D$9:$D$1008,$I116-8)="","",INDEX('Fleet dates'!$D$9:$D$1008,$I116-8)))</x:f>
      </x:c>
      <x:c r="E116" s="51" t="str">
        <x:f>IF(108&gt;$H$4,"",IF(INDEX('Fleet dates'!$E$9:$E$1008,$I116-8)="","",INDEX('Fleet dates'!$E$9:$E$1008,$I116-8)))</x:f>
      </x:c>
      <x:c r="F116" s="51" t="str">
        <x:f>IF(108&gt;$H$4,"",IF(INDEX('Fleet dates'!$F$9:$F$1008,$I116-8)="","",INDEX('Fleet dates'!$F$9:$F$1008,$I116-8)))</x:f>
      </x:c>
      <x:c r="G116" s="50" t="str">
        <x:f>IF(108&gt;$H$4,"",IF(INDEX('Fleet dates'!$G$9:$G$1008,$I116-8)="","",INDEX('Fleet dates'!$G$9:$G$1008,$I116-8)))</x:f>
      </x:c>
      <x:c r="H116" s="50" t="str">
        <x:f>IF(108&gt;$H$4,"",IF(INDEX('Fleet dates'!$I$9:$I$1008,$I116-8)="","",INDEX('Fleet dates'!$I$9:$I$1008,$I116-8)))</x:f>
      </x:c>
      <x:c r="I116" t="str">
        <x:f>IF(108&gt;$H$4,"",MATCH(108,'Fleet dates'!$J$9:$J$1008,0)+8)</x:f>
      </x:c>
    </x:row>
    <x:row r="117" ht="36" customHeight="1">
      <x:c r="A117" s="50" t="str">
        <x:f>IF(109&gt;$H$4,"",IF(INDEX('Fleet dates'!$A$9:$A$1008,$I117-8)="","",INDEX('Fleet dates'!$A$9:$A$1008,$I117-8)))</x:f>
      </x:c>
      <x:c r="B117" s="50" t="str">
        <x:f>IF(109&gt;$H$4,"",IF(INDEX('Fleet dates'!$B$9:$B$1008,$I117-8)="","",INDEX('Fleet dates'!$B$9:$B$1008,$I117-8)))</x:f>
      </x:c>
      <x:c r="C117" s="51" t="str">
        <x:f>IF(109&gt;$H$4,"",IF(INDEX('Fleet dates'!$C$9:$C$1008,$I117-8)="","",INDEX('Fleet dates'!$C$9:$C$1008,$I117-8)))</x:f>
      </x:c>
      <x:c r="D117" s="51" t="str">
        <x:f>IF(109&gt;$H$4,"",IF(INDEX('Fleet dates'!$D$9:$D$1008,$I117-8)="","",INDEX('Fleet dates'!$D$9:$D$1008,$I117-8)))</x:f>
      </x:c>
      <x:c r="E117" s="51" t="str">
        <x:f>IF(109&gt;$H$4,"",IF(INDEX('Fleet dates'!$E$9:$E$1008,$I117-8)="","",INDEX('Fleet dates'!$E$9:$E$1008,$I117-8)))</x:f>
      </x:c>
      <x:c r="F117" s="51" t="str">
        <x:f>IF(109&gt;$H$4,"",IF(INDEX('Fleet dates'!$F$9:$F$1008,$I117-8)="","",INDEX('Fleet dates'!$F$9:$F$1008,$I117-8)))</x:f>
      </x:c>
      <x:c r="G117" s="50" t="str">
        <x:f>IF(109&gt;$H$4,"",IF(INDEX('Fleet dates'!$G$9:$G$1008,$I117-8)="","",INDEX('Fleet dates'!$G$9:$G$1008,$I117-8)))</x:f>
      </x:c>
      <x:c r="H117" s="50" t="str">
        <x:f>IF(109&gt;$H$4,"",IF(INDEX('Fleet dates'!$I$9:$I$1008,$I117-8)="","",INDEX('Fleet dates'!$I$9:$I$1008,$I117-8)))</x:f>
      </x:c>
      <x:c r="I117" t="str">
        <x:f>IF(109&gt;$H$4,"",MATCH(109,'Fleet dates'!$J$9:$J$1008,0)+8)</x:f>
      </x:c>
    </x:row>
    <x:row r="118" ht="36" customHeight="1">
      <x:c r="A118" s="50" t="str">
        <x:f>IF(110&gt;$H$4,"",IF(INDEX('Fleet dates'!$A$9:$A$1008,$I118-8)="","",INDEX('Fleet dates'!$A$9:$A$1008,$I118-8)))</x:f>
      </x:c>
      <x:c r="B118" s="50" t="str">
        <x:f>IF(110&gt;$H$4,"",IF(INDEX('Fleet dates'!$B$9:$B$1008,$I118-8)="","",INDEX('Fleet dates'!$B$9:$B$1008,$I118-8)))</x:f>
      </x:c>
      <x:c r="C118" s="51" t="str">
        <x:f>IF(110&gt;$H$4,"",IF(INDEX('Fleet dates'!$C$9:$C$1008,$I118-8)="","",INDEX('Fleet dates'!$C$9:$C$1008,$I118-8)))</x:f>
      </x:c>
      <x:c r="D118" s="51" t="str">
        <x:f>IF(110&gt;$H$4,"",IF(INDEX('Fleet dates'!$D$9:$D$1008,$I118-8)="","",INDEX('Fleet dates'!$D$9:$D$1008,$I118-8)))</x:f>
      </x:c>
      <x:c r="E118" s="51" t="str">
        <x:f>IF(110&gt;$H$4,"",IF(INDEX('Fleet dates'!$E$9:$E$1008,$I118-8)="","",INDEX('Fleet dates'!$E$9:$E$1008,$I118-8)))</x:f>
      </x:c>
      <x:c r="F118" s="51" t="str">
        <x:f>IF(110&gt;$H$4,"",IF(INDEX('Fleet dates'!$F$9:$F$1008,$I118-8)="","",INDEX('Fleet dates'!$F$9:$F$1008,$I118-8)))</x:f>
      </x:c>
      <x:c r="G118" s="50" t="str">
        <x:f>IF(110&gt;$H$4,"",IF(INDEX('Fleet dates'!$G$9:$G$1008,$I118-8)="","",INDEX('Fleet dates'!$G$9:$G$1008,$I118-8)))</x:f>
      </x:c>
      <x:c r="H118" s="50" t="str">
        <x:f>IF(110&gt;$H$4,"",IF(INDEX('Fleet dates'!$I$9:$I$1008,$I118-8)="","",INDEX('Fleet dates'!$I$9:$I$1008,$I118-8)))</x:f>
      </x:c>
      <x:c r="I118" t="str">
        <x:f>IF(110&gt;$H$4,"",MATCH(110,'Fleet dates'!$J$9:$J$1008,0)+8)</x:f>
      </x:c>
    </x:row>
    <x:row r="119" ht="36" customHeight="1">
      <x:c r="A119" s="50" t="str">
        <x:f>IF(111&gt;$H$4,"",IF(INDEX('Fleet dates'!$A$9:$A$1008,$I119-8)="","",INDEX('Fleet dates'!$A$9:$A$1008,$I119-8)))</x:f>
      </x:c>
      <x:c r="B119" s="50" t="str">
        <x:f>IF(111&gt;$H$4,"",IF(INDEX('Fleet dates'!$B$9:$B$1008,$I119-8)="","",INDEX('Fleet dates'!$B$9:$B$1008,$I119-8)))</x:f>
      </x:c>
      <x:c r="C119" s="51" t="str">
        <x:f>IF(111&gt;$H$4,"",IF(INDEX('Fleet dates'!$C$9:$C$1008,$I119-8)="","",INDEX('Fleet dates'!$C$9:$C$1008,$I119-8)))</x:f>
      </x:c>
      <x:c r="D119" s="51" t="str">
        <x:f>IF(111&gt;$H$4,"",IF(INDEX('Fleet dates'!$D$9:$D$1008,$I119-8)="","",INDEX('Fleet dates'!$D$9:$D$1008,$I119-8)))</x:f>
      </x:c>
      <x:c r="E119" s="51" t="str">
        <x:f>IF(111&gt;$H$4,"",IF(INDEX('Fleet dates'!$E$9:$E$1008,$I119-8)="","",INDEX('Fleet dates'!$E$9:$E$1008,$I119-8)))</x:f>
      </x:c>
      <x:c r="F119" s="51" t="str">
        <x:f>IF(111&gt;$H$4,"",IF(INDEX('Fleet dates'!$F$9:$F$1008,$I119-8)="","",INDEX('Fleet dates'!$F$9:$F$1008,$I119-8)))</x:f>
      </x:c>
      <x:c r="G119" s="50" t="str">
        <x:f>IF(111&gt;$H$4,"",IF(INDEX('Fleet dates'!$G$9:$G$1008,$I119-8)="","",INDEX('Fleet dates'!$G$9:$G$1008,$I119-8)))</x:f>
      </x:c>
      <x:c r="H119" s="50" t="str">
        <x:f>IF(111&gt;$H$4,"",IF(INDEX('Fleet dates'!$I$9:$I$1008,$I119-8)="","",INDEX('Fleet dates'!$I$9:$I$1008,$I119-8)))</x:f>
      </x:c>
      <x:c r="I119" t="str">
        <x:f>IF(111&gt;$H$4,"",MATCH(111,'Fleet dates'!$J$9:$J$1008,0)+8)</x:f>
      </x:c>
    </x:row>
    <x:row r="120" ht="36" customHeight="1">
      <x:c r="A120" s="50" t="str">
        <x:f>IF(112&gt;$H$4,"",IF(INDEX('Fleet dates'!$A$9:$A$1008,$I120-8)="","",INDEX('Fleet dates'!$A$9:$A$1008,$I120-8)))</x:f>
      </x:c>
      <x:c r="B120" s="50" t="str">
        <x:f>IF(112&gt;$H$4,"",IF(INDEX('Fleet dates'!$B$9:$B$1008,$I120-8)="","",INDEX('Fleet dates'!$B$9:$B$1008,$I120-8)))</x:f>
      </x:c>
      <x:c r="C120" s="51" t="str">
        <x:f>IF(112&gt;$H$4,"",IF(INDEX('Fleet dates'!$C$9:$C$1008,$I120-8)="","",INDEX('Fleet dates'!$C$9:$C$1008,$I120-8)))</x:f>
      </x:c>
      <x:c r="D120" s="51" t="str">
        <x:f>IF(112&gt;$H$4,"",IF(INDEX('Fleet dates'!$D$9:$D$1008,$I120-8)="","",INDEX('Fleet dates'!$D$9:$D$1008,$I120-8)))</x:f>
      </x:c>
      <x:c r="E120" s="51" t="str">
        <x:f>IF(112&gt;$H$4,"",IF(INDEX('Fleet dates'!$E$9:$E$1008,$I120-8)="","",INDEX('Fleet dates'!$E$9:$E$1008,$I120-8)))</x:f>
      </x:c>
      <x:c r="F120" s="51" t="str">
        <x:f>IF(112&gt;$H$4,"",IF(INDEX('Fleet dates'!$F$9:$F$1008,$I120-8)="","",INDEX('Fleet dates'!$F$9:$F$1008,$I120-8)))</x:f>
      </x:c>
      <x:c r="G120" s="50" t="str">
        <x:f>IF(112&gt;$H$4,"",IF(INDEX('Fleet dates'!$G$9:$G$1008,$I120-8)="","",INDEX('Fleet dates'!$G$9:$G$1008,$I120-8)))</x:f>
      </x:c>
      <x:c r="H120" s="50" t="str">
        <x:f>IF(112&gt;$H$4,"",IF(INDEX('Fleet dates'!$I$9:$I$1008,$I120-8)="","",INDEX('Fleet dates'!$I$9:$I$1008,$I120-8)))</x:f>
      </x:c>
      <x:c r="I120" t="str">
        <x:f>IF(112&gt;$H$4,"",MATCH(112,'Fleet dates'!$J$9:$J$1008,0)+8)</x:f>
      </x:c>
    </x:row>
    <x:row r="121" ht="36" customHeight="1">
      <x:c r="A121" s="50" t="str">
        <x:f>IF(113&gt;$H$4,"",IF(INDEX('Fleet dates'!$A$9:$A$1008,$I121-8)="","",INDEX('Fleet dates'!$A$9:$A$1008,$I121-8)))</x:f>
      </x:c>
      <x:c r="B121" s="50" t="str">
        <x:f>IF(113&gt;$H$4,"",IF(INDEX('Fleet dates'!$B$9:$B$1008,$I121-8)="","",INDEX('Fleet dates'!$B$9:$B$1008,$I121-8)))</x:f>
      </x:c>
      <x:c r="C121" s="51" t="str">
        <x:f>IF(113&gt;$H$4,"",IF(INDEX('Fleet dates'!$C$9:$C$1008,$I121-8)="","",INDEX('Fleet dates'!$C$9:$C$1008,$I121-8)))</x:f>
      </x:c>
      <x:c r="D121" s="51" t="str">
        <x:f>IF(113&gt;$H$4,"",IF(INDEX('Fleet dates'!$D$9:$D$1008,$I121-8)="","",INDEX('Fleet dates'!$D$9:$D$1008,$I121-8)))</x:f>
      </x:c>
      <x:c r="E121" s="51" t="str">
        <x:f>IF(113&gt;$H$4,"",IF(INDEX('Fleet dates'!$E$9:$E$1008,$I121-8)="","",INDEX('Fleet dates'!$E$9:$E$1008,$I121-8)))</x:f>
      </x:c>
      <x:c r="F121" s="51" t="str">
        <x:f>IF(113&gt;$H$4,"",IF(INDEX('Fleet dates'!$F$9:$F$1008,$I121-8)="","",INDEX('Fleet dates'!$F$9:$F$1008,$I121-8)))</x:f>
      </x:c>
      <x:c r="G121" s="50" t="str">
        <x:f>IF(113&gt;$H$4,"",IF(INDEX('Fleet dates'!$G$9:$G$1008,$I121-8)="","",INDEX('Fleet dates'!$G$9:$G$1008,$I121-8)))</x:f>
      </x:c>
      <x:c r="H121" s="50" t="str">
        <x:f>IF(113&gt;$H$4,"",IF(INDEX('Fleet dates'!$I$9:$I$1008,$I121-8)="","",INDEX('Fleet dates'!$I$9:$I$1008,$I121-8)))</x:f>
      </x:c>
      <x:c r="I121" t="str">
        <x:f>IF(113&gt;$H$4,"",MATCH(113,'Fleet dates'!$J$9:$J$1008,0)+8)</x:f>
      </x:c>
    </x:row>
    <x:row r="122" ht="36" customHeight="1">
      <x:c r="A122" s="50" t="str">
        <x:f>IF(114&gt;$H$4,"",IF(INDEX('Fleet dates'!$A$9:$A$1008,$I122-8)="","",INDEX('Fleet dates'!$A$9:$A$1008,$I122-8)))</x:f>
      </x:c>
      <x:c r="B122" s="50" t="str">
        <x:f>IF(114&gt;$H$4,"",IF(INDEX('Fleet dates'!$B$9:$B$1008,$I122-8)="","",INDEX('Fleet dates'!$B$9:$B$1008,$I122-8)))</x:f>
      </x:c>
      <x:c r="C122" s="51" t="str">
        <x:f>IF(114&gt;$H$4,"",IF(INDEX('Fleet dates'!$C$9:$C$1008,$I122-8)="","",INDEX('Fleet dates'!$C$9:$C$1008,$I122-8)))</x:f>
      </x:c>
      <x:c r="D122" s="51" t="str">
        <x:f>IF(114&gt;$H$4,"",IF(INDEX('Fleet dates'!$D$9:$D$1008,$I122-8)="","",INDEX('Fleet dates'!$D$9:$D$1008,$I122-8)))</x:f>
      </x:c>
      <x:c r="E122" s="51" t="str">
        <x:f>IF(114&gt;$H$4,"",IF(INDEX('Fleet dates'!$E$9:$E$1008,$I122-8)="","",INDEX('Fleet dates'!$E$9:$E$1008,$I122-8)))</x:f>
      </x:c>
      <x:c r="F122" s="51" t="str">
        <x:f>IF(114&gt;$H$4,"",IF(INDEX('Fleet dates'!$F$9:$F$1008,$I122-8)="","",INDEX('Fleet dates'!$F$9:$F$1008,$I122-8)))</x:f>
      </x:c>
      <x:c r="G122" s="50" t="str">
        <x:f>IF(114&gt;$H$4,"",IF(INDEX('Fleet dates'!$G$9:$G$1008,$I122-8)="","",INDEX('Fleet dates'!$G$9:$G$1008,$I122-8)))</x:f>
      </x:c>
      <x:c r="H122" s="50" t="str">
        <x:f>IF(114&gt;$H$4,"",IF(INDEX('Fleet dates'!$I$9:$I$1008,$I122-8)="","",INDEX('Fleet dates'!$I$9:$I$1008,$I122-8)))</x:f>
      </x:c>
      <x:c r="I122" t="str">
        <x:f>IF(114&gt;$H$4,"",MATCH(114,'Fleet dates'!$J$9:$J$1008,0)+8)</x:f>
      </x:c>
    </x:row>
    <x:row r="123" ht="36" customHeight="1">
      <x:c r="A123" s="50" t="str">
        <x:f>IF(115&gt;$H$4,"",IF(INDEX('Fleet dates'!$A$9:$A$1008,$I123-8)="","",INDEX('Fleet dates'!$A$9:$A$1008,$I123-8)))</x:f>
      </x:c>
      <x:c r="B123" s="50" t="str">
        <x:f>IF(115&gt;$H$4,"",IF(INDEX('Fleet dates'!$B$9:$B$1008,$I123-8)="","",INDEX('Fleet dates'!$B$9:$B$1008,$I123-8)))</x:f>
      </x:c>
      <x:c r="C123" s="51" t="str">
        <x:f>IF(115&gt;$H$4,"",IF(INDEX('Fleet dates'!$C$9:$C$1008,$I123-8)="","",INDEX('Fleet dates'!$C$9:$C$1008,$I123-8)))</x:f>
      </x:c>
      <x:c r="D123" s="51" t="str">
        <x:f>IF(115&gt;$H$4,"",IF(INDEX('Fleet dates'!$D$9:$D$1008,$I123-8)="","",INDEX('Fleet dates'!$D$9:$D$1008,$I123-8)))</x:f>
      </x:c>
      <x:c r="E123" s="51" t="str">
        <x:f>IF(115&gt;$H$4,"",IF(INDEX('Fleet dates'!$E$9:$E$1008,$I123-8)="","",INDEX('Fleet dates'!$E$9:$E$1008,$I123-8)))</x:f>
      </x:c>
      <x:c r="F123" s="51" t="str">
        <x:f>IF(115&gt;$H$4,"",IF(INDEX('Fleet dates'!$F$9:$F$1008,$I123-8)="","",INDEX('Fleet dates'!$F$9:$F$1008,$I123-8)))</x:f>
      </x:c>
      <x:c r="G123" s="50" t="str">
        <x:f>IF(115&gt;$H$4,"",IF(INDEX('Fleet dates'!$G$9:$G$1008,$I123-8)="","",INDEX('Fleet dates'!$G$9:$G$1008,$I123-8)))</x:f>
      </x:c>
      <x:c r="H123" s="50" t="str">
        <x:f>IF(115&gt;$H$4,"",IF(INDEX('Fleet dates'!$I$9:$I$1008,$I123-8)="","",INDEX('Fleet dates'!$I$9:$I$1008,$I123-8)))</x:f>
      </x:c>
      <x:c r="I123" t="str">
        <x:f>IF(115&gt;$H$4,"",MATCH(115,'Fleet dates'!$J$9:$J$1008,0)+8)</x:f>
      </x:c>
    </x:row>
    <x:row r="124" ht="36" customHeight="1">
      <x:c r="A124" s="50" t="str">
        <x:f>IF(116&gt;$H$4,"",IF(INDEX('Fleet dates'!$A$9:$A$1008,$I124-8)="","",INDEX('Fleet dates'!$A$9:$A$1008,$I124-8)))</x:f>
      </x:c>
      <x:c r="B124" s="50" t="str">
        <x:f>IF(116&gt;$H$4,"",IF(INDEX('Fleet dates'!$B$9:$B$1008,$I124-8)="","",INDEX('Fleet dates'!$B$9:$B$1008,$I124-8)))</x:f>
      </x:c>
      <x:c r="C124" s="51" t="str">
        <x:f>IF(116&gt;$H$4,"",IF(INDEX('Fleet dates'!$C$9:$C$1008,$I124-8)="","",INDEX('Fleet dates'!$C$9:$C$1008,$I124-8)))</x:f>
      </x:c>
      <x:c r="D124" s="51" t="str">
        <x:f>IF(116&gt;$H$4,"",IF(INDEX('Fleet dates'!$D$9:$D$1008,$I124-8)="","",INDEX('Fleet dates'!$D$9:$D$1008,$I124-8)))</x:f>
      </x:c>
      <x:c r="E124" s="51" t="str">
        <x:f>IF(116&gt;$H$4,"",IF(INDEX('Fleet dates'!$E$9:$E$1008,$I124-8)="","",INDEX('Fleet dates'!$E$9:$E$1008,$I124-8)))</x:f>
      </x:c>
      <x:c r="F124" s="51" t="str">
        <x:f>IF(116&gt;$H$4,"",IF(INDEX('Fleet dates'!$F$9:$F$1008,$I124-8)="","",INDEX('Fleet dates'!$F$9:$F$1008,$I124-8)))</x:f>
      </x:c>
      <x:c r="G124" s="50" t="str">
        <x:f>IF(116&gt;$H$4,"",IF(INDEX('Fleet dates'!$G$9:$G$1008,$I124-8)="","",INDEX('Fleet dates'!$G$9:$G$1008,$I124-8)))</x:f>
      </x:c>
      <x:c r="H124" s="50" t="str">
        <x:f>IF(116&gt;$H$4,"",IF(INDEX('Fleet dates'!$I$9:$I$1008,$I124-8)="","",INDEX('Fleet dates'!$I$9:$I$1008,$I124-8)))</x:f>
      </x:c>
      <x:c r="I124" t="str">
        <x:f>IF(116&gt;$H$4,"",MATCH(116,'Fleet dates'!$J$9:$J$1008,0)+8)</x:f>
      </x:c>
    </x:row>
    <x:row r="125" ht="36" customHeight="1">
      <x:c r="A125" s="50" t="str">
        <x:f>IF(117&gt;$H$4,"",IF(INDEX('Fleet dates'!$A$9:$A$1008,$I125-8)="","",INDEX('Fleet dates'!$A$9:$A$1008,$I125-8)))</x:f>
      </x:c>
      <x:c r="B125" s="50" t="str">
        <x:f>IF(117&gt;$H$4,"",IF(INDEX('Fleet dates'!$B$9:$B$1008,$I125-8)="","",INDEX('Fleet dates'!$B$9:$B$1008,$I125-8)))</x:f>
      </x:c>
      <x:c r="C125" s="51" t="str">
        <x:f>IF(117&gt;$H$4,"",IF(INDEX('Fleet dates'!$C$9:$C$1008,$I125-8)="","",INDEX('Fleet dates'!$C$9:$C$1008,$I125-8)))</x:f>
      </x:c>
      <x:c r="D125" s="51" t="str">
        <x:f>IF(117&gt;$H$4,"",IF(INDEX('Fleet dates'!$D$9:$D$1008,$I125-8)="","",INDEX('Fleet dates'!$D$9:$D$1008,$I125-8)))</x:f>
      </x:c>
      <x:c r="E125" s="51" t="str">
        <x:f>IF(117&gt;$H$4,"",IF(INDEX('Fleet dates'!$E$9:$E$1008,$I125-8)="","",INDEX('Fleet dates'!$E$9:$E$1008,$I125-8)))</x:f>
      </x:c>
      <x:c r="F125" s="51" t="str">
        <x:f>IF(117&gt;$H$4,"",IF(INDEX('Fleet dates'!$F$9:$F$1008,$I125-8)="","",INDEX('Fleet dates'!$F$9:$F$1008,$I125-8)))</x:f>
      </x:c>
      <x:c r="G125" s="50" t="str">
        <x:f>IF(117&gt;$H$4,"",IF(INDEX('Fleet dates'!$G$9:$G$1008,$I125-8)="","",INDEX('Fleet dates'!$G$9:$G$1008,$I125-8)))</x:f>
      </x:c>
      <x:c r="H125" s="50" t="str">
        <x:f>IF(117&gt;$H$4,"",IF(INDEX('Fleet dates'!$I$9:$I$1008,$I125-8)="","",INDEX('Fleet dates'!$I$9:$I$1008,$I125-8)))</x:f>
      </x:c>
      <x:c r="I125" t="str">
        <x:f>IF(117&gt;$H$4,"",MATCH(117,'Fleet dates'!$J$9:$J$1008,0)+8)</x:f>
      </x:c>
    </x:row>
    <x:row r="126" ht="36" customHeight="1">
      <x:c r="A126" s="50" t="str">
        <x:f>IF(118&gt;$H$4,"",IF(INDEX('Fleet dates'!$A$9:$A$1008,$I126-8)="","",INDEX('Fleet dates'!$A$9:$A$1008,$I126-8)))</x:f>
      </x:c>
      <x:c r="B126" s="50" t="str">
        <x:f>IF(118&gt;$H$4,"",IF(INDEX('Fleet dates'!$B$9:$B$1008,$I126-8)="","",INDEX('Fleet dates'!$B$9:$B$1008,$I126-8)))</x:f>
      </x:c>
      <x:c r="C126" s="51" t="str">
        <x:f>IF(118&gt;$H$4,"",IF(INDEX('Fleet dates'!$C$9:$C$1008,$I126-8)="","",INDEX('Fleet dates'!$C$9:$C$1008,$I126-8)))</x:f>
      </x:c>
      <x:c r="D126" s="51" t="str">
        <x:f>IF(118&gt;$H$4,"",IF(INDEX('Fleet dates'!$D$9:$D$1008,$I126-8)="","",INDEX('Fleet dates'!$D$9:$D$1008,$I126-8)))</x:f>
      </x:c>
      <x:c r="E126" s="51" t="str">
        <x:f>IF(118&gt;$H$4,"",IF(INDEX('Fleet dates'!$E$9:$E$1008,$I126-8)="","",INDEX('Fleet dates'!$E$9:$E$1008,$I126-8)))</x:f>
      </x:c>
      <x:c r="F126" s="51" t="str">
        <x:f>IF(118&gt;$H$4,"",IF(INDEX('Fleet dates'!$F$9:$F$1008,$I126-8)="","",INDEX('Fleet dates'!$F$9:$F$1008,$I126-8)))</x:f>
      </x:c>
      <x:c r="G126" s="50" t="str">
        <x:f>IF(118&gt;$H$4,"",IF(INDEX('Fleet dates'!$G$9:$G$1008,$I126-8)="","",INDEX('Fleet dates'!$G$9:$G$1008,$I126-8)))</x:f>
      </x:c>
      <x:c r="H126" s="50" t="str">
        <x:f>IF(118&gt;$H$4,"",IF(INDEX('Fleet dates'!$I$9:$I$1008,$I126-8)="","",INDEX('Fleet dates'!$I$9:$I$1008,$I126-8)))</x:f>
      </x:c>
      <x:c r="I126" t="str">
        <x:f>IF(118&gt;$H$4,"",MATCH(118,'Fleet dates'!$J$9:$J$1008,0)+8)</x:f>
      </x:c>
    </x:row>
    <x:row r="127" ht="36" customHeight="1">
      <x:c r="A127" s="50" t="str">
        <x:f>IF(119&gt;$H$4,"",IF(INDEX('Fleet dates'!$A$9:$A$1008,$I127-8)="","",INDEX('Fleet dates'!$A$9:$A$1008,$I127-8)))</x:f>
      </x:c>
      <x:c r="B127" s="50" t="str">
        <x:f>IF(119&gt;$H$4,"",IF(INDEX('Fleet dates'!$B$9:$B$1008,$I127-8)="","",INDEX('Fleet dates'!$B$9:$B$1008,$I127-8)))</x:f>
      </x:c>
      <x:c r="C127" s="51" t="str">
        <x:f>IF(119&gt;$H$4,"",IF(INDEX('Fleet dates'!$C$9:$C$1008,$I127-8)="","",INDEX('Fleet dates'!$C$9:$C$1008,$I127-8)))</x:f>
      </x:c>
      <x:c r="D127" s="51" t="str">
        <x:f>IF(119&gt;$H$4,"",IF(INDEX('Fleet dates'!$D$9:$D$1008,$I127-8)="","",INDEX('Fleet dates'!$D$9:$D$1008,$I127-8)))</x:f>
      </x:c>
      <x:c r="E127" s="51" t="str">
        <x:f>IF(119&gt;$H$4,"",IF(INDEX('Fleet dates'!$E$9:$E$1008,$I127-8)="","",INDEX('Fleet dates'!$E$9:$E$1008,$I127-8)))</x:f>
      </x:c>
      <x:c r="F127" s="51" t="str">
        <x:f>IF(119&gt;$H$4,"",IF(INDEX('Fleet dates'!$F$9:$F$1008,$I127-8)="","",INDEX('Fleet dates'!$F$9:$F$1008,$I127-8)))</x:f>
      </x:c>
      <x:c r="G127" s="50" t="str">
        <x:f>IF(119&gt;$H$4,"",IF(INDEX('Fleet dates'!$G$9:$G$1008,$I127-8)="","",INDEX('Fleet dates'!$G$9:$G$1008,$I127-8)))</x:f>
      </x:c>
      <x:c r="H127" s="50" t="str">
        <x:f>IF(119&gt;$H$4,"",IF(INDEX('Fleet dates'!$I$9:$I$1008,$I127-8)="","",INDEX('Fleet dates'!$I$9:$I$1008,$I127-8)))</x:f>
      </x:c>
      <x:c r="I127" t="str">
        <x:f>IF(119&gt;$H$4,"",MATCH(119,'Fleet dates'!$J$9:$J$1008,0)+8)</x:f>
      </x:c>
    </x:row>
    <x:row r="128" ht="36" customHeight="1">
      <x:c r="A128" s="50" t="str">
        <x:f>IF(120&gt;$H$4,"",IF(INDEX('Fleet dates'!$A$9:$A$1008,$I128-8)="","",INDEX('Fleet dates'!$A$9:$A$1008,$I128-8)))</x:f>
      </x:c>
      <x:c r="B128" s="50" t="str">
        <x:f>IF(120&gt;$H$4,"",IF(INDEX('Fleet dates'!$B$9:$B$1008,$I128-8)="","",INDEX('Fleet dates'!$B$9:$B$1008,$I128-8)))</x:f>
      </x:c>
      <x:c r="C128" s="51" t="str">
        <x:f>IF(120&gt;$H$4,"",IF(INDEX('Fleet dates'!$C$9:$C$1008,$I128-8)="","",INDEX('Fleet dates'!$C$9:$C$1008,$I128-8)))</x:f>
      </x:c>
      <x:c r="D128" s="51" t="str">
        <x:f>IF(120&gt;$H$4,"",IF(INDEX('Fleet dates'!$D$9:$D$1008,$I128-8)="","",INDEX('Fleet dates'!$D$9:$D$1008,$I128-8)))</x:f>
      </x:c>
      <x:c r="E128" s="51" t="str">
        <x:f>IF(120&gt;$H$4,"",IF(INDEX('Fleet dates'!$E$9:$E$1008,$I128-8)="","",INDEX('Fleet dates'!$E$9:$E$1008,$I128-8)))</x:f>
      </x:c>
      <x:c r="F128" s="51" t="str">
        <x:f>IF(120&gt;$H$4,"",IF(INDEX('Fleet dates'!$F$9:$F$1008,$I128-8)="","",INDEX('Fleet dates'!$F$9:$F$1008,$I128-8)))</x:f>
      </x:c>
      <x:c r="G128" s="50" t="str">
        <x:f>IF(120&gt;$H$4,"",IF(INDEX('Fleet dates'!$G$9:$G$1008,$I128-8)="","",INDEX('Fleet dates'!$G$9:$G$1008,$I128-8)))</x:f>
      </x:c>
      <x:c r="H128" s="50" t="str">
        <x:f>IF(120&gt;$H$4,"",IF(INDEX('Fleet dates'!$I$9:$I$1008,$I128-8)="","",INDEX('Fleet dates'!$I$9:$I$1008,$I128-8)))</x:f>
      </x:c>
      <x:c r="I128" t="str">
        <x:f>IF(120&gt;$H$4,"",MATCH(120,'Fleet dates'!$J$9:$J$1008,0)+8)</x:f>
      </x:c>
    </x:row>
    <x:row r="129" ht="36" customHeight="1">
      <x:c r="A129" s="50" t="str">
        <x:f>IF(121&gt;$H$4,"",IF(INDEX('Fleet dates'!$A$9:$A$1008,$I129-8)="","",INDEX('Fleet dates'!$A$9:$A$1008,$I129-8)))</x:f>
      </x:c>
      <x:c r="B129" s="50" t="str">
        <x:f>IF(121&gt;$H$4,"",IF(INDEX('Fleet dates'!$B$9:$B$1008,$I129-8)="","",INDEX('Fleet dates'!$B$9:$B$1008,$I129-8)))</x:f>
      </x:c>
      <x:c r="C129" s="51" t="str">
        <x:f>IF(121&gt;$H$4,"",IF(INDEX('Fleet dates'!$C$9:$C$1008,$I129-8)="","",INDEX('Fleet dates'!$C$9:$C$1008,$I129-8)))</x:f>
      </x:c>
      <x:c r="D129" s="51" t="str">
        <x:f>IF(121&gt;$H$4,"",IF(INDEX('Fleet dates'!$D$9:$D$1008,$I129-8)="","",INDEX('Fleet dates'!$D$9:$D$1008,$I129-8)))</x:f>
      </x:c>
      <x:c r="E129" s="51" t="str">
        <x:f>IF(121&gt;$H$4,"",IF(INDEX('Fleet dates'!$E$9:$E$1008,$I129-8)="","",INDEX('Fleet dates'!$E$9:$E$1008,$I129-8)))</x:f>
      </x:c>
      <x:c r="F129" s="51" t="str">
        <x:f>IF(121&gt;$H$4,"",IF(INDEX('Fleet dates'!$F$9:$F$1008,$I129-8)="","",INDEX('Fleet dates'!$F$9:$F$1008,$I129-8)))</x:f>
      </x:c>
      <x:c r="G129" s="50" t="str">
        <x:f>IF(121&gt;$H$4,"",IF(INDEX('Fleet dates'!$G$9:$G$1008,$I129-8)="","",INDEX('Fleet dates'!$G$9:$G$1008,$I129-8)))</x:f>
      </x:c>
      <x:c r="H129" s="50" t="str">
        <x:f>IF(121&gt;$H$4,"",IF(INDEX('Fleet dates'!$I$9:$I$1008,$I129-8)="","",INDEX('Fleet dates'!$I$9:$I$1008,$I129-8)))</x:f>
      </x:c>
      <x:c r="I129" t="str">
        <x:f>IF(121&gt;$H$4,"",MATCH(121,'Fleet dates'!$J$9:$J$1008,0)+8)</x:f>
      </x:c>
    </x:row>
    <x:row r="130" ht="36" customHeight="1">
      <x:c r="A130" s="50" t="str">
        <x:f>IF(122&gt;$H$4,"",IF(INDEX('Fleet dates'!$A$9:$A$1008,$I130-8)="","",INDEX('Fleet dates'!$A$9:$A$1008,$I130-8)))</x:f>
      </x:c>
      <x:c r="B130" s="50" t="str">
        <x:f>IF(122&gt;$H$4,"",IF(INDEX('Fleet dates'!$B$9:$B$1008,$I130-8)="","",INDEX('Fleet dates'!$B$9:$B$1008,$I130-8)))</x:f>
      </x:c>
      <x:c r="C130" s="51" t="str">
        <x:f>IF(122&gt;$H$4,"",IF(INDEX('Fleet dates'!$C$9:$C$1008,$I130-8)="","",INDEX('Fleet dates'!$C$9:$C$1008,$I130-8)))</x:f>
      </x:c>
      <x:c r="D130" s="51" t="str">
        <x:f>IF(122&gt;$H$4,"",IF(INDEX('Fleet dates'!$D$9:$D$1008,$I130-8)="","",INDEX('Fleet dates'!$D$9:$D$1008,$I130-8)))</x:f>
      </x:c>
      <x:c r="E130" s="51" t="str">
        <x:f>IF(122&gt;$H$4,"",IF(INDEX('Fleet dates'!$E$9:$E$1008,$I130-8)="","",INDEX('Fleet dates'!$E$9:$E$1008,$I130-8)))</x:f>
      </x:c>
      <x:c r="F130" s="51" t="str">
        <x:f>IF(122&gt;$H$4,"",IF(INDEX('Fleet dates'!$F$9:$F$1008,$I130-8)="","",INDEX('Fleet dates'!$F$9:$F$1008,$I130-8)))</x:f>
      </x:c>
      <x:c r="G130" s="50" t="str">
        <x:f>IF(122&gt;$H$4,"",IF(INDEX('Fleet dates'!$G$9:$G$1008,$I130-8)="","",INDEX('Fleet dates'!$G$9:$G$1008,$I130-8)))</x:f>
      </x:c>
      <x:c r="H130" s="50" t="str">
        <x:f>IF(122&gt;$H$4,"",IF(INDEX('Fleet dates'!$I$9:$I$1008,$I130-8)="","",INDEX('Fleet dates'!$I$9:$I$1008,$I130-8)))</x:f>
      </x:c>
      <x:c r="I130" t="str">
        <x:f>IF(122&gt;$H$4,"",MATCH(122,'Fleet dates'!$J$9:$J$1008,0)+8)</x:f>
      </x:c>
    </x:row>
    <x:row r="131" ht="36" customHeight="1">
      <x:c r="A131" s="50" t="str">
        <x:f>IF(123&gt;$H$4,"",IF(INDEX('Fleet dates'!$A$9:$A$1008,$I131-8)="","",INDEX('Fleet dates'!$A$9:$A$1008,$I131-8)))</x:f>
      </x:c>
      <x:c r="B131" s="50" t="str">
        <x:f>IF(123&gt;$H$4,"",IF(INDEX('Fleet dates'!$B$9:$B$1008,$I131-8)="","",INDEX('Fleet dates'!$B$9:$B$1008,$I131-8)))</x:f>
      </x:c>
      <x:c r="C131" s="51" t="str">
        <x:f>IF(123&gt;$H$4,"",IF(INDEX('Fleet dates'!$C$9:$C$1008,$I131-8)="","",INDEX('Fleet dates'!$C$9:$C$1008,$I131-8)))</x:f>
      </x:c>
      <x:c r="D131" s="51" t="str">
        <x:f>IF(123&gt;$H$4,"",IF(INDEX('Fleet dates'!$D$9:$D$1008,$I131-8)="","",INDEX('Fleet dates'!$D$9:$D$1008,$I131-8)))</x:f>
      </x:c>
      <x:c r="E131" s="51" t="str">
        <x:f>IF(123&gt;$H$4,"",IF(INDEX('Fleet dates'!$E$9:$E$1008,$I131-8)="","",INDEX('Fleet dates'!$E$9:$E$1008,$I131-8)))</x:f>
      </x:c>
      <x:c r="F131" s="51" t="str">
        <x:f>IF(123&gt;$H$4,"",IF(INDEX('Fleet dates'!$F$9:$F$1008,$I131-8)="","",INDEX('Fleet dates'!$F$9:$F$1008,$I131-8)))</x:f>
      </x:c>
      <x:c r="G131" s="50" t="str">
        <x:f>IF(123&gt;$H$4,"",IF(INDEX('Fleet dates'!$G$9:$G$1008,$I131-8)="","",INDEX('Fleet dates'!$G$9:$G$1008,$I131-8)))</x:f>
      </x:c>
      <x:c r="H131" s="50" t="str">
        <x:f>IF(123&gt;$H$4,"",IF(INDEX('Fleet dates'!$I$9:$I$1008,$I131-8)="","",INDEX('Fleet dates'!$I$9:$I$1008,$I131-8)))</x:f>
      </x:c>
      <x:c r="I131" t="str">
        <x:f>IF(123&gt;$H$4,"",MATCH(123,'Fleet dates'!$J$9:$J$1008,0)+8)</x:f>
      </x:c>
    </x:row>
    <x:row r="132" ht="36" customHeight="1">
      <x:c r="A132" s="50" t="str">
        <x:f>IF(124&gt;$H$4,"",IF(INDEX('Fleet dates'!$A$9:$A$1008,$I132-8)="","",INDEX('Fleet dates'!$A$9:$A$1008,$I132-8)))</x:f>
      </x:c>
      <x:c r="B132" s="50" t="str">
        <x:f>IF(124&gt;$H$4,"",IF(INDEX('Fleet dates'!$B$9:$B$1008,$I132-8)="","",INDEX('Fleet dates'!$B$9:$B$1008,$I132-8)))</x:f>
      </x:c>
      <x:c r="C132" s="51" t="str">
        <x:f>IF(124&gt;$H$4,"",IF(INDEX('Fleet dates'!$C$9:$C$1008,$I132-8)="","",INDEX('Fleet dates'!$C$9:$C$1008,$I132-8)))</x:f>
      </x:c>
      <x:c r="D132" s="51" t="str">
        <x:f>IF(124&gt;$H$4,"",IF(INDEX('Fleet dates'!$D$9:$D$1008,$I132-8)="","",INDEX('Fleet dates'!$D$9:$D$1008,$I132-8)))</x:f>
      </x:c>
      <x:c r="E132" s="51" t="str">
        <x:f>IF(124&gt;$H$4,"",IF(INDEX('Fleet dates'!$E$9:$E$1008,$I132-8)="","",INDEX('Fleet dates'!$E$9:$E$1008,$I132-8)))</x:f>
      </x:c>
      <x:c r="F132" s="51" t="str">
        <x:f>IF(124&gt;$H$4,"",IF(INDEX('Fleet dates'!$F$9:$F$1008,$I132-8)="","",INDEX('Fleet dates'!$F$9:$F$1008,$I132-8)))</x:f>
      </x:c>
      <x:c r="G132" s="50" t="str">
        <x:f>IF(124&gt;$H$4,"",IF(INDEX('Fleet dates'!$G$9:$G$1008,$I132-8)="","",INDEX('Fleet dates'!$G$9:$G$1008,$I132-8)))</x:f>
      </x:c>
      <x:c r="H132" s="50" t="str">
        <x:f>IF(124&gt;$H$4,"",IF(INDEX('Fleet dates'!$I$9:$I$1008,$I132-8)="","",INDEX('Fleet dates'!$I$9:$I$1008,$I132-8)))</x:f>
      </x:c>
      <x:c r="I132" t="str">
        <x:f>IF(124&gt;$H$4,"",MATCH(124,'Fleet dates'!$J$9:$J$1008,0)+8)</x:f>
      </x:c>
    </x:row>
    <x:row r="133" ht="36" customHeight="1">
      <x:c r="A133" s="50" t="str">
        <x:f>IF(125&gt;$H$4,"",IF(INDEX('Fleet dates'!$A$9:$A$1008,$I133-8)="","",INDEX('Fleet dates'!$A$9:$A$1008,$I133-8)))</x:f>
      </x:c>
      <x:c r="B133" s="50" t="str">
        <x:f>IF(125&gt;$H$4,"",IF(INDEX('Fleet dates'!$B$9:$B$1008,$I133-8)="","",INDEX('Fleet dates'!$B$9:$B$1008,$I133-8)))</x:f>
      </x:c>
      <x:c r="C133" s="51" t="str">
        <x:f>IF(125&gt;$H$4,"",IF(INDEX('Fleet dates'!$C$9:$C$1008,$I133-8)="","",INDEX('Fleet dates'!$C$9:$C$1008,$I133-8)))</x:f>
      </x:c>
      <x:c r="D133" s="51" t="str">
        <x:f>IF(125&gt;$H$4,"",IF(INDEX('Fleet dates'!$D$9:$D$1008,$I133-8)="","",INDEX('Fleet dates'!$D$9:$D$1008,$I133-8)))</x:f>
      </x:c>
      <x:c r="E133" s="51" t="str">
        <x:f>IF(125&gt;$H$4,"",IF(INDEX('Fleet dates'!$E$9:$E$1008,$I133-8)="","",INDEX('Fleet dates'!$E$9:$E$1008,$I133-8)))</x:f>
      </x:c>
      <x:c r="F133" s="51" t="str">
        <x:f>IF(125&gt;$H$4,"",IF(INDEX('Fleet dates'!$F$9:$F$1008,$I133-8)="","",INDEX('Fleet dates'!$F$9:$F$1008,$I133-8)))</x:f>
      </x:c>
      <x:c r="G133" s="50" t="str">
        <x:f>IF(125&gt;$H$4,"",IF(INDEX('Fleet dates'!$G$9:$G$1008,$I133-8)="","",INDEX('Fleet dates'!$G$9:$G$1008,$I133-8)))</x:f>
      </x:c>
      <x:c r="H133" s="50" t="str">
        <x:f>IF(125&gt;$H$4,"",IF(INDEX('Fleet dates'!$I$9:$I$1008,$I133-8)="","",INDEX('Fleet dates'!$I$9:$I$1008,$I133-8)))</x:f>
      </x:c>
      <x:c r="I133" t="str">
        <x:f>IF(125&gt;$H$4,"",MATCH(125,'Fleet dates'!$J$9:$J$1008,0)+8)</x:f>
      </x:c>
    </x:row>
    <x:row r="134" ht="36" customHeight="1">
      <x:c r="A134" s="50" t="str">
        <x:f>IF(126&gt;$H$4,"",IF(INDEX('Fleet dates'!$A$9:$A$1008,$I134-8)="","",INDEX('Fleet dates'!$A$9:$A$1008,$I134-8)))</x:f>
      </x:c>
      <x:c r="B134" s="50" t="str">
        <x:f>IF(126&gt;$H$4,"",IF(INDEX('Fleet dates'!$B$9:$B$1008,$I134-8)="","",INDEX('Fleet dates'!$B$9:$B$1008,$I134-8)))</x:f>
      </x:c>
      <x:c r="C134" s="51" t="str">
        <x:f>IF(126&gt;$H$4,"",IF(INDEX('Fleet dates'!$C$9:$C$1008,$I134-8)="","",INDEX('Fleet dates'!$C$9:$C$1008,$I134-8)))</x:f>
      </x:c>
      <x:c r="D134" s="51" t="str">
        <x:f>IF(126&gt;$H$4,"",IF(INDEX('Fleet dates'!$D$9:$D$1008,$I134-8)="","",INDEX('Fleet dates'!$D$9:$D$1008,$I134-8)))</x:f>
      </x:c>
      <x:c r="E134" s="51" t="str">
        <x:f>IF(126&gt;$H$4,"",IF(INDEX('Fleet dates'!$E$9:$E$1008,$I134-8)="","",INDEX('Fleet dates'!$E$9:$E$1008,$I134-8)))</x:f>
      </x:c>
      <x:c r="F134" s="51" t="str">
        <x:f>IF(126&gt;$H$4,"",IF(INDEX('Fleet dates'!$F$9:$F$1008,$I134-8)="","",INDEX('Fleet dates'!$F$9:$F$1008,$I134-8)))</x:f>
      </x:c>
      <x:c r="G134" s="50" t="str">
        <x:f>IF(126&gt;$H$4,"",IF(INDEX('Fleet dates'!$G$9:$G$1008,$I134-8)="","",INDEX('Fleet dates'!$G$9:$G$1008,$I134-8)))</x:f>
      </x:c>
      <x:c r="H134" s="50" t="str">
        <x:f>IF(126&gt;$H$4,"",IF(INDEX('Fleet dates'!$I$9:$I$1008,$I134-8)="","",INDEX('Fleet dates'!$I$9:$I$1008,$I134-8)))</x:f>
      </x:c>
      <x:c r="I134" t="str">
        <x:f>IF(126&gt;$H$4,"",MATCH(126,'Fleet dates'!$J$9:$J$1008,0)+8)</x:f>
      </x:c>
    </x:row>
    <x:row r="135" ht="36" customHeight="1">
      <x:c r="A135" s="50" t="str">
        <x:f>IF(127&gt;$H$4,"",IF(INDEX('Fleet dates'!$A$9:$A$1008,$I135-8)="","",INDEX('Fleet dates'!$A$9:$A$1008,$I135-8)))</x:f>
      </x:c>
      <x:c r="B135" s="50" t="str">
        <x:f>IF(127&gt;$H$4,"",IF(INDEX('Fleet dates'!$B$9:$B$1008,$I135-8)="","",INDEX('Fleet dates'!$B$9:$B$1008,$I135-8)))</x:f>
      </x:c>
      <x:c r="C135" s="51" t="str">
        <x:f>IF(127&gt;$H$4,"",IF(INDEX('Fleet dates'!$C$9:$C$1008,$I135-8)="","",INDEX('Fleet dates'!$C$9:$C$1008,$I135-8)))</x:f>
      </x:c>
      <x:c r="D135" s="51" t="str">
        <x:f>IF(127&gt;$H$4,"",IF(INDEX('Fleet dates'!$D$9:$D$1008,$I135-8)="","",INDEX('Fleet dates'!$D$9:$D$1008,$I135-8)))</x:f>
      </x:c>
      <x:c r="E135" s="51" t="str">
        <x:f>IF(127&gt;$H$4,"",IF(INDEX('Fleet dates'!$E$9:$E$1008,$I135-8)="","",INDEX('Fleet dates'!$E$9:$E$1008,$I135-8)))</x:f>
      </x:c>
      <x:c r="F135" s="51" t="str">
        <x:f>IF(127&gt;$H$4,"",IF(INDEX('Fleet dates'!$F$9:$F$1008,$I135-8)="","",INDEX('Fleet dates'!$F$9:$F$1008,$I135-8)))</x:f>
      </x:c>
      <x:c r="G135" s="50" t="str">
        <x:f>IF(127&gt;$H$4,"",IF(INDEX('Fleet dates'!$G$9:$G$1008,$I135-8)="","",INDEX('Fleet dates'!$G$9:$G$1008,$I135-8)))</x:f>
      </x:c>
      <x:c r="H135" s="50" t="str">
        <x:f>IF(127&gt;$H$4,"",IF(INDEX('Fleet dates'!$I$9:$I$1008,$I135-8)="","",INDEX('Fleet dates'!$I$9:$I$1008,$I135-8)))</x:f>
      </x:c>
      <x:c r="I135" t="str">
        <x:f>IF(127&gt;$H$4,"",MATCH(127,'Fleet dates'!$J$9:$J$1008,0)+8)</x:f>
      </x:c>
    </x:row>
    <x:row r="136" ht="36" customHeight="1">
      <x:c r="A136" s="50" t="str">
        <x:f>IF(128&gt;$H$4,"",IF(INDEX('Fleet dates'!$A$9:$A$1008,$I136-8)="","",INDEX('Fleet dates'!$A$9:$A$1008,$I136-8)))</x:f>
      </x:c>
      <x:c r="B136" s="50" t="str">
        <x:f>IF(128&gt;$H$4,"",IF(INDEX('Fleet dates'!$B$9:$B$1008,$I136-8)="","",INDEX('Fleet dates'!$B$9:$B$1008,$I136-8)))</x:f>
      </x:c>
      <x:c r="C136" s="51" t="str">
        <x:f>IF(128&gt;$H$4,"",IF(INDEX('Fleet dates'!$C$9:$C$1008,$I136-8)="","",INDEX('Fleet dates'!$C$9:$C$1008,$I136-8)))</x:f>
      </x:c>
      <x:c r="D136" s="51" t="str">
        <x:f>IF(128&gt;$H$4,"",IF(INDEX('Fleet dates'!$D$9:$D$1008,$I136-8)="","",INDEX('Fleet dates'!$D$9:$D$1008,$I136-8)))</x:f>
      </x:c>
      <x:c r="E136" s="51" t="str">
        <x:f>IF(128&gt;$H$4,"",IF(INDEX('Fleet dates'!$E$9:$E$1008,$I136-8)="","",INDEX('Fleet dates'!$E$9:$E$1008,$I136-8)))</x:f>
      </x:c>
      <x:c r="F136" s="51" t="str">
        <x:f>IF(128&gt;$H$4,"",IF(INDEX('Fleet dates'!$F$9:$F$1008,$I136-8)="","",INDEX('Fleet dates'!$F$9:$F$1008,$I136-8)))</x:f>
      </x:c>
      <x:c r="G136" s="50" t="str">
        <x:f>IF(128&gt;$H$4,"",IF(INDEX('Fleet dates'!$G$9:$G$1008,$I136-8)="","",INDEX('Fleet dates'!$G$9:$G$1008,$I136-8)))</x:f>
      </x:c>
      <x:c r="H136" s="50" t="str">
        <x:f>IF(128&gt;$H$4,"",IF(INDEX('Fleet dates'!$I$9:$I$1008,$I136-8)="","",INDEX('Fleet dates'!$I$9:$I$1008,$I136-8)))</x:f>
      </x:c>
      <x:c r="I136" t="str">
        <x:f>IF(128&gt;$H$4,"",MATCH(128,'Fleet dates'!$J$9:$J$1008,0)+8)</x:f>
      </x:c>
    </x:row>
    <x:row r="137" ht="36" customHeight="1">
      <x:c r="A137" s="50" t="str">
        <x:f>IF(129&gt;$H$4,"",IF(INDEX('Fleet dates'!$A$9:$A$1008,$I137-8)="","",INDEX('Fleet dates'!$A$9:$A$1008,$I137-8)))</x:f>
      </x:c>
      <x:c r="B137" s="50" t="str">
        <x:f>IF(129&gt;$H$4,"",IF(INDEX('Fleet dates'!$B$9:$B$1008,$I137-8)="","",INDEX('Fleet dates'!$B$9:$B$1008,$I137-8)))</x:f>
      </x:c>
      <x:c r="C137" s="51" t="str">
        <x:f>IF(129&gt;$H$4,"",IF(INDEX('Fleet dates'!$C$9:$C$1008,$I137-8)="","",INDEX('Fleet dates'!$C$9:$C$1008,$I137-8)))</x:f>
      </x:c>
      <x:c r="D137" s="51" t="str">
        <x:f>IF(129&gt;$H$4,"",IF(INDEX('Fleet dates'!$D$9:$D$1008,$I137-8)="","",INDEX('Fleet dates'!$D$9:$D$1008,$I137-8)))</x:f>
      </x:c>
      <x:c r="E137" s="51" t="str">
        <x:f>IF(129&gt;$H$4,"",IF(INDEX('Fleet dates'!$E$9:$E$1008,$I137-8)="","",INDEX('Fleet dates'!$E$9:$E$1008,$I137-8)))</x:f>
      </x:c>
      <x:c r="F137" s="51" t="str">
        <x:f>IF(129&gt;$H$4,"",IF(INDEX('Fleet dates'!$F$9:$F$1008,$I137-8)="","",INDEX('Fleet dates'!$F$9:$F$1008,$I137-8)))</x:f>
      </x:c>
      <x:c r="G137" s="50" t="str">
        <x:f>IF(129&gt;$H$4,"",IF(INDEX('Fleet dates'!$G$9:$G$1008,$I137-8)="","",INDEX('Fleet dates'!$G$9:$G$1008,$I137-8)))</x:f>
      </x:c>
      <x:c r="H137" s="50" t="str">
        <x:f>IF(129&gt;$H$4,"",IF(INDEX('Fleet dates'!$I$9:$I$1008,$I137-8)="","",INDEX('Fleet dates'!$I$9:$I$1008,$I137-8)))</x:f>
      </x:c>
      <x:c r="I137" t="str">
        <x:f>IF(129&gt;$H$4,"",MATCH(129,'Fleet dates'!$J$9:$J$1008,0)+8)</x:f>
      </x:c>
    </x:row>
    <x:row r="138" ht="36" customHeight="1">
      <x:c r="A138" s="50" t="str">
        <x:f>IF(130&gt;$H$4,"",IF(INDEX('Fleet dates'!$A$9:$A$1008,$I138-8)="","",INDEX('Fleet dates'!$A$9:$A$1008,$I138-8)))</x:f>
      </x:c>
      <x:c r="B138" s="50" t="str">
        <x:f>IF(130&gt;$H$4,"",IF(INDEX('Fleet dates'!$B$9:$B$1008,$I138-8)="","",INDEX('Fleet dates'!$B$9:$B$1008,$I138-8)))</x:f>
      </x:c>
      <x:c r="C138" s="51" t="str">
        <x:f>IF(130&gt;$H$4,"",IF(INDEX('Fleet dates'!$C$9:$C$1008,$I138-8)="","",INDEX('Fleet dates'!$C$9:$C$1008,$I138-8)))</x:f>
      </x:c>
      <x:c r="D138" s="51" t="str">
        <x:f>IF(130&gt;$H$4,"",IF(INDEX('Fleet dates'!$D$9:$D$1008,$I138-8)="","",INDEX('Fleet dates'!$D$9:$D$1008,$I138-8)))</x:f>
      </x:c>
      <x:c r="E138" s="51" t="str">
        <x:f>IF(130&gt;$H$4,"",IF(INDEX('Fleet dates'!$E$9:$E$1008,$I138-8)="","",INDEX('Fleet dates'!$E$9:$E$1008,$I138-8)))</x:f>
      </x:c>
      <x:c r="F138" s="51" t="str">
        <x:f>IF(130&gt;$H$4,"",IF(INDEX('Fleet dates'!$F$9:$F$1008,$I138-8)="","",INDEX('Fleet dates'!$F$9:$F$1008,$I138-8)))</x:f>
      </x:c>
      <x:c r="G138" s="50" t="str">
        <x:f>IF(130&gt;$H$4,"",IF(INDEX('Fleet dates'!$G$9:$G$1008,$I138-8)="","",INDEX('Fleet dates'!$G$9:$G$1008,$I138-8)))</x:f>
      </x:c>
      <x:c r="H138" s="50" t="str">
        <x:f>IF(130&gt;$H$4,"",IF(INDEX('Fleet dates'!$I$9:$I$1008,$I138-8)="","",INDEX('Fleet dates'!$I$9:$I$1008,$I138-8)))</x:f>
      </x:c>
      <x:c r="I138" t="str">
        <x:f>IF(130&gt;$H$4,"",MATCH(130,'Fleet dates'!$J$9:$J$1008,0)+8)</x:f>
      </x:c>
    </x:row>
    <x:row r="139" ht="36" customHeight="1">
      <x:c r="A139" s="50" t="str">
        <x:f>IF(131&gt;$H$4,"",IF(INDEX('Fleet dates'!$A$9:$A$1008,$I139-8)="","",INDEX('Fleet dates'!$A$9:$A$1008,$I139-8)))</x:f>
      </x:c>
      <x:c r="B139" s="50" t="str">
        <x:f>IF(131&gt;$H$4,"",IF(INDEX('Fleet dates'!$B$9:$B$1008,$I139-8)="","",INDEX('Fleet dates'!$B$9:$B$1008,$I139-8)))</x:f>
      </x:c>
      <x:c r="C139" s="51" t="str">
        <x:f>IF(131&gt;$H$4,"",IF(INDEX('Fleet dates'!$C$9:$C$1008,$I139-8)="","",INDEX('Fleet dates'!$C$9:$C$1008,$I139-8)))</x:f>
      </x:c>
      <x:c r="D139" s="51" t="str">
        <x:f>IF(131&gt;$H$4,"",IF(INDEX('Fleet dates'!$D$9:$D$1008,$I139-8)="","",INDEX('Fleet dates'!$D$9:$D$1008,$I139-8)))</x:f>
      </x:c>
      <x:c r="E139" s="51" t="str">
        <x:f>IF(131&gt;$H$4,"",IF(INDEX('Fleet dates'!$E$9:$E$1008,$I139-8)="","",INDEX('Fleet dates'!$E$9:$E$1008,$I139-8)))</x:f>
      </x:c>
      <x:c r="F139" s="51" t="str">
        <x:f>IF(131&gt;$H$4,"",IF(INDEX('Fleet dates'!$F$9:$F$1008,$I139-8)="","",INDEX('Fleet dates'!$F$9:$F$1008,$I139-8)))</x:f>
      </x:c>
      <x:c r="G139" s="50" t="str">
        <x:f>IF(131&gt;$H$4,"",IF(INDEX('Fleet dates'!$G$9:$G$1008,$I139-8)="","",INDEX('Fleet dates'!$G$9:$G$1008,$I139-8)))</x:f>
      </x:c>
      <x:c r="H139" s="50" t="str">
        <x:f>IF(131&gt;$H$4,"",IF(INDEX('Fleet dates'!$I$9:$I$1008,$I139-8)="","",INDEX('Fleet dates'!$I$9:$I$1008,$I139-8)))</x:f>
      </x:c>
      <x:c r="I139" t="str">
        <x:f>IF(131&gt;$H$4,"",MATCH(131,'Fleet dates'!$J$9:$J$1008,0)+8)</x:f>
      </x:c>
    </x:row>
    <x:row r="140" ht="36" customHeight="1">
      <x:c r="A140" s="50" t="str">
        <x:f>IF(132&gt;$H$4,"",IF(INDEX('Fleet dates'!$A$9:$A$1008,$I140-8)="","",INDEX('Fleet dates'!$A$9:$A$1008,$I140-8)))</x:f>
      </x:c>
      <x:c r="B140" s="50" t="str">
        <x:f>IF(132&gt;$H$4,"",IF(INDEX('Fleet dates'!$B$9:$B$1008,$I140-8)="","",INDEX('Fleet dates'!$B$9:$B$1008,$I140-8)))</x:f>
      </x:c>
      <x:c r="C140" s="51" t="str">
        <x:f>IF(132&gt;$H$4,"",IF(INDEX('Fleet dates'!$C$9:$C$1008,$I140-8)="","",INDEX('Fleet dates'!$C$9:$C$1008,$I140-8)))</x:f>
      </x:c>
      <x:c r="D140" s="51" t="str">
        <x:f>IF(132&gt;$H$4,"",IF(INDEX('Fleet dates'!$D$9:$D$1008,$I140-8)="","",INDEX('Fleet dates'!$D$9:$D$1008,$I140-8)))</x:f>
      </x:c>
      <x:c r="E140" s="51" t="str">
        <x:f>IF(132&gt;$H$4,"",IF(INDEX('Fleet dates'!$E$9:$E$1008,$I140-8)="","",INDEX('Fleet dates'!$E$9:$E$1008,$I140-8)))</x:f>
      </x:c>
      <x:c r="F140" s="51" t="str">
        <x:f>IF(132&gt;$H$4,"",IF(INDEX('Fleet dates'!$F$9:$F$1008,$I140-8)="","",INDEX('Fleet dates'!$F$9:$F$1008,$I140-8)))</x:f>
      </x:c>
      <x:c r="G140" s="50" t="str">
        <x:f>IF(132&gt;$H$4,"",IF(INDEX('Fleet dates'!$G$9:$G$1008,$I140-8)="","",INDEX('Fleet dates'!$G$9:$G$1008,$I140-8)))</x:f>
      </x:c>
      <x:c r="H140" s="50" t="str">
        <x:f>IF(132&gt;$H$4,"",IF(INDEX('Fleet dates'!$I$9:$I$1008,$I140-8)="","",INDEX('Fleet dates'!$I$9:$I$1008,$I140-8)))</x:f>
      </x:c>
      <x:c r="I140" t="str">
        <x:f>IF(132&gt;$H$4,"",MATCH(132,'Fleet dates'!$J$9:$J$1008,0)+8)</x:f>
      </x:c>
    </x:row>
    <x:row r="141" ht="36" customHeight="1">
      <x:c r="A141" s="50" t="str">
        <x:f>IF(133&gt;$H$4,"",IF(INDEX('Fleet dates'!$A$9:$A$1008,$I141-8)="","",INDEX('Fleet dates'!$A$9:$A$1008,$I141-8)))</x:f>
      </x:c>
      <x:c r="B141" s="50" t="str">
        <x:f>IF(133&gt;$H$4,"",IF(INDEX('Fleet dates'!$B$9:$B$1008,$I141-8)="","",INDEX('Fleet dates'!$B$9:$B$1008,$I141-8)))</x:f>
      </x:c>
      <x:c r="C141" s="51" t="str">
        <x:f>IF(133&gt;$H$4,"",IF(INDEX('Fleet dates'!$C$9:$C$1008,$I141-8)="","",INDEX('Fleet dates'!$C$9:$C$1008,$I141-8)))</x:f>
      </x:c>
      <x:c r="D141" s="51" t="str">
        <x:f>IF(133&gt;$H$4,"",IF(INDEX('Fleet dates'!$D$9:$D$1008,$I141-8)="","",INDEX('Fleet dates'!$D$9:$D$1008,$I141-8)))</x:f>
      </x:c>
      <x:c r="E141" s="51" t="str">
        <x:f>IF(133&gt;$H$4,"",IF(INDEX('Fleet dates'!$E$9:$E$1008,$I141-8)="","",INDEX('Fleet dates'!$E$9:$E$1008,$I141-8)))</x:f>
      </x:c>
      <x:c r="F141" s="51" t="str">
        <x:f>IF(133&gt;$H$4,"",IF(INDEX('Fleet dates'!$F$9:$F$1008,$I141-8)="","",INDEX('Fleet dates'!$F$9:$F$1008,$I141-8)))</x:f>
      </x:c>
      <x:c r="G141" s="50" t="str">
        <x:f>IF(133&gt;$H$4,"",IF(INDEX('Fleet dates'!$G$9:$G$1008,$I141-8)="","",INDEX('Fleet dates'!$G$9:$G$1008,$I141-8)))</x:f>
      </x:c>
      <x:c r="H141" s="50" t="str">
        <x:f>IF(133&gt;$H$4,"",IF(INDEX('Fleet dates'!$I$9:$I$1008,$I141-8)="","",INDEX('Fleet dates'!$I$9:$I$1008,$I141-8)))</x:f>
      </x:c>
      <x:c r="I141" t="str">
        <x:f>IF(133&gt;$H$4,"",MATCH(133,'Fleet dates'!$J$9:$J$1008,0)+8)</x:f>
      </x:c>
    </x:row>
    <x:row r="142" ht="36" customHeight="1">
      <x:c r="A142" s="50" t="str">
        <x:f>IF(134&gt;$H$4,"",IF(INDEX('Fleet dates'!$A$9:$A$1008,$I142-8)="","",INDEX('Fleet dates'!$A$9:$A$1008,$I142-8)))</x:f>
      </x:c>
      <x:c r="B142" s="50" t="str">
        <x:f>IF(134&gt;$H$4,"",IF(INDEX('Fleet dates'!$B$9:$B$1008,$I142-8)="","",INDEX('Fleet dates'!$B$9:$B$1008,$I142-8)))</x:f>
      </x:c>
      <x:c r="C142" s="51" t="str">
        <x:f>IF(134&gt;$H$4,"",IF(INDEX('Fleet dates'!$C$9:$C$1008,$I142-8)="","",INDEX('Fleet dates'!$C$9:$C$1008,$I142-8)))</x:f>
      </x:c>
      <x:c r="D142" s="51" t="str">
        <x:f>IF(134&gt;$H$4,"",IF(INDEX('Fleet dates'!$D$9:$D$1008,$I142-8)="","",INDEX('Fleet dates'!$D$9:$D$1008,$I142-8)))</x:f>
      </x:c>
      <x:c r="E142" s="51" t="str">
        <x:f>IF(134&gt;$H$4,"",IF(INDEX('Fleet dates'!$E$9:$E$1008,$I142-8)="","",INDEX('Fleet dates'!$E$9:$E$1008,$I142-8)))</x:f>
      </x:c>
      <x:c r="F142" s="51" t="str">
        <x:f>IF(134&gt;$H$4,"",IF(INDEX('Fleet dates'!$F$9:$F$1008,$I142-8)="","",INDEX('Fleet dates'!$F$9:$F$1008,$I142-8)))</x:f>
      </x:c>
      <x:c r="G142" s="50" t="str">
        <x:f>IF(134&gt;$H$4,"",IF(INDEX('Fleet dates'!$G$9:$G$1008,$I142-8)="","",INDEX('Fleet dates'!$G$9:$G$1008,$I142-8)))</x:f>
      </x:c>
      <x:c r="H142" s="50" t="str">
        <x:f>IF(134&gt;$H$4,"",IF(INDEX('Fleet dates'!$I$9:$I$1008,$I142-8)="","",INDEX('Fleet dates'!$I$9:$I$1008,$I142-8)))</x:f>
      </x:c>
      <x:c r="I142" t="str">
        <x:f>IF(134&gt;$H$4,"",MATCH(134,'Fleet dates'!$J$9:$J$1008,0)+8)</x:f>
      </x:c>
    </x:row>
    <x:row r="143" ht="36" customHeight="1">
      <x:c r="A143" s="50" t="str">
        <x:f>IF(135&gt;$H$4,"",IF(INDEX('Fleet dates'!$A$9:$A$1008,$I143-8)="","",INDEX('Fleet dates'!$A$9:$A$1008,$I143-8)))</x:f>
      </x:c>
      <x:c r="B143" s="50" t="str">
        <x:f>IF(135&gt;$H$4,"",IF(INDEX('Fleet dates'!$B$9:$B$1008,$I143-8)="","",INDEX('Fleet dates'!$B$9:$B$1008,$I143-8)))</x:f>
      </x:c>
      <x:c r="C143" s="51" t="str">
        <x:f>IF(135&gt;$H$4,"",IF(INDEX('Fleet dates'!$C$9:$C$1008,$I143-8)="","",INDEX('Fleet dates'!$C$9:$C$1008,$I143-8)))</x:f>
      </x:c>
      <x:c r="D143" s="51" t="str">
        <x:f>IF(135&gt;$H$4,"",IF(INDEX('Fleet dates'!$D$9:$D$1008,$I143-8)="","",INDEX('Fleet dates'!$D$9:$D$1008,$I143-8)))</x:f>
      </x:c>
      <x:c r="E143" s="51" t="str">
        <x:f>IF(135&gt;$H$4,"",IF(INDEX('Fleet dates'!$E$9:$E$1008,$I143-8)="","",INDEX('Fleet dates'!$E$9:$E$1008,$I143-8)))</x:f>
      </x:c>
      <x:c r="F143" s="51" t="str">
        <x:f>IF(135&gt;$H$4,"",IF(INDEX('Fleet dates'!$F$9:$F$1008,$I143-8)="","",INDEX('Fleet dates'!$F$9:$F$1008,$I143-8)))</x:f>
      </x:c>
      <x:c r="G143" s="50" t="str">
        <x:f>IF(135&gt;$H$4,"",IF(INDEX('Fleet dates'!$G$9:$G$1008,$I143-8)="","",INDEX('Fleet dates'!$G$9:$G$1008,$I143-8)))</x:f>
      </x:c>
      <x:c r="H143" s="50" t="str">
        <x:f>IF(135&gt;$H$4,"",IF(INDEX('Fleet dates'!$I$9:$I$1008,$I143-8)="","",INDEX('Fleet dates'!$I$9:$I$1008,$I143-8)))</x:f>
      </x:c>
      <x:c r="I143" t="str">
        <x:f>IF(135&gt;$H$4,"",MATCH(135,'Fleet dates'!$J$9:$J$1008,0)+8)</x:f>
      </x:c>
    </x:row>
    <x:row r="144" ht="36" customHeight="1">
      <x:c r="A144" s="50" t="str">
        <x:f>IF(136&gt;$H$4,"",IF(INDEX('Fleet dates'!$A$9:$A$1008,$I144-8)="","",INDEX('Fleet dates'!$A$9:$A$1008,$I144-8)))</x:f>
      </x:c>
      <x:c r="B144" s="50" t="str">
        <x:f>IF(136&gt;$H$4,"",IF(INDEX('Fleet dates'!$B$9:$B$1008,$I144-8)="","",INDEX('Fleet dates'!$B$9:$B$1008,$I144-8)))</x:f>
      </x:c>
      <x:c r="C144" s="51" t="str">
        <x:f>IF(136&gt;$H$4,"",IF(INDEX('Fleet dates'!$C$9:$C$1008,$I144-8)="","",INDEX('Fleet dates'!$C$9:$C$1008,$I144-8)))</x:f>
      </x:c>
      <x:c r="D144" s="51" t="str">
        <x:f>IF(136&gt;$H$4,"",IF(INDEX('Fleet dates'!$D$9:$D$1008,$I144-8)="","",INDEX('Fleet dates'!$D$9:$D$1008,$I144-8)))</x:f>
      </x:c>
      <x:c r="E144" s="51" t="str">
        <x:f>IF(136&gt;$H$4,"",IF(INDEX('Fleet dates'!$E$9:$E$1008,$I144-8)="","",INDEX('Fleet dates'!$E$9:$E$1008,$I144-8)))</x:f>
      </x:c>
      <x:c r="F144" s="51" t="str">
        <x:f>IF(136&gt;$H$4,"",IF(INDEX('Fleet dates'!$F$9:$F$1008,$I144-8)="","",INDEX('Fleet dates'!$F$9:$F$1008,$I144-8)))</x:f>
      </x:c>
      <x:c r="G144" s="50" t="str">
        <x:f>IF(136&gt;$H$4,"",IF(INDEX('Fleet dates'!$G$9:$G$1008,$I144-8)="","",INDEX('Fleet dates'!$G$9:$G$1008,$I144-8)))</x:f>
      </x:c>
      <x:c r="H144" s="50" t="str">
        <x:f>IF(136&gt;$H$4,"",IF(INDEX('Fleet dates'!$I$9:$I$1008,$I144-8)="","",INDEX('Fleet dates'!$I$9:$I$1008,$I144-8)))</x:f>
      </x:c>
      <x:c r="I144" t="str">
        <x:f>IF(136&gt;$H$4,"",MATCH(136,'Fleet dates'!$J$9:$J$1008,0)+8)</x:f>
      </x:c>
    </x:row>
    <x:row r="145" ht="36" customHeight="1">
      <x:c r="A145" s="50" t="str">
        <x:f>IF(137&gt;$H$4,"",IF(INDEX('Fleet dates'!$A$9:$A$1008,$I145-8)="","",INDEX('Fleet dates'!$A$9:$A$1008,$I145-8)))</x:f>
      </x:c>
      <x:c r="B145" s="50" t="str">
        <x:f>IF(137&gt;$H$4,"",IF(INDEX('Fleet dates'!$B$9:$B$1008,$I145-8)="","",INDEX('Fleet dates'!$B$9:$B$1008,$I145-8)))</x:f>
      </x:c>
      <x:c r="C145" s="51" t="str">
        <x:f>IF(137&gt;$H$4,"",IF(INDEX('Fleet dates'!$C$9:$C$1008,$I145-8)="","",INDEX('Fleet dates'!$C$9:$C$1008,$I145-8)))</x:f>
      </x:c>
      <x:c r="D145" s="51" t="str">
        <x:f>IF(137&gt;$H$4,"",IF(INDEX('Fleet dates'!$D$9:$D$1008,$I145-8)="","",INDEX('Fleet dates'!$D$9:$D$1008,$I145-8)))</x:f>
      </x:c>
      <x:c r="E145" s="51" t="str">
        <x:f>IF(137&gt;$H$4,"",IF(INDEX('Fleet dates'!$E$9:$E$1008,$I145-8)="","",INDEX('Fleet dates'!$E$9:$E$1008,$I145-8)))</x:f>
      </x:c>
      <x:c r="F145" s="51" t="str">
        <x:f>IF(137&gt;$H$4,"",IF(INDEX('Fleet dates'!$F$9:$F$1008,$I145-8)="","",INDEX('Fleet dates'!$F$9:$F$1008,$I145-8)))</x:f>
      </x:c>
      <x:c r="G145" s="50" t="str">
        <x:f>IF(137&gt;$H$4,"",IF(INDEX('Fleet dates'!$G$9:$G$1008,$I145-8)="","",INDEX('Fleet dates'!$G$9:$G$1008,$I145-8)))</x:f>
      </x:c>
      <x:c r="H145" s="50" t="str">
        <x:f>IF(137&gt;$H$4,"",IF(INDEX('Fleet dates'!$I$9:$I$1008,$I145-8)="","",INDEX('Fleet dates'!$I$9:$I$1008,$I145-8)))</x:f>
      </x:c>
      <x:c r="I145" t="str">
        <x:f>IF(137&gt;$H$4,"",MATCH(137,'Fleet dates'!$J$9:$J$1008,0)+8)</x:f>
      </x:c>
    </x:row>
    <x:row r="146" ht="36" customHeight="1">
      <x:c r="A146" s="50" t="str">
        <x:f>IF(138&gt;$H$4,"",IF(INDEX('Fleet dates'!$A$9:$A$1008,$I146-8)="","",INDEX('Fleet dates'!$A$9:$A$1008,$I146-8)))</x:f>
      </x:c>
      <x:c r="B146" s="50" t="str">
        <x:f>IF(138&gt;$H$4,"",IF(INDEX('Fleet dates'!$B$9:$B$1008,$I146-8)="","",INDEX('Fleet dates'!$B$9:$B$1008,$I146-8)))</x:f>
      </x:c>
      <x:c r="C146" s="51" t="str">
        <x:f>IF(138&gt;$H$4,"",IF(INDEX('Fleet dates'!$C$9:$C$1008,$I146-8)="","",INDEX('Fleet dates'!$C$9:$C$1008,$I146-8)))</x:f>
      </x:c>
      <x:c r="D146" s="51" t="str">
        <x:f>IF(138&gt;$H$4,"",IF(INDEX('Fleet dates'!$D$9:$D$1008,$I146-8)="","",INDEX('Fleet dates'!$D$9:$D$1008,$I146-8)))</x:f>
      </x:c>
      <x:c r="E146" s="51" t="str">
        <x:f>IF(138&gt;$H$4,"",IF(INDEX('Fleet dates'!$E$9:$E$1008,$I146-8)="","",INDEX('Fleet dates'!$E$9:$E$1008,$I146-8)))</x:f>
      </x:c>
      <x:c r="F146" s="51" t="str">
        <x:f>IF(138&gt;$H$4,"",IF(INDEX('Fleet dates'!$F$9:$F$1008,$I146-8)="","",INDEX('Fleet dates'!$F$9:$F$1008,$I146-8)))</x:f>
      </x:c>
      <x:c r="G146" s="50" t="str">
        <x:f>IF(138&gt;$H$4,"",IF(INDEX('Fleet dates'!$G$9:$G$1008,$I146-8)="","",INDEX('Fleet dates'!$G$9:$G$1008,$I146-8)))</x:f>
      </x:c>
      <x:c r="H146" s="50" t="str">
        <x:f>IF(138&gt;$H$4,"",IF(INDEX('Fleet dates'!$I$9:$I$1008,$I146-8)="","",INDEX('Fleet dates'!$I$9:$I$1008,$I146-8)))</x:f>
      </x:c>
      <x:c r="I146" t="str">
        <x:f>IF(138&gt;$H$4,"",MATCH(138,'Fleet dates'!$J$9:$J$1008,0)+8)</x:f>
      </x:c>
    </x:row>
    <x:row r="147" ht="36" customHeight="1">
      <x:c r="A147" s="50" t="str">
        <x:f>IF(139&gt;$H$4,"",IF(INDEX('Fleet dates'!$A$9:$A$1008,$I147-8)="","",INDEX('Fleet dates'!$A$9:$A$1008,$I147-8)))</x:f>
      </x:c>
      <x:c r="B147" s="50" t="str">
        <x:f>IF(139&gt;$H$4,"",IF(INDEX('Fleet dates'!$B$9:$B$1008,$I147-8)="","",INDEX('Fleet dates'!$B$9:$B$1008,$I147-8)))</x:f>
      </x:c>
      <x:c r="C147" s="51" t="str">
        <x:f>IF(139&gt;$H$4,"",IF(INDEX('Fleet dates'!$C$9:$C$1008,$I147-8)="","",INDEX('Fleet dates'!$C$9:$C$1008,$I147-8)))</x:f>
      </x:c>
      <x:c r="D147" s="51" t="str">
        <x:f>IF(139&gt;$H$4,"",IF(INDEX('Fleet dates'!$D$9:$D$1008,$I147-8)="","",INDEX('Fleet dates'!$D$9:$D$1008,$I147-8)))</x:f>
      </x:c>
      <x:c r="E147" s="51" t="str">
        <x:f>IF(139&gt;$H$4,"",IF(INDEX('Fleet dates'!$E$9:$E$1008,$I147-8)="","",INDEX('Fleet dates'!$E$9:$E$1008,$I147-8)))</x:f>
      </x:c>
      <x:c r="F147" s="51" t="str">
        <x:f>IF(139&gt;$H$4,"",IF(INDEX('Fleet dates'!$F$9:$F$1008,$I147-8)="","",INDEX('Fleet dates'!$F$9:$F$1008,$I147-8)))</x:f>
      </x:c>
      <x:c r="G147" s="50" t="str">
        <x:f>IF(139&gt;$H$4,"",IF(INDEX('Fleet dates'!$G$9:$G$1008,$I147-8)="","",INDEX('Fleet dates'!$G$9:$G$1008,$I147-8)))</x:f>
      </x:c>
      <x:c r="H147" s="50" t="str">
        <x:f>IF(139&gt;$H$4,"",IF(INDEX('Fleet dates'!$I$9:$I$1008,$I147-8)="","",INDEX('Fleet dates'!$I$9:$I$1008,$I147-8)))</x:f>
      </x:c>
      <x:c r="I147" t="str">
        <x:f>IF(139&gt;$H$4,"",MATCH(139,'Fleet dates'!$J$9:$J$1008,0)+8)</x:f>
      </x:c>
    </x:row>
    <x:row r="148" ht="36" customHeight="1">
      <x:c r="A148" s="50" t="str">
        <x:f>IF(140&gt;$H$4,"",IF(INDEX('Fleet dates'!$A$9:$A$1008,$I148-8)="","",INDEX('Fleet dates'!$A$9:$A$1008,$I148-8)))</x:f>
      </x:c>
      <x:c r="B148" s="50" t="str">
        <x:f>IF(140&gt;$H$4,"",IF(INDEX('Fleet dates'!$B$9:$B$1008,$I148-8)="","",INDEX('Fleet dates'!$B$9:$B$1008,$I148-8)))</x:f>
      </x:c>
      <x:c r="C148" s="51" t="str">
        <x:f>IF(140&gt;$H$4,"",IF(INDEX('Fleet dates'!$C$9:$C$1008,$I148-8)="","",INDEX('Fleet dates'!$C$9:$C$1008,$I148-8)))</x:f>
      </x:c>
      <x:c r="D148" s="51" t="str">
        <x:f>IF(140&gt;$H$4,"",IF(INDEX('Fleet dates'!$D$9:$D$1008,$I148-8)="","",INDEX('Fleet dates'!$D$9:$D$1008,$I148-8)))</x:f>
      </x:c>
      <x:c r="E148" s="51" t="str">
        <x:f>IF(140&gt;$H$4,"",IF(INDEX('Fleet dates'!$E$9:$E$1008,$I148-8)="","",INDEX('Fleet dates'!$E$9:$E$1008,$I148-8)))</x:f>
      </x:c>
      <x:c r="F148" s="51" t="str">
        <x:f>IF(140&gt;$H$4,"",IF(INDEX('Fleet dates'!$F$9:$F$1008,$I148-8)="","",INDEX('Fleet dates'!$F$9:$F$1008,$I148-8)))</x:f>
      </x:c>
      <x:c r="G148" s="50" t="str">
        <x:f>IF(140&gt;$H$4,"",IF(INDEX('Fleet dates'!$G$9:$G$1008,$I148-8)="","",INDEX('Fleet dates'!$G$9:$G$1008,$I148-8)))</x:f>
      </x:c>
      <x:c r="H148" s="50" t="str">
        <x:f>IF(140&gt;$H$4,"",IF(INDEX('Fleet dates'!$I$9:$I$1008,$I148-8)="","",INDEX('Fleet dates'!$I$9:$I$1008,$I148-8)))</x:f>
      </x:c>
      <x:c r="I148" t="str">
        <x:f>IF(140&gt;$H$4,"",MATCH(140,'Fleet dates'!$J$9:$J$1008,0)+8)</x:f>
      </x:c>
    </x:row>
    <x:row r="149" ht="36" customHeight="1">
      <x:c r="A149" s="50" t="str">
        <x:f>IF(141&gt;$H$4,"",IF(INDEX('Fleet dates'!$A$9:$A$1008,$I149-8)="","",INDEX('Fleet dates'!$A$9:$A$1008,$I149-8)))</x:f>
      </x:c>
      <x:c r="B149" s="50" t="str">
        <x:f>IF(141&gt;$H$4,"",IF(INDEX('Fleet dates'!$B$9:$B$1008,$I149-8)="","",INDEX('Fleet dates'!$B$9:$B$1008,$I149-8)))</x:f>
      </x:c>
      <x:c r="C149" s="51" t="str">
        <x:f>IF(141&gt;$H$4,"",IF(INDEX('Fleet dates'!$C$9:$C$1008,$I149-8)="","",INDEX('Fleet dates'!$C$9:$C$1008,$I149-8)))</x:f>
      </x:c>
      <x:c r="D149" s="51" t="str">
        <x:f>IF(141&gt;$H$4,"",IF(INDEX('Fleet dates'!$D$9:$D$1008,$I149-8)="","",INDEX('Fleet dates'!$D$9:$D$1008,$I149-8)))</x:f>
      </x:c>
      <x:c r="E149" s="51" t="str">
        <x:f>IF(141&gt;$H$4,"",IF(INDEX('Fleet dates'!$E$9:$E$1008,$I149-8)="","",INDEX('Fleet dates'!$E$9:$E$1008,$I149-8)))</x:f>
      </x:c>
      <x:c r="F149" s="51" t="str">
        <x:f>IF(141&gt;$H$4,"",IF(INDEX('Fleet dates'!$F$9:$F$1008,$I149-8)="","",INDEX('Fleet dates'!$F$9:$F$1008,$I149-8)))</x:f>
      </x:c>
      <x:c r="G149" s="50" t="str">
        <x:f>IF(141&gt;$H$4,"",IF(INDEX('Fleet dates'!$G$9:$G$1008,$I149-8)="","",INDEX('Fleet dates'!$G$9:$G$1008,$I149-8)))</x:f>
      </x:c>
      <x:c r="H149" s="50" t="str">
        <x:f>IF(141&gt;$H$4,"",IF(INDEX('Fleet dates'!$I$9:$I$1008,$I149-8)="","",INDEX('Fleet dates'!$I$9:$I$1008,$I149-8)))</x:f>
      </x:c>
      <x:c r="I149" t="str">
        <x:f>IF(141&gt;$H$4,"",MATCH(141,'Fleet dates'!$J$9:$J$1008,0)+8)</x:f>
      </x:c>
    </x:row>
    <x:row r="150" ht="36" customHeight="1">
      <x:c r="A150" s="50" t="str">
        <x:f>IF(142&gt;$H$4,"",IF(INDEX('Fleet dates'!$A$9:$A$1008,$I150-8)="","",INDEX('Fleet dates'!$A$9:$A$1008,$I150-8)))</x:f>
      </x:c>
      <x:c r="B150" s="50" t="str">
        <x:f>IF(142&gt;$H$4,"",IF(INDEX('Fleet dates'!$B$9:$B$1008,$I150-8)="","",INDEX('Fleet dates'!$B$9:$B$1008,$I150-8)))</x:f>
      </x:c>
      <x:c r="C150" s="51" t="str">
        <x:f>IF(142&gt;$H$4,"",IF(INDEX('Fleet dates'!$C$9:$C$1008,$I150-8)="","",INDEX('Fleet dates'!$C$9:$C$1008,$I150-8)))</x:f>
      </x:c>
      <x:c r="D150" s="51" t="str">
        <x:f>IF(142&gt;$H$4,"",IF(INDEX('Fleet dates'!$D$9:$D$1008,$I150-8)="","",INDEX('Fleet dates'!$D$9:$D$1008,$I150-8)))</x:f>
      </x:c>
      <x:c r="E150" s="51" t="str">
        <x:f>IF(142&gt;$H$4,"",IF(INDEX('Fleet dates'!$E$9:$E$1008,$I150-8)="","",INDEX('Fleet dates'!$E$9:$E$1008,$I150-8)))</x:f>
      </x:c>
      <x:c r="F150" s="51" t="str">
        <x:f>IF(142&gt;$H$4,"",IF(INDEX('Fleet dates'!$F$9:$F$1008,$I150-8)="","",INDEX('Fleet dates'!$F$9:$F$1008,$I150-8)))</x:f>
      </x:c>
      <x:c r="G150" s="50" t="str">
        <x:f>IF(142&gt;$H$4,"",IF(INDEX('Fleet dates'!$G$9:$G$1008,$I150-8)="","",INDEX('Fleet dates'!$G$9:$G$1008,$I150-8)))</x:f>
      </x:c>
      <x:c r="H150" s="50" t="str">
        <x:f>IF(142&gt;$H$4,"",IF(INDEX('Fleet dates'!$I$9:$I$1008,$I150-8)="","",INDEX('Fleet dates'!$I$9:$I$1008,$I150-8)))</x:f>
      </x:c>
      <x:c r="I150" t="str">
        <x:f>IF(142&gt;$H$4,"",MATCH(142,'Fleet dates'!$J$9:$J$1008,0)+8)</x:f>
      </x:c>
    </x:row>
    <x:row r="151" ht="36" customHeight="1">
      <x:c r="A151" s="50" t="str">
        <x:f>IF(143&gt;$H$4,"",IF(INDEX('Fleet dates'!$A$9:$A$1008,$I151-8)="","",INDEX('Fleet dates'!$A$9:$A$1008,$I151-8)))</x:f>
      </x:c>
      <x:c r="B151" s="50" t="str">
        <x:f>IF(143&gt;$H$4,"",IF(INDEX('Fleet dates'!$B$9:$B$1008,$I151-8)="","",INDEX('Fleet dates'!$B$9:$B$1008,$I151-8)))</x:f>
      </x:c>
      <x:c r="C151" s="51" t="str">
        <x:f>IF(143&gt;$H$4,"",IF(INDEX('Fleet dates'!$C$9:$C$1008,$I151-8)="","",INDEX('Fleet dates'!$C$9:$C$1008,$I151-8)))</x:f>
      </x:c>
      <x:c r="D151" s="51" t="str">
        <x:f>IF(143&gt;$H$4,"",IF(INDEX('Fleet dates'!$D$9:$D$1008,$I151-8)="","",INDEX('Fleet dates'!$D$9:$D$1008,$I151-8)))</x:f>
      </x:c>
      <x:c r="E151" s="51" t="str">
        <x:f>IF(143&gt;$H$4,"",IF(INDEX('Fleet dates'!$E$9:$E$1008,$I151-8)="","",INDEX('Fleet dates'!$E$9:$E$1008,$I151-8)))</x:f>
      </x:c>
      <x:c r="F151" s="51" t="str">
        <x:f>IF(143&gt;$H$4,"",IF(INDEX('Fleet dates'!$F$9:$F$1008,$I151-8)="","",INDEX('Fleet dates'!$F$9:$F$1008,$I151-8)))</x:f>
      </x:c>
      <x:c r="G151" s="50" t="str">
        <x:f>IF(143&gt;$H$4,"",IF(INDEX('Fleet dates'!$G$9:$G$1008,$I151-8)="","",INDEX('Fleet dates'!$G$9:$G$1008,$I151-8)))</x:f>
      </x:c>
      <x:c r="H151" s="50" t="str">
        <x:f>IF(143&gt;$H$4,"",IF(INDEX('Fleet dates'!$I$9:$I$1008,$I151-8)="","",INDEX('Fleet dates'!$I$9:$I$1008,$I151-8)))</x:f>
      </x:c>
      <x:c r="I151" t="str">
        <x:f>IF(143&gt;$H$4,"",MATCH(143,'Fleet dates'!$J$9:$J$1008,0)+8)</x:f>
      </x:c>
    </x:row>
    <x:row r="152" ht="36" customHeight="1">
      <x:c r="A152" s="50" t="str">
        <x:f>IF(144&gt;$H$4,"",IF(INDEX('Fleet dates'!$A$9:$A$1008,$I152-8)="","",INDEX('Fleet dates'!$A$9:$A$1008,$I152-8)))</x:f>
      </x:c>
      <x:c r="B152" s="50" t="str">
        <x:f>IF(144&gt;$H$4,"",IF(INDEX('Fleet dates'!$B$9:$B$1008,$I152-8)="","",INDEX('Fleet dates'!$B$9:$B$1008,$I152-8)))</x:f>
      </x:c>
      <x:c r="C152" s="51" t="str">
        <x:f>IF(144&gt;$H$4,"",IF(INDEX('Fleet dates'!$C$9:$C$1008,$I152-8)="","",INDEX('Fleet dates'!$C$9:$C$1008,$I152-8)))</x:f>
      </x:c>
      <x:c r="D152" s="51" t="str">
        <x:f>IF(144&gt;$H$4,"",IF(INDEX('Fleet dates'!$D$9:$D$1008,$I152-8)="","",INDEX('Fleet dates'!$D$9:$D$1008,$I152-8)))</x:f>
      </x:c>
      <x:c r="E152" s="51" t="str">
        <x:f>IF(144&gt;$H$4,"",IF(INDEX('Fleet dates'!$E$9:$E$1008,$I152-8)="","",INDEX('Fleet dates'!$E$9:$E$1008,$I152-8)))</x:f>
      </x:c>
      <x:c r="F152" s="51" t="str">
        <x:f>IF(144&gt;$H$4,"",IF(INDEX('Fleet dates'!$F$9:$F$1008,$I152-8)="","",INDEX('Fleet dates'!$F$9:$F$1008,$I152-8)))</x:f>
      </x:c>
      <x:c r="G152" s="50" t="str">
        <x:f>IF(144&gt;$H$4,"",IF(INDEX('Fleet dates'!$G$9:$G$1008,$I152-8)="","",INDEX('Fleet dates'!$G$9:$G$1008,$I152-8)))</x:f>
      </x:c>
      <x:c r="H152" s="50" t="str">
        <x:f>IF(144&gt;$H$4,"",IF(INDEX('Fleet dates'!$I$9:$I$1008,$I152-8)="","",INDEX('Fleet dates'!$I$9:$I$1008,$I152-8)))</x:f>
      </x:c>
      <x:c r="I152" t="str">
        <x:f>IF(144&gt;$H$4,"",MATCH(144,'Fleet dates'!$J$9:$J$1008,0)+8)</x:f>
      </x:c>
    </x:row>
    <x:row r="153" ht="36" customHeight="1">
      <x:c r="A153" s="50" t="str">
        <x:f>IF(145&gt;$H$4,"",IF(INDEX('Fleet dates'!$A$9:$A$1008,$I153-8)="","",INDEX('Fleet dates'!$A$9:$A$1008,$I153-8)))</x:f>
      </x:c>
      <x:c r="B153" s="50" t="str">
        <x:f>IF(145&gt;$H$4,"",IF(INDEX('Fleet dates'!$B$9:$B$1008,$I153-8)="","",INDEX('Fleet dates'!$B$9:$B$1008,$I153-8)))</x:f>
      </x:c>
      <x:c r="C153" s="51" t="str">
        <x:f>IF(145&gt;$H$4,"",IF(INDEX('Fleet dates'!$C$9:$C$1008,$I153-8)="","",INDEX('Fleet dates'!$C$9:$C$1008,$I153-8)))</x:f>
      </x:c>
      <x:c r="D153" s="51" t="str">
        <x:f>IF(145&gt;$H$4,"",IF(INDEX('Fleet dates'!$D$9:$D$1008,$I153-8)="","",INDEX('Fleet dates'!$D$9:$D$1008,$I153-8)))</x:f>
      </x:c>
      <x:c r="E153" s="51" t="str">
        <x:f>IF(145&gt;$H$4,"",IF(INDEX('Fleet dates'!$E$9:$E$1008,$I153-8)="","",INDEX('Fleet dates'!$E$9:$E$1008,$I153-8)))</x:f>
      </x:c>
      <x:c r="F153" s="51" t="str">
        <x:f>IF(145&gt;$H$4,"",IF(INDEX('Fleet dates'!$F$9:$F$1008,$I153-8)="","",INDEX('Fleet dates'!$F$9:$F$1008,$I153-8)))</x:f>
      </x:c>
      <x:c r="G153" s="50" t="str">
        <x:f>IF(145&gt;$H$4,"",IF(INDEX('Fleet dates'!$G$9:$G$1008,$I153-8)="","",INDEX('Fleet dates'!$G$9:$G$1008,$I153-8)))</x:f>
      </x:c>
      <x:c r="H153" s="50" t="str">
        <x:f>IF(145&gt;$H$4,"",IF(INDEX('Fleet dates'!$I$9:$I$1008,$I153-8)="","",INDEX('Fleet dates'!$I$9:$I$1008,$I153-8)))</x:f>
      </x:c>
      <x:c r="I153" t="str">
        <x:f>IF(145&gt;$H$4,"",MATCH(145,'Fleet dates'!$J$9:$J$1008,0)+8)</x:f>
      </x:c>
    </x:row>
    <x:row r="154" ht="36" customHeight="1">
      <x:c r="A154" s="50" t="str">
        <x:f>IF(146&gt;$H$4,"",IF(INDEX('Fleet dates'!$A$9:$A$1008,$I154-8)="","",INDEX('Fleet dates'!$A$9:$A$1008,$I154-8)))</x:f>
      </x:c>
      <x:c r="B154" s="50" t="str">
        <x:f>IF(146&gt;$H$4,"",IF(INDEX('Fleet dates'!$B$9:$B$1008,$I154-8)="","",INDEX('Fleet dates'!$B$9:$B$1008,$I154-8)))</x:f>
      </x:c>
      <x:c r="C154" s="51" t="str">
        <x:f>IF(146&gt;$H$4,"",IF(INDEX('Fleet dates'!$C$9:$C$1008,$I154-8)="","",INDEX('Fleet dates'!$C$9:$C$1008,$I154-8)))</x:f>
      </x:c>
      <x:c r="D154" s="51" t="str">
        <x:f>IF(146&gt;$H$4,"",IF(INDEX('Fleet dates'!$D$9:$D$1008,$I154-8)="","",INDEX('Fleet dates'!$D$9:$D$1008,$I154-8)))</x:f>
      </x:c>
      <x:c r="E154" s="51" t="str">
        <x:f>IF(146&gt;$H$4,"",IF(INDEX('Fleet dates'!$E$9:$E$1008,$I154-8)="","",INDEX('Fleet dates'!$E$9:$E$1008,$I154-8)))</x:f>
      </x:c>
      <x:c r="F154" s="51" t="str">
        <x:f>IF(146&gt;$H$4,"",IF(INDEX('Fleet dates'!$F$9:$F$1008,$I154-8)="","",INDEX('Fleet dates'!$F$9:$F$1008,$I154-8)))</x:f>
      </x:c>
      <x:c r="G154" s="50" t="str">
        <x:f>IF(146&gt;$H$4,"",IF(INDEX('Fleet dates'!$G$9:$G$1008,$I154-8)="","",INDEX('Fleet dates'!$G$9:$G$1008,$I154-8)))</x:f>
      </x:c>
      <x:c r="H154" s="50" t="str">
        <x:f>IF(146&gt;$H$4,"",IF(INDEX('Fleet dates'!$I$9:$I$1008,$I154-8)="","",INDEX('Fleet dates'!$I$9:$I$1008,$I154-8)))</x:f>
      </x:c>
      <x:c r="I154" t="str">
        <x:f>IF(146&gt;$H$4,"",MATCH(146,'Fleet dates'!$J$9:$J$1008,0)+8)</x:f>
      </x:c>
    </x:row>
    <x:row r="155" ht="36" customHeight="1">
      <x:c r="A155" s="50" t="str">
        <x:f>IF(147&gt;$H$4,"",IF(INDEX('Fleet dates'!$A$9:$A$1008,$I155-8)="","",INDEX('Fleet dates'!$A$9:$A$1008,$I155-8)))</x:f>
      </x:c>
      <x:c r="B155" s="50" t="str">
        <x:f>IF(147&gt;$H$4,"",IF(INDEX('Fleet dates'!$B$9:$B$1008,$I155-8)="","",INDEX('Fleet dates'!$B$9:$B$1008,$I155-8)))</x:f>
      </x:c>
      <x:c r="C155" s="51" t="str">
        <x:f>IF(147&gt;$H$4,"",IF(INDEX('Fleet dates'!$C$9:$C$1008,$I155-8)="","",INDEX('Fleet dates'!$C$9:$C$1008,$I155-8)))</x:f>
      </x:c>
      <x:c r="D155" s="51" t="str">
        <x:f>IF(147&gt;$H$4,"",IF(INDEX('Fleet dates'!$D$9:$D$1008,$I155-8)="","",INDEX('Fleet dates'!$D$9:$D$1008,$I155-8)))</x:f>
      </x:c>
      <x:c r="E155" s="51" t="str">
        <x:f>IF(147&gt;$H$4,"",IF(INDEX('Fleet dates'!$E$9:$E$1008,$I155-8)="","",INDEX('Fleet dates'!$E$9:$E$1008,$I155-8)))</x:f>
      </x:c>
      <x:c r="F155" s="51" t="str">
        <x:f>IF(147&gt;$H$4,"",IF(INDEX('Fleet dates'!$F$9:$F$1008,$I155-8)="","",INDEX('Fleet dates'!$F$9:$F$1008,$I155-8)))</x:f>
      </x:c>
      <x:c r="G155" s="50" t="str">
        <x:f>IF(147&gt;$H$4,"",IF(INDEX('Fleet dates'!$G$9:$G$1008,$I155-8)="","",INDEX('Fleet dates'!$G$9:$G$1008,$I155-8)))</x:f>
      </x:c>
      <x:c r="H155" s="50" t="str">
        <x:f>IF(147&gt;$H$4,"",IF(INDEX('Fleet dates'!$I$9:$I$1008,$I155-8)="","",INDEX('Fleet dates'!$I$9:$I$1008,$I155-8)))</x:f>
      </x:c>
      <x:c r="I155" t="str">
        <x:f>IF(147&gt;$H$4,"",MATCH(147,'Fleet dates'!$J$9:$J$1008,0)+8)</x:f>
      </x:c>
    </x:row>
    <x:row r="156" ht="36" customHeight="1">
      <x:c r="A156" s="50" t="str">
        <x:f>IF(148&gt;$H$4,"",IF(INDEX('Fleet dates'!$A$9:$A$1008,$I156-8)="","",INDEX('Fleet dates'!$A$9:$A$1008,$I156-8)))</x:f>
      </x:c>
      <x:c r="B156" s="50" t="str">
        <x:f>IF(148&gt;$H$4,"",IF(INDEX('Fleet dates'!$B$9:$B$1008,$I156-8)="","",INDEX('Fleet dates'!$B$9:$B$1008,$I156-8)))</x:f>
      </x:c>
      <x:c r="C156" s="51" t="str">
        <x:f>IF(148&gt;$H$4,"",IF(INDEX('Fleet dates'!$C$9:$C$1008,$I156-8)="","",INDEX('Fleet dates'!$C$9:$C$1008,$I156-8)))</x:f>
      </x:c>
      <x:c r="D156" s="51" t="str">
        <x:f>IF(148&gt;$H$4,"",IF(INDEX('Fleet dates'!$D$9:$D$1008,$I156-8)="","",INDEX('Fleet dates'!$D$9:$D$1008,$I156-8)))</x:f>
      </x:c>
      <x:c r="E156" s="51" t="str">
        <x:f>IF(148&gt;$H$4,"",IF(INDEX('Fleet dates'!$E$9:$E$1008,$I156-8)="","",INDEX('Fleet dates'!$E$9:$E$1008,$I156-8)))</x:f>
      </x:c>
      <x:c r="F156" s="51" t="str">
        <x:f>IF(148&gt;$H$4,"",IF(INDEX('Fleet dates'!$F$9:$F$1008,$I156-8)="","",INDEX('Fleet dates'!$F$9:$F$1008,$I156-8)))</x:f>
      </x:c>
      <x:c r="G156" s="50" t="str">
        <x:f>IF(148&gt;$H$4,"",IF(INDEX('Fleet dates'!$G$9:$G$1008,$I156-8)="","",INDEX('Fleet dates'!$G$9:$G$1008,$I156-8)))</x:f>
      </x:c>
      <x:c r="H156" s="50" t="str">
        <x:f>IF(148&gt;$H$4,"",IF(INDEX('Fleet dates'!$I$9:$I$1008,$I156-8)="","",INDEX('Fleet dates'!$I$9:$I$1008,$I156-8)))</x:f>
      </x:c>
      <x:c r="I156" t="str">
        <x:f>IF(148&gt;$H$4,"",MATCH(148,'Fleet dates'!$J$9:$J$1008,0)+8)</x:f>
      </x:c>
    </x:row>
    <x:row r="157" ht="36" customHeight="1">
      <x:c r="A157" s="50" t="str">
        <x:f>IF(149&gt;$H$4,"",IF(INDEX('Fleet dates'!$A$9:$A$1008,$I157-8)="","",INDEX('Fleet dates'!$A$9:$A$1008,$I157-8)))</x:f>
      </x:c>
      <x:c r="B157" s="50" t="str">
        <x:f>IF(149&gt;$H$4,"",IF(INDEX('Fleet dates'!$B$9:$B$1008,$I157-8)="","",INDEX('Fleet dates'!$B$9:$B$1008,$I157-8)))</x:f>
      </x:c>
      <x:c r="C157" s="51" t="str">
        <x:f>IF(149&gt;$H$4,"",IF(INDEX('Fleet dates'!$C$9:$C$1008,$I157-8)="","",INDEX('Fleet dates'!$C$9:$C$1008,$I157-8)))</x:f>
      </x:c>
      <x:c r="D157" s="51" t="str">
        <x:f>IF(149&gt;$H$4,"",IF(INDEX('Fleet dates'!$D$9:$D$1008,$I157-8)="","",INDEX('Fleet dates'!$D$9:$D$1008,$I157-8)))</x:f>
      </x:c>
      <x:c r="E157" s="51" t="str">
        <x:f>IF(149&gt;$H$4,"",IF(INDEX('Fleet dates'!$E$9:$E$1008,$I157-8)="","",INDEX('Fleet dates'!$E$9:$E$1008,$I157-8)))</x:f>
      </x:c>
      <x:c r="F157" s="51" t="str">
        <x:f>IF(149&gt;$H$4,"",IF(INDEX('Fleet dates'!$F$9:$F$1008,$I157-8)="","",INDEX('Fleet dates'!$F$9:$F$1008,$I157-8)))</x:f>
      </x:c>
      <x:c r="G157" s="50" t="str">
        <x:f>IF(149&gt;$H$4,"",IF(INDEX('Fleet dates'!$G$9:$G$1008,$I157-8)="","",INDEX('Fleet dates'!$G$9:$G$1008,$I157-8)))</x:f>
      </x:c>
      <x:c r="H157" s="50" t="str">
        <x:f>IF(149&gt;$H$4,"",IF(INDEX('Fleet dates'!$I$9:$I$1008,$I157-8)="","",INDEX('Fleet dates'!$I$9:$I$1008,$I157-8)))</x:f>
      </x:c>
      <x:c r="I157" t="str">
        <x:f>IF(149&gt;$H$4,"",MATCH(149,'Fleet dates'!$J$9:$J$1008,0)+8)</x:f>
      </x:c>
    </x:row>
    <x:row r="158" ht="36" customHeight="1">
      <x:c r="A158" s="50" t="str">
        <x:f>IF(150&gt;$H$4,"",IF(INDEX('Fleet dates'!$A$9:$A$1008,$I158-8)="","",INDEX('Fleet dates'!$A$9:$A$1008,$I158-8)))</x:f>
      </x:c>
      <x:c r="B158" s="50" t="str">
        <x:f>IF(150&gt;$H$4,"",IF(INDEX('Fleet dates'!$B$9:$B$1008,$I158-8)="","",INDEX('Fleet dates'!$B$9:$B$1008,$I158-8)))</x:f>
      </x:c>
      <x:c r="C158" s="51" t="str">
        <x:f>IF(150&gt;$H$4,"",IF(INDEX('Fleet dates'!$C$9:$C$1008,$I158-8)="","",INDEX('Fleet dates'!$C$9:$C$1008,$I158-8)))</x:f>
      </x:c>
      <x:c r="D158" s="51" t="str">
        <x:f>IF(150&gt;$H$4,"",IF(INDEX('Fleet dates'!$D$9:$D$1008,$I158-8)="","",INDEX('Fleet dates'!$D$9:$D$1008,$I158-8)))</x:f>
      </x:c>
      <x:c r="E158" s="51" t="str">
        <x:f>IF(150&gt;$H$4,"",IF(INDEX('Fleet dates'!$E$9:$E$1008,$I158-8)="","",INDEX('Fleet dates'!$E$9:$E$1008,$I158-8)))</x:f>
      </x:c>
      <x:c r="F158" s="51" t="str">
        <x:f>IF(150&gt;$H$4,"",IF(INDEX('Fleet dates'!$F$9:$F$1008,$I158-8)="","",INDEX('Fleet dates'!$F$9:$F$1008,$I158-8)))</x:f>
      </x:c>
      <x:c r="G158" s="50" t="str">
        <x:f>IF(150&gt;$H$4,"",IF(INDEX('Fleet dates'!$G$9:$G$1008,$I158-8)="","",INDEX('Fleet dates'!$G$9:$G$1008,$I158-8)))</x:f>
      </x:c>
      <x:c r="H158" s="50" t="str">
        <x:f>IF(150&gt;$H$4,"",IF(INDEX('Fleet dates'!$I$9:$I$1008,$I158-8)="","",INDEX('Fleet dates'!$I$9:$I$1008,$I158-8)))</x:f>
      </x:c>
      <x:c r="I158" t="str">
        <x:f>IF(150&gt;$H$4,"",MATCH(150,'Fleet dates'!$J$9:$J$1008,0)+8)</x:f>
      </x:c>
    </x:row>
    <x:row r="159" ht="36" customHeight="1">
      <x:c r="A159" s="50" t="str">
        <x:f>IF(151&gt;$H$4,"",IF(INDEX('Fleet dates'!$A$9:$A$1008,$I159-8)="","",INDEX('Fleet dates'!$A$9:$A$1008,$I159-8)))</x:f>
      </x:c>
      <x:c r="B159" s="50" t="str">
        <x:f>IF(151&gt;$H$4,"",IF(INDEX('Fleet dates'!$B$9:$B$1008,$I159-8)="","",INDEX('Fleet dates'!$B$9:$B$1008,$I159-8)))</x:f>
      </x:c>
      <x:c r="C159" s="51" t="str">
        <x:f>IF(151&gt;$H$4,"",IF(INDEX('Fleet dates'!$C$9:$C$1008,$I159-8)="","",INDEX('Fleet dates'!$C$9:$C$1008,$I159-8)))</x:f>
      </x:c>
      <x:c r="D159" s="51" t="str">
        <x:f>IF(151&gt;$H$4,"",IF(INDEX('Fleet dates'!$D$9:$D$1008,$I159-8)="","",INDEX('Fleet dates'!$D$9:$D$1008,$I159-8)))</x:f>
      </x:c>
      <x:c r="E159" s="51" t="str">
        <x:f>IF(151&gt;$H$4,"",IF(INDEX('Fleet dates'!$E$9:$E$1008,$I159-8)="","",INDEX('Fleet dates'!$E$9:$E$1008,$I159-8)))</x:f>
      </x:c>
      <x:c r="F159" s="51" t="str">
        <x:f>IF(151&gt;$H$4,"",IF(INDEX('Fleet dates'!$F$9:$F$1008,$I159-8)="","",INDEX('Fleet dates'!$F$9:$F$1008,$I159-8)))</x:f>
      </x:c>
      <x:c r="G159" s="50" t="str">
        <x:f>IF(151&gt;$H$4,"",IF(INDEX('Fleet dates'!$G$9:$G$1008,$I159-8)="","",INDEX('Fleet dates'!$G$9:$G$1008,$I159-8)))</x:f>
      </x:c>
      <x:c r="H159" s="50" t="str">
        <x:f>IF(151&gt;$H$4,"",IF(INDEX('Fleet dates'!$I$9:$I$1008,$I159-8)="","",INDEX('Fleet dates'!$I$9:$I$1008,$I159-8)))</x:f>
      </x:c>
      <x:c r="I159" t="str">
        <x:f>IF(151&gt;$H$4,"",MATCH(151,'Fleet dates'!$J$9:$J$1008,0)+8)</x:f>
      </x:c>
    </x:row>
    <x:row r="160" ht="36" customHeight="1">
      <x:c r="A160" s="50" t="str">
        <x:f>IF(152&gt;$H$4,"",IF(INDEX('Fleet dates'!$A$9:$A$1008,$I160-8)="","",INDEX('Fleet dates'!$A$9:$A$1008,$I160-8)))</x:f>
      </x:c>
      <x:c r="B160" s="50" t="str">
        <x:f>IF(152&gt;$H$4,"",IF(INDEX('Fleet dates'!$B$9:$B$1008,$I160-8)="","",INDEX('Fleet dates'!$B$9:$B$1008,$I160-8)))</x:f>
      </x:c>
      <x:c r="C160" s="51" t="str">
        <x:f>IF(152&gt;$H$4,"",IF(INDEX('Fleet dates'!$C$9:$C$1008,$I160-8)="","",INDEX('Fleet dates'!$C$9:$C$1008,$I160-8)))</x:f>
      </x:c>
      <x:c r="D160" s="51" t="str">
        <x:f>IF(152&gt;$H$4,"",IF(INDEX('Fleet dates'!$D$9:$D$1008,$I160-8)="","",INDEX('Fleet dates'!$D$9:$D$1008,$I160-8)))</x:f>
      </x:c>
      <x:c r="E160" s="51" t="str">
        <x:f>IF(152&gt;$H$4,"",IF(INDEX('Fleet dates'!$E$9:$E$1008,$I160-8)="","",INDEX('Fleet dates'!$E$9:$E$1008,$I160-8)))</x:f>
      </x:c>
      <x:c r="F160" s="51" t="str">
        <x:f>IF(152&gt;$H$4,"",IF(INDEX('Fleet dates'!$F$9:$F$1008,$I160-8)="","",INDEX('Fleet dates'!$F$9:$F$1008,$I160-8)))</x:f>
      </x:c>
      <x:c r="G160" s="50" t="str">
        <x:f>IF(152&gt;$H$4,"",IF(INDEX('Fleet dates'!$G$9:$G$1008,$I160-8)="","",INDEX('Fleet dates'!$G$9:$G$1008,$I160-8)))</x:f>
      </x:c>
      <x:c r="H160" s="50" t="str">
        <x:f>IF(152&gt;$H$4,"",IF(INDEX('Fleet dates'!$I$9:$I$1008,$I160-8)="","",INDEX('Fleet dates'!$I$9:$I$1008,$I160-8)))</x:f>
      </x:c>
      <x:c r="I160" t="str">
        <x:f>IF(152&gt;$H$4,"",MATCH(152,'Fleet dates'!$J$9:$J$1008,0)+8)</x:f>
      </x:c>
    </x:row>
    <x:row r="161" ht="36" customHeight="1">
      <x:c r="A161" s="50" t="str">
        <x:f>IF(153&gt;$H$4,"",IF(INDEX('Fleet dates'!$A$9:$A$1008,$I161-8)="","",INDEX('Fleet dates'!$A$9:$A$1008,$I161-8)))</x:f>
      </x:c>
      <x:c r="B161" s="50" t="str">
        <x:f>IF(153&gt;$H$4,"",IF(INDEX('Fleet dates'!$B$9:$B$1008,$I161-8)="","",INDEX('Fleet dates'!$B$9:$B$1008,$I161-8)))</x:f>
      </x:c>
      <x:c r="C161" s="51" t="str">
        <x:f>IF(153&gt;$H$4,"",IF(INDEX('Fleet dates'!$C$9:$C$1008,$I161-8)="","",INDEX('Fleet dates'!$C$9:$C$1008,$I161-8)))</x:f>
      </x:c>
      <x:c r="D161" s="51" t="str">
        <x:f>IF(153&gt;$H$4,"",IF(INDEX('Fleet dates'!$D$9:$D$1008,$I161-8)="","",INDEX('Fleet dates'!$D$9:$D$1008,$I161-8)))</x:f>
      </x:c>
      <x:c r="E161" s="51" t="str">
        <x:f>IF(153&gt;$H$4,"",IF(INDEX('Fleet dates'!$E$9:$E$1008,$I161-8)="","",INDEX('Fleet dates'!$E$9:$E$1008,$I161-8)))</x:f>
      </x:c>
      <x:c r="F161" s="51" t="str">
        <x:f>IF(153&gt;$H$4,"",IF(INDEX('Fleet dates'!$F$9:$F$1008,$I161-8)="","",INDEX('Fleet dates'!$F$9:$F$1008,$I161-8)))</x:f>
      </x:c>
      <x:c r="G161" s="50" t="str">
        <x:f>IF(153&gt;$H$4,"",IF(INDEX('Fleet dates'!$G$9:$G$1008,$I161-8)="","",INDEX('Fleet dates'!$G$9:$G$1008,$I161-8)))</x:f>
      </x:c>
      <x:c r="H161" s="50" t="str">
        <x:f>IF(153&gt;$H$4,"",IF(INDEX('Fleet dates'!$I$9:$I$1008,$I161-8)="","",INDEX('Fleet dates'!$I$9:$I$1008,$I161-8)))</x:f>
      </x:c>
      <x:c r="I161" t="str">
        <x:f>IF(153&gt;$H$4,"",MATCH(153,'Fleet dates'!$J$9:$J$1008,0)+8)</x:f>
      </x:c>
    </x:row>
    <x:row r="162" ht="36" customHeight="1">
      <x:c r="A162" s="50" t="str">
        <x:f>IF(154&gt;$H$4,"",IF(INDEX('Fleet dates'!$A$9:$A$1008,$I162-8)="","",INDEX('Fleet dates'!$A$9:$A$1008,$I162-8)))</x:f>
      </x:c>
      <x:c r="B162" s="50" t="str">
        <x:f>IF(154&gt;$H$4,"",IF(INDEX('Fleet dates'!$B$9:$B$1008,$I162-8)="","",INDEX('Fleet dates'!$B$9:$B$1008,$I162-8)))</x:f>
      </x:c>
      <x:c r="C162" s="51" t="str">
        <x:f>IF(154&gt;$H$4,"",IF(INDEX('Fleet dates'!$C$9:$C$1008,$I162-8)="","",INDEX('Fleet dates'!$C$9:$C$1008,$I162-8)))</x:f>
      </x:c>
      <x:c r="D162" s="51" t="str">
        <x:f>IF(154&gt;$H$4,"",IF(INDEX('Fleet dates'!$D$9:$D$1008,$I162-8)="","",INDEX('Fleet dates'!$D$9:$D$1008,$I162-8)))</x:f>
      </x:c>
      <x:c r="E162" s="51" t="str">
        <x:f>IF(154&gt;$H$4,"",IF(INDEX('Fleet dates'!$E$9:$E$1008,$I162-8)="","",INDEX('Fleet dates'!$E$9:$E$1008,$I162-8)))</x:f>
      </x:c>
      <x:c r="F162" s="51" t="str">
        <x:f>IF(154&gt;$H$4,"",IF(INDEX('Fleet dates'!$F$9:$F$1008,$I162-8)="","",INDEX('Fleet dates'!$F$9:$F$1008,$I162-8)))</x:f>
      </x:c>
      <x:c r="G162" s="50" t="str">
        <x:f>IF(154&gt;$H$4,"",IF(INDEX('Fleet dates'!$G$9:$G$1008,$I162-8)="","",INDEX('Fleet dates'!$G$9:$G$1008,$I162-8)))</x:f>
      </x:c>
      <x:c r="H162" s="50" t="str">
        <x:f>IF(154&gt;$H$4,"",IF(INDEX('Fleet dates'!$I$9:$I$1008,$I162-8)="","",INDEX('Fleet dates'!$I$9:$I$1008,$I162-8)))</x:f>
      </x:c>
      <x:c r="I162" t="str">
        <x:f>IF(154&gt;$H$4,"",MATCH(154,'Fleet dates'!$J$9:$J$1008,0)+8)</x:f>
      </x:c>
    </x:row>
    <x:row r="163" ht="36" customHeight="1">
      <x:c r="A163" s="50" t="str">
        <x:f>IF(155&gt;$H$4,"",IF(INDEX('Fleet dates'!$A$9:$A$1008,$I163-8)="","",INDEX('Fleet dates'!$A$9:$A$1008,$I163-8)))</x:f>
      </x:c>
      <x:c r="B163" s="50" t="str">
        <x:f>IF(155&gt;$H$4,"",IF(INDEX('Fleet dates'!$B$9:$B$1008,$I163-8)="","",INDEX('Fleet dates'!$B$9:$B$1008,$I163-8)))</x:f>
      </x:c>
      <x:c r="C163" s="51" t="str">
        <x:f>IF(155&gt;$H$4,"",IF(INDEX('Fleet dates'!$C$9:$C$1008,$I163-8)="","",INDEX('Fleet dates'!$C$9:$C$1008,$I163-8)))</x:f>
      </x:c>
      <x:c r="D163" s="51" t="str">
        <x:f>IF(155&gt;$H$4,"",IF(INDEX('Fleet dates'!$D$9:$D$1008,$I163-8)="","",INDEX('Fleet dates'!$D$9:$D$1008,$I163-8)))</x:f>
      </x:c>
      <x:c r="E163" s="51" t="str">
        <x:f>IF(155&gt;$H$4,"",IF(INDEX('Fleet dates'!$E$9:$E$1008,$I163-8)="","",INDEX('Fleet dates'!$E$9:$E$1008,$I163-8)))</x:f>
      </x:c>
      <x:c r="F163" s="51" t="str">
        <x:f>IF(155&gt;$H$4,"",IF(INDEX('Fleet dates'!$F$9:$F$1008,$I163-8)="","",INDEX('Fleet dates'!$F$9:$F$1008,$I163-8)))</x:f>
      </x:c>
      <x:c r="G163" s="50" t="str">
        <x:f>IF(155&gt;$H$4,"",IF(INDEX('Fleet dates'!$G$9:$G$1008,$I163-8)="","",INDEX('Fleet dates'!$G$9:$G$1008,$I163-8)))</x:f>
      </x:c>
      <x:c r="H163" s="50" t="str">
        <x:f>IF(155&gt;$H$4,"",IF(INDEX('Fleet dates'!$I$9:$I$1008,$I163-8)="","",INDEX('Fleet dates'!$I$9:$I$1008,$I163-8)))</x:f>
      </x:c>
      <x:c r="I163" t="str">
        <x:f>IF(155&gt;$H$4,"",MATCH(155,'Fleet dates'!$J$9:$J$1008,0)+8)</x:f>
      </x:c>
    </x:row>
    <x:row r="164" ht="36" customHeight="1">
      <x:c r="A164" s="50" t="str">
        <x:f>IF(156&gt;$H$4,"",IF(INDEX('Fleet dates'!$A$9:$A$1008,$I164-8)="","",INDEX('Fleet dates'!$A$9:$A$1008,$I164-8)))</x:f>
      </x:c>
      <x:c r="B164" s="50" t="str">
        <x:f>IF(156&gt;$H$4,"",IF(INDEX('Fleet dates'!$B$9:$B$1008,$I164-8)="","",INDEX('Fleet dates'!$B$9:$B$1008,$I164-8)))</x:f>
      </x:c>
      <x:c r="C164" s="51" t="str">
        <x:f>IF(156&gt;$H$4,"",IF(INDEX('Fleet dates'!$C$9:$C$1008,$I164-8)="","",INDEX('Fleet dates'!$C$9:$C$1008,$I164-8)))</x:f>
      </x:c>
      <x:c r="D164" s="51" t="str">
        <x:f>IF(156&gt;$H$4,"",IF(INDEX('Fleet dates'!$D$9:$D$1008,$I164-8)="","",INDEX('Fleet dates'!$D$9:$D$1008,$I164-8)))</x:f>
      </x:c>
      <x:c r="E164" s="51" t="str">
        <x:f>IF(156&gt;$H$4,"",IF(INDEX('Fleet dates'!$E$9:$E$1008,$I164-8)="","",INDEX('Fleet dates'!$E$9:$E$1008,$I164-8)))</x:f>
      </x:c>
      <x:c r="F164" s="51" t="str">
        <x:f>IF(156&gt;$H$4,"",IF(INDEX('Fleet dates'!$F$9:$F$1008,$I164-8)="","",INDEX('Fleet dates'!$F$9:$F$1008,$I164-8)))</x:f>
      </x:c>
      <x:c r="G164" s="50" t="str">
        <x:f>IF(156&gt;$H$4,"",IF(INDEX('Fleet dates'!$G$9:$G$1008,$I164-8)="","",INDEX('Fleet dates'!$G$9:$G$1008,$I164-8)))</x:f>
      </x:c>
      <x:c r="H164" s="50" t="str">
        <x:f>IF(156&gt;$H$4,"",IF(INDEX('Fleet dates'!$I$9:$I$1008,$I164-8)="","",INDEX('Fleet dates'!$I$9:$I$1008,$I164-8)))</x:f>
      </x:c>
      <x:c r="I164" t="str">
        <x:f>IF(156&gt;$H$4,"",MATCH(156,'Fleet dates'!$J$9:$J$1008,0)+8)</x:f>
      </x:c>
    </x:row>
    <x:row r="165" ht="36" customHeight="1">
      <x:c r="A165" s="50" t="str">
        <x:f>IF(157&gt;$H$4,"",IF(INDEX('Fleet dates'!$A$9:$A$1008,$I165-8)="","",INDEX('Fleet dates'!$A$9:$A$1008,$I165-8)))</x:f>
      </x:c>
      <x:c r="B165" s="50" t="str">
        <x:f>IF(157&gt;$H$4,"",IF(INDEX('Fleet dates'!$B$9:$B$1008,$I165-8)="","",INDEX('Fleet dates'!$B$9:$B$1008,$I165-8)))</x:f>
      </x:c>
      <x:c r="C165" s="51" t="str">
        <x:f>IF(157&gt;$H$4,"",IF(INDEX('Fleet dates'!$C$9:$C$1008,$I165-8)="","",INDEX('Fleet dates'!$C$9:$C$1008,$I165-8)))</x:f>
      </x:c>
      <x:c r="D165" s="51" t="str">
        <x:f>IF(157&gt;$H$4,"",IF(INDEX('Fleet dates'!$D$9:$D$1008,$I165-8)="","",INDEX('Fleet dates'!$D$9:$D$1008,$I165-8)))</x:f>
      </x:c>
      <x:c r="E165" s="51" t="str">
        <x:f>IF(157&gt;$H$4,"",IF(INDEX('Fleet dates'!$E$9:$E$1008,$I165-8)="","",INDEX('Fleet dates'!$E$9:$E$1008,$I165-8)))</x:f>
      </x:c>
      <x:c r="F165" s="51" t="str">
        <x:f>IF(157&gt;$H$4,"",IF(INDEX('Fleet dates'!$F$9:$F$1008,$I165-8)="","",INDEX('Fleet dates'!$F$9:$F$1008,$I165-8)))</x:f>
      </x:c>
      <x:c r="G165" s="50" t="str">
        <x:f>IF(157&gt;$H$4,"",IF(INDEX('Fleet dates'!$G$9:$G$1008,$I165-8)="","",INDEX('Fleet dates'!$G$9:$G$1008,$I165-8)))</x:f>
      </x:c>
      <x:c r="H165" s="50" t="str">
        <x:f>IF(157&gt;$H$4,"",IF(INDEX('Fleet dates'!$I$9:$I$1008,$I165-8)="","",INDEX('Fleet dates'!$I$9:$I$1008,$I165-8)))</x:f>
      </x:c>
      <x:c r="I165" t="str">
        <x:f>IF(157&gt;$H$4,"",MATCH(157,'Fleet dates'!$J$9:$J$1008,0)+8)</x:f>
      </x:c>
    </x:row>
    <x:row r="166" ht="36" customHeight="1">
      <x:c r="A166" s="50" t="str">
        <x:f>IF(158&gt;$H$4,"",IF(INDEX('Fleet dates'!$A$9:$A$1008,$I166-8)="","",INDEX('Fleet dates'!$A$9:$A$1008,$I166-8)))</x:f>
      </x:c>
      <x:c r="B166" s="50" t="str">
        <x:f>IF(158&gt;$H$4,"",IF(INDEX('Fleet dates'!$B$9:$B$1008,$I166-8)="","",INDEX('Fleet dates'!$B$9:$B$1008,$I166-8)))</x:f>
      </x:c>
      <x:c r="C166" s="51" t="str">
        <x:f>IF(158&gt;$H$4,"",IF(INDEX('Fleet dates'!$C$9:$C$1008,$I166-8)="","",INDEX('Fleet dates'!$C$9:$C$1008,$I166-8)))</x:f>
      </x:c>
      <x:c r="D166" s="51" t="str">
        <x:f>IF(158&gt;$H$4,"",IF(INDEX('Fleet dates'!$D$9:$D$1008,$I166-8)="","",INDEX('Fleet dates'!$D$9:$D$1008,$I166-8)))</x:f>
      </x:c>
      <x:c r="E166" s="51" t="str">
        <x:f>IF(158&gt;$H$4,"",IF(INDEX('Fleet dates'!$E$9:$E$1008,$I166-8)="","",INDEX('Fleet dates'!$E$9:$E$1008,$I166-8)))</x:f>
      </x:c>
      <x:c r="F166" s="51" t="str">
        <x:f>IF(158&gt;$H$4,"",IF(INDEX('Fleet dates'!$F$9:$F$1008,$I166-8)="","",INDEX('Fleet dates'!$F$9:$F$1008,$I166-8)))</x:f>
      </x:c>
      <x:c r="G166" s="50" t="str">
        <x:f>IF(158&gt;$H$4,"",IF(INDEX('Fleet dates'!$G$9:$G$1008,$I166-8)="","",INDEX('Fleet dates'!$G$9:$G$1008,$I166-8)))</x:f>
      </x:c>
      <x:c r="H166" s="50" t="str">
        <x:f>IF(158&gt;$H$4,"",IF(INDEX('Fleet dates'!$I$9:$I$1008,$I166-8)="","",INDEX('Fleet dates'!$I$9:$I$1008,$I166-8)))</x:f>
      </x:c>
      <x:c r="I166" t="str">
        <x:f>IF(158&gt;$H$4,"",MATCH(158,'Fleet dates'!$J$9:$J$1008,0)+8)</x:f>
      </x:c>
    </x:row>
    <x:row r="167" ht="36" customHeight="1">
      <x:c r="A167" s="50" t="str">
        <x:f>IF(159&gt;$H$4,"",IF(INDEX('Fleet dates'!$A$9:$A$1008,$I167-8)="","",INDEX('Fleet dates'!$A$9:$A$1008,$I167-8)))</x:f>
      </x:c>
      <x:c r="B167" s="50" t="str">
        <x:f>IF(159&gt;$H$4,"",IF(INDEX('Fleet dates'!$B$9:$B$1008,$I167-8)="","",INDEX('Fleet dates'!$B$9:$B$1008,$I167-8)))</x:f>
      </x:c>
      <x:c r="C167" s="51" t="str">
        <x:f>IF(159&gt;$H$4,"",IF(INDEX('Fleet dates'!$C$9:$C$1008,$I167-8)="","",INDEX('Fleet dates'!$C$9:$C$1008,$I167-8)))</x:f>
      </x:c>
      <x:c r="D167" s="51" t="str">
        <x:f>IF(159&gt;$H$4,"",IF(INDEX('Fleet dates'!$D$9:$D$1008,$I167-8)="","",INDEX('Fleet dates'!$D$9:$D$1008,$I167-8)))</x:f>
      </x:c>
      <x:c r="E167" s="51" t="str">
        <x:f>IF(159&gt;$H$4,"",IF(INDEX('Fleet dates'!$E$9:$E$1008,$I167-8)="","",INDEX('Fleet dates'!$E$9:$E$1008,$I167-8)))</x:f>
      </x:c>
      <x:c r="F167" s="51" t="str">
        <x:f>IF(159&gt;$H$4,"",IF(INDEX('Fleet dates'!$F$9:$F$1008,$I167-8)="","",INDEX('Fleet dates'!$F$9:$F$1008,$I167-8)))</x:f>
      </x:c>
      <x:c r="G167" s="50" t="str">
        <x:f>IF(159&gt;$H$4,"",IF(INDEX('Fleet dates'!$G$9:$G$1008,$I167-8)="","",INDEX('Fleet dates'!$G$9:$G$1008,$I167-8)))</x:f>
      </x:c>
      <x:c r="H167" s="50" t="str">
        <x:f>IF(159&gt;$H$4,"",IF(INDEX('Fleet dates'!$I$9:$I$1008,$I167-8)="","",INDEX('Fleet dates'!$I$9:$I$1008,$I167-8)))</x:f>
      </x:c>
      <x:c r="I167" t="str">
        <x:f>IF(159&gt;$H$4,"",MATCH(159,'Fleet dates'!$J$9:$J$1008,0)+8)</x:f>
      </x:c>
    </x:row>
    <x:row r="168" ht="36" customHeight="1">
      <x:c r="A168" s="50" t="str">
        <x:f>IF(160&gt;$H$4,"",IF(INDEX('Fleet dates'!$A$9:$A$1008,$I168-8)="","",INDEX('Fleet dates'!$A$9:$A$1008,$I168-8)))</x:f>
      </x:c>
      <x:c r="B168" s="50" t="str">
        <x:f>IF(160&gt;$H$4,"",IF(INDEX('Fleet dates'!$B$9:$B$1008,$I168-8)="","",INDEX('Fleet dates'!$B$9:$B$1008,$I168-8)))</x:f>
      </x:c>
      <x:c r="C168" s="51" t="str">
        <x:f>IF(160&gt;$H$4,"",IF(INDEX('Fleet dates'!$C$9:$C$1008,$I168-8)="","",INDEX('Fleet dates'!$C$9:$C$1008,$I168-8)))</x:f>
      </x:c>
      <x:c r="D168" s="51" t="str">
        <x:f>IF(160&gt;$H$4,"",IF(INDEX('Fleet dates'!$D$9:$D$1008,$I168-8)="","",INDEX('Fleet dates'!$D$9:$D$1008,$I168-8)))</x:f>
      </x:c>
      <x:c r="E168" s="51" t="str">
        <x:f>IF(160&gt;$H$4,"",IF(INDEX('Fleet dates'!$E$9:$E$1008,$I168-8)="","",INDEX('Fleet dates'!$E$9:$E$1008,$I168-8)))</x:f>
      </x:c>
      <x:c r="F168" s="51" t="str">
        <x:f>IF(160&gt;$H$4,"",IF(INDEX('Fleet dates'!$F$9:$F$1008,$I168-8)="","",INDEX('Fleet dates'!$F$9:$F$1008,$I168-8)))</x:f>
      </x:c>
      <x:c r="G168" s="50" t="str">
        <x:f>IF(160&gt;$H$4,"",IF(INDEX('Fleet dates'!$G$9:$G$1008,$I168-8)="","",INDEX('Fleet dates'!$G$9:$G$1008,$I168-8)))</x:f>
      </x:c>
      <x:c r="H168" s="50" t="str">
        <x:f>IF(160&gt;$H$4,"",IF(INDEX('Fleet dates'!$I$9:$I$1008,$I168-8)="","",INDEX('Fleet dates'!$I$9:$I$1008,$I168-8)))</x:f>
      </x:c>
      <x:c r="I168" t="str">
        <x:f>IF(160&gt;$H$4,"",MATCH(160,'Fleet dates'!$J$9:$J$1008,0)+8)</x:f>
      </x:c>
    </x:row>
    <x:row r="169" ht="36" customHeight="1">
      <x:c r="A169" s="50" t="str">
        <x:f>IF(161&gt;$H$4,"",IF(INDEX('Fleet dates'!$A$9:$A$1008,$I169-8)="","",INDEX('Fleet dates'!$A$9:$A$1008,$I169-8)))</x:f>
      </x:c>
      <x:c r="B169" s="50" t="str">
        <x:f>IF(161&gt;$H$4,"",IF(INDEX('Fleet dates'!$B$9:$B$1008,$I169-8)="","",INDEX('Fleet dates'!$B$9:$B$1008,$I169-8)))</x:f>
      </x:c>
      <x:c r="C169" s="51" t="str">
        <x:f>IF(161&gt;$H$4,"",IF(INDEX('Fleet dates'!$C$9:$C$1008,$I169-8)="","",INDEX('Fleet dates'!$C$9:$C$1008,$I169-8)))</x:f>
      </x:c>
      <x:c r="D169" s="51" t="str">
        <x:f>IF(161&gt;$H$4,"",IF(INDEX('Fleet dates'!$D$9:$D$1008,$I169-8)="","",INDEX('Fleet dates'!$D$9:$D$1008,$I169-8)))</x:f>
      </x:c>
      <x:c r="E169" s="51" t="str">
        <x:f>IF(161&gt;$H$4,"",IF(INDEX('Fleet dates'!$E$9:$E$1008,$I169-8)="","",INDEX('Fleet dates'!$E$9:$E$1008,$I169-8)))</x:f>
      </x:c>
      <x:c r="F169" s="51" t="str">
        <x:f>IF(161&gt;$H$4,"",IF(INDEX('Fleet dates'!$F$9:$F$1008,$I169-8)="","",INDEX('Fleet dates'!$F$9:$F$1008,$I169-8)))</x:f>
      </x:c>
      <x:c r="G169" s="50" t="str">
        <x:f>IF(161&gt;$H$4,"",IF(INDEX('Fleet dates'!$G$9:$G$1008,$I169-8)="","",INDEX('Fleet dates'!$G$9:$G$1008,$I169-8)))</x:f>
      </x:c>
      <x:c r="H169" s="50" t="str">
        <x:f>IF(161&gt;$H$4,"",IF(INDEX('Fleet dates'!$I$9:$I$1008,$I169-8)="","",INDEX('Fleet dates'!$I$9:$I$1008,$I169-8)))</x:f>
      </x:c>
      <x:c r="I169" t="str">
        <x:f>IF(161&gt;$H$4,"",MATCH(161,'Fleet dates'!$J$9:$J$1008,0)+8)</x:f>
      </x:c>
    </x:row>
    <x:row r="170" ht="36" customHeight="1">
      <x:c r="A170" s="50" t="str">
        <x:f>IF(162&gt;$H$4,"",IF(INDEX('Fleet dates'!$A$9:$A$1008,$I170-8)="","",INDEX('Fleet dates'!$A$9:$A$1008,$I170-8)))</x:f>
      </x:c>
      <x:c r="B170" s="50" t="str">
        <x:f>IF(162&gt;$H$4,"",IF(INDEX('Fleet dates'!$B$9:$B$1008,$I170-8)="","",INDEX('Fleet dates'!$B$9:$B$1008,$I170-8)))</x:f>
      </x:c>
      <x:c r="C170" s="51" t="str">
        <x:f>IF(162&gt;$H$4,"",IF(INDEX('Fleet dates'!$C$9:$C$1008,$I170-8)="","",INDEX('Fleet dates'!$C$9:$C$1008,$I170-8)))</x:f>
      </x:c>
      <x:c r="D170" s="51" t="str">
        <x:f>IF(162&gt;$H$4,"",IF(INDEX('Fleet dates'!$D$9:$D$1008,$I170-8)="","",INDEX('Fleet dates'!$D$9:$D$1008,$I170-8)))</x:f>
      </x:c>
      <x:c r="E170" s="51" t="str">
        <x:f>IF(162&gt;$H$4,"",IF(INDEX('Fleet dates'!$E$9:$E$1008,$I170-8)="","",INDEX('Fleet dates'!$E$9:$E$1008,$I170-8)))</x:f>
      </x:c>
      <x:c r="F170" s="51" t="str">
        <x:f>IF(162&gt;$H$4,"",IF(INDEX('Fleet dates'!$F$9:$F$1008,$I170-8)="","",INDEX('Fleet dates'!$F$9:$F$1008,$I170-8)))</x:f>
      </x:c>
      <x:c r="G170" s="50" t="str">
        <x:f>IF(162&gt;$H$4,"",IF(INDEX('Fleet dates'!$G$9:$G$1008,$I170-8)="","",INDEX('Fleet dates'!$G$9:$G$1008,$I170-8)))</x:f>
      </x:c>
      <x:c r="H170" s="50" t="str">
        <x:f>IF(162&gt;$H$4,"",IF(INDEX('Fleet dates'!$I$9:$I$1008,$I170-8)="","",INDEX('Fleet dates'!$I$9:$I$1008,$I170-8)))</x:f>
      </x:c>
      <x:c r="I170" t="str">
        <x:f>IF(162&gt;$H$4,"",MATCH(162,'Fleet dates'!$J$9:$J$1008,0)+8)</x:f>
      </x:c>
    </x:row>
    <x:row r="171" ht="36" customHeight="1">
      <x:c r="A171" s="50" t="str">
        <x:f>IF(163&gt;$H$4,"",IF(INDEX('Fleet dates'!$A$9:$A$1008,$I171-8)="","",INDEX('Fleet dates'!$A$9:$A$1008,$I171-8)))</x:f>
      </x:c>
      <x:c r="B171" s="50" t="str">
        <x:f>IF(163&gt;$H$4,"",IF(INDEX('Fleet dates'!$B$9:$B$1008,$I171-8)="","",INDEX('Fleet dates'!$B$9:$B$1008,$I171-8)))</x:f>
      </x:c>
      <x:c r="C171" s="51" t="str">
        <x:f>IF(163&gt;$H$4,"",IF(INDEX('Fleet dates'!$C$9:$C$1008,$I171-8)="","",INDEX('Fleet dates'!$C$9:$C$1008,$I171-8)))</x:f>
      </x:c>
      <x:c r="D171" s="51" t="str">
        <x:f>IF(163&gt;$H$4,"",IF(INDEX('Fleet dates'!$D$9:$D$1008,$I171-8)="","",INDEX('Fleet dates'!$D$9:$D$1008,$I171-8)))</x:f>
      </x:c>
      <x:c r="E171" s="51" t="str">
        <x:f>IF(163&gt;$H$4,"",IF(INDEX('Fleet dates'!$E$9:$E$1008,$I171-8)="","",INDEX('Fleet dates'!$E$9:$E$1008,$I171-8)))</x:f>
      </x:c>
      <x:c r="F171" s="51" t="str">
        <x:f>IF(163&gt;$H$4,"",IF(INDEX('Fleet dates'!$F$9:$F$1008,$I171-8)="","",INDEX('Fleet dates'!$F$9:$F$1008,$I171-8)))</x:f>
      </x:c>
      <x:c r="G171" s="50" t="str">
        <x:f>IF(163&gt;$H$4,"",IF(INDEX('Fleet dates'!$G$9:$G$1008,$I171-8)="","",INDEX('Fleet dates'!$G$9:$G$1008,$I171-8)))</x:f>
      </x:c>
      <x:c r="H171" s="50" t="str">
        <x:f>IF(163&gt;$H$4,"",IF(INDEX('Fleet dates'!$I$9:$I$1008,$I171-8)="","",INDEX('Fleet dates'!$I$9:$I$1008,$I171-8)))</x:f>
      </x:c>
      <x:c r="I171" t="str">
        <x:f>IF(163&gt;$H$4,"",MATCH(163,'Fleet dates'!$J$9:$J$1008,0)+8)</x:f>
      </x:c>
    </x:row>
    <x:row r="172" ht="36" customHeight="1">
      <x:c r="A172" s="50" t="str">
        <x:f>IF(164&gt;$H$4,"",IF(INDEX('Fleet dates'!$A$9:$A$1008,$I172-8)="","",INDEX('Fleet dates'!$A$9:$A$1008,$I172-8)))</x:f>
      </x:c>
      <x:c r="B172" s="50" t="str">
        <x:f>IF(164&gt;$H$4,"",IF(INDEX('Fleet dates'!$B$9:$B$1008,$I172-8)="","",INDEX('Fleet dates'!$B$9:$B$1008,$I172-8)))</x:f>
      </x:c>
      <x:c r="C172" s="51" t="str">
        <x:f>IF(164&gt;$H$4,"",IF(INDEX('Fleet dates'!$C$9:$C$1008,$I172-8)="","",INDEX('Fleet dates'!$C$9:$C$1008,$I172-8)))</x:f>
      </x:c>
      <x:c r="D172" s="51" t="str">
        <x:f>IF(164&gt;$H$4,"",IF(INDEX('Fleet dates'!$D$9:$D$1008,$I172-8)="","",INDEX('Fleet dates'!$D$9:$D$1008,$I172-8)))</x:f>
      </x:c>
      <x:c r="E172" s="51" t="str">
        <x:f>IF(164&gt;$H$4,"",IF(INDEX('Fleet dates'!$E$9:$E$1008,$I172-8)="","",INDEX('Fleet dates'!$E$9:$E$1008,$I172-8)))</x:f>
      </x:c>
      <x:c r="F172" s="51" t="str">
        <x:f>IF(164&gt;$H$4,"",IF(INDEX('Fleet dates'!$F$9:$F$1008,$I172-8)="","",INDEX('Fleet dates'!$F$9:$F$1008,$I172-8)))</x:f>
      </x:c>
      <x:c r="G172" s="50" t="str">
        <x:f>IF(164&gt;$H$4,"",IF(INDEX('Fleet dates'!$G$9:$G$1008,$I172-8)="","",INDEX('Fleet dates'!$G$9:$G$1008,$I172-8)))</x:f>
      </x:c>
      <x:c r="H172" s="50" t="str">
        <x:f>IF(164&gt;$H$4,"",IF(INDEX('Fleet dates'!$I$9:$I$1008,$I172-8)="","",INDEX('Fleet dates'!$I$9:$I$1008,$I172-8)))</x:f>
      </x:c>
      <x:c r="I172" t="str">
        <x:f>IF(164&gt;$H$4,"",MATCH(164,'Fleet dates'!$J$9:$J$1008,0)+8)</x:f>
      </x:c>
    </x:row>
    <x:row r="173" ht="36" customHeight="1">
      <x:c r="A173" s="50" t="str">
        <x:f>IF(165&gt;$H$4,"",IF(INDEX('Fleet dates'!$A$9:$A$1008,$I173-8)="","",INDEX('Fleet dates'!$A$9:$A$1008,$I173-8)))</x:f>
      </x:c>
      <x:c r="B173" s="50" t="str">
        <x:f>IF(165&gt;$H$4,"",IF(INDEX('Fleet dates'!$B$9:$B$1008,$I173-8)="","",INDEX('Fleet dates'!$B$9:$B$1008,$I173-8)))</x:f>
      </x:c>
      <x:c r="C173" s="51" t="str">
        <x:f>IF(165&gt;$H$4,"",IF(INDEX('Fleet dates'!$C$9:$C$1008,$I173-8)="","",INDEX('Fleet dates'!$C$9:$C$1008,$I173-8)))</x:f>
      </x:c>
      <x:c r="D173" s="51" t="str">
        <x:f>IF(165&gt;$H$4,"",IF(INDEX('Fleet dates'!$D$9:$D$1008,$I173-8)="","",INDEX('Fleet dates'!$D$9:$D$1008,$I173-8)))</x:f>
      </x:c>
      <x:c r="E173" s="51" t="str">
        <x:f>IF(165&gt;$H$4,"",IF(INDEX('Fleet dates'!$E$9:$E$1008,$I173-8)="","",INDEX('Fleet dates'!$E$9:$E$1008,$I173-8)))</x:f>
      </x:c>
      <x:c r="F173" s="51" t="str">
        <x:f>IF(165&gt;$H$4,"",IF(INDEX('Fleet dates'!$F$9:$F$1008,$I173-8)="","",INDEX('Fleet dates'!$F$9:$F$1008,$I173-8)))</x:f>
      </x:c>
      <x:c r="G173" s="50" t="str">
        <x:f>IF(165&gt;$H$4,"",IF(INDEX('Fleet dates'!$G$9:$G$1008,$I173-8)="","",INDEX('Fleet dates'!$G$9:$G$1008,$I173-8)))</x:f>
      </x:c>
      <x:c r="H173" s="50" t="str">
        <x:f>IF(165&gt;$H$4,"",IF(INDEX('Fleet dates'!$I$9:$I$1008,$I173-8)="","",INDEX('Fleet dates'!$I$9:$I$1008,$I173-8)))</x:f>
      </x:c>
      <x:c r="I173" t="str">
        <x:f>IF(165&gt;$H$4,"",MATCH(165,'Fleet dates'!$J$9:$J$1008,0)+8)</x:f>
      </x:c>
    </x:row>
    <x:row r="174" ht="36" customHeight="1">
      <x:c r="A174" s="50" t="str">
        <x:f>IF(166&gt;$H$4,"",IF(INDEX('Fleet dates'!$A$9:$A$1008,$I174-8)="","",INDEX('Fleet dates'!$A$9:$A$1008,$I174-8)))</x:f>
      </x:c>
      <x:c r="B174" s="50" t="str">
        <x:f>IF(166&gt;$H$4,"",IF(INDEX('Fleet dates'!$B$9:$B$1008,$I174-8)="","",INDEX('Fleet dates'!$B$9:$B$1008,$I174-8)))</x:f>
      </x:c>
      <x:c r="C174" s="51" t="str">
        <x:f>IF(166&gt;$H$4,"",IF(INDEX('Fleet dates'!$C$9:$C$1008,$I174-8)="","",INDEX('Fleet dates'!$C$9:$C$1008,$I174-8)))</x:f>
      </x:c>
      <x:c r="D174" s="51" t="str">
        <x:f>IF(166&gt;$H$4,"",IF(INDEX('Fleet dates'!$D$9:$D$1008,$I174-8)="","",INDEX('Fleet dates'!$D$9:$D$1008,$I174-8)))</x:f>
      </x:c>
      <x:c r="E174" s="51" t="str">
        <x:f>IF(166&gt;$H$4,"",IF(INDEX('Fleet dates'!$E$9:$E$1008,$I174-8)="","",INDEX('Fleet dates'!$E$9:$E$1008,$I174-8)))</x:f>
      </x:c>
      <x:c r="F174" s="51" t="str">
        <x:f>IF(166&gt;$H$4,"",IF(INDEX('Fleet dates'!$F$9:$F$1008,$I174-8)="","",INDEX('Fleet dates'!$F$9:$F$1008,$I174-8)))</x:f>
      </x:c>
      <x:c r="G174" s="50" t="str">
        <x:f>IF(166&gt;$H$4,"",IF(INDEX('Fleet dates'!$G$9:$G$1008,$I174-8)="","",INDEX('Fleet dates'!$G$9:$G$1008,$I174-8)))</x:f>
      </x:c>
      <x:c r="H174" s="50" t="str">
        <x:f>IF(166&gt;$H$4,"",IF(INDEX('Fleet dates'!$I$9:$I$1008,$I174-8)="","",INDEX('Fleet dates'!$I$9:$I$1008,$I174-8)))</x:f>
      </x:c>
      <x:c r="I174" t="str">
        <x:f>IF(166&gt;$H$4,"",MATCH(166,'Fleet dates'!$J$9:$J$1008,0)+8)</x:f>
      </x:c>
    </x:row>
    <x:row r="175" ht="36" customHeight="1">
      <x:c r="A175" s="50" t="str">
        <x:f>IF(167&gt;$H$4,"",IF(INDEX('Fleet dates'!$A$9:$A$1008,$I175-8)="","",INDEX('Fleet dates'!$A$9:$A$1008,$I175-8)))</x:f>
      </x:c>
      <x:c r="B175" s="50" t="str">
        <x:f>IF(167&gt;$H$4,"",IF(INDEX('Fleet dates'!$B$9:$B$1008,$I175-8)="","",INDEX('Fleet dates'!$B$9:$B$1008,$I175-8)))</x:f>
      </x:c>
      <x:c r="C175" s="51" t="str">
        <x:f>IF(167&gt;$H$4,"",IF(INDEX('Fleet dates'!$C$9:$C$1008,$I175-8)="","",INDEX('Fleet dates'!$C$9:$C$1008,$I175-8)))</x:f>
      </x:c>
      <x:c r="D175" s="51" t="str">
        <x:f>IF(167&gt;$H$4,"",IF(INDEX('Fleet dates'!$D$9:$D$1008,$I175-8)="","",INDEX('Fleet dates'!$D$9:$D$1008,$I175-8)))</x:f>
      </x:c>
      <x:c r="E175" s="51" t="str">
        <x:f>IF(167&gt;$H$4,"",IF(INDEX('Fleet dates'!$E$9:$E$1008,$I175-8)="","",INDEX('Fleet dates'!$E$9:$E$1008,$I175-8)))</x:f>
      </x:c>
      <x:c r="F175" s="51" t="str">
        <x:f>IF(167&gt;$H$4,"",IF(INDEX('Fleet dates'!$F$9:$F$1008,$I175-8)="","",INDEX('Fleet dates'!$F$9:$F$1008,$I175-8)))</x:f>
      </x:c>
      <x:c r="G175" s="50" t="str">
        <x:f>IF(167&gt;$H$4,"",IF(INDEX('Fleet dates'!$G$9:$G$1008,$I175-8)="","",INDEX('Fleet dates'!$G$9:$G$1008,$I175-8)))</x:f>
      </x:c>
      <x:c r="H175" s="50" t="str">
        <x:f>IF(167&gt;$H$4,"",IF(INDEX('Fleet dates'!$I$9:$I$1008,$I175-8)="","",INDEX('Fleet dates'!$I$9:$I$1008,$I175-8)))</x:f>
      </x:c>
      <x:c r="I175" t="str">
        <x:f>IF(167&gt;$H$4,"",MATCH(167,'Fleet dates'!$J$9:$J$1008,0)+8)</x:f>
      </x:c>
    </x:row>
    <x:row r="176" ht="36" customHeight="1">
      <x:c r="A176" s="50" t="str">
        <x:f>IF(168&gt;$H$4,"",IF(INDEX('Fleet dates'!$A$9:$A$1008,$I176-8)="","",INDEX('Fleet dates'!$A$9:$A$1008,$I176-8)))</x:f>
      </x:c>
      <x:c r="B176" s="50" t="str">
        <x:f>IF(168&gt;$H$4,"",IF(INDEX('Fleet dates'!$B$9:$B$1008,$I176-8)="","",INDEX('Fleet dates'!$B$9:$B$1008,$I176-8)))</x:f>
      </x:c>
      <x:c r="C176" s="51" t="str">
        <x:f>IF(168&gt;$H$4,"",IF(INDEX('Fleet dates'!$C$9:$C$1008,$I176-8)="","",INDEX('Fleet dates'!$C$9:$C$1008,$I176-8)))</x:f>
      </x:c>
      <x:c r="D176" s="51" t="str">
        <x:f>IF(168&gt;$H$4,"",IF(INDEX('Fleet dates'!$D$9:$D$1008,$I176-8)="","",INDEX('Fleet dates'!$D$9:$D$1008,$I176-8)))</x:f>
      </x:c>
      <x:c r="E176" s="51" t="str">
        <x:f>IF(168&gt;$H$4,"",IF(INDEX('Fleet dates'!$E$9:$E$1008,$I176-8)="","",INDEX('Fleet dates'!$E$9:$E$1008,$I176-8)))</x:f>
      </x:c>
      <x:c r="F176" s="51" t="str">
        <x:f>IF(168&gt;$H$4,"",IF(INDEX('Fleet dates'!$F$9:$F$1008,$I176-8)="","",INDEX('Fleet dates'!$F$9:$F$1008,$I176-8)))</x:f>
      </x:c>
      <x:c r="G176" s="50" t="str">
        <x:f>IF(168&gt;$H$4,"",IF(INDEX('Fleet dates'!$G$9:$G$1008,$I176-8)="","",INDEX('Fleet dates'!$G$9:$G$1008,$I176-8)))</x:f>
      </x:c>
      <x:c r="H176" s="50" t="str">
        <x:f>IF(168&gt;$H$4,"",IF(INDEX('Fleet dates'!$I$9:$I$1008,$I176-8)="","",INDEX('Fleet dates'!$I$9:$I$1008,$I176-8)))</x:f>
      </x:c>
      <x:c r="I176" t="str">
        <x:f>IF(168&gt;$H$4,"",MATCH(168,'Fleet dates'!$J$9:$J$1008,0)+8)</x:f>
      </x:c>
    </x:row>
    <x:row r="177" ht="36" customHeight="1">
      <x:c r="A177" s="50" t="str">
        <x:f>IF(169&gt;$H$4,"",IF(INDEX('Fleet dates'!$A$9:$A$1008,$I177-8)="","",INDEX('Fleet dates'!$A$9:$A$1008,$I177-8)))</x:f>
      </x:c>
      <x:c r="B177" s="50" t="str">
        <x:f>IF(169&gt;$H$4,"",IF(INDEX('Fleet dates'!$B$9:$B$1008,$I177-8)="","",INDEX('Fleet dates'!$B$9:$B$1008,$I177-8)))</x:f>
      </x:c>
      <x:c r="C177" s="51" t="str">
        <x:f>IF(169&gt;$H$4,"",IF(INDEX('Fleet dates'!$C$9:$C$1008,$I177-8)="","",INDEX('Fleet dates'!$C$9:$C$1008,$I177-8)))</x:f>
      </x:c>
      <x:c r="D177" s="51" t="str">
        <x:f>IF(169&gt;$H$4,"",IF(INDEX('Fleet dates'!$D$9:$D$1008,$I177-8)="","",INDEX('Fleet dates'!$D$9:$D$1008,$I177-8)))</x:f>
      </x:c>
      <x:c r="E177" s="51" t="str">
        <x:f>IF(169&gt;$H$4,"",IF(INDEX('Fleet dates'!$E$9:$E$1008,$I177-8)="","",INDEX('Fleet dates'!$E$9:$E$1008,$I177-8)))</x:f>
      </x:c>
      <x:c r="F177" s="51" t="str">
        <x:f>IF(169&gt;$H$4,"",IF(INDEX('Fleet dates'!$F$9:$F$1008,$I177-8)="","",INDEX('Fleet dates'!$F$9:$F$1008,$I177-8)))</x:f>
      </x:c>
      <x:c r="G177" s="50" t="str">
        <x:f>IF(169&gt;$H$4,"",IF(INDEX('Fleet dates'!$G$9:$G$1008,$I177-8)="","",INDEX('Fleet dates'!$G$9:$G$1008,$I177-8)))</x:f>
      </x:c>
      <x:c r="H177" s="50" t="str">
        <x:f>IF(169&gt;$H$4,"",IF(INDEX('Fleet dates'!$I$9:$I$1008,$I177-8)="","",INDEX('Fleet dates'!$I$9:$I$1008,$I177-8)))</x:f>
      </x:c>
      <x:c r="I177" t="str">
        <x:f>IF(169&gt;$H$4,"",MATCH(169,'Fleet dates'!$J$9:$J$1008,0)+8)</x:f>
      </x:c>
    </x:row>
    <x:row r="178" ht="36" customHeight="1">
      <x:c r="A178" s="50" t="str">
        <x:f>IF(170&gt;$H$4,"",IF(INDEX('Fleet dates'!$A$9:$A$1008,$I178-8)="","",INDEX('Fleet dates'!$A$9:$A$1008,$I178-8)))</x:f>
      </x:c>
      <x:c r="B178" s="50" t="str">
        <x:f>IF(170&gt;$H$4,"",IF(INDEX('Fleet dates'!$B$9:$B$1008,$I178-8)="","",INDEX('Fleet dates'!$B$9:$B$1008,$I178-8)))</x:f>
      </x:c>
      <x:c r="C178" s="51" t="str">
        <x:f>IF(170&gt;$H$4,"",IF(INDEX('Fleet dates'!$C$9:$C$1008,$I178-8)="","",INDEX('Fleet dates'!$C$9:$C$1008,$I178-8)))</x:f>
      </x:c>
      <x:c r="D178" s="51" t="str">
        <x:f>IF(170&gt;$H$4,"",IF(INDEX('Fleet dates'!$D$9:$D$1008,$I178-8)="","",INDEX('Fleet dates'!$D$9:$D$1008,$I178-8)))</x:f>
      </x:c>
      <x:c r="E178" s="51" t="str">
        <x:f>IF(170&gt;$H$4,"",IF(INDEX('Fleet dates'!$E$9:$E$1008,$I178-8)="","",INDEX('Fleet dates'!$E$9:$E$1008,$I178-8)))</x:f>
      </x:c>
      <x:c r="F178" s="51" t="str">
        <x:f>IF(170&gt;$H$4,"",IF(INDEX('Fleet dates'!$F$9:$F$1008,$I178-8)="","",INDEX('Fleet dates'!$F$9:$F$1008,$I178-8)))</x:f>
      </x:c>
      <x:c r="G178" s="50" t="str">
        <x:f>IF(170&gt;$H$4,"",IF(INDEX('Fleet dates'!$G$9:$G$1008,$I178-8)="","",INDEX('Fleet dates'!$G$9:$G$1008,$I178-8)))</x:f>
      </x:c>
      <x:c r="H178" s="50" t="str">
        <x:f>IF(170&gt;$H$4,"",IF(INDEX('Fleet dates'!$I$9:$I$1008,$I178-8)="","",INDEX('Fleet dates'!$I$9:$I$1008,$I178-8)))</x:f>
      </x:c>
      <x:c r="I178" t="str">
        <x:f>IF(170&gt;$H$4,"",MATCH(170,'Fleet dates'!$J$9:$J$1008,0)+8)</x:f>
      </x:c>
    </x:row>
    <x:row r="179" ht="36" customHeight="1">
      <x:c r="A179" s="50" t="str">
        <x:f>IF(171&gt;$H$4,"",IF(INDEX('Fleet dates'!$A$9:$A$1008,$I179-8)="","",INDEX('Fleet dates'!$A$9:$A$1008,$I179-8)))</x:f>
      </x:c>
      <x:c r="B179" s="50" t="str">
        <x:f>IF(171&gt;$H$4,"",IF(INDEX('Fleet dates'!$B$9:$B$1008,$I179-8)="","",INDEX('Fleet dates'!$B$9:$B$1008,$I179-8)))</x:f>
      </x:c>
      <x:c r="C179" s="51" t="str">
        <x:f>IF(171&gt;$H$4,"",IF(INDEX('Fleet dates'!$C$9:$C$1008,$I179-8)="","",INDEX('Fleet dates'!$C$9:$C$1008,$I179-8)))</x:f>
      </x:c>
      <x:c r="D179" s="51" t="str">
        <x:f>IF(171&gt;$H$4,"",IF(INDEX('Fleet dates'!$D$9:$D$1008,$I179-8)="","",INDEX('Fleet dates'!$D$9:$D$1008,$I179-8)))</x:f>
      </x:c>
      <x:c r="E179" s="51" t="str">
        <x:f>IF(171&gt;$H$4,"",IF(INDEX('Fleet dates'!$E$9:$E$1008,$I179-8)="","",INDEX('Fleet dates'!$E$9:$E$1008,$I179-8)))</x:f>
      </x:c>
      <x:c r="F179" s="51" t="str">
        <x:f>IF(171&gt;$H$4,"",IF(INDEX('Fleet dates'!$F$9:$F$1008,$I179-8)="","",INDEX('Fleet dates'!$F$9:$F$1008,$I179-8)))</x:f>
      </x:c>
      <x:c r="G179" s="50" t="str">
        <x:f>IF(171&gt;$H$4,"",IF(INDEX('Fleet dates'!$G$9:$G$1008,$I179-8)="","",INDEX('Fleet dates'!$G$9:$G$1008,$I179-8)))</x:f>
      </x:c>
      <x:c r="H179" s="50" t="str">
        <x:f>IF(171&gt;$H$4,"",IF(INDEX('Fleet dates'!$I$9:$I$1008,$I179-8)="","",INDEX('Fleet dates'!$I$9:$I$1008,$I179-8)))</x:f>
      </x:c>
      <x:c r="I179" t="str">
        <x:f>IF(171&gt;$H$4,"",MATCH(171,'Fleet dates'!$J$9:$J$1008,0)+8)</x:f>
      </x:c>
    </x:row>
    <x:row r="180" ht="36" customHeight="1">
      <x:c r="A180" s="50" t="str">
        <x:f>IF(172&gt;$H$4,"",IF(INDEX('Fleet dates'!$A$9:$A$1008,$I180-8)="","",INDEX('Fleet dates'!$A$9:$A$1008,$I180-8)))</x:f>
      </x:c>
      <x:c r="B180" s="50" t="str">
        <x:f>IF(172&gt;$H$4,"",IF(INDEX('Fleet dates'!$B$9:$B$1008,$I180-8)="","",INDEX('Fleet dates'!$B$9:$B$1008,$I180-8)))</x:f>
      </x:c>
      <x:c r="C180" s="51" t="str">
        <x:f>IF(172&gt;$H$4,"",IF(INDEX('Fleet dates'!$C$9:$C$1008,$I180-8)="","",INDEX('Fleet dates'!$C$9:$C$1008,$I180-8)))</x:f>
      </x:c>
      <x:c r="D180" s="51" t="str">
        <x:f>IF(172&gt;$H$4,"",IF(INDEX('Fleet dates'!$D$9:$D$1008,$I180-8)="","",INDEX('Fleet dates'!$D$9:$D$1008,$I180-8)))</x:f>
      </x:c>
      <x:c r="E180" s="51" t="str">
        <x:f>IF(172&gt;$H$4,"",IF(INDEX('Fleet dates'!$E$9:$E$1008,$I180-8)="","",INDEX('Fleet dates'!$E$9:$E$1008,$I180-8)))</x:f>
      </x:c>
      <x:c r="F180" s="51" t="str">
        <x:f>IF(172&gt;$H$4,"",IF(INDEX('Fleet dates'!$F$9:$F$1008,$I180-8)="","",INDEX('Fleet dates'!$F$9:$F$1008,$I180-8)))</x:f>
      </x:c>
      <x:c r="G180" s="50" t="str">
        <x:f>IF(172&gt;$H$4,"",IF(INDEX('Fleet dates'!$G$9:$G$1008,$I180-8)="","",INDEX('Fleet dates'!$G$9:$G$1008,$I180-8)))</x:f>
      </x:c>
      <x:c r="H180" s="50" t="str">
        <x:f>IF(172&gt;$H$4,"",IF(INDEX('Fleet dates'!$I$9:$I$1008,$I180-8)="","",INDEX('Fleet dates'!$I$9:$I$1008,$I180-8)))</x:f>
      </x:c>
      <x:c r="I180" t="str">
        <x:f>IF(172&gt;$H$4,"",MATCH(172,'Fleet dates'!$J$9:$J$1008,0)+8)</x:f>
      </x:c>
    </x:row>
    <x:row r="181" ht="36" customHeight="1">
      <x:c r="A181" s="50" t="str">
        <x:f>IF(173&gt;$H$4,"",IF(INDEX('Fleet dates'!$A$9:$A$1008,$I181-8)="","",INDEX('Fleet dates'!$A$9:$A$1008,$I181-8)))</x:f>
      </x:c>
      <x:c r="B181" s="50" t="str">
        <x:f>IF(173&gt;$H$4,"",IF(INDEX('Fleet dates'!$B$9:$B$1008,$I181-8)="","",INDEX('Fleet dates'!$B$9:$B$1008,$I181-8)))</x:f>
      </x:c>
      <x:c r="C181" s="51" t="str">
        <x:f>IF(173&gt;$H$4,"",IF(INDEX('Fleet dates'!$C$9:$C$1008,$I181-8)="","",INDEX('Fleet dates'!$C$9:$C$1008,$I181-8)))</x:f>
      </x:c>
      <x:c r="D181" s="51" t="str">
        <x:f>IF(173&gt;$H$4,"",IF(INDEX('Fleet dates'!$D$9:$D$1008,$I181-8)="","",INDEX('Fleet dates'!$D$9:$D$1008,$I181-8)))</x:f>
      </x:c>
      <x:c r="E181" s="51" t="str">
        <x:f>IF(173&gt;$H$4,"",IF(INDEX('Fleet dates'!$E$9:$E$1008,$I181-8)="","",INDEX('Fleet dates'!$E$9:$E$1008,$I181-8)))</x:f>
      </x:c>
      <x:c r="F181" s="51" t="str">
        <x:f>IF(173&gt;$H$4,"",IF(INDEX('Fleet dates'!$F$9:$F$1008,$I181-8)="","",INDEX('Fleet dates'!$F$9:$F$1008,$I181-8)))</x:f>
      </x:c>
      <x:c r="G181" s="50" t="str">
        <x:f>IF(173&gt;$H$4,"",IF(INDEX('Fleet dates'!$G$9:$G$1008,$I181-8)="","",INDEX('Fleet dates'!$G$9:$G$1008,$I181-8)))</x:f>
      </x:c>
      <x:c r="H181" s="50" t="str">
        <x:f>IF(173&gt;$H$4,"",IF(INDEX('Fleet dates'!$I$9:$I$1008,$I181-8)="","",INDEX('Fleet dates'!$I$9:$I$1008,$I181-8)))</x:f>
      </x:c>
      <x:c r="I181" t="str">
        <x:f>IF(173&gt;$H$4,"",MATCH(173,'Fleet dates'!$J$9:$J$1008,0)+8)</x:f>
      </x:c>
    </x:row>
    <x:row r="182" ht="36" customHeight="1">
      <x:c r="A182" s="50" t="str">
        <x:f>IF(174&gt;$H$4,"",IF(INDEX('Fleet dates'!$A$9:$A$1008,$I182-8)="","",INDEX('Fleet dates'!$A$9:$A$1008,$I182-8)))</x:f>
      </x:c>
      <x:c r="B182" s="50" t="str">
        <x:f>IF(174&gt;$H$4,"",IF(INDEX('Fleet dates'!$B$9:$B$1008,$I182-8)="","",INDEX('Fleet dates'!$B$9:$B$1008,$I182-8)))</x:f>
      </x:c>
      <x:c r="C182" s="51" t="str">
        <x:f>IF(174&gt;$H$4,"",IF(INDEX('Fleet dates'!$C$9:$C$1008,$I182-8)="","",INDEX('Fleet dates'!$C$9:$C$1008,$I182-8)))</x:f>
      </x:c>
      <x:c r="D182" s="51" t="str">
        <x:f>IF(174&gt;$H$4,"",IF(INDEX('Fleet dates'!$D$9:$D$1008,$I182-8)="","",INDEX('Fleet dates'!$D$9:$D$1008,$I182-8)))</x:f>
      </x:c>
      <x:c r="E182" s="51" t="str">
        <x:f>IF(174&gt;$H$4,"",IF(INDEX('Fleet dates'!$E$9:$E$1008,$I182-8)="","",INDEX('Fleet dates'!$E$9:$E$1008,$I182-8)))</x:f>
      </x:c>
      <x:c r="F182" s="51" t="str">
        <x:f>IF(174&gt;$H$4,"",IF(INDEX('Fleet dates'!$F$9:$F$1008,$I182-8)="","",INDEX('Fleet dates'!$F$9:$F$1008,$I182-8)))</x:f>
      </x:c>
      <x:c r="G182" s="50" t="str">
        <x:f>IF(174&gt;$H$4,"",IF(INDEX('Fleet dates'!$G$9:$G$1008,$I182-8)="","",INDEX('Fleet dates'!$G$9:$G$1008,$I182-8)))</x:f>
      </x:c>
      <x:c r="H182" s="50" t="str">
        <x:f>IF(174&gt;$H$4,"",IF(INDEX('Fleet dates'!$I$9:$I$1008,$I182-8)="","",INDEX('Fleet dates'!$I$9:$I$1008,$I182-8)))</x:f>
      </x:c>
      <x:c r="I182" t="str">
        <x:f>IF(174&gt;$H$4,"",MATCH(174,'Fleet dates'!$J$9:$J$1008,0)+8)</x:f>
      </x:c>
    </x:row>
    <x:row r="183" ht="36" customHeight="1">
      <x:c r="A183" s="50" t="str">
        <x:f>IF(175&gt;$H$4,"",IF(INDEX('Fleet dates'!$A$9:$A$1008,$I183-8)="","",INDEX('Fleet dates'!$A$9:$A$1008,$I183-8)))</x:f>
      </x:c>
      <x:c r="B183" s="50" t="str">
        <x:f>IF(175&gt;$H$4,"",IF(INDEX('Fleet dates'!$B$9:$B$1008,$I183-8)="","",INDEX('Fleet dates'!$B$9:$B$1008,$I183-8)))</x:f>
      </x:c>
      <x:c r="C183" s="51" t="str">
        <x:f>IF(175&gt;$H$4,"",IF(INDEX('Fleet dates'!$C$9:$C$1008,$I183-8)="","",INDEX('Fleet dates'!$C$9:$C$1008,$I183-8)))</x:f>
      </x:c>
      <x:c r="D183" s="51" t="str">
        <x:f>IF(175&gt;$H$4,"",IF(INDEX('Fleet dates'!$D$9:$D$1008,$I183-8)="","",INDEX('Fleet dates'!$D$9:$D$1008,$I183-8)))</x:f>
      </x:c>
      <x:c r="E183" s="51" t="str">
        <x:f>IF(175&gt;$H$4,"",IF(INDEX('Fleet dates'!$E$9:$E$1008,$I183-8)="","",INDEX('Fleet dates'!$E$9:$E$1008,$I183-8)))</x:f>
      </x:c>
      <x:c r="F183" s="51" t="str">
        <x:f>IF(175&gt;$H$4,"",IF(INDEX('Fleet dates'!$F$9:$F$1008,$I183-8)="","",INDEX('Fleet dates'!$F$9:$F$1008,$I183-8)))</x:f>
      </x:c>
      <x:c r="G183" s="50" t="str">
        <x:f>IF(175&gt;$H$4,"",IF(INDEX('Fleet dates'!$G$9:$G$1008,$I183-8)="","",INDEX('Fleet dates'!$G$9:$G$1008,$I183-8)))</x:f>
      </x:c>
      <x:c r="H183" s="50" t="str">
        <x:f>IF(175&gt;$H$4,"",IF(INDEX('Fleet dates'!$I$9:$I$1008,$I183-8)="","",INDEX('Fleet dates'!$I$9:$I$1008,$I183-8)))</x:f>
      </x:c>
      <x:c r="I183" t="str">
        <x:f>IF(175&gt;$H$4,"",MATCH(175,'Fleet dates'!$J$9:$J$1008,0)+8)</x:f>
      </x:c>
    </x:row>
    <x:row r="184" ht="36" customHeight="1">
      <x:c r="A184" s="50" t="str">
        <x:f>IF(176&gt;$H$4,"",IF(INDEX('Fleet dates'!$A$9:$A$1008,$I184-8)="","",INDEX('Fleet dates'!$A$9:$A$1008,$I184-8)))</x:f>
      </x:c>
      <x:c r="B184" s="50" t="str">
        <x:f>IF(176&gt;$H$4,"",IF(INDEX('Fleet dates'!$B$9:$B$1008,$I184-8)="","",INDEX('Fleet dates'!$B$9:$B$1008,$I184-8)))</x:f>
      </x:c>
      <x:c r="C184" s="51" t="str">
        <x:f>IF(176&gt;$H$4,"",IF(INDEX('Fleet dates'!$C$9:$C$1008,$I184-8)="","",INDEX('Fleet dates'!$C$9:$C$1008,$I184-8)))</x:f>
      </x:c>
      <x:c r="D184" s="51" t="str">
        <x:f>IF(176&gt;$H$4,"",IF(INDEX('Fleet dates'!$D$9:$D$1008,$I184-8)="","",INDEX('Fleet dates'!$D$9:$D$1008,$I184-8)))</x:f>
      </x:c>
      <x:c r="E184" s="51" t="str">
        <x:f>IF(176&gt;$H$4,"",IF(INDEX('Fleet dates'!$E$9:$E$1008,$I184-8)="","",INDEX('Fleet dates'!$E$9:$E$1008,$I184-8)))</x:f>
      </x:c>
      <x:c r="F184" s="51" t="str">
        <x:f>IF(176&gt;$H$4,"",IF(INDEX('Fleet dates'!$F$9:$F$1008,$I184-8)="","",INDEX('Fleet dates'!$F$9:$F$1008,$I184-8)))</x:f>
      </x:c>
      <x:c r="G184" s="50" t="str">
        <x:f>IF(176&gt;$H$4,"",IF(INDEX('Fleet dates'!$G$9:$G$1008,$I184-8)="","",INDEX('Fleet dates'!$G$9:$G$1008,$I184-8)))</x:f>
      </x:c>
      <x:c r="H184" s="50" t="str">
        <x:f>IF(176&gt;$H$4,"",IF(INDEX('Fleet dates'!$I$9:$I$1008,$I184-8)="","",INDEX('Fleet dates'!$I$9:$I$1008,$I184-8)))</x:f>
      </x:c>
      <x:c r="I184" t="str">
        <x:f>IF(176&gt;$H$4,"",MATCH(176,'Fleet dates'!$J$9:$J$1008,0)+8)</x:f>
      </x:c>
    </x:row>
    <x:row r="185" ht="36" customHeight="1">
      <x:c r="A185" s="50" t="str">
        <x:f>IF(177&gt;$H$4,"",IF(INDEX('Fleet dates'!$A$9:$A$1008,$I185-8)="","",INDEX('Fleet dates'!$A$9:$A$1008,$I185-8)))</x:f>
      </x:c>
      <x:c r="B185" s="50" t="str">
        <x:f>IF(177&gt;$H$4,"",IF(INDEX('Fleet dates'!$B$9:$B$1008,$I185-8)="","",INDEX('Fleet dates'!$B$9:$B$1008,$I185-8)))</x:f>
      </x:c>
      <x:c r="C185" s="51" t="str">
        <x:f>IF(177&gt;$H$4,"",IF(INDEX('Fleet dates'!$C$9:$C$1008,$I185-8)="","",INDEX('Fleet dates'!$C$9:$C$1008,$I185-8)))</x:f>
      </x:c>
      <x:c r="D185" s="51" t="str">
        <x:f>IF(177&gt;$H$4,"",IF(INDEX('Fleet dates'!$D$9:$D$1008,$I185-8)="","",INDEX('Fleet dates'!$D$9:$D$1008,$I185-8)))</x:f>
      </x:c>
      <x:c r="E185" s="51" t="str">
        <x:f>IF(177&gt;$H$4,"",IF(INDEX('Fleet dates'!$E$9:$E$1008,$I185-8)="","",INDEX('Fleet dates'!$E$9:$E$1008,$I185-8)))</x:f>
      </x:c>
      <x:c r="F185" s="51" t="str">
        <x:f>IF(177&gt;$H$4,"",IF(INDEX('Fleet dates'!$F$9:$F$1008,$I185-8)="","",INDEX('Fleet dates'!$F$9:$F$1008,$I185-8)))</x:f>
      </x:c>
      <x:c r="G185" s="50" t="str">
        <x:f>IF(177&gt;$H$4,"",IF(INDEX('Fleet dates'!$G$9:$G$1008,$I185-8)="","",INDEX('Fleet dates'!$G$9:$G$1008,$I185-8)))</x:f>
      </x:c>
      <x:c r="H185" s="50" t="str">
        <x:f>IF(177&gt;$H$4,"",IF(INDEX('Fleet dates'!$I$9:$I$1008,$I185-8)="","",INDEX('Fleet dates'!$I$9:$I$1008,$I185-8)))</x:f>
      </x:c>
      <x:c r="I185" t="str">
        <x:f>IF(177&gt;$H$4,"",MATCH(177,'Fleet dates'!$J$9:$J$1008,0)+8)</x:f>
      </x:c>
    </x:row>
    <x:row r="186" ht="36" customHeight="1">
      <x:c r="A186" s="50" t="str">
        <x:f>IF(178&gt;$H$4,"",IF(INDEX('Fleet dates'!$A$9:$A$1008,$I186-8)="","",INDEX('Fleet dates'!$A$9:$A$1008,$I186-8)))</x:f>
      </x:c>
      <x:c r="B186" s="50" t="str">
        <x:f>IF(178&gt;$H$4,"",IF(INDEX('Fleet dates'!$B$9:$B$1008,$I186-8)="","",INDEX('Fleet dates'!$B$9:$B$1008,$I186-8)))</x:f>
      </x:c>
      <x:c r="C186" s="51" t="str">
        <x:f>IF(178&gt;$H$4,"",IF(INDEX('Fleet dates'!$C$9:$C$1008,$I186-8)="","",INDEX('Fleet dates'!$C$9:$C$1008,$I186-8)))</x:f>
      </x:c>
      <x:c r="D186" s="51" t="str">
        <x:f>IF(178&gt;$H$4,"",IF(INDEX('Fleet dates'!$D$9:$D$1008,$I186-8)="","",INDEX('Fleet dates'!$D$9:$D$1008,$I186-8)))</x:f>
      </x:c>
      <x:c r="E186" s="51" t="str">
        <x:f>IF(178&gt;$H$4,"",IF(INDEX('Fleet dates'!$E$9:$E$1008,$I186-8)="","",INDEX('Fleet dates'!$E$9:$E$1008,$I186-8)))</x:f>
      </x:c>
      <x:c r="F186" s="51" t="str">
        <x:f>IF(178&gt;$H$4,"",IF(INDEX('Fleet dates'!$F$9:$F$1008,$I186-8)="","",INDEX('Fleet dates'!$F$9:$F$1008,$I186-8)))</x:f>
      </x:c>
      <x:c r="G186" s="50" t="str">
        <x:f>IF(178&gt;$H$4,"",IF(INDEX('Fleet dates'!$G$9:$G$1008,$I186-8)="","",INDEX('Fleet dates'!$G$9:$G$1008,$I186-8)))</x:f>
      </x:c>
      <x:c r="H186" s="50" t="str">
        <x:f>IF(178&gt;$H$4,"",IF(INDEX('Fleet dates'!$I$9:$I$1008,$I186-8)="","",INDEX('Fleet dates'!$I$9:$I$1008,$I186-8)))</x:f>
      </x:c>
      <x:c r="I186" t="str">
        <x:f>IF(178&gt;$H$4,"",MATCH(178,'Fleet dates'!$J$9:$J$1008,0)+8)</x:f>
      </x:c>
    </x:row>
    <x:row r="187" ht="36" customHeight="1">
      <x:c r="A187" s="50" t="str">
        <x:f>IF(179&gt;$H$4,"",IF(INDEX('Fleet dates'!$A$9:$A$1008,$I187-8)="","",INDEX('Fleet dates'!$A$9:$A$1008,$I187-8)))</x:f>
      </x:c>
      <x:c r="B187" s="50" t="str">
        <x:f>IF(179&gt;$H$4,"",IF(INDEX('Fleet dates'!$B$9:$B$1008,$I187-8)="","",INDEX('Fleet dates'!$B$9:$B$1008,$I187-8)))</x:f>
      </x:c>
      <x:c r="C187" s="51" t="str">
        <x:f>IF(179&gt;$H$4,"",IF(INDEX('Fleet dates'!$C$9:$C$1008,$I187-8)="","",INDEX('Fleet dates'!$C$9:$C$1008,$I187-8)))</x:f>
      </x:c>
      <x:c r="D187" s="51" t="str">
        <x:f>IF(179&gt;$H$4,"",IF(INDEX('Fleet dates'!$D$9:$D$1008,$I187-8)="","",INDEX('Fleet dates'!$D$9:$D$1008,$I187-8)))</x:f>
      </x:c>
      <x:c r="E187" s="51" t="str">
        <x:f>IF(179&gt;$H$4,"",IF(INDEX('Fleet dates'!$E$9:$E$1008,$I187-8)="","",INDEX('Fleet dates'!$E$9:$E$1008,$I187-8)))</x:f>
      </x:c>
      <x:c r="F187" s="51" t="str">
        <x:f>IF(179&gt;$H$4,"",IF(INDEX('Fleet dates'!$F$9:$F$1008,$I187-8)="","",INDEX('Fleet dates'!$F$9:$F$1008,$I187-8)))</x:f>
      </x:c>
      <x:c r="G187" s="50" t="str">
        <x:f>IF(179&gt;$H$4,"",IF(INDEX('Fleet dates'!$G$9:$G$1008,$I187-8)="","",INDEX('Fleet dates'!$G$9:$G$1008,$I187-8)))</x:f>
      </x:c>
      <x:c r="H187" s="50" t="str">
        <x:f>IF(179&gt;$H$4,"",IF(INDEX('Fleet dates'!$I$9:$I$1008,$I187-8)="","",INDEX('Fleet dates'!$I$9:$I$1008,$I187-8)))</x:f>
      </x:c>
      <x:c r="I187" t="str">
        <x:f>IF(179&gt;$H$4,"",MATCH(179,'Fleet dates'!$J$9:$J$1008,0)+8)</x:f>
      </x:c>
    </x:row>
    <x:row r="188" ht="36" customHeight="1">
      <x:c r="A188" s="50" t="str">
        <x:f>IF(180&gt;$H$4,"",IF(INDEX('Fleet dates'!$A$9:$A$1008,$I188-8)="","",INDEX('Fleet dates'!$A$9:$A$1008,$I188-8)))</x:f>
      </x:c>
      <x:c r="B188" s="50" t="str">
        <x:f>IF(180&gt;$H$4,"",IF(INDEX('Fleet dates'!$B$9:$B$1008,$I188-8)="","",INDEX('Fleet dates'!$B$9:$B$1008,$I188-8)))</x:f>
      </x:c>
      <x:c r="C188" s="51" t="str">
        <x:f>IF(180&gt;$H$4,"",IF(INDEX('Fleet dates'!$C$9:$C$1008,$I188-8)="","",INDEX('Fleet dates'!$C$9:$C$1008,$I188-8)))</x:f>
      </x:c>
      <x:c r="D188" s="51" t="str">
        <x:f>IF(180&gt;$H$4,"",IF(INDEX('Fleet dates'!$D$9:$D$1008,$I188-8)="","",INDEX('Fleet dates'!$D$9:$D$1008,$I188-8)))</x:f>
      </x:c>
      <x:c r="E188" s="51" t="str">
        <x:f>IF(180&gt;$H$4,"",IF(INDEX('Fleet dates'!$E$9:$E$1008,$I188-8)="","",INDEX('Fleet dates'!$E$9:$E$1008,$I188-8)))</x:f>
      </x:c>
      <x:c r="F188" s="51" t="str">
        <x:f>IF(180&gt;$H$4,"",IF(INDEX('Fleet dates'!$F$9:$F$1008,$I188-8)="","",INDEX('Fleet dates'!$F$9:$F$1008,$I188-8)))</x:f>
      </x:c>
      <x:c r="G188" s="50" t="str">
        <x:f>IF(180&gt;$H$4,"",IF(INDEX('Fleet dates'!$G$9:$G$1008,$I188-8)="","",INDEX('Fleet dates'!$G$9:$G$1008,$I188-8)))</x:f>
      </x:c>
      <x:c r="H188" s="50" t="str">
        <x:f>IF(180&gt;$H$4,"",IF(INDEX('Fleet dates'!$I$9:$I$1008,$I188-8)="","",INDEX('Fleet dates'!$I$9:$I$1008,$I188-8)))</x:f>
      </x:c>
      <x:c r="I188" t="str">
        <x:f>IF(180&gt;$H$4,"",MATCH(180,'Fleet dates'!$J$9:$J$1008,0)+8)</x:f>
      </x:c>
    </x:row>
    <x:row r="189" ht="36" customHeight="1">
      <x:c r="A189" s="50" t="str">
        <x:f>IF(181&gt;$H$4,"",IF(INDEX('Fleet dates'!$A$9:$A$1008,$I189-8)="","",INDEX('Fleet dates'!$A$9:$A$1008,$I189-8)))</x:f>
      </x:c>
      <x:c r="B189" s="50" t="str">
        <x:f>IF(181&gt;$H$4,"",IF(INDEX('Fleet dates'!$B$9:$B$1008,$I189-8)="","",INDEX('Fleet dates'!$B$9:$B$1008,$I189-8)))</x:f>
      </x:c>
      <x:c r="C189" s="51" t="str">
        <x:f>IF(181&gt;$H$4,"",IF(INDEX('Fleet dates'!$C$9:$C$1008,$I189-8)="","",INDEX('Fleet dates'!$C$9:$C$1008,$I189-8)))</x:f>
      </x:c>
      <x:c r="D189" s="51" t="str">
        <x:f>IF(181&gt;$H$4,"",IF(INDEX('Fleet dates'!$D$9:$D$1008,$I189-8)="","",INDEX('Fleet dates'!$D$9:$D$1008,$I189-8)))</x:f>
      </x:c>
      <x:c r="E189" s="51" t="str">
        <x:f>IF(181&gt;$H$4,"",IF(INDEX('Fleet dates'!$E$9:$E$1008,$I189-8)="","",INDEX('Fleet dates'!$E$9:$E$1008,$I189-8)))</x:f>
      </x:c>
      <x:c r="F189" s="51" t="str">
        <x:f>IF(181&gt;$H$4,"",IF(INDEX('Fleet dates'!$F$9:$F$1008,$I189-8)="","",INDEX('Fleet dates'!$F$9:$F$1008,$I189-8)))</x:f>
      </x:c>
      <x:c r="G189" s="50" t="str">
        <x:f>IF(181&gt;$H$4,"",IF(INDEX('Fleet dates'!$G$9:$G$1008,$I189-8)="","",INDEX('Fleet dates'!$G$9:$G$1008,$I189-8)))</x:f>
      </x:c>
      <x:c r="H189" s="50" t="str">
        <x:f>IF(181&gt;$H$4,"",IF(INDEX('Fleet dates'!$I$9:$I$1008,$I189-8)="","",INDEX('Fleet dates'!$I$9:$I$1008,$I189-8)))</x:f>
      </x:c>
      <x:c r="I189" t="str">
        <x:f>IF(181&gt;$H$4,"",MATCH(181,'Fleet dates'!$J$9:$J$1008,0)+8)</x:f>
      </x:c>
    </x:row>
    <x:row r="190" ht="36" customHeight="1">
      <x:c r="A190" s="50" t="str">
        <x:f>IF(182&gt;$H$4,"",IF(INDEX('Fleet dates'!$A$9:$A$1008,$I190-8)="","",INDEX('Fleet dates'!$A$9:$A$1008,$I190-8)))</x:f>
      </x:c>
      <x:c r="B190" s="50" t="str">
        <x:f>IF(182&gt;$H$4,"",IF(INDEX('Fleet dates'!$B$9:$B$1008,$I190-8)="","",INDEX('Fleet dates'!$B$9:$B$1008,$I190-8)))</x:f>
      </x:c>
      <x:c r="C190" s="51" t="str">
        <x:f>IF(182&gt;$H$4,"",IF(INDEX('Fleet dates'!$C$9:$C$1008,$I190-8)="","",INDEX('Fleet dates'!$C$9:$C$1008,$I190-8)))</x:f>
      </x:c>
      <x:c r="D190" s="51" t="str">
        <x:f>IF(182&gt;$H$4,"",IF(INDEX('Fleet dates'!$D$9:$D$1008,$I190-8)="","",INDEX('Fleet dates'!$D$9:$D$1008,$I190-8)))</x:f>
      </x:c>
      <x:c r="E190" s="51" t="str">
        <x:f>IF(182&gt;$H$4,"",IF(INDEX('Fleet dates'!$E$9:$E$1008,$I190-8)="","",INDEX('Fleet dates'!$E$9:$E$1008,$I190-8)))</x:f>
      </x:c>
      <x:c r="F190" s="51" t="str">
        <x:f>IF(182&gt;$H$4,"",IF(INDEX('Fleet dates'!$F$9:$F$1008,$I190-8)="","",INDEX('Fleet dates'!$F$9:$F$1008,$I190-8)))</x:f>
      </x:c>
      <x:c r="G190" s="50" t="str">
        <x:f>IF(182&gt;$H$4,"",IF(INDEX('Fleet dates'!$G$9:$G$1008,$I190-8)="","",INDEX('Fleet dates'!$G$9:$G$1008,$I190-8)))</x:f>
      </x:c>
      <x:c r="H190" s="50" t="str">
        <x:f>IF(182&gt;$H$4,"",IF(INDEX('Fleet dates'!$I$9:$I$1008,$I190-8)="","",INDEX('Fleet dates'!$I$9:$I$1008,$I190-8)))</x:f>
      </x:c>
      <x:c r="I190" t="str">
        <x:f>IF(182&gt;$H$4,"",MATCH(182,'Fleet dates'!$J$9:$J$1008,0)+8)</x:f>
      </x:c>
    </x:row>
    <x:row r="191" ht="36" customHeight="1">
      <x:c r="A191" s="50" t="str">
        <x:f>IF(183&gt;$H$4,"",IF(INDEX('Fleet dates'!$A$9:$A$1008,$I191-8)="","",INDEX('Fleet dates'!$A$9:$A$1008,$I191-8)))</x:f>
      </x:c>
      <x:c r="B191" s="50" t="str">
        <x:f>IF(183&gt;$H$4,"",IF(INDEX('Fleet dates'!$B$9:$B$1008,$I191-8)="","",INDEX('Fleet dates'!$B$9:$B$1008,$I191-8)))</x:f>
      </x:c>
      <x:c r="C191" s="51" t="str">
        <x:f>IF(183&gt;$H$4,"",IF(INDEX('Fleet dates'!$C$9:$C$1008,$I191-8)="","",INDEX('Fleet dates'!$C$9:$C$1008,$I191-8)))</x:f>
      </x:c>
      <x:c r="D191" s="51" t="str">
        <x:f>IF(183&gt;$H$4,"",IF(INDEX('Fleet dates'!$D$9:$D$1008,$I191-8)="","",INDEX('Fleet dates'!$D$9:$D$1008,$I191-8)))</x:f>
      </x:c>
      <x:c r="E191" s="51" t="str">
        <x:f>IF(183&gt;$H$4,"",IF(INDEX('Fleet dates'!$E$9:$E$1008,$I191-8)="","",INDEX('Fleet dates'!$E$9:$E$1008,$I191-8)))</x:f>
      </x:c>
      <x:c r="F191" s="51" t="str">
        <x:f>IF(183&gt;$H$4,"",IF(INDEX('Fleet dates'!$F$9:$F$1008,$I191-8)="","",INDEX('Fleet dates'!$F$9:$F$1008,$I191-8)))</x:f>
      </x:c>
      <x:c r="G191" s="50" t="str">
        <x:f>IF(183&gt;$H$4,"",IF(INDEX('Fleet dates'!$G$9:$G$1008,$I191-8)="","",INDEX('Fleet dates'!$G$9:$G$1008,$I191-8)))</x:f>
      </x:c>
      <x:c r="H191" s="50" t="str">
        <x:f>IF(183&gt;$H$4,"",IF(INDEX('Fleet dates'!$I$9:$I$1008,$I191-8)="","",INDEX('Fleet dates'!$I$9:$I$1008,$I191-8)))</x:f>
      </x:c>
      <x:c r="I191" t="str">
        <x:f>IF(183&gt;$H$4,"",MATCH(183,'Fleet dates'!$J$9:$J$1008,0)+8)</x:f>
      </x:c>
    </x:row>
    <x:row r="192" ht="36" customHeight="1">
      <x:c r="A192" s="50" t="str">
        <x:f>IF(184&gt;$H$4,"",IF(INDEX('Fleet dates'!$A$9:$A$1008,$I192-8)="","",INDEX('Fleet dates'!$A$9:$A$1008,$I192-8)))</x:f>
      </x:c>
      <x:c r="B192" s="50" t="str">
        <x:f>IF(184&gt;$H$4,"",IF(INDEX('Fleet dates'!$B$9:$B$1008,$I192-8)="","",INDEX('Fleet dates'!$B$9:$B$1008,$I192-8)))</x:f>
      </x:c>
      <x:c r="C192" s="51" t="str">
        <x:f>IF(184&gt;$H$4,"",IF(INDEX('Fleet dates'!$C$9:$C$1008,$I192-8)="","",INDEX('Fleet dates'!$C$9:$C$1008,$I192-8)))</x:f>
      </x:c>
      <x:c r="D192" s="51" t="str">
        <x:f>IF(184&gt;$H$4,"",IF(INDEX('Fleet dates'!$D$9:$D$1008,$I192-8)="","",INDEX('Fleet dates'!$D$9:$D$1008,$I192-8)))</x:f>
      </x:c>
      <x:c r="E192" s="51" t="str">
        <x:f>IF(184&gt;$H$4,"",IF(INDEX('Fleet dates'!$E$9:$E$1008,$I192-8)="","",INDEX('Fleet dates'!$E$9:$E$1008,$I192-8)))</x:f>
      </x:c>
      <x:c r="F192" s="51" t="str">
        <x:f>IF(184&gt;$H$4,"",IF(INDEX('Fleet dates'!$F$9:$F$1008,$I192-8)="","",INDEX('Fleet dates'!$F$9:$F$1008,$I192-8)))</x:f>
      </x:c>
      <x:c r="G192" s="50" t="str">
        <x:f>IF(184&gt;$H$4,"",IF(INDEX('Fleet dates'!$G$9:$G$1008,$I192-8)="","",INDEX('Fleet dates'!$G$9:$G$1008,$I192-8)))</x:f>
      </x:c>
      <x:c r="H192" s="50" t="str">
        <x:f>IF(184&gt;$H$4,"",IF(INDEX('Fleet dates'!$I$9:$I$1008,$I192-8)="","",INDEX('Fleet dates'!$I$9:$I$1008,$I192-8)))</x:f>
      </x:c>
      <x:c r="I192" t="str">
        <x:f>IF(184&gt;$H$4,"",MATCH(184,'Fleet dates'!$J$9:$J$1008,0)+8)</x:f>
      </x:c>
    </x:row>
    <x:row r="193" ht="36" customHeight="1">
      <x:c r="A193" s="50" t="str">
        <x:f>IF(185&gt;$H$4,"",IF(INDEX('Fleet dates'!$A$9:$A$1008,$I193-8)="","",INDEX('Fleet dates'!$A$9:$A$1008,$I193-8)))</x:f>
      </x:c>
      <x:c r="B193" s="50" t="str">
        <x:f>IF(185&gt;$H$4,"",IF(INDEX('Fleet dates'!$B$9:$B$1008,$I193-8)="","",INDEX('Fleet dates'!$B$9:$B$1008,$I193-8)))</x:f>
      </x:c>
      <x:c r="C193" s="51" t="str">
        <x:f>IF(185&gt;$H$4,"",IF(INDEX('Fleet dates'!$C$9:$C$1008,$I193-8)="","",INDEX('Fleet dates'!$C$9:$C$1008,$I193-8)))</x:f>
      </x:c>
      <x:c r="D193" s="51" t="str">
        <x:f>IF(185&gt;$H$4,"",IF(INDEX('Fleet dates'!$D$9:$D$1008,$I193-8)="","",INDEX('Fleet dates'!$D$9:$D$1008,$I193-8)))</x:f>
      </x:c>
      <x:c r="E193" s="51" t="str">
        <x:f>IF(185&gt;$H$4,"",IF(INDEX('Fleet dates'!$E$9:$E$1008,$I193-8)="","",INDEX('Fleet dates'!$E$9:$E$1008,$I193-8)))</x:f>
      </x:c>
      <x:c r="F193" s="51" t="str">
        <x:f>IF(185&gt;$H$4,"",IF(INDEX('Fleet dates'!$F$9:$F$1008,$I193-8)="","",INDEX('Fleet dates'!$F$9:$F$1008,$I193-8)))</x:f>
      </x:c>
      <x:c r="G193" s="50" t="str">
        <x:f>IF(185&gt;$H$4,"",IF(INDEX('Fleet dates'!$G$9:$G$1008,$I193-8)="","",INDEX('Fleet dates'!$G$9:$G$1008,$I193-8)))</x:f>
      </x:c>
      <x:c r="H193" s="50" t="str">
        <x:f>IF(185&gt;$H$4,"",IF(INDEX('Fleet dates'!$I$9:$I$1008,$I193-8)="","",INDEX('Fleet dates'!$I$9:$I$1008,$I193-8)))</x:f>
      </x:c>
      <x:c r="I193" t="str">
        <x:f>IF(185&gt;$H$4,"",MATCH(185,'Fleet dates'!$J$9:$J$1008,0)+8)</x:f>
      </x:c>
    </x:row>
    <x:row r="194" ht="36" customHeight="1">
      <x:c r="A194" s="50" t="str">
        <x:f>IF(186&gt;$H$4,"",IF(INDEX('Fleet dates'!$A$9:$A$1008,$I194-8)="","",INDEX('Fleet dates'!$A$9:$A$1008,$I194-8)))</x:f>
      </x:c>
      <x:c r="B194" s="50" t="str">
        <x:f>IF(186&gt;$H$4,"",IF(INDEX('Fleet dates'!$B$9:$B$1008,$I194-8)="","",INDEX('Fleet dates'!$B$9:$B$1008,$I194-8)))</x:f>
      </x:c>
      <x:c r="C194" s="51" t="str">
        <x:f>IF(186&gt;$H$4,"",IF(INDEX('Fleet dates'!$C$9:$C$1008,$I194-8)="","",INDEX('Fleet dates'!$C$9:$C$1008,$I194-8)))</x:f>
      </x:c>
      <x:c r="D194" s="51" t="str">
        <x:f>IF(186&gt;$H$4,"",IF(INDEX('Fleet dates'!$D$9:$D$1008,$I194-8)="","",INDEX('Fleet dates'!$D$9:$D$1008,$I194-8)))</x:f>
      </x:c>
      <x:c r="E194" s="51" t="str">
        <x:f>IF(186&gt;$H$4,"",IF(INDEX('Fleet dates'!$E$9:$E$1008,$I194-8)="","",INDEX('Fleet dates'!$E$9:$E$1008,$I194-8)))</x:f>
      </x:c>
      <x:c r="F194" s="51" t="str">
        <x:f>IF(186&gt;$H$4,"",IF(INDEX('Fleet dates'!$F$9:$F$1008,$I194-8)="","",INDEX('Fleet dates'!$F$9:$F$1008,$I194-8)))</x:f>
      </x:c>
      <x:c r="G194" s="50" t="str">
        <x:f>IF(186&gt;$H$4,"",IF(INDEX('Fleet dates'!$G$9:$G$1008,$I194-8)="","",INDEX('Fleet dates'!$G$9:$G$1008,$I194-8)))</x:f>
      </x:c>
      <x:c r="H194" s="50" t="str">
        <x:f>IF(186&gt;$H$4,"",IF(INDEX('Fleet dates'!$I$9:$I$1008,$I194-8)="","",INDEX('Fleet dates'!$I$9:$I$1008,$I194-8)))</x:f>
      </x:c>
      <x:c r="I194" t="str">
        <x:f>IF(186&gt;$H$4,"",MATCH(186,'Fleet dates'!$J$9:$J$1008,0)+8)</x:f>
      </x:c>
    </x:row>
    <x:row r="195" ht="36" customHeight="1">
      <x:c r="A195" s="50" t="str">
        <x:f>IF(187&gt;$H$4,"",IF(INDEX('Fleet dates'!$A$9:$A$1008,$I195-8)="","",INDEX('Fleet dates'!$A$9:$A$1008,$I195-8)))</x:f>
      </x:c>
      <x:c r="B195" s="50" t="str">
        <x:f>IF(187&gt;$H$4,"",IF(INDEX('Fleet dates'!$B$9:$B$1008,$I195-8)="","",INDEX('Fleet dates'!$B$9:$B$1008,$I195-8)))</x:f>
      </x:c>
      <x:c r="C195" s="51" t="str">
        <x:f>IF(187&gt;$H$4,"",IF(INDEX('Fleet dates'!$C$9:$C$1008,$I195-8)="","",INDEX('Fleet dates'!$C$9:$C$1008,$I195-8)))</x:f>
      </x:c>
      <x:c r="D195" s="51" t="str">
        <x:f>IF(187&gt;$H$4,"",IF(INDEX('Fleet dates'!$D$9:$D$1008,$I195-8)="","",INDEX('Fleet dates'!$D$9:$D$1008,$I195-8)))</x:f>
      </x:c>
      <x:c r="E195" s="51" t="str">
        <x:f>IF(187&gt;$H$4,"",IF(INDEX('Fleet dates'!$E$9:$E$1008,$I195-8)="","",INDEX('Fleet dates'!$E$9:$E$1008,$I195-8)))</x:f>
      </x:c>
      <x:c r="F195" s="51" t="str">
        <x:f>IF(187&gt;$H$4,"",IF(INDEX('Fleet dates'!$F$9:$F$1008,$I195-8)="","",INDEX('Fleet dates'!$F$9:$F$1008,$I195-8)))</x:f>
      </x:c>
      <x:c r="G195" s="50" t="str">
        <x:f>IF(187&gt;$H$4,"",IF(INDEX('Fleet dates'!$G$9:$G$1008,$I195-8)="","",INDEX('Fleet dates'!$G$9:$G$1008,$I195-8)))</x:f>
      </x:c>
      <x:c r="H195" s="50" t="str">
        <x:f>IF(187&gt;$H$4,"",IF(INDEX('Fleet dates'!$I$9:$I$1008,$I195-8)="","",INDEX('Fleet dates'!$I$9:$I$1008,$I195-8)))</x:f>
      </x:c>
      <x:c r="I195" t="str">
        <x:f>IF(187&gt;$H$4,"",MATCH(187,'Fleet dates'!$J$9:$J$1008,0)+8)</x:f>
      </x:c>
    </x:row>
    <x:row r="196" ht="36" customHeight="1">
      <x:c r="A196" s="50" t="str">
        <x:f>IF(188&gt;$H$4,"",IF(INDEX('Fleet dates'!$A$9:$A$1008,$I196-8)="","",INDEX('Fleet dates'!$A$9:$A$1008,$I196-8)))</x:f>
      </x:c>
      <x:c r="B196" s="50" t="str">
        <x:f>IF(188&gt;$H$4,"",IF(INDEX('Fleet dates'!$B$9:$B$1008,$I196-8)="","",INDEX('Fleet dates'!$B$9:$B$1008,$I196-8)))</x:f>
      </x:c>
      <x:c r="C196" s="51" t="str">
        <x:f>IF(188&gt;$H$4,"",IF(INDEX('Fleet dates'!$C$9:$C$1008,$I196-8)="","",INDEX('Fleet dates'!$C$9:$C$1008,$I196-8)))</x:f>
      </x:c>
      <x:c r="D196" s="51" t="str">
        <x:f>IF(188&gt;$H$4,"",IF(INDEX('Fleet dates'!$D$9:$D$1008,$I196-8)="","",INDEX('Fleet dates'!$D$9:$D$1008,$I196-8)))</x:f>
      </x:c>
      <x:c r="E196" s="51" t="str">
        <x:f>IF(188&gt;$H$4,"",IF(INDEX('Fleet dates'!$E$9:$E$1008,$I196-8)="","",INDEX('Fleet dates'!$E$9:$E$1008,$I196-8)))</x:f>
      </x:c>
      <x:c r="F196" s="51" t="str">
        <x:f>IF(188&gt;$H$4,"",IF(INDEX('Fleet dates'!$F$9:$F$1008,$I196-8)="","",INDEX('Fleet dates'!$F$9:$F$1008,$I196-8)))</x:f>
      </x:c>
      <x:c r="G196" s="50" t="str">
        <x:f>IF(188&gt;$H$4,"",IF(INDEX('Fleet dates'!$G$9:$G$1008,$I196-8)="","",INDEX('Fleet dates'!$G$9:$G$1008,$I196-8)))</x:f>
      </x:c>
      <x:c r="H196" s="50" t="str">
        <x:f>IF(188&gt;$H$4,"",IF(INDEX('Fleet dates'!$I$9:$I$1008,$I196-8)="","",INDEX('Fleet dates'!$I$9:$I$1008,$I196-8)))</x:f>
      </x:c>
      <x:c r="I196" t="str">
        <x:f>IF(188&gt;$H$4,"",MATCH(188,'Fleet dates'!$J$9:$J$1008,0)+8)</x:f>
      </x:c>
    </x:row>
    <x:row r="197" ht="36" customHeight="1">
      <x:c r="A197" s="50" t="str">
        <x:f>IF(189&gt;$H$4,"",IF(INDEX('Fleet dates'!$A$9:$A$1008,$I197-8)="","",INDEX('Fleet dates'!$A$9:$A$1008,$I197-8)))</x:f>
      </x:c>
      <x:c r="B197" s="50" t="str">
        <x:f>IF(189&gt;$H$4,"",IF(INDEX('Fleet dates'!$B$9:$B$1008,$I197-8)="","",INDEX('Fleet dates'!$B$9:$B$1008,$I197-8)))</x:f>
      </x:c>
      <x:c r="C197" s="51" t="str">
        <x:f>IF(189&gt;$H$4,"",IF(INDEX('Fleet dates'!$C$9:$C$1008,$I197-8)="","",INDEX('Fleet dates'!$C$9:$C$1008,$I197-8)))</x:f>
      </x:c>
      <x:c r="D197" s="51" t="str">
        <x:f>IF(189&gt;$H$4,"",IF(INDEX('Fleet dates'!$D$9:$D$1008,$I197-8)="","",INDEX('Fleet dates'!$D$9:$D$1008,$I197-8)))</x:f>
      </x:c>
      <x:c r="E197" s="51" t="str">
        <x:f>IF(189&gt;$H$4,"",IF(INDEX('Fleet dates'!$E$9:$E$1008,$I197-8)="","",INDEX('Fleet dates'!$E$9:$E$1008,$I197-8)))</x:f>
      </x:c>
      <x:c r="F197" s="51" t="str">
        <x:f>IF(189&gt;$H$4,"",IF(INDEX('Fleet dates'!$F$9:$F$1008,$I197-8)="","",INDEX('Fleet dates'!$F$9:$F$1008,$I197-8)))</x:f>
      </x:c>
      <x:c r="G197" s="50" t="str">
        <x:f>IF(189&gt;$H$4,"",IF(INDEX('Fleet dates'!$G$9:$G$1008,$I197-8)="","",INDEX('Fleet dates'!$G$9:$G$1008,$I197-8)))</x:f>
      </x:c>
      <x:c r="H197" s="50" t="str">
        <x:f>IF(189&gt;$H$4,"",IF(INDEX('Fleet dates'!$I$9:$I$1008,$I197-8)="","",INDEX('Fleet dates'!$I$9:$I$1008,$I197-8)))</x:f>
      </x:c>
      <x:c r="I197" t="str">
        <x:f>IF(189&gt;$H$4,"",MATCH(189,'Fleet dates'!$J$9:$J$1008,0)+8)</x:f>
      </x:c>
    </x:row>
    <x:row r="198" ht="36" customHeight="1">
      <x:c r="A198" s="50" t="str">
        <x:f>IF(190&gt;$H$4,"",IF(INDEX('Fleet dates'!$A$9:$A$1008,$I198-8)="","",INDEX('Fleet dates'!$A$9:$A$1008,$I198-8)))</x:f>
      </x:c>
      <x:c r="B198" s="50" t="str">
        <x:f>IF(190&gt;$H$4,"",IF(INDEX('Fleet dates'!$B$9:$B$1008,$I198-8)="","",INDEX('Fleet dates'!$B$9:$B$1008,$I198-8)))</x:f>
      </x:c>
      <x:c r="C198" s="51" t="str">
        <x:f>IF(190&gt;$H$4,"",IF(INDEX('Fleet dates'!$C$9:$C$1008,$I198-8)="","",INDEX('Fleet dates'!$C$9:$C$1008,$I198-8)))</x:f>
      </x:c>
      <x:c r="D198" s="51" t="str">
        <x:f>IF(190&gt;$H$4,"",IF(INDEX('Fleet dates'!$D$9:$D$1008,$I198-8)="","",INDEX('Fleet dates'!$D$9:$D$1008,$I198-8)))</x:f>
      </x:c>
      <x:c r="E198" s="51" t="str">
        <x:f>IF(190&gt;$H$4,"",IF(INDEX('Fleet dates'!$E$9:$E$1008,$I198-8)="","",INDEX('Fleet dates'!$E$9:$E$1008,$I198-8)))</x:f>
      </x:c>
      <x:c r="F198" s="51" t="str">
        <x:f>IF(190&gt;$H$4,"",IF(INDEX('Fleet dates'!$F$9:$F$1008,$I198-8)="","",INDEX('Fleet dates'!$F$9:$F$1008,$I198-8)))</x:f>
      </x:c>
      <x:c r="G198" s="50" t="str">
        <x:f>IF(190&gt;$H$4,"",IF(INDEX('Fleet dates'!$G$9:$G$1008,$I198-8)="","",INDEX('Fleet dates'!$G$9:$G$1008,$I198-8)))</x:f>
      </x:c>
      <x:c r="H198" s="50" t="str">
        <x:f>IF(190&gt;$H$4,"",IF(INDEX('Fleet dates'!$I$9:$I$1008,$I198-8)="","",INDEX('Fleet dates'!$I$9:$I$1008,$I198-8)))</x:f>
      </x:c>
      <x:c r="I198" t="str">
        <x:f>IF(190&gt;$H$4,"",MATCH(190,'Fleet dates'!$J$9:$J$1008,0)+8)</x:f>
      </x:c>
    </x:row>
    <x:row r="199" ht="36" customHeight="1">
      <x:c r="A199" s="50" t="str">
        <x:f>IF(191&gt;$H$4,"",IF(INDEX('Fleet dates'!$A$9:$A$1008,$I199-8)="","",INDEX('Fleet dates'!$A$9:$A$1008,$I199-8)))</x:f>
      </x:c>
      <x:c r="B199" s="50" t="str">
        <x:f>IF(191&gt;$H$4,"",IF(INDEX('Fleet dates'!$B$9:$B$1008,$I199-8)="","",INDEX('Fleet dates'!$B$9:$B$1008,$I199-8)))</x:f>
      </x:c>
      <x:c r="C199" s="51" t="str">
        <x:f>IF(191&gt;$H$4,"",IF(INDEX('Fleet dates'!$C$9:$C$1008,$I199-8)="","",INDEX('Fleet dates'!$C$9:$C$1008,$I199-8)))</x:f>
      </x:c>
      <x:c r="D199" s="51" t="str">
        <x:f>IF(191&gt;$H$4,"",IF(INDEX('Fleet dates'!$D$9:$D$1008,$I199-8)="","",INDEX('Fleet dates'!$D$9:$D$1008,$I199-8)))</x:f>
      </x:c>
      <x:c r="E199" s="51" t="str">
        <x:f>IF(191&gt;$H$4,"",IF(INDEX('Fleet dates'!$E$9:$E$1008,$I199-8)="","",INDEX('Fleet dates'!$E$9:$E$1008,$I199-8)))</x:f>
      </x:c>
      <x:c r="F199" s="51" t="str">
        <x:f>IF(191&gt;$H$4,"",IF(INDEX('Fleet dates'!$F$9:$F$1008,$I199-8)="","",INDEX('Fleet dates'!$F$9:$F$1008,$I199-8)))</x:f>
      </x:c>
      <x:c r="G199" s="50" t="str">
        <x:f>IF(191&gt;$H$4,"",IF(INDEX('Fleet dates'!$G$9:$G$1008,$I199-8)="","",INDEX('Fleet dates'!$G$9:$G$1008,$I199-8)))</x:f>
      </x:c>
      <x:c r="H199" s="50" t="str">
        <x:f>IF(191&gt;$H$4,"",IF(INDEX('Fleet dates'!$I$9:$I$1008,$I199-8)="","",INDEX('Fleet dates'!$I$9:$I$1008,$I199-8)))</x:f>
      </x:c>
      <x:c r="I199" t="str">
        <x:f>IF(191&gt;$H$4,"",MATCH(191,'Fleet dates'!$J$9:$J$1008,0)+8)</x:f>
      </x:c>
    </x:row>
    <x:row r="200" ht="36" customHeight="1">
      <x:c r="A200" s="50" t="str">
        <x:f>IF(192&gt;$H$4,"",IF(INDEX('Fleet dates'!$A$9:$A$1008,$I200-8)="","",INDEX('Fleet dates'!$A$9:$A$1008,$I200-8)))</x:f>
      </x:c>
      <x:c r="B200" s="50" t="str">
        <x:f>IF(192&gt;$H$4,"",IF(INDEX('Fleet dates'!$B$9:$B$1008,$I200-8)="","",INDEX('Fleet dates'!$B$9:$B$1008,$I200-8)))</x:f>
      </x:c>
      <x:c r="C200" s="51" t="str">
        <x:f>IF(192&gt;$H$4,"",IF(INDEX('Fleet dates'!$C$9:$C$1008,$I200-8)="","",INDEX('Fleet dates'!$C$9:$C$1008,$I200-8)))</x:f>
      </x:c>
      <x:c r="D200" s="51" t="str">
        <x:f>IF(192&gt;$H$4,"",IF(INDEX('Fleet dates'!$D$9:$D$1008,$I200-8)="","",INDEX('Fleet dates'!$D$9:$D$1008,$I200-8)))</x:f>
      </x:c>
      <x:c r="E200" s="51" t="str">
        <x:f>IF(192&gt;$H$4,"",IF(INDEX('Fleet dates'!$E$9:$E$1008,$I200-8)="","",INDEX('Fleet dates'!$E$9:$E$1008,$I200-8)))</x:f>
      </x:c>
      <x:c r="F200" s="51" t="str">
        <x:f>IF(192&gt;$H$4,"",IF(INDEX('Fleet dates'!$F$9:$F$1008,$I200-8)="","",INDEX('Fleet dates'!$F$9:$F$1008,$I200-8)))</x:f>
      </x:c>
      <x:c r="G200" s="50" t="str">
        <x:f>IF(192&gt;$H$4,"",IF(INDEX('Fleet dates'!$G$9:$G$1008,$I200-8)="","",INDEX('Fleet dates'!$G$9:$G$1008,$I200-8)))</x:f>
      </x:c>
      <x:c r="H200" s="50" t="str">
        <x:f>IF(192&gt;$H$4,"",IF(INDEX('Fleet dates'!$I$9:$I$1008,$I200-8)="","",INDEX('Fleet dates'!$I$9:$I$1008,$I200-8)))</x:f>
      </x:c>
      <x:c r="I200" t="str">
        <x:f>IF(192&gt;$H$4,"",MATCH(192,'Fleet dates'!$J$9:$J$1008,0)+8)</x:f>
      </x:c>
    </x:row>
    <x:row r="201" ht="36" customHeight="1">
      <x:c r="A201" s="50" t="str">
        <x:f>IF(193&gt;$H$4,"",IF(INDEX('Fleet dates'!$A$9:$A$1008,$I201-8)="","",INDEX('Fleet dates'!$A$9:$A$1008,$I201-8)))</x:f>
      </x:c>
      <x:c r="B201" s="50" t="str">
        <x:f>IF(193&gt;$H$4,"",IF(INDEX('Fleet dates'!$B$9:$B$1008,$I201-8)="","",INDEX('Fleet dates'!$B$9:$B$1008,$I201-8)))</x:f>
      </x:c>
      <x:c r="C201" s="51" t="str">
        <x:f>IF(193&gt;$H$4,"",IF(INDEX('Fleet dates'!$C$9:$C$1008,$I201-8)="","",INDEX('Fleet dates'!$C$9:$C$1008,$I201-8)))</x:f>
      </x:c>
      <x:c r="D201" s="51" t="str">
        <x:f>IF(193&gt;$H$4,"",IF(INDEX('Fleet dates'!$D$9:$D$1008,$I201-8)="","",INDEX('Fleet dates'!$D$9:$D$1008,$I201-8)))</x:f>
      </x:c>
      <x:c r="E201" s="51" t="str">
        <x:f>IF(193&gt;$H$4,"",IF(INDEX('Fleet dates'!$E$9:$E$1008,$I201-8)="","",INDEX('Fleet dates'!$E$9:$E$1008,$I201-8)))</x:f>
      </x:c>
      <x:c r="F201" s="51" t="str">
        <x:f>IF(193&gt;$H$4,"",IF(INDEX('Fleet dates'!$F$9:$F$1008,$I201-8)="","",INDEX('Fleet dates'!$F$9:$F$1008,$I201-8)))</x:f>
      </x:c>
      <x:c r="G201" s="50" t="str">
        <x:f>IF(193&gt;$H$4,"",IF(INDEX('Fleet dates'!$G$9:$G$1008,$I201-8)="","",INDEX('Fleet dates'!$G$9:$G$1008,$I201-8)))</x:f>
      </x:c>
      <x:c r="H201" s="50" t="str">
        <x:f>IF(193&gt;$H$4,"",IF(INDEX('Fleet dates'!$I$9:$I$1008,$I201-8)="","",INDEX('Fleet dates'!$I$9:$I$1008,$I201-8)))</x:f>
      </x:c>
      <x:c r="I201" t="str">
        <x:f>IF(193&gt;$H$4,"",MATCH(193,'Fleet dates'!$J$9:$J$1008,0)+8)</x:f>
      </x:c>
    </x:row>
    <x:row r="202" ht="36" customHeight="1">
      <x:c r="A202" s="50" t="str">
        <x:f>IF(194&gt;$H$4,"",IF(INDEX('Fleet dates'!$A$9:$A$1008,$I202-8)="","",INDEX('Fleet dates'!$A$9:$A$1008,$I202-8)))</x:f>
      </x:c>
      <x:c r="B202" s="50" t="str">
        <x:f>IF(194&gt;$H$4,"",IF(INDEX('Fleet dates'!$B$9:$B$1008,$I202-8)="","",INDEX('Fleet dates'!$B$9:$B$1008,$I202-8)))</x:f>
      </x:c>
      <x:c r="C202" s="51" t="str">
        <x:f>IF(194&gt;$H$4,"",IF(INDEX('Fleet dates'!$C$9:$C$1008,$I202-8)="","",INDEX('Fleet dates'!$C$9:$C$1008,$I202-8)))</x:f>
      </x:c>
      <x:c r="D202" s="51" t="str">
        <x:f>IF(194&gt;$H$4,"",IF(INDEX('Fleet dates'!$D$9:$D$1008,$I202-8)="","",INDEX('Fleet dates'!$D$9:$D$1008,$I202-8)))</x:f>
      </x:c>
      <x:c r="E202" s="51" t="str">
        <x:f>IF(194&gt;$H$4,"",IF(INDEX('Fleet dates'!$E$9:$E$1008,$I202-8)="","",INDEX('Fleet dates'!$E$9:$E$1008,$I202-8)))</x:f>
      </x:c>
      <x:c r="F202" s="51" t="str">
        <x:f>IF(194&gt;$H$4,"",IF(INDEX('Fleet dates'!$F$9:$F$1008,$I202-8)="","",INDEX('Fleet dates'!$F$9:$F$1008,$I202-8)))</x:f>
      </x:c>
      <x:c r="G202" s="50" t="str">
        <x:f>IF(194&gt;$H$4,"",IF(INDEX('Fleet dates'!$G$9:$G$1008,$I202-8)="","",INDEX('Fleet dates'!$G$9:$G$1008,$I202-8)))</x:f>
      </x:c>
      <x:c r="H202" s="50" t="str">
        <x:f>IF(194&gt;$H$4,"",IF(INDEX('Fleet dates'!$I$9:$I$1008,$I202-8)="","",INDEX('Fleet dates'!$I$9:$I$1008,$I202-8)))</x:f>
      </x:c>
      <x:c r="I202" t="str">
        <x:f>IF(194&gt;$H$4,"",MATCH(194,'Fleet dates'!$J$9:$J$1008,0)+8)</x:f>
      </x:c>
    </x:row>
    <x:row r="203" ht="36" customHeight="1">
      <x:c r="A203" s="50" t="str">
        <x:f>IF(195&gt;$H$4,"",IF(INDEX('Fleet dates'!$A$9:$A$1008,$I203-8)="","",INDEX('Fleet dates'!$A$9:$A$1008,$I203-8)))</x:f>
      </x:c>
      <x:c r="B203" s="50" t="str">
        <x:f>IF(195&gt;$H$4,"",IF(INDEX('Fleet dates'!$B$9:$B$1008,$I203-8)="","",INDEX('Fleet dates'!$B$9:$B$1008,$I203-8)))</x:f>
      </x:c>
      <x:c r="C203" s="51" t="str">
        <x:f>IF(195&gt;$H$4,"",IF(INDEX('Fleet dates'!$C$9:$C$1008,$I203-8)="","",INDEX('Fleet dates'!$C$9:$C$1008,$I203-8)))</x:f>
      </x:c>
      <x:c r="D203" s="51" t="str">
        <x:f>IF(195&gt;$H$4,"",IF(INDEX('Fleet dates'!$D$9:$D$1008,$I203-8)="","",INDEX('Fleet dates'!$D$9:$D$1008,$I203-8)))</x:f>
      </x:c>
      <x:c r="E203" s="51" t="str">
        <x:f>IF(195&gt;$H$4,"",IF(INDEX('Fleet dates'!$E$9:$E$1008,$I203-8)="","",INDEX('Fleet dates'!$E$9:$E$1008,$I203-8)))</x:f>
      </x:c>
      <x:c r="F203" s="51" t="str">
        <x:f>IF(195&gt;$H$4,"",IF(INDEX('Fleet dates'!$F$9:$F$1008,$I203-8)="","",INDEX('Fleet dates'!$F$9:$F$1008,$I203-8)))</x:f>
      </x:c>
      <x:c r="G203" s="50" t="str">
        <x:f>IF(195&gt;$H$4,"",IF(INDEX('Fleet dates'!$G$9:$G$1008,$I203-8)="","",INDEX('Fleet dates'!$G$9:$G$1008,$I203-8)))</x:f>
      </x:c>
      <x:c r="H203" s="50" t="str">
        <x:f>IF(195&gt;$H$4,"",IF(INDEX('Fleet dates'!$I$9:$I$1008,$I203-8)="","",INDEX('Fleet dates'!$I$9:$I$1008,$I203-8)))</x:f>
      </x:c>
      <x:c r="I203" t="str">
        <x:f>IF(195&gt;$H$4,"",MATCH(195,'Fleet dates'!$J$9:$J$1008,0)+8)</x:f>
      </x:c>
    </x:row>
    <x:row r="204" ht="36" customHeight="1">
      <x:c r="A204" s="50" t="str">
        <x:f>IF(196&gt;$H$4,"",IF(INDEX('Fleet dates'!$A$9:$A$1008,$I204-8)="","",INDEX('Fleet dates'!$A$9:$A$1008,$I204-8)))</x:f>
      </x:c>
      <x:c r="B204" s="50" t="str">
        <x:f>IF(196&gt;$H$4,"",IF(INDEX('Fleet dates'!$B$9:$B$1008,$I204-8)="","",INDEX('Fleet dates'!$B$9:$B$1008,$I204-8)))</x:f>
      </x:c>
      <x:c r="C204" s="51" t="str">
        <x:f>IF(196&gt;$H$4,"",IF(INDEX('Fleet dates'!$C$9:$C$1008,$I204-8)="","",INDEX('Fleet dates'!$C$9:$C$1008,$I204-8)))</x:f>
      </x:c>
      <x:c r="D204" s="51" t="str">
        <x:f>IF(196&gt;$H$4,"",IF(INDEX('Fleet dates'!$D$9:$D$1008,$I204-8)="","",INDEX('Fleet dates'!$D$9:$D$1008,$I204-8)))</x:f>
      </x:c>
      <x:c r="E204" s="51" t="str">
        <x:f>IF(196&gt;$H$4,"",IF(INDEX('Fleet dates'!$E$9:$E$1008,$I204-8)="","",INDEX('Fleet dates'!$E$9:$E$1008,$I204-8)))</x:f>
      </x:c>
      <x:c r="F204" s="51" t="str">
        <x:f>IF(196&gt;$H$4,"",IF(INDEX('Fleet dates'!$F$9:$F$1008,$I204-8)="","",INDEX('Fleet dates'!$F$9:$F$1008,$I204-8)))</x:f>
      </x:c>
      <x:c r="G204" s="50" t="str">
        <x:f>IF(196&gt;$H$4,"",IF(INDEX('Fleet dates'!$G$9:$G$1008,$I204-8)="","",INDEX('Fleet dates'!$G$9:$G$1008,$I204-8)))</x:f>
      </x:c>
      <x:c r="H204" s="50" t="str">
        <x:f>IF(196&gt;$H$4,"",IF(INDEX('Fleet dates'!$I$9:$I$1008,$I204-8)="","",INDEX('Fleet dates'!$I$9:$I$1008,$I204-8)))</x:f>
      </x:c>
      <x:c r="I204" t="str">
        <x:f>IF(196&gt;$H$4,"",MATCH(196,'Fleet dates'!$J$9:$J$1008,0)+8)</x:f>
      </x:c>
    </x:row>
    <x:row r="205" ht="36" customHeight="1">
      <x:c r="A205" s="50" t="str">
        <x:f>IF(197&gt;$H$4,"",IF(INDEX('Fleet dates'!$A$9:$A$1008,$I205-8)="","",INDEX('Fleet dates'!$A$9:$A$1008,$I205-8)))</x:f>
      </x:c>
      <x:c r="B205" s="50" t="str">
        <x:f>IF(197&gt;$H$4,"",IF(INDEX('Fleet dates'!$B$9:$B$1008,$I205-8)="","",INDEX('Fleet dates'!$B$9:$B$1008,$I205-8)))</x:f>
      </x:c>
      <x:c r="C205" s="51" t="str">
        <x:f>IF(197&gt;$H$4,"",IF(INDEX('Fleet dates'!$C$9:$C$1008,$I205-8)="","",INDEX('Fleet dates'!$C$9:$C$1008,$I205-8)))</x:f>
      </x:c>
      <x:c r="D205" s="51" t="str">
        <x:f>IF(197&gt;$H$4,"",IF(INDEX('Fleet dates'!$D$9:$D$1008,$I205-8)="","",INDEX('Fleet dates'!$D$9:$D$1008,$I205-8)))</x:f>
      </x:c>
      <x:c r="E205" s="51" t="str">
        <x:f>IF(197&gt;$H$4,"",IF(INDEX('Fleet dates'!$E$9:$E$1008,$I205-8)="","",INDEX('Fleet dates'!$E$9:$E$1008,$I205-8)))</x:f>
      </x:c>
      <x:c r="F205" s="51" t="str">
        <x:f>IF(197&gt;$H$4,"",IF(INDEX('Fleet dates'!$F$9:$F$1008,$I205-8)="","",INDEX('Fleet dates'!$F$9:$F$1008,$I205-8)))</x:f>
      </x:c>
      <x:c r="G205" s="50" t="str">
        <x:f>IF(197&gt;$H$4,"",IF(INDEX('Fleet dates'!$G$9:$G$1008,$I205-8)="","",INDEX('Fleet dates'!$G$9:$G$1008,$I205-8)))</x:f>
      </x:c>
      <x:c r="H205" s="50" t="str">
        <x:f>IF(197&gt;$H$4,"",IF(INDEX('Fleet dates'!$I$9:$I$1008,$I205-8)="","",INDEX('Fleet dates'!$I$9:$I$1008,$I205-8)))</x:f>
      </x:c>
      <x:c r="I205" t="str">
        <x:f>IF(197&gt;$H$4,"",MATCH(197,'Fleet dates'!$J$9:$J$1008,0)+8)</x:f>
      </x:c>
    </x:row>
    <x:row r="206" ht="36" customHeight="1">
      <x:c r="A206" s="50" t="str">
        <x:f>IF(198&gt;$H$4,"",IF(INDEX('Fleet dates'!$A$9:$A$1008,$I206-8)="","",INDEX('Fleet dates'!$A$9:$A$1008,$I206-8)))</x:f>
      </x:c>
      <x:c r="B206" s="50" t="str">
        <x:f>IF(198&gt;$H$4,"",IF(INDEX('Fleet dates'!$B$9:$B$1008,$I206-8)="","",INDEX('Fleet dates'!$B$9:$B$1008,$I206-8)))</x:f>
      </x:c>
      <x:c r="C206" s="51" t="str">
        <x:f>IF(198&gt;$H$4,"",IF(INDEX('Fleet dates'!$C$9:$C$1008,$I206-8)="","",INDEX('Fleet dates'!$C$9:$C$1008,$I206-8)))</x:f>
      </x:c>
      <x:c r="D206" s="51" t="str">
        <x:f>IF(198&gt;$H$4,"",IF(INDEX('Fleet dates'!$D$9:$D$1008,$I206-8)="","",INDEX('Fleet dates'!$D$9:$D$1008,$I206-8)))</x:f>
      </x:c>
      <x:c r="E206" s="51" t="str">
        <x:f>IF(198&gt;$H$4,"",IF(INDEX('Fleet dates'!$E$9:$E$1008,$I206-8)="","",INDEX('Fleet dates'!$E$9:$E$1008,$I206-8)))</x:f>
      </x:c>
      <x:c r="F206" s="51" t="str">
        <x:f>IF(198&gt;$H$4,"",IF(INDEX('Fleet dates'!$F$9:$F$1008,$I206-8)="","",INDEX('Fleet dates'!$F$9:$F$1008,$I206-8)))</x:f>
      </x:c>
      <x:c r="G206" s="50" t="str">
        <x:f>IF(198&gt;$H$4,"",IF(INDEX('Fleet dates'!$G$9:$G$1008,$I206-8)="","",INDEX('Fleet dates'!$G$9:$G$1008,$I206-8)))</x:f>
      </x:c>
      <x:c r="H206" s="50" t="str">
        <x:f>IF(198&gt;$H$4,"",IF(INDEX('Fleet dates'!$I$9:$I$1008,$I206-8)="","",INDEX('Fleet dates'!$I$9:$I$1008,$I206-8)))</x:f>
      </x:c>
      <x:c r="I206" t="str">
        <x:f>IF(198&gt;$H$4,"",MATCH(198,'Fleet dates'!$J$9:$J$1008,0)+8)</x:f>
      </x:c>
    </x:row>
    <x:row r="207" ht="36" customHeight="1">
      <x:c r="A207" s="50" t="str">
        <x:f>IF(199&gt;$H$4,"",IF(INDEX('Fleet dates'!$A$9:$A$1008,$I207-8)="","",INDEX('Fleet dates'!$A$9:$A$1008,$I207-8)))</x:f>
      </x:c>
      <x:c r="B207" s="50" t="str">
        <x:f>IF(199&gt;$H$4,"",IF(INDEX('Fleet dates'!$B$9:$B$1008,$I207-8)="","",INDEX('Fleet dates'!$B$9:$B$1008,$I207-8)))</x:f>
      </x:c>
      <x:c r="C207" s="51" t="str">
        <x:f>IF(199&gt;$H$4,"",IF(INDEX('Fleet dates'!$C$9:$C$1008,$I207-8)="","",INDEX('Fleet dates'!$C$9:$C$1008,$I207-8)))</x:f>
      </x:c>
      <x:c r="D207" s="51" t="str">
        <x:f>IF(199&gt;$H$4,"",IF(INDEX('Fleet dates'!$D$9:$D$1008,$I207-8)="","",INDEX('Fleet dates'!$D$9:$D$1008,$I207-8)))</x:f>
      </x:c>
      <x:c r="E207" s="51" t="str">
        <x:f>IF(199&gt;$H$4,"",IF(INDEX('Fleet dates'!$E$9:$E$1008,$I207-8)="","",INDEX('Fleet dates'!$E$9:$E$1008,$I207-8)))</x:f>
      </x:c>
      <x:c r="F207" s="51" t="str">
        <x:f>IF(199&gt;$H$4,"",IF(INDEX('Fleet dates'!$F$9:$F$1008,$I207-8)="","",INDEX('Fleet dates'!$F$9:$F$1008,$I207-8)))</x:f>
      </x:c>
      <x:c r="G207" s="50" t="str">
        <x:f>IF(199&gt;$H$4,"",IF(INDEX('Fleet dates'!$G$9:$G$1008,$I207-8)="","",INDEX('Fleet dates'!$G$9:$G$1008,$I207-8)))</x:f>
      </x:c>
      <x:c r="H207" s="50" t="str">
        <x:f>IF(199&gt;$H$4,"",IF(INDEX('Fleet dates'!$I$9:$I$1008,$I207-8)="","",INDEX('Fleet dates'!$I$9:$I$1008,$I207-8)))</x:f>
      </x:c>
      <x:c r="I207" t="str">
        <x:f>IF(199&gt;$H$4,"",MATCH(199,'Fleet dates'!$J$9:$J$1008,0)+8)</x:f>
      </x:c>
    </x:row>
    <x:row r="208" ht="36" customHeight="1">
      <x:c r="A208" s="50" t="str">
        <x:f>IF(200&gt;$H$4,"",IF(INDEX('Fleet dates'!$A$9:$A$1008,$I208-8)="","",INDEX('Fleet dates'!$A$9:$A$1008,$I208-8)))</x:f>
      </x:c>
      <x:c r="B208" s="50" t="str">
        <x:f>IF(200&gt;$H$4,"",IF(INDEX('Fleet dates'!$B$9:$B$1008,$I208-8)="","",INDEX('Fleet dates'!$B$9:$B$1008,$I208-8)))</x:f>
      </x:c>
      <x:c r="C208" s="51" t="str">
        <x:f>IF(200&gt;$H$4,"",IF(INDEX('Fleet dates'!$C$9:$C$1008,$I208-8)="","",INDEX('Fleet dates'!$C$9:$C$1008,$I208-8)))</x:f>
      </x:c>
      <x:c r="D208" s="51" t="str">
        <x:f>IF(200&gt;$H$4,"",IF(INDEX('Fleet dates'!$D$9:$D$1008,$I208-8)="","",INDEX('Fleet dates'!$D$9:$D$1008,$I208-8)))</x:f>
      </x:c>
      <x:c r="E208" s="51" t="str">
        <x:f>IF(200&gt;$H$4,"",IF(INDEX('Fleet dates'!$E$9:$E$1008,$I208-8)="","",INDEX('Fleet dates'!$E$9:$E$1008,$I208-8)))</x:f>
      </x:c>
      <x:c r="F208" s="51" t="str">
        <x:f>IF(200&gt;$H$4,"",IF(INDEX('Fleet dates'!$F$9:$F$1008,$I208-8)="","",INDEX('Fleet dates'!$F$9:$F$1008,$I208-8)))</x:f>
      </x:c>
      <x:c r="G208" s="50" t="str">
        <x:f>IF(200&gt;$H$4,"",IF(INDEX('Fleet dates'!$G$9:$G$1008,$I208-8)="","",INDEX('Fleet dates'!$G$9:$G$1008,$I208-8)))</x:f>
      </x:c>
      <x:c r="H208" s="50" t="str">
        <x:f>IF(200&gt;$H$4,"",IF(INDEX('Fleet dates'!$I$9:$I$1008,$I208-8)="","",INDEX('Fleet dates'!$I$9:$I$1008,$I208-8)))</x:f>
      </x:c>
      <x:c r="I208" t="str">
        <x:f>IF(200&gt;$H$4,"",MATCH(200,'Fleet dates'!$J$9:$J$1008,0)+8)</x:f>
      </x:c>
    </x:row>
    <x:row r="209" ht="36" customHeight="1">
      <x:c r="A209" s="50" t="str">
        <x:f>IF(201&gt;$H$4,"",IF(INDEX('Fleet dates'!$A$9:$A$1008,$I209-8)="","",INDEX('Fleet dates'!$A$9:$A$1008,$I209-8)))</x:f>
      </x:c>
      <x:c r="B209" s="50" t="str">
        <x:f>IF(201&gt;$H$4,"",IF(INDEX('Fleet dates'!$B$9:$B$1008,$I209-8)="","",INDEX('Fleet dates'!$B$9:$B$1008,$I209-8)))</x:f>
      </x:c>
      <x:c r="C209" s="51" t="str">
        <x:f>IF(201&gt;$H$4,"",IF(INDEX('Fleet dates'!$C$9:$C$1008,$I209-8)="","",INDEX('Fleet dates'!$C$9:$C$1008,$I209-8)))</x:f>
      </x:c>
      <x:c r="D209" s="51" t="str">
        <x:f>IF(201&gt;$H$4,"",IF(INDEX('Fleet dates'!$D$9:$D$1008,$I209-8)="","",INDEX('Fleet dates'!$D$9:$D$1008,$I209-8)))</x:f>
      </x:c>
      <x:c r="E209" s="51" t="str">
        <x:f>IF(201&gt;$H$4,"",IF(INDEX('Fleet dates'!$E$9:$E$1008,$I209-8)="","",INDEX('Fleet dates'!$E$9:$E$1008,$I209-8)))</x:f>
      </x:c>
      <x:c r="F209" s="51" t="str">
        <x:f>IF(201&gt;$H$4,"",IF(INDEX('Fleet dates'!$F$9:$F$1008,$I209-8)="","",INDEX('Fleet dates'!$F$9:$F$1008,$I209-8)))</x:f>
      </x:c>
      <x:c r="G209" s="50" t="str">
        <x:f>IF(201&gt;$H$4,"",IF(INDEX('Fleet dates'!$G$9:$G$1008,$I209-8)="","",INDEX('Fleet dates'!$G$9:$G$1008,$I209-8)))</x:f>
      </x:c>
      <x:c r="H209" s="50" t="str">
        <x:f>IF(201&gt;$H$4,"",IF(INDEX('Fleet dates'!$I$9:$I$1008,$I209-8)="","",INDEX('Fleet dates'!$I$9:$I$1008,$I209-8)))</x:f>
      </x:c>
      <x:c r="I209" t="str">
        <x:f>IF(201&gt;$H$4,"",MATCH(201,'Fleet dates'!$J$9:$J$1008,0)+8)</x:f>
      </x:c>
    </x:row>
    <x:row r="210" ht="36" customHeight="1">
      <x:c r="A210" s="50" t="str">
        <x:f>IF(202&gt;$H$4,"",IF(INDEX('Fleet dates'!$A$9:$A$1008,$I210-8)="","",INDEX('Fleet dates'!$A$9:$A$1008,$I210-8)))</x:f>
      </x:c>
      <x:c r="B210" s="50" t="str">
        <x:f>IF(202&gt;$H$4,"",IF(INDEX('Fleet dates'!$B$9:$B$1008,$I210-8)="","",INDEX('Fleet dates'!$B$9:$B$1008,$I210-8)))</x:f>
      </x:c>
      <x:c r="C210" s="51" t="str">
        <x:f>IF(202&gt;$H$4,"",IF(INDEX('Fleet dates'!$C$9:$C$1008,$I210-8)="","",INDEX('Fleet dates'!$C$9:$C$1008,$I210-8)))</x:f>
      </x:c>
      <x:c r="D210" s="51" t="str">
        <x:f>IF(202&gt;$H$4,"",IF(INDEX('Fleet dates'!$D$9:$D$1008,$I210-8)="","",INDEX('Fleet dates'!$D$9:$D$1008,$I210-8)))</x:f>
      </x:c>
      <x:c r="E210" s="51" t="str">
        <x:f>IF(202&gt;$H$4,"",IF(INDEX('Fleet dates'!$E$9:$E$1008,$I210-8)="","",INDEX('Fleet dates'!$E$9:$E$1008,$I210-8)))</x:f>
      </x:c>
      <x:c r="F210" s="51" t="str">
        <x:f>IF(202&gt;$H$4,"",IF(INDEX('Fleet dates'!$F$9:$F$1008,$I210-8)="","",INDEX('Fleet dates'!$F$9:$F$1008,$I210-8)))</x:f>
      </x:c>
      <x:c r="G210" s="50" t="str">
        <x:f>IF(202&gt;$H$4,"",IF(INDEX('Fleet dates'!$G$9:$G$1008,$I210-8)="","",INDEX('Fleet dates'!$G$9:$G$1008,$I210-8)))</x:f>
      </x:c>
      <x:c r="H210" s="50" t="str">
        <x:f>IF(202&gt;$H$4,"",IF(INDEX('Fleet dates'!$I$9:$I$1008,$I210-8)="","",INDEX('Fleet dates'!$I$9:$I$1008,$I210-8)))</x:f>
      </x:c>
      <x:c r="I210" t="str">
        <x:f>IF(202&gt;$H$4,"",MATCH(202,'Fleet dates'!$J$9:$J$1008,0)+8)</x:f>
      </x:c>
    </x:row>
    <x:row r="211" ht="36" customHeight="1">
      <x:c r="A211" s="50" t="str">
        <x:f>IF(203&gt;$H$4,"",IF(INDEX('Fleet dates'!$A$9:$A$1008,$I211-8)="","",INDEX('Fleet dates'!$A$9:$A$1008,$I211-8)))</x:f>
      </x:c>
      <x:c r="B211" s="50" t="str">
        <x:f>IF(203&gt;$H$4,"",IF(INDEX('Fleet dates'!$B$9:$B$1008,$I211-8)="","",INDEX('Fleet dates'!$B$9:$B$1008,$I211-8)))</x:f>
      </x:c>
      <x:c r="C211" s="51" t="str">
        <x:f>IF(203&gt;$H$4,"",IF(INDEX('Fleet dates'!$C$9:$C$1008,$I211-8)="","",INDEX('Fleet dates'!$C$9:$C$1008,$I211-8)))</x:f>
      </x:c>
      <x:c r="D211" s="51" t="str">
        <x:f>IF(203&gt;$H$4,"",IF(INDEX('Fleet dates'!$D$9:$D$1008,$I211-8)="","",INDEX('Fleet dates'!$D$9:$D$1008,$I211-8)))</x:f>
      </x:c>
      <x:c r="E211" s="51" t="str">
        <x:f>IF(203&gt;$H$4,"",IF(INDEX('Fleet dates'!$E$9:$E$1008,$I211-8)="","",INDEX('Fleet dates'!$E$9:$E$1008,$I211-8)))</x:f>
      </x:c>
      <x:c r="F211" s="51" t="str">
        <x:f>IF(203&gt;$H$4,"",IF(INDEX('Fleet dates'!$F$9:$F$1008,$I211-8)="","",INDEX('Fleet dates'!$F$9:$F$1008,$I211-8)))</x:f>
      </x:c>
      <x:c r="G211" s="50" t="str">
        <x:f>IF(203&gt;$H$4,"",IF(INDEX('Fleet dates'!$G$9:$G$1008,$I211-8)="","",INDEX('Fleet dates'!$G$9:$G$1008,$I211-8)))</x:f>
      </x:c>
      <x:c r="H211" s="50" t="str">
        <x:f>IF(203&gt;$H$4,"",IF(INDEX('Fleet dates'!$I$9:$I$1008,$I211-8)="","",INDEX('Fleet dates'!$I$9:$I$1008,$I211-8)))</x:f>
      </x:c>
      <x:c r="I211" t="str">
        <x:f>IF(203&gt;$H$4,"",MATCH(203,'Fleet dates'!$J$9:$J$1008,0)+8)</x:f>
      </x:c>
    </x:row>
    <x:row r="212" ht="36" customHeight="1">
      <x:c r="A212" s="50" t="str">
        <x:f>IF(204&gt;$H$4,"",IF(INDEX('Fleet dates'!$A$9:$A$1008,$I212-8)="","",INDEX('Fleet dates'!$A$9:$A$1008,$I212-8)))</x:f>
      </x:c>
      <x:c r="B212" s="50" t="str">
        <x:f>IF(204&gt;$H$4,"",IF(INDEX('Fleet dates'!$B$9:$B$1008,$I212-8)="","",INDEX('Fleet dates'!$B$9:$B$1008,$I212-8)))</x:f>
      </x:c>
      <x:c r="C212" s="51" t="str">
        <x:f>IF(204&gt;$H$4,"",IF(INDEX('Fleet dates'!$C$9:$C$1008,$I212-8)="","",INDEX('Fleet dates'!$C$9:$C$1008,$I212-8)))</x:f>
      </x:c>
      <x:c r="D212" s="51" t="str">
        <x:f>IF(204&gt;$H$4,"",IF(INDEX('Fleet dates'!$D$9:$D$1008,$I212-8)="","",INDEX('Fleet dates'!$D$9:$D$1008,$I212-8)))</x:f>
      </x:c>
      <x:c r="E212" s="51" t="str">
        <x:f>IF(204&gt;$H$4,"",IF(INDEX('Fleet dates'!$E$9:$E$1008,$I212-8)="","",INDEX('Fleet dates'!$E$9:$E$1008,$I212-8)))</x:f>
      </x:c>
      <x:c r="F212" s="51" t="str">
        <x:f>IF(204&gt;$H$4,"",IF(INDEX('Fleet dates'!$F$9:$F$1008,$I212-8)="","",INDEX('Fleet dates'!$F$9:$F$1008,$I212-8)))</x:f>
      </x:c>
      <x:c r="G212" s="50" t="str">
        <x:f>IF(204&gt;$H$4,"",IF(INDEX('Fleet dates'!$G$9:$G$1008,$I212-8)="","",INDEX('Fleet dates'!$G$9:$G$1008,$I212-8)))</x:f>
      </x:c>
      <x:c r="H212" s="50" t="str">
        <x:f>IF(204&gt;$H$4,"",IF(INDEX('Fleet dates'!$I$9:$I$1008,$I212-8)="","",INDEX('Fleet dates'!$I$9:$I$1008,$I212-8)))</x:f>
      </x:c>
      <x:c r="I212" t="str">
        <x:f>IF(204&gt;$H$4,"",MATCH(204,'Fleet dates'!$J$9:$J$1008,0)+8)</x:f>
      </x:c>
    </x:row>
    <x:row r="213" ht="36" customHeight="1">
      <x:c r="A213" s="50" t="str">
        <x:f>IF(205&gt;$H$4,"",IF(INDEX('Fleet dates'!$A$9:$A$1008,$I213-8)="","",INDEX('Fleet dates'!$A$9:$A$1008,$I213-8)))</x:f>
      </x:c>
      <x:c r="B213" s="50" t="str">
        <x:f>IF(205&gt;$H$4,"",IF(INDEX('Fleet dates'!$B$9:$B$1008,$I213-8)="","",INDEX('Fleet dates'!$B$9:$B$1008,$I213-8)))</x:f>
      </x:c>
      <x:c r="C213" s="51" t="str">
        <x:f>IF(205&gt;$H$4,"",IF(INDEX('Fleet dates'!$C$9:$C$1008,$I213-8)="","",INDEX('Fleet dates'!$C$9:$C$1008,$I213-8)))</x:f>
      </x:c>
      <x:c r="D213" s="51" t="str">
        <x:f>IF(205&gt;$H$4,"",IF(INDEX('Fleet dates'!$D$9:$D$1008,$I213-8)="","",INDEX('Fleet dates'!$D$9:$D$1008,$I213-8)))</x:f>
      </x:c>
      <x:c r="E213" s="51" t="str">
        <x:f>IF(205&gt;$H$4,"",IF(INDEX('Fleet dates'!$E$9:$E$1008,$I213-8)="","",INDEX('Fleet dates'!$E$9:$E$1008,$I213-8)))</x:f>
      </x:c>
      <x:c r="F213" s="51" t="str">
        <x:f>IF(205&gt;$H$4,"",IF(INDEX('Fleet dates'!$F$9:$F$1008,$I213-8)="","",INDEX('Fleet dates'!$F$9:$F$1008,$I213-8)))</x:f>
      </x:c>
      <x:c r="G213" s="50" t="str">
        <x:f>IF(205&gt;$H$4,"",IF(INDEX('Fleet dates'!$G$9:$G$1008,$I213-8)="","",INDEX('Fleet dates'!$G$9:$G$1008,$I213-8)))</x:f>
      </x:c>
      <x:c r="H213" s="50" t="str">
        <x:f>IF(205&gt;$H$4,"",IF(INDEX('Fleet dates'!$I$9:$I$1008,$I213-8)="","",INDEX('Fleet dates'!$I$9:$I$1008,$I213-8)))</x:f>
      </x:c>
      <x:c r="I213" t="str">
        <x:f>IF(205&gt;$H$4,"",MATCH(205,'Fleet dates'!$J$9:$J$1008,0)+8)</x:f>
      </x:c>
    </x:row>
    <x:row r="214" ht="36" customHeight="1">
      <x:c r="A214" s="50" t="str">
        <x:f>IF(206&gt;$H$4,"",IF(INDEX('Fleet dates'!$A$9:$A$1008,$I214-8)="","",INDEX('Fleet dates'!$A$9:$A$1008,$I214-8)))</x:f>
      </x:c>
      <x:c r="B214" s="50" t="str">
        <x:f>IF(206&gt;$H$4,"",IF(INDEX('Fleet dates'!$B$9:$B$1008,$I214-8)="","",INDEX('Fleet dates'!$B$9:$B$1008,$I214-8)))</x:f>
      </x:c>
      <x:c r="C214" s="51" t="str">
        <x:f>IF(206&gt;$H$4,"",IF(INDEX('Fleet dates'!$C$9:$C$1008,$I214-8)="","",INDEX('Fleet dates'!$C$9:$C$1008,$I214-8)))</x:f>
      </x:c>
      <x:c r="D214" s="51" t="str">
        <x:f>IF(206&gt;$H$4,"",IF(INDEX('Fleet dates'!$D$9:$D$1008,$I214-8)="","",INDEX('Fleet dates'!$D$9:$D$1008,$I214-8)))</x:f>
      </x:c>
      <x:c r="E214" s="51" t="str">
        <x:f>IF(206&gt;$H$4,"",IF(INDEX('Fleet dates'!$E$9:$E$1008,$I214-8)="","",INDEX('Fleet dates'!$E$9:$E$1008,$I214-8)))</x:f>
      </x:c>
      <x:c r="F214" s="51" t="str">
        <x:f>IF(206&gt;$H$4,"",IF(INDEX('Fleet dates'!$F$9:$F$1008,$I214-8)="","",INDEX('Fleet dates'!$F$9:$F$1008,$I214-8)))</x:f>
      </x:c>
      <x:c r="G214" s="50" t="str">
        <x:f>IF(206&gt;$H$4,"",IF(INDEX('Fleet dates'!$G$9:$G$1008,$I214-8)="","",INDEX('Fleet dates'!$G$9:$G$1008,$I214-8)))</x:f>
      </x:c>
      <x:c r="H214" s="50" t="str">
        <x:f>IF(206&gt;$H$4,"",IF(INDEX('Fleet dates'!$I$9:$I$1008,$I214-8)="","",INDEX('Fleet dates'!$I$9:$I$1008,$I214-8)))</x:f>
      </x:c>
      <x:c r="I214" t="str">
        <x:f>IF(206&gt;$H$4,"",MATCH(206,'Fleet dates'!$J$9:$J$1008,0)+8)</x:f>
      </x:c>
    </x:row>
    <x:row r="215" ht="36" customHeight="1">
      <x:c r="A215" s="50" t="str">
        <x:f>IF(207&gt;$H$4,"",IF(INDEX('Fleet dates'!$A$9:$A$1008,$I215-8)="","",INDEX('Fleet dates'!$A$9:$A$1008,$I215-8)))</x:f>
      </x:c>
      <x:c r="B215" s="50" t="str">
        <x:f>IF(207&gt;$H$4,"",IF(INDEX('Fleet dates'!$B$9:$B$1008,$I215-8)="","",INDEX('Fleet dates'!$B$9:$B$1008,$I215-8)))</x:f>
      </x:c>
      <x:c r="C215" s="51" t="str">
        <x:f>IF(207&gt;$H$4,"",IF(INDEX('Fleet dates'!$C$9:$C$1008,$I215-8)="","",INDEX('Fleet dates'!$C$9:$C$1008,$I215-8)))</x:f>
      </x:c>
      <x:c r="D215" s="51" t="str">
        <x:f>IF(207&gt;$H$4,"",IF(INDEX('Fleet dates'!$D$9:$D$1008,$I215-8)="","",INDEX('Fleet dates'!$D$9:$D$1008,$I215-8)))</x:f>
      </x:c>
      <x:c r="E215" s="51" t="str">
        <x:f>IF(207&gt;$H$4,"",IF(INDEX('Fleet dates'!$E$9:$E$1008,$I215-8)="","",INDEX('Fleet dates'!$E$9:$E$1008,$I215-8)))</x:f>
      </x:c>
      <x:c r="F215" s="51" t="str">
        <x:f>IF(207&gt;$H$4,"",IF(INDEX('Fleet dates'!$F$9:$F$1008,$I215-8)="","",INDEX('Fleet dates'!$F$9:$F$1008,$I215-8)))</x:f>
      </x:c>
      <x:c r="G215" s="50" t="str">
        <x:f>IF(207&gt;$H$4,"",IF(INDEX('Fleet dates'!$G$9:$G$1008,$I215-8)="","",INDEX('Fleet dates'!$G$9:$G$1008,$I215-8)))</x:f>
      </x:c>
      <x:c r="H215" s="50" t="str">
        <x:f>IF(207&gt;$H$4,"",IF(INDEX('Fleet dates'!$I$9:$I$1008,$I215-8)="","",INDEX('Fleet dates'!$I$9:$I$1008,$I215-8)))</x:f>
      </x:c>
      <x:c r="I215" t="str">
        <x:f>IF(207&gt;$H$4,"",MATCH(207,'Fleet dates'!$J$9:$J$1008,0)+8)</x:f>
      </x:c>
    </x:row>
    <x:row r="216" ht="36" customHeight="1">
      <x:c r="A216" s="50" t="str">
        <x:f>IF(208&gt;$H$4,"",IF(INDEX('Fleet dates'!$A$9:$A$1008,$I216-8)="","",INDEX('Fleet dates'!$A$9:$A$1008,$I216-8)))</x:f>
      </x:c>
      <x:c r="B216" s="50" t="str">
        <x:f>IF(208&gt;$H$4,"",IF(INDEX('Fleet dates'!$B$9:$B$1008,$I216-8)="","",INDEX('Fleet dates'!$B$9:$B$1008,$I216-8)))</x:f>
      </x:c>
      <x:c r="C216" s="51" t="str">
        <x:f>IF(208&gt;$H$4,"",IF(INDEX('Fleet dates'!$C$9:$C$1008,$I216-8)="","",INDEX('Fleet dates'!$C$9:$C$1008,$I216-8)))</x:f>
      </x:c>
      <x:c r="D216" s="51" t="str">
        <x:f>IF(208&gt;$H$4,"",IF(INDEX('Fleet dates'!$D$9:$D$1008,$I216-8)="","",INDEX('Fleet dates'!$D$9:$D$1008,$I216-8)))</x:f>
      </x:c>
      <x:c r="E216" s="51" t="str">
        <x:f>IF(208&gt;$H$4,"",IF(INDEX('Fleet dates'!$E$9:$E$1008,$I216-8)="","",INDEX('Fleet dates'!$E$9:$E$1008,$I216-8)))</x:f>
      </x:c>
      <x:c r="F216" s="51" t="str">
        <x:f>IF(208&gt;$H$4,"",IF(INDEX('Fleet dates'!$F$9:$F$1008,$I216-8)="","",INDEX('Fleet dates'!$F$9:$F$1008,$I216-8)))</x:f>
      </x:c>
      <x:c r="G216" s="50" t="str">
        <x:f>IF(208&gt;$H$4,"",IF(INDEX('Fleet dates'!$G$9:$G$1008,$I216-8)="","",INDEX('Fleet dates'!$G$9:$G$1008,$I216-8)))</x:f>
      </x:c>
      <x:c r="H216" s="50" t="str">
        <x:f>IF(208&gt;$H$4,"",IF(INDEX('Fleet dates'!$I$9:$I$1008,$I216-8)="","",INDEX('Fleet dates'!$I$9:$I$1008,$I216-8)))</x:f>
      </x:c>
      <x:c r="I216" t="str">
        <x:f>IF(208&gt;$H$4,"",MATCH(208,'Fleet dates'!$J$9:$J$1008,0)+8)</x:f>
      </x:c>
    </x:row>
    <x:row r="217" ht="36" customHeight="1">
      <x:c r="A217" s="50" t="str">
        <x:f>IF(209&gt;$H$4,"",IF(INDEX('Fleet dates'!$A$9:$A$1008,$I217-8)="","",INDEX('Fleet dates'!$A$9:$A$1008,$I217-8)))</x:f>
      </x:c>
      <x:c r="B217" s="50" t="str">
        <x:f>IF(209&gt;$H$4,"",IF(INDEX('Fleet dates'!$B$9:$B$1008,$I217-8)="","",INDEX('Fleet dates'!$B$9:$B$1008,$I217-8)))</x:f>
      </x:c>
      <x:c r="C217" s="51" t="str">
        <x:f>IF(209&gt;$H$4,"",IF(INDEX('Fleet dates'!$C$9:$C$1008,$I217-8)="","",INDEX('Fleet dates'!$C$9:$C$1008,$I217-8)))</x:f>
      </x:c>
      <x:c r="D217" s="51" t="str">
        <x:f>IF(209&gt;$H$4,"",IF(INDEX('Fleet dates'!$D$9:$D$1008,$I217-8)="","",INDEX('Fleet dates'!$D$9:$D$1008,$I217-8)))</x:f>
      </x:c>
      <x:c r="E217" s="51" t="str">
        <x:f>IF(209&gt;$H$4,"",IF(INDEX('Fleet dates'!$E$9:$E$1008,$I217-8)="","",INDEX('Fleet dates'!$E$9:$E$1008,$I217-8)))</x:f>
      </x:c>
      <x:c r="F217" s="51" t="str">
        <x:f>IF(209&gt;$H$4,"",IF(INDEX('Fleet dates'!$F$9:$F$1008,$I217-8)="","",INDEX('Fleet dates'!$F$9:$F$1008,$I217-8)))</x:f>
      </x:c>
      <x:c r="G217" s="50" t="str">
        <x:f>IF(209&gt;$H$4,"",IF(INDEX('Fleet dates'!$G$9:$G$1008,$I217-8)="","",INDEX('Fleet dates'!$G$9:$G$1008,$I217-8)))</x:f>
      </x:c>
      <x:c r="H217" s="50" t="str">
        <x:f>IF(209&gt;$H$4,"",IF(INDEX('Fleet dates'!$I$9:$I$1008,$I217-8)="","",INDEX('Fleet dates'!$I$9:$I$1008,$I217-8)))</x:f>
      </x:c>
      <x:c r="I217" t="str">
        <x:f>IF(209&gt;$H$4,"",MATCH(209,'Fleet dates'!$J$9:$J$1008,0)+8)</x:f>
      </x:c>
    </x:row>
    <x:row r="218" ht="36" customHeight="1">
      <x:c r="A218" s="50" t="str">
        <x:f>IF(210&gt;$H$4,"",IF(INDEX('Fleet dates'!$A$9:$A$1008,$I218-8)="","",INDEX('Fleet dates'!$A$9:$A$1008,$I218-8)))</x:f>
      </x:c>
      <x:c r="B218" s="50" t="str">
        <x:f>IF(210&gt;$H$4,"",IF(INDEX('Fleet dates'!$B$9:$B$1008,$I218-8)="","",INDEX('Fleet dates'!$B$9:$B$1008,$I218-8)))</x:f>
      </x:c>
      <x:c r="C218" s="51" t="str">
        <x:f>IF(210&gt;$H$4,"",IF(INDEX('Fleet dates'!$C$9:$C$1008,$I218-8)="","",INDEX('Fleet dates'!$C$9:$C$1008,$I218-8)))</x:f>
      </x:c>
      <x:c r="D218" s="51" t="str">
        <x:f>IF(210&gt;$H$4,"",IF(INDEX('Fleet dates'!$D$9:$D$1008,$I218-8)="","",INDEX('Fleet dates'!$D$9:$D$1008,$I218-8)))</x:f>
      </x:c>
      <x:c r="E218" s="51" t="str">
        <x:f>IF(210&gt;$H$4,"",IF(INDEX('Fleet dates'!$E$9:$E$1008,$I218-8)="","",INDEX('Fleet dates'!$E$9:$E$1008,$I218-8)))</x:f>
      </x:c>
      <x:c r="F218" s="51" t="str">
        <x:f>IF(210&gt;$H$4,"",IF(INDEX('Fleet dates'!$F$9:$F$1008,$I218-8)="","",INDEX('Fleet dates'!$F$9:$F$1008,$I218-8)))</x:f>
      </x:c>
      <x:c r="G218" s="50" t="str">
        <x:f>IF(210&gt;$H$4,"",IF(INDEX('Fleet dates'!$G$9:$G$1008,$I218-8)="","",INDEX('Fleet dates'!$G$9:$G$1008,$I218-8)))</x:f>
      </x:c>
      <x:c r="H218" s="50" t="str">
        <x:f>IF(210&gt;$H$4,"",IF(INDEX('Fleet dates'!$I$9:$I$1008,$I218-8)="","",INDEX('Fleet dates'!$I$9:$I$1008,$I218-8)))</x:f>
      </x:c>
      <x:c r="I218" t="str">
        <x:f>IF(210&gt;$H$4,"",MATCH(210,'Fleet dates'!$J$9:$J$1008,0)+8)</x:f>
      </x:c>
    </x:row>
    <x:row r="219" ht="36" customHeight="1">
      <x:c r="A219" s="50" t="str">
        <x:f>IF(211&gt;$H$4,"",IF(INDEX('Fleet dates'!$A$9:$A$1008,$I219-8)="","",INDEX('Fleet dates'!$A$9:$A$1008,$I219-8)))</x:f>
      </x:c>
      <x:c r="B219" s="50" t="str">
        <x:f>IF(211&gt;$H$4,"",IF(INDEX('Fleet dates'!$B$9:$B$1008,$I219-8)="","",INDEX('Fleet dates'!$B$9:$B$1008,$I219-8)))</x:f>
      </x:c>
      <x:c r="C219" s="51" t="str">
        <x:f>IF(211&gt;$H$4,"",IF(INDEX('Fleet dates'!$C$9:$C$1008,$I219-8)="","",INDEX('Fleet dates'!$C$9:$C$1008,$I219-8)))</x:f>
      </x:c>
      <x:c r="D219" s="51" t="str">
        <x:f>IF(211&gt;$H$4,"",IF(INDEX('Fleet dates'!$D$9:$D$1008,$I219-8)="","",INDEX('Fleet dates'!$D$9:$D$1008,$I219-8)))</x:f>
      </x:c>
      <x:c r="E219" s="51" t="str">
        <x:f>IF(211&gt;$H$4,"",IF(INDEX('Fleet dates'!$E$9:$E$1008,$I219-8)="","",INDEX('Fleet dates'!$E$9:$E$1008,$I219-8)))</x:f>
      </x:c>
      <x:c r="F219" s="51" t="str">
        <x:f>IF(211&gt;$H$4,"",IF(INDEX('Fleet dates'!$F$9:$F$1008,$I219-8)="","",INDEX('Fleet dates'!$F$9:$F$1008,$I219-8)))</x:f>
      </x:c>
      <x:c r="G219" s="50" t="str">
        <x:f>IF(211&gt;$H$4,"",IF(INDEX('Fleet dates'!$G$9:$G$1008,$I219-8)="","",INDEX('Fleet dates'!$G$9:$G$1008,$I219-8)))</x:f>
      </x:c>
      <x:c r="H219" s="50" t="str">
        <x:f>IF(211&gt;$H$4,"",IF(INDEX('Fleet dates'!$I$9:$I$1008,$I219-8)="","",INDEX('Fleet dates'!$I$9:$I$1008,$I219-8)))</x:f>
      </x:c>
      <x:c r="I219" t="str">
        <x:f>IF(211&gt;$H$4,"",MATCH(211,'Fleet dates'!$J$9:$J$1008,0)+8)</x:f>
      </x:c>
    </x:row>
    <x:row r="220" ht="36" customHeight="1">
      <x:c r="A220" s="50" t="str">
        <x:f>IF(212&gt;$H$4,"",IF(INDEX('Fleet dates'!$A$9:$A$1008,$I220-8)="","",INDEX('Fleet dates'!$A$9:$A$1008,$I220-8)))</x:f>
      </x:c>
      <x:c r="B220" s="50" t="str">
        <x:f>IF(212&gt;$H$4,"",IF(INDEX('Fleet dates'!$B$9:$B$1008,$I220-8)="","",INDEX('Fleet dates'!$B$9:$B$1008,$I220-8)))</x:f>
      </x:c>
      <x:c r="C220" s="51" t="str">
        <x:f>IF(212&gt;$H$4,"",IF(INDEX('Fleet dates'!$C$9:$C$1008,$I220-8)="","",INDEX('Fleet dates'!$C$9:$C$1008,$I220-8)))</x:f>
      </x:c>
      <x:c r="D220" s="51" t="str">
        <x:f>IF(212&gt;$H$4,"",IF(INDEX('Fleet dates'!$D$9:$D$1008,$I220-8)="","",INDEX('Fleet dates'!$D$9:$D$1008,$I220-8)))</x:f>
      </x:c>
      <x:c r="E220" s="51" t="str">
        <x:f>IF(212&gt;$H$4,"",IF(INDEX('Fleet dates'!$E$9:$E$1008,$I220-8)="","",INDEX('Fleet dates'!$E$9:$E$1008,$I220-8)))</x:f>
      </x:c>
      <x:c r="F220" s="51" t="str">
        <x:f>IF(212&gt;$H$4,"",IF(INDEX('Fleet dates'!$F$9:$F$1008,$I220-8)="","",INDEX('Fleet dates'!$F$9:$F$1008,$I220-8)))</x:f>
      </x:c>
      <x:c r="G220" s="50" t="str">
        <x:f>IF(212&gt;$H$4,"",IF(INDEX('Fleet dates'!$G$9:$G$1008,$I220-8)="","",INDEX('Fleet dates'!$G$9:$G$1008,$I220-8)))</x:f>
      </x:c>
      <x:c r="H220" s="50" t="str">
        <x:f>IF(212&gt;$H$4,"",IF(INDEX('Fleet dates'!$I$9:$I$1008,$I220-8)="","",INDEX('Fleet dates'!$I$9:$I$1008,$I220-8)))</x:f>
      </x:c>
      <x:c r="I220" t="str">
        <x:f>IF(212&gt;$H$4,"",MATCH(212,'Fleet dates'!$J$9:$J$1008,0)+8)</x:f>
      </x:c>
    </x:row>
    <x:row r="221" ht="36" customHeight="1">
      <x:c r="A221" s="50" t="str">
        <x:f>IF(213&gt;$H$4,"",IF(INDEX('Fleet dates'!$A$9:$A$1008,$I221-8)="","",INDEX('Fleet dates'!$A$9:$A$1008,$I221-8)))</x:f>
      </x:c>
      <x:c r="B221" s="50" t="str">
        <x:f>IF(213&gt;$H$4,"",IF(INDEX('Fleet dates'!$B$9:$B$1008,$I221-8)="","",INDEX('Fleet dates'!$B$9:$B$1008,$I221-8)))</x:f>
      </x:c>
      <x:c r="C221" s="51" t="str">
        <x:f>IF(213&gt;$H$4,"",IF(INDEX('Fleet dates'!$C$9:$C$1008,$I221-8)="","",INDEX('Fleet dates'!$C$9:$C$1008,$I221-8)))</x:f>
      </x:c>
      <x:c r="D221" s="51" t="str">
        <x:f>IF(213&gt;$H$4,"",IF(INDEX('Fleet dates'!$D$9:$D$1008,$I221-8)="","",INDEX('Fleet dates'!$D$9:$D$1008,$I221-8)))</x:f>
      </x:c>
      <x:c r="E221" s="51" t="str">
        <x:f>IF(213&gt;$H$4,"",IF(INDEX('Fleet dates'!$E$9:$E$1008,$I221-8)="","",INDEX('Fleet dates'!$E$9:$E$1008,$I221-8)))</x:f>
      </x:c>
      <x:c r="F221" s="51" t="str">
        <x:f>IF(213&gt;$H$4,"",IF(INDEX('Fleet dates'!$F$9:$F$1008,$I221-8)="","",INDEX('Fleet dates'!$F$9:$F$1008,$I221-8)))</x:f>
      </x:c>
      <x:c r="G221" s="50" t="str">
        <x:f>IF(213&gt;$H$4,"",IF(INDEX('Fleet dates'!$G$9:$G$1008,$I221-8)="","",INDEX('Fleet dates'!$G$9:$G$1008,$I221-8)))</x:f>
      </x:c>
      <x:c r="H221" s="50" t="str">
        <x:f>IF(213&gt;$H$4,"",IF(INDEX('Fleet dates'!$I$9:$I$1008,$I221-8)="","",INDEX('Fleet dates'!$I$9:$I$1008,$I221-8)))</x:f>
      </x:c>
      <x:c r="I221" t="str">
        <x:f>IF(213&gt;$H$4,"",MATCH(213,'Fleet dates'!$J$9:$J$1008,0)+8)</x:f>
      </x:c>
    </x:row>
    <x:row r="222" ht="36" customHeight="1">
      <x:c r="A222" s="50" t="str">
        <x:f>IF(214&gt;$H$4,"",IF(INDEX('Fleet dates'!$A$9:$A$1008,$I222-8)="","",INDEX('Fleet dates'!$A$9:$A$1008,$I222-8)))</x:f>
      </x:c>
      <x:c r="B222" s="50" t="str">
        <x:f>IF(214&gt;$H$4,"",IF(INDEX('Fleet dates'!$B$9:$B$1008,$I222-8)="","",INDEX('Fleet dates'!$B$9:$B$1008,$I222-8)))</x:f>
      </x:c>
      <x:c r="C222" s="51" t="str">
        <x:f>IF(214&gt;$H$4,"",IF(INDEX('Fleet dates'!$C$9:$C$1008,$I222-8)="","",INDEX('Fleet dates'!$C$9:$C$1008,$I222-8)))</x:f>
      </x:c>
      <x:c r="D222" s="51" t="str">
        <x:f>IF(214&gt;$H$4,"",IF(INDEX('Fleet dates'!$D$9:$D$1008,$I222-8)="","",INDEX('Fleet dates'!$D$9:$D$1008,$I222-8)))</x:f>
      </x:c>
      <x:c r="E222" s="51" t="str">
        <x:f>IF(214&gt;$H$4,"",IF(INDEX('Fleet dates'!$E$9:$E$1008,$I222-8)="","",INDEX('Fleet dates'!$E$9:$E$1008,$I222-8)))</x:f>
      </x:c>
      <x:c r="F222" s="51" t="str">
        <x:f>IF(214&gt;$H$4,"",IF(INDEX('Fleet dates'!$F$9:$F$1008,$I222-8)="","",INDEX('Fleet dates'!$F$9:$F$1008,$I222-8)))</x:f>
      </x:c>
      <x:c r="G222" s="50" t="str">
        <x:f>IF(214&gt;$H$4,"",IF(INDEX('Fleet dates'!$G$9:$G$1008,$I222-8)="","",INDEX('Fleet dates'!$G$9:$G$1008,$I222-8)))</x:f>
      </x:c>
      <x:c r="H222" s="50" t="str">
        <x:f>IF(214&gt;$H$4,"",IF(INDEX('Fleet dates'!$I$9:$I$1008,$I222-8)="","",INDEX('Fleet dates'!$I$9:$I$1008,$I222-8)))</x:f>
      </x:c>
      <x:c r="I222" t="str">
        <x:f>IF(214&gt;$H$4,"",MATCH(214,'Fleet dates'!$J$9:$J$1008,0)+8)</x:f>
      </x:c>
    </x:row>
    <x:row r="223" ht="36" customHeight="1">
      <x:c r="A223" s="50" t="str">
        <x:f>IF(215&gt;$H$4,"",IF(INDEX('Fleet dates'!$A$9:$A$1008,$I223-8)="","",INDEX('Fleet dates'!$A$9:$A$1008,$I223-8)))</x:f>
      </x:c>
      <x:c r="B223" s="50" t="str">
        <x:f>IF(215&gt;$H$4,"",IF(INDEX('Fleet dates'!$B$9:$B$1008,$I223-8)="","",INDEX('Fleet dates'!$B$9:$B$1008,$I223-8)))</x:f>
      </x:c>
      <x:c r="C223" s="51" t="str">
        <x:f>IF(215&gt;$H$4,"",IF(INDEX('Fleet dates'!$C$9:$C$1008,$I223-8)="","",INDEX('Fleet dates'!$C$9:$C$1008,$I223-8)))</x:f>
      </x:c>
      <x:c r="D223" s="51" t="str">
        <x:f>IF(215&gt;$H$4,"",IF(INDEX('Fleet dates'!$D$9:$D$1008,$I223-8)="","",INDEX('Fleet dates'!$D$9:$D$1008,$I223-8)))</x:f>
      </x:c>
      <x:c r="E223" s="51" t="str">
        <x:f>IF(215&gt;$H$4,"",IF(INDEX('Fleet dates'!$E$9:$E$1008,$I223-8)="","",INDEX('Fleet dates'!$E$9:$E$1008,$I223-8)))</x:f>
      </x:c>
      <x:c r="F223" s="51" t="str">
        <x:f>IF(215&gt;$H$4,"",IF(INDEX('Fleet dates'!$F$9:$F$1008,$I223-8)="","",INDEX('Fleet dates'!$F$9:$F$1008,$I223-8)))</x:f>
      </x:c>
      <x:c r="G223" s="50" t="str">
        <x:f>IF(215&gt;$H$4,"",IF(INDEX('Fleet dates'!$G$9:$G$1008,$I223-8)="","",INDEX('Fleet dates'!$G$9:$G$1008,$I223-8)))</x:f>
      </x:c>
      <x:c r="H223" s="50" t="str">
        <x:f>IF(215&gt;$H$4,"",IF(INDEX('Fleet dates'!$I$9:$I$1008,$I223-8)="","",INDEX('Fleet dates'!$I$9:$I$1008,$I223-8)))</x:f>
      </x:c>
      <x:c r="I223" t="str">
        <x:f>IF(215&gt;$H$4,"",MATCH(215,'Fleet dates'!$J$9:$J$1008,0)+8)</x:f>
      </x:c>
    </x:row>
    <x:row r="224" ht="36" customHeight="1">
      <x:c r="A224" s="50" t="str">
        <x:f>IF(216&gt;$H$4,"",IF(INDEX('Fleet dates'!$A$9:$A$1008,$I224-8)="","",INDEX('Fleet dates'!$A$9:$A$1008,$I224-8)))</x:f>
      </x:c>
      <x:c r="B224" s="50" t="str">
        <x:f>IF(216&gt;$H$4,"",IF(INDEX('Fleet dates'!$B$9:$B$1008,$I224-8)="","",INDEX('Fleet dates'!$B$9:$B$1008,$I224-8)))</x:f>
      </x:c>
      <x:c r="C224" s="51" t="str">
        <x:f>IF(216&gt;$H$4,"",IF(INDEX('Fleet dates'!$C$9:$C$1008,$I224-8)="","",INDEX('Fleet dates'!$C$9:$C$1008,$I224-8)))</x:f>
      </x:c>
      <x:c r="D224" s="51" t="str">
        <x:f>IF(216&gt;$H$4,"",IF(INDEX('Fleet dates'!$D$9:$D$1008,$I224-8)="","",INDEX('Fleet dates'!$D$9:$D$1008,$I224-8)))</x:f>
      </x:c>
      <x:c r="E224" s="51" t="str">
        <x:f>IF(216&gt;$H$4,"",IF(INDEX('Fleet dates'!$E$9:$E$1008,$I224-8)="","",INDEX('Fleet dates'!$E$9:$E$1008,$I224-8)))</x:f>
      </x:c>
      <x:c r="F224" s="51" t="str">
        <x:f>IF(216&gt;$H$4,"",IF(INDEX('Fleet dates'!$F$9:$F$1008,$I224-8)="","",INDEX('Fleet dates'!$F$9:$F$1008,$I224-8)))</x:f>
      </x:c>
      <x:c r="G224" s="50" t="str">
        <x:f>IF(216&gt;$H$4,"",IF(INDEX('Fleet dates'!$G$9:$G$1008,$I224-8)="","",INDEX('Fleet dates'!$G$9:$G$1008,$I224-8)))</x:f>
      </x:c>
      <x:c r="H224" s="50" t="str">
        <x:f>IF(216&gt;$H$4,"",IF(INDEX('Fleet dates'!$I$9:$I$1008,$I224-8)="","",INDEX('Fleet dates'!$I$9:$I$1008,$I224-8)))</x:f>
      </x:c>
      <x:c r="I224" t="str">
        <x:f>IF(216&gt;$H$4,"",MATCH(216,'Fleet dates'!$J$9:$J$1008,0)+8)</x:f>
      </x:c>
    </x:row>
    <x:row r="225" ht="36" customHeight="1">
      <x:c r="A225" s="50" t="str">
        <x:f>IF(217&gt;$H$4,"",IF(INDEX('Fleet dates'!$A$9:$A$1008,$I225-8)="","",INDEX('Fleet dates'!$A$9:$A$1008,$I225-8)))</x:f>
      </x:c>
      <x:c r="B225" s="50" t="str">
        <x:f>IF(217&gt;$H$4,"",IF(INDEX('Fleet dates'!$B$9:$B$1008,$I225-8)="","",INDEX('Fleet dates'!$B$9:$B$1008,$I225-8)))</x:f>
      </x:c>
      <x:c r="C225" s="51" t="str">
        <x:f>IF(217&gt;$H$4,"",IF(INDEX('Fleet dates'!$C$9:$C$1008,$I225-8)="","",INDEX('Fleet dates'!$C$9:$C$1008,$I225-8)))</x:f>
      </x:c>
      <x:c r="D225" s="51" t="str">
        <x:f>IF(217&gt;$H$4,"",IF(INDEX('Fleet dates'!$D$9:$D$1008,$I225-8)="","",INDEX('Fleet dates'!$D$9:$D$1008,$I225-8)))</x:f>
      </x:c>
      <x:c r="E225" s="51" t="str">
        <x:f>IF(217&gt;$H$4,"",IF(INDEX('Fleet dates'!$E$9:$E$1008,$I225-8)="","",INDEX('Fleet dates'!$E$9:$E$1008,$I225-8)))</x:f>
      </x:c>
      <x:c r="F225" s="51" t="str">
        <x:f>IF(217&gt;$H$4,"",IF(INDEX('Fleet dates'!$F$9:$F$1008,$I225-8)="","",INDEX('Fleet dates'!$F$9:$F$1008,$I225-8)))</x:f>
      </x:c>
      <x:c r="G225" s="50" t="str">
        <x:f>IF(217&gt;$H$4,"",IF(INDEX('Fleet dates'!$G$9:$G$1008,$I225-8)="","",INDEX('Fleet dates'!$G$9:$G$1008,$I225-8)))</x:f>
      </x:c>
      <x:c r="H225" s="50" t="str">
        <x:f>IF(217&gt;$H$4,"",IF(INDEX('Fleet dates'!$I$9:$I$1008,$I225-8)="","",INDEX('Fleet dates'!$I$9:$I$1008,$I225-8)))</x:f>
      </x:c>
      <x:c r="I225" t="str">
        <x:f>IF(217&gt;$H$4,"",MATCH(217,'Fleet dates'!$J$9:$J$1008,0)+8)</x:f>
      </x:c>
    </x:row>
    <x:row r="226" ht="36" customHeight="1">
      <x:c r="A226" s="50" t="str">
        <x:f>IF(218&gt;$H$4,"",IF(INDEX('Fleet dates'!$A$9:$A$1008,$I226-8)="","",INDEX('Fleet dates'!$A$9:$A$1008,$I226-8)))</x:f>
      </x:c>
      <x:c r="B226" s="50" t="str">
        <x:f>IF(218&gt;$H$4,"",IF(INDEX('Fleet dates'!$B$9:$B$1008,$I226-8)="","",INDEX('Fleet dates'!$B$9:$B$1008,$I226-8)))</x:f>
      </x:c>
      <x:c r="C226" s="51" t="str">
        <x:f>IF(218&gt;$H$4,"",IF(INDEX('Fleet dates'!$C$9:$C$1008,$I226-8)="","",INDEX('Fleet dates'!$C$9:$C$1008,$I226-8)))</x:f>
      </x:c>
      <x:c r="D226" s="51" t="str">
        <x:f>IF(218&gt;$H$4,"",IF(INDEX('Fleet dates'!$D$9:$D$1008,$I226-8)="","",INDEX('Fleet dates'!$D$9:$D$1008,$I226-8)))</x:f>
      </x:c>
      <x:c r="E226" s="51" t="str">
        <x:f>IF(218&gt;$H$4,"",IF(INDEX('Fleet dates'!$E$9:$E$1008,$I226-8)="","",INDEX('Fleet dates'!$E$9:$E$1008,$I226-8)))</x:f>
      </x:c>
      <x:c r="F226" s="51" t="str">
        <x:f>IF(218&gt;$H$4,"",IF(INDEX('Fleet dates'!$F$9:$F$1008,$I226-8)="","",INDEX('Fleet dates'!$F$9:$F$1008,$I226-8)))</x:f>
      </x:c>
      <x:c r="G226" s="50" t="str">
        <x:f>IF(218&gt;$H$4,"",IF(INDEX('Fleet dates'!$G$9:$G$1008,$I226-8)="","",INDEX('Fleet dates'!$G$9:$G$1008,$I226-8)))</x:f>
      </x:c>
      <x:c r="H226" s="50" t="str">
        <x:f>IF(218&gt;$H$4,"",IF(INDEX('Fleet dates'!$I$9:$I$1008,$I226-8)="","",INDEX('Fleet dates'!$I$9:$I$1008,$I226-8)))</x:f>
      </x:c>
      <x:c r="I226" t="str">
        <x:f>IF(218&gt;$H$4,"",MATCH(218,'Fleet dates'!$J$9:$J$1008,0)+8)</x:f>
      </x:c>
    </x:row>
    <x:row r="227" ht="36" customHeight="1">
      <x:c r="A227" s="50" t="str">
        <x:f>IF(219&gt;$H$4,"",IF(INDEX('Fleet dates'!$A$9:$A$1008,$I227-8)="","",INDEX('Fleet dates'!$A$9:$A$1008,$I227-8)))</x:f>
      </x:c>
      <x:c r="B227" s="50" t="str">
        <x:f>IF(219&gt;$H$4,"",IF(INDEX('Fleet dates'!$B$9:$B$1008,$I227-8)="","",INDEX('Fleet dates'!$B$9:$B$1008,$I227-8)))</x:f>
      </x:c>
      <x:c r="C227" s="51" t="str">
        <x:f>IF(219&gt;$H$4,"",IF(INDEX('Fleet dates'!$C$9:$C$1008,$I227-8)="","",INDEX('Fleet dates'!$C$9:$C$1008,$I227-8)))</x:f>
      </x:c>
      <x:c r="D227" s="51" t="str">
        <x:f>IF(219&gt;$H$4,"",IF(INDEX('Fleet dates'!$D$9:$D$1008,$I227-8)="","",INDEX('Fleet dates'!$D$9:$D$1008,$I227-8)))</x:f>
      </x:c>
      <x:c r="E227" s="51" t="str">
        <x:f>IF(219&gt;$H$4,"",IF(INDEX('Fleet dates'!$E$9:$E$1008,$I227-8)="","",INDEX('Fleet dates'!$E$9:$E$1008,$I227-8)))</x:f>
      </x:c>
      <x:c r="F227" s="51" t="str">
        <x:f>IF(219&gt;$H$4,"",IF(INDEX('Fleet dates'!$F$9:$F$1008,$I227-8)="","",INDEX('Fleet dates'!$F$9:$F$1008,$I227-8)))</x:f>
      </x:c>
      <x:c r="G227" s="50" t="str">
        <x:f>IF(219&gt;$H$4,"",IF(INDEX('Fleet dates'!$G$9:$G$1008,$I227-8)="","",INDEX('Fleet dates'!$G$9:$G$1008,$I227-8)))</x:f>
      </x:c>
      <x:c r="H227" s="50" t="str">
        <x:f>IF(219&gt;$H$4,"",IF(INDEX('Fleet dates'!$I$9:$I$1008,$I227-8)="","",INDEX('Fleet dates'!$I$9:$I$1008,$I227-8)))</x:f>
      </x:c>
      <x:c r="I227" t="str">
        <x:f>IF(219&gt;$H$4,"",MATCH(219,'Fleet dates'!$J$9:$J$1008,0)+8)</x:f>
      </x:c>
    </x:row>
    <x:row r="228" ht="36" customHeight="1">
      <x:c r="A228" s="50" t="str">
        <x:f>IF(220&gt;$H$4,"",IF(INDEX('Fleet dates'!$A$9:$A$1008,$I228-8)="","",INDEX('Fleet dates'!$A$9:$A$1008,$I228-8)))</x:f>
      </x:c>
      <x:c r="B228" s="50" t="str">
        <x:f>IF(220&gt;$H$4,"",IF(INDEX('Fleet dates'!$B$9:$B$1008,$I228-8)="","",INDEX('Fleet dates'!$B$9:$B$1008,$I228-8)))</x:f>
      </x:c>
      <x:c r="C228" s="51" t="str">
        <x:f>IF(220&gt;$H$4,"",IF(INDEX('Fleet dates'!$C$9:$C$1008,$I228-8)="","",INDEX('Fleet dates'!$C$9:$C$1008,$I228-8)))</x:f>
      </x:c>
      <x:c r="D228" s="51" t="str">
        <x:f>IF(220&gt;$H$4,"",IF(INDEX('Fleet dates'!$D$9:$D$1008,$I228-8)="","",INDEX('Fleet dates'!$D$9:$D$1008,$I228-8)))</x:f>
      </x:c>
      <x:c r="E228" s="51" t="str">
        <x:f>IF(220&gt;$H$4,"",IF(INDEX('Fleet dates'!$E$9:$E$1008,$I228-8)="","",INDEX('Fleet dates'!$E$9:$E$1008,$I228-8)))</x:f>
      </x:c>
      <x:c r="F228" s="51" t="str">
        <x:f>IF(220&gt;$H$4,"",IF(INDEX('Fleet dates'!$F$9:$F$1008,$I228-8)="","",INDEX('Fleet dates'!$F$9:$F$1008,$I228-8)))</x:f>
      </x:c>
      <x:c r="G228" s="50" t="str">
        <x:f>IF(220&gt;$H$4,"",IF(INDEX('Fleet dates'!$G$9:$G$1008,$I228-8)="","",INDEX('Fleet dates'!$G$9:$G$1008,$I228-8)))</x:f>
      </x:c>
      <x:c r="H228" s="50" t="str">
        <x:f>IF(220&gt;$H$4,"",IF(INDEX('Fleet dates'!$I$9:$I$1008,$I228-8)="","",INDEX('Fleet dates'!$I$9:$I$1008,$I228-8)))</x:f>
      </x:c>
      <x:c r="I228" t="str">
        <x:f>IF(220&gt;$H$4,"",MATCH(220,'Fleet dates'!$J$9:$J$1008,0)+8)</x:f>
      </x:c>
    </x:row>
    <x:row r="229" ht="36" customHeight="1">
      <x:c r="A229" s="50" t="str">
        <x:f>IF(221&gt;$H$4,"",IF(INDEX('Fleet dates'!$A$9:$A$1008,$I229-8)="","",INDEX('Fleet dates'!$A$9:$A$1008,$I229-8)))</x:f>
      </x:c>
      <x:c r="B229" s="50" t="str">
        <x:f>IF(221&gt;$H$4,"",IF(INDEX('Fleet dates'!$B$9:$B$1008,$I229-8)="","",INDEX('Fleet dates'!$B$9:$B$1008,$I229-8)))</x:f>
      </x:c>
      <x:c r="C229" s="51" t="str">
        <x:f>IF(221&gt;$H$4,"",IF(INDEX('Fleet dates'!$C$9:$C$1008,$I229-8)="","",INDEX('Fleet dates'!$C$9:$C$1008,$I229-8)))</x:f>
      </x:c>
      <x:c r="D229" s="51" t="str">
        <x:f>IF(221&gt;$H$4,"",IF(INDEX('Fleet dates'!$D$9:$D$1008,$I229-8)="","",INDEX('Fleet dates'!$D$9:$D$1008,$I229-8)))</x:f>
      </x:c>
      <x:c r="E229" s="51" t="str">
        <x:f>IF(221&gt;$H$4,"",IF(INDEX('Fleet dates'!$E$9:$E$1008,$I229-8)="","",INDEX('Fleet dates'!$E$9:$E$1008,$I229-8)))</x:f>
      </x:c>
      <x:c r="F229" s="51" t="str">
        <x:f>IF(221&gt;$H$4,"",IF(INDEX('Fleet dates'!$F$9:$F$1008,$I229-8)="","",INDEX('Fleet dates'!$F$9:$F$1008,$I229-8)))</x:f>
      </x:c>
      <x:c r="G229" s="50" t="str">
        <x:f>IF(221&gt;$H$4,"",IF(INDEX('Fleet dates'!$G$9:$G$1008,$I229-8)="","",INDEX('Fleet dates'!$G$9:$G$1008,$I229-8)))</x:f>
      </x:c>
      <x:c r="H229" s="50" t="str">
        <x:f>IF(221&gt;$H$4,"",IF(INDEX('Fleet dates'!$I$9:$I$1008,$I229-8)="","",INDEX('Fleet dates'!$I$9:$I$1008,$I229-8)))</x:f>
      </x:c>
      <x:c r="I229" t="str">
        <x:f>IF(221&gt;$H$4,"",MATCH(221,'Fleet dates'!$J$9:$J$1008,0)+8)</x:f>
      </x:c>
    </x:row>
    <x:row r="230" ht="36" customHeight="1">
      <x:c r="A230" s="50" t="str">
        <x:f>IF(222&gt;$H$4,"",IF(INDEX('Fleet dates'!$A$9:$A$1008,$I230-8)="","",INDEX('Fleet dates'!$A$9:$A$1008,$I230-8)))</x:f>
      </x:c>
      <x:c r="B230" s="50" t="str">
        <x:f>IF(222&gt;$H$4,"",IF(INDEX('Fleet dates'!$B$9:$B$1008,$I230-8)="","",INDEX('Fleet dates'!$B$9:$B$1008,$I230-8)))</x:f>
      </x:c>
      <x:c r="C230" s="51" t="str">
        <x:f>IF(222&gt;$H$4,"",IF(INDEX('Fleet dates'!$C$9:$C$1008,$I230-8)="","",INDEX('Fleet dates'!$C$9:$C$1008,$I230-8)))</x:f>
      </x:c>
      <x:c r="D230" s="51" t="str">
        <x:f>IF(222&gt;$H$4,"",IF(INDEX('Fleet dates'!$D$9:$D$1008,$I230-8)="","",INDEX('Fleet dates'!$D$9:$D$1008,$I230-8)))</x:f>
      </x:c>
      <x:c r="E230" s="51" t="str">
        <x:f>IF(222&gt;$H$4,"",IF(INDEX('Fleet dates'!$E$9:$E$1008,$I230-8)="","",INDEX('Fleet dates'!$E$9:$E$1008,$I230-8)))</x:f>
      </x:c>
      <x:c r="F230" s="51" t="str">
        <x:f>IF(222&gt;$H$4,"",IF(INDEX('Fleet dates'!$F$9:$F$1008,$I230-8)="","",INDEX('Fleet dates'!$F$9:$F$1008,$I230-8)))</x:f>
      </x:c>
      <x:c r="G230" s="50" t="str">
        <x:f>IF(222&gt;$H$4,"",IF(INDEX('Fleet dates'!$G$9:$G$1008,$I230-8)="","",INDEX('Fleet dates'!$G$9:$G$1008,$I230-8)))</x:f>
      </x:c>
      <x:c r="H230" s="50" t="str">
        <x:f>IF(222&gt;$H$4,"",IF(INDEX('Fleet dates'!$I$9:$I$1008,$I230-8)="","",INDEX('Fleet dates'!$I$9:$I$1008,$I230-8)))</x:f>
      </x:c>
      <x:c r="I230" t="str">
        <x:f>IF(222&gt;$H$4,"",MATCH(222,'Fleet dates'!$J$9:$J$1008,0)+8)</x:f>
      </x:c>
    </x:row>
    <x:row r="231" ht="36" customHeight="1">
      <x:c r="A231" s="50" t="str">
        <x:f>IF(223&gt;$H$4,"",IF(INDEX('Fleet dates'!$A$9:$A$1008,$I231-8)="","",INDEX('Fleet dates'!$A$9:$A$1008,$I231-8)))</x:f>
      </x:c>
      <x:c r="B231" s="50" t="str">
        <x:f>IF(223&gt;$H$4,"",IF(INDEX('Fleet dates'!$B$9:$B$1008,$I231-8)="","",INDEX('Fleet dates'!$B$9:$B$1008,$I231-8)))</x:f>
      </x:c>
      <x:c r="C231" s="51" t="str">
        <x:f>IF(223&gt;$H$4,"",IF(INDEX('Fleet dates'!$C$9:$C$1008,$I231-8)="","",INDEX('Fleet dates'!$C$9:$C$1008,$I231-8)))</x:f>
      </x:c>
      <x:c r="D231" s="51" t="str">
        <x:f>IF(223&gt;$H$4,"",IF(INDEX('Fleet dates'!$D$9:$D$1008,$I231-8)="","",INDEX('Fleet dates'!$D$9:$D$1008,$I231-8)))</x:f>
      </x:c>
      <x:c r="E231" s="51" t="str">
        <x:f>IF(223&gt;$H$4,"",IF(INDEX('Fleet dates'!$E$9:$E$1008,$I231-8)="","",INDEX('Fleet dates'!$E$9:$E$1008,$I231-8)))</x:f>
      </x:c>
      <x:c r="F231" s="51" t="str">
        <x:f>IF(223&gt;$H$4,"",IF(INDEX('Fleet dates'!$F$9:$F$1008,$I231-8)="","",INDEX('Fleet dates'!$F$9:$F$1008,$I231-8)))</x:f>
      </x:c>
      <x:c r="G231" s="50" t="str">
        <x:f>IF(223&gt;$H$4,"",IF(INDEX('Fleet dates'!$G$9:$G$1008,$I231-8)="","",INDEX('Fleet dates'!$G$9:$G$1008,$I231-8)))</x:f>
      </x:c>
      <x:c r="H231" s="50" t="str">
        <x:f>IF(223&gt;$H$4,"",IF(INDEX('Fleet dates'!$I$9:$I$1008,$I231-8)="","",INDEX('Fleet dates'!$I$9:$I$1008,$I231-8)))</x:f>
      </x:c>
      <x:c r="I231" t="str">
        <x:f>IF(223&gt;$H$4,"",MATCH(223,'Fleet dates'!$J$9:$J$1008,0)+8)</x:f>
      </x:c>
    </x:row>
    <x:row r="232" ht="36" customHeight="1">
      <x:c r="A232" s="50" t="str">
        <x:f>IF(224&gt;$H$4,"",IF(INDEX('Fleet dates'!$A$9:$A$1008,$I232-8)="","",INDEX('Fleet dates'!$A$9:$A$1008,$I232-8)))</x:f>
      </x:c>
      <x:c r="B232" s="50" t="str">
        <x:f>IF(224&gt;$H$4,"",IF(INDEX('Fleet dates'!$B$9:$B$1008,$I232-8)="","",INDEX('Fleet dates'!$B$9:$B$1008,$I232-8)))</x:f>
      </x:c>
      <x:c r="C232" s="51" t="str">
        <x:f>IF(224&gt;$H$4,"",IF(INDEX('Fleet dates'!$C$9:$C$1008,$I232-8)="","",INDEX('Fleet dates'!$C$9:$C$1008,$I232-8)))</x:f>
      </x:c>
      <x:c r="D232" s="51" t="str">
        <x:f>IF(224&gt;$H$4,"",IF(INDEX('Fleet dates'!$D$9:$D$1008,$I232-8)="","",INDEX('Fleet dates'!$D$9:$D$1008,$I232-8)))</x:f>
      </x:c>
      <x:c r="E232" s="51" t="str">
        <x:f>IF(224&gt;$H$4,"",IF(INDEX('Fleet dates'!$E$9:$E$1008,$I232-8)="","",INDEX('Fleet dates'!$E$9:$E$1008,$I232-8)))</x:f>
      </x:c>
      <x:c r="F232" s="51" t="str">
        <x:f>IF(224&gt;$H$4,"",IF(INDEX('Fleet dates'!$F$9:$F$1008,$I232-8)="","",INDEX('Fleet dates'!$F$9:$F$1008,$I232-8)))</x:f>
      </x:c>
      <x:c r="G232" s="50" t="str">
        <x:f>IF(224&gt;$H$4,"",IF(INDEX('Fleet dates'!$G$9:$G$1008,$I232-8)="","",INDEX('Fleet dates'!$G$9:$G$1008,$I232-8)))</x:f>
      </x:c>
      <x:c r="H232" s="50" t="str">
        <x:f>IF(224&gt;$H$4,"",IF(INDEX('Fleet dates'!$I$9:$I$1008,$I232-8)="","",INDEX('Fleet dates'!$I$9:$I$1008,$I232-8)))</x:f>
      </x:c>
      <x:c r="I232" t="str">
        <x:f>IF(224&gt;$H$4,"",MATCH(224,'Fleet dates'!$J$9:$J$1008,0)+8)</x:f>
      </x:c>
    </x:row>
    <x:row r="233" ht="36" customHeight="1">
      <x:c r="A233" s="50" t="str">
        <x:f>IF(225&gt;$H$4,"",IF(INDEX('Fleet dates'!$A$9:$A$1008,$I233-8)="","",INDEX('Fleet dates'!$A$9:$A$1008,$I233-8)))</x:f>
      </x:c>
      <x:c r="B233" s="50" t="str">
        <x:f>IF(225&gt;$H$4,"",IF(INDEX('Fleet dates'!$B$9:$B$1008,$I233-8)="","",INDEX('Fleet dates'!$B$9:$B$1008,$I233-8)))</x:f>
      </x:c>
      <x:c r="C233" s="51" t="str">
        <x:f>IF(225&gt;$H$4,"",IF(INDEX('Fleet dates'!$C$9:$C$1008,$I233-8)="","",INDEX('Fleet dates'!$C$9:$C$1008,$I233-8)))</x:f>
      </x:c>
      <x:c r="D233" s="51" t="str">
        <x:f>IF(225&gt;$H$4,"",IF(INDEX('Fleet dates'!$D$9:$D$1008,$I233-8)="","",INDEX('Fleet dates'!$D$9:$D$1008,$I233-8)))</x:f>
      </x:c>
      <x:c r="E233" s="51" t="str">
        <x:f>IF(225&gt;$H$4,"",IF(INDEX('Fleet dates'!$E$9:$E$1008,$I233-8)="","",INDEX('Fleet dates'!$E$9:$E$1008,$I233-8)))</x:f>
      </x:c>
      <x:c r="F233" s="51" t="str">
        <x:f>IF(225&gt;$H$4,"",IF(INDEX('Fleet dates'!$F$9:$F$1008,$I233-8)="","",INDEX('Fleet dates'!$F$9:$F$1008,$I233-8)))</x:f>
      </x:c>
      <x:c r="G233" s="50" t="str">
        <x:f>IF(225&gt;$H$4,"",IF(INDEX('Fleet dates'!$G$9:$G$1008,$I233-8)="","",INDEX('Fleet dates'!$G$9:$G$1008,$I233-8)))</x:f>
      </x:c>
      <x:c r="H233" s="50" t="str">
        <x:f>IF(225&gt;$H$4,"",IF(INDEX('Fleet dates'!$I$9:$I$1008,$I233-8)="","",INDEX('Fleet dates'!$I$9:$I$1008,$I233-8)))</x:f>
      </x:c>
      <x:c r="I233" t="str">
        <x:f>IF(225&gt;$H$4,"",MATCH(225,'Fleet dates'!$J$9:$J$1008,0)+8)</x:f>
      </x:c>
    </x:row>
    <x:row r="234" ht="36" customHeight="1">
      <x:c r="A234" s="50" t="str">
        <x:f>IF(226&gt;$H$4,"",IF(INDEX('Fleet dates'!$A$9:$A$1008,$I234-8)="","",INDEX('Fleet dates'!$A$9:$A$1008,$I234-8)))</x:f>
      </x:c>
      <x:c r="B234" s="50" t="str">
        <x:f>IF(226&gt;$H$4,"",IF(INDEX('Fleet dates'!$B$9:$B$1008,$I234-8)="","",INDEX('Fleet dates'!$B$9:$B$1008,$I234-8)))</x:f>
      </x:c>
      <x:c r="C234" s="51" t="str">
        <x:f>IF(226&gt;$H$4,"",IF(INDEX('Fleet dates'!$C$9:$C$1008,$I234-8)="","",INDEX('Fleet dates'!$C$9:$C$1008,$I234-8)))</x:f>
      </x:c>
      <x:c r="D234" s="51" t="str">
        <x:f>IF(226&gt;$H$4,"",IF(INDEX('Fleet dates'!$D$9:$D$1008,$I234-8)="","",INDEX('Fleet dates'!$D$9:$D$1008,$I234-8)))</x:f>
      </x:c>
      <x:c r="E234" s="51" t="str">
        <x:f>IF(226&gt;$H$4,"",IF(INDEX('Fleet dates'!$E$9:$E$1008,$I234-8)="","",INDEX('Fleet dates'!$E$9:$E$1008,$I234-8)))</x:f>
      </x:c>
      <x:c r="F234" s="51" t="str">
        <x:f>IF(226&gt;$H$4,"",IF(INDEX('Fleet dates'!$F$9:$F$1008,$I234-8)="","",INDEX('Fleet dates'!$F$9:$F$1008,$I234-8)))</x:f>
      </x:c>
      <x:c r="G234" s="50" t="str">
        <x:f>IF(226&gt;$H$4,"",IF(INDEX('Fleet dates'!$G$9:$G$1008,$I234-8)="","",INDEX('Fleet dates'!$G$9:$G$1008,$I234-8)))</x:f>
      </x:c>
      <x:c r="H234" s="50" t="str">
        <x:f>IF(226&gt;$H$4,"",IF(INDEX('Fleet dates'!$I$9:$I$1008,$I234-8)="","",INDEX('Fleet dates'!$I$9:$I$1008,$I234-8)))</x:f>
      </x:c>
      <x:c r="I234" t="str">
        <x:f>IF(226&gt;$H$4,"",MATCH(226,'Fleet dates'!$J$9:$J$1008,0)+8)</x:f>
      </x:c>
    </x:row>
    <x:row r="235" ht="36" customHeight="1">
      <x:c r="A235" s="50" t="str">
        <x:f>IF(227&gt;$H$4,"",IF(INDEX('Fleet dates'!$A$9:$A$1008,$I235-8)="","",INDEX('Fleet dates'!$A$9:$A$1008,$I235-8)))</x:f>
      </x:c>
      <x:c r="B235" s="50" t="str">
        <x:f>IF(227&gt;$H$4,"",IF(INDEX('Fleet dates'!$B$9:$B$1008,$I235-8)="","",INDEX('Fleet dates'!$B$9:$B$1008,$I235-8)))</x:f>
      </x:c>
      <x:c r="C235" s="51" t="str">
        <x:f>IF(227&gt;$H$4,"",IF(INDEX('Fleet dates'!$C$9:$C$1008,$I235-8)="","",INDEX('Fleet dates'!$C$9:$C$1008,$I235-8)))</x:f>
      </x:c>
      <x:c r="D235" s="51" t="str">
        <x:f>IF(227&gt;$H$4,"",IF(INDEX('Fleet dates'!$D$9:$D$1008,$I235-8)="","",INDEX('Fleet dates'!$D$9:$D$1008,$I235-8)))</x:f>
      </x:c>
      <x:c r="E235" s="51" t="str">
        <x:f>IF(227&gt;$H$4,"",IF(INDEX('Fleet dates'!$E$9:$E$1008,$I235-8)="","",INDEX('Fleet dates'!$E$9:$E$1008,$I235-8)))</x:f>
      </x:c>
      <x:c r="F235" s="51" t="str">
        <x:f>IF(227&gt;$H$4,"",IF(INDEX('Fleet dates'!$F$9:$F$1008,$I235-8)="","",INDEX('Fleet dates'!$F$9:$F$1008,$I235-8)))</x:f>
      </x:c>
      <x:c r="G235" s="50" t="str">
        <x:f>IF(227&gt;$H$4,"",IF(INDEX('Fleet dates'!$G$9:$G$1008,$I235-8)="","",INDEX('Fleet dates'!$G$9:$G$1008,$I235-8)))</x:f>
      </x:c>
      <x:c r="H235" s="50" t="str">
        <x:f>IF(227&gt;$H$4,"",IF(INDEX('Fleet dates'!$I$9:$I$1008,$I235-8)="","",INDEX('Fleet dates'!$I$9:$I$1008,$I235-8)))</x:f>
      </x:c>
      <x:c r="I235" t="str">
        <x:f>IF(227&gt;$H$4,"",MATCH(227,'Fleet dates'!$J$9:$J$1008,0)+8)</x:f>
      </x:c>
    </x:row>
    <x:row r="236" ht="36" customHeight="1">
      <x:c r="A236" s="50" t="str">
        <x:f>IF(228&gt;$H$4,"",IF(INDEX('Fleet dates'!$A$9:$A$1008,$I236-8)="","",INDEX('Fleet dates'!$A$9:$A$1008,$I236-8)))</x:f>
      </x:c>
      <x:c r="B236" s="50" t="str">
        <x:f>IF(228&gt;$H$4,"",IF(INDEX('Fleet dates'!$B$9:$B$1008,$I236-8)="","",INDEX('Fleet dates'!$B$9:$B$1008,$I236-8)))</x:f>
      </x:c>
      <x:c r="C236" s="51" t="str">
        <x:f>IF(228&gt;$H$4,"",IF(INDEX('Fleet dates'!$C$9:$C$1008,$I236-8)="","",INDEX('Fleet dates'!$C$9:$C$1008,$I236-8)))</x:f>
      </x:c>
      <x:c r="D236" s="51" t="str">
        <x:f>IF(228&gt;$H$4,"",IF(INDEX('Fleet dates'!$D$9:$D$1008,$I236-8)="","",INDEX('Fleet dates'!$D$9:$D$1008,$I236-8)))</x:f>
      </x:c>
      <x:c r="E236" s="51" t="str">
        <x:f>IF(228&gt;$H$4,"",IF(INDEX('Fleet dates'!$E$9:$E$1008,$I236-8)="","",INDEX('Fleet dates'!$E$9:$E$1008,$I236-8)))</x:f>
      </x:c>
      <x:c r="F236" s="51" t="str">
        <x:f>IF(228&gt;$H$4,"",IF(INDEX('Fleet dates'!$F$9:$F$1008,$I236-8)="","",INDEX('Fleet dates'!$F$9:$F$1008,$I236-8)))</x:f>
      </x:c>
      <x:c r="G236" s="50" t="str">
        <x:f>IF(228&gt;$H$4,"",IF(INDEX('Fleet dates'!$G$9:$G$1008,$I236-8)="","",INDEX('Fleet dates'!$G$9:$G$1008,$I236-8)))</x:f>
      </x:c>
      <x:c r="H236" s="50" t="str">
        <x:f>IF(228&gt;$H$4,"",IF(INDEX('Fleet dates'!$I$9:$I$1008,$I236-8)="","",INDEX('Fleet dates'!$I$9:$I$1008,$I236-8)))</x:f>
      </x:c>
      <x:c r="I236" t="str">
        <x:f>IF(228&gt;$H$4,"",MATCH(228,'Fleet dates'!$J$9:$J$1008,0)+8)</x:f>
      </x:c>
    </x:row>
    <x:row r="237" ht="36" customHeight="1">
      <x:c r="A237" s="50" t="str">
        <x:f>IF(229&gt;$H$4,"",IF(INDEX('Fleet dates'!$A$9:$A$1008,$I237-8)="","",INDEX('Fleet dates'!$A$9:$A$1008,$I237-8)))</x:f>
      </x:c>
      <x:c r="B237" s="50" t="str">
        <x:f>IF(229&gt;$H$4,"",IF(INDEX('Fleet dates'!$B$9:$B$1008,$I237-8)="","",INDEX('Fleet dates'!$B$9:$B$1008,$I237-8)))</x:f>
      </x:c>
      <x:c r="C237" s="51" t="str">
        <x:f>IF(229&gt;$H$4,"",IF(INDEX('Fleet dates'!$C$9:$C$1008,$I237-8)="","",INDEX('Fleet dates'!$C$9:$C$1008,$I237-8)))</x:f>
      </x:c>
      <x:c r="D237" s="51" t="str">
        <x:f>IF(229&gt;$H$4,"",IF(INDEX('Fleet dates'!$D$9:$D$1008,$I237-8)="","",INDEX('Fleet dates'!$D$9:$D$1008,$I237-8)))</x:f>
      </x:c>
      <x:c r="E237" s="51" t="str">
        <x:f>IF(229&gt;$H$4,"",IF(INDEX('Fleet dates'!$E$9:$E$1008,$I237-8)="","",INDEX('Fleet dates'!$E$9:$E$1008,$I237-8)))</x:f>
      </x:c>
      <x:c r="F237" s="51" t="str">
        <x:f>IF(229&gt;$H$4,"",IF(INDEX('Fleet dates'!$F$9:$F$1008,$I237-8)="","",INDEX('Fleet dates'!$F$9:$F$1008,$I237-8)))</x:f>
      </x:c>
      <x:c r="G237" s="50" t="str">
        <x:f>IF(229&gt;$H$4,"",IF(INDEX('Fleet dates'!$G$9:$G$1008,$I237-8)="","",INDEX('Fleet dates'!$G$9:$G$1008,$I237-8)))</x:f>
      </x:c>
      <x:c r="H237" s="50" t="str">
        <x:f>IF(229&gt;$H$4,"",IF(INDEX('Fleet dates'!$I$9:$I$1008,$I237-8)="","",INDEX('Fleet dates'!$I$9:$I$1008,$I237-8)))</x:f>
      </x:c>
      <x:c r="I237" t="str">
        <x:f>IF(229&gt;$H$4,"",MATCH(229,'Fleet dates'!$J$9:$J$1008,0)+8)</x:f>
      </x:c>
    </x:row>
    <x:row r="238" ht="36" customHeight="1">
      <x:c r="A238" s="50" t="str">
        <x:f>IF(230&gt;$H$4,"",IF(INDEX('Fleet dates'!$A$9:$A$1008,$I238-8)="","",INDEX('Fleet dates'!$A$9:$A$1008,$I238-8)))</x:f>
      </x:c>
      <x:c r="B238" s="50" t="str">
        <x:f>IF(230&gt;$H$4,"",IF(INDEX('Fleet dates'!$B$9:$B$1008,$I238-8)="","",INDEX('Fleet dates'!$B$9:$B$1008,$I238-8)))</x:f>
      </x:c>
      <x:c r="C238" s="51" t="str">
        <x:f>IF(230&gt;$H$4,"",IF(INDEX('Fleet dates'!$C$9:$C$1008,$I238-8)="","",INDEX('Fleet dates'!$C$9:$C$1008,$I238-8)))</x:f>
      </x:c>
      <x:c r="D238" s="51" t="str">
        <x:f>IF(230&gt;$H$4,"",IF(INDEX('Fleet dates'!$D$9:$D$1008,$I238-8)="","",INDEX('Fleet dates'!$D$9:$D$1008,$I238-8)))</x:f>
      </x:c>
      <x:c r="E238" s="51" t="str">
        <x:f>IF(230&gt;$H$4,"",IF(INDEX('Fleet dates'!$E$9:$E$1008,$I238-8)="","",INDEX('Fleet dates'!$E$9:$E$1008,$I238-8)))</x:f>
      </x:c>
      <x:c r="F238" s="51" t="str">
        <x:f>IF(230&gt;$H$4,"",IF(INDEX('Fleet dates'!$F$9:$F$1008,$I238-8)="","",INDEX('Fleet dates'!$F$9:$F$1008,$I238-8)))</x:f>
      </x:c>
      <x:c r="G238" s="50" t="str">
        <x:f>IF(230&gt;$H$4,"",IF(INDEX('Fleet dates'!$G$9:$G$1008,$I238-8)="","",INDEX('Fleet dates'!$G$9:$G$1008,$I238-8)))</x:f>
      </x:c>
      <x:c r="H238" s="50" t="str">
        <x:f>IF(230&gt;$H$4,"",IF(INDEX('Fleet dates'!$I$9:$I$1008,$I238-8)="","",INDEX('Fleet dates'!$I$9:$I$1008,$I238-8)))</x:f>
      </x:c>
      <x:c r="I238" t="str">
        <x:f>IF(230&gt;$H$4,"",MATCH(230,'Fleet dates'!$J$9:$J$1008,0)+8)</x:f>
      </x:c>
    </x:row>
    <x:row r="239" ht="36" customHeight="1">
      <x:c r="A239" s="50" t="str">
        <x:f>IF(231&gt;$H$4,"",IF(INDEX('Fleet dates'!$A$9:$A$1008,$I239-8)="","",INDEX('Fleet dates'!$A$9:$A$1008,$I239-8)))</x:f>
      </x:c>
      <x:c r="B239" s="50" t="str">
        <x:f>IF(231&gt;$H$4,"",IF(INDEX('Fleet dates'!$B$9:$B$1008,$I239-8)="","",INDEX('Fleet dates'!$B$9:$B$1008,$I239-8)))</x:f>
      </x:c>
      <x:c r="C239" s="51" t="str">
        <x:f>IF(231&gt;$H$4,"",IF(INDEX('Fleet dates'!$C$9:$C$1008,$I239-8)="","",INDEX('Fleet dates'!$C$9:$C$1008,$I239-8)))</x:f>
      </x:c>
      <x:c r="D239" s="51" t="str">
        <x:f>IF(231&gt;$H$4,"",IF(INDEX('Fleet dates'!$D$9:$D$1008,$I239-8)="","",INDEX('Fleet dates'!$D$9:$D$1008,$I239-8)))</x:f>
      </x:c>
      <x:c r="E239" s="51" t="str">
        <x:f>IF(231&gt;$H$4,"",IF(INDEX('Fleet dates'!$E$9:$E$1008,$I239-8)="","",INDEX('Fleet dates'!$E$9:$E$1008,$I239-8)))</x:f>
      </x:c>
      <x:c r="F239" s="51" t="str">
        <x:f>IF(231&gt;$H$4,"",IF(INDEX('Fleet dates'!$F$9:$F$1008,$I239-8)="","",INDEX('Fleet dates'!$F$9:$F$1008,$I239-8)))</x:f>
      </x:c>
      <x:c r="G239" s="50" t="str">
        <x:f>IF(231&gt;$H$4,"",IF(INDEX('Fleet dates'!$G$9:$G$1008,$I239-8)="","",INDEX('Fleet dates'!$G$9:$G$1008,$I239-8)))</x:f>
      </x:c>
      <x:c r="H239" s="50" t="str">
        <x:f>IF(231&gt;$H$4,"",IF(INDEX('Fleet dates'!$I$9:$I$1008,$I239-8)="","",INDEX('Fleet dates'!$I$9:$I$1008,$I239-8)))</x:f>
      </x:c>
      <x:c r="I239" t="str">
        <x:f>IF(231&gt;$H$4,"",MATCH(231,'Fleet dates'!$J$9:$J$1008,0)+8)</x:f>
      </x:c>
    </x:row>
    <x:row r="240" ht="36" customHeight="1">
      <x:c r="A240" s="50" t="str">
        <x:f>IF(232&gt;$H$4,"",IF(INDEX('Fleet dates'!$A$9:$A$1008,$I240-8)="","",INDEX('Fleet dates'!$A$9:$A$1008,$I240-8)))</x:f>
      </x:c>
      <x:c r="B240" s="50" t="str">
        <x:f>IF(232&gt;$H$4,"",IF(INDEX('Fleet dates'!$B$9:$B$1008,$I240-8)="","",INDEX('Fleet dates'!$B$9:$B$1008,$I240-8)))</x:f>
      </x:c>
      <x:c r="C240" s="51" t="str">
        <x:f>IF(232&gt;$H$4,"",IF(INDEX('Fleet dates'!$C$9:$C$1008,$I240-8)="","",INDEX('Fleet dates'!$C$9:$C$1008,$I240-8)))</x:f>
      </x:c>
      <x:c r="D240" s="51" t="str">
        <x:f>IF(232&gt;$H$4,"",IF(INDEX('Fleet dates'!$D$9:$D$1008,$I240-8)="","",INDEX('Fleet dates'!$D$9:$D$1008,$I240-8)))</x:f>
      </x:c>
      <x:c r="E240" s="51" t="str">
        <x:f>IF(232&gt;$H$4,"",IF(INDEX('Fleet dates'!$E$9:$E$1008,$I240-8)="","",INDEX('Fleet dates'!$E$9:$E$1008,$I240-8)))</x:f>
      </x:c>
      <x:c r="F240" s="51" t="str">
        <x:f>IF(232&gt;$H$4,"",IF(INDEX('Fleet dates'!$F$9:$F$1008,$I240-8)="","",INDEX('Fleet dates'!$F$9:$F$1008,$I240-8)))</x:f>
      </x:c>
      <x:c r="G240" s="50" t="str">
        <x:f>IF(232&gt;$H$4,"",IF(INDEX('Fleet dates'!$G$9:$G$1008,$I240-8)="","",INDEX('Fleet dates'!$G$9:$G$1008,$I240-8)))</x:f>
      </x:c>
      <x:c r="H240" s="50" t="str">
        <x:f>IF(232&gt;$H$4,"",IF(INDEX('Fleet dates'!$I$9:$I$1008,$I240-8)="","",INDEX('Fleet dates'!$I$9:$I$1008,$I240-8)))</x:f>
      </x:c>
      <x:c r="I240" t="str">
        <x:f>IF(232&gt;$H$4,"",MATCH(232,'Fleet dates'!$J$9:$J$1008,0)+8)</x:f>
      </x:c>
    </x:row>
    <x:row r="241" ht="36" customHeight="1">
      <x:c r="A241" s="50" t="str">
        <x:f>IF(233&gt;$H$4,"",IF(INDEX('Fleet dates'!$A$9:$A$1008,$I241-8)="","",INDEX('Fleet dates'!$A$9:$A$1008,$I241-8)))</x:f>
      </x:c>
      <x:c r="B241" s="50" t="str">
        <x:f>IF(233&gt;$H$4,"",IF(INDEX('Fleet dates'!$B$9:$B$1008,$I241-8)="","",INDEX('Fleet dates'!$B$9:$B$1008,$I241-8)))</x:f>
      </x:c>
      <x:c r="C241" s="51" t="str">
        <x:f>IF(233&gt;$H$4,"",IF(INDEX('Fleet dates'!$C$9:$C$1008,$I241-8)="","",INDEX('Fleet dates'!$C$9:$C$1008,$I241-8)))</x:f>
      </x:c>
      <x:c r="D241" s="51" t="str">
        <x:f>IF(233&gt;$H$4,"",IF(INDEX('Fleet dates'!$D$9:$D$1008,$I241-8)="","",INDEX('Fleet dates'!$D$9:$D$1008,$I241-8)))</x:f>
      </x:c>
      <x:c r="E241" s="51" t="str">
        <x:f>IF(233&gt;$H$4,"",IF(INDEX('Fleet dates'!$E$9:$E$1008,$I241-8)="","",INDEX('Fleet dates'!$E$9:$E$1008,$I241-8)))</x:f>
      </x:c>
      <x:c r="F241" s="51" t="str">
        <x:f>IF(233&gt;$H$4,"",IF(INDEX('Fleet dates'!$F$9:$F$1008,$I241-8)="","",INDEX('Fleet dates'!$F$9:$F$1008,$I241-8)))</x:f>
      </x:c>
      <x:c r="G241" s="50" t="str">
        <x:f>IF(233&gt;$H$4,"",IF(INDEX('Fleet dates'!$G$9:$G$1008,$I241-8)="","",INDEX('Fleet dates'!$G$9:$G$1008,$I241-8)))</x:f>
      </x:c>
      <x:c r="H241" s="50" t="str">
        <x:f>IF(233&gt;$H$4,"",IF(INDEX('Fleet dates'!$I$9:$I$1008,$I241-8)="","",INDEX('Fleet dates'!$I$9:$I$1008,$I241-8)))</x:f>
      </x:c>
      <x:c r="I241" t="str">
        <x:f>IF(233&gt;$H$4,"",MATCH(233,'Fleet dates'!$J$9:$J$1008,0)+8)</x:f>
      </x:c>
    </x:row>
    <x:row r="242" ht="36" customHeight="1">
      <x:c r="A242" s="50" t="str">
        <x:f>IF(234&gt;$H$4,"",IF(INDEX('Fleet dates'!$A$9:$A$1008,$I242-8)="","",INDEX('Fleet dates'!$A$9:$A$1008,$I242-8)))</x:f>
      </x:c>
      <x:c r="B242" s="50" t="str">
        <x:f>IF(234&gt;$H$4,"",IF(INDEX('Fleet dates'!$B$9:$B$1008,$I242-8)="","",INDEX('Fleet dates'!$B$9:$B$1008,$I242-8)))</x:f>
      </x:c>
      <x:c r="C242" s="51" t="str">
        <x:f>IF(234&gt;$H$4,"",IF(INDEX('Fleet dates'!$C$9:$C$1008,$I242-8)="","",INDEX('Fleet dates'!$C$9:$C$1008,$I242-8)))</x:f>
      </x:c>
      <x:c r="D242" s="51" t="str">
        <x:f>IF(234&gt;$H$4,"",IF(INDEX('Fleet dates'!$D$9:$D$1008,$I242-8)="","",INDEX('Fleet dates'!$D$9:$D$1008,$I242-8)))</x:f>
      </x:c>
      <x:c r="E242" s="51" t="str">
        <x:f>IF(234&gt;$H$4,"",IF(INDEX('Fleet dates'!$E$9:$E$1008,$I242-8)="","",INDEX('Fleet dates'!$E$9:$E$1008,$I242-8)))</x:f>
      </x:c>
      <x:c r="F242" s="51" t="str">
        <x:f>IF(234&gt;$H$4,"",IF(INDEX('Fleet dates'!$F$9:$F$1008,$I242-8)="","",INDEX('Fleet dates'!$F$9:$F$1008,$I242-8)))</x:f>
      </x:c>
      <x:c r="G242" s="50" t="str">
        <x:f>IF(234&gt;$H$4,"",IF(INDEX('Fleet dates'!$G$9:$G$1008,$I242-8)="","",INDEX('Fleet dates'!$G$9:$G$1008,$I242-8)))</x:f>
      </x:c>
      <x:c r="H242" s="50" t="str">
        <x:f>IF(234&gt;$H$4,"",IF(INDEX('Fleet dates'!$I$9:$I$1008,$I242-8)="","",INDEX('Fleet dates'!$I$9:$I$1008,$I242-8)))</x:f>
      </x:c>
      <x:c r="I242" t="str">
        <x:f>IF(234&gt;$H$4,"",MATCH(234,'Fleet dates'!$J$9:$J$1008,0)+8)</x:f>
      </x:c>
    </x:row>
    <x:row r="243" ht="36" customHeight="1">
      <x:c r="A243" s="50" t="str">
        <x:f>IF(235&gt;$H$4,"",IF(INDEX('Fleet dates'!$A$9:$A$1008,$I243-8)="","",INDEX('Fleet dates'!$A$9:$A$1008,$I243-8)))</x:f>
      </x:c>
      <x:c r="B243" s="50" t="str">
        <x:f>IF(235&gt;$H$4,"",IF(INDEX('Fleet dates'!$B$9:$B$1008,$I243-8)="","",INDEX('Fleet dates'!$B$9:$B$1008,$I243-8)))</x:f>
      </x:c>
      <x:c r="C243" s="51" t="str">
        <x:f>IF(235&gt;$H$4,"",IF(INDEX('Fleet dates'!$C$9:$C$1008,$I243-8)="","",INDEX('Fleet dates'!$C$9:$C$1008,$I243-8)))</x:f>
      </x:c>
      <x:c r="D243" s="51" t="str">
        <x:f>IF(235&gt;$H$4,"",IF(INDEX('Fleet dates'!$D$9:$D$1008,$I243-8)="","",INDEX('Fleet dates'!$D$9:$D$1008,$I243-8)))</x:f>
      </x:c>
      <x:c r="E243" s="51" t="str">
        <x:f>IF(235&gt;$H$4,"",IF(INDEX('Fleet dates'!$E$9:$E$1008,$I243-8)="","",INDEX('Fleet dates'!$E$9:$E$1008,$I243-8)))</x:f>
      </x:c>
      <x:c r="F243" s="51" t="str">
        <x:f>IF(235&gt;$H$4,"",IF(INDEX('Fleet dates'!$F$9:$F$1008,$I243-8)="","",INDEX('Fleet dates'!$F$9:$F$1008,$I243-8)))</x:f>
      </x:c>
      <x:c r="G243" s="50" t="str">
        <x:f>IF(235&gt;$H$4,"",IF(INDEX('Fleet dates'!$G$9:$G$1008,$I243-8)="","",INDEX('Fleet dates'!$G$9:$G$1008,$I243-8)))</x:f>
      </x:c>
      <x:c r="H243" s="50" t="str">
        <x:f>IF(235&gt;$H$4,"",IF(INDEX('Fleet dates'!$I$9:$I$1008,$I243-8)="","",INDEX('Fleet dates'!$I$9:$I$1008,$I243-8)))</x:f>
      </x:c>
      <x:c r="I243" t="str">
        <x:f>IF(235&gt;$H$4,"",MATCH(235,'Fleet dates'!$J$9:$J$1008,0)+8)</x:f>
      </x:c>
    </x:row>
    <x:row r="244" ht="36" customHeight="1">
      <x:c r="A244" s="50" t="str">
        <x:f>IF(236&gt;$H$4,"",IF(INDEX('Fleet dates'!$A$9:$A$1008,$I244-8)="","",INDEX('Fleet dates'!$A$9:$A$1008,$I244-8)))</x:f>
      </x:c>
      <x:c r="B244" s="50" t="str">
        <x:f>IF(236&gt;$H$4,"",IF(INDEX('Fleet dates'!$B$9:$B$1008,$I244-8)="","",INDEX('Fleet dates'!$B$9:$B$1008,$I244-8)))</x:f>
      </x:c>
      <x:c r="C244" s="51" t="str">
        <x:f>IF(236&gt;$H$4,"",IF(INDEX('Fleet dates'!$C$9:$C$1008,$I244-8)="","",INDEX('Fleet dates'!$C$9:$C$1008,$I244-8)))</x:f>
      </x:c>
      <x:c r="D244" s="51" t="str">
        <x:f>IF(236&gt;$H$4,"",IF(INDEX('Fleet dates'!$D$9:$D$1008,$I244-8)="","",INDEX('Fleet dates'!$D$9:$D$1008,$I244-8)))</x:f>
      </x:c>
      <x:c r="E244" s="51" t="str">
        <x:f>IF(236&gt;$H$4,"",IF(INDEX('Fleet dates'!$E$9:$E$1008,$I244-8)="","",INDEX('Fleet dates'!$E$9:$E$1008,$I244-8)))</x:f>
      </x:c>
      <x:c r="F244" s="51" t="str">
        <x:f>IF(236&gt;$H$4,"",IF(INDEX('Fleet dates'!$F$9:$F$1008,$I244-8)="","",INDEX('Fleet dates'!$F$9:$F$1008,$I244-8)))</x:f>
      </x:c>
      <x:c r="G244" s="50" t="str">
        <x:f>IF(236&gt;$H$4,"",IF(INDEX('Fleet dates'!$G$9:$G$1008,$I244-8)="","",INDEX('Fleet dates'!$G$9:$G$1008,$I244-8)))</x:f>
      </x:c>
      <x:c r="H244" s="50" t="str">
        <x:f>IF(236&gt;$H$4,"",IF(INDEX('Fleet dates'!$I$9:$I$1008,$I244-8)="","",INDEX('Fleet dates'!$I$9:$I$1008,$I244-8)))</x:f>
      </x:c>
      <x:c r="I244" t="str">
        <x:f>IF(236&gt;$H$4,"",MATCH(236,'Fleet dates'!$J$9:$J$1008,0)+8)</x:f>
      </x:c>
    </x:row>
    <x:row r="245" ht="36" customHeight="1">
      <x:c r="A245" s="50" t="str">
        <x:f>IF(237&gt;$H$4,"",IF(INDEX('Fleet dates'!$A$9:$A$1008,$I245-8)="","",INDEX('Fleet dates'!$A$9:$A$1008,$I245-8)))</x:f>
      </x:c>
      <x:c r="B245" s="50" t="str">
        <x:f>IF(237&gt;$H$4,"",IF(INDEX('Fleet dates'!$B$9:$B$1008,$I245-8)="","",INDEX('Fleet dates'!$B$9:$B$1008,$I245-8)))</x:f>
      </x:c>
      <x:c r="C245" s="51" t="str">
        <x:f>IF(237&gt;$H$4,"",IF(INDEX('Fleet dates'!$C$9:$C$1008,$I245-8)="","",INDEX('Fleet dates'!$C$9:$C$1008,$I245-8)))</x:f>
      </x:c>
      <x:c r="D245" s="51" t="str">
        <x:f>IF(237&gt;$H$4,"",IF(INDEX('Fleet dates'!$D$9:$D$1008,$I245-8)="","",INDEX('Fleet dates'!$D$9:$D$1008,$I245-8)))</x:f>
      </x:c>
      <x:c r="E245" s="51" t="str">
        <x:f>IF(237&gt;$H$4,"",IF(INDEX('Fleet dates'!$E$9:$E$1008,$I245-8)="","",INDEX('Fleet dates'!$E$9:$E$1008,$I245-8)))</x:f>
      </x:c>
      <x:c r="F245" s="51" t="str">
        <x:f>IF(237&gt;$H$4,"",IF(INDEX('Fleet dates'!$F$9:$F$1008,$I245-8)="","",INDEX('Fleet dates'!$F$9:$F$1008,$I245-8)))</x:f>
      </x:c>
      <x:c r="G245" s="50" t="str">
        <x:f>IF(237&gt;$H$4,"",IF(INDEX('Fleet dates'!$G$9:$G$1008,$I245-8)="","",INDEX('Fleet dates'!$G$9:$G$1008,$I245-8)))</x:f>
      </x:c>
      <x:c r="H245" s="50" t="str">
        <x:f>IF(237&gt;$H$4,"",IF(INDEX('Fleet dates'!$I$9:$I$1008,$I245-8)="","",INDEX('Fleet dates'!$I$9:$I$1008,$I245-8)))</x:f>
      </x:c>
      <x:c r="I245" t="str">
        <x:f>IF(237&gt;$H$4,"",MATCH(237,'Fleet dates'!$J$9:$J$1008,0)+8)</x:f>
      </x:c>
    </x:row>
    <x:row r="246" ht="36" customHeight="1">
      <x:c r="A246" s="50" t="str">
        <x:f>IF(238&gt;$H$4,"",IF(INDEX('Fleet dates'!$A$9:$A$1008,$I246-8)="","",INDEX('Fleet dates'!$A$9:$A$1008,$I246-8)))</x:f>
      </x:c>
      <x:c r="B246" s="50" t="str">
        <x:f>IF(238&gt;$H$4,"",IF(INDEX('Fleet dates'!$B$9:$B$1008,$I246-8)="","",INDEX('Fleet dates'!$B$9:$B$1008,$I246-8)))</x:f>
      </x:c>
      <x:c r="C246" s="51" t="str">
        <x:f>IF(238&gt;$H$4,"",IF(INDEX('Fleet dates'!$C$9:$C$1008,$I246-8)="","",INDEX('Fleet dates'!$C$9:$C$1008,$I246-8)))</x:f>
      </x:c>
      <x:c r="D246" s="51" t="str">
        <x:f>IF(238&gt;$H$4,"",IF(INDEX('Fleet dates'!$D$9:$D$1008,$I246-8)="","",INDEX('Fleet dates'!$D$9:$D$1008,$I246-8)))</x:f>
      </x:c>
      <x:c r="E246" s="51" t="str">
        <x:f>IF(238&gt;$H$4,"",IF(INDEX('Fleet dates'!$E$9:$E$1008,$I246-8)="","",INDEX('Fleet dates'!$E$9:$E$1008,$I246-8)))</x:f>
      </x:c>
      <x:c r="F246" s="51" t="str">
        <x:f>IF(238&gt;$H$4,"",IF(INDEX('Fleet dates'!$F$9:$F$1008,$I246-8)="","",INDEX('Fleet dates'!$F$9:$F$1008,$I246-8)))</x:f>
      </x:c>
      <x:c r="G246" s="50" t="str">
        <x:f>IF(238&gt;$H$4,"",IF(INDEX('Fleet dates'!$G$9:$G$1008,$I246-8)="","",INDEX('Fleet dates'!$G$9:$G$1008,$I246-8)))</x:f>
      </x:c>
      <x:c r="H246" s="50" t="str">
        <x:f>IF(238&gt;$H$4,"",IF(INDEX('Fleet dates'!$I$9:$I$1008,$I246-8)="","",INDEX('Fleet dates'!$I$9:$I$1008,$I246-8)))</x:f>
      </x:c>
      <x:c r="I246" t="str">
        <x:f>IF(238&gt;$H$4,"",MATCH(238,'Fleet dates'!$J$9:$J$1008,0)+8)</x:f>
      </x:c>
    </x:row>
    <x:row r="247" ht="36" customHeight="1">
      <x:c r="A247" s="50" t="str">
        <x:f>IF(239&gt;$H$4,"",IF(INDEX('Fleet dates'!$A$9:$A$1008,$I247-8)="","",INDEX('Fleet dates'!$A$9:$A$1008,$I247-8)))</x:f>
      </x:c>
      <x:c r="B247" s="50" t="str">
        <x:f>IF(239&gt;$H$4,"",IF(INDEX('Fleet dates'!$B$9:$B$1008,$I247-8)="","",INDEX('Fleet dates'!$B$9:$B$1008,$I247-8)))</x:f>
      </x:c>
      <x:c r="C247" s="51" t="str">
        <x:f>IF(239&gt;$H$4,"",IF(INDEX('Fleet dates'!$C$9:$C$1008,$I247-8)="","",INDEX('Fleet dates'!$C$9:$C$1008,$I247-8)))</x:f>
      </x:c>
      <x:c r="D247" s="51" t="str">
        <x:f>IF(239&gt;$H$4,"",IF(INDEX('Fleet dates'!$D$9:$D$1008,$I247-8)="","",INDEX('Fleet dates'!$D$9:$D$1008,$I247-8)))</x:f>
      </x:c>
      <x:c r="E247" s="51" t="str">
        <x:f>IF(239&gt;$H$4,"",IF(INDEX('Fleet dates'!$E$9:$E$1008,$I247-8)="","",INDEX('Fleet dates'!$E$9:$E$1008,$I247-8)))</x:f>
      </x:c>
      <x:c r="F247" s="51" t="str">
        <x:f>IF(239&gt;$H$4,"",IF(INDEX('Fleet dates'!$F$9:$F$1008,$I247-8)="","",INDEX('Fleet dates'!$F$9:$F$1008,$I247-8)))</x:f>
      </x:c>
      <x:c r="G247" s="50" t="str">
        <x:f>IF(239&gt;$H$4,"",IF(INDEX('Fleet dates'!$G$9:$G$1008,$I247-8)="","",INDEX('Fleet dates'!$G$9:$G$1008,$I247-8)))</x:f>
      </x:c>
      <x:c r="H247" s="50" t="str">
        <x:f>IF(239&gt;$H$4,"",IF(INDEX('Fleet dates'!$I$9:$I$1008,$I247-8)="","",INDEX('Fleet dates'!$I$9:$I$1008,$I247-8)))</x:f>
      </x:c>
      <x:c r="I247" t="str">
        <x:f>IF(239&gt;$H$4,"",MATCH(239,'Fleet dates'!$J$9:$J$1008,0)+8)</x:f>
      </x:c>
    </x:row>
    <x:row r="248" ht="36" customHeight="1">
      <x:c r="A248" s="50" t="str">
        <x:f>IF(240&gt;$H$4,"",IF(INDEX('Fleet dates'!$A$9:$A$1008,$I248-8)="","",INDEX('Fleet dates'!$A$9:$A$1008,$I248-8)))</x:f>
      </x:c>
      <x:c r="B248" s="50" t="str">
        <x:f>IF(240&gt;$H$4,"",IF(INDEX('Fleet dates'!$B$9:$B$1008,$I248-8)="","",INDEX('Fleet dates'!$B$9:$B$1008,$I248-8)))</x:f>
      </x:c>
      <x:c r="C248" s="51" t="str">
        <x:f>IF(240&gt;$H$4,"",IF(INDEX('Fleet dates'!$C$9:$C$1008,$I248-8)="","",INDEX('Fleet dates'!$C$9:$C$1008,$I248-8)))</x:f>
      </x:c>
      <x:c r="D248" s="51" t="str">
        <x:f>IF(240&gt;$H$4,"",IF(INDEX('Fleet dates'!$D$9:$D$1008,$I248-8)="","",INDEX('Fleet dates'!$D$9:$D$1008,$I248-8)))</x:f>
      </x:c>
      <x:c r="E248" s="51" t="str">
        <x:f>IF(240&gt;$H$4,"",IF(INDEX('Fleet dates'!$E$9:$E$1008,$I248-8)="","",INDEX('Fleet dates'!$E$9:$E$1008,$I248-8)))</x:f>
      </x:c>
      <x:c r="F248" s="51" t="str">
        <x:f>IF(240&gt;$H$4,"",IF(INDEX('Fleet dates'!$F$9:$F$1008,$I248-8)="","",INDEX('Fleet dates'!$F$9:$F$1008,$I248-8)))</x:f>
      </x:c>
      <x:c r="G248" s="50" t="str">
        <x:f>IF(240&gt;$H$4,"",IF(INDEX('Fleet dates'!$G$9:$G$1008,$I248-8)="","",INDEX('Fleet dates'!$G$9:$G$1008,$I248-8)))</x:f>
      </x:c>
      <x:c r="H248" s="50" t="str">
        <x:f>IF(240&gt;$H$4,"",IF(INDEX('Fleet dates'!$I$9:$I$1008,$I248-8)="","",INDEX('Fleet dates'!$I$9:$I$1008,$I248-8)))</x:f>
      </x:c>
      <x:c r="I248" t="str">
        <x:f>IF(240&gt;$H$4,"",MATCH(240,'Fleet dates'!$J$9:$J$1008,0)+8)</x:f>
      </x:c>
    </x:row>
    <x:row r="249" ht="36" customHeight="1">
      <x:c r="A249" s="50" t="str">
        <x:f>IF(241&gt;$H$4,"",IF(INDEX('Fleet dates'!$A$9:$A$1008,$I249-8)="","",INDEX('Fleet dates'!$A$9:$A$1008,$I249-8)))</x:f>
      </x:c>
      <x:c r="B249" s="50" t="str">
        <x:f>IF(241&gt;$H$4,"",IF(INDEX('Fleet dates'!$B$9:$B$1008,$I249-8)="","",INDEX('Fleet dates'!$B$9:$B$1008,$I249-8)))</x:f>
      </x:c>
      <x:c r="C249" s="51" t="str">
        <x:f>IF(241&gt;$H$4,"",IF(INDEX('Fleet dates'!$C$9:$C$1008,$I249-8)="","",INDEX('Fleet dates'!$C$9:$C$1008,$I249-8)))</x:f>
      </x:c>
      <x:c r="D249" s="51" t="str">
        <x:f>IF(241&gt;$H$4,"",IF(INDEX('Fleet dates'!$D$9:$D$1008,$I249-8)="","",INDEX('Fleet dates'!$D$9:$D$1008,$I249-8)))</x:f>
      </x:c>
      <x:c r="E249" s="51" t="str">
        <x:f>IF(241&gt;$H$4,"",IF(INDEX('Fleet dates'!$E$9:$E$1008,$I249-8)="","",INDEX('Fleet dates'!$E$9:$E$1008,$I249-8)))</x:f>
      </x:c>
      <x:c r="F249" s="51" t="str">
        <x:f>IF(241&gt;$H$4,"",IF(INDEX('Fleet dates'!$F$9:$F$1008,$I249-8)="","",INDEX('Fleet dates'!$F$9:$F$1008,$I249-8)))</x:f>
      </x:c>
      <x:c r="G249" s="50" t="str">
        <x:f>IF(241&gt;$H$4,"",IF(INDEX('Fleet dates'!$G$9:$G$1008,$I249-8)="","",INDEX('Fleet dates'!$G$9:$G$1008,$I249-8)))</x:f>
      </x:c>
      <x:c r="H249" s="50" t="str">
        <x:f>IF(241&gt;$H$4,"",IF(INDEX('Fleet dates'!$I$9:$I$1008,$I249-8)="","",INDEX('Fleet dates'!$I$9:$I$1008,$I249-8)))</x:f>
      </x:c>
      <x:c r="I249" t="str">
        <x:f>IF(241&gt;$H$4,"",MATCH(241,'Fleet dates'!$J$9:$J$1008,0)+8)</x:f>
      </x:c>
    </x:row>
    <x:row r="250" ht="36" customHeight="1">
      <x:c r="A250" s="50" t="str">
        <x:f>IF(242&gt;$H$4,"",IF(INDEX('Fleet dates'!$A$9:$A$1008,$I250-8)="","",INDEX('Fleet dates'!$A$9:$A$1008,$I250-8)))</x:f>
      </x:c>
      <x:c r="B250" s="50" t="str">
        <x:f>IF(242&gt;$H$4,"",IF(INDEX('Fleet dates'!$B$9:$B$1008,$I250-8)="","",INDEX('Fleet dates'!$B$9:$B$1008,$I250-8)))</x:f>
      </x:c>
      <x:c r="C250" s="51" t="str">
        <x:f>IF(242&gt;$H$4,"",IF(INDEX('Fleet dates'!$C$9:$C$1008,$I250-8)="","",INDEX('Fleet dates'!$C$9:$C$1008,$I250-8)))</x:f>
      </x:c>
      <x:c r="D250" s="51" t="str">
        <x:f>IF(242&gt;$H$4,"",IF(INDEX('Fleet dates'!$D$9:$D$1008,$I250-8)="","",INDEX('Fleet dates'!$D$9:$D$1008,$I250-8)))</x:f>
      </x:c>
      <x:c r="E250" s="51" t="str">
        <x:f>IF(242&gt;$H$4,"",IF(INDEX('Fleet dates'!$E$9:$E$1008,$I250-8)="","",INDEX('Fleet dates'!$E$9:$E$1008,$I250-8)))</x:f>
      </x:c>
      <x:c r="F250" s="51" t="str">
        <x:f>IF(242&gt;$H$4,"",IF(INDEX('Fleet dates'!$F$9:$F$1008,$I250-8)="","",INDEX('Fleet dates'!$F$9:$F$1008,$I250-8)))</x:f>
      </x:c>
      <x:c r="G250" s="50" t="str">
        <x:f>IF(242&gt;$H$4,"",IF(INDEX('Fleet dates'!$G$9:$G$1008,$I250-8)="","",INDEX('Fleet dates'!$G$9:$G$1008,$I250-8)))</x:f>
      </x:c>
      <x:c r="H250" s="50" t="str">
        <x:f>IF(242&gt;$H$4,"",IF(INDEX('Fleet dates'!$I$9:$I$1008,$I250-8)="","",INDEX('Fleet dates'!$I$9:$I$1008,$I250-8)))</x:f>
      </x:c>
      <x:c r="I250" t="str">
        <x:f>IF(242&gt;$H$4,"",MATCH(242,'Fleet dates'!$J$9:$J$1008,0)+8)</x:f>
      </x:c>
    </x:row>
    <x:row r="251" ht="36" customHeight="1">
      <x:c r="A251" s="50" t="str">
        <x:f>IF(243&gt;$H$4,"",IF(INDEX('Fleet dates'!$A$9:$A$1008,$I251-8)="","",INDEX('Fleet dates'!$A$9:$A$1008,$I251-8)))</x:f>
      </x:c>
      <x:c r="B251" s="50" t="str">
        <x:f>IF(243&gt;$H$4,"",IF(INDEX('Fleet dates'!$B$9:$B$1008,$I251-8)="","",INDEX('Fleet dates'!$B$9:$B$1008,$I251-8)))</x:f>
      </x:c>
      <x:c r="C251" s="51" t="str">
        <x:f>IF(243&gt;$H$4,"",IF(INDEX('Fleet dates'!$C$9:$C$1008,$I251-8)="","",INDEX('Fleet dates'!$C$9:$C$1008,$I251-8)))</x:f>
      </x:c>
      <x:c r="D251" s="51" t="str">
        <x:f>IF(243&gt;$H$4,"",IF(INDEX('Fleet dates'!$D$9:$D$1008,$I251-8)="","",INDEX('Fleet dates'!$D$9:$D$1008,$I251-8)))</x:f>
      </x:c>
      <x:c r="E251" s="51" t="str">
        <x:f>IF(243&gt;$H$4,"",IF(INDEX('Fleet dates'!$E$9:$E$1008,$I251-8)="","",INDEX('Fleet dates'!$E$9:$E$1008,$I251-8)))</x:f>
      </x:c>
      <x:c r="F251" s="51" t="str">
        <x:f>IF(243&gt;$H$4,"",IF(INDEX('Fleet dates'!$F$9:$F$1008,$I251-8)="","",INDEX('Fleet dates'!$F$9:$F$1008,$I251-8)))</x:f>
      </x:c>
      <x:c r="G251" s="50" t="str">
        <x:f>IF(243&gt;$H$4,"",IF(INDEX('Fleet dates'!$G$9:$G$1008,$I251-8)="","",INDEX('Fleet dates'!$G$9:$G$1008,$I251-8)))</x:f>
      </x:c>
      <x:c r="H251" s="50" t="str">
        <x:f>IF(243&gt;$H$4,"",IF(INDEX('Fleet dates'!$I$9:$I$1008,$I251-8)="","",INDEX('Fleet dates'!$I$9:$I$1008,$I251-8)))</x:f>
      </x:c>
      <x:c r="I251" t="str">
        <x:f>IF(243&gt;$H$4,"",MATCH(243,'Fleet dates'!$J$9:$J$1008,0)+8)</x:f>
      </x:c>
    </x:row>
    <x:row r="252" ht="36" customHeight="1">
      <x:c r="A252" s="50" t="str">
        <x:f>IF(244&gt;$H$4,"",IF(INDEX('Fleet dates'!$A$9:$A$1008,$I252-8)="","",INDEX('Fleet dates'!$A$9:$A$1008,$I252-8)))</x:f>
      </x:c>
      <x:c r="B252" s="50" t="str">
        <x:f>IF(244&gt;$H$4,"",IF(INDEX('Fleet dates'!$B$9:$B$1008,$I252-8)="","",INDEX('Fleet dates'!$B$9:$B$1008,$I252-8)))</x:f>
      </x:c>
      <x:c r="C252" s="51" t="str">
        <x:f>IF(244&gt;$H$4,"",IF(INDEX('Fleet dates'!$C$9:$C$1008,$I252-8)="","",INDEX('Fleet dates'!$C$9:$C$1008,$I252-8)))</x:f>
      </x:c>
      <x:c r="D252" s="51" t="str">
        <x:f>IF(244&gt;$H$4,"",IF(INDEX('Fleet dates'!$D$9:$D$1008,$I252-8)="","",INDEX('Fleet dates'!$D$9:$D$1008,$I252-8)))</x:f>
      </x:c>
      <x:c r="E252" s="51" t="str">
        <x:f>IF(244&gt;$H$4,"",IF(INDEX('Fleet dates'!$E$9:$E$1008,$I252-8)="","",INDEX('Fleet dates'!$E$9:$E$1008,$I252-8)))</x:f>
      </x:c>
      <x:c r="F252" s="51" t="str">
        <x:f>IF(244&gt;$H$4,"",IF(INDEX('Fleet dates'!$F$9:$F$1008,$I252-8)="","",INDEX('Fleet dates'!$F$9:$F$1008,$I252-8)))</x:f>
      </x:c>
      <x:c r="G252" s="50" t="str">
        <x:f>IF(244&gt;$H$4,"",IF(INDEX('Fleet dates'!$G$9:$G$1008,$I252-8)="","",INDEX('Fleet dates'!$G$9:$G$1008,$I252-8)))</x:f>
      </x:c>
      <x:c r="H252" s="50" t="str">
        <x:f>IF(244&gt;$H$4,"",IF(INDEX('Fleet dates'!$I$9:$I$1008,$I252-8)="","",INDEX('Fleet dates'!$I$9:$I$1008,$I252-8)))</x:f>
      </x:c>
      <x:c r="I252" t="str">
        <x:f>IF(244&gt;$H$4,"",MATCH(244,'Fleet dates'!$J$9:$J$1008,0)+8)</x:f>
      </x:c>
    </x:row>
    <x:row r="253" ht="36" customHeight="1">
      <x:c r="A253" s="50" t="str">
        <x:f>IF(245&gt;$H$4,"",IF(INDEX('Fleet dates'!$A$9:$A$1008,$I253-8)="","",INDEX('Fleet dates'!$A$9:$A$1008,$I253-8)))</x:f>
      </x:c>
      <x:c r="B253" s="50" t="str">
        <x:f>IF(245&gt;$H$4,"",IF(INDEX('Fleet dates'!$B$9:$B$1008,$I253-8)="","",INDEX('Fleet dates'!$B$9:$B$1008,$I253-8)))</x:f>
      </x:c>
      <x:c r="C253" s="51" t="str">
        <x:f>IF(245&gt;$H$4,"",IF(INDEX('Fleet dates'!$C$9:$C$1008,$I253-8)="","",INDEX('Fleet dates'!$C$9:$C$1008,$I253-8)))</x:f>
      </x:c>
      <x:c r="D253" s="51" t="str">
        <x:f>IF(245&gt;$H$4,"",IF(INDEX('Fleet dates'!$D$9:$D$1008,$I253-8)="","",INDEX('Fleet dates'!$D$9:$D$1008,$I253-8)))</x:f>
      </x:c>
      <x:c r="E253" s="51" t="str">
        <x:f>IF(245&gt;$H$4,"",IF(INDEX('Fleet dates'!$E$9:$E$1008,$I253-8)="","",INDEX('Fleet dates'!$E$9:$E$1008,$I253-8)))</x:f>
      </x:c>
      <x:c r="F253" s="51" t="str">
        <x:f>IF(245&gt;$H$4,"",IF(INDEX('Fleet dates'!$F$9:$F$1008,$I253-8)="","",INDEX('Fleet dates'!$F$9:$F$1008,$I253-8)))</x:f>
      </x:c>
      <x:c r="G253" s="50" t="str">
        <x:f>IF(245&gt;$H$4,"",IF(INDEX('Fleet dates'!$G$9:$G$1008,$I253-8)="","",INDEX('Fleet dates'!$G$9:$G$1008,$I253-8)))</x:f>
      </x:c>
      <x:c r="H253" s="50" t="str">
        <x:f>IF(245&gt;$H$4,"",IF(INDEX('Fleet dates'!$I$9:$I$1008,$I253-8)="","",INDEX('Fleet dates'!$I$9:$I$1008,$I253-8)))</x:f>
      </x:c>
      <x:c r="I253" t="str">
        <x:f>IF(245&gt;$H$4,"",MATCH(245,'Fleet dates'!$J$9:$J$1008,0)+8)</x:f>
      </x:c>
    </x:row>
    <x:row r="254" ht="36" customHeight="1">
      <x:c r="A254" s="50" t="str">
        <x:f>IF(246&gt;$H$4,"",IF(INDEX('Fleet dates'!$A$9:$A$1008,$I254-8)="","",INDEX('Fleet dates'!$A$9:$A$1008,$I254-8)))</x:f>
      </x:c>
      <x:c r="B254" s="50" t="str">
        <x:f>IF(246&gt;$H$4,"",IF(INDEX('Fleet dates'!$B$9:$B$1008,$I254-8)="","",INDEX('Fleet dates'!$B$9:$B$1008,$I254-8)))</x:f>
      </x:c>
      <x:c r="C254" s="51" t="str">
        <x:f>IF(246&gt;$H$4,"",IF(INDEX('Fleet dates'!$C$9:$C$1008,$I254-8)="","",INDEX('Fleet dates'!$C$9:$C$1008,$I254-8)))</x:f>
      </x:c>
      <x:c r="D254" s="51" t="str">
        <x:f>IF(246&gt;$H$4,"",IF(INDEX('Fleet dates'!$D$9:$D$1008,$I254-8)="","",INDEX('Fleet dates'!$D$9:$D$1008,$I254-8)))</x:f>
      </x:c>
      <x:c r="E254" s="51" t="str">
        <x:f>IF(246&gt;$H$4,"",IF(INDEX('Fleet dates'!$E$9:$E$1008,$I254-8)="","",INDEX('Fleet dates'!$E$9:$E$1008,$I254-8)))</x:f>
      </x:c>
      <x:c r="F254" s="51" t="str">
        <x:f>IF(246&gt;$H$4,"",IF(INDEX('Fleet dates'!$F$9:$F$1008,$I254-8)="","",INDEX('Fleet dates'!$F$9:$F$1008,$I254-8)))</x:f>
      </x:c>
      <x:c r="G254" s="50" t="str">
        <x:f>IF(246&gt;$H$4,"",IF(INDEX('Fleet dates'!$G$9:$G$1008,$I254-8)="","",INDEX('Fleet dates'!$G$9:$G$1008,$I254-8)))</x:f>
      </x:c>
      <x:c r="H254" s="50" t="str">
        <x:f>IF(246&gt;$H$4,"",IF(INDEX('Fleet dates'!$I$9:$I$1008,$I254-8)="","",INDEX('Fleet dates'!$I$9:$I$1008,$I254-8)))</x:f>
      </x:c>
      <x:c r="I254" t="str">
        <x:f>IF(246&gt;$H$4,"",MATCH(246,'Fleet dates'!$J$9:$J$1008,0)+8)</x:f>
      </x:c>
    </x:row>
    <x:row r="255" ht="36" customHeight="1">
      <x:c r="A255" s="50" t="str">
        <x:f>IF(247&gt;$H$4,"",IF(INDEX('Fleet dates'!$A$9:$A$1008,$I255-8)="","",INDEX('Fleet dates'!$A$9:$A$1008,$I255-8)))</x:f>
      </x:c>
      <x:c r="B255" s="50" t="str">
        <x:f>IF(247&gt;$H$4,"",IF(INDEX('Fleet dates'!$B$9:$B$1008,$I255-8)="","",INDEX('Fleet dates'!$B$9:$B$1008,$I255-8)))</x:f>
      </x:c>
      <x:c r="C255" s="51" t="str">
        <x:f>IF(247&gt;$H$4,"",IF(INDEX('Fleet dates'!$C$9:$C$1008,$I255-8)="","",INDEX('Fleet dates'!$C$9:$C$1008,$I255-8)))</x:f>
      </x:c>
      <x:c r="D255" s="51" t="str">
        <x:f>IF(247&gt;$H$4,"",IF(INDEX('Fleet dates'!$D$9:$D$1008,$I255-8)="","",INDEX('Fleet dates'!$D$9:$D$1008,$I255-8)))</x:f>
      </x:c>
      <x:c r="E255" s="51" t="str">
        <x:f>IF(247&gt;$H$4,"",IF(INDEX('Fleet dates'!$E$9:$E$1008,$I255-8)="","",INDEX('Fleet dates'!$E$9:$E$1008,$I255-8)))</x:f>
      </x:c>
      <x:c r="F255" s="51" t="str">
        <x:f>IF(247&gt;$H$4,"",IF(INDEX('Fleet dates'!$F$9:$F$1008,$I255-8)="","",INDEX('Fleet dates'!$F$9:$F$1008,$I255-8)))</x:f>
      </x:c>
      <x:c r="G255" s="50" t="str">
        <x:f>IF(247&gt;$H$4,"",IF(INDEX('Fleet dates'!$G$9:$G$1008,$I255-8)="","",INDEX('Fleet dates'!$G$9:$G$1008,$I255-8)))</x:f>
      </x:c>
      <x:c r="H255" s="50" t="str">
        <x:f>IF(247&gt;$H$4,"",IF(INDEX('Fleet dates'!$I$9:$I$1008,$I255-8)="","",INDEX('Fleet dates'!$I$9:$I$1008,$I255-8)))</x:f>
      </x:c>
      <x:c r="I255" t="str">
        <x:f>IF(247&gt;$H$4,"",MATCH(247,'Fleet dates'!$J$9:$J$1008,0)+8)</x:f>
      </x:c>
    </x:row>
    <x:row r="256" ht="36" customHeight="1">
      <x:c r="A256" s="50" t="str">
        <x:f>IF(248&gt;$H$4,"",IF(INDEX('Fleet dates'!$A$9:$A$1008,$I256-8)="","",INDEX('Fleet dates'!$A$9:$A$1008,$I256-8)))</x:f>
      </x:c>
      <x:c r="B256" s="50" t="str">
        <x:f>IF(248&gt;$H$4,"",IF(INDEX('Fleet dates'!$B$9:$B$1008,$I256-8)="","",INDEX('Fleet dates'!$B$9:$B$1008,$I256-8)))</x:f>
      </x:c>
      <x:c r="C256" s="51" t="str">
        <x:f>IF(248&gt;$H$4,"",IF(INDEX('Fleet dates'!$C$9:$C$1008,$I256-8)="","",INDEX('Fleet dates'!$C$9:$C$1008,$I256-8)))</x:f>
      </x:c>
      <x:c r="D256" s="51" t="str">
        <x:f>IF(248&gt;$H$4,"",IF(INDEX('Fleet dates'!$D$9:$D$1008,$I256-8)="","",INDEX('Fleet dates'!$D$9:$D$1008,$I256-8)))</x:f>
      </x:c>
      <x:c r="E256" s="51" t="str">
        <x:f>IF(248&gt;$H$4,"",IF(INDEX('Fleet dates'!$E$9:$E$1008,$I256-8)="","",INDEX('Fleet dates'!$E$9:$E$1008,$I256-8)))</x:f>
      </x:c>
      <x:c r="F256" s="51" t="str">
        <x:f>IF(248&gt;$H$4,"",IF(INDEX('Fleet dates'!$F$9:$F$1008,$I256-8)="","",INDEX('Fleet dates'!$F$9:$F$1008,$I256-8)))</x:f>
      </x:c>
      <x:c r="G256" s="50" t="str">
        <x:f>IF(248&gt;$H$4,"",IF(INDEX('Fleet dates'!$G$9:$G$1008,$I256-8)="","",INDEX('Fleet dates'!$G$9:$G$1008,$I256-8)))</x:f>
      </x:c>
      <x:c r="H256" s="50" t="str">
        <x:f>IF(248&gt;$H$4,"",IF(INDEX('Fleet dates'!$I$9:$I$1008,$I256-8)="","",INDEX('Fleet dates'!$I$9:$I$1008,$I256-8)))</x:f>
      </x:c>
      <x:c r="I256" t="str">
        <x:f>IF(248&gt;$H$4,"",MATCH(248,'Fleet dates'!$J$9:$J$1008,0)+8)</x:f>
      </x:c>
    </x:row>
    <x:row r="257" ht="36" customHeight="1">
      <x:c r="A257" s="50" t="str">
        <x:f>IF(249&gt;$H$4,"",IF(INDEX('Fleet dates'!$A$9:$A$1008,$I257-8)="","",INDEX('Fleet dates'!$A$9:$A$1008,$I257-8)))</x:f>
      </x:c>
      <x:c r="B257" s="50" t="str">
        <x:f>IF(249&gt;$H$4,"",IF(INDEX('Fleet dates'!$B$9:$B$1008,$I257-8)="","",INDEX('Fleet dates'!$B$9:$B$1008,$I257-8)))</x:f>
      </x:c>
      <x:c r="C257" s="51" t="str">
        <x:f>IF(249&gt;$H$4,"",IF(INDEX('Fleet dates'!$C$9:$C$1008,$I257-8)="","",INDEX('Fleet dates'!$C$9:$C$1008,$I257-8)))</x:f>
      </x:c>
      <x:c r="D257" s="51" t="str">
        <x:f>IF(249&gt;$H$4,"",IF(INDEX('Fleet dates'!$D$9:$D$1008,$I257-8)="","",INDEX('Fleet dates'!$D$9:$D$1008,$I257-8)))</x:f>
      </x:c>
      <x:c r="E257" s="51" t="str">
        <x:f>IF(249&gt;$H$4,"",IF(INDEX('Fleet dates'!$E$9:$E$1008,$I257-8)="","",INDEX('Fleet dates'!$E$9:$E$1008,$I257-8)))</x:f>
      </x:c>
      <x:c r="F257" s="51" t="str">
        <x:f>IF(249&gt;$H$4,"",IF(INDEX('Fleet dates'!$F$9:$F$1008,$I257-8)="","",INDEX('Fleet dates'!$F$9:$F$1008,$I257-8)))</x:f>
      </x:c>
      <x:c r="G257" s="50" t="str">
        <x:f>IF(249&gt;$H$4,"",IF(INDEX('Fleet dates'!$G$9:$G$1008,$I257-8)="","",INDEX('Fleet dates'!$G$9:$G$1008,$I257-8)))</x:f>
      </x:c>
      <x:c r="H257" s="50" t="str">
        <x:f>IF(249&gt;$H$4,"",IF(INDEX('Fleet dates'!$I$9:$I$1008,$I257-8)="","",INDEX('Fleet dates'!$I$9:$I$1008,$I257-8)))</x:f>
      </x:c>
      <x:c r="I257" t="str">
        <x:f>IF(249&gt;$H$4,"",MATCH(249,'Fleet dates'!$J$9:$J$1008,0)+8)</x:f>
      </x:c>
    </x:row>
    <x:row r="258" ht="36" customHeight="1">
      <x:c r="A258" s="50" t="str">
        <x:f>IF(250&gt;$H$4,"",IF(INDEX('Fleet dates'!$A$9:$A$1008,$I258-8)="","",INDEX('Fleet dates'!$A$9:$A$1008,$I258-8)))</x:f>
      </x:c>
      <x:c r="B258" s="50" t="str">
        <x:f>IF(250&gt;$H$4,"",IF(INDEX('Fleet dates'!$B$9:$B$1008,$I258-8)="","",INDEX('Fleet dates'!$B$9:$B$1008,$I258-8)))</x:f>
      </x:c>
      <x:c r="C258" s="51" t="str">
        <x:f>IF(250&gt;$H$4,"",IF(INDEX('Fleet dates'!$C$9:$C$1008,$I258-8)="","",INDEX('Fleet dates'!$C$9:$C$1008,$I258-8)))</x:f>
      </x:c>
      <x:c r="D258" s="51" t="str">
        <x:f>IF(250&gt;$H$4,"",IF(INDEX('Fleet dates'!$D$9:$D$1008,$I258-8)="","",INDEX('Fleet dates'!$D$9:$D$1008,$I258-8)))</x:f>
      </x:c>
      <x:c r="E258" s="51" t="str">
        <x:f>IF(250&gt;$H$4,"",IF(INDEX('Fleet dates'!$E$9:$E$1008,$I258-8)="","",INDEX('Fleet dates'!$E$9:$E$1008,$I258-8)))</x:f>
      </x:c>
      <x:c r="F258" s="51" t="str">
        <x:f>IF(250&gt;$H$4,"",IF(INDEX('Fleet dates'!$F$9:$F$1008,$I258-8)="","",INDEX('Fleet dates'!$F$9:$F$1008,$I258-8)))</x:f>
      </x:c>
      <x:c r="G258" s="50" t="str">
        <x:f>IF(250&gt;$H$4,"",IF(INDEX('Fleet dates'!$G$9:$G$1008,$I258-8)="","",INDEX('Fleet dates'!$G$9:$G$1008,$I258-8)))</x:f>
      </x:c>
      <x:c r="H258" s="50" t="str">
        <x:f>IF(250&gt;$H$4,"",IF(INDEX('Fleet dates'!$I$9:$I$1008,$I258-8)="","",INDEX('Fleet dates'!$I$9:$I$1008,$I258-8)))</x:f>
      </x:c>
      <x:c r="I258" t="str">
        <x:f>IF(250&gt;$H$4,"",MATCH(250,'Fleet dates'!$J$9:$J$1008,0)+8)</x:f>
      </x:c>
    </x:row>
    <x:row r="259" ht="36" customHeight="1">
      <x:c r="A259" s="50" t="str">
        <x:f>IF(251&gt;$H$4,"",IF(INDEX('Fleet dates'!$A$9:$A$1008,$I259-8)="","",INDEX('Fleet dates'!$A$9:$A$1008,$I259-8)))</x:f>
      </x:c>
      <x:c r="B259" s="50" t="str">
        <x:f>IF(251&gt;$H$4,"",IF(INDEX('Fleet dates'!$B$9:$B$1008,$I259-8)="","",INDEX('Fleet dates'!$B$9:$B$1008,$I259-8)))</x:f>
      </x:c>
      <x:c r="C259" s="51" t="str">
        <x:f>IF(251&gt;$H$4,"",IF(INDEX('Fleet dates'!$C$9:$C$1008,$I259-8)="","",INDEX('Fleet dates'!$C$9:$C$1008,$I259-8)))</x:f>
      </x:c>
      <x:c r="D259" s="51" t="str">
        <x:f>IF(251&gt;$H$4,"",IF(INDEX('Fleet dates'!$D$9:$D$1008,$I259-8)="","",INDEX('Fleet dates'!$D$9:$D$1008,$I259-8)))</x:f>
      </x:c>
      <x:c r="E259" s="51" t="str">
        <x:f>IF(251&gt;$H$4,"",IF(INDEX('Fleet dates'!$E$9:$E$1008,$I259-8)="","",INDEX('Fleet dates'!$E$9:$E$1008,$I259-8)))</x:f>
      </x:c>
      <x:c r="F259" s="51" t="str">
        <x:f>IF(251&gt;$H$4,"",IF(INDEX('Fleet dates'!$F$9:$F$1008,$I259-8)="","",INDEX('Fleet dates'!$F$9:$F$1008,$I259-8)))</x:f>
      </x:c>
      <x:c r="G259" s="50" t="str">
        <x:f>IF(251&gt;$H$4,"",IF(INDEX('Fleet dates'!$G$9:$G$1008,$I259-8)="","",INDEX('Fleet dates'!$G$9:$G$1008,$I259-8)))</x:f>
      </x:c>
      <x:c r="H259" s="50" t="str">
        <x:f>IF(251&gt;$H$4,"",IF(INDEX('Fleet dates'!$I$9:$I$1008,$I259-8)="","",INDEX('Fleet dates'!$I$9:$I$1008,$I259-8)))</x:f>
      </x:c>
      <x:c r="I259" t="str">
        <x:f>IF(251&gt;$H$4,"",MATCH(251,'Fleet dates'!$J$9:$J$1008,0)+8)</x:f>
      </x:c>
    </x:row>
    <x:row r="260" ht="36" customHeight="1">
      <x:c r="A260" s="50" t="str">
        <x:f>IF(252&gt;$H$4,"",IF(INDEX('Fleet dates'!$A$9:$A$1008,$I260-8)="","",INDEX('Fleet dates'!$A$9:$A$1008,$I260-8)))</x:f>
      </x:c>
      <x:c r="B260" s="50" t="str">
        <x:f>IF(252&gt;$H$4,"",IF(INDEX('Fleet dates'!$B$9:$B$1008,$I260-8)="","",INDEX('Fleet dates'!$B$9:$B$1008,$I260-8)))</x:f>
      </x:c>
      <x:c r="C260" s="51" t="str">
        <x:f>IF(252&gt;$H$4,"",IF(INDEX('Fleet dates'!$C$9:$C$1008,$I260-8)="","",INDEX('Fleet dates'!$C$9:$C$1008,$I260-8)))</x:f>
      </x:c>
      <x:c r="D260" s="51" t="str">
        <x:f>IF(252&gt;$H$4,"",IF(INDEX('Fleet dates'!$D$9:$D$1008,$I260-8)="","",INDEX('Fleet dates'!$D$9:$D$1008,$I260-8)))</x:f>
      </x:c>
      <x:c r="E260" s="51" t="str">
        <x:f>IF(252&gt;$H$4,"",IF(INDEX('Fleet dates'!$E$9:$E$1008,$I260-8)="","",INDEX('Fleet dates'!$E$9:$E$1008,$I260-8)))</x:f>
      </x:c>
      <x:c r="F260" s="51" t="str">
        <x:f>IF(252&gt;$H$4,"",IF(INDEX('Fleet dates'!$F$9:$F$1008,$I260-8)="","",INDEX('Fleet dates'!$F$9:$F$1008,$I260-8)))</x:f>
      </x:c>
      <x:c r="G260" s="50" t="str">
        <x:f>IF(252&gt;$H$4,"",IF(INDEX('Fleet dates'!$G$9:$G$1008,$I260-8)="","",INDEX('Fleet dates'!$G$9:$G$1008,$I260-8)))</x:f>
      </x:c>
      <x:c r="H260" s="50" t="str">
        <x:f>IF(252&gt;$H$4,"",IF(INDEX('Fleet dates'!$I$9:$I$1008,$I260-8)="","",INDEX('Fleet dates'!$I$9:$I$1008,$I260-8)))</x:f>
      </x:c>
      <x:c r="I260" t="str">
        <x:f>IF(252&gt;$H$4,"",MATCH(252,'Fleet dates'!$J$9:$J$1008,0)+8)</x:f>
      </x:c>
    </x:row>
    <x:row r="261" ht="36" customHeight="1">
      <x:c r="A261" s="50" t="str">
        <x:f>IF(253&gt;$H$4,"",IF(INDEX('Fleet dates'!$A$9:$A$1008,$I261-8)="","",INDEX('Fleet dates'!$A$9:$A$1008,$I261-8)))</x:f>
      </x:c>
      <x:c r="B261" s="50" t="str">
        <x:f>IF(253&gt;$H$4,"",IF(INDEX('Fleet dates'!$B$9:$B$1008,$I261-8)="","",INDEX('Fleet dates'!$B$9:$B$1008,$I261-8)))</x:f>
      </x:c>
      <x:c r="C261" s="51" t="str">
        <x:f>IF(253&gt;$H$4,"",IF(INDEX('Fleet dates'!$C$9:$C$1008,$I261-8)="","",INDEX('Fleet dates'!$C$9:$C$1008,$I261-8)))</x:f>
      </x:c>
      <x:c r="D261" s="51" t="str">
        <x:f>IF(253&gt;$H$4,"",IF(INDEX('Fleet dates'!$D$9:$D$1008,$I261-8)="","",INDEX('Fleet dates'!$D$9:$D$1008,$I261-8)))</x:f>
      </x:c>
      <x:c r="E261" s="51" t="str">
        <x:f>IF(253&gt;$H$4,"",IF(INDEX('Fleet dates'!$E$9:$E$1008,$I261-8)="","",INDEX('Fleet dates'!$E$9:$E$1008,$I261-8)))</x:f>
      </x:c>
      <x:c r="F261" s="51" t="str">
        <x:f>IF(253&gt;$H$4,"",IF(INDEX('Fleet dates'!$F$9:$F$1008,$I261-8)="","",INDEX('Fleet dates'!$F$9:$F$1008,$I261-8)))</x:f>
      </x:c>
      <x:c r="G261" s="50" t="str">
        <x:f>IF(253&gt;$H$4,"",IF(INDEX('Fleet dates'!$G$9:$G$1008,$I261-8)="","",INDEX('Fleet dates'!$G$9:$G$1008,$I261-8)))</x:f>
      </x:c>
      <x:c r="H261" s="50" t="str">
        <x:f>IF(253&gt;$H$4,"",IF(INDEX('Fleet dates'!$I$9:$I$1008,$I261-8)="","",INDEX('Fleet dates'!$I$9:$I$1008,$I261-8)))</x:f>
      </x:c>
      <x:c r="I261" t="str">
        <x:f>IF(253&gt;$H$4,"",MATCH(253,'Fleet dates'!$J$9:$J$1008,0)+8)</x:f>
      </x:c>
    </x:row>
    <x:row r="262" ht="36" customHeight="1">
      <x:c r="A262" s="50" t="str">
        <x:f>IF(254&gt;$H$4,"",IF(INDEX('Fleet dates'!$A$9:$A$1008,$I262-8)="","",INDEX('Fleet dates'!$A$9:$A$1008,$I262-8)))</x:f>
      </x:c>
      <x:c r="B262" s="50" t="str">
        <x:f>IF(254&gt;$H$4,"",IF(INDEX('Fleet dates'!$B$9:$B$1008,$I262-8)="","",INDEX('Fleet dates'!$B$9:$B$1008,$I262-8)))</x:f>
      </x:c>
      <x:c r="C262" s="51" t="str">
        <x:f>IF(254&gt;$H$4,"",IF(INDEX('Fleet dates'!$C$9:$C$1008,$I262-8)="","",INDEX('Fleet dates'!$C$9:$C$1008,$I262-8)))</x:f>
      </x:c>
      <x:c r="D262" s="51" t="str">
        <x:f>IF(254&gt;$H$4,"",IF(INDEX('Fleet dates'!$D$9:$D$1008,$I262-8)="","",INDEX('Fleet dates'!$D$9:$D$1008,$I262-8)))</x:f>
      </x:c>
      <x:c r="E262" s="51" t="str">
        <x:f>IF(254&gt;$H$4,"",IF(INDEX('Fleet dates'!$E$9:$E$1008,$I262-8)="","",INDEX('Fleet dates'!$E$9:$E$1008,$I262-8)))</x:f>
      </x:c>
      <x:c r="F262" s="51" t="str">
        <x:f>IF(254&gt;$H$4,"",IF(INDEX('Fleet dates'!$F$9:$F$1008,$I262-8)="","",INDEX('Fleet dates'!$F$9:$F$1008,$I262-8)))</x:f>
      </x:c>
      <x:c r="G262" s="50" t="str">
        <x:f>IF(254&gt;$H$4,"",IF(INDEX('Fleet dates'!$G$9:$G$1008,$I262-8)="","",INDEX('Fleet dates'!$G$9:$G$1008,$I262-8)))</x:f>
      </x:c>
      <x:c r="H262" s="50" t="str">
        <x:f>IF(254&gt;$H$4,"",IF(INDEX('Fleet dates'!$I$9:$I$1008,$I262-8)="","",INDEX('Fleet dates'!$I$9:$I$1008,$I262-8)))</x:f>
      </x:c>
      <x:c r="I262" t="str">
        <x:f>IF(254&gt;$H$4,"",MATCH(254,'Fleet dates'!$J$9:$J$1008,0)+8)</x:f>
      </x:c>
    </x:row>
    <x:row r="263" ht="36" customHeight="1">
      <x:c r="A263" s="50" t="str">
        <x:f>IF(255&gt;$H$4,"",IF(INDEX('Fleet dates'!$A$9:$A$1008,$I263-8)="","",INDEX('Fleet dates'!$A$9:$A$1008,$I263-8)))</x:f>
      </x:c>
      <x:c r="B263" s="50" t="str">
        <x:f>IF(255&gt;$H$4,"",IF(INDEX('Fleet dates'!$B$9:$B$1008,$I263-8)="","",INDEX('Fleet dates'!$B$9:$B$1008,$I263-8)))</x:f>
      </x:c>
      <x:c r="C263" s="51" t="str">
        <x:f>IF(255&gt;$H$4,"",IF(INDEX('Fleet dates'!$C$9:$C$1008,$I263-8)="","",INDEX('Fleet dates'!$C$9:$C$1008,$I263-8)))</x:f>
      </x:c>
      <x:c r="D263" s="51" t="str">
        <x:f>IF(255&gt;$H$4,"",IF(INDEX('Fleet dates'!$D$9:$D$1008,$I263-8)="","",INDEX('Fleet dates'!$D$9:$D$1008,$I263-8)))</x:f>
      </x:c>
      <x:c r="E263" s="51" t="str">
        <x:f>IF(255&gt;$H$4,"",IF(INDEX('Fleet dates'!$E$9:$E$1008,$I263-8)="","",INDEX('Fleet dates'!$E$9:$E$1008,$I263-8)))</x:f>
      </x:c>
      <x:c r="F263" s="51" t="str">
        <x:f>IF(255&gt;$H$4,"",IF(INDEX('Fleet dates'!$F$9:$F$1008,$I263-8)="","",INDEX('Fleet dates'!$F$9:$F$1008,$I263-8)))</x:f>
      </x:c>
      <x:c r="G263" s="50" t="str">
        <x:f>IF(255&gt;$H$4,"",IF(INDEX('Fleet dates'!$G$9:$G$1008,$I263-8)="","",INDEX('Fleet dates'!$G$9:$G$1008,$I263-8)))</x:f>
      </x:c>
      <x:c r="H263" s="50" t="str">
        <x:f>IF(255&gt;$H$4,"",IF(INDEX('Fleet dates'!$I$9:$I$1008,$I263-8)="","",INDEX('Fleet dates'!$I$9:$I$1008,$I263-8)))</x:f>
      </x:c>
      <x:c r="I263" t="str">
        <x:f>IF(255&gt;$H$4,"",MATCH(255,'Fleet dates'!$J$9:$J$1008,0)+8)</x:f>
      </x:c>
    </x:row>
    <x:row r="264" ht="36" customHeight="1">
      <x:c r="A264" s="50" t="str">
        <x:f>IF(256&gt;$H$4,"",IF(INDEX('Fleet dates'!$A$9:$A$1008,$I264-8)="","",INDEX('Fleet dates'!$A$9:$A$1008,$I264-8)))</x:f>
      </x:c>
      <x:c r="B264" s="50" t="str">
        <x:f>IF(256&gt;$H$4,"",IF(INDEX('Fleet dates'!$B$9:$B$1008,$I264-8)="","",INDEX('Fleet dates'!$B$9:$B$1008,$I264-8)))</x:f>
      </x:c>
      <x:c r="C264" s="51" t="str">
        <x:f>IF(256&gt;$H$4,"",IF(INDEX('Fleet dates'!$C$9:$C$1008,$I264-8)="","",INDEX('Fleet dates'!$C$9:$C$1008,$I264-8)))</x:f>
      </x:c>
      <x:c r="D264" s="51" t="str">
        <x:f>IF(256&gt;$H$4,"",IF(INDEX('Fleet dates'!$D$9:$D$1008,$I264-8)="","",INDEX('Fleet dates'!$D$9:$D$1008,$I264-8)))</x:f>
      </x:c>
      <x:c r="E264" s="51" t="str">
        <x:f>IF(256&gt;$H$4,"",IF(INDEX('Fleet dates'!$E$9:$E$1008,$I264-8)="","",INDEX('Fleet dates'!$E$9:$E$1008,$I264-8)))</x:f>
      </x:c>
      <x:c r="F264" s="51" t="str">
        <x:f>IF(256&gt;$H$4,"",IF(INDEX('Fleet dates'!$F$9:$F$1008,$I264-8)="","",INDEX('Fleet dates'!$F$9:$F$1008,$I264-8)))</x:f>
      </x:c>
      <x:c r="G264" s="50" t="str">
        <x:f>IF(256&gt;$H$4,"",IF(INDEX('Fleet dates'!$G$9:$G$1008,$I264-8)="","",INDEX('Fleet dates'!$G$9:$G$1008,$I264-8)))</x:f>
      </x:c>
      <x:c r="H264" s="50" t="str">
        <x:f>IF(256&gt;$H$4,"",IF(INDEX('Fleet dates'!$I$9:$I$1008,$I264-8)="","",INDEX('Fleet dates'!$I$9:$I$1008,$I264-8)))</x:f>
      </x:c>
      <x:c r="I264" t="str">
        <x:f>IF(256&gt;$H$4,"",MATCH(256,'Fleet dates'!$J$9:$J$1008,0)+8)</x:f>
      </x:c>
    </x:row>
    <x:row r="265" ht="36" customHeight="1">
      <x:c r="A265" s="50" t="str">
        <x:f>IF(257&gt;$H$4,"",IF(INDEX('Fleet dates'!$A$9:$A$1008,$I265-8)="","",INDEX('Fleet dates'!$A$9:$A$1008,$I265-8)))</x:f>
      </x:c>
      <x:c r="B265" s="50" t="str">
        <x:f>IF(257&gt;$H$4,"",IF(INDEX('Fleet dates'!$B$9:$B$1008,$I265-8)="","",INDEX('Fleet dates'!$B$9:$B$1008,$I265-8)))</x:f>
      </x:c>
      <x:c r="C265" s="51" t="str">
        <x:f>IF(257&gt;$H$4,"",IF(INDEX('Fleet dates'!$C$9:$C$1008,$I265-8)="","",INDEX('Fleet dates'!$C$9:$C$1008,$I265-8)))</x:f>
      </x:c>
      <x:c r="D265" s="51" t="str">
        <x:f>IF(257&gt;$H$4,"",IF(INDEX('Fleet dates'!$D$9:$D$1008,$I265-8)="","",INDEX('Fleet dates'!$D$9:$D$1008,$I265-8)))</x:f>
      </x:c>
      <x:c r="E265" s="51" t="str">
        <x:f>IF(257&gt;$H$4,"",IF(INDEX('Fleet dates'!$E$9:$E$1008,$I265-8)="","",INDEX('Fleet dates'!$E$9:$E$1008,$I265-8)))</x:f>
      </x:c>
      <x:c r="F265" s="51" t="str">
        <x:f>IF(257&gt;$H$4,"",IF(INDEX('Fleet dates'!$F$9:$F$1008,$I265-8)="","",INDEX('Fleet dates'!$F$9:$F$1008,$I265-8)))</x:f>
      </x:c>
      <x:c r="G265" s="50" t="str">
        <x:f>IF(257&gt;$H$4,"",IF(INDEX('Fleet dates'!$G$9:$G$1008,$I265-8)="","",INDEX('Fleet dates'!$G$9:$G$1008,$I265-8)))</x:f>
      </x:c>
      <x:c r="H265" s="50" t="str">
        <x:f>IF(257&gt;$H$4,"",IF(INDEX('Fleet dates'!$I$9:$I$1008,$I265-8)="","",INDEX('Fleet dates'!$I$9:$I$1008,$I265-8)))</x:f>
      </x:c>
      <x:c r="I265" t="str">
        <x:f>IF(257&gt;$H$4,"",MATCH(257,'Fleet dates'!$J$9:$J$1008,0)+8)</x:f>
      </x:c>
    </x:row>
    <x:row r="266" ht="36" customHeight="1">
      <x:c r="A266" s="50" t="str">
        <x:f>IF(258&gt;$H$4,"",IF(INDEX('Fleet dates'!$A$9:$A$1008,$I266-8)="","",INDEX('Fleet dates'!$A$9:$A$1008,$I266-8)))</x:f>
      </x:c>
      <x:c r="B266" s="50" t="str">
        <x:f>IF(258&gt;$H$4,"",IF(INDEX('Fleet dates'!$B$9:$B$1008,$I266-8)="","",INDEX('Fleet dates'!$B$9:$B$1008,$I266-8)))</x:f>
      </x:c>
      <x:c r="C266" s="51" t="str">
        <x:f>IF(258&gt;$H$4,"",IF(INDEX('Fleet dates'!$C$9:$C$1008,$I266-8)="","",INDEX('Fleet dates'!$C$9:$C$1008,$I266-8)))</x:f>
      </x:c>
      <x:c r="D266" s="51" t="str">
        <x:f>IF(258&gt;$H$4,"",IF(INDEX('Fleet dates'!$D$9:$D$1008,$I266-8)="","",INDEX('Fleet dates'!$D$9:$D$1008,$I266-8)))</x:f>
      </x:c>
      <x:c r="E266" s="51" t="str">
        <x:f>IF(258&gt;$H$4,"",IF(INDEX('Fleet dates'!$E$9:$E$1008,$I266-8)="","",INDEX('Fleet dates'!$E$9:$E$1008,$I266-8)))</x:f>
      </x:c>
      <x:c r="F266" s="51" t="str">
        <x:f>IF(258&gt;$H$4,"",IF(INDEX('Fleet dates'!$F$9:$F$1008,$I266-8)="","",INDEX('Fleet dates'!$F$9:$F$1008,$I266-8)))</x:f>
      </x:c>
      <x:c r="G266" s="50" t="str">
        <x:f>IF(258&gt;$H$4,"",IF(INDEX('Fleet dates'!$G$9:$G$1008,$I266-8)="","",INDEX('Fleet dates'!$G$9:$G$1008,$I266-8)))</x:f>
      </x:c>
      <x:c r="H266" s="50" t="str">
        <x:f>IF(258&gt;$H$4,"",IF(INDEX('Fleet dates'!$I$9:$I$1008,$I266-8)="","",INDEX('Fleet dates'!$I$9:$I$1008,$I266-8)))</x:f>
      </x:c>
      <x:c r="I266" t="str">
        <x:f>IF(258&gt;$H$4,"",MATCH(258,'Fleet dates'!$J$9:$J$1008,0)+8)</x:f>
      </x:c>
    </x:row>
    <x:row r="267" ht="36" customHeight="1">
      <x:c r="A267" s="50" t="str">
        <x:f>IF(259&gt;$H$4,"",IF(INDEX('Fleet dates'!$A$9:$A$1008,$I267-8)="","",INDEX('Fleet dates'!$A$9:$A$1008,$I267-8)))</x:f>
      </x:c>
      <x:c r="B267" s="50" t="str">
        <x:f>IF(259&gt;$H$4,"",IF(INDEX('Fleet dates'!$B$9:$B$1008,$I267-8)="","",INDEX('Fleet dates'!$B$9:$B$1008,$I267-8)))</x:f>
      </x:c>
      <x:c r="C267" s="51" t="str">
        <x:f>IF(259&gt;$H$4,"",IF(INDEX('Fleet dates'!$C$9:$C$1008,$I267-8)="","",INDEX('Fleet dates'!$C$9:$C$1008,$I267-8)))</x:f>
      </x:c>
      <x:c r="D267" s="51" t="str">
        <x:f>IF(259&gt;$H$4,"",IF(INDEX('Fleet dates'!$D$9:$D$1008,$I267-8)="","",INDEX('Fleet dates'!$D$9:$D$1008,$I267-8)))</x:f>
      </x:c>
      <x:c r="E267" s="51" t="str">
        <x:f>IF(259&gt;$H$4,"",IF(INDEX('Fleet dates'!$E$9:$E$1008,$I267-8)="","",INDEX('Fleet dates'!$E$9:$E$1008,$I267-8)))</x:f>
      </x:c>
      <x:c r="F267" s="51" t="str">
        <x:f>IF(259&gt;$H$4,"",IF(INDEX('Fleet dates'!$F$9:$F$1008,$I267-8)="","",INDEX('Fleet dates'!$F$9:$F$1008,$I267-8)))</x:f>
      </x:c>
      <x:c r="G267" s="50" t="str">
        <x:f>IF(259&gt;$H$4,"",IF(INDEX('Fleet dates'!$G$9:$G$1008,$I267-8)="","",INDEX('Fleet dates'!$G$9:$G$1008,$I267-8)))</x:f>
      </x:c>
      <x:c r="H267" s="50" t="str">
        <x:f>IF(259&gt;$H$4,"",IF(INDEX('Fleet dates'!$I$9:$I$1008,$I267-8)="","",INDEX('Fleet dates'!$I$9:$I$1008,$I267-8)))</x:f>
      </x:c>
      <x:c r="I267" t="str">
        <x:f>IF(259&gt;$H$4,"",MATCH(259,'Fleet dates'!$J$9:$J$1008,0)+8)</x:f>
      </x:c>
    </x:row>
    <x:row r="268" ht="36" customHeight="1">
      <x:c r="A268" s="50" t="str">
        <x:f>IF(260&gt;$H$4,"",IF(INDEX('Fleet dates'!$A$9:$A$1008,$I268-8)="","",INDEX('Fleet dates'!$A$9:$A$1008,$I268-8)))</x:f>
      </x:c>
      <x:c r="B268" s="50" t="str">
        <x:f>IF(260&gt;$H$4,"",IF(INDEX('Fleet dates'!$B$9:$B$1008,$I268-8)="","",INDEX('Fleet dates'!$B$9:$B$1008,$I268-8)))</x:f>
      </x:c>
      <x:c r="C268" s="51" t="str">
        <x:f>IF(260&gt;$H$4,"",IF(INDEX('Fleet dates'!$C$9:$C$1008,$I268-8)="","",INDEX('Fleet dates'!$C$9:$C$1008,$I268-8)))</x:f>
      </x:c>
      <x:c r="D268" s="51" t="str">
        <x:f>IF(260&gt;$H$4,"",IF(INDEX('Fleet dates'!$D$9:$D$1008,$I268-8)="","",INDEX('Fleet dates'!$D$9:$D$1008,$I268-8)))</x:f>
      </x:c>
      <x:c r="E268" s="51" t="str">
        <x:f>IF(260&gt;$H$4,"",IF(INDEX('Fleet dates'!$E$9:$E$1008,$I268-8)="","",INDEX('Fleet dates'!$E$9:$E$1008,$I268-8)))</x:f>
      </x:c>
      <x:c r="F268" s="51" t="str">
        <x:f>IF(260&gt;$H$4,"",IF(INDEX('Fleet dates'!$F$9:$F$1008,$I268-8)="","",INDEX('Fleet dates'!$F$9:$F$1008,$I268-8)))</x:f>
      </x:c>
      <x:c r="G268" s="50" t="str">
        <x:f>IF(260&gt;$H$4,"",IF(INDEX('Fleet dates'!$G$9:$G$1008,$I268-8)="","",INDEX('Fleet dates'!$G$9:$G$1008,$I268-8)))</x:f>
      </x:c>
      <x:c r="H268" s="50" t="str">
        <x:f>IF(260&gt;$H$4,"",IF(INDEX('Fleet dates'!$I$9:$I$1008,$I268-8)="","",INDEX('Fleet dates'!$I$9:$I$1008,$I268-8)))</x:f>
      </x:c>
      <x:c r="I268" t="str">
        <x:f>IF(260&gt;$H$4,"",MATCH(260,'Fleet dates'!$J$9:$J$1008,0)+8)</x:f>
      </x:c>
    </x:row>
    <x:row r="269" ht="36" customHeight="1">
      <x:c r="A269" s="50" t="str">
        <x:f>IF(261&gt;$H$4,"",IF(INDEX('Fleet dates'!$A$9:$A$1008,$I269-8)="","",INDEX('Fleet dates'!$A$9:$A$1008,$I269-8)))</x:f>
      </x:c>
      <x:c r="B269" s="50" t="str">
        <x:f>IF(261&gt;$H$4,"",IF(INDEX('Fleet dates'!$B$9:$B$1008,$I269-8)="","",INDEX('Fleet dates'!$B$9:$B$1008,$I269-8)))</x:f>
      </x:c>
      <x:c r="C269" s="51" t="str">
        <x:f>IF(261&gt;$H$4,"",IF(INDEX('Fleet dates'!$C$9:$C$1008,$I269-8)="","",INDEX('Fleet dates'!$C$9:$C$1008,$I269-8)))</x:f>
      </x:c>
      <x:c r="D269" s="51" t="str">
        <x:f>IF(261&gt;$H$4,"",IF(INDEX('Fleet dates'!$D$9:$D$1008,$I269-8)="","",INDEX('Fleet dates'!$D$9:$D$1008,$I269-8)))</x:f>
      </x:c>
      <x:c r="E269" s="51" t="str">
        <x:f>IF(261&gt;$H$4,"",IF(INDEX('Fleet dates'!$E$9:$E$1008,$I269-8)="","",INDEX('Fleet dates'!$E$9:$E$1008,$I269-8)))</x:f>
      </x:c>
      <x:c r="F269" s="51" t="str">
        <x:f>IF(261&gt;$H$4,"",IF(INDEX('Fleet dates'!$F$9:$F$1008,$I269-8)="","",INDEX('Fleet dates'!$F$9:$F$1008,$I269-8)))</x:f>
      </x:c>
      <x:c r="G269" s="50" t="str">
        <x:f>IF(261&gt;$H$4,"",IF(INDEX('Fleet dates'!$G$9:$G$1008,$I269-8)="","",INDEX('Fleet dates'!$G$9:$G$1008,$I269-8)))</x:f>
      </x:c>
      <x:c r="H269" s="50" t="str">
        <x:f>IF(261&gt;$H$4,"",IF(INDEX('Fleet dates'!$I$9:$I$1008,$I269-8)="","",INDEX('Fleet dates'!$I$9:$I$1008,$I269-8)))</x:f>
      </x:c>
      <x:c r="I269" t="str">
        <x:f>IF(261&gt;$H$4,"",MATCH(261,'Fleet dates'!$J$9:$J$1008,0)+8)</x:f>
      </x:c>
    </x:row>
    <x:row r="270" ht="36" customHeight="1">
      <x:c r="A270" s="50" t="str">
        <x:f>IF(262&gt;$H$4,"",IF(INDEX('Fleet dates'!$A$9:$A$1008,$I270-8)="","",INDEX('Fleet dates'!$A$9:$A$1008,$I270-8)))</x:f>
      </x:c>
      <x:c r="B270" s="50" t="str">
        <x:f>IF(262&gt;$H$4,"",IF(INDEX('Fleet dates'!$B$9:$B$1008,$I270-8)="","",INDEX('Fleet dates'!$B$9:$B$1008,$I270-8)))</x:f>
      </x:c>
      <x:c r="C270" s="51" t="str">
        <x:f>IF(262&gt;$H$4,"",IF(INDEX('Fleet dates'!$C$9:$C$1008,$I270-8)="","",INDEX('Fleet dates'!$C$9:$C$1008,$I270-8)))</x:f>
      </x:c>
      <x:c r="D270" s="51" t="str">
        <x:f>IF(262&gt;$H$4,"",IF(INDEX('Fleet dates'!$D$9:$D$1008,$I270-8)="","",INDEX('Fleet dates'!$D$9:$D$1008,$I270-8)))</x:f>
      </x:c>
      <x:c r="E270" s="51" t="str">
        <x:f>IF(262&gt;$H$4,"",IF(INDEX('Fleet dates'!$E$9:$E$1008,$I270-8)="","",INDEX('Fleet dates'!$E$9:$E$1008,$I270-8)))</x:f>
      </x:c>
      <x:c r="F270" s="51" t="str">
        <x:f>IF(262&gt;$H$4,"",IF(INDEX('Fleet dates'!$F$9:$F$1008,$I270-8)="","",INDEX('Fleet dates'!$F$9:$F$1008,$I270-8)))</x:f>
      </x:c>
      <x:c r="G270" s="50" t="str">
        <x:f>IF(262&gt;$H$4,"",IF(INDEX('Fleet dates'!$G$9:$G$1008,$I270-8)="","",INDEX('Fleet dates'!$G$9:$G$1008,$I270-8)))</x:f>
      </x:c>
      <x:c r="H270" s="50" t="str">
        <x:f>IF(262&gt;$H$4,"",IF(INDEX('Fleet dates'!$I$9:$I$1008,$I270-8)="","",INDEX('Fleet dates'!$I$9:$I$1008,$I270-8)))</x:f>
      </x:c>
      <x:c r="I270" t="str">
        <x:f>IF(262&gt;$H$4,"",MATCH(262,'Fleet dates'!$J$9:$J$1008,0)+8)</x:f>
      </x:c>
    </x:row>
    <x:row r="271" ht="36" customHeight="1">
      <x:c r="A271" s="50" t="str">
        <x:f>IF(263&gt;$H$4,"",IF(INDEX('Fleet dates'!$A$9:$A$1008,$I271-8)="","",INDEX('Fleet dates'!$A$9:$A$1008,$I271-8)))</x:f>
      </x:c>
      <x:c r="B271" s="50" t="str">
        <x:f>IF(263&gt;$H$4,"",IF(INDEX('Fleet dates'!$B$9:$B$1008,$I271-8)="","",INDEX('Fleet dates'!$B$9:$B$1008,$I271-8)))</x:f>
      </x:c>
      <x:c r="C271" s="51" t="str">
        <x:f>IF(263&gt;$H$4,"",IF(INDEX('Fleet dates'!$C$9:$C$1008,$I271-8)="","",INDEX('Fleet dates'!$C$9:$C$1008,$I271-8)))</x:f>
      </x:c>
      <x:c r="D271" s="51" t="str">
        <x:f>IF(263&gt;$H$4,"",IF(INDEX('Fleet dates'!$D$9:$D$1008,$I271-8)="","",INDEX('Fleet dates'!$D$9:$D$1008,$I271-8)))</x:f>
      </x:c>
      <x:c r="E271" s="51" t="str">
        <x:f>IF(263&gt;$H$4,"",IF(INDEX('Fleet dates'!$E$9:$E$1008,$I271-8)="","",INDEX('Fleet dates'!$E$9:$E$1008,$I271-8)))</x:f>
      </x:c>
      <x:c r="F271" s="51" t="str">
        <x:f>IF(263&gt;$H$4,"",IF(INDEX('Fleet dates'!$F$9:$F$1008,$I271-8)="","",INDEX('Fleet dates'!$F$9:$F$1008,$I271-8)))</x:f>
      </x:c>
      <x:c r="G271" s="50" t="str">
        <x:f>IF(263&gt;$H$4,"",IF(INDEX('Fleet dates'!$G$9:$G$1008,$I271-8)="","",INDEX('Fleet dates'!$G$9:$G$1008,$I271-8)))</x:f>
      </x:c>
      <x:c r="H271" s="50" t="str">
        <x:f>IF(263&gt;$H$4,"",IF(INDEX('Fleet dates'!$I$9:$I$1008,$I271-8)="","",INDEX('Fleet dates'!$I$9:$I$1008,$I271-8)))</x:f>
      </x:c>
      <x:c r="I271" t="str">
        <x:f>IF(263&gt;$H$4,"",MATCH(263,'Fleet dates'!$J$9:$J$1008,0)+8)</x:f>
      </x:c>
    </x:row>
    <x:row r="272" ht="36" customHeight="1">
      <x:c r="A272" s="50" t="str">
        <x:f>IF(264&gt;$H$4,"",IF(INDEX('Fleet dates'!$A$9:$A$1008,$I272-8)="","",INDEX('Fleet dates'!$A$9:$A$1008,$I272-8)))</x:f>
      </x:c>
      <x:c r="B272" s="50" t="str">
        <x:f>IF(264&gt;$H$4,"",IF(INDEX('Fleet dates'!$B$9:$B$1008,$I272-8)="","",INDEX('Fleet dates'!$B$9:$B$1008,$I272-8)))</x:f>
      </x:c>
      <x:c r="C272" s="51" t="str">
        <x:f>IF(264&gt;$H$4,"",IF(INDEX('Fleet dates'!$C$9:$C$1008,$I272-8)="","",INDEX('Fleet dates'!$C$9:$C$1008,$I272-8)))</x:f>
      </x:c>
      <x:c r="D272" s="51" t="str">
        <x:f>IF(264&gt;$H$4,"",IF(INDEX('Fleet dates'!$D$9:$D$1008,$I272-8)="","",INDEX('Fleet dates'!$D$9:$D$1008,$I272-8)))</x:f>
      </x:c>
      <x:c r="E272" s="51" t="str">
        <x:f>IF(264&gt;$H$4,"",IF(INDEX('Fleet dates'!$E$9:$E$1008,$I272-8)="","",INDEX('Fleet dates'!$E$9:$E$1008,$I272-8)))</x:f>
      </x:c>
      <x:c r="F272" s="51" t="str">
        <x:f>IF(264&gt;$H$4,"",IF(INDEX('Fleet dates'!$F$9:$F$1008,$I272-8)="","",INDEX('Fleet dates'!$F$9:$F$1008,$I272-8)))</x:f>
      </x:c>
      <x:c r="G272" s="50" t="str">
        <x:f>IF(264&gt;$H$4,"",IF(INDEX('Fleet dates'!$G$9:$G$1008,$I272-8)="","",INDEX('Fleet dates'!$G$9:$G$1008,$I272-8)))</x:f>
      </x:c>
      <x:c r="H272" s="50" t="str">
        <x:f>IF(264&gt;$H$4,"",IF(INDEX('Fleet dates'!$I$9:$I$1008,$I272-8)="","",INDEX('Fleet dates'!$I$9:$I$1008,$I272-8)))</x:f>
      </x:c>
      <x:c r="I272" t="str">
        <x:f>IF(264&gt;$H$4,"",MATCH(264,'Fleet dates'!$J$9:$J$1008,0)+8)</x:f>
      </x:c>
    </x:row>
    <x:row r="273" ht="36" customHeight="1">
      <x:c r="A273" s="50" t="str">
        <x:f>IF(265&gt;$H$4,"",IF(INDEX('Fleet dates'!$A$9:$A$1008,$I273-8)="","",INDEX('Fleet dates'!$A$9:$A$1008,$I273-8)))</x:f>
      </x:c>
      <x:c r="B273" s="50" t="str">
        <x:f>IF(265&gt;$H$4,"",IF(INDEX('Fleet dates'!$B$9:$B$1008,$I273-8)="","",INDEX('Fleet dates'!$B$9:$B$1008,$I273-8)))</x:f>
      </x:c>
      <x:c r="C273" s="51" t="str">
        <x:f>IF(265&gt;$H$4,"",IF(INDEX('Fleet dates'!$C$9:$C$1008,$I273-8)="","",INDEX('Fleet dates'!$C$9:$C$1008,$I273-8)))</x:f>
      </x:c>
      <x:c r="D273" s="51" t="str">
        <x:f>IF(265&gt;$H$4,"",IF(INDEX('Fleet dates'!$D$9:$D$1008,$I273-8)="","",INDEX('Fleet dates'!$D$9:$D$1008,$I273-8)))</x:f>
      </x:c>
      <x:c r="E273" s="51" t="str">
        <x:f>IF(265&gt;$H$4,"",IF(INDEX('Fleet dates'!$E$9:$E$1008,$I273-8)="","",INDEX('Fleet dates'!$E$9:$E$1008,$I273-8)))</x:f>
      </x:c>
      <x:c r="F273" s="51" t="str">
        <x:f>IF(265&gt;$H$4,"",IF(INDEX('Fleet dates'!$F$9:$F$1008,$I273-8)="","",INDEX('Fleet dates'!$F$9:$F$1008,$I273-8)))</x:f>
      </x:c>
      <x:c r="G273" s="50" t="str">
        <x:f>IF(265&gt;$H$4,"",IF(INDEX('Fleet dates'!$G$9:$G$1008,$I273-8)="","",INDEX('Fleet dates'!$G$9:$G$1008,$I273-8)))</x:f>
      </x:c>
      <x:c r="H273" s="50" t="str">
        <x:f>IF(265&gt;$H$4,"",IF(INDEX('Fleet dates'!$I$9:$I$1008,$I273-8)="","",INDEX('Fleet dates'!$I$9:$I$1008,$I273-8)))</x:f>
      </x:c>
      <x:c r="I273" t="str">
        <x:f>IF(265&gt;$H$4,"",MATCH(265,'Fleet dates'!$J$9:$J$1008,0)+8)</x:f>
      </x:c>
    </x:row>
    <x:row r="274" ht="36" customHeight="1">
      <x:c r="A274" s="50" t="str">
        <x:f>IF(266&gt;$H$4,"",IF(INDEX('Fleet dates'!$A$9:$A$1008,$I274-8)="","",INDEX('Fleet dates'!$A$9:$A$1008,$I274-8)))</x:f>
      </x:c>
      <x:c r="B274" s="50" t="str">
        <x:f>IF(266&gt;$H$4,"",IF(INDEX('Fleet dates'!$B$9:$B$1008,$I274-8)="","",INDEX('Fleet dates'!$B$9:$B$1008,$I274-8)))</x:f>
      </x:c>
      <x:c r="C274" s="51" t="str">
        <x:f>IF(266&gt;$H$4,"",IF(INDEX('Fleet dates'!$C$9:$C$1008,$I274-8)="","",INDEX('Fleet dates'!$C$9:$C$1008,$I274-8)))</x:f>
      </x:c>
      <x:c r="D274" s="51" t="str">
        <x:f>IF(266&gt;$H$4,"",IF(INDEX('Fleet dates'!$D$9:$D$1008,$I274-8)="","",INDEX('Fleet dates'!$D$9:$D$1008,$I274-8)))</x:f>
      </x:c>
      <x:c r="E274" s="51" t="str">
        <x:f>IF(266&gt;$H$4,"",IF(INDEX('Fleet dates'!$E$9:$E$1008,$I274-8)="","",INDEX('Fleet dates'!$E$9:$E$1008,$I274-8)))</x:f>
      </x:c>
      <x:c r="F274" s="51" t="str">
        <x:f>IF(266&gt;$H$4,"",IF(INDEX('Fleet dates'!$F$9:$F$1008,$I274-8)="","",INDEX('Fleet dates'!$F$9:$F$1008,$I274-8)))</x:f>
      </x:c>
      <x:c r="G274" s="50" t="str">
        <x:f>IF(266&gt;$H$4,"",IF(INDEX('Fleet dates'!$G$9:$G$1008,$I274-8)="","",INDEX('Fleet dates'!$G$9:$G$1008,$I274-8)))</x:f>
      </x:c>
      <x:c r="H274" s="50" t="str">
        <x:f>IF(266&gt;$H$4,"",IF(INDEX('Fleet dates'!$I$9:$I$1008,$I274-8)="","",INDEX('Fleet dates'!$I$9:$I$1008,$I274-8)))</x:f>
      </x:c>
      <x:c r="I274" t="str">
        <x:f>IF(266&gt;$H$4,"",MATCH(266,'Fleet dates'!$J$9:$J$1008,0)+8)</x:f>
      </x:c>
    </x:row>
    <x:row r="275" ht="36" customHeight="1">
      <x:c r="A275" s="50" t="str">
        <x:f>IF(267&gt;$H$4,"",IF(INDEX('Fleet dates'!$A$9:$A$1008,$I275-8)="","",INDEX('Fleet dates'!$A$9:$A$1008,$I275-8)))</x:f>
      </x:c>
      <x:c r="B275" s="50" t="str">
        <x:f>IF(267&gt;$H$4,"",IF(INDEX('Fleet dates'!$B$9:$B$1008,$I275-8)="","",INDEX('Fleet dates'!$B$9:$B$1008,$I275-8)))</x:f>
      </x:c>
      <x:c r="C275" s="51" t="str">
        <x:f>IF(267&gt;$H$4,"",IF(INDEX('Fleet dates'!$C$9:$C$1008,$I275-8)="","",INDEX('Fleet dates'!$C$9:$C$1008,$I275-8)))</x:f>
      </x:c>
      <x:c r="D275" s="51" t="str">
        <x:f>IF(267&gt;$H$4,"",IF(INDEX('Fleet dates'!$D$9:$D$1008,$I275-8)="","",INDEX('Fleet dates'!$D$9:$D$1008,$I275-8)))</x:f>
      </x:c>
      <x:c r="E275" s="51" t="str">
        <x:f>IF(267&gt;$H$4,"",IF(INDEX('Fleet dates'!$E$9:$E$1008,$I275-8)="","",INDEX('Fleet dates'!$E$9:$E$1008,$I275-8)))</x:f>
      </x:c>
      <x:c r="F275" s="51" t="str">
        <x:f>IF(267&gt;$H$4,"",IF(INDEX('Fleet dates'!$F$9:$F$1008,$I275-8)="","",INDEX('Fleet dates'!$F$9:$F$1008,$I275-8)))</x:f>
      </x:c>
      <x:c r="G275" s="50" t="str">
        <x:f>IF(267&gt;$H$4,"",IF(INDEX('Fleet dates'!$G$9:$G$1008,$I275-8)="","",INDEX('Fleet dates'!$G$9:$G$1008,$I275-8)))</x:f>
      </x:c>
      <x:c r="H275" s="50" t="str">
        <x:f>IF(267&gt;$H$4,"",IF(INDEX('Fleet dates'!$I$9:$I$1008,$I275-8)="","",INDEX('Fleet dates'!$I$9:$I$1008,$I275-8)))</x:f>
      </x:c>
      <x:c r="I275" t="str">
        <x:f>IF(267&gt;$H$4,"",MATCH(267,'Fleet dates'!$J$9:$J$1008,0)+8)</x:f>
      </x:c>
    </x:row>
    <x:row r="276" ht="36" customHeight="1">
      <x:c r="A276" s="50" t="str">
        <x:f>IF(268&gt;$H$4,"",IF(INDEX('Fleet dates'!$A$9:$A$1008,$I276-8)="","",INDEX('Fleet dates'!$A$9:$A$1008,$I276-8)))</x:f>
      </x:c>
      <x:c r="B276" s="50" t="str">
        <x:f>IF(268&gt;$H$4,"",IF(INDEX('Fleet dates'!$B$9:$B$1008,$I276-8)="","",INDEX('Fleet dates'!$B$9:$B$1008,$I276-8)))</x:f>
      </x:c>
      <x:c r="C276" s="51" t="str">
        <x:f>IF(268&gt;$H$4,"",IF(INDEX('Fleet dates'!$C$9:$C$1008,$I276-8)="","",INDEX('Fleet dates'!$C$9:$C$1008,$I276-8)))</x:f>
      </x:c>
      <x:c r="D276" s="51" t="str">
        <x:f>IF(268&gt;$H$4,"",IF(INDEX('Fleet dates'!$D$9:$D$1008,$I276-8)="","",INDEX('Fleet dates'!$D$9:$D$1008,$I276-8)))</x:f>
      </x:c>
      <x:c r="E276" s="51" t="str">
        <x:f>IF(268&gt;$H$4,"",IF(INDEX('Fleet dates'!$E$9:$E$1008,$I276-8)="","",INDEX('Fleet dates'!$E$9:$E$1008,$I276-8)))</x:f>
      </x:c>
      <x:c r="F276" s="51" t="str">
        <x:f>IF(268&gt;$H$4,"",IF(INDEX('Fleet dates'!$F$9:$F$1008,$I276-8)="","",INDEX('Fleet dates'!$F$9:$F$1008,$I276-8)))</x:f>
      </x:c>
      <x:c r="G276" s="50" t="str">
        <x:f>IF(268&gt;$H$4,"",IF(INDEX('Fleet dates'!$G$9:$G$1008,$I276-8)="","",INDEX('Fleet dates'!$G$9:$G$1008,$I276-8)))</x:f>
      </x:c>
      <x:c r="H276" s="50" t="str">
        <x:f>IF(268&gt;$H$4,"",IF(INDEX('Fleet dates'!$I$9:$I$1008,$I276-8)="","",INDEX('Fleet dates'!$I$9:$I$1008,$I276-8)))</x:f>
      </x:c>
      <x:c r="I276" t="str">
        <x:f>IF(268&gt;$H$4,"",MATCH(268,'Fleet dates'!$J$9:$J$1008,0)+8)</x:f>
      </x:c>
    </x:row>
    <x:row r="277" ht="36" customHeight="1">
      <x:c r="A277" s="50" t="str">
        <x:f>IF(269&gt;$H$4,"",IF(INDEX('Fleet dates'!$A$9:$A$1008,$I277-8)="","",INDEX('Fleet dates'!$A$9:$A$1008,$I277-8)))</x:f>
      </x:c>
      <x:c r="B277" s="50" t="str">
        <x:f>IF(269&gt;$H$4,"",IF(INDEX('Fleet dates'!$B$9:$B$1008,$I277-8)="","",INDEX('Fleet dates'!$B$9:$B$1008,$I277-8)))</x:f>
      </x:c>
      <x:c r="C277" s="51" t="str">
        <x:f>IF(269&gt;$H$4,"",IF(INDEX('Fleet dates'!$C$9:$C$1008,$I277-8)="","",INDEX('Fleet dates'!$C$9:$C$1008,$I277-8)))</x:f>
      </x:c>
      <x:c r="D277" s="51" t="str">
        <x:f>IF(269&gt;$H$4,"",IF(INDEX('Fleet dates'!$D$9:$D$1008,$I277-8)="","",INDEX('Fleet dates'!$D$9:$D$1008,$I277-8)))</x:f>
      </x:c>
      <x:c r="E277" s="51" t="str">
        <x:f>IF(269&gt;$H$4,"",IF(INDEX('Fleet dates'!$E$9:$E$1008,$I277-8)="","",INDEX('Fleet dates'!$E$9:$E$1008,$I277-8)))</x:f>
      </x:c>
      <x:c r="F277" s="51" t="str">
        <x:f>IF(269&gt;$H$4,"",IF(INDEX('Fleet dates'!$F$9:$F$1008,$I277-8)="","",INDEX('Fleet dates'!$F$9:$F$1008,$I277-8)))</x:f>
      </x:c>
      <x:c r="G277" s="50" t="str">
        <x:f>IF(269&gt;$H$4,"",IF(INDEX('Fleet dates'!$G$9:$G$1008,$I277-8)="","",INDEX('Fleet dates'!$G$9:$G$1008,$I277-8)))</x:f>
      </x:c>
      <x:c r="H277" s="50" t="str">
        <x:f>IF(269&gt;$H$4,"",IF(INDEX('Fleet dates'!$I$9:$I$1008,$I277-8)="","",INDEX('Fleet dates'!$I$9:$I$1008,$I277-8)))</x:f>
      </x:c>
      <x:c r="I277" t="str">
        <x:f>IF(269&gt;$H$4,"",MATCH(269,'Fleet dates'!$J$9:$J$1008,0)+8)</x:f>
      </x:c>
    </x:row>
    <x:row r="278" ht="36" customHeight="1">
      <x:c r="A278" s="50" t="str">
        <x:f>IF(270&gt;$H$4,"",IF(INDEX('Fleet dates'!$A$9:$A$1008,$I278-8)="","",INDEX('Fleet dates'!$A$9:$A$1008,$I278-8)))</x:f>
      </x:c>
      <x:c r="B278" s="50" t="str">
        <x:f>IF(270&gt;$H$4,"",IF(INDEX('Fleet dates'!$B$9:$B$1008,$I278-8)="","",INDEX('Fleet dates'!$B$9:$B$1008,$I278-8)))</x:f>
      </x:c>
      <x:c r="C278" s="51" t="str">
        <x:f>IF(270&gt;$H$4,"",IF(INDEX('Fleet dates'!$C$9:$C$1008,$I278-8)="","",INDEX('Fleet dates'!$C$9:$C$1008,$I278-8)))</x:f>
      </x:c>
      <x:c r="D278" s="51" t="str">
        <x:f>IF(270&gt;$H$4,"",IF(INDEX('Fleet dates'!$D$9:$D$1008,$I278-8)="","",INDEX('Fleet dates'!$D$9:$D$1008,$I278-8)))</x:f>
      </x:c>
      <x:c r="E278" s="51" t="str">
        <x:f>IF(270&gt;$H$4,"",IF(INDEX('Fleet dates'!$E$9:$E$1008,$I278-8)="","",INDEX('Fleet dates'!$E$9:$E$1008,$I278-8)))</x:f>
      </x:c>
      <x:c r="F278" s="51" t="str">
        <x:f>IF(270&gt;$H$4,"",IF(INDEX('Fleet dates'!$F$9:$F$1008,$I278-8)="","",INDEX('Fleet dates'!$F$9:$F$1008,$I278-8)))</x:f>
      </x:c>
      <x:c r="G278" s="50" t="str">
        <x:f>IF(270&gt;$H$4,"",IF(INDEX('Fleet dates'!$G$9:$G$1008,$I278-8)="","",INDEX('Fleet dates'!$G$9:$G$1008,$I278-8)))</x:f>
      </x:c>
      <x:c r="H278" s="50" t="str">
        <x:f>IF(270&gt;$H$4,"",IF(INDEX('Fleet dates'!$I$9:$I$1008,$I278-8)="","",INDEX('Fleet dates'!$I$9:$I$1008,$I278-8)))</x:f>
      </x:c>
      <x:c r="I278" t="str">
        <x:f>IF(270&gt;$H$4,"",MATCH(270,'Fleet dates'!$J$9:$J$1008,0)+8)</x:f>
      </x:c>
    </x:row>
    <x:row r="279" ht="36" customHeight="1">
      <x:c r="A279" s="50" t="str">
        <x:f>IF(271&gt;$H$4,"",IF(INDEX('Fleet dates'!$A$9:$A$1008,$I279-8)="","",INDEX('Fleet dates'!$A$9:$A$1008,$I279-8)))</x:f>
      </x:c>
      <x:c r="B279" s="50" t="str">
        <x:f>IF(271&gt;$H$4,"",IF(INDEX('Fleet dates'!$B$9:$B$1008,$I279-8)="","",INDEX('Fleet dates'!$B$9:$B$1008,$I279-8)))</x:f>
      </x:c>
      <x:c r="C279" s="51" t="str">
        <x:f>IF(271&gt;$H$4,"",IF(INDEX('Fleet dates'!$C$9:$C$1008,$I279-8)="","",INDEX('Fleet dates'!$C$9:$C$1008,$I279-8)))</x:f>
      </x:c>
      <x:c r="D279" s="51" t="str">
        <x:f>IF(271&gt;$H$4,"",IF(INDEX('Fleet dates'!$D$9:$D$1008,$I279-8)="","",INDEX('Fleet dates'!$D$9:$D$1008,$I279-8)))</x:f>
      </x:c>
      <x:c r="E279" s="51" t="str">
        <x:f>IF(271&gt;$H$4,"",IF(INDEX('Fleet dates'!$E$9:$E$1008,$I279-8)="","",INDEX('Fleet dates'!$E$9:$E$1008,$I279-8)))</x:f>
      </x:c>
      <x:c r="F279" s="51" t="str">
        <x:f>IF(271&gt;$H$4,"",IF(INDEX('Fleet dates'!$F$9:$F$1008,$I279-8)="","",INDEX('Fleet dates'!$F$9:$F$1008,$I279-8)))</x:f>
      </x:c>
      <x:c r="G279" s="50" t="str">
        <x:f>IF(271&gt;$H$4,"",IF(INDEX('Fleet dates'!$G$9:$G$1008,$I279-8)="","",INDEX('Fleet dates'!$G$9:$G$1008,$I279-8)))</x:f>
      </x:c>
      <x:c r="H279" s="50" t="str">
        <x:f>IF(271&gt;$H$4,"",IF(INDEX('Fleet dates'!$I$9:$I$1008,$I279-8)="","",INDEX('Fleet dates'!$I$9:$I$1008,$I279-8)))</x:f>
      </x:c>
      <x:c r="I279" t="str">
        <x:f>IF(271&gt;$H$4,"",MATCH(271,'Fleet dates'!$J$9:$J$1008,0)+8)</x:f>
      </x:c>
    </x:row>
    <x:row r="280" ht="36" customHeight="1">
      <x:c r="A280" s="50" t="str">
        <x:f>IF(272&gt;$H$4,"",IF(INDEX('Fleet dates'!$A$9:$A$1008,$I280-8)="","",INDEX('Fleet dates'!$A$9:$A$1008,$I280-8)))</x:f>
      </x:c>
      <x:c r="B280" s="50" t="str">
        <x:f>IF(272&gt;$H$4,"",IF(INDEX('Fleet dates'!$B$9:$B$1008,$I280-8)="","",INDEX('Fleet dates'!$B$9:$B$1008,$I280-8)))</x:f>
      </x:c>
      <x:c r="C280" s="51" t="str">
        <x:f>IF(272&gt;$H$4,"",IF(INDEX('Fleet dates'!$C$9:$C$1008,$I280-8)="","",INDEX('Fleet dates'!$C$9:$C$1008,$I280-8)))</x:f>
      </x:c>
      <x:c r="D280" s="51" t="str">
        <x:f>IF(272&gt;$H$4,"",IF(INDEX('Fleet dates'!$D$9:$D$1008,$I280-8)="","",INDEX('Fleet dates'!$D$9:$D$1008,$I280-8)))</x:f>
      </x:c>
      <x:c r="E280" s="51" t="str">
        <x:f>IF(272&gt;$H$4,"",IF(INDEX('Fleet dates'!$E$9:$E$1008,$I280-8)="","",INDEX('Fleet dates'!$E$9:$E$1008,$I280-8)))</x:f>
      </x:c>
      <x:c r="F280" s="51" t="str">
        <x:f>IF(272&gt;$H$4,"",IF(INDEX('Fleet dates'!$F$9:$F$1008,$I280-8)="","",INDEX('Fleet dates'!$F$9:$F$1008,$I280-8)))</x:f>
      </x:c>
      <x:c r="G280" s="50" t="str">
        <x:f>IF(272&gt;$H$4,"",IF(INDEX('Fleet dates'!$G$9:$G$1008,$I280-8)="","",INDEX('Fleet dates'!$G$9:$G$1008,$I280-8)))</x:f>
      </x:c>
      <x:c r="H280" s="50" t="str">
        <x:f>IF(272&gt;$H$4,"",IF(INDEX('Fleet dates'!$I$9:$I$1008,$I280-8)="","",INDEX('Fleet dates'!$I$9:$I$1008,$I280-8)))</x:f>
      </x:c>
      <x:c r="I280" t="str">
        <x:f>IF(272&gt;$H$4,"",MATCH(272,'Fleet dates'!$J$9:$J$1008,0)+8)</x:f>
      </x:c>
    </x:row>
    <x:row r="281" ht="36" customHeight="1">
      <x:c r="A281" s="50" t="str">
        <x:f>IF(273&gt;$H$4,"",IF(INDEX('Fleet dates'!$A$9:$A$1008,$I281-8)="","",INDEX('Fleet dates'!$A$9:$A$1008,$I281-8)))</x:f>
      </x:c>
      <x:c r="B281" s="50" t="str">
        <x:f>IF(273&gt;$H$4,"",IF(INDEX('Fleet dates'!$B$9:$B$1008,$I281-8)="","",INDEX('Fleet dates'!$B$9:$B$1008,$I281-8)))</x:f>
      </x:c>
      <x:c r="C281" s="51" t="str">
        <x:f>IF(273&gt;$H$4,"",IF(INDEX('Fleet dates'!$C$9:$C$1008,$I281-8)="","",INDEX('Fleet dates'!$C$9:$C$1008,$I281-8)))</x:f>
      </x:c>
      <x:c r="D281" s="51" t="str">
        <x:f>IF(273&gt;$H$4,"",IF(INDEX('Fleet dates'!$D$9:$D$1008,$I281-8)="","",INDEX('Fleet dates'!$D$9:$D$1008,$I281-8)))</x:f>
      </x:c>
      <x:c r="E281" s="51" t="str">
        <x:f>IF(273&gt;$H$4,"",IF(INDEX('Fleet dates'!$E$9:$E$1008,$I281-8)="","",INDEX('Fleet dates'!$E$9:$E$1008,$I281-8)))</x:f>
      </x:c>
      <x:c r="F281" s="51" t="str">
        <x:f>IF(273&gt;$H$4,"",IF(INDEX('Fleet dates'!$F$9:$F$1008,$I281-8)="","",INDEX('Fleet dates'!$F$9:$F$1008,$I281-8)))</x:f>
      </x:c>
      <x:c r="G281" s="50" t="str">
        <x:f>IF(273&gt;$H$4,"",IF(INDEX('Fleet dates'!$G$9:$G$1008,$I281-8)="","",INDEX('Fleet dates'!$G$9:$G$1008,$I281-8)))</x:f>
      </x:c>
      <x:c r="H281" s="50" t="str">
        <x:f>IF(273&gt;$H$4,"",IF(INDEX('Fleet dates'!$I$9:$I$1008,$I281-8)="","",INDEX('Fleet dates'!$I$9:$I$1008,$I281-8)))</x:f>
      </x:c>
      <x:c r="I281" t="str">
        <x:f>IF(273&gt;$H$4,"",MATCH(273,'Fleet dates'!$J$9:$J$1008,0)+8)</x:f>
      </x:c>
    </x:row>
    <x:row r="282" ht="36" customHeight="1">
      <x:c r="A282" s="50" t="str">
        <x:f>IF(274&gt;$H$4,"",IF(INDEX('Fleet dates'!$A$9:$A$1008,$I282-8)="","",INDEX('Fleet dates'!$A$9:$A$1008,$I282-8)))</x:f>
      </x:c>
      <x:c r="B282" s="50" t="str">
        <x:f>IF(274&gt;$H$4,"",IF(INDEX('Fleet dates'!$B$9:$B$1008,$I282-8)="","",INDEX('Fleet dates'!$B$9:$B$1008,$I282-8)))</x:f>
      </x:c>
      <x:c r="C282" s="51" t="str">
        <x:f>IF(274&gt;$H$4,"",IF(INDEX('Fleet dates'!$C$9:$C$1008,$I282-8)="","",INDEX('Fleet dates'!$C$9:$C$1008,$I282-8)))</x:f>
      </x:c>
      <x:c r="D282" s="51" t="str">
        <x:f>IF(274&gt;$H$4,"",IF(INDEX('Fleet dates'!$D$9:$D$1008,$I282-8)="","",INDEX('Fleet dates'!$D$9:$D$1008,$I282-8)))</x:f>
      </x:c>
      <x:c r="E282" s="51" t="str">
        <x:f>IF(274&gt;$H$4,"",IF(INDEX('Fleet dates'!$E$9:$E$1008,$I282-8)="","",INDEX('Fleet dates'!$E$9:$E$1008,$I282-8)))</x:f>
      </x:c>
      <x:c r="F282" s="51" t="str">
        <x:f>IF(274&gt;$H$4,"",IF(INDEX('Fleet dates'!$F$9:$F$1008,$I282-8)="","",INDEX('Fleet dates'!$F$9:$F$1008,$I282-8)))</x:f>
      </x:c>
      <x:c r="G282" s="50" t="str">
        <x:f>IF(274&gt;$H$4,"",IF(INDEX('Fleet dates'!$G$9:$G$1008,$I282-8)="","",INDEX('Fleet dates'!$G$9:$G$1008,$I282-8)))</x:f>
      </x:c>
      <x:c r="H282" s="50" t="str">
        <x:f>IF(274&gt;$H$4,"",IF(INDEX('Fleet dates'!$I$9:$I$1008,$I282-8)="","",INDEX('Fleet dates'!$I$9:$I$1008,$I282-8)))</x:f>
      </x:c>
      <x:c r="I282" t="str">
        <x:f>IF(274&gt;$H$4,"",MATCH(274,'Fleet dates'!$J$9:$J$1008,0)+8)</x:f>
      </x:c>
    </x:row>
    <x:row r="283" ht="36" customHeight="1">
      <x:c r="A283" s="50" t="str">
        <x:f>IF(275&gt;$H$4,"",IF(INDEX('Fleet dates'!$A$9:$A$1008,$I283-8)="","",INDEX('Fleet dates'!$A$9:$A$1008,$I283-8)))</x:f>
      </x:c>
      <x:c r="B283" s="50" t="str">
        <x:f>IF(275&gt;$H$4,"",IF(INDEX('Fleet dates'!$B$9:$B$1008,$I283-8)="","",INDEX('Fleet dates'!$B$9:$B$1008,$I283-8)))</x:f>
      </x:c>
      <x:c r="C283" s="51" t="str">
        <x:f>IF(275&gt;$H$4,"",IF(INDEX('Fleet dates'!$C$9:$C$1008,$I283-8)="","",INDEX('Fleet dates'!$C$9:$C$1008,$I283-8)))</x:f>
      </x:c>
      <x:c r="D283" s="51" t="str">
        <x:f>IF(275&gt;$H$4,"",IF(INDEX('Fleet dates'!$D$9:$D$1008,$I283-8)="","",INDEX('Fleet dates'!$D$9:$D$1008,$I283-8)))</x:f>
      </x:c>
      <x:c r="E283" s="51" t="str">
        <x:f>IF(275&gt;$H$4,"",IF(INDEX('Fleet dates'!$E$9:$E$1008,$I283-8)="","",INDEX('Fleet dates'!$E$9:$E$1008,$I283-8)))</x:f>
      </x:c>
      <x:c r="F283" s="51" t="str">
        <x:f>IF(275&gt;$H$4,"",IF(INDEX('Fleet dates'!$F$9:$F$1008,$I283-8)="","",INDEX('Fleet dates'!$F$9:$F$1008,$I283-8)))</x:f>
      </x:c>
      <x:c r="G283" s="50" t="str">
        <x:f>IF(275&gt;$H$4,"",IF(INDEX('Fleet dates'!$G$9:$G$1008,$I283-8)="","",INDEX('Fleet dates'!$G$9:$G$1008,$I283-8)))</x:f>
      </x:c>
      <x:c r="H283" s="50" t="str">
        <x:f>IF(275&gt;$H$4,"",IF(INDEX('Fleet dates'!$I$9:$I$1008,$I283-8)="","",INDEX('Fleet dates'!$I$9:$I$1008,$I283-8)))</x:f>
      </x:c>
      <x:c r="I283" t="str">
        <x:f>IF(275&gt;$H$4,"",MATCH(275,'Fleet dates'!$J$9:$J$1008,0)+8)</x:f>
      </x:c>
    </x:row>
    <x:row r="284" ht="36" customHeight="1">
      <x:c r="A284" s="50" t="str">
        <x:f>IF(276&gt;$H$4,"",IF(INDEX('Fleet dates'!$A$9:$A$1008,$I284-8)="","",INDEX('Fleet dates'!$A$9:$A$1008,$I284-8)))</x:f>
      </x:c>
      <x:c r="B284" s="50" t="str">
        <x:f>IF(276&gt;$H$4,"",IF(INDEX('Fleet dates'!$B$9:$B$1008,$I284-8)="","",INDEX('Fleet dates'!$B$9:$B$1008,$I284-8)))</x:f>
      </x:c>
      <x:c r="C284" s="51" t="str">
        <x:f>IF(276&gt;$H$4,"",IF(INDEX('Fleet dates'!$C$9:$C$1008,$I284-8)="","",INDEX('Fleet dates'!$C$9:$C$1008,$I284-8)))</x:f>
      </x:c>
      <x:c r="D284" s="51" t="str">
        <x:f>IF(276&gt;$H$4,"",IF(INDEX('Fleet dates'!$D$9:$D$1008,$I284-8)="","",INDEX('Fleet dates'!$D$9:$D$1008,$I284-8)))</x:f>
      </x:c>
      <x:c r="E284" s="51" t="str">
        <x:f>IF(276&gt;$H$4,"",IF(INDEX('Fleet dates'!$E$9:$E$1008,$I284-8)="","",INDEX('Fleet dates'!$E$9:$E$1008,$I284-8)))</x:f>
      </x:c>
      <x:c r="F284" s="51" t="str">
        <x:f>IF(276&gt;$H$4,"",IF(INDEX('Fleet dates'!$F$9:$F$1008,$I284-8)="","",INDEX('Fleet dates'!$F$9:$F$1008,$I284-8)))</x:f>
      </x:c>
      <x:c r="G284" s="50" t="str">
        <x:f>IF(276&gt;$H$4,"",IF(INDEX('Fleet dates'!$G$9:$G$1008,$I284-8)="","",INDEX('Fleet dates'!$G$9:$G$1008,$I284-8)))</x:f>
      </x:c>
      <x:c r="H284" s="50" t="str">
        <x:f>IF(276&gt;$H$4,"",IF(INDEX('Fleet dates'!$I$9:$I$1008,$I284-8)="","",INDEX('Fleet dates'!$I$9:$I$1008,$I284-8)))</x:f>
      </x:c>
      <x:c r="I284" t="str">
        <x:f>IF(276&gt;$H$4,"",MATCH(276,'Fleet dates'!$J$9:$J$1008,0)+8)</x:f>
      </x:c>
    </x:row>
    <x:row r="285" ht="36" customHeight="1">
      <x:c r="A285" s="50" t="str">
        <x:f>IF(277&gt;$H$4,"",IF(INDEX('Fleet dates'!$A$9:$A$1008,$I285-8)="","",INDEX('Fleet dates'!$A$9:$A$1008,$I285-8)))</x:f>
      </x:c>
      <x:c r="B285" s="50" t="str">
        <x:f>IF(277&gt;$H$4,"",IF(INDEX('Fleet dates'!$B$9:$B$1008,$I285-8)="","",INDEX('Fleet dates'!$B$9:$B$1008,$I285-8)))</x:f>
      </x:c>
      <x:c r="C285" s="51" t="str">
        <x:f>IF(277&gt;$H$4,"",IF(INDEX('Fleet dates'!$C$9:$C$1008,$I285-8)="","",INDEX('Fleet dates'!$C$9:$C$1008,$I285-8)))</x:f>
      </x:c>
      <x:c r="D285" s="51" t="str">
        <x:f>IF(277&gt;$H$4,"",IF(INDEX('Fleet dates'!$D$9:$D$1008,$I285-8)="","",INDEX('Fleet dates'!$D$9:$D$1008,$I285-8)))</x:f>
      </x:c>
      <x:c r="E285" s="51" t="str">
        <x:f>IF(277&gt;$H$4,"",IF(INDEX('Fleet dates'!$E$9:$E$1008,$I285-8)="","",INDEX('Fleet dates'!$E$9:$E$1008,$I285-8)))</x:f>
      </x:c>
      <x:c r="F285" s="51" t="str">
        <x:f>IF(277&gt;$H$4,"",IF(INDEX('Fleet dates'!$F$9:$F$1008,$I285-8)="","",INDEX('Fleet dates'!$F$9:$F$1008,$I285-8)))</x:f>
      </x:c>
      <x:c r="G285" s="50" t="str">
        <x:f>IF(277&gt;$H$4,"",IF(INDEX('Fleet dates'!$G$9:$G$1008,$I285-8)="","",INDEX('Fleet dates'!$G$9:$G$1008,$I285-8)))</x:f>
      </x:c>
      <x:c r="H285" s="50" t="str">
        <x:f>IF(277&gt;$H$4,"",IF(INDEX('Fleet dates'!$I$9:$I$1008,$I285-8)="","",INDEX('Fleet dates'!$I$9:$I$1008,$I285-8)))</x:f>
      </x:c>
      <x:c r="I285" t="str">
        <x:f>IF(277&gt;$H$4,"",MATCH(277,'Fleet dates'!$J$9:$J$1008,0)+8)</x:f>
      </x:c>
    </x:row>
    <x:row r="286" ht="36" customHeight="1">
      <x:c r="A286" s="50" t="str">
        <x:f>IF(278&gt;$H$4,"",IF(INDEX('Fleet dates'!$A$9:$A$1008,$I286-8)="","",INDEX('Fleet dates'!$A$9:$A$1008,$I286-8)))</x:f>
      </x:c>
      <x:c r="B286" s="50" t="str">
        <x:f>IF(278&gt;$H$4,"",IF(INDEX('Fleet dates'!$B$9:$B$1008,$I286-8)="","",INDEX('Fleet dates'!$B$9:$B$1008,$I286-8)))</x:f>
      </x:c>
      <x:c r="C286" s="51" t="str">
        <x:f>IF(278&gt;$H$4,"",IF(INDEX('Fleet dates'!$C$9:$C$1008,$I286-8)="","",INDEX('Fleet dates'!$C$9:$C$1008,$I286-8)))</x:f>
      </x:c>
      <x:c r="D286" s="51" t="str">
        <x:f>IF(278&gt;$H$4,"",IF(INDEX('Fleet dates'!$D$9:$D$1008,$I286-8)="","",INDEX('Fleet dates'!$D$9:$D$1008,$I286-8)))</x:f>
      </x:c>
      <x:c r="E286" s="51" t="str">
        <x:f>IF(278&gt;$H$4,"",IF(INDEX('Fleet dates'!$E$9:$E$1008,$I286-8)="","",INDEX('Fleet dates'!$E$9:$E$1008,$I286-8)))</x:f>
      </x:c>
      <x:c r="F286" s="51" t="str">
        <x:f>IF(278&gt;$H$4,"",IF(INDEX('Fleet dates'!$F$9:$F$1008,$I286-8)="","",INDEX('Fleet dates'!$F$9:$F$1008,$I286-8)))</x:f>
      </x:c>
      <x:c r="G286" s="50" t="str">
        <x:f>IF(278&gt;$H$4,"",IF(INDEX('Fleet dates'!$G$9:$G$1008,$I286-8)="","",INDEX('Fleet dates'!$G$9:$G$1008,$I286-8)))</x:f>
      </x:c>
      <x:c r="H286" s="50" t="str">
        <x:f>IF(278&gt;$H$4,"",IF(INDEX('Fleet dates'!$I$9:$I$1008,$I286-8)="","",INDEX('Fleet dates'!$I$9:$I$1008,$I286-8)))</x:f>
      </x:c>
      <x:c r="I286" t="str">
        <x:f>IF(278&gt;$H$4,"",MATCH(278,'Fleet dates'!$J$9:$J$1008,0)+8)</x:f>
      </x:c>
    </x:row>
    <x:row r="287" ht="36" customHeight="1">
      <x:c r="A287" s="50" t="str">
        <x:f>IF(279&gt;$H$4,"",IF(INDEX('Fleet dates'!$A$9:$A$1008,$I287-8)="","",INDEX('Fleet dates'!$A$9:$A$1008,$I287-8)))</x:f>
      </x:c>
      <x:c r="B287" s="50" t="str">
        <x:f>IF(279&gt;$H$4,"",IF(INDEX('Fleet dates'!$B$9:$B$1008,$I287-8)="","",INDEX('Fleet dates'!$B$9:$B$1008,$I287-8)))</x:f>
      </x:c>
      <x:c r="C287" s="51" t="str">
        <x:f>IF(279&gt;$H$4,"",IF(INDEX('Fleet dates'!$C$9:$C$1008,$I287-8)="","",INDEX('Fleet dates'!$C$9:$C$1008,$I287-8)))</x:f>
      </x:c>
      <x:c r="D287" s="51" t="str">
        <x:f>IF(279&gt;$H$4,"",IF(INDEX('Fleet dates'!$D$9:$D$1008,$I287-8)="","",INDEX('Fleet dates'!$D$9:$D$1008,$I287-8)))</x:f>
      </x:c>
      <x:c r="E287" s="51" t="str">
        <x:f>IF(279&gt;$H$4,"",IF(INDEX('Fleet dates'!$E$9:$E$1008,$I287-8)="","",INDEX('Fleet dates'!$E$9:$E$1008,$I287-8)))</x:f>
      </x:c>
      <x:c r="F287" s="51" t="str">
        <x:f>IF(279&gt;$H$4,"",IF(INDEX('Fleet dates'!$F$9:$F$1008,$I287-8)="","",INDEX('Fleet dates'!$F$9:$F$1008,$I287-8)))</x:f>
      </x:c>
      <x:c r="G287" s="50" t="str">
        <x:f>IF(279&gt;$H$4,"",IF(INDEX('Fleet dates'!$G$9:$G$1008,$I287-8)="","",INDEX('Fleet dates'!$G$9:$G$1008,$I287-8)))</x:f>
      </x:c>
      <x:c r="H287" s="50" t="str">
        <x:f>IF(279&gt;$H$4,"",IF(INDEX('Fleet dates'!$I$9:$I$1008,$I287-8)="","",INDEX('Fleet dates'!$I$9:$I$1008,$I287-8)))</x:f>
      </x:c>
      <x:c r="I287" t="str">
        <x:f>IF(279&gt;$H$4,"",MATCH(279,'Fleet dates'!$J$9:$J$1008,0)+8)</x:f>
      </x:c>
    </x:row>
    <x:row r="288" ht="36" customHeight="1">
      <x:c r="A288" s="50" t="str">
        <x:f>IF(280&gt;$H$4,"",IF(INDEX('Fleet dates'!$A$9:$A$1008,$I288-8)="","",INDEX('Fleet dates'!$A$9:$A$1008,$I288-8)))</x:f>
      </x:c>
      <x:c r="B288" s="50" t="str">
        <x:f>IF(280&gt;$H$4,"",IF(INDEX('Fleet dates'!$B$9:$B$1008,$I288-8)="","",INDEX('Fleet dates'!$B$9:$B$1008,$I288-8)))</x:f>
      </x:c>
      <x:c r="C288" s="51" t="str">
        <x:f>IF(280&gt;$H$4,"",IF(INDEX('Fleet dates'!$C$9:$C$1008,$I288-8)="","",INDEX('Fleet dates'!$C$9:$C$1008,$I288-8)))</x:f>
      </x:c>
      <x:c r="D288" s="51" t="str">
        <x:f>IF(280&gt;$H$4,"",IF(INDEX('Fleet dates'!$D$9:$D$1008,$I288-8)="","",INDEX('Fleet dates'!$D$9:$D$1008,$I288-8)))</x:f>
      </x:c>
      <x:c r="E288" s="51" t="str">
        <x:f>IF(280&gt;$H$4,"",IF(INDEX('Fleet dates'!$E$9:$E$1008,$I288-8)="","",INDEX('Fleet dates'!$E$9:$E$1008,$I288-8)))</x:f>
      </x:c>
      <x:c r="F288" s="51" t="str">
        <x:f>IF(280&gt;$H$4,"",IF(INDEX('Fleet dates'!$F$9:$F$1008,$I288-8)="","",INDEX('Fleet dates'!$F$9:$F$1008,$I288-8)))</x:f>
      </x:c>
      <x:c r="G288" s="50" t="str">
        <x:f>IF(280&gt;$H$4,"",IF(INDEX('Fleet dates'!$G$9:$G$1008,$I288-8)="","",INDEX('Fleet dates'!$G$9:$G$1008,$I288-8)))</x:f>
      </x:c>
      <x:c r="H288" s="50" t="str">
        <x:f>IF(280&gt;$H$4,"",IF(INDEX('Fleet dates'!$I$9:$I$1008,$I288-8)="","",INDEX('Fleet dates'!$I$9:$I$1008,$I288-8)))</x:f>
      </x:c>
      <x:c r="I288" t="str">
        <x:f>IF(280&gt;$H$4,"",MATCH(280,'Fleet dates'!$J$9:$J$1008,0)+8)</x:f>
      </x:c>
    </x:row>
    <x:row r="289" ht="36" customHeight="1">
      <x:c r="A289" s="50" t="str">
        <x:f>IF(281&gt;$H$4,"",IF(INDEX('Fleet dates'!$A$9:$A$1008,$I289-8)="","",INDEX('Fleet dates'!$A$9:$A$1008,$I289-8)))</x:f>
      </x:c>
      <x:c r="B289" s="50" t="str">
        <x:f>IF(281&gt;$H$4,"",IF(INDEX('Fleet dates'!$B$9:$B$1008,$I289-8)="","",INDEX('Fleet dates'!$B$9:$B$1008,$I289-8)))</x:f>
      </x:c>
      <x:c r="C289" s="51" t="str">
        <x:f>IF(281&gt;$H$4,"",IF(INDEX('Fleet dates'!$C$9:$C$1008,$I289-8)="","",INDEX('Fleet dates'!$C$9:$C$1008,$I289-8)))</x:f>
      </x:c>
      <x:c r="D289" s="51" t="str">
        <x:f>IF(281&gt;$H$4,"",IF(INDEX('Fleet dates'!$D$9:$D$1008,$I289-8)="","",INDEX('Fleet dates'!$D$9:$D$1008,$I289-8)))</x:f>
      </x:c>
      <x:c r="E289" s="51" t="str">
        <x:f>IF(281&gt;$H$4,"",IF(INDEX('Fleet dates'!$E$9:$E$1008,$I289-8)="","",INDEX('Fleet dates'!$E$9:$E$1008,$I289-8)))</x:f>
      </x:c>
      <x:c r="F289" s="51" t="str">
        <x:f>IF(281&gt;$H$4,"",IF(INDEX('Fleet dates'!$F$9:$F$1008,$I289-8)="","",INDEX('Fleet dates'!$F$9:$F$1008,$I289-8)))</x:f>
      </x:c>
      <x:c r="G289" s="50" t="str">
        <x:f>IF(281&gt;$H$4,"",IF(INDEX('Fleet dates'!$G$9:$G$1008,$I289-8)="","",INDEX('Fleet dates'!$G$9:$G$1008,$I289-8)))</x:f>
      </x:c>
      <x:c r="H289" s="50" t="str">
        <x:f>IF(281&gt;$H$4,"",IF(INDEX('Fleet dates'!$I$9:$I$1008,$I289-8)="","",INDEX('Fleet dates'!$I$9:$I$1008,$I289-8)))</x:f>
      </x:c>
      <x:c r="I289" t="str">
        <x:f>IF(281&gt;$H$4,"",MATCH(281,'Fleet dates'!$J$9:$J$1008,0)+8)</x:f>
      </x:c>
    </x:row>
    <x:row r="290" ht="36" customHeight="1">
      <x:c r="A290" s="50" t="str">
        <x:f>IF(282&gt;$H$4,"",IF(INDEX('Fleet dates'!$A$9:$A$1008,$I290-8)="","",INDEX('Fleet dates'!$A$9:$A$1008,$I290-8)))</x:f>
      </x:c>
      <x:c r="B290" s="50" t="str">
        <x:f>IF(282&gt;$H$4,"",IF(INDEX('Fleet dates'!$B$9:$B$1008,$I290-8)="","",INDEX('Fleet dates'!$B$9:$B$1008,$I290-8)))</x:f>
      </x:c>
      <x:c r="C290" s="51" t="str">
        <x:f>IF(282&gt;$H$4,"",IF(INDEX('Fleet dates'!$C$9:$C$1008,$I290-8)="","",INDEX('Fleet dates'!$C$9:$C$1008,$I290-8)))</x:f>
      </x:c>
      <x:c r="D290" s="51" t="str">
        <x:f>IF(282&gt;$H$4,"",IF(INDEX('Fleet dates'!$D$9:$D$1008,$I290-8)="","",INDEX('Fleet dates'!$D$9:$D$1008,$I290-8)))</x:f>
      </x:c>
      <x:c r="E290" s="51" t="str">
        <x:f>IF(282&gt;$H$4,"",IF(INDEX('Fleet dates'!$E$9:$E$1008,$I290-8)="","",INDEX('Fleet dates'!$E$9:$E$1008,$I290-8)))</x:f>
      </x:c>
      <x:c r="F290" s="51" t="str">
        <x:f>IF(282&gt;$H$4,"",IF(INDEX('Fleet dates'!$F$9:$F$1008,$I290-8)="","",INDEX('Fleet dates'!$F$9:$F$1008,$I290-8)))</x:f>
      </x:c>
      <x:c r="G290" s="50" t="str">
        <x:f>IF(282&gt;$H$4,"",IF(INDEX('Fleet dates'!$G$9:$G$1008,$I290-8)="","",INDEX('Fleet dates'!$G$9:$G$1008,$I290-8)))</x:f>
      </x:c>
      <x:c r="H290" s="50" t="str">
        <x:f>IF(282&gt;$H$4,"",IF(INDEX('Fleet dates'!$I$9:$I$1008,$I290-8)="","",INDEX('Fleet dates'!$I$9:$I$1008,$I290-8)))</x:f>
      </x:c>
      <x:c r="I290" t="str">
        <x:f>IF(282&gt;$H$4,"",MATCH(282,'Fleet dates'!$J$9:$J$1008,0)+8)</x:f>
      </x:c>
    </x:row>
    <x:row r="291" ht="36" customHeight="1">
      <x:c r="A291" s="50" t="str">
        <x:f>IF(283&gt;$H$4,"",IF(INDEX('Fleet dates'!$A$9:$A$1008,$I291-8)="","",INDEX('Fleet dates'!$A$9:$A$1008,$I291-8)))</x:f>
      </x:c>
      <x:c r="B291" s="50" t="str">
        <x:f>IF(283&gt;$H$4,"",IF(INDEX('Fleet dates'!$B$9:$B$1008,$I291-8)="","",INDEX('Fleet dates'!$B$9:$B$1008,$I291-8)))</x:f>
      </x:c>
      <x:c r="C291" s="51" t="str">
        <x:f>IF(283&gt;$H$4,"",IF(INDEX('Fleet dates'!$C$9:$C$1008,$I291-8)="","",INDEX('Fleet dates'!$C$9:$C$1008,$I291-8)))</x:f>
      </x:c>
      <x:c r="D291" s="51" t="str">
        <x:f>IF(283&gt;$H$4,"",IF(INDEX('Fleet dates'!$D$9:$D$1008,$I291-8)="","",INDEX('Fleet dates'!$D$9:$D$1008,$I291-8)))</x:f>
      </x:c>
      <x:c r="E291" s="51" t="str">
        <x:f>IF(283&gt;$H$4,"",IF(INDEX('Fleet dates'!$E$9:$E$1008,$I291-8)="","",INDEX('Fleet dates'!$E$9:$E$1008,$I291-8)))</x:f>
      </x:c>
      <x:c r="F291" s="51" t="str">
        <x:f>IF(283&gt;$H$4,"",IF(INDEX('Fleet dates'!$F$9:$F$1008,$I291-8)="","",INDEX('Fleet dates'!$F$9:$F$1008,$I291-8)))</x:f>
      </x:c>
      <x:c r="G291" s="50" t="str">
        <x:f>IF(283&gt;$H$4,"",IF(INDEX('Fleet dates'!$G$9:$G$1008,$I291-8)="","",INDEX('Fleet dates'!$G$9:$G$1008,$I291-8)))</x:f>
      </x:c>
      <x:c r="H291" s="50" t="str">
        <x:f>IF(283&gt;$H$4,"",IF(INDEX('Fleet dates'!$I$9:$I$1008,$I291-8)="","",INDEX('Fleet dates'!$I$9:$I$1008,$I291-8)))</x:f>
      </x:c>
      <x:c r="I291" t="str">
        <x:f>IF(283&gt;$H$4,"",MATCH(283,'Fleet dates'!$J$9:$J$1008,0)+8)</x:f>
      </x:c>
    </x:row>
    <x:row r="292" ht="36" customHeight="1">
      <x:c r="A292" s="50" t="str">
        <x:f>IF(284&gt;$H$4,"",IF(INDEX('Fleet dates'!$A$9:$A$1008,$I292-8)="","",INDEX('Fleet dates'!$A$9:$A$1008,$I292-8)))</x:f>
      </x:c>
      <x:c r="B292" s="50" t="str">
        <x:f>IF(284&gt;$H$4,"",IF(INDEX('Fleet dates'!$B$9:$B$1008,$I292-8)="","",INDEX('Fleet dates'!$B$9:$B$1008,$I292-8)))</x:f>
      </x:c>
      <x:c r="C292" s="51" t="str">
        <x:f>IF(284&gt;$H$4,"",IF(INDEX('Fleet dates'!$C$9:$C$1008,$I292-8)="","",INDEX('Fleet dates'!$C$9:$C$1008,$I292-8)))</x:f>
      </x:c>
      <x:c r="D292" s="51" t="str">
        <x:f>IF(284&gt;$H$4,"",IF(INDEX('Fleet dates'!$D$9:$D$1008,$I292-8)="","",INDEX('Fleet dates'!$D$9:$D$1008,$I292-8)))</x:f>
      </x:c>
      <x:c r="E292" s="51" t="str">
        <x:f>IF(284&gt;$H$4,"",IF(INDEX('Fleet dates'!$E$9:$E$1008,$I292-8)="","",INDEX('Fleet dates'!$E$9:$E$1008,$I292-8)))</x:f>
      </x:c>
      <x:c r="F292" s="51" t="str">
        <x:f>IF(284&gt;$H$4,"",IF(INDEX('Fleet dates'!$F$9:$F$1008,$I292-8)="","",INDEX('Fleet dates'!$F$9:$F$1008,$I292-8)))</x:f>
      </x:c>
      <x:c r="G292" s="50" t="str">
        <x:f>IF(284&gt;$H$4,"",IF(INDEX('Fleet dates'!$G$9:$G$1008,$I292-8)="","",INDEX('Fleet dates'!$G$9:$G$1008,$I292-8)))</x:f>
      </x:c>
      <x:c r="H292" s="50" t="str">
        <x:f>IF(284&gt;$H$4,"",IF(INDEX('Fleet dates'!$I$9:$I$1008,$I292-8)="","",INDEX('Fleet dates'!$I$9:$I$1008,$I292-8)))</x:f>
      </x:c>
      <x:c r="I292" t="str">
        <x:f>IF(284&gt;$H$4,"",MATCH(284,'Fleet dates'!$J$9:$J$1008,0)+8)</x:f>
      </x:c>
    </x:row>
    <x:row r="293" ht="36" customHeight="1">
      <x:c r="A293" s="50" t="str">
        <x:f>IF(285&gt;$H$4,"",IF(INDEX('Fleet dates'!$A$9:$A$1008,$I293-8)="","",INDEX('Fleet dates'!$A$9:$A$1008,$I293-8)))</x:f>
      </x:c>
      <x:c r="B293" s="50" t="str">
        <x:f>IF(285&gt;$H$4,"",IF(INDEX('Fleet dates'!$B$9:$B$1008,$I293-8)="","",INDEX('Fleet dates'!$B$9:$B$1008,$I293-8)))</x:f>
      </x:c>
      <x:c r="C293" s="51" t="str">
        <x:f>IF(285&gt;$H$4,"",IF(INDEX('Fleet dates'!$C$9:$C$1008,$I293-8)="","",INDEX('Fleet dates'!$C$9:$C$1008,$I293-8)))</x:f>
      </x:c>
      <x:c r="D293" s="51" t="str">
        <x:f>IF(285&gt;$H$4,"",IF(INDEX('Fleet dates'!$D$9:$D$1008,$I293-8)="","",INDEX('Fleet dates'!$D$9:$D$1008,$I293-8)))</x:f>
      </x:c>
      <x:c r="E293" s="51" t="str">
        <x:f>IF(285&gt;$H$4,"",IF(INDEX('Fleet dates'!$E$9:$E$1008,$I293-8)="","",INDEX('Fleet dates'!$E$9:$E$1008,$I293-8)))</x:f>
      </x:c>
      <x:c r="F293" s="51" t="str">
        <x:f>IF(285&gt;$H$4,"",IF(INDEX('Fleet dates'!$F$9:$F$1008,$I293-8)="","",INDEX('Fleet dates'!$F$9:$F$1008,$I293-8)))</x:f>
      </x:c>
      <x:c r="G293" s="50" t="str">
        <x:f>IF(285&gt;$H$4,"",IF(INDEX('Fleet dates'!$G$9:$G$1008,$I293-8)="","",INDEX('Fleet dates'!$G$9:$G$1008,$I293-8)))</x:f>
      </x:c>
      <x:c r="H293" s="50" t="str">
        <x:f>IF(285&gt;$H$4,"",IF(INDEX('Fleet dates'!$I$9:$I$1008,$I293-8)="","",INDEX('Fleet dates'!$I$9:$I$1008,$I293-8)))</x:f>
      </x:c>
      <x:c r="I293" t="str">
        <x:f>IF(285&gt;$H$4,"",MATCH(285,'Fleet dates'!$J$9:$J$1008,0)+8)</x:f>
      </x:c>
    </x:row>
    <x:row r="294" ht="36" customHeight="1">
      <x:c r="A294" s="50" t="str">
        <x:f>IF(286&gt;$H$4,"",IF(INDEX('Fleet dates'!$A$9:$A$1008,$I294-8)="","",INDEX('Fleet dates'!$A$9:$A$1008,$I294-8)))</x:f>
      </x:c>
      <x:c r="B294" s="50" t="str">
        <x:f>IF(286&gt;$H$4,"",IF(INDEX('Fleet dates'!$B$9:$B$1008,$I294-8)="","",INDEX('Fleet dates'!$B$9:$B$1008,$I294-8)))</x:f>
      </x:c>
      <x:c r="C294" s="51" t="str">
        <x:f>IF(286&gt;$H$4,"",IF(INDEX('Fleet dates'!$C$9:$C$1008,$I294-8)="","",INDEX('Fleet dates'!$C$9:$C$1008,$I294-8)))</x:f>
      </x:c>
      <x:c r="D294" s="51" t="str">
        <x:f>IF(286&gt;$H$4,"",IF(INDEX('Fleet dates'!$D$9:$D$1008,$I294-8)="","",INDEX('Fleet dates'!$D$9:$D$1008,$I294-8)))</x:f>
      </x:c>
      <x:c r="E294" s="51" t="str">
        <x:f>IF(286&gt;$H$4,"",IF(INDEX('Fleet dates'!$E$9:$E$1008,$I294-8)="","",INDEX('Fleet dates'!$E$9:$E$1008,$I294-8)))</x:f>
      </x:c>
      <x:c r="F294" s="51" t="str">
        <x:f>IF(286&gt;$H$4,"",IF(INDEX('Fleet dates'!$F$9:$F$1008,$I294-8)="","",INDEX('Fleet dates'!$F$9:$F$1008,$I294-8)))</x:f>
      </x:c>
      <x:c r="G294" s="50" t="str">
        <x:f>IF(286&gt;$H$4,"",IF(INDEX('Fleet dates'!$G$9:$G$1008,$I294-8)="","",INDEX('Fleet dates'!$G$9:$G$1008,$I294-8)))</x:f>
      </x:c>
      <x:c r="H294" s="50" t="str">
        <x:f>IF(286&gt;$H$4,"",IF(INDEX('Fleet dates'!$I$9:$I$1008,$I294-8)="","",INDEX('Fleet dates'!$I$9:$I$1008,$I294-8)))</x:f>
      </x:c>
      <x:c r="I294" t="str">
        <x:f>IF(286&gt;$H$4,"",MATCH(286,'Fleet dates'!$J$9:$J$1008,0)+8)</x:f>
      </x:c>
    </x:row>
    <x:row r="295" ht="36" customHeight="1">
      <x:c r="A295" s="50" t="str">
        <x:f>IF(287&gt;$H$4,"",IF(INDEX('Fleet dates'!$A$9:$A$1008,$I295-8)="","",INDEX('Fleet dates'!$A$9:$A$1008,$I295-8)))</x:f>
      </x:c>
      <x:c r="B295" s="50" t="str">
        <x:f>IF(287&gt;$H$4,"",IF(INDEX('Fleet dates'!$B$9:$B$1008,$I295-8)="","",INDEX('Fleet dates'!$B$9:$B$1008,$I295-8)))</x:f>
      </x:c>
      <x:c r="C295" s="51" t="str">
        <x:f>IF(287&gt;$H$4,"",IF(INDEX('Fleet dates'!$C$9:$C$1008,$I295-8)="","",INDEX('Fleet dates'!$C$9:$C$1008,$I295-8)))</x:f>
      </x:c>
      <x:c r="D295" s="51" t="str">
        <x:f>IF(287&gt;$H$4,"",IF(INDEX('Fleet dates'!$D$9:$D$1008,$I295-8)="","",INDEX('Fleet dates'!$D$9:$D$1008,$I295-8)))</x:f>
      </x:c>
      <x:c r="E295" s="51" t="str">
        <x:f>IF(287&gt;$H$4,"",IF(INDEX('Fleet dates'!$E$9:$E$1008,$I295-8)="","",INDEX('Fleet dates'!$E$9:$E$1008,$I295-8)))</x:f>
      </x:c>
      <x:c r="F295" s="51" t="str">
        <x:f>IF(287&gt;$H$4,"",IF(INDEX('Fleet dates'!$F$9:$F$1008,$I295-8)="","",INDEX('Fleet dates'!$F$9:$F$1008,$I295-8)))</x:f>
      </x:c>
      <x:c r="G295" s="50" t="str">
        <x:f>IF(287&gt;$H$4,"",IF(INDEX('Fleet dates'!$G$9:$G$1008,$I295-8)="","",INDEX('Fleet dates'!$G$9:$G$1008,$I295-8)))</x:f>
      </x:c>
      <x:c r="H295" s="50" t="str">
        <x:f>IF(287&gt;$H$4,"",IF(INDEX('Fleet dates'!$I$9:$I$1008,$I295-8)="","",INDEX('Fleet dates'!$I$9:$I$1008,$I295-8)))</x:f>
      </x:c>
      <x:c r="I295" t="str">
        <x:f>IF(287&gt;$H$4,"",MATCH(287,'Fleet dates'!$J$9:$J$1008,0)+8)</x:f>
      </x:c>
    </x:row>
    <x:row r="296" ht="36" customHeight="1">
      <x:c r="A296" s="50" t="str">
        <x:f>IF(288&gt;$H$4,"",IF(INDEX('Fleet dates'!$A$9:$A$1008,$I296-8)="","",INDEX('Fleet dates'!$A$9:$A$1008,$I296-8)))</x:f>
      </x:c>
      <x:c r="B296" s="50" t="str">
        <x:f>IF(288&gt;$H$4,"",IF(INDEX('Fleet dates'!$B$9:$B$1008,$I296-8)="","",INDEX('Fleet dates'!$B$9:$B$1008,$I296-8)))</x:f>
      </x:c>
      <x:c r="C296" s="51" t="str">
        <x:f>IF(288&gt;$H$4,"",IF(INDEX('Fleet dates'!$C$9:$C$1008,$I296-8)="","",INDEX('Fleet dates'!$C$9:$C$1008,$I296-8)))</x:f>
      </x:c>
      <x:c r="D296" s="51" t="str">
        <x:f>IF(288&gt;$H$4,"",IF(INDEX('Fleet dates'!$D$9:$D$1008,$I296-8)="","",INDEX('Fleet dates'!$D$9:$D$1008,$I296-8)))</x:f>
      </x:c>
      <x:c r="E296" s="51" t="str">
        <x:f>IF(288&gt;$H$4,"",IF(INDEX('Fleet dates'!$E$9:$E$1008,$I296-8)="","",INDEX('Fleet dates'!$E$9:$E$1008,$I296-8)))</x:f>
      </x:c>
      <x:c r="F296" s="51" t="str">
        <x:f>IF(288&gt;$H$4,"",IF(INDEX('Fleet dates'!$F$9:$F$1008,$I296-8)="","",INDEX('Fleet dates'!$F$9:$F$1008,$I296-8)))</x:f>
      </x:c>
      <x:c r="G296" s="50" t="str">
        <x:f>IF(288&gt;$H$4,"",IF(INDEX('Fleet dates'!$G$9:$G$1008,$I296-8)="","",INDEX('Fleet dates'!$G$9:$G$1008,$I296-8)))</x:f>
      </x:c>
      <x:c r="H296" s="50" t="str">
        <x:f>IF(288&gt;$H$4,"",IF(INDEX('Fleet dates'!$I$9:$I$1008,$I296-8)="","",INDEX('Fleet dates'!$I$9:$I$1008,$I296-8)))</x:f>
      </x:c>
      <x:c r="I296" t="str">
        <x:f>IF(288&gt;$H$4,"",MATCH(288,'Fleet dates'!$J$9:$J$1008,0)+8)</x:f>
      </x:c>
    </x:row>
    <x:row r="297" ht="36" customHeight="1">
      <x:c r="A297" s="50" t="str">
        <x:f>IF(289&gt;$H$4,"",IF(INDEX('Fleet dates'!$A$9:$A$1008,$I297-8)="","",INDEX('Fleet dates'!$A$9:$A$1008,$I297-8)))</x:f>
      </x:c>
      <x:c r="B297" s="50" t="str">
        <x:f>IF(289&gt;$H$4,"",IF(INDEX('Fleet dates'!$B$9:$B$1008,$I297-8)="","",INDEX('Fleet dates'!$B$9:$B$1008,$I297-8)))</x:f>
      </x:c>
      <x:c r="C297" s="51" t="str">
        <x:f>IF(289&gt;$H$4,"",IF(INDEX('Fleet dates'!$C$9:$C$1008,$I297-8)="","",INDEX('Fleet dates'!$C$9:$C$1008,$I297-8)))</x:f>
      </x:c>
      <x:c r="D297" s="51" t="str">
        <x:f>IF(289&gt;$H$4,"",IF(INDEX('Fleet dates'!$D$9:$D$1008,$I297-8)="","",INDEX('Fleet dates'!$D$9:$D$1008,$I297-8)))</x:f>
      </x:c>
      <x:c r="E297" s="51" t="str">
        <x:f>IF(289&gt;$H$4,"",IF(INDEX('Fleet dates'!$E$9:$E$1008,$I297-8)="","",INDEX('Fleet dates'!$E$9:$E$1008,$I297-8)))</x:f>
      </x:c>
      <x:c r="F297" s="51" t="str">
        <x:f>IF(289&gt;$H$4,"",IF(INDEX('Fleet dates'!$F$9:$F$1008,$I297-8)="","",INDEX('Fleet dates'!$F$9:$F$1008,$I297-8)))</x:f>
      </x:c>
      <x:c r="G297" s="50" t="str">
        <x:f>IF(289&gt;$H$4,"",IF(INDEX('Fleet dates'!$G$9:$G$1008,$I297-8)="","",INDEX('Fleet dates'!$G$9:$G$1008,$I297-8)))</x:f>
      </x:c>
      <x:c r="H297" s="50" t="str">
        <x:f>IF(289&gt;$H$4,"",IF(INDEX('Fleet dates'!$I$9:$I$1008,$I297-8)="","",INDEX('Fleet dates'!$I$9:$I$1008,$I297-8)))</x:f>
      </x:c>
      <x:c r="I297" t="str">
        <x:f>IF(289&gt;$H$4,"",MATCH(289,'Fleet dates'!$J$9:$J$1008,0)+8)</x:f>
      </x:c>
    </x:row>
    <x:row r="298" ht="36" customHeight="1">
      <x:c r="A298" s="50" t="str">
        <x:f>IF(290&gt;$H$4,"",IF(INDEX('Fleet dates'!$A$9:$A$1008,$I298-8)="","",INDEX('Fleet dates'!$A$9:$A$1008,$I298-8)))</x:f>
      </x:c>
      <x:c r="B298" s="50" t="str">
        <x:f>IF(290&gt;$H$4,"",IF(INDEX('Fleet dates'!$B$9:$B$1008,$I298-8)="","",INDEX('Fleet dates'!$B$9:$B$1008,$I298-8)))</x:f>
      </x:c>
      <x:c r="C298" s="51" t="str">
        <x:f>IF(290&gt;$H$4,"",IF(INDEX('Fleet dates'!$C$9:$C$1008,$I298-8)="","",INDEX('Fleet dates'!$C$9:$C$1008,$I298-8)))</x:f>
      </x:c>
      <x:c r="D298" s="51" t="str">
        <x:f>IF(290&gt;$H$4,"",IF(INDEX('Fleet dates'!$D$9:$D$1008,$I298-8)="","",INDEX('Fleet dates'!$D$9:$D$1008,$I298-8)))</x:f>
      </x:c>
      <x:c r="E298" s="51" t="str">
        <x:f>IF(290&gt;$H$4,"",IF(INDEX('Fleet dates'!$E$9:$E$1008,$I298-8)="","",INDEX('Fleet dates'!$E$9:$E$1008,$I298-8)))</x:f>
      </x:c>
      <x:c r="F298" s="51" t="str">
        <x:f>IF(290&gt;$H$4,"",IF(INDEX('Fleet dates'!$F$9:$F$1008,$I298-8)="","",INDEX('Fleet dates'!$F$9:$F$1008,$I298-8)))</x:f>
      </x:c>
      <x:c r="G298" s="50" t="str">
        <x:f>IF(290&gt;$H$4,"",IF(INDEX('Fleet dates'!$G$9:$G$1008,$I298-8)="","",INDEX('Fleet dates'!$G$9:$G$1008,$I298-8)))</x:f>
      </x:c>
      <x:c r="H298" s="50" t="str">
        <x:f>IF(290&gt;$H$4,"",IF(INDEX('Fleet dates'!$I$9:$I$1008,$I298-8)="","",INDEX('Fleet dates'!$I$9:$I$1008,$I298-8)))</x:f>
      </x:c>
      <x:c r="I298" t="str">
        <x:f>IF(290&gt;$H$4,"",MATCH(290,'Fleet dates'!$J$9:$J$1008,0)+8)</x:f>
      </x:c>
    </x:row>
    <x:row r="299" ht="36" customHeight="1">
      <x:c r="A299" s="50" t="str">
        <x:f>IF(291&gt;$H$4,"",IF(INDEX('Fleet dates'!$A$9:$A$1008,$I299-8)="","",INDEX('Fleet dates'!$A$9:$A$1008,$I299-8)))</x:f>
      </x:c>
      <x:c r="B299" s="50" t="str">
        <x:f>IF(291&gt;$H$4,"",IF(INDEX('Fleet dates'!$B$9:$B$1008,$I299-8)="","",INDEX('Fleet dates'!$B$9:$B$1008,$I299-8)))</x:f>
      </x:c>
      <x:c r="C299" s="51" t="str">
        <x:f>IF(291&gt;$H$4,"",IF(INDEX('Fleet dates'!$C$9:$C$1008,$I299-8)="","",INDEX('Fleet dates'!$C$9:$C$1008,$I299-8)))</x:f>
      </x:c>
      <x:c r="D299" s="51" t="str">
        <x:f>IF(291&gt;$H$4,"",IF(INDEX('Fleet dates'!$D$9:$D$1008,$I299-8)="","",INDEX('Fleet dates'!$D$9:$D$1008,$I299-8)))</x:f>
      </x:c>
      <x:c r="E299" s="51" t="str">
        <x:f>IF(291&gt;$H$4,"",IF(INDEX('Fleet dates'!$E$9:$E$1008,$I299-8)="","",INDEX('Fleet dates'!$E$9:$E$1008,$I299-8)))</x:f>
      </x:c>
      <x:c r="F299" s="51" t="str">
        <x:f>IF(291&gt;$H$4,"",IF(INDEX('Fleet dates'!$F$9:$F$1008,$I299-8)="","",INDEX('Fleet dates'!$F$9:$F$1008,$I299-8)))</x:f>
      </x:c>
      <x:c r="G299" s="50" t="str">
        <x:f>IF(291&gt;$H$4,"",IF(INDEX('Fleet dates'!$G$9:$G$1008,$I299-8)="","",INDEX('Fleet dates'!$G$9:$G$1008,$I299-8)))</x:f>
      </x:c>
      <x:c r="H299" s="50" t="str">
        <x:f>IF(291&gt;$H$4,"",IF(INDEX('Fleet dates'!$I$9:$I$1008,$I299-8)="","",INDEX('Fleet dates'!$I$9:$I$1008,$I299-8)))</x:f>
      </x:c>
      <x:c r="I299" t="str">
        <x:f>IF(291&gt;$H$4,"",MATCH(291,'Fleet dates'!$J$9:$J$1008,0)+8)</x:f>
      </x:c>
    </x:row>
    <x:row r="300" ht="36" customHeight="1">
      <x:c r="A300" s="50" t="str">
        <x:f>IF(292&gt;$H$4,"",IF(INDEX('Fleet dates'!$A$9:$A$1008,$I300-8)="","",INDEX('Fleet dates'!$A$9:$A$1008,$I300-8)))</x:f>
      </x:c>
      <x:c r="B300" s="50" t="str">
        <x:f>IF(292&gt;$H$4,"",IF(INDEX('Fleet dates'!$B$9:$B$1008,$I300-8)="","",INDEX('Fleet dates'!$B$9:$B$1008,$I300-8)))</x:f>
      </x:c>
      <x:c r="C300" s="51" t="str">
        <x:f>IF(292&gt;$H$4,"",IF(INDEX('Fleet dates'!$C$9:$C$1008,$I300-8)="","",INDEX('Fleet dates'!$C$9:$C$1008,$I300-8)))</x:f>
      </x:c>
      <x:c r="D300" s="51" t="str">
        <x:f>IF(292&gt;$H$4,"",IF(INDEX('Fleet dates'!$D$9:$D$1008,$I300-8)="","",INDEX('Fleet dates'!$D$9:$D$1008,$I300-8)))</x:f>
      </x:c>
      <x:c r="E300" s="51" t="str">
        <x:f>IF(292&gt;$H$4,"",IF(INDEX('Fleet dates'!$E$9:$E$1008,$I300-8)="","",INDEX('Fleet dates'!$E$9:$E$1008,$I300-8)))</x:f>
      </x:c>
      <x:c r="F300" s="51" t="str">
        <x:f>IF(292&gt;$H$4,"",IF(INDEX('Fleet dates'!$F$9:$F$1008,$I300-8)="","",INDEX('Fleet dates'!$F$9:$F$1008,$I300-8)))</x:f>
      </x:c>
      <x:c r="G300" s="50" t="str">
        <x:f>IF(292&gt;$H$4,"",IF(INDEX('Fleet dates'!$G$9:$G$1008,$I300-8)="","",INDEX('Fleet dates'!$G$9:$G$1008,$I300-8)))</x:f>
      </x:c>
      <x:c r="H300" s="50" t="str">
        <x:f>IF(292&gt;$H$4,"",IF(INDEX('Fleet dates'!$I$9:$I$1008,$I300-8)="","",INDEX('Fleet dates'!$I$9:$I$1008,$I300-8)))</x:f>
      </x:c>
      <x:c r="I300" t="str">
        <x:f>IF(292&gt;$H$4,"",MATCH(292,'Fleet dates'!$J$9:$J$1008,0)+8)</x:f>
      </x:c>
    </x:row>
    <x:row r="301" ht="36" customHeight="1">
      <x:c r="A301" s="50" t="str">
        <x:f>IF(293&gt;$H$4,"",IF(INDEX('Fleet dates'!$A$9:$A$1008,$I301-8)="","",INDEX('Fleet dates'!$A$9:$A$1008,$I301-8)))</x:f>
      </x:c>
      <x:c r="B301" s="50" t="str">
        <x:f>IF(293&gt;$H$4,"",IF(INDEX('Fleet dates'!$B$9:$B$1008,$I301-8)="","",INDEX('Fleet dates'!$B$9:$B$1008,$I301-8)))</x:f>
      </x:c>
      <x:c r="C301" s="51" t="str">
        <x:f>IF(293&gt;$H$4,"",IF(INDEX('Fleet dates'!$C$9:$C$1008,$I301-8)="","",INDEX('Fleet dates'!$C$9:$C$1008,$I301-8)))</x:f>
      </x:c>
      <x:c r="D301" s="51" t="str">
        <x:f>IF(293&gt;$H$4,"",IF(INDEX('Fleet dates'!$D$9:$D$1008,$I301-8)="","",INDEX('Fleet dates'!$D$9:$D$1008,$I301-8)))</x:f>
      </x:c>
      <x:c r="E301" s="51" t="str">
        <x:f>IF(293&gt;$H$4,"",IF(INDEX('Fleet dates'!$E$9:$E$1008,$I301-8)="","",INDEX('Fleet dates'!$E$9:$E$1008,$I301-8)))</x:f>
      </x:c>
      <x:c r="F301" s="51" t="str">
        <x:f>IF(293&gt;$H$4,"",IF(INDEX('Fleet dates'!$F$9:$F$1008,$I301-8)="","",INDEX('Fleet dates'!$F$9:$F$1008,$I301-8)))</x:f>
      </x:c>
      <x:c r="G301" s="50" t="str">
        <x:f>IF(293&gt;$H$4,"",IF(INDEX('Fleet dates'!$G$9:$G$1008,$I301-8)="","",INDEX('Fleet dates'!$G$9:$G$1008,$I301-8)))</x:f>
      </x:c>
      <x:c r="H301" s="50" t="str">
        <x:f>IF(293&gt;$H$4,"",IF(INDEX('Fleet dates'!$I$9:$I$1008,$I301-8)="","",INDEX('Fleet dates'!$I$9:$I$1008,$I301-8)))</x:f>
      </x:c>
      <x:c r="I301" t="str">
        <x:f>IF(293&gt;$H$4,"",MATCH(293,'Fleet dates'!$J$9:$J$1008,0)+8)</x:f>
      </x:c>
    </x:row>
    <x:row r="302" ht="36" customHeight="1">
      <x:c r="A302" s="50" t="str">
        <x:f>IF(294&gt;$H$4,"",IF(INDEX('Fleet dates'!$A$9:$A$1008,$I302-8)="","",INDEX('Fleet dates'!$A$9:$A$1008,$I302-8)))</x:f>
      </x:c>
      <x:c r="B302" s="50" t="str">
        <x:f>IF(294&gt;$H$4,"",IF(INDEX('Fleet dates'!$B$9:$B$1008,$I302-8)="","",INDEX('Fleet dates'!$B$9:$B$1008,$I302-8)))</x:f>
      </x:c>
      <x:c r="C302" s="51" t="str">
        <x:f>IF(294&gt;$H$4,"",IF(INDEX('Fleet dates'!$C$9:$C$1008,$I302-8)="","",INDEX('Fleet dates'!$C$9:$C$1008,$I302-8)))</x:f>
      </x:c>
      <x:c r="D302" s="51" t="str">
        <x:f>IF(294&gt;$H$4,"",IF(INDEX('Fleet dates'!$D$9:$D$1008,$I302-8)="","",INDEX('Fleet dates'!$D$9:$D$1008,$I302-8)))</x:f>
      </x:c>
      <x:c r="E302" s="51" t="str">
        <x:f>IF(294&gt;$H$4,"",IF(INDEX('Fleet dates'!$E$9:$E$1008,$I302-8)="","",INDEX('Fleet dates'!$E$9:$E$1008,$I302-8)))</x:f>
      </x:c>
      <x:c r="F302" s="51" t="str">
        <x:f>IF(294&gt;$H$4,"",IF(INDEX('Fleet dates'!$F$9:$F$1008,$I302-8)="","",INDEX('Fleet dates'!$F$9:$F$1008,$I302-8)))</x:f>
      </x:c>
      <x:c r="G302" s="50" t="str">
        <x:f>IF(294&gt;$H$4,"",IF(INDEX('Fleet dates'!$G$9:$G$1008,$I302-8)="","",INDEX('Fleet dates'!$G$9:$G$1008,$I302-8)))</x:f>
      </x:c>
      <x:c r="H302" s="50" t="str">
        <x:f>IF(294&gt;$H$4,"",IF(INDEX('Fleet dates'!$I$9:$I$1008,$I302-8)="","",INDEX('Fleet dates'!$I$9:$I$1008,$I302-8)))</x:f>
      </x:c>
      <x:c r="I302" t="str">
        <x:f>IF(294&gt;$H$4,"",MATCH(294,'Fleet dates'!$J$9:$J$1008,0)+8)</x:f>
      </x:c>
    </x:row>
    <x:row r="303" ht="36" customHeight="1">
      <x:c r="A303" s="50" t="str">
        <x:f>IF(295&gt;$H$4,"",IF(INDEX('Fleet dates'!$A$9:$A$1008,$I303-8)="","",INDEX('Fleet dates'!$A$9:$A$1008,$I303-8)))</x:f>
      </x:c>
      <x:c r="B303" s="50" t="str">
        <x:f>IF(295&gt;$H$4,"",IF(INDEX('Fleet dates'!$B$9:$B$1008,$I303-8)="","",INDEX('Fleet dates'!$B$9:$B$1008,$I303-8)))</x:f>
      </x:c>
      <x:c r="C303" s="51" t="str">
        <x:f>IF(295&gt;$H$4,"",IF(INDEX('Fleet dates'!$C$9:$C$1008,$I303-8)="","",INDEX('Fleet dates'!$C$9:$C$1008,$I303-8)))</x:f>
      </x:c>
      <x:c r="D303" s="51" t="str">
        <x:f>IF(295&gt;$H$4,"",IF(INDEX('Fleet dates'!$D$9:$D$1008,$I303-8)="","",INDEX('Fleet dates'!$D$9:$D$1008,$I303-8)))</x:f>
      </x:c>
      <x:c r="E303" s="51" t="str">
        <x:f>IF(295&gt;$H$4,"",IF(INDEX('Fleet dates'!$E$9:$E$1008,$I303-8)="","",INDEX('Fleet dates'!$E$9:$E$1008,$I303-8)))</x:f>
      </x:c>
      <x:c r="F303" s="51" t="str">
        <x:f>IF(295&gt;$H$4,"",IF(INDEX('Fleet dates'!$F$9:$F$1008,$I303-8)="","",INDEX('Fleet dates'!$F$9:$F$1008,$I303-8)))</x:f>
      </x:c>
      <x:c r="G303" s="50" t="str">
        <x:f>IF(295&gt;$H$4,"",IF(INDEX('Fleet dates'!$G$9:$G$1008,$I303-8)="","",INDEX('Fleet dates'!$G$9:$G$1008,$I303-8)))</x:f>
      </x:c>
      <x:c r="H303" s="50" t="str">
        <x:f>IF(295&gt;$H$4,"",IF(INDEX('Fleet dates'!$I$9:$I$1008,$I303-8)="","",INDEX('Fleet dates'!$I$9:$I$1008,$I303-8)))</x:f>
      </x:c>
      <x:c r="I303" t="str">
        <x:f>IF(295&gt;$H$4,"",MATCH(295,'Fleet dates'!$J$9:$J$1008,0)+8)</x:f>
      </x:c>
    </x:row>
    <x:row r="304" ht="36" customHeight="1">
      <x:c r="A304" s="50" t="str">
        <x:f>IF(296&gt;$H$4,"",IF(INDEX('Fleet dates'!$A$9:$A$1008,$I304-8)="","",INDEX('Fleet dates'!$A$9:$A$1008,$I304-8)))</x:f>
      </x:c>
      <x:c r="B304" s="50" t="str">
        <x:f>IF(296&gt;$H$4,"",IF(INDEX('Fleet dates'!$B$9:$B$1008,$I304-8)="","",INDEX('Fleet dates'!$B$9:$B$1008,$I304-8)))</x:f>
      </x:c>
      <x:c r="C304" s="51" t="str">
        <x:f>IF(296&gt;$H$4,"",IF(INDEX('Fleet dates'!$C$9:$C$1008,$I304-8)="","",INDEX('Fleet dates'!$C$9:$C$1008,$I304-8)))</x:f>
      </x:c>
      <x:c r="D304" s="51" t="str">
        <x:f>IF(296&gt;$H$4,"",IF(INDEX('Fleet dates'!$D$9:$D$1008,$I304-8)="","",INDEX('Fleet dates'!$D$9:$D$1008,$I304-8)))</x:f>
      </x:c>
      <x:c r="E304" s="51" t="str">
        <x:f>IF(296&gt;$H$4,"",IF(INDEX('Fleet dates'!$E$9:$E$1008,$I304-8)="","",INDEX('Fleet dates'!$E$9:$E$1008,$I304-8)))</x:f>
      </x:c>
      <x:c r="F304" s="51" t="str">
        <x:f>IF(296&gt;$H$4,"",IF(INDEX('Fleet dates'!$F$9:$F$1008,$I304-8)="","",INDEX('Fleet dates'!$F$9:$F$1008,$I304-8)))</x:f>
      </x:c>
      <x:c r="G304" s="50" t="str">
        <x:f>IF(296&gt;$H$4,"",IF(INDEX('Fleet dates'!$G$9:$G$1008,$I304-8)="","",INDEX('Fleet dates'!$G$9:$G$1008,$I304-8)))</x:f>
      </x:c>
      <x:c r="H304" s="50" t="str">
        <x:f>IF(296&gt;$H$4,"",IF(INDEX('Fleet dates'!$I$9:$I$1008,$I304-8)="","",INDEX('Fleet dates'!$I$9:$I$1008,$I304-8)))</x:f>
      </x:c>
      <x:c r="I304" t="str">
        <x:f>IF(296&gt;$H$4,"",MATCH(296,'Fleet dates'!$J$9:$J$1008,0)+8)</x:f>
      </x:c>
    </x:row>
    <x:row r="305" ht="36" customHeight="1">
      <x:c r="A305" s="50" t="str">
        <x:f>IF(297&gt;$H$4,"",IF(INDEX('Fleet dates'!$A$9:$A$1008,$I305-8)="","",INDEX('Fleet dates'!$A$9:$A$1008,$I305-8)))</x:f>
      </x:c>
      <x:c r="B305" s="50" t="str">
        <x:f>IF(297&gt;$H$4,"",IF(INDEX('Fleet dates'!$B$9:$B$1008,$I305-8)="","",INDEX('Fleet dates'!$B$9:$B$1008,$I305-8)))</x:f>
      </x:c>
      <x:c r="C305" s="51" t="str">
        <x:f>IF(297&gt;$H$4,"",IF(INDEX('Fleet dates'!$C$9:$C$1008,$I305-8)="","",INDEX('Fleet dates'!$C$9:$C$1008,$I305-8)))</x:f>
      </x:c>
      <x:c r="D305" s="51" t="str">
        <x:f>IF(297&gt;$H$4,"",IF(INDEX('Fleet dates'!$D$9:$D$1008,$I305-8)="","",INDEX('Fleet dates'!$D$9:$D$1008,$I305-8)))</x:f>
      </x:c>
      <x:c r="E305" s="51" t="str">
        <x:f>IF(297&gt;$H$4,"",IF(INDEX('Fleet dates'!$E$9:$E$1008,$I305-8)="","",INDEX('Fleet dates'!$E$9:$E$1008,$I305-8)))</x:f>
      </x:c>
      <x:c r="F305" s="51" t="str">
        <x:f>IF(297&gt;$H$4,"",IF(INDEX('Fleet dates'!$F$9:$F$1008,$I305-8)="","",INDEX('Fleet dates'!$F$9:$F$1008,$I305-8)))</x:f>
      </x:c>
      <x:c r="G305" s="50" t="str">
        <x:f>IF(297&gt;$H$4,"",IF(INDEX('Fleet dates'!$G$9:$G$1008,$I305-8)="","",INDEX('Fleet dates'!$G$9:$G$1008,$I305-8)))</x:f>
      </x:c>
      <x:c r="H305" s="50" t="str">
        <x:f>IF(297&gt;$H$4,"",IF(INDEX('Fleet dates'!$I$9:$I$1008,$I305-8)="","",INDEX('Fleet dates'!$I$9:$I$1008,$I305-8)))</x:f>
      </x:c>
      <x:c r="I305" t="str">
        <x:f>IF(297&gt;$H$4,"",MATCH(297,'Fleet dates'!$J$9:$J$1008,0)+8)</x:f>
      </x:c>
    </x:row>
    <x:row r="306" ht="36" customHeight="1">
      <x:c r="A306" s="50" t="str">
        <x:f>IF(298&gt;$H$4,"",IF(INDEX('Fleet dates'!$A$9:$A$1008,$I306-8)="","",INDEX('Fleet dates'!$A$9:$A$1008,$I306-8)))</x:f>
      </x:c>
      <x:c r="B306" s="50" t="str">
        <x:f>IF(298&gt;$H$4,"",IF(INDEX('Fleet dates'!$B$9:$B$1008,$I306-8)="","",INDEX('Fleet dates'!$B$9:$B$1008,$I306-8)))</x:f>
      </x:c>
      <x:c r="C306" s="51" t="str">
        <x:f>IF(298&gt;$H$4,"",IF(INDEX('Fleet dates'!$C$9:$C$1008,$I306-8)="","",INDEX('Fleet dates'!$C$9:$C$1008,$I306-8)))</x:f>
      </x:c>
      <x:c r="D306" s="51" t="str">
        <x:f>IF(298&gt;$H$4,"",IF(INDEX('Fleet dates'!$D$9:$D$1008,$I306-8)="","",INDEX('Fleet dates'!$D$9:$D$1008,$I306-8)))</x:f>
      </x:c>
      <x:c r="E306" s="51" t="str">
        <x:f>IF(298&gt;$H$4,"",IF(INDEX('Fleet dates'!$E$9:$E$1008,$I306-8)="","",INDEX('Fleet dates'!$E$9:$E$1008,$I306-8)))</x:f>
      </x:c>
      <x:c r="F306" s="51" t="str">
        <x:f>IF(298&gt;$H$4,"",IF(INDEX('Fleet dates'!$F$9:$F$1008,$I306-8)="","",INDEX('Fleet dates'!$F$9:$F$1008,$I306-8)))</x:f>
      </x:c>
      <x:c r="G306" s="50" t="str">
        <x:f>IF(298&gt;$H$4,"",IF(INDEX('Fleet dates'!$G$9:$G$1008,$I306-8)="","",INDEX('Fleet dates'!$G$9:$G$1008,$I306-8)))</x:f>
      </x:c>
      <x:c r="H306" s="50" t="str">
        <x:f>IF(298&gt;$H$4,"",IF(INDEX('Fleet dates'!$I$9:$I$1008,$I306-8)="","",INDEX('Fleet dates'!$I$9:$I$1008,$I306-8)))</x:f>
      </x:c>
      <x:c r="I306" t="str">
        <x:f>IF(298&gt;$H$4,"",MATCH(298,'Fleet dates'!$J$9:$J$1008,0)+8)</x:f>
      </x:c>
    </x:row>
    <x:row r="307" ht="36" customHeight="1">
      <x:c r="A307" s="50" t="str">
        <x:f>IF(299&gt;$H$4,"",IF(INDEX('Fleet dates'!$A$9:$A$1008,$I307-8)="","",INDEX('Fleet dates'!$A$9:$A$1008,$I307-8)))</x:f>
      </x:c>
      <x:c r="B307" s="50" t="str">
        <x:f>IF(299&gt;$H$4,"",IF(INDEX('Fleet dates'!$B$9:$B$1008,$I307-8)="","",INDEX('Fleet dates'!$B$9:$B$1008,$I307-8)))</x:f>
      </x:c>
      <x:c r="C307" s="51" t="str">
        <x:f>IF(299&gt;$H$4,"",IF(INDEX('Fleet dates'!$C$9:$C$1008,$I307-8)="","",INDEX('Fleet dates'!$C$9:$C$1008,$I307-8)))</x:f>
      </x:c>
      <x:c r="D307" s="51" t="str">
        <x:f>IF(299&gt;$H$4,"",IF(INDEX('Fleet dates'!$D$9:$D$1008,$I307-8)="","",INDEX('Fleet dates'!$D$9:$D$1008,$I307-8)))</x:f>
      </x:c>
      <x:c r="E307" s="51" t="str">
        <x:f>IF(299&gt;$H$4,"",IF(INDEX('Fleet dates'!$E$9:$E$1008,$I307-8)="","",INDEX('Fleet dates'!$E$9:$E$1008,$I307-8)))</x:f>
      </x:c>
      <x:c r="F307" s="51" t="str">
        <x:f>IF(299&gt;$H$4,"",IF(INDEX('Fleet dates'!$F$9:$F$1008,$I307-8)="","",INDEX('Fleet dates'!$F$9:$F$1008,$I307-8)))</x:f>
      </x:c>
      <x:c r="G307" s="50" t="str">
        <x:f>IF(299&gt;$H$4,"",IF(INDEX('Fleet dates'!$G$9:$G$1008,$I307-8)="","",INDEX('Fleet dates'!$G$9:$G$1008,$I307-8)))</x:f>
      </x:c>
      <x:c r="H307" s="50" t="str">
        <x:f>IF(299&gt;$H$4,"",IF(INDEX('Fleet dates'!$I$9:$I$1008,$I307-8)="","",INDEX('Fleet dates'!$I$9:$I$1008,$I307-8)))</x:f>
      </x:c>
      <x:c r="I307" t="str">
        <x:f>IF(299&gt;$H$4,"",MATCH(299,'Fleet dates'!$J$9:$J$1008,0)+8)</x:f>
      </x:c>
    </x:row>
    <x:row r="308" ht="36" customHeight="1">
      <x:c r="A308" s="50" t="str">
        <x:f>IF(300&gt;$H$4,"",IF(INDEX('Fleet dates'!$A$9:$A$1008,$I308-8)="","",INDEX('Fleet dates'!$A$9:$A$1008,$I308-8)))</x:f>
      </x:c>
      <x:c r="B308" s="50" t="str">
        <x:f>IF(300&gt;$H$4,"",IF(INDEX('Fleet dates'!$B$9:$B$1008,$I308-8)="","",INDEX('Fleet dates'!$B$9:$B$1008,$I308-8)))</x:f>
      </x:c>
      <x:c r="C308" s="51" t="str">
        <x:f>IF(300&gt;$H$4,"",IF(INDEX('Fleet dates'!$C$9:$C$1008,$I308-8)="","",INDEX('Fleet dates'!$C$9:$C$1008,$I308-8)))</x:f>
      </x:c>
      <x:c r="D308" s="51" t="str">
        <x:f>IF(300&gt;$H$4,"",IF(INDEX('Fleet dates'!$D$9:$D$1008,$I308-8)="","",INDEX('Fleet dates'!$D$9:$D$1008,$I308-8)))</x:f>
      </x:c>
      <x:c r="E308" s="51" t="str">
        <x:f>IF(300&gt;$H$4,"",IF(INDEX('Fleet dates'!$E$9:$E$1008,$I308-8)="","",INDEX('Fleet dates'!$E$9:$E$1008,$I308-8)))</x:f>
      </x:c>
      <x:c r="F308" s="51" t="str">
        <x:f>IF(300&gt;$H$4,"",IF(INDEX('Fleet dates'!$F$9:$F$1008,$I308-8)="","",INDEX('Fleet dates'!$F$9:$F$1008,$I308-8)))</x:f>
      </x:c>
      <x:c r="G308" s="50" t="str">
        <x:f>IF(300&gt;$H$4,"",IF(INDEX('Fleet dates'!$G$9:$G$1008,$I308-8)="","",INDEX('Fleet dates'!$G$9:$G$1008,$I308-8)))</x:f>
      </x:c>
      <x:c r="H308" s="50" t="str">
        <x:f>IF(300&gt;$H$4,"",IF(INDEX('Fleet dates'!$I$9:$I$1008,$I308-8)="","",INDEX('Fleet dates'!$I$9:$I$1008,$I308-8)))</x:f>
      </x:c>
      <x:c r="I308" t="str">
        <x:f>IF(300&gt;$H$4,"",MATCH(300,'Fleet dates'!$J$9:$J$1008,0)+8)</x:f>
      </x:c>
    </x:row>
    <x:row r="309" ht="36" customHeight="1">
      <x:c r="A309" s="50" t="str">
        <x:f>IF(301&gt;$H$4,"",IF(INDEX('Fleet dates'!$A$9:$A$1008,$I309-8)="","",INDEX('Fleet dates'!$A$9:$A$1008,$I309-8)))</x:f>
      </x:c>
      <x:c r="B309" s="50" t="str">
        <x:f>IF(301&gt;$H$4,"",IF(INDEX('Fleet dates'!$B$9:$B$1008,$I309-8)="","",INDEX('Fleet dates'!$B$9:$B$1008,$I309-8)))</x:f>
      </x:c>
      <x:c r="C309" s="51" t="str">
        <x:f>IF(301&gt;$H$4,"",IF(INDEX('Fleet dates'!$C$9:$C$1008,$I309-8)="","",INDEX('Fleet dates'!$C$9:$C$1008,$I309-8)))</x:f>
      </x:c>
      <x:c r="D309" s="51" t="str">
        <x:f>IF(301&gt;$H$4,"",IF(INDEX('Fleet dates'!$D$9:$D$1008,$I309-8)="","",INDEX('Fleet dates'!$D$9:$D$1008,$I309-8)))</x:f>
      </x:c>
      <x:c r="E309" s="51" t="str">
        <x:f>IF(301&gt;$H$4,"",IF(INDEX('Fleet dates'!$E$9:$E$1008,$I309-8)="","",INDEX('Fleet dates'!$E$9:$E$1008,$I309-8)))</x:f>
      </x:c>
      <x:c r="F309" s="51" t="str">
        <x:f>IF(301&gt;$H$4,"",IF(INDEX('Fleet dates'!$F$9:$F$1008,$I309-8)="","",INDEX('Fleet dates'!$F$9:$F$1008,$I309-8)))</x:f>
      </x:c>
      <x:c r="G309" s="50" t="str">
        <x:f>IF(301&gt;$H$4,"",IF(INDEX('Fleet dates'!$G$9:$G$1008,$I309-8)="","",INDEX('Fleet dates'!$G$9:$G$1008,$I309-8)))</x:f>
      </x:c>
      <x:c r="H309" s="50" t="str">
        <x:f>IF(301&gt;$H$4,"",IF(INDEX('Fleet dates'!$I$9:$I$1008,$I309-8)="","",INDEX('Fleet dates'!$I$9:$I$1008,$I309-8)))</x:f>
      </x:c>
      <x:c r="I309" t="str">
        <x:f>IF(301&gt;$H$4,"",MATCH(301,'Fleet dates'!$J$9:$J$1008,0)+8)</x:f>
      </x:c>
    </x:row>
    <x:row r="310" ht="36" customHeight="1">
      <x:c r="A310" s="50" t="str">
        <x:f>IF(302&gt;$H$4,"",IF(INDEX('Fleet dates'!$A$9:$A$1008,$I310-8)="","",INDEX('Fleet dates'!$A$9:$A$1008,$I310-8)))</x:f>
      </x:c>
      <x:c r="B310" s="50" t="str">
        <x:f>IF(302&gt;$H$4,"",IF(INDEX('Fleet dates'!$B$9:$B$1008,$I310-8)="","",INDEX('Fleet dates'!$B$9:$B$1008,$I310-8)))</x:f>
      </x:c>
      <x:c r="C310" s="51" t="str">
        <x:f>IF(302&gt;$H$4,"",IF(INDEX('Fleet dates'!$C$9:$C$1008,$I310-8)="","",INDEX('Fleet dates'!$C$9:$C$1008,$I310-8)))</x:f>
      </x:c>
      <x:c r="D310" s="51" t="str">
        <x:f>IF(302&gt;$H$4,"",IF(INDEX('Fleet dates'!$D$9:$D$1008,$I310-8)="","",INDEX('Fleet dates'!$D$9:$D$1008,$I310-8)))</x:f>
      </x:c>
      <x:c r="E310" s="51" t="str">
        <x:f>IF(302&gt;$H$4,"",IF(INDEX('Fleet dates'!$E$9:$E$1008,$I310-8)="","",INDEX('Fleet dates'!$E$9:$E$1008,$I310-8)))</x:f>
      </x:c>
      <x:c r="F310" s="51" t="str">
        <x:f>IF(302&gt;$H$4,"",IF(INDEX('Fleet dates'!$F$9:$F$1008,$I310-8)="","",INDEX('Fleet dates'!$F$9:$F$1008,$I310-8)))</x:f>
      </x:c>
      <x:c r="G310" s="50" t="str">
        <x:f>IF(302&gt;$H$4,"",IF(INDEX('Fleet dates'!$G$9:$G$1008,$I310-8)="","",INDEX('Fleet dates'!$G$9:$G$1008,$I310-8)))</x:f>
      </x:c>
      <x:c r="H310" s="50" t="str">
        <x:f>IF(302&gt;$H$4,"",IF(INDEX('Fleet dates'!$I$9:$I$1008,$I310-8)="","",INDEX('Fleet dates'!$I$9:$I$1008,$I310-8)))</x:f>
      </x:c>
      <x:c r="I310" t="str">
        <x:f>IF(302&gt;$H$4,"",MATCH(302,'Fleet dates'!$J$9:$J$1008,0)+8)</x:f>
      </x:c>
    </x:row>
    <x:row r="311" ht="36" customHeight="1">
      <x:c r="A311" s="50" t="str">
        <x:f>IF(303&gt;$H$4,"",IF(INDEX('Fleet dates'!$A$9:$A$1008,$I311-8)="","",INDEX('Fleet dates'!$A$9:$A$1008,$I311-8)))</x:f>
      </x:c>
      <x:c r="B311" s="50" t="str">
        <x:f>IF(303&gt;$H$4,"",IF(INDEX('Fleet dates'!$B$9:$B$1008,$I311-8)="","",INDEX('Fleet dates'!$B$9:$B$1008,$I311-8)))</x:f>
      </x:c>
      <x:c r="C311" s="51" t="str">
        <x:f>IF(303&gt;$H$4,"",IF(INDEX('Fleet dates'!$C$9:$C$1008,$I311-8)="","",INDEX('Fleet dates'!$C$9:$C$1008,$I311-8)))</x:f>
      </x:c>
      <x:c r="D311" s="51" t="str">
        <x:f>IF(303&gt;$H$4,"",IF(INDEX('Fleet dates'!$D$9:$D$1008,$I311-8)="","",INDEX('Fleet dates'!$D$9:$D$1008,$I311-8)))</x:f>
      </x:c>
      <x:c r="E311" s="51" t="str">
        <x:f>IF(303&gt;$H$4,"",IF(INDEX('Fleet dates'!$E$9:$E$1008,$I311-8)="","",INDEX('Fleet dates'!$E$9:$E$1008,$I311-8)))</x:f>
      </x:c>
      <x:c r="F311" s="51" t="str">
        <x:f>IF(303&gt;$H$4,"",IF(INDEX('Fleet dates'!$F$9:$F$1008,$I311-8)="","",INDEX('Fleet dates'!$F$9:$F$1008,$I311-8)))</x:f>
      </x:c>
      <x:c r="G311" s="50" t="str">
        <x:f>IF(303&gt;$H$4,"",IF(INDEX('Fleet dates'!$G$9:$G$1008,$I311-8)="","",INDEX('Fleet dates'!$G$9:$G$1008,$I311-8)))</x:f>
      </x:c>
      <x:c r="H311" s="50" t="str">
        <x:f>IF(303&gt;$H$4,"",IF(INDEX('Fleet dates'!$I$9:$I$1008,$I311-8)="","",INDEX('Fleet dates'!$I$9:$I$1008,$I311-8)))</x:f>
      </x:c>
      <x:c r="I311" t="str">
        <x:f>IF(303&gt;$H$4,"",MATCH(303,'Fleet dates'!$J$9:$J$1008,0)+8)</x:f>
      </x:c>
    </x:row>
    <x:row r="312" ht="36" customHeight="1">
      <x:c r="A312" s="50" t="str">
        <x:f>IF(304&gt;$H$4,"",IF(INDEX('Fleet dates'!$A$9:$A$1008,$I312-8)="","",INDEX('Fleet dates'!$A$9:$A$1008,$I312-8)))</x:f>
      </x:c>
      <x:c r="B312" s="50" t="str">
        <x:f>IF(304&gt;$H$4,"",IF(INDEX('Fleet dates'!$B$9:$B$1008,$I312-8)="","",INDEX('Fleet dates'!$B$9:$B$1008,$I312-8)))</x:f>
      </x:c>
      <x:c r="C312" s="51" t="str">
        <x:f>IF(304&gt;$H$4,"",IF(INDEX('Fleet dates'!$C$9:$C$1008,$I312-8)="","",INDEX('Fleet dates'!$C$9:$C$1008,$I312-8)))</x:f>
      </x:c>
      <x:c r="D312" s="51" t="str">
        <x:f>IF(304&gt;$H$4,"",IF(INDEX('Fleet dates'!$D$9:$D$1008,$I312-8)="","",INDEX('Fleet dates'!$D$9:$D$1008,$I312-8)))</x:f>
      </x:c>
      <x:c r="E312" s="51" t="str">
        <x:f>IF(304&gt;$H$4,"",IF(INDEX('Fleet dates'!$E$9:$E$1008,$I312-8)="","",INDEX('Fleet dates'!$E$9:$E$1008,$I312-8)))</x:f>
      </x:c>
      <x:c r="F312" s="51" t="str">
        <x:f>IF(304&gt;$H$4,"",IF(INDEX('Fleet dates'!$F$9:$F$1008,$I312-8)="","",INDEX('Fleet dates'!$F$9:$F$1008,$I312-8)))</x:f>
      </x:c>
      <x:c r="G312" s="50" t="str">
        <x:f>IF(304&gt;$H$4,"",IF(INDEX('Fleet dates'!$G$9:$G$1008,$I312-8)="","",INDEX('Fleet dates'!$G$9:$G$1008,$I312-8)))</x:f>
      </x:c>
      <x:c r="H312" s="50" t="str">
        <x:f>IF(304&gt;$H$4,"",IF(INDEX('Fleet dates'!$I$9:$I$1008,$I312-8)="","",INDEX('Fleet dates'!$I$9:$I$1008,$I312-8)))</x:f>
      </x:c>
      <x:c r="I312" t="str">
        <x:f>IF(304&gt;$H$4,"",MATCH(304,'Fleet dates'!$J$9:$J$1008,0)+8)</x:f>
      </x:c>
    </x:row>
    <x:row r="313" ht="36" customHeight="1">
      <x:c r="A313" s="50" t="str">
        <x:f>IF(305&gt;$H$4,"",IF(INDEX('Fleet dates'!$A$9:$A$1008,$I313-8)="","",INDEX('Fleet dates'!$A$9:$A$1008,$I313-8)))</x:f>
      </x:c>
      <x:c r="B313" s="50" t="str">
        <x:f>IF(305&gt;$H$4,"",IF(INDEX('Fleet dates'!$B$9:$B$1008,$I313-8)="","",INDEX('Fleet dates'!$B$9:$B$1008,$I313-8)))</x:f>
      </x:c>
      <x:c r="C313" s="51" t="str">
        <x:f>IF(305&gt;$H$4,"",IF(INDEX('Fleet dates'!$C$9:$C$1008,$I313-8)="","",INDEX('Fleet dates'!$C$9:$C$1008,$I313-8)))</x:f>
      </x:c>
      <x:c r="D313" s="51" t="str">
        <x:f>IF(305&gt;$H$4,"",IF(INDEX('Fleet dates'!$D$9:$D$1008,$I313-8)="","",INDEX('Fleet dates'!$D$9:$D$1008,$I313-8)))</x:f>
      </x:c>
      <x:c r="E313" s="51" t="str">
        <x:f>IF(305&gt;$H$4,"",IF(INDEX('Fleet dates'!$E$9:$E$1008,$I313-8)="","",INDEX('Fleet dates'!$E$9:$E$1008,$I313-8)))</x:f>
      </x:c>
      <x:c r="F313" s="51" t="str">
        <x:f>IF(305&gt;$H$4,"",IF(INDEX('Fleet dates'!$F$9:$F$1008,$I313-8)="","",INDEX('Fleet dates'!$F$9:$F$1008,$I313-8)))</x:f>
      </x:c>
      <x:c r="G313" s="50" t="str">
        <x:f>IF(305&gt;$H$4,"",IF(INDEX('Fleet dates'!$G$9:$G$1008,$I313-8)="","",INDEX('Fleet dates'!$G$9:$G$1008,$I313-8)))</x:f>
      </x:c>
      <x:c r="H313" s="50" t="str">
        <x:f>IF(305&gt;$H$4,"",IF(INDEX('Fleet dates'!$I$9:$I$1008,$I313-8)="","",INDEX('Fleet dates'!$I$9:$I$1008,$I313-8)))</x:f>
      </x:c>
      <x:c r="I313" t="str">
        <x:f>IF(305&gt;$H$4,"",MATCH(305,'Fleet dates'!$J$9:$J$1008,0)+8)</x:f>
      </x:c>
    </x:row>
    <x:row r="314" ht="36" customHeight="1">
      <x:c r="A314" s="50" t="str">
        <x:f>IF(306&gt;$H$4,"",IF(INDEX('Fleet dates'!$A$9:$A$1008,$I314-8)="","",INDEX('Fleet dates'!$A$9:$A$1008,$I314-8)))</x:f>
      </x:c>
      <x:c r="B314" s="50" t="str">
        <x:f>IF(306&gt;$H$4,"",IF(INDEX('Fleet dates'!$B$9:$B$1008,$I314-8)="","",INDEX('Fleet dates'!$B$9:$B$1008,$I314-8)))</x:f>
      </x:c>
      <x:c r="C314" s="51" t="str">
        <x:f>IF(306&gt;$H$4,"",IF(INDEX('Fleet dates'!$C$9:$C$1008,$I314-8)="","",INDEX('Fleet dates'!$C$9:$C$1008,$I314-8)))</x:f>
      </x:c>
      <x:c r="D314" s="51" t="str">
        <x:f>IF(306&gt;$H$4,"",IF(INDEX('Fleet dates'!$D$9:$D$1008,$I314-8)="","",INDEX('Fleet dates'!$D$9:$D$1008,$I314-8)))</x:f>
      </x:c>
      <x:c r="E314" s="51" t="str">
        <x:f>IF(306&gt;$H$4,"",IF(INDEX('Fleet dates'!$E$9:$E$1008,$I314-8)="","",INDEX('Fleet dates'!$E$9:$E$1008,$I314-8)))</x:f>
      </x:c>
      <x:c r="F314" s="51" t="str">
        <x:f>IF(306&gt;$H$4,"",IF(INDEX('Fleet dates'!$F$9:$F$1008,$I314-8)="","",INDEX('Fleet dates'!$F$9:$F$1008,$I314-8)))</x:f>
      </x:c>
      <x:c r="G314" s="50" t="str">
        <x:f>IF(306&gt;$H$4,"",IF(INDEX('Fleet dates'!$G$9:$G$1008,$I314-8)="","",INDEX('Fleet dates'!$G$9:$G$1008,$I314-8)))</x:f>
      </x:c>
      <x:c r="H314" s="50" t="str">
        <x:f>IF(306&gt;$H$4,"",IF(INDEX('Fleet dates'!$I$9:$I$1008,$I314-8)="","",INDEX('Fleet dates'!$I$9:$I$1008,$I314-8)))</x:f>
      </x:c>
      <x:c r="I314" t="str">
        <x:f>IF(306&gt;$H$4,"",MATCH(306,'Fleet dates'!$J$9:$J$1008,0)+8)</x:f>
      </x:c>
    </x:row>
    <x:row r="315" ht="36" customHeight="1">
      <x:c r="A315" s="50" t="str">
        <x:f>IF(307&gt;$H$4,"",IF(INDEX('Fleet dates'!$A$9:$A$1008,$I315-8)="","",INDEX('Fleet dates'!$A$9:$A$1008,$I315-8)))</x:f>
      </x:c>
      <x:c r="B315" s="50" t="str">
        <x:f>IF(307&gt;$H$4,"",IF(INDEX('Fleet dates'!$B$9:$B$1008,$I315-8)="","",INDEX('Fleet dates'!$B$9:$B$1008,$I315-8)))</x:f>
      </x:c>
      <x:c r="C315" s="51" t="str">
        <x:f>IF(307&gt;$H$4,"",IF(INDEX('Fleet dates'!$C$9:$C$1008,$I315-8)="","",INDEX('Fleet dates'!$C$9:$C$1008,$I315-8)))</x:f>
      </x:c>
      <x:c r="D315" s="51" t="str">
        <x:f>IF(307&gt;$H$4,"",IF(INDEX('Fleet dates'!$D$9:$D$1008,$I315-8)="","",INDEX('Fleet dates'!$D$9:$D$1008,$I315-8)))</x:f>
      </x:c>
      <x:c r="E315" s="51" t="str">
        <x:f>IF(307&gt;$H$4,"",IF(INDEX('Fleet dates'!$E$9:$E$1008,$I315-8)="","",INDEX('Fleet dates'!$E$9:$E$1008,$I315-8)))</x:f>
      </x:c>
      <x:c r="F315" s="51" t="str">
        <x:f>IF(307&gt;$H$4,"",IF(INDEX('Fleet dates'!$F$9:$F$1008,$I315-8)="","",INDEX('Fleet dates'!$F$9:$F$1008,$I315-8)))</x:f>
      </x:c>
      <x:c r="G315" s="50" t="str">
        <x:f>IF(307&gt;$H$4,"",IF(INDEX('Fleet dates'!$G$9:$G$1008,$I315-8)="","",INDEX('Fleet dates'!$G$9:$G$1008,$I315-8)))</x:f>
      </x:c>
      <x:c r="H315" s="50" t="str">
        <x:f>IF(307&gt;$H$4,"",IF(INDEX('Fleet dates'!$I$9:$I$1008,$I315-8)="","",INDEX('Fleet dates'!$I$9:$I$1008,$I315-8)))</x:f>
      </x:c>
      <x:c r="I315" t="str">
        <x:f>IF(307&gt;$H$4,"",MATCH(307,'Fleet dates'!$J$9:$J$1008,0)+8)</x:f>
      </x:c>
    </x:row>
    <x:row r="316" ht="36" customHeight="1">
      <x:c r="A316" s="50" t="str">
        <x:f>IF(308&gt;$H$4,"",IF(INDEX('Fleet dates'!$A$9:$A$1008,$I316-8)="","",INDEX('Fleet dates'!$A$9:$A$1008,$I316-8)))</x:f>
      </x:c>
      <x:c r="B316" s="50" t="str">
        <x:f>IF(308&gt;$H$4,"",IF(INDEX('Fleet dates'!$B$9:$B$1008,$I316-8)="","",INDEX('Fleet dates'!$B$9:$B$1008,$I316-8)))</x:f>
      </x:c>
      <x:c r="C316" s="51" t="str">
        <x:f>IF(308&gt;$H$4,"",IF(INDEX('Fleet dates'!$C$9:$C$1008,$I316-8)="","",INDEX('Fleet dates'!$C$9:$C$1008,$I316-8)))</x:f>
      </x:c>
      <x:c r="D316" s="51" t="str">
        <x:f>IF(308&gt;$H$4,"",IF(INDEX('Fleet dates'!$D$9:$D$1008,$I316-8)="","",INDEX('Fleet dates'!$D$9:$D$1008,$I316-8)))</x:f>
      </x:c>
      <x:c r="E316" s="51" t="str">
        <x:f>IF(308&gt;$H$4,"",IF(INDEX('Fleet dates'!$E$9:$E$1008,$I316-8)="","",INDEX('Fleet dates'!$E$9:$E$1008,$I316-8)))</x:f>
      </x:c>
      <x:c r="F316" s="51" t="str">
        <x:f>IF(308&gt;$H$4,"",IF(INDEX('Fleet dates'!$F$9:$F$1008,$I316-8)="","",INDEX('Fleet dates'!$F$9:$F$1008,$I316-8)))</x:f>
      </x:c>
      <x:c r="G316" s="50" t="str">
        <x:f>IF(308&gt;$H$4,"",IF(INDEX('Fleet dates'!$G$9:$G$1008,$I316-8)="","",INDEX('Fleet dates'!$G$9:$G$1008,$I316-8)))</x:f>
      </x:c>
      <x:c r="H316" s="50" t="str">
        <x:f>IF(308&gt;$H$4,"",IF(INDEX('Fleet dates'!$I$9:$I$1008,$I316-8)="","",INDEX('Fleet dates'!$I$9:$I$1008,$I316-8)))</x:f>
      </x:c>
      <x:c r="I316" t="str">
        <x:f>IF(308&gt;$H$4,"",MATCH(308,'Fleet dates'!$J$9:$J$1008,0)+8)</x:f>
      </x:c>
    </x:row>
    <x:row r="317" ht="36" customHeight="1">
      <x:c r="A317" s="50" t="str">
        <x:f>IF(309&gt;$H$4,"",IF(INDEX('Fleet dates'!$A$9:$A$1008,$I317-8)="","",INDEX('Fleet dates'!$A$9:$A$1008,$I317-8)))</x:f>
      </x:c>
      <x:c r="B317" s="50" t="str">
        <x:f>IF(309&gt;$H$4,"",IF(INDEX('Fleet dates'!$B$9:$B$1008,$I317-8)="","",INDEX('Fleet dates'!$B$9:$B$1008,$I317-8)))</x:f>
      </x:c>
      <x:c r="C317" s="51" t="str">
        <x:f>IF(309&gt;$H$4,"",IF(INDEX('Fleet dates'!$C$9:$C$1008,$I317-8)="","",INDEX('Fleet dates'!$C$9:$C$1008,$I317-8)))</x:f>
      </x:c>
      <x:c r="D317" s="51" t="str">
        <x:f>IF(309&gt;$H$4,"",IF(INDEX('Fleet dates'!$D$9:$D$1008,$I317-8)="","",INDEX('Fleet dates'!$D$9:$D$1008,$I317-8)))</x:f>
      </x:c>
      <x:c r="E317" s="51" t="str">
        <x:f>IF(309&gt;$H$4,"",IF(INDEX('Fleet dates'!$E$9:$E$1008,$I317-8)="","",INDEX('Fleet dates'!$E$9:$E$1008,$I317-8)))</x:f>
      </x:c>
      <x:c r="F317" s="51" t="str">
        <x:f>IF(309&gt;$H$4,"",IF(INDEX('Fleet dates'!$F$9:$F$1008,$I317-8)="","",INDEX('Fleet dates'!$F$9:$F$1008,$I317-8)))</x:f>
      </x:c>
      <x:c r="G317" s="50" t="str">
        <x:f>IF(309&gt;$H$4,"",IF(INDEX('Fleet dates'!$G$9:$G$1008,$I317-8)="","",INDEX('Fleet dates'!$G$9:$G$1008,$I317-8)))</x:f>
      </x:c>
      <x:c r="H317" s="50" t="str">
        <x:f>IF(309&gt;$H$4,"",IF(INDEX('Fleet dates'!$I$9:$I$1008,$I317-8)="","",INDEX('Fleet dates'!$I$9:$I$1008,$I317-8)))</x:f>
      </x:c>
      <x:c r="I317" t="str">
        <x:f>IF(309&gt;$H$4,"",MATCH(309,'Fleet dates'!$J$9:$J$1008,0)+8)</x:f>
      </x:c>
    </x:row>
    <x:row r="318" ht="36" customHeight="1">
      <x:c r="A318" s="50" t="str">
        <x:f>IF(310&gt;$H$4,"",IF(INDEX('Fleet dates'!$A$9:$A$1008,$I318-8)="","",INDEX('Fleet dates'!$A$9:$A$1008,$I318-8)))</x:f>
      </x:c>
      <x:c r="B318" s="50" t="str">
        <x:f>IF(310&gt;$H$4,"",IF(INDEX('Fleet dates'!$B$9:$B$1008,$I318-8)="","",INDEX('Fleet dates'!$B$9:$B$1008,$I318-8)))</x:f>
      </x:c>
      <x:c r="C318" s="51" t="str">
        <x:f>IF(310&gt;$H$4,"",IF(INDEX('Fleet dates'!$C$9:$C$1008,$I318-8)="","",INDEX('Fleet dates'!$C$9:$C$1008,$I318-8)))</x:f>
      </x:c>
      <x:c r="D318" s="51" t="str">
        <x:f>IF(310&gt;$H$4,"",IF(INDEX('Fleet dates'!$D$9:$D$1008,$I318-8)="","",INDEX('Fleet dates'!$D$9:$D$1008,$I318-8)))</x:f>
      </x:c>
      <x:c r="E318" s="51" t="str">
        <x:f>IF(310&gt;$H$4,"",IF(INDEX('Fleet dates'!$E$9:$E$1008,$I318-8)="","",INDEX('Fleet dates'!$E$9:$E$1008,$I318-8)))</x:f>
      </x:c>
      <x:c r="F318" s="51" t="str">
        <x:f>IF(310&gt;$H$4,"",IF(INDEX('Fleet dates'!$F$9:$F$1008,$I318-8)="","",INDEX('Fleet dates'!$F$9:$F$1008,$I318-8)))</x:f>
      </x:c>
      <x:c r="G318" s="50" t="str">
        <x:f>IF(310&gt;$H$4,"",IF(INDEX('Fleet dates'!$G$9:$G$1008,$I318-8)="","",INDEX('Fleet dates'!$G$9:$G$1008,$I318-8)))</x:f>
      </x:c>
      <x:c r="H318" s="50" t="str">
        <x:f>IF(310&gt;$H$4,"",IF(INDEX('Fleet dates'!$I$9:$I$1008,$I318-8)="","",INDEX('Fleet dates'!$I$9:$I$1008,$I318-8)))</x:f>
      </x:c>
      <x:c r="I318" t="str">
        <x:f>IF(310&gt;$H$4,"",MATCH(310,'Fleet dates'!$J$9:$J$1008,0)+8)</x:f>
      </x:c>
    </x:row>
    <x:row r="319" ht="36" customHeight="1">
      <x:c r="A319" s="50" t="str">
        <x:f>IF(311&gt;$H$4,"",IF(INDEX('Fleet dates'!$A$9:$A$1008,$I319-8)="","",INDEX('Fleet dates'!$A$9:$A$1008,$I319-8)))</x:f>
      </x:c>
      <x:c r="B319" s="50" t="str">
        <x:f>IF(311&gt;$H$4,"",IF(INDEX('Fleet dates'!$B$9:$B$1008,$I319-8)="","",INDEX('Fleet dates'!$B$9:$B$1008,$I319-8)))</x:f>
      </x:c>
      <x:c r="C319" s="51" t="str">
        <x:f>IF(311&gt;$H$4,"",IF(INDEX('Fleet dates'!$C$9:$C$1008,$I319-8)="","",INDEX('Fleet dates'!$C$9:$C$1008,$I319-8)))</x:f>
      </x:c>
      <x:c r="D319" s="51" t="str">
        <x:f>IF(311&gt;$H$4,"",IF(INDEX('Fleet dates'!$D$9:$D$1008,$I319-8)="","",INDEX('Fleet dates'!$D$9:$D$1008,$I319-8)))</x:f>
      </x:c>
      <x:c r="E319" s="51" t="str">
        <x:f>IF(311&gt;$H$4,"",IF(INDEX('Fleet dates'!$E$9:$E$1008,$I319-8)="","",INDEX('Fleet dates'!$E$9:$E$1008,$I319-8)))</x:f>
      </x:c>
      <x:c r="F319" s="51" t="str">
        <x:f>IF(311&gt;$H$4,"",IF(INDEX('Fleet dates'!$F$9:$F$1008,$I319-8)="","",INDEX('Fleet dates'!$F$9:$F$1008,$I319-8)))</x:f>
      </x:c>
      <x:c r="G319" s="50" t="str">
        <x:f>IF(311&gt;$H$4,"",IF(INDEX('Fleet dates'!$G$9:$G$1008,$I319-8)="","",INDEX('Fleet dates'!$G$9:$G$1008,$I319-8)))</x:f>
      </x:c>
      <x:c r="H319" s="50" t="str">
        <x:f>IF(311&gt;$H$4,"",IF(INDEX('Fleet dates'!$I$9:$I$1008,$I319-8)="","",INDEX('Fleet dates'!$I$9:$I$1008,$I319-8)))</x:f>
      </x:c>
      <x:c r="I319" t="str">
        <x:f>IF(311&gt;$H$4,"",MATCH(311,'Fleet dates'!$J$9:$J$1008,0)+8)</x:f>
      </x:c>
    </x:row>
    <x:row r="320" ht="36" customHeight="1">
      <x:c r="A320" s="50" t="str">
        <x:f>IF(312&gt;$H$4,"",IF(INDEX('Fleet dates'!$A$9:$A$1008,$I320-8)="","",INDEX('Fleet dates'!$A$9:$A$1008,$I320-8)))</x:f>
      </x:c>
      <x:c r="B320" s="50" t="str">
        <x:f>IF(312&gt;$H$4,"",IF(INDEX('Fleet dates'!$B$9:$B$1008,$I320-8)="","",INDEX('Fleet dates'!$B$9:$B$1008,$I320-8)))</x:f>
      </x:c>
      <x:c r="C320" s="51" t="str">
        <x:f>IF(312&gt;$H$4,"",IF(INDEX('Fleet dates'!$C$9:$C$1008,$I320-8)="","",INDEX('Fleet dates'!$C$9:$C$1008,$I320-8)))</x:f>
      </x:c>
      <x:c r="D320" s="51" t="str">
        <x:f>IF(312&gt;$H$4,"",IF(INDEX('Fleet dates'!$D$9:$D$1008,$I320-8)="","",INDEX('Fleet dates'!$D$9:$D$1008,$I320-8)))</x:f>
      </x:c>
      <x:c r="E320" s="51" t="str">
        <x:f>IF(312&gt;$H$4,"",IF(INDEX('Fleet dates'!$E$9:$E$1008,$I320-8)="","",INDEX('Fleet dates'!$E$9:$E$1008,$I320-8)))</x:f>
      </x:c>
      <x:c r="F320" s="51" t="str">
        <x:f>IF(312&gt;$H$4,"",IF(INDEX('Fleet dates'!$F$9:$F$1008,$I320-8)="","",INDEX('Fleet dates'!$F$9:$F$1008,$I320-8)))</x:f>
      </x:c>
      <x:c r="G320" s="50" t="str">
        <x:f>IF(312&gt;$H$4,"",IF(INDEX('Fleet dates'!$G$9:$G$1008,$I320-8)="","",INDEX('Fleet dates'!$G$9:$G$1008,$I320-8)))</x:f>
      </x:c>
      <x:c r="H320" s="50" t="str">
        <x:f>IF(312&gt;$H$4,"",IF(INDEX('Fleet dates'!$I$9:$I$1008,$I320-8)="","",INDEX('Fleet dates'!$I$9:$I$1008,$I320-8)))</x:f>
      </x:c>
      <x:c r="I320" t="str">
        <x:f>IF(312&gt;$H$4,"",MATCH(312,'Fleet dates'!$J$9:$J$1008,0)+8)</x:f>
      </x:c>
    </x:row>
    <x:row r="321" ht="36" customHeight="1">
      <x:c r="A321" s="50" t="str">
        <x:f>IF(313&gt;$H$4,"",IF(INDEX('Fleet dates'!$A$9:$A$1008,$I321-8)="","",INDEX('Fleet dates'!$A$9:$A$1008,$I321-8)))</x:f>
      </x:c>
      <x:c r="B321" s="50" t="str">
        <x:f>IF(313&gt;$H$4,"",IF(INDEX('Fleet dates'!$B$9:$B$1008,$I321-8)="","",INDEX('Fleet dates'!$B$9:$B$1008,$I321-8)))</x:f>
      </x:c>
      <x:c r="C321" s="51" t="str">
        <x:f>IF(313&gt;$H$4,"",IF(INDEX('Fleet dates'!$C$9:$C$1008,$I321-8)="","",INDEX('Fleet dates'!$C$9:$C$1008,$I321-8)))</x:f>
      </x:c>
      <x:c r="D321" s="51" t="str">
        <x:f>IF(313&gt;$H$4,"",IF(INDEX('Fleet dates'!$D$9:$D$1008,$I321-8)="","",INDEX('Fleet dates'!$D$9:$D$1008,$I321-8)))</x:f>
      </x:c>
      <x:c r="E321" s="51" t="str">
        <x:f>IF(313&gt;$H$4,"",IF(INDEX('Fleet dates'!$E$9:$E$1008,$I321-8)="","",INDEX('Fleet dates'!$E$9:$E$1008,$I321-8)))</x:f>
      </x:c>
      <x:c r="F321" s="51" t="str">
        <x:f>IF(313&gt;$H$4,"",IF(INDEX('Fleet dates'!$F$9:$F$1008,$I321-8)="","",INDEX('Fleet dates'!$F$9:$F$1008,$I321-8)))</x:f>
      </x:c>
      <x:c r="G321" s="50" t="str">
        <x:f>IF(313&gt;$H$4,"",IF(INDEX('Fleet dates'!$G$9:$G$1008,$I321-8)="","",INDEX('Fleet dates'!$G$9:$G$1008,$I321-8)))</x:f>
      </x:c>
      <x:c r="H321" s="50" t="str">
        <x:f>IF(313&gt;$H$4,"",IF(INDEX('Fleet dates'!$I$9:$I$1008,$I321-8)="","",INDEX('Fleet dates'!$I$9:$I$1008,$I321-8)))</x:f>
      </x:c>
      <x:c r="I321" t="str">
        <x:f>IF(313&gt;$H$4,"",MATCH(313,'Fleet dates'!$J$9:$J$1008,0)+8)</x:f>
      </x:c>
    </x:row>
    <x:row r="322" ht="36" customHeight="1">
      <x:c r="A322" s="50" t="str">
        <x:f>IF(314&gt;$H$4,"",IF(INDEX('Fleet dates'!$A$9:$A$1008,$I322-8)="","",INDEX('Fleet dates'!$A$9:$A$1008,$I322-8)))</x:f>
      </x:c>
      <x:c r="B322" s="50" t="str">
        <x:f>IF(314&gt;$H$4,"",IF(INDEX('Fleet dates'!$B$9:$B$1008,$I322-8)="","",INDEX('Fleet dates'!$B$9:$B$1008,$I322-8)))</x:f>
      </x:c>
      <x:c r="C322" s="51" t="str">
        <x:f>IF(314&gt;$H$4,"",IF(INDEX('Fleet dates'!$C$9:$C$1008,$I322-8)="","",INDEX('Fleet dates'!$C$9:$C$1008,$I322-8)))</x:f>
      </x:c>
      <x:c r="D322" s="51" t="str">
        <x:f>IF(314&gt;$H$4,"",IF(INDEX('Fleet dates'!$D$9:$D$1008,$I322-8)="","",INDEX('Fleet dates'!$D$9:$D$1008,$I322-8)))</x:f>
      </x:c>
      <x:c r="E322" s="51" t="str">
        <x:f>IF(314&gt;$H$4,"",IF(INDEX('Fleet dates'!$E$9:$E$1008,$I322-8)="","",INDEX('Fleet dates'!$E$9:$E$1008,$I322-8)))</x:f>
      </x:c>
      <x:c r="F322" s="51" t="str">
        <x:f>IF(314&gt;$H$4,"",IF(INDEX('Fleet dates'!$F$9:$F$1008,$I322-8)="","",INDEX('Fleet dates'!$F$9:$F$1008,$I322-8)))</x:f>
      </x:c>
      <x:c r="G322" s="50" t="str">
        <x:f>IF(314&gt;$H$4,"",IF(INDEX('Fleet dates'!$G$9:$G$1008,$I322-8)="","",INDEX('Fleet dates'!$G$9:$G$1008,$I322-8)))</x:f>
      </x:c>
      <x:c r="H322" s="50" t="str">
        <x:f>IF(314&gt;$H$4,"",IF(INDEX('Fleet dates'!$I$9:$I$1008,$I322-8)="","",INDEX('Fleet dates'!$I$9:$I$1008,$I322-8)))</x:f>
      </x:c>
      <x:c r="I322" t="str">
        <x:f>IF(314&gt;$H$4,"",MATCH(314,'Fleet dates'!$J$9:$J$1008,0)+8)</x:f>
      </x:c>
    </x:row>
    <x:row r="323" ht="36" customHeight="1">
      <x:c r="A323" s="50" t="str">
        <x:f>IF(315&gt;$H$4,"",IF(INDEX('Fleet dates'!$A$9:$A$1008,$I323-8)="","",INDEX('Fleet dates'!$A$9:$A$1008,$I323-8)))</x:f>
      </x:c>
      <x:c r="B323" s="50" t="str">
        <x:f>IF(315&gt;$H$4,"",IF(INDEX('Fleet dates'!$B$9:$B$1008,$I323-8)="","",INDEX('Fleet dates'!$B$9:$B$1008,$I323-8)))</x:f>
      </x:c>
      <x:c r="C323" s="51" t="str">
        <x:f>IF(315&gt;$H$4,"",IF(INDEX('Fleet dates'!$C$9:$C$1008,$I323-8)="","",INDEX('Fleet dates'!$C$9:$C$1008,$I323-8)))</x:f>
      </x:c>
      <x:c r="D323" s="51" t="str">
        <x:f>IF(315&gt;$H$4,"",IF(INDEX('Fleet dates'!$D$9:$D$1008,$I323-8)="","",INDEX('Fleet dates'!$D$9:$D$1008,$I323-8)))</x:f>
      </x:c>
      <x:c r="E323" s="51" t="str">
        <x:f>IF(315&gt;$H$4,"",IF(INDEX('Fleet dates'!$E$9:$E$1008,$I323-8)="","",INDEX('Fleet dates'!$E$9:$E$1008,$I323-8)))</x:f>
      </x:c>
      <x:c r="F323" s="51" t="str">
        <x:f>IF(315&gt;$H$4,"",IF(INDEX('Fleet dates'!$F$9:$F$1008,$I323-8)="","",INDEX('Fleet dates'!$F$9:$F$1008,$I323-8)))</x:f>
      </x:c>
      <x:c r="G323" s="50" t="str">
        <x:f>IF(315&gt;$H$4,"",IF(INDEX('Fleet dates'!$G$9:$G$1008,$I323-8)="","",INDEX('Fleet dates'!$G$9:$G$1008,$I323-8)))</x:f>
      </x:c>
      <x:c r="H323" s="50" t="str">
        <x:f>IF(315&gt;$H$4,"",IF(INDEX('Fleet dates'!$I$9:$I$1008,$I323-8)="","",INDEX('Fleet dates'!$I$9:$I$1008,$I323-8)))</x:f>
      </x:c>
      <x:c r="I323" t="str">
        <x:f>IF(315&gt;$H$4,"",MATCH(315,'Fleet dates'!$J$9:$J$1008,0)+8)</x:f>
      </x:c>
    </x:row>
    <x:row r="324" ht="36" customHeight="1">
      <x:c r="A324" s="50" t="str">
        <x:f>IF(316&gt;$H$4,"",IF(INDEX('Fleet dates'!$A$9:$A$1008,$I324-8)="","",INDEX('Fleet dates'!$A$9:$A$1008,$I324-8)))</x:f>
      </x:c>
      <x:c r="B324" s="50" t="str">
        <x:f>IF(316&gt;$H$4,"",IF(INDEX('Fleet dates'!$B$9:$B$1008,$I324-8)="","",INDEX('Fleet dates'!$B$9:$B$1008,$I324-8)))</x:f>
      </x:c>
      <x:c r="C324" s="51" t="str">
        <x:f>IF(316&gt;$H$4,"",IF(INDEX('Fleet dates'!$C$9:$C$1008,$I324-8)="","",INDEX('Fleet dates'!$C$9:$C$1008,$I324-8)))</x:f>
      </x:c>
      <x:c r="D324" s="51" t="str">
        <x:f>IF(316&gt;$H$4,"",IF(INDEX('Fleet dates'!$D$9:$D$1008,$I324-8)="","",INDEX('Fleet dates'!$D$9:$D$1008,$I324-8)))</x:f>
      </x:c>
      <x:c r="E324" s="51" t="str">
        <x:f>IF(316&gt;$H$4,"",IF(INDEX('Fleet dates'!$E$9:$E$1008,$I324-8)="","",INDEX('Fleet dates'!$E$9:$E$1008,$I324-8)))</x:f>
      </x:c>
      <x:c r="F324" s="51" t="str">
        <x:f>IF(316&gt;$H$4,"",IF(INDEX('Fleet dates'!$F$9:$F$1008,$I324-8)="","",INDEX('Fleet dates'!$F$9:$F$1008,$I324-8)))</x:f>
      </x:c>
      <x:c r="G324" s="50" t="str">
        <x:f>IF(316&gt;$H$4,"",IF(INDEX('Fleet dates'!$G$9:$G$1008,$I324-8)="","",INDEX('Fleet dates'!$G$9:$G$1008,$I324-8)))</x:f>
      </x:c>
      <x:c r="H324" s="50" t="str">
        <x:f>IF(316&gt;$H$4,"",IF(INDEX('Fleet dates'!$I$9:$I$1008,$I324-8)="","",INDEX('Fleet dates'!$I$9:$I$1008,$I324-8)))</x:f>
      </x:c>
      <x:c r="I324" t="str">
        <x:f>IF(316&gt;$H$4,"",MATCH(316,'Fleet dates'!$J$9:$J$1008,0)+8)</x:f>
      </x:c>
    </x:row>
    <x:row r="325" ht="36" customHeight="1">
      <x:c r="A325" s="50" t="str">
        <x:f>IF(317&gt;$H$4,"",IF(INDEX('Fleet dates'!$A$9:$A$1008,$I325-8)="","",INDEX('Fleet dates'!$A$9:$A$1008,$I325-8)))</x:f>
      </x:c>
      <x:c r="B325" s="50" t="str">
        <x:f>IF(317&gt;$H$4,"",IF(INDEX('Fleet dates'!$B$9:$B$1008,$I325-8)="","",INDEX('Fleet dates'!$B$9:$B$1008,$I325-8)))</x:f>
      </x:c>
      <x:c r="C325" s="51" t="str">
        <x:f>IF(317&gt;$H$4,"",IF(INDEX('Fleet dates'!$C$9:$C$1008,$I325-8)="","",INDEX('Fleet dates'!$C$9:$C$1008,$I325-8)))</x:f>
      </x:c>
      <x:c r="D325" s="51" t="str">
        <x:f>IF(317&gt;$H$4,"",IF(INDEX('Fleet dates'!$D$9:$D$1008,$I325-8)="","",INDEX('Fleet dates'!$D$9:$D$1008,$I325-8)))</x:f>
      </x:c>
      <x:c r="E325" s="51" t="str">
        <x:f>IF(317&gt;$H$4,"",IF(INDEX('Fleet dates'!$E$9:$E$1008,$I325-8)="","",INDEX('Fleet dates'!$E$9:$E$1008,$I325-8)))</x:f>
      </x:c>
      <x:c r="F325" s="51" t="str">
        <x:f>IF(317&gt;$H$4,"",IF(INDEX('Fleet dates'!$F$9:$F$1008,$I325-8)="","",INDEX('Fleet dates'!$F$9:$F$1008,$I325-8)))</x:f>
      </x:c>
      <x:c r="G325" s="50" t="str">
        <x:f>IF(317&gt;$H$4,"",IF(INDEX('Fleet dates'!$G$9:$G$1008,$I325-8)="","",INDEX('Fleet dates'!$G$9:$G$1008,$I325-8)))</x:f>
      </x:c>
      <x:c r="H325" s="50" t="str">
        <x:f>IF(317&gt;$H$4,"",IF(INDEX('Fleet dates'!$I$9:$I$1008,$I325-8)="","",INDEX('Fleet dates'!$I$9:$I$1008,$I325-8)))</x:f>
      </x:c>
      <x:c r="I325" t="str">
        <x:f>IF(317&gt;$H$4,"",MATCH(317,'Fleet dates'!$J$9:$J$1008,0)+8)</x:f>
      </x:c>
    </x:row>
    <x:row r="326" ht="36" customHeight="1">
      <x:c r="A326" s="50" t="str">
        <x:f>IF(318&gt;$H$4,"",IF(INDEX('Fleet dates'!$A$9:$A$1008,$I326-8)="","",INDEX('Fleet dates'!$A$9:$A$1008,$I326-8)))</x:f>
      </x:c>
      <x:c r="B326" s="50" t="str">
        <x:f>IF(318&gt;$H$4,"",IF(INDEX('Fleet dates'!$B$9:$B$1008,$I326-8)="","",INDEX('Fleet dates'!$B$9:$B$1008,$I326-8)))</x:f>
      </x:c>
      <x:c r="C326" s="51" t="str">
        <x:f>IF(318&gt;$H$4,"",IF(INDEX('Fleet dates'!$C$9:$C$1008,$I326-8)="","",INDEX('Fleet dates'!$C$9:$C$1008,$I326-8)))</x:f>
      </x:c>
      <x:c r="D326" s="51" t="str">
        <x:f>IF(318&gt;$H$4,"",IF(INDEX('Fleet dates'!$D$9:$D$1008,$I326-8)="","",INDEX('Fleet dates'!$D$9:$D$1008,$I326-8)))</x:f>
      </x:c>
      <x:c r="E326" s="51" t="str">
        <x:f>IF(318&gt;$H$4,"",IF(INDEX('Fleet dates'!$E$9:$E$1008,$I326-8)="","",INDEX('Fleet dates'!$E$9:$E$1008,$I326-8)))</x:f>
      </x:c>
      <x:c r="F326" s="51" t="str">
        <x:f>IF(318&gt;$H$4,"",IF(INDEX('Fleet dates'!$F$9:$F$1008,$I326-8)="","",INDEX('Fleet dates'!$F$9:$F$1008,$I326-8)))</x:f>
      </x:c>
      <x:c r="G326" s="50" t="str">
        <x:f>IF(318&gt;$H$4,"",IF(INDEX('Fleet dates'!$G$9:$G$1008,$I326-8)="","",INDEX('Fleet dates'!$G$9:$G$1008,$I326-8)))</x:f>
      </x:c>
      <x:c r="H326" s="50" t="str">
        <x:f>IF(318&gt;$H$4,"",IF(INDEX('Fleet dates'!$I$9:$I$1008,$I326-8)="","",INDEX('Fleet dates'!$I$9:$I$1008,$I326-8)))</x:f>
      </x:c>
      <x:c r="I326" t="str">
        <x:f>IF(318&gt;$H$4,"",MATCH(318,'Fleet dates'!$J$9:$J$1008,0)+8)</x:f>
      </x:c>
    </x:row>
    <x:row r="327" ht="36" customHeight="1">
      <x:c r="A327" s="50" t="str">
        <x:f>IF(319&gt;$H$4,"",IF(INDEX('Fleet dates'!$A$9:$A$1008,$I327-8)="","",INDEX('Fleet dates'!$A$9:$A$1008,$I327-8)))</x:f>
      </x:c>
      <x:c r="B327" s="50" t="str">
        <x:f>IF(319&gt;$H$4,"",IF(INDEX('Fleet dates'!$B$9:$B$1008,$I327-8)="","",INDEX('Fleet dates'!$B$9:$B$1008,$I327-8)))</x:f>
      </x:c>
      <x:c r="C327" s="51" t="str">
        <x:f>IF(319&gt;$H$4,"",IF(INDEX('Fleet dates'!$C$9:$C$1008,$I327-8)="","",INDEX('Fleet dates'!$C$9:$C$1008,$I327-8)))</x:f>
      </x:c>
      <x:c r="D327" s="51" t="str">
        <x:f>IF(319&gt;$H$4,"",IF(INDEX('Fleet dates'!$D$9:$D$1008,$I327-8)="","",INDEX('Fleet dates'!$D$9:$D$1008,$I327-8)))</x:f>
      </x:c>
      <x:c r="E327" s="51" t="str">
        <x:f>IF(319&gt;$H$4,"",IF(INDEX('Fleet dates'!$E$9:$E$1008,$I327-8)="","",INDEX('Fleet dates'!$E$9:$E$1008,$I327-8)))</x:f>
      </x:c>
      <x:c r="F327" s="51" t="str">
        <x:f>IF(319&gt;$H$4,"",IF(INDEX('Fleet dates'!$F$9:$F$1008,$I327-8)="","",INDEX('Fleet dates'!$F$9:$F$1008,$I327-8)))</x:f>
      </x:c>
      <x:c r="G327" s="50" t="str">
        <x:f>IF(319&gt;$H$4,"",IF(INDEX('Fleet dates'!$G$9:$G$1008,$I327-8)="","",INDEX('Fleet dates'!$G$9:$G$1008,$I327-8)))</x:f>
      </x:c>
      <x:c r="H327" s="50" t="str">
        <x:f>IF(319&gt;$H$4,"",IF(INDEX('Fleet dates'!$I$9:$I$1008,$I327-8)="","",INDEX('Fleet dates'!$I$9:$I$1008,$I327-8)))</x:f>
      </x:c>
      <x:c r="I327" t="str">
        <x:f>IF(319&gt;$H$4,"",MATCH(319,'Fleet dates'!$J$9:$J$1008,0)+8)</x:f>
      </x:c>
    </x:row>
    <x:row r="328" ht="36" customHeight="1">
      <x:c r="A328" s="50" t="str">
        <x:f>IF(320&gt;$H$4,"",IF(INDEX('Fleet dates'!$A$9:$A$1008,$I328-8)="","",INDEX('Fleet dates'!$A$9:$A$1008,$I328-8)))</x:f>
      </x:c>
      <x:c r="B328" s="50" t="str">
        <x:f>IF(320&gt;$H$4,"",IF(INDEX('Fleet dates'!$B$9:$B$1008,$I328-8)="","",INDEX('Fleet dates'!$B$9:$B$1008,$I328-8)))</x:f>
      </x:c>
      <x:c r="C328" s="51" t="str">
        <x:f>IF(320&gt;$H$4,"",IF(INDEX('Fleet dates'!$C$9:$C$1008,$I328-8)="","",INDEX('Fleet dates'!$C$9:$C$1008,$I328-8)))</x:f>
      </x:c>
      <x:c r="D328" s="51" t="str">
        <x:f>IF(320&gt;$H$4,"",IF(INDEX('Fleet dates'!$D$9:$D$1008,$I328-8)="","",INDEX('Fleet dates'!$D$9:$D$1008,$I328-8)))</x:f>
      </x:c>
      <x:c r="E328" s="51" t="str">
        <x:f>IF(320&gt;$H$4,"",IF(INDEX('Fleet dates'!$E$9:$E$1008,$I328-8)="","",INDEX('Fleet dates'!$E$9:$E$1008,$I328-8)))</x:f>
      </x:c>
      <x:c r="F328" s="51" t="str">
        <x:f>IF(320&gt;$H$4,"",IF(INDEX('Fleet dates'!$F$9:$F$1008,$I328-8)="","",INDEX('Fleet dates'!$F$9:$F$1008,$I328-8)))</x:f>
      </x:c>
      <x:c r="G328" s="50" t="str">
        <x:f>IF(320&gt;$H$4,"",IF(INDEX('Fleet dates'!$G$9:$G$1008,$I328-8)="","",INDEX('Fleet dates'!$G$9:$G$1008,$I328-8)))</x:f>
      </x:c>
      <x:c r="H328" s="50" t="str">
        <x:f>IF(320&gt;$H$4,"",IF(INDEX('Fleet dates'!$I$9:$I$1008,$I328-8)="","",INDEX('Fleet dates'!$I$9:$I$1008,$I328-8)))</x:f>
      </x:c>
      <x:c r="I328" t="str">
        <x:f>IF(320&gt;$H$4,"",MATCH(320,'Fleet dates'!$J$9:$J$1008,0)+8)</x:f>
      </x:c>
    </x:row>
    <x:row r="329" ht="36" customHeight="1">
      <x:c r="A329" s="50" t="str">
        <x:f>IF(321&gt;$H$4,"",IF(INDEX('Fleet dates'!$A$9:$A$1008,$I329-8)="","",INDEX('Fleet dates'!$A$9:$A$1008,$I329-8)))</x:f>
      </x:c>
      <x:c r="B329" s="50" t="str">
        <x:f>IF(321&gt;$H$4,"",IF(INDEX('Fleet dates'!$B$9:$B$1008,$I329-8)="","",INDEX('Fleet dates'!$B$9:$B$1008,$I329-8)))</x:f>
      </x:c>
      <x:c r="C329" s="51" t="str">
        <x:f>IF(321&gt;$H$4,"",IF(INDEX('Fleet dates'!$C$9:$C$1008,$I329-8)="","",INDEX('Fleet dates'!$C$9:$C$1008,$I329-8)))</x:f>
      </x:c>
      <x:c r="D329" s="51" t="str">
        <x:f>IF(321&gt;$H$4,"",IF(INDEX('Fleet dates'!$D$9:$D$1008,$I329-8)="","",INDEX('Fleet dates'!$D$9:$D$1008,$I329-8)))</x:f>
      </x:c>
      <x:c r="E329" s="51" t="str">
        <x:f>IF(321&gt;$H$4,"",IF(INDEX('Fleet dates'!$E$9:$E$1008,$I329-8)="","",INDEX('Fleet dates'!$E$9:$E$1008,$I329-8)))</x:f>
      </x:c>
      <x:c r="F329" s="51" t="str">
        <x:f>IF(321&gt;$H$4,"",IF(INDEX('Fleet dates'!$F$9:$F$1008,$I329-8)="","",INDEX('Fleet dates'!$F$9:$F$1008,$I329-8)))</x:f>
      </x:c>
      <x:c r="G329" s="50" t="str">
        <x:f>IF(321&gt;$H$4,"",IF(INDEX('Fleet dates'!$G$9:$G$1008,$I329-8)="","",INDEX('Fleet dates'!$G$9:$G$1008,$I329-8)))</x:f>
      </x:c>
      <x:c r="H329" s="50" t="str">
        <x:f>IF(321&gt;$H$4,"",IF(INDEX('Fleet dates'!$I$9:$I$1008,$I329-8)="","",INDEX('Fleet dates'!$I$9:$I$1008,$I329-8)))</x:f>
      </x:c>
      <x:c r="I329" t="str">
        <x:f>IF(321&gt;$H$4,"",MATCH(321,'Fleet dates'!$J$9:$J$1008,0)+8)</x:f>
      </x:c>
    </x:row>
    <x:row r="330" ht="36" customHeight="1">
      <x:c r="A330" s="50" t="str">
        <x:f>IF(322&gt;$H$4,"",IF(INDEX('Fleet dates'!$A$9:$A$1008,$I330-8)="","",INDEX('Fleet dates'!$A$9:$A$1008,$I330-8)))</x:f>
      </x:c>
      <x:c r="B330" s="50" t="str">
        <x:f>IF(322&gt;$H$4,"",IF(INDEX('Fleet dates'!$B$9:$B$1008,$I330-8)="","",INDEX('Fleet dates'!$B$9:$B$1008,$I330-8)))</x:f>
      </x:c>
      <x:c r="C330" s="51" t="str">
        <x:f>IF(322&gt;$H$4,"",IF(INDEX('Fleet dates'!$C$9:$C$1008,$I330-8)="","",INDEX('Fleet dates'!$C$9:$C$1008,$I330-8)))</x:f>
      </x:c>
      <x:c r="D330" s="51" t="str">
        <x:f>IF(322&gt;$H$4,"",IF(INDEX('Fleet dates'!$D$9:$D$1008,$I330-8)="","",INDEX('Fleet dates'!$D$9:$D$1008,$I330-8)))</x:f>
      </x:c>
      <x:c r="E330" s="51" t="str">
        <x:f>IF(322&gt;$H$4,"",IF(INDEX('Fleet dates'!$E$9:$E$1008,$I330-8)="","",INDEX('Fleet dates'!$E$9:$E$1008,$I330-8)))</x:f>
      </x:c>
      <x:c r="F330" s="51" t="str">
        <x:f>IF(322&gt;$H$4,"",IF(INDEX('Fleet dates'!$F$9:$F$1008,$I330-8)="","",INDEX('Fleet dates'!$F$9:$F$1008,$I330-8)))</x:f>
      </x:c>
      <x:c r="G330" s="50" t="str">
        <x:f>IF(322&gt;$H$4,"",IF(INDEX('Fleet dates'!$G$9:$G$1008,$I330-8)="","",INDEX('Fleet dates'!$G$9:$G$1008,$I330-8)))</x:f>
      </x:c>
      <x:c r="H330" s="50" t="str">
        <x:f>IF(322&gt;$H$4,"",IF(INDEX('Fleet dates'!$I$9:$I$1008,$I330-8)="","",INDEX('Fleet dates'!$I$9:$I$1008,$I330-8)))</x:f>
      </x:c>
      <x:c r="I330" t="str">
        <x:f>IF(322&gt;$H$4,"",MATCH(322,'Fleet dates'!$J$9:$J$1008,0)+8)</x:f>
      </x:c>
    </x:row>
    <x:row r="331" ht="36" customHeight="1">
      <x:c r="A331" s="50" t="str">
        <x:f>IF(323&gt;$H$4,"",IF(INDEX('Fleet dates'!$A$9:$A$1008,$I331-8)="","",INDEX('Fleet dates'!$A$9:$A$1008,$I331-8)))</x:f>
      </x:c>
      <x:c r="B331" s="50" t="str">
        <x:f>IF(323&gt;$H$4,"",IF(INDEX('Fleet dates'!$B$9:$B$1008,$I331-8)="","",INDEX('Fleet dates'!$B$9:$B$1008,$I331-8)))</x:f>
      </x:c>
      <x:c r="C331" s="51" t="str">
        <x:f>IF(323&gt;$H$4,"",IF(INDEX('Fleet dates'!$C$9:$C$1008,$I331-8)="","",INDEX('Fleet dates'!$C$9:$C$1008,$I331-8)))</x:f>
      </x:c>
      <x:c r="D331" s="51" t="str">
        <x:f>IF(323&gt;$H$4,"",IF(INDEX('Fleet dates'!$D$9:$D$1008,$I331-8)="","",INDEX('Fleet dates'!$D$9:$D$1008,$I331-8)))</x:f>
      </x:c>
      <x:c r="E331" s="51" t="str">
        <x:f>IF(323&gt;$H$4,"",IF(INDEX('Fleet dates'!$E$9:$E$1008,$I331-8)="","",INDEX('Fleet dates'!$E$9:$E$1008,$I331-8)))</x:f>
      </x:c>
      <x:c r="F331" s="51" t="str">
        <x:f>IF(323&gt;$H$4,"",IF(INDEX('Fleet dates'!$F$9:$F$1008,$I331-8)="","",INDEX('Fleet dates'!$F$9:$F$1008,$I331-8)))</x:f>
      </x:c>
      <x:c r="G331" s="50" t="str">
        <x:f>IF(323&gt;$H$4,"",IF(INDEX('Fleet dates'!$G$9:$G$1008,$I331-8)="","",INDEX('Fleet dates'!$G$9:$G$1008,$I331-8)))</x:f>
      </x:c>
      <x:c r="H331" s="50" t="str">
        <x:f>IF(323&gt;$H$4,"",IF(INDEX('Fleet dates'!$I$9:$I$1008,$I331-8)="","",INDEX('Fleet dates'!$I$9:$I$1008,$I331-8)))</x:f>
      </x:c>
      <x:c r="I331" t="str">
        <x:f>IF(323&gt;$H$4,"",MATCH(323,'Fleet dates'!$J$9:$J$1008,0)+8)</x:f>
      </x:c>
    </x:row>
    <x:row r="332" ht="36" customHeight="1">
      <x:c r="A332" s="50" t="str">
        <x:f>IF(324&gt;$H$4,"",IF(INDEX('Fleet dates'!$A$9:$A$1008,$I332-8)="","",INDEX('Fleet dates'!$A$9:$A$1008,$I332-8)))</x:f>
      </x:c>
      <x:c r="B332" s="50" t="str">
        <x:f>IF(324&gt;$H$4,"",IF(INDEX('Fleet dates'!$B$9:$B$1008,$I332-8)="","",INDEX('Fleet dates'!$B$9:$B$1008,$I332-8)))</x:f>
      </x:c>
      <x:c r="C332" s="51" t="str">
        <x:f>IF(324&gt;$H$4,"",IF(INDEX('Fleet dates'!$C$9:$C$1008,$I332-8)="","",INDEX('Fleet dates'!$C$9:$C$1008,$I332-8)))</x:f>
      </x:c>
      <x:c r="D332" s="51" t="str">
        <x:f>IF(324&gt;$H$4,"",IF(INDEX('Fleet dates'!$D$9:$D$1008,$I332-8)="","",INDEX('Fleet dates'!$D$9:$D$1008,$I332-8)))</x:f>
      </x:c>
      <x:c r="E332" s="51" t="str">
        <x:f>IF(324&gt;$H$4,"",IF(INDEX('Fleet dates'!$E$9:$E$1008,$I332-8)="","",INDEX('Fleet dates'!$E$9:$E$1008,$I332-8)))</x:f>
      </x:c>
      <x:c r="F332" s="51" t="str">
        <x:f>IF(324&gt;$H$4,"",IF(INDEX('Fleet dates'!$F$9:$F$1008,$I332-8)="","",INDEX('Fleet dates'!$F$9:$F$1008,$I332-8)))</x:f>
      </x:c>
      <x:c r="G332" s="50" t="str">
        <x:f>IF(324&gt;$H$4,"",IF(INDEX('Fleet dates'!$G$9:$G$1008,$I332-8)="","",INDEX('Fleet dates'!$G$9:$G$1008,$I332-8)))</x:f>
      </x:c>
      <x:c r="H332" s="50" t="str">
        <x:f>IF(324&gt;$H$4,"",IF(INDEX('Fleet dates'!$I$9:$I$1008,$I332-8)="","",INDEX('Fleet dates'!$I$9:$I$1008,$I332-8)))</x:f>
      </x:c>
      <x:c r="I332" t="str">
        <x:f>IF(324&gt;$H$4,"",MATCH(324,'Fleet dates'!$J$9:$J$1008,0)+8)</x:f>
      </x:c>
    </x:row>
    <x:row r="333" ht="36" customHeight="1">
      <x:c r="A333" s="50" t="str">
        <x:f>IF(325&gt;$H$4,"",IF(INDEX('Fleet dates'!$A$9:$A$1008,$I333-8)="","",INDEX('Fleet dates'!$A$9:$A$1008,$I333-8)))</x:f>
      </x:c>
      <x:c r="B333" s="50" t="str">
        <x:f>IF(325&gt;$H$4,"",IF(INDEX('Fleet dates'!$B$9:$B$1008,$I333-8)="","",INDEX('Fleet dates'!$B$9:$B$1008,$I333-8)))</x:f>
      </x:c>
      <x:c r="C333" s="51" t="str">
        <x:f>IF(325&gt;$H$4,"",IF(INDEX('Fleet dates'!$C$9:$C$1008,$I333-8)="","",INDEX('Fleet dates'!$C$9:$C$1008,$I333-8)))</x:f>
      </x:c>
      <x:c r="D333" s="51" t="str">
        <x:f>IF(325&gt;$H$4,"",IF(INDEX('Fleet dates'!$D$9:$D$1008,$I333-8)="","",INDEX('Fleet dates'!$D$9:$D$1008,$I333-8)))</x:f>
      </x:c>
      <x:c r="E333" s="51" t="str">
        <x:f>IF(325&gt;$H$4,"",IF(INDEX('Fleet dates'!$E$9:$E$1008,$I333-8)="","",INDEX('Fleet dates'!$E$9:$E$1008,$I333-8)))</x:f>
      </x:c>
      <x:c r="F333" s="51" t="str">
        <x:f>IF(325&gt;$H$4,"",IF(INDEX('Fleet dates'!$F$9:$F$1008,$I333-8)="","",INDEX('Fleet dates'!$F$9:$F$1008,$I333-8)))</x:f>
      </x:c>
      <x:c r="G333" s="50" t="str">
        <x:f>IF(325&gt;$H$4,"",IF(INDEX('Fleet dates'!$G$9:$G$1008,$I333-8)="","",INDEX('Fleet dates'!$G$9:$G$1008,$I333-8)))</x:f>
      </x:c>
      <x:c r="H333" s="50" t="str">
        <x:f>IF(325&gt;$H$4,"",IF(INDEX('Fleet dates'!$I$9:$I$1008,$I333-8)="","",INDEX('Fleet dates'!$I$9:$I$1008,$I333-8)))</x:f>
      </x:c>
      <x:c r="I333" t="str">
        <x:f>IF(325&gt;$H$4,"",MATCH(325,'Fleet dates'!$J$9:$J$1008,0)+8)</x:f>
      </x:c>
    </x:row>
    <x:row r="334" ht="36" customHeight="1">
      <x:c r="A334" s="50" t="str">
        <x:f>IF(326&gt;$H$4,"",IF(INDEX('Fleet dates'!$A$9:$A$1008,$I334-8)="","",INDEX('Fleet dates'!$A$9:$A$1008,$I334-8)))</x:f>
      </x:c>
      <x:c r="B334" s="50" t="str">
        <x:f>IF(326&gt;$H$4,"",IF(INDEX('Fleet dates'!$B$9:$B$1008,$I334-8)="","",INDEX('Fleet dates'!$B$9:$B$1008,$I334-8)))</x:f>
      </x:c>
      <x:c r="C334" s="51" t="str">
        <x:f>IF(326&gt;$H$4,"",IF(INDEX('Fleet dates'!$C$9:$C$1008,$I334-8)="","",INDEX('Fleet dates'!$C$9:$C$1008,$I334-8)))</x:f>
      </x:c>
      <x:c r="D334" s="51" t="str">
        <x:f>IF(326&gt;$H$4,"",IF(INDEX('Fleet dates'!$D$9:$D$1008,$I334-8)="","",INDEX('Fleet dates'!$D$9:$D$1008,$I334-8)))</x:f>
      </x:c>
      <x:c r="E334" s="51" t="str">
        <x:f>IF(326&gt;$H$4,"",IF(INDEX('Fleet dates'!$E$9:$E$1008,$I334-8)="","",INDEX('Fleet dates'!$E$9:$E$1008,$I334-8)))</x:f>
      </x:c>
      <x:c r="F334" s="51" t="str">
        <x:f>IF(326&gt;$H$4,"",IF(INDEX('Fleet dates'!$F$9:$F$1008,$I334-8)="","",INDEX('Fleet dates'!$F$9:$F$1008,$I334-8)))</x:f>
      </x:c>
      <x:c r="G334" s="50" t="str">
        <x:f>IF(326&gt;$H$4,"",IF(INDEX('Fleet dates'!$G$9:$G$1008,$I334-8)="","",INDEX('Fleet dates'!$G$9:$G$1008,$I334-8)))</x:f>
      </x:c>
      <x:c r="H334" s="50" t="str">
        <x:f>IF(326&gt;$H$4,"",IF(INDEX('Fleet dates'!$I$9:$I$1008,$I334-8)="","",INDEX('Fleet dates'!$I$9:$I$1008,$I334-8)))</x:f>
      </x:c>
      <x:c r="I334" t="str">
        <x:f>IF(326&gt;$H$4,"",MATCH(326,'Fleet dates'!$J$9:$J$1008,0)+8)</x:f>
      </x:c>
    </x:row>
    <x:row r="335" ht="36" customHeight="1">
      <x:c r="A335" s="50" t="str">
        <x:f>IF(327&gt;$H$4,"",IF(INDEX('Fleet dates'!$A$9:$A$1008,$I335-8)="","",INDEX('Fleet dates'!$A$9:$A$1008,$I335-8)))</x:f>
      </x:c>
      <x:c r="B335" s="50" t="str">
        <x:f>IF(327&gt;$H$4,"",IF(INDEX('Fleet dates'!$B$9:$B$1008,$I335-8)="","",INDEX('Fleet dates'!$B$9:$B$1008,$I335-8)))</x:f>
      </x:c>
      <x:c r="C335" s="51" t="str">
        <x:f>IF(327&gt;$H$4,"",IF(INDEX('Fleet dates'!$C$9:$C$1008,$I335-8)="","",INDEX('Fleet dates'!$C$9:$C$1008,$I335-8)))</x:f>
      </x:c>
      <x:c r="D335" s="51" t="str">
        <x:f>IF(327&gt;$H$4,"",IF(INDEX('Fleet dates'!$D$9:$D$1008,$I335-8)="","",INDEX('Fleet dates'!$D$9:$D$1008,$I335-8)))</x:f>
      </x:c>
      <x:c r="E335" s="51" t="str">
        <x:f>IF(327&gt;$H$4,"",IF(INDEX('Fleet dates'!$E$9:$E$1008,$I335-8)="","",INDEX('Fleet dates'!$E$9:$E$1008,$I335-8)))</x:f>
      </x:c>
      <x:c r="F335" s="51" t="str">
        <x:f>IF(327&gt;$H$4,"",IF(INDEX('Fleet dates'!$F$9:$F$1008,$I335-8)="","",INDEX('Fleet dates'!$F$9:$F$1008,$I335-8)))</x:f>
      </x:c>
      <x:c r="G335" s="50" t="str">
        <x:f>IF(327&gt;$H$4,"",IF(INDEX('Fleet dates'!$G$9:$G$1008,$I335-8)="","",INDEX('Fleet dates'!$G$9:$G$1008,$I335-8)))</x:f>
      </x:c>
      <x:c r="H335" s="50" t="str">
        <x:f>IF(327&gt;$H$4,"",IF(INDEX('Fleet dates'!$I$9:$I$1008,$I335-8)="","",INDEX('Fleet dates'!$I$9:$I$1008,$I335-8)))</x:f>
      </x:c>
      <x:c r="I335" t="str">
        <x:f>IF(327&gt;$H$4,"",MATCH(327,'Fleet dates'!$J$9:$J$1008,0)+8)</x:f>
      </x:c>
    </x:row>
    <x:row r="336" ht="36" customHeight="1">
      <x:c r="A336" s="50" t="str">
        <x:f>IF(328&gt;$H$4,"",IF(INDEX('Fleet dates'!$A$9:$A$1008,$I336-8)="","",INDEX('Fleet dates'!$A$9:$A$1008,$I336-8)))</x:f>
      </x:c>
      <x:c r="B336" s="50" t="str">
        <x:f>IF(328&gt;$H$4,"",IF(INDEX('Fleet dates'!$B$9:$B$1008,$I336-8)="","",INDEX('Fleet dates'!$B$9:$B$1008,$I336-8)))</x:f>
      </x:c>
      <x:c r="C336" s="51" t="str">
        <x:f>IF(328&gt;$H$4,"",IF(INDEX('Fleet dates'!$C$9:$C$1008,$I336-8)="","",INDEX('Fleet dates'!$C$9:$C$1008,$I336-8)))</x:f>
      </x:c>
      <x:c r="D336" s="51" t="str">
        <x:f>IF(328&gt;$H$4,"",IF(INDEX('Fleet dates'!$D$9:$D$1008,$I336-8)="","",INDEX('Fleet dates'!$D$9:$D$1008,$I336-8)))</x:f>
      </x:c>
      <x:c r="E336" s="51" t="str">
        <x:f>IF(328&gt;$H$4,"",IF(INDEX('Fleet dates'!$E$9:$E$1008,$I336-8)="","",INDEX('Fleet dates'!$E$9:$E$1008,$I336-8)))</x:f>
      </x:c>
      <x:c r="F336" s="51" t="str">
        <x:f>IF(328&gt;$H$4,"",IF(INDEX('Fleet dates'!$F$9:$F$1008,$I336-8)="","",INDEX('Fleet dates'!$F$9:$F$1008,$I336-8)))</x:f>
      </x:c>
      <x:c r="G336" s="50" t="str">
        <x:f>IF(328&gt;$H$4,"",IF(INDEX('Fleet dates'!$G$9:$G$1008,$I336-8)="","",INDEX('Fleet dates'!$G$9:$G$1008,$I336-8)))</x:f>
      </x:c>
      <x:c r="H336" s="50" t="str">
        <x:f>IF(328&gt;$H$4,"",IF(INDEX('Fleet dates'!$I$9:$I$1008,$I336-8)="","",INDEX('Fleet dates'!$I$9:$I$1008,$I336-8)))</x:f>
      </x:c>
      <x:c r="I336" t="str">
        <x:f>IF(328&gt;$H$4,"",MATCH(328,'Fleet dates'!$J$9:$J$1008,0)+8)</x:f>
      </x:c>
    </x:row>
    <x:row r="337" ht="36" customHeight="1">
      <x:c r="A337" s="50" t="str">
        <x:f>IF(329&gt;$H$4,"",IF(INDEX('Fleet dates'!$A$9:$A$1008,$I337-8)="","",INDEX('Fleet dates'!$A$9:$A$1008,$I337-8)))</x:f>
      </x:c>
      <x:c r="B337" s="50" t="str">
        <x:f>IF(329&gt;$H$4,"",IF(INDEX('Fleet dates'!$B$9:$B$1008,$I337-8)="","",INDEX('Fleet dates'!$B$9:$B$1008,$I337-8)))</x:f>
      </x:c>
      <x:c r="C337" s="51" t="str">
        <x:f>IF(329&gt;$H$4,"",IF(INDEX('Fleet dates'!$C$9:$C$1008,$I337-8)="","",INDEX('Fleet dates'!$C$9:$C$1008,$I337-8)))</x:f>
      </x:c>
      <x:c r="D337" s="51" t="str">
        <x:f>IF(329&gt;$H$4,"",IF(INDEX('Fleet dates'!$D$9:$D$1008,$I337-8)="","",INDEX('Fleet dates'!$D$9:$D$1008,$I337-8)))</x:f>
      </x:c>
      <x:c r="E337" s="51" t="str">
        <x:f>IF(329&gt;$H$4,"",IF(INDEX('Fleet dates'!$E$9:$E$1008,$I337-8)="","",INDEX('Fleet dates'!$E$9:$E$1008,$I337-8)))</x:f>
      </x:c>
      <x:c r="F337" s="51" t="str">
        <x:f>IF(329&gt;$H$4,"",IF(INDEX('Fleet dates'!$F$9:$F$1008,$I337-8)="","",INDEX('Fleet dates'!$F$9:$F$1008,$I337-8)))</x:f>
      </x:c>
      <x:c r="G337" s="50" t="str">
        <x:f>IF(329&gt;$H$4,"",IF(INDEX('Fleet dates'!$G$9:$G$1008,$I337-8)="","",INDEX('Fleet dates'!$G$9:$G$1008,$I337-8)))</x:f>
      </x:c>
      <x:c r="H337" s="50" t="str">
        <x:f>IF(329&gt;$H$4,"",IF(INDEX('Fleet dates'!$I$9:$I$1008,$I337-8)="","",INDEX('Fleet dates'!$I$9:$I$1008,$I337-8)))</x:f>
      </x:c>
      <x:c r="I337" t="str">
        <x:f>IF(329&gt;$H$4,"",MATCH(329,'Fleet dates'!$J$9:$J$1008,0)+8)</x:f>
      </x:c>
    </x:row>
    <x:row r="338" ht="36" customHeight="1">
      <x:c r="A338" s="50" t="str">
        <x:f>IF(330&gt;$H$4,"",IF(INDEX('Fleet dates'!$A$9:$A$1008,$I338-8)="","",INDEX('Fleet dates'!$A$9:$A$1008,$I338-8)))</x:f>
      </x:c>
      <x:c r="B338" s="50" t="str">
        <x:f>IF(330&gt;$H$4,"",IF(INDEX('Fleet dates'!$B$9:$B$1008,$I338-8)="","",INDEX('Fleet dates'!$B$9:$B$1008,$I338-8)))</x:f>
      </x:c>
      <x:c r="C338" s="51" t="str">
        <x:f>IF(330&gt;$H$4,"",IF(INDEX('Fleet dates'!$C$9:$C$1008,$I338-8)="","",INDEX('Fleet dates'!$C$9:$C$1008,$I338-8)))</x:f>
      </x:c>
      <x:c r="D338" s="51" t="str">
        <x:f>IF(330&gt;$H$4,"",IF(INDEX('Fleet dates'!$D$9:$D$1008,$I338-8)="","",INDEX('Fleet dates'!$D$9:$D$1008,$I338-8)))</x:f>
      </x:c>
      <x:c r="E338" s="51" t="str">
        <x:f>IF(330&gt;$H$4,"",IF(INDEX('Fleet dates'!$E$9:$E$1008,$I338-8)="","",INDEX('Fleet dates'!$E$9:$E$1008,$I338-8)))</x:f>
      </x:c>
      <x:c r="F338" s="51" t="str">
        <x:f>IF(330&gt;$H$4,"",IF(INDEX('Fleet dates'!$F$9:$F$1008,$I338-8)="","",INDEX('Fleet dates'!$F$9:$F$1008,$I338-8)))</x:f>
      </x:c>
      <x:c r="G338" s="50" t="str">
        <x:f>IF(330&gt;$H$4,"",IF(INDEX('Fleet dates'!$G$9:$G$1008,$I338-8)="","",INDEX('Fleet dates'!$G$9:$G$1008,$I338-8)))</x:f>
      </x:c>
      <x:c r="H338" s="50" t="str">
        <x:f>IF(330&gt;$H$4,"",IF(INDEX('Fleet dates'!$I$9:$I$1008,$I338-8)="","",INDEX('Fleet dates'!$I$9:$I$1008,$I338-8)))</x:f>
      </x:c>
      <x:c r="I338" t="str">
        <x:f>IF(330&gt;$H$4,"",MATCH(330,'Fleet dates'!$J$9:$J$1008,0)+8)</x:f>
      </x:c>
    </x:row>
    <x:row r="339" ht="36" customHeight="1">
      <x:c r="A339" s="50" t="str">
        <x:f>IF(331&gt;$H$4,"",IF(INDEX('Fleet dates'!$A$9:$A$1008,$I339-8)="","",INDEX('Fleet dates'!$A$9:$A$1008,$I339-8)))</x:f>
      </x:c>
      <x:c r="B339" s="50" t="str">
        <x:f>IF(331&gt;$H$4,"",IF(INDEX('Fleet dates'!$B$9:$B$1008,$I339-8)="","",INDEX('Fleet dates'!$B$9:$B$1008,$I339-8)))</x:f>
      </x:c>
      <x:c r="C339" s="51" t="str">
        <x:f>IF(331&gt;$H$4,"",IF(INDEX('Fleet dates'!$C$9:$C$1008,$I339-8)="","",INDEX('Fleet dates'!$C$9:$C$1008,$I339-8)))</x:f>
      </x:c>
      <x:c r="D339" s="51" t="str">
        <x:f>IF(331&gt;$H$4,"",IF(INDEX('Fleet dates'!$D$9:$D$1008,$I339-8)="","",INDEX('Fleet dates'!$D$9:$D$1008,$I339-8)))</x:f>
      </x:c>
      <x:c r="E339" s="51" t="str">
        <x:f>IF(331&gt;$H$4,"",IF(INDEX('Fleet dates'!$E$9:$E$1008,$I339-8)="","",INDEX('Fleet dates'!$E$9:$E$1008,$I339-8)))</x:f>
      </x:c>
      <x:c r="F339" s="51" t="str">
        <x:f>IF(331&gt;$H$4,"",IF(INDEX('Fleet dates'!$F$9:$F$1008,$I339-8)="","",INDEX('Fleet dates'!$F$9:$F$1008,$I339-8)))</x:f>
      </x:c>
      <x:c r="G339" s="50" t="str">
        <x:f>IF(331&gt;$H$4,"",IF(INDEX('Fleet dates'!$G$9:$G$1008,$I339-8)="","",INDEX('Fleet dates'!$G$9:$G$1008,$I339-8)))</x:f>
      </x:c>
      <x:c r="H339" s="50" t="str">
        <x:f>IF(331&gt;$H$4,"",IF(INDEX('Fleet dates'!$I$9:$I$1008,$I339-8)="","",INDEX('Fleet dates'!$I$9:$I$1008,$I339-8)))</x:f>
      </x:c>
      <x:c r="I339" t="str">
        <x:f>IF(331&gt;$H$4,"",MATCH(331,'Fleet dates'!$J$9:$J$1008,0)+8)</x:f>
      </x:c>
    </x:row>
    <x:row r="340" ht="36" customHeight="1">
      <x:c r="A340" s="50" t="str">
        <x:f>IF(332&gt;$H$4,"",IF(INDEX('Fleet dates'!$A$9:$A$1008,$I340-8)="","",INDEX('Fleet dates'!$A$9:$A$1008,$I340-8)))</x:f>
      </x:c>
      <x:c r="B340" s="50" t="str">
        <x:f>IF(332&gt;$H$4,"",IF(INDEX('Fleet dates'!$B$9:$B$1008,$I340-8)="","",INDEX('Fleet dates'!$B$9:$B$1008,$I340-8)))</x:f>
      </x:c>
      <x:c r="C340" s="51" t="str">
        <x:f>IF(332&gt;$H$4,"",IF(INDEX('Fleet dates'!$C$9:$C$1008,$I340-8)="","",INDEX('Fleet dates'!$C$9:$C$1008,$I340-8)))</x:f>
      </x:c>
      <x:c r="D340" s="51" t="str">
        <x:f>IF(332&gt;$H$4,"",IF(INDEX('Fleet dates'!$D$9:$D$1008,$I340-8)="","",INDEX('Fleet dates'!$D$9:$D$1008,$I340-8)))</x:f>
      </x:c>
      <x:c r="E340" s="51" t="str">
        <x:f>IF(332&gt;$H$4,"",IF(INDEX('Fleet dates'!$E$9:$E$1008,$I340-8)="","",INDEX('Fleet dates'!$E$9:$E$1008,$I340-8)))</x:f>
      </x:c>
      <x:c r="F340" s="51" t="str">
        <x:f>IF(332&gt;$H$4,"",IF(INDEX('Fleet dates'!$F$9:$F$1008,$I340-8)="","",INDEX('Fleet dates'!$F$9:$F$1008,$I340-8)))</x:f>
      </x:c>
      <x:c r="G340" s="50" t="str">
        <x:f>IF(332&gt;$H$4,"",IF(INDEX('Fleet dates'!$G$9:$G$1008,$I340-8)="","",INDEX('Fleet dates'!$G$9:$G$1008,$I340-8)))</x:f>
      </x:c>
      <x:c r="H340" s="50" t="str">
        <x:f>IF(332&gt;$H$4,"",IF(INDEX('Fleet dates'!$I$9:$I$1008,$I340-8)="","",INDEX('Fleet dates'!$I$9:$I$1008,$I340-8)))</x:f>
      </x:c>
      <x:c r="I340" t="str">
        <x:f>IF(332&gt;$H$4,"",MATCH(332,'Fleet dates'!$J$9:$J$1008,0)+8)</x:f>
      </x:c>
    </x:row>
    <x:row r="341" ht="36" customHeight="1">
      <x:c r="A341" s="50" t="str">
        <x:f>IF(333&gt;$H$4,"",IF(INDEX('Fleet dates'!$A$9:$A$1008,$I341-8)="","",INDEX('Fleet dates'!$A$9:$A$1008,$I341-8)))</x:f>
      </x:c>
      <x:c r="B341" s="50" t="str">
        <x:f>IF(333&gt;$H$4,"",IF(INDEX('Fleet dates'!$B$9:$B$1008,$I341-8)="","",INDEX('Fleet dates'!$B$9:$B$1008,$I341-8)))</x:f>
      </x:c>
      <x:c r="C341" s="51" t="str">
        <x:f>IF(333&gt;$H$4,"",IF(INDEX('Fleet dates'!$C$9:$C$1008,$I341-8)="","",INDEX('Fleet dates'!$C$9:$C$1008,$I341-8)))</x:f>
      </x:c>
      <x:c r="D341" s="51" t="str">
        <x:f>IF(333&gt;$H$4,"",IF(INDEX('Fleet dates'!$D$9:$D$1008,$I341-8)="","",INDEX('Fleet dates'!$D$9:$D$1008,$I341-8)))</x:f>
      </x:c>
      <x:c r="E341" s="51" t="str">
        <x:f>IF(333&gt;$H$4,"",IF(INDEX('Fleet dates'!$E$9:$E$1008,$I341-8)="","",INDEX('Fleet dates'!$E$9:$E$1008,$I341-8)))</x:f>
      </x:c>
      <x:c r="F341" s="51" t="str">
        <x:f>IF(333&gt;$H$4,"",IF(INDEX('Fleet dates'!$F$9:$F$1008,$I341-8)="","",INDEX('Fleet dates'!$F$9:$F$1008,$I341-8)))</x:f>
      </x:c>
      <x:c r="G341" s="50" t="str">
        <x:f>IF(333&gt;$H$4,"",IF(INDEX('Fleet dates'!$G$9:$G$1008,$I341-8)="","",INDEX('Fleet dates'!$G$9:$G$1008,$I341-8)))</x:f>
      </x:c>
      <x:c r="H341" s="50" t="str">
        <x:f>IF(333&gt;$H$4,"",IF(INDEX('Fleet dates'!$I$9:$I$1008,$I341-8)="","",INDEX('Fleet dates'!$I$9:$I$1008,$I341-8)))</x:f>
      </x:c>
      <x:c r="I341" t="str">
        <x:f>IF(333&gt;$H$4,"",MATCH(333,'Fleet dates'!$J$9:$J$1008,0)+8)</x:f>
      </x:c>
    </x:row>
    <x:row r="342" ht="36" customHeight="1">
      <x:c r="A342" s="50" t="str">
        <x:f>IF(334&gt;$H$4,"",IF(INDEX('Fleet dates'!$A$9:$A$1008,$I342-8)="","",INDEX('Fleet dates'!$A$9:$A$1008,$I342-8)))</x:f>
      </x:c>
      <x:c r="B342" s="50" t="str">
        <x:f>IF(334&gt;$H$4,"",IF(INDEX('Fleet dates'!$B$9:$B$1008,$I342-8)="","",INDEX('Fleet dates'!$B$9:$B$1008,$I342-8)))</x:f>
      </x:c>
      <x:c r="C342" s="51" t="str">
        <x:f>IF(334&gt;$H$4,"",IF(INDEX('Fleet dates'!$C$9:$C$1008,$I342-8)="","",INDEX('Fleet dates'!$C$9:$C$1008,$I342-8)))</x:f>
      </x:c>
      <x:c r="D342" s="51" t="str">
        <x:f>IF(334&gt;$H$4,"",IF(INDEX('Fleet dates'!$D$9:$D$1008,$I342-8)="","",INDEX('Fleet dates'!$D$9:$D$1008,$I342-8)))</x:f>
      </x:c>
      <x:c r="E342" s="51" t="str">
        <x:f>IF(334&gt;$H$4,"",IF(INDEX('Fleet dates'!$E$9:$E$1008,$I342-8)="","",INDEX('Fleet dates'!$E$9:$E$1008,$I342-8)))</x:f>
      </x:c>
      <x:c r="F342" s="51" t="str">
        <x:f>IF(334&gt;$H$4,"",IF(INDEX('Fleet dates'!$F$9:$F$1008,$I342-8)="","",INDEX('Fleet dates'!$F$9:$F$1008,$I342-8)))</x:f>
      </x:c>
      <x:c r="G342" s="50" t="str">
        <x:f>IF(334&gt;$H$4,"",IF(INDEX('Fleet dates'!$G$9:$G$1008,$I342-8)="","",INDEX('Fleet dates'!$G$9:$G$1008,$I342-8)))</x:f>
      </x:c>
      <x:c r="H342" s="50" t="str">
        <x:f>IF(334&gt;$H$4,"",IF(INDEX('Fleet dates'!$I$9:$I$1008,$I342-8)="","",INDEX('Fleet dates'!$I$9:$I$1008,$I342-8)))</x:f>
      </x:c>
      <x:c r="I342" t="str">
        <x:f>IF(334&gt;$H$4,"",MATCH(334,'Fleet dates'!$J$9:$J$1008,0)+8)</x:f>
      </x:c>
    </x:row>
    <x:row r="343" ht="36" customHeight="1">
      <x:c r="A343" s="50" t="str">
        <x:f>IF(335&gt;$H$4,"",IF(INDEX('Fleet dates'!$A$9:$A$1008,$I343-8)="","",INDEX('Fleet dates'!$A$9:$A$1008,$I343-8)))</x:f>
      </x:c>
      <x:c r="B343" s="50" t="str">
        <x:f>IF(335&gt;$H$4,"",IF(INDEX('Fleet dates'!$B$9:$B$1008,$I343-8)="","",INDEX('Fleet dates'!$B$9:$B$1008,$I343-8)))</x:f>
      </x:c>
      <x:c r="C343" s="51" t="str">
        <x:f>IF(335&gt;$H$4,"",IF(INDEX('Fleet dates'!$C$9:$C$1008,$I343-8)="","",INDEX('Fleet dates'!$C$9:$C$1008,$I343-8)))</x:f>
      </x:c>
      <x:c r="D343" s="51" t="str">
        <x:f>IF(335&gt;$H$4,"",IF(INDEX('Fleet dates'!$D$9:$D$1008,$I343-8)="","",INDEX('Fleet dates'!$D$9:$D$1008,$I343-8)))</x:f>
      </x:c>
      <x:c r="E343" s="51" t="str">
        <x:f>IF(335&gt;$H$4,"",IF(INDEX('Fleet dates'!$E$9:$E$1008,$I343-8)="","",INDEX('Fleet dates'!$E$9:$E$1008,$I343-8)))</x:f>
      </x:c>
      <x:c r="F343" s="51" t="str">
        <x:f>IF(335&gt;$H$4,"",IF(INDEX('Fleet dates'!$F$9:$F$1008,$I343-8)="","",INDEX('Fleet dates'!$F$9:$F$1008,$I343-8)))</x:f>
      </x:c>
      <x:c r="G343" s="50" t="str">
        <x:f>IF(335&gt;$H$4,"",IF(INDEX('Fleet dates'!$G$9:$G$1008,$I343-8)="","",INDEX('Fleet dates'!$G$9:$G$1008,$I343-8)))</x:f>
      </x:c>
      <x:c r="H343" s="50" t="str">
        <x:f>IF(335&gt;$H$4,"",IF(INDEX('Fleet dates'!$I$9:$I$1008,$I343-8)="","",INDEX('Fleet dates'!$I$9:$I$1008,$I343-8)))</x:f>
      </x:c>
      <x:c r="I343" t="str">
        <x:f>IF(335&gt;$H$4,"",MATCH(335,'Fleet dates'!$J$9:$J$1008,0)+8)</x:f>
      </x:c>
    </x:row>
    <x:row r="344" ht="36" customHeight="1">
      <x:c r="A344" s="50" t="str">
        <x:f>IF(336&gt;$H$4,"",IF(INDEX('Fleet dates'!$A$9:$A$1008,$I344-8)="","",INDEX('Fleet dates'!$A$9:$A$1008,$I344-8)))</x:f>
      </x:c>
      <x:c r="B344" s="50" t="str">
        <x:f>IF(336&gt;$H$4,"",IF(INDEX('Fleet dates'!$B$9:$B$1008,$I344-8)="","",INDEX('Fleet dates'!$B$9:$B$1008,$I344-8)))</x:f>
      </x:c>
      <x:c r="C344" s="51" t="str">
        <x:f>IF(336&gt;$H$4,"",IF(INDEX('Fleet dates'!$C$9:$C$1008,$I344-8)="","",INDEX('Fleet dates'!$C$9:$C$1008,$I344-8)))</x:f>
      </x:c>
      <x:c r="D344" s="51" t="str">
        <x:f>IF(336&gt;$H$4,"",IF(INDEX('Fleet dates'!$D$9:$D$1008,$I344-8)="","",INDEX('Fleet dates'!$D$9:$D$1008,$I344-8)))</x:f>
      </x:c>
      <x:c r="E344" s="51" t="str">
        <x:f>IF(336&gt;$H$4,"",IF(INDEX('Fleet dates'!$E$9:$E$1008,$I344-8)="","",INDEX('Fleet dates'!$E$9:$E$1008,$I344-8)))</x:f>
      </x:c>
      <x:c r="F344" s="51" t="str">
        <x:f>IF(336&gt;$H$4,"",IF(INDEX('Fleet dates'!$F$9:$F$1008,$I344-8)="","",INDEX('Fleet dates'!$F$9:$F$1008,$I344-8)))</x:f>
      </x:c>
      <x:c r="G344" s="50" t="str">
        <x:f>IF(336&gt;$H$4,"",IF(INDEX('Fleet dates'!$G$9:$G$1008,$I344-8)="","",INDEX('Fleet dates'!$G$9:$G$1008,$I344-8)))</x:f>
      </x:c>
      <x:c r="H344" s="50" t="str">
        <x:f>IF(336&gt;$H$4,"",IF(INDEX('Fleet dates'!$I$9:$I$1008,$I344-8)="","",INDEX('Fleet dates'!$I$9:$I$1008,$I344-8)))</x:f>
      </x:c>
      <x:c r="I344" t="str">
        <x:f>IF(336&gt;$H$4,"",MATCH(336,'Fleet dates'!$J$9:$J$1008,0)+8)</x:f>
      </x:c>
    </x:row>
    <x:row r="345" ht="36" customHeight="1">
      <x:c r="A345" s="50" t="str">
        <x:f>IF(337&gt;$H$4,"",IF(INDEX('Fleet dates'!$A$9:$A$1008,$I345-8)="","",INDEX('Fleet dates'!$A$9:$A$1008,$I345-8)))</x:f>
      </x:c>
      <x:c r="B345" s="50" t="str">
        <x:f>IF(337&gt;$H$4,"",IF(INDEX('Fleet dates'!$B$9:$B$1008,$I345-8)="","",INDEX('Fleet dates'!$B$9:$B$1008,$I345-8)))</x:f>
      </x:c>
      <x:c r="C345" s="51" t="str">
        <x:f>IF(337&gt;$H$4,"",IF(INDEX('Fleet dates'!$C$9:$C$1008,$I345-8)="","",INDEX('Fleet dates'!$C$9:$C$1008,$I345-8)))</x:f>
      </x:c>
      <x:c r="D345" s="51" t="str">
        <x:f>IF(337&gt;$H$4,"",IF(INDEX('Fleet dates'!$D$9:$D$1008,$I345-8)="","",INDEX('Fleet dates'!$D$9:$D$1008,$I345-8)))</x:f>
      </x:c>
      <x:c r="E345" s="51" t="str">
        <x:f>IF(337&gt;$H$4,"",IF(INDEX('Fleet dates'!$E$9:$E$1008,$I345-8)="","",INDEX('Fleet dates'!$E$9:$E$1008,$I345-8)))</x:f>
      </x:c>
      <x:c r="F345" s="51" t="str">
        <x:f>IF(337&gt;$H$4,"",IF(INDEX('Fleet dates'!$F$9:$F$1008,$I345-8)="","",INDEX('Fleet dates'!$F$9:$F$1008,$I345-8)))</x:f>
      </x:c>
      <x:c r="G345" s="50" t="str">
        <x:f>IF(337&gt;$H$4,"",IF(INDEX('Fleet dates'!$G$9:$G$1008,$I345-8)="","",INDEX('Fleet dates'!$G$9:$G$1008,$I345-8)))</x:f>
      </x:c>
      <x:c r="H345" s="50" t="str">
        <x:f>IF(337&gt;$H$4,"",IF(INDEX('Fleet dates'!$I$9:$I$1008,$I345-8)="","",INDEX('Fleet dates'!$I$9:$I$1008,$I345-8)))</x:f>
      </x:c>
      <x:c r="I345" t="str">
        <x:f>IF(337&gt;$H$4,"",MATCH(337,'Fleet dates'!$J$9:$J$1008,0)+8)</x:f>
      </x:c>
    </x:row>
    <x:row r="346" ht="36" customHeight="1">
      <x:c r="A346" s="50" t="str">
        <x:f>IF(338&gt;$H$4,"",IF(INDEX('Fleet dates'!$A$9:$A$1008,$I346-8)="","",INDEX('Fleet dates'!$A$9:$A$1008,$I346-8)))</x:f>
      </x:c>
      <x:c r="B346" s="50" t="str">
        <x:f>IF(338&gt;$H$4,"",IF(INDEX('Fleet dates'!$B$9:$B$1008,$I346-8)="","",INDEX('Fleet dates'!$B$9:$B$1008,$I346-8)))</x:f>
      </x:c>
      <x:c r="C346" s="51" t="str">
        <x:f>IF(338&gt;$H$4,"",IF(INDEX('Fleet dates'!$C$9:$C$1008,$I346-8)="","",INDEX('Fleet dates'!$C$9:$C$1008,$I346-8)))</x:f>
      </x:c>
      <x:c r="D346" s="51" t="str">
        <x:f>IF(338&gt;$H$4,"",IF(INDEX('Fleet dates'!$D$9:$D$1008,$I346-8)="","",INDEX('Fleet dates'!$D$9:$D$1008,$I346-8)))</x:f>
      </x:c>
      <x:c r="E346" s="51" t="str">
        <x:f>IF(338&gt;$H$4,"",IF(INDEX('Fleet dates'!$E$9:$E$1008,$I346-8)="","",INDEX('Fleet dates'!$E$9:$E$1008,$I346-8)))</x:f>
      </x:c>
      <x:c r="F346" s="51" t="str">
        <x:f>IF(338&gt;$H$4,"",IF(INDEX('Fleet dates'!$F$9:$F$1008,$I346-8)="","",INDEX('Fleet dates'!$F$9:$F$1008,$I346-8)))</x:f>
      </x:c>
      <x:c r="G346" s="50" t="str">
        <x:f>IF(338&gt;$H$4,"",IF(INDEX('Fleet dates'!$G$9:$G$1008,$I346-8)="","",INDEX('Fleet dates'!$G$9:$G$1008,$I346-8)))</x:f>
      </x:c>
      <x:c r="H346" s="50" t="str">
        <x:f>IF(338&gt;$H$4,"",IF(INDEX('Fleet dates'!$I$9:$I$1008,$I346-8)="","",INDEX('Fleet dates'!$I$9:$I$1008,$I346-8)))</x:f>
      </x:c>
      <x:c r="I346" t="str">
        <x:f>IF(338&gt;$H$4,"",MATCH(338,'Fleet dates'!$J$9:$J$1008,0)+8)</x:f>
      </x:c>
    </x:row>
    <x:row r="347" ht="36" customHeight="1">
      <x:c r="A347" s="50" t="str">
        <x:f>IF(339&gt;$H$4,"",IF(INDEX('Fleet dates'!$A$9:$A$1008,$I347-8)="","",INDEX('Fleet dates'!$A$9:$A$1008,$I347-8)))</x:f>
      </x:c>
      <x:c r="B347" s="50" t="str">
        <x:f>IF(339&gt;$H$4,"",IF(INDEX('Fleet dates'!$B$9:$B$1008,$I347-8)="","",INDEX('Fleet dates'!$B$9:$B$1008,$I347-8)))</x:f>
      </x:c>
      <x:c r="C347" s="51" t="str">
        <x:f>IF(339&gt;$H$4,"",IF(INDEX('Fleet dates'!$C$9:$C$1008,$I347-8)="","",INDEX('Fleet dates'!$C$9:$C$1008,$I347-8)))</x:f>
      </x:c>
      <x:c r="D347" s="51" t="str">
        <x:f>IF(339&gt;$H$4,"",IF(INDEX('Fleet dates'!$D$9:$D$1008,$I347-8)="","",INDEX('Fleet dates'!$D$9:$D$1008,$I347-8)))</x:f>
      </x:c>
      <x:c r="E347" s="51" t="str">
        <x:f>IF(339&gt;$H$4,"",IF(INDEX('Fleet dates'!$E$9:$E$1008,$I347-8)="","",INDEX('Fleet dates'!$E$9:$E$1008,$I347-8)))</x:f>
      </x:c>
      <x:c r="F347" s="51" t="str">
        <x:f>IF(339&gt;$H$4,"",IF(INDEX('Fleet dates'!$F$9:$F$1008,$I347-8)="","",INDEX('Fleet dates'!$F$9:$F$1008,$I347-8)))</x:f>
      </x:c>
      <x:c r="G347" s="50" t="str">
        <x:f>IF(339&gt;$H$4,"",IF(INDEX('Fleet dates'!$G$9:$G$1008,$I347-8)="","",INDEX('Fleet dates'!$G$9:$G$1008,$I347-8)))</x:f>
      </x:c>
      <x:c r="H347" s="50" t="str">
        <x:f>IF(339&gt;$H$4,"",IF(INDEX('Fleet dates'!$I$9:$I$1008,$I347-8)="","",INDEX('Fleet dates'!$I$9:$I$1008,$I347-8)))</x:f>
      </x:c>
      <x:c r="I347" t="str">
        <x:f>IF(339&gt;$H$4,"",MATCH(339,'Fleet dates'!$J$9:$J$1008,0)+8)</x:f>
      </x:c>
    </x:row>
    <x:row r="348" ht="36" customHeight="1">
      <x:c r="A348" s="50" t="str">
        <x:f>IF(340&gt;$H$4,"",IF(INDEX('Fleet dates'!$A$9:$A$1008,$I348-8)="","",INDEX('Fleet dates'!$A$9:$A$1008,$I348-8)))</x:f>
      </x:c>
      <x:c r="B348" s="50" t="str">
        <x:f>IF(340&gt;$H$4,"",IF(INDEX('Fleet dates'!$B$9:$B$1008,$I348-8)="","",INDEX('Fleet dates'!$B$9:$B$1008,$I348-8)))</x:f>
      </x:c>
      <x:c r="C348" s="51" t="str">
        <x:f>IF(340&gt;$H$4,"",IF(INDEX('Fleet dates'!$C$9:$C$1008,$I348-8)="","",INDEX('Fleet dates'!$C$9:$C$1008,$I348-8)))</x:f>
      </x:c>
      <x:c r="D348" s="51" t="str">
        <x:f>IF(340&gt;$H$4,"",IF(INDEX('Fleet dates'!$D$9:$D$1008,$I348-8)="","",INDEX('Fleet dates'!$D$9:$D$1008,$I348-8)))</x:f>
      </x:c>
      <x:c r="E348" s="51" t="str">
        <x:f>IF(340&gt;$H$4,"",IF(INDEX('Fleet dates'!$E$9:$E$1008,$I348-8)="","",INDEX('Fleet dates'!$E$9:$E$1008,$I348-8)))</x:f>
      </x:c>
      <x:c r="F348" s="51" t="str">
        <x:f>IF(340&gt;$H$4,"",IF(INDEX('Fleet dates'!$F$9:$F$1008,$I348-8)="","",INDEX('Fleet dates'!$F$9:$F$1008,$I348-8)))</x:f>
      </x:c>
      <x:c r="G348" s="50" t="str">
        <x:f>IF(340&gt;$H$4,"",IF(INDEX('Fleet dates'!$G$9:$G$1008,$I348-8)="","",INDEX('Fleet dates'!$G$9:$G$1008,$I348-8)))</x:f>
      </x:c>
      <x:c r="H348" s="50" t="str">
        <x:f>IF(340&gt;$H$4,"",IF(INDEX('Fleet dates'!$I$9:$I$1008,$I348-8)="","",INDEX('Fleet dates'!$I$9:$I$1008,$I348-8)))</x:f>
      </x:c>
      <x:c r="I348" t="str">
        <x:f>IF(340&gt;$H$4,"",MATCH(340,'Fleet dates'!$J$9:$J$1008,0)+8)</x:f>
      </x:c>
    </x:row>
    <x:row r="349" ht="36" customHeight="1">
      <x:c r="A349" s="50" t="str">
        <x:f>IF(341&gt;$H$4,"",IF(INDEX('Fleet dates'!$A$9:$A$1008,$I349-8)="","",INDEX('Fleet dates'!$A$9:$A$1008,$I349-8)))</x:f>
      </x:c>
      <x:c r="B349" s="50" t="str">
        <x:f>IF(341&gt;$H$4,"",IF(INDEX('Fleet dates'!$B$9:$B$1008,$I349-8)="","",INDEX('Fleet dates'!$B$9:$B$1008,$I349-8)))</x:f>
      </x:c>
      <x:c r="C349" s="51" t="str">
        <x:f>IF(341&gt;$H$4,"",IF(INDEX('Fleet dates'!$C$9:$C$1008,$I349-8)="","",INDEX('Fleet dates'!$C$9:$C$1008,$I349-8)))</x:f>
      </x:c>
      <x:c r="D349" s="51" t="str">
        <x:f>IF(341&gt;$H$4,"",IF(INDEX('Fleet dates'!$D$9:$D$1008,$I349-8)="","",INDEX('Fleet dates'!$D$9:$D$1008,$I349-8)))</x:f>
      </x:c>
      <x:c r="E349" s="51" t="str">
        <x:f>IF(341&gt;$H$4,"",IF(INDEX('Fleet dates'!$E$9:$E$1008,$I349-8)="","",INDEX('Fleet dates'!$E$9:$E$1008,$I349-8)))</x:f>
      </x:c>
      <x:c r="F349" s="51" t="str">
        <x:f>IF(341&gt;$H$4,"",IF(INDEX('Fleet dates'!$F$9:$F$1008,$I349-8)="","",INDEX('Fleet dates'!$F$9:$F$1008,$I349-8)))</x:f>
      </x:c>
      <x:c r="G349" s="50" t="str">
        <x:f>IF(341&gt;$H$4,"",IF(INDEX('Fleet dates'!$G$9:$G$1008,$I349-8)="","",INDEX('Fleet dates'!$G$9:$G$1008,$I349-8)))</x:f>
      </x:c>
      <x:c r="H349" s="50" t="str">
        <x:f>IF(341&gt;$H$4,"",IF(INDEX('Fleet dates'!$I$9:$I$1008,$I349-8)="","",INDEX('Fleet dates'!$I$9:$I$1008,$I349-8)))</x:f>
      </x:c>
      <x:c r="I349" t="str">
        <x:f>IF(341&gt;$H$4,"",MATCH(341,'Fleet dates'!$J$9:$J$1008,0)+8)</x:f>
      </x:c>
    </x:row>
    <x:row r="350" ht="36" customHeight="1">
      <x:c r="A350" s="50" t="str">
        <x:f>IF(342&gt;$H$4,"",IF(INDEX('Fleet dates'!$A$9:$A$1008,$I350-8)="","",INDEX('Fleet dates'!$A$9:$A$1008,$I350-8)))</x:f>
      </x:c>
      <x:c r="B350" s="50" t="str">
        <x:f>IF(342&gt;$H$4,"",IF(INDEX('Fleet dates'!$B$9:$B$1008,$I350-8)="","",INDEX('Fleet dates'!$B$9:$B$1008,$I350-8)))</x:f>
      </x:c>
      <x:c r="C350" s="51" t="str">
        <x:f>IF(342&gt;$H$4,"",IF(INDEX('Fleet dates'!$C$9:$C$1008,$I350-8)="","",INDEX('Fleet dates'!$C$9:$C$1008,$I350-8)))</x:f>
      </x:c>
      <x:c r="D350" s="51" t="str">
        <x:f>IF(342&gt;$H$4,"",IF(INDEX('Fleet dates'!$D$9:$D$1008,$I350-8)="","",INDEX('Fleet dates'!$D$9:$D$1008,$I350-8)))</x:f>
      </x:c>
      <x:c r="E350" s="51" t="str">
        <x:f>IF(342&gt;$H$4,"",IF(INDEX('Fleet dates'!$E$9:$E$1008,$I350-8)="","",INDEX('Fleet dates'!$E$9:$E$1008,$I350-8)))</x:f>
      </x:c>
      <x:c r="F350" s="51" t="str">
        <x:f>IF(342&gt;$H$4,"",IF(INDEX('Fleet dates'!$F$9:$F$1008,$I350-8)="","",INDEX('Fleet dates'!$F$9:$F$1008,$I350-8)))</x:f>
      </x:c>
      <x:c r="G350" s="50" t="str">
        <x:f>IF(342&gt;$H$4,"",IF(INDEX('Fleet dates'!$G$9:$G$1008,$I350-8)="","",INDEX('Fleet dates'!$G$9:$G$1008,$I350-8)))</x:f>
      </x:c>
      <x:c r="H350" s="50" t="str">
        <x:f>IF(342&gt;$H$4,"",IF(INDEX('Fleet dates'!$I$9:$I$1008,$I350-8)="","",INDEX('Fleet dates'!$I$9:$I$1008,$I350-8)))</x:f>
      </x:c>
      <x:c r="I350" t="str">
        <x:f>IF(342&gt;$H$4,"",MATCH(342,'Fleet dates'!$J$9:$J$1008,0)+8)</x:f>
      </x:c>
    </x:row>
    <x:row r="351" ht="36" customHeight="1">
      <x:c r="A351" s="50" t="str">
        <x:f>IF(343&gt;$H$4,"",IF(INDEX('Fleet dates'!$A$9:$A$1008,$I351-8)="","",INDEX('Fleet dates'!$A$9:$A$1008,$I351-8)))</x:f>
      </x:c>
      <x:c r="B351" s="50" t="str">
        <x:f>IF(343&gt;$H$4,"",IF(INDEX('Fleet dates'!$B$9:$B$1008,$I351-8)="","",INDEX('Fleet dates'!$B$9:$B$1008,$I351-8)))</x:f>
      </x:c>
      <x:c r="C351" s="51" t="str">
        <x:f>IF(343&gt;$H$4,"",IF(INDEX('Fleet dates'!$C$9:$C$1008,$I351-8)="","",INDEX('Fleet dates'!$C$9:$C$1008,$I351-8)))</x:f>
      </x:c>
      <x:c r="D351" s="51" t="str">
        <x:f>IF(343&gt;$H$4,"",IF(INDEX('Fleet dates'!$D$9:$D$1008,$I351-8)="","",INDEX('Fleet dates'!$D$9:$D$1008,$I351-8)))</x:f>
      </x:c>
      <x:c r="E351" s="51" t="str">
        <x:f>IF(343&gt;$H$4,"",IF(INDEX('Fleet dates'!$E$9:$E$1008,$I351-8)="","",INDEX('Fleet dates'!$E$9:$E$1008,$I351-8)))</x:f>
      </x:c>
      <x:c r="F351" s="51" t="str">
        <x:f>IF(343&gt;$H$4,"",IF(INDEX('Fleet dates'!$F$9:$F$1008,$I351-8)="","",INDEX('Fleet dates'!$F$9:$F$1008,$I351-8)))</x:f>
      </x:c>
      <x:c r="G351" s="50" t="str">
        <x:f>IF(343&gt;$H$4,"",IF(INDEX('Fleet dates'!$G$9:$G$1008,$I351-8)="","",INDEX('Fleet dates'!$G$9:$G$1008,$I351-8)))</x:f>
      </x:c>
      <x:c r="H351" s="50" t="str">
        <x:f>IF(343&gt;$H$4,"",IF(INDEX('Fleet dates'!$I$9:$I$1008,$I351-8)="","",INDEX('Fleet dates'!$I$9:$I$1008,$I351-8)))</x:f>
      </x:c>
      <x:c r="I351" t="str">
        <x:f>IF(343&gt;$H$4,"",MATCH(343,'Fleet dates'!$J$9:$J$1008,0)+8)</x:f>
      </x:c>
    </x:row>
    <x:row r="352" ht="36" customHeight="1">
      <x:c r="A352" s="50" t="str">
        <x:f>IF(344&gt;$H$4,"",IF(INDEX('Fleet dates'!$A$9:$A$1008,$I352-8)="","",INDEX('Fleet dates'!$A$9:$A$1008,$I352-8)))</x:f>
      </x:c>
      <x:c r="B352" s="50" t="str">
        <x:f>IF(344&gt;$H$4,"",IF(INDEX('Fleet dates'!$B$9:$B$1008,$I352-8)="","",INDEX('Fleet dates'!$B$9:$B$1008,$I352-8)))</x:f>
      </x:c>
      <x:c r="C352" s="51" t="str">
        <x:f>IF(344&gt;$H$4,"",IF(INDEX('Fleet dates'!$C$9:$C$1008,$I352-8)="","",INDEX('Fleet dates'!$C$9:$C$1008,$I352-8)))</x:f>
      </x:c>
      <x:c r="D352" s="51" t="str">
        <x:f>IF(344&gt;$H$4,"",IF(INDEX('Fleet dates'!$D$9:$D$1008,$I352-8)="","",INDEX('Fleet dates'!$D$9:$D$1008,$I352-8)))</x:f>
      </x:c>
      <x:c r="E352" s="51" t="str">
        <x:f>IF(344&gt;$H$4,"",IF(INDEX('Fleet dates'!$E$9:$E$1008,$I352-8)="","",INDEX('Fleet dates'!$E$9:$E$1008,$I352-8)))</x:f>
      </x:c>
      <x:c r="F352" s="51" t="str">
        <x:f>IF(344&gt;$H$4,"",IF(INDEX('Fleet dates'!$F$9:$F$1008,$I352-8)="","",INDEX('Fleet dates'!$F$9:$F$1008,$I352-8)))</x:f>
      </x:c>
      <x:c r="G352" s="50" t="str">
        <x:f>IF(344&gt;$H$4,"",IF(INDEX('Fleet dates'!$G$9:$G$1008,$I352-8)="","",INDEX('Fleet dates'!$G$9:$G$1008,$I352-8)))</x:f>
      </x:c>
      <x:c r="H352" s="50" t="str">
        <x:f>IF(344&gt;$H$4,"",IF(INDEX('Fleet dates'!$I$9:$I$1008,$I352-8)="","",INDEX('Fleet dates'!$I$9:$I$1008,$I352-8)))</x:f>
      </x:c>
      <x:c r="I352" t="str">
        <x:f>IF(344&gt;$H$4,"",MATCH(344,'Fleet dates'!$J$9:$J$1008,0)+8)</x:f>
      </x:c>
    </x:row>
    <x:row r="353" ht="36" customHeight="1">
      <x:c r="A353" s="50" t="str">
        <x:f>IF(345&gt;$H$4,"",IF(INDEX('Fleet dates'!$A$9:$A$1008,$I353-8)="","",INDEX('Fleet dates'!$A$9:$A$1008,$I353-8)))</x:f>
      </x:c>
      <x:c r="B353" s="50" t="str">
        <x:f>IF(345&gt;$H$4,"",IF(INDEX('Fleet dates'!$B$9:$B$1008,$I353-8)="","",INDEX('Fleet dates'!$B$9:$B$1008,$I353-8)))</x:f>
      </x:c>
      <x:c r="C353" s="51" t="str">
        <x:f>IF(345&gt;$H$4,"",IF(INDEX('Fleet dates'!$C$9:$C$1008,$I353-8)="","",INDEX('Fleet dates'!$C$9:$C$1008,$I353-8)))</x:f>
      </x:c>
      <x:c r="D353" s="51" t="str">
        <x:f>IF(345&gt;$H$4,"",IF(INDEX('Fleet dates'!$D$9:$D$1008,$I353-8)="","",INDEX('Fleet dates'!$D$9:$D$1008,$I353-8)))</x:f>
      </x:c>
      <x:c r="E353" s="51" t="str">
        <x:f>IF(345&gt;$H$4,"",IF(INDEX('Fleet dates'!$E$9:$E$1008,$I353-8)="","",INDEX('Fleet dates'!$E$9:$E$1008,$I353-8)))</x:f>
      </x:c>
      <x:c r="F353" s="51" t="str">
        <x:f>IF(345&gt;$H$4,"",IF(INDEX('Fleet dates'!$F$9:$F$1008,$I353-8)="","",INDEX('Fleet dates'!$F$9:$F$1008,$I353-8)))</x:f>
      </x:c>
      <x:c r="G353" s="50" t="str">
        <x:f>IF(345&gt;$H$4,"",IF(INDEX('Fleet dates'!$G$9:$G$1008,$I353-8)="","",INDEX('Fleet dates'!$G$9:$G$1008,$I353-8)))</x:f>
      </x:c>
      <x:c r="H353" s="50" t="str">
        <x:f>IF(345&gt;$H$4,"",IF(INDEX('Fleet dates'!$I$9:$I$1008,$I353-8)="","",INDEX('Fleet dates'!$I$9:$I$1008,$I353-8)))</x:f>
      </x:c>
      <x:c r="I353" t="str">
        <x:f>IF(345&gt;$H$4,"",MATCH(345,'Fleet dates'!$J$9:$J$1008,0)+8)</x:f>
      </x:c>
    </x:row>
    <x:row r="354" ht="36" customHeight="1">
      <x:c r="A354" s="50" t="str">
        <x:f>IF(346&gt;$H$4,"",IF(INDEX('Fleet dates'!$A$9:$A$1008,$I354-8)="","",INDEX('Fleet dates'!$A$9:$A$1008,$I354-8)))</x:f>
      </x:c>
      <x:c r="B354" s="50" t="str">
        <x:f>IF(346&gt;$H$4,"",IF(INDEX('Fleet dates'!$B$9:$B$1008,$I354-8)="","",INDEX('Fleet dates'!$B$9:$B$1008,$I354-8)))</x:f>
      </x:c>
      <x:c r="C354" s="51" t="str">
        <x:f>IF(346&gt;$H$4,"",IF(INDEX('Fleet dates'!$C$9:$C$1008,$I354-8)="","",INDEX('Fleet dates'!$C$9:$C$1008,$I354-8)))</x:f>
      </x:c>
      <x:c r="D354" s="51" t="str">
        <x:f>IF(346&gt;$H$4,"",IF(INDEX('Fleet dates'!$D$9:$D$1008,$I354-8)="","",INDEX('Fleet dates'!$D$9:$D$1008,$I354-8)))</x:f>
      </x:c>
      <x:c r="E354" s="51" t="str">
        <x:f>IF(346&gt;$H$4,"",IF(INDEX('Fleet dates'!$E$9:$E$1008,$I354-8)="","",INDEX('Fleet dates'!$E$9:$E$1008,$I354-8)))</x:f>
      </x:c>
      <x:c r="F354" s="51" t="str">
        <x:f>IF(346&gt;$H$4,"",IF(INDEX('Fleet dates'!$F$9:$F$1008,$I354-8)="","",INDEX('Fleet dates'!$F$9:$F$1008,$I354-8)))</x:f>
      </x:c>
      <x:c r="G354" s="50" t="str">
        <x:f>IF(346&gt;$H$4,"",IF(INDEX('Fleet dates'!$G$9:$G$1008,$I354-8)="","",INDEX('Fleet dates'!$G$9:$G$1008,$I354-8)))</x:f>
      </x:c>
      <x:c r="H354" s="50" t="str">
        <x:f>IF(346&gt;$H$4,"",IF(INDEX('Fleet dates'!$I$9:$I$1008,$I354-8)="","",INDEX('Fleet dates'!$I$9:$I$1008,$I354-8)))</x:f>
      </x:c>
      <x:c r="I354" t="str">
        <x:f>IF(346&gt;$H$4,"",MATCH(346,'Fleet dates'!$J$9:$J$1008,0)+8)</x:f>
      </x:c>
    </x:row>
    <x:row r="355" ht="36" customHeight="1">
      <x:c r="A355" s="50" t="str">
        <x:f>IF(347&gt;$H$4,"",IF(INDEX('Fleet dates'!$A$9:$A$1008,$I355-8)="","",INDEX('Fleet dates'!$A$9:$A$1008,$I355-8)))</x:f>
      </x:c>
      <x:c r="B355" s="50" t="str">
        <x:f>IF(347&gt;$H$4,"",IF(INDEX('Fleet dates'!$B$9:$B$1008,$I355-8)="","",INDEX('Fleet dates'!$B$9:$B$1008,$I355-8)))</x:f>
      </x:c>
      <x:c r="C355" s="51" t="str">
        <x:f>IF(347&gt;$H$4,"",IF(INDEX('Fleet dates'!$C$9:$C$1008,$I355-8)="","",INDEX('Fleet dates'!$C$9:$C$1008,$I355-8)))</x:f>
      </x:c>
      <x:c r="D355" s="51" t="str">
        <x:f>IF(347&gt;$H$4,"",IF(INDEX('Fleet dates'!$D$9:$D$1008,$I355-8)="","",INDEX('Fleet dates'!$D$9:$D$1008,$I355-8)))</x:f>
      </x:c>
      <x:c r="E355" s="51" t="str">
        <x:f>IF(347&gt;$H$4,"",IF(INDEX('Fleet dates'!$E$9:$E$1008,$I355-8)="","",INDEX('Fleet dates'!$E$9:$E$1008,$I355-8)))</x:f>
      </x:c>
      <x:c r="F355" s="51" t="str">
        <x:f>IF(347&gt;$H$4,"",IF(INDEX('Fleet dates'!$F$9:$F$1008,$I355-8)="","",INDEX('Fleet dates'!$F$9:$F$1008,$I355-8)))</x:f>
      </x:c>
      <x:c r="G355" s="50" t="str">
        <x:f>IF(347&gt;$H$4,"",IF(INDEX('Fleet dates'!$G$9:$G$1008,$I355-8)="","",INDEX('Fleet dates'!$G$9:$G$1008,$I355-8)))</x:f>
      </x:c>
      <x:c r="H355" s="50" t="str">
        <x:f>IF(347&gt;$H$4,"",IF(INDEX('Fleet dates'!$I$9:$I$1008,$I355-8)="","",INDEX('Fleet dates'!$I$9:$I$1008,$I355-8)))</x:f>
      </x:c>
      <x:c r="I355" t="str">
        <x:f>IF(347&gt;$H$4,"",MATCH(347,'Fleet dates'!$J$9:$J$1008,0)+8)</x:f>
      </x:c>
    </x:row>
    <x:row r="356" ht="36" customHeight="1">
      <x:c r="A356" s="50" t="str">
        <x:f>IF(348&gt;$H$4,"",IF(INDEX('Fleet dates'!$A$9:$A$1008,$I356-8)="","",INDEX('Fleet dates'!$A$9:$A$1008,$I356-8)))</x:f>
      </x:c>
      <x:c r="B356" s="50" t="str">
        <x:f>IF(348&gt;$H$4,"",IF(INDEX('Fleet dates'!$B$9:$B$1008,$I356-8)="","",INDEX('Fleet dates'!$B$9:$B$1008,$I356-8)))</x:f>
      </x:c>
      <x:c r="C356" s="51" t="str">
        <x:f>IF(348&gt;$H$4,"",IF(INDEX('Fleet dates'!$C$9:$C$1008,$I356-8)="","",INDEX('Fleet dates'!$C$9:$C$1008,$I356-8)))</x:f>
      </x:c>
      <x:c r="D356" s="51" t="str">
        <x:f>IF(348&gt;$H$4,"",IF(INDEX('Fleet dates'!$D$9:$D$1008,$I356-8)="","",INDEX('Fleet dates'!$D$9:$D$1008,$I356-8)))</x:f>
      </x:c>
      <x:c r="E356" s="51" t="str">
        <x:f>IF(348&gt;$H$4,"",IF(INDEX('Fleet dates'!$E$9:$E$1008,$I356-8)="","",INDEX('Fleet dates'!$E$9:$E$1008,$I356-8)))</x:f>
      </x:c>
      <x:c r="F356" s="51" t="str">
        <x:f>IF(348&gt;$H$4,"",IF(INDEX('Fleet dates'!$F$9:$F$1008,$I356-8)="","",INDEX('Fleet dates'!$F$9:$F$1008,$I356-8)))</x:f>
      </x:c>
      <x:c r="G356" s="50" t="str">
        <x:f>IF(348&gt;$H$4,"",IF(INDEX('Fleet dates'!$G$9:$G$1008,$I356-8)="","",INDEX('Fleet dates'!$G$9:$G$1008,$I356-8)))</x:f>
      </x:c>
      <x:c r="H356" s="50" t="str">
        <x:f>IF(348&gt;$H$4,"",IF(INDEX('Fleet dates'!$I$9:$I$1008,$I356-8)="","",INDEX('Fleet dates'!$I$9:$I$1008,$I356-8)))</x:f>
      </x:c>
      <x:c r="I356" t="str">
        <x:f>IF(348&gt;$H$4,"",MATCH(348,'Fleet dates'!$J$9:$J$1008,0)+8)</x:f>
      </x:c>
    </x:row>
    <x:row r="357" ht="36" customHeight="1">
      <x:c r="A357" s="50" t="str">
        <x:f>IF(349&gt;$H$4,"",IF(INDEX('Fleet dates'!$A$9:$A$1008,$I357-8)="","",INDEX('Fleet dates'!$A$9:$A$1008,$I357-8)))</x:f>
      </x:c>
      <x:c r="B357" s="50" t="str">
        <x:f>IF(349&gt;$H$4,"",IF(INDEX('Fleet dates'!$B$9:$B$1008,$I357-8)="","",INDEX('Fleet dates'!$B$9:$B$1008,$I357-8)))</x:f>
      </x:c>
      <x:c r="C357" s="51" t="str">
        <x:f>IF(349&gt;$H$4,"",IF(INDEX('Fleet dates'!$C$9:$C$1008,$I357-8)="","",INDEX('Fleet dates'!$C$9:$C$1008,$I357-8)))</x:f>
      </x:c>
      <x:c r="D357" s="51" t="str">
        <x:f>IF(349&gt;$H$4,"",IF(INDEX('Fleet dates'!$D$9:$D$1008,$I357-8)="","",INDEX('Fleet dates'!$D$9:$D$1008,$I357-8)))</x:f>
      </x:c>
      <x:c r="E357" s="51" t="str">
        <x:f>IF(349&gt;$H$4,"",IF(INDEX('Fleet dates'!$E$9:$E$1008,$I357-8)="","",INDEX('Fleet dates'!$E$9:$E$1008,$I357-8)))</x:f>
      </x:c>
      <x:c r="F357" s="51" t="str">
        <x:f>IF(349&gt;$H$4,"",IF(INDEX('Fleet dates'!$F$9:$F$1008,$I357-8)="","",INDEX('Fleet dates'!$F$9:$F$1008,$I357-8)))</x:f>
      </x:c>
      <x:c r="G357" s="50" t="str">
        <x:f>IF(349&gt;$H$4,"",IF(INDEX('Fleet dates'!$G$9:$G$1008,$I357-8)="","",INDEX('Fleet dates'!$G$9:$G$1008,$I357-8)))</x:f>
      </x:c>
      <x:c r="H357" s="50" t="str">
        <x:f>IF(349&gt;$H$4,"",IF(INDEX('Fleet dates'!$I$9:$I$1008,$I357-8)="","",INDEX('Fleet dates'!$I$9:$I$1008,$I357-8)))</x:f>
      </x:c>
      <x:c r="I357" t="str">
        <x:f>IF(349&gt;$H$4,"",MATCH(349,'Fleet dates'!$J$9:$J$1008,0)+8)</x:f>
      </x:c>
    </x:row>
    <x:row r="358" ht="36" customHeight="1">
      <x:c r="A358" s="50" t="str">
        <x:f>IF(350&gt;$H$4,"",IF(INDEX('Fleet dates'!$A$9:$A$1008,$I358-8)="","",INDEX('Fleet dates'!$A$9:$A$1008,$I358-8)))</x:f>
      </x:c>
      <x:c r="B358" s="50" t="str">
        <x:f>IF(350&gt;$H$4,"",IF(INDEX('Fleet dates'!$B$9:$B$1008,$I358-8)="","",INDEX('Fleet dates'!$B$9:$B$1008,$I358-8)))</x:f>
      </x:c>
      <x:c r="C358" s="51" t="str">
        <x:f>IF(350&gt;$H$4,"",IF(INDEX('Fleet dates'!$C$9:$C$1008,$I358-8)="","",INDEX('Fleet dates'!$C$9:$C$1008,$I358-8)))</x:f>
      </x:c>
      <x:c r="D358" s="51" t="str">
        <x:f>IF(350&gt;$H$4,"",IF(INDEX('Fleet dates'!$D$9:$D$1008,$I358-8)="","",INDEX('Fleet dates'!$D$9:$D$1008,$I358-8)))</x:f>
      </x:c>
      <x:c r="E358" s="51" t="str">
        <x:f>IF(350&gt;$H$4,"",IF(INDEX('Fleet dates'!$E$9:$E$1008,$I358-8)="","",INDEX('Fleet dates'!$E$9:$E$1008,$I358-8)))</x:f>
      </x:c>
      <x:c r="F358" s="51" t="str">
        <x:f>IF(350&gt;$H$4,"",IF(INDEX('Fleet dates'!$F$9:$F$1008,$I358-8)="","",INDEX('Fleet dates'!$F$9:$F$1008,$I358-8)))</x:f>
      </x:c>
      <x:c r="G358" s="50" t="str">
        <x:f>IF(350&gt;$H$4,"",IF(INDEX('Fleet dates'!$G$9:$G$1008,$I358-8)="","",INDEX('Fleet dates'!$G$9:$G$1008,$I358-8)))</x:f>
      </x:c>
      <x:c r="H358" s="50" t="str">
        <x:f>IF(350&gt;$H$4,"",IF(INDEX('Fleet dates'!$I$9:$I$1008,$I358-8)="","",INDEX('Fleet dates'!$I$9:$I$1008,$I358-8)))</x:f>
      </x:c>
      <x:c r="I358" t="str">
        <x:f>IF(350&gt;$H$4,"",MATCH(350,'Fleet dates'!$J$9:$J$1008,0)+8)</x:f>
      </x:c>
    </x:row>
    <x:row r="359" ht="36" customHeight="1">
      <x:c r="A359" s="50" t="str">
        <x:f>IF(351&gt;$H$4,"",IF(INDEX('Fleet dates'!$A$9:$A$1008,$I359-8)="","",INDEX('Fleet dates'!$A$9:$A$1008,$I359-8)))</x:f>
      </x:c>
      <x:c r="B359" s="50" t="str">
        <x:f>IF(351&gt;$H$4,"",IF(INDEX('Fleet dates'!$B$9:$B$1008,$I359-8)="","",INDEX('Fleet dates'!$B$9:$B$1008,$I359-8)))</x:f>
      </x:c>
      <x:c r="C359" s="51" t="str">
        <x:f>IF(351&gt;$H$4,"",IF(INDEX('Fleet dates'!$C$9:$C$1008,$I359-8)="","",INDEX('Fleet dates'!$C$9:$C$1008,$I359-8)))</x:f>
      </x:c>
      <x:c r="D359" s="51" t="str">
        <x:f>IF(351&gt;$H$4,"",IF(INDEX('Fleet dates'!$D$9:$D$1008,$I359-8)="","",INDEX('Fleet dates'!$D$9:$D$1008,$I359-8)))</x:f>
      </x:c>
      <x:c r="E359" s="51" t="str">
        <x:f>IF(351&gt;$H$4,"",IF(INDEX('Fleet dates'!$E$9:$E$1008,$I359-8)="","",INDEX('Fleet dates'!$E$9:$E$1008,$I359-8)))</x:f>
      </x:c>
      <x:c r="F359" s="51" t="str">
        <x:f>IF(351&gt;$H$4,"",IF(INDEX('Fleet dates'!$F$9:$F$1008,$I359-8)="","",INDEX('Fleet dates'!$F$9:$F$1008,$I359-8)))</x:f>
      </x:c>
      <x:c r="G359" s="50" t="str">
        <x:f>IF(351&gt;$H$4,"",IF(INDEX('Fleet dates'!$G$9:$G$1008,$I359-8)="","",INDEX('Fleet dates'!$G$9:$G$1008,$I359-8)))</x:f>
      </x:c>
      <x:c r="H359" s="50" t="str">
        <x:f>IF(351&gt;$H$4,"",IF(INDEX('Fleet dates'!$I$9:$I$1008,$I359-8)="","",INDEX('Fleet dates'!$I$9:$I$1008,$I359-8)))</x:f>
      </x:c>
      <x:c r="I359" t="str">
        <x:f>IF(351&gt;$H$4,"",MATCH(351,'Fleet dates'!$J$9:$J$1008,0)+8)</x:f>
      </x:c>
    </x:row>
    <x:row r="360" ht="36" customHeight="1">
      <x:c r="A360" s="50" t="str">
        <x:f>IF(352&gt;$H$4,"",IF(INDEX('Fleet dates'!$A$9:$A$1008,$I360-8)="","",INDEX('Fleet dates'!$A$9:$A$1008,$I360-8)))</x:f>
      </x:c>
      <x:c r="B360" s="50" t="str">
        <x:f>IF(352&gt;$H$4,"",IF(INDEX('Fleet dates'!$B$9:$B$1008,$I360-8)="","",INDEX('Fleet dates'!$B$9:$B$1008,$I360-8)))</x:f>
      </x:c>
      <x:c r="C360" s="51" t="str">
        <x:f>IF(352&gt;$H$4,"",IF(INDEX('Fleet dates'!$C$9:$C$1008,$I360-8)="","",INDEX('Fleet dates'!$C$9:$C$1008,$I360-8)))</x:f>
      </x:c>
      <x:c r="D360" s="51" t="str">
        <x:f>IF(352&gt;$H$4,"",IF(INDEX('Fleet dates'!$D$9:$D$1008,$I360-8)="","",INDEX('Fleet dates'!$D$9:$D$1008,$I360-8)))</x:f>
      </x:c>
      <x:c r="E360" s="51" t="str">
        <x:f>IF(352&gt;$H$4,"",IF(INDEX('Fleet dates'!$E$9:$E$1008,$I360-8)="","",INDEX('Fleet dates'!$E$9:$E$1008,$I360-8)))</x:f>
      </x:c>
      <x:c r="F360" s="51" t="str">
        <x:f>IF(352&gt;$H$4,"",IF(INDEX('Fleet dates'!$F$9:$F$1008,$I360-8)="","",INDEX('Fleet dates'!$F$9:$F$1008,$I360-8)))</x:f>
      </x:c>
      <x:c r="G360" s="50" t="str">
        <x:f>IF(352&gt;$H$4,"",IF(INDEX('Fleet dates'!$G$9:$G$1008,$I360-8)="","",INDEX('Fleet dates'!$G$9:$G$1008,$I360-8)))</x:f>
      </x:c>
      <x:c r="H360" s="50" t="str">
        <x:f>IF(352&gt;$H$4,"",IF(INDEX('Fleet dates'!$I$9:$I$1008,$I360-8)="","",INDEX('Fleet dates'!$I$9:$I$1008,$I360-8)))</x:f>
      </x:c>
      <x:c r="I360" t="str">
        <x:f>IF(352&gt;$H$4,"",MATCH(352,'Fleet dates'!$J$9:$J$1008,0)+8)</x:f>
      </x:c>
    </x:row>
    <x:row r="361" ht="36" customHeight="1">
      <x:c r="A361" s="50" t="str">
        <x:f>IF(353&gt;$H$4,"",IF(INDEX('Fleet dates'!$A$9:$A$1008,$I361-8)="","",INDEX('Fleet dates'!$A$9:$A$1008,$I361-8)))</x:f>
      </x:c>
      <x:c r="B361" s="50" t="str">
        <x:f>IF(353&gt;$H$4,"",IF(INDEX('Fleet dates'!$B$9:$B$1008,$I361-8)="","",INDEX('Fleet dates'!$B$9:$B$1008,$I361-8)))</x:f>
      </x:c>
      <x:c r="C361" s="51" t="str">
        <x:f>IF(353&gt;$H$4,"",IF(INDEX('Fleet dates'!$C$9:$C$1008,$I361-8)="","",INDEX('Fleet dates'!$C$9:$C$1008,$I361-8)))</x:f>
      </x:c>
      <x:c r="D361" s="51" t="str">
        <x:f>IF(353&gt;$H$4,"",IF(INDEX('Fleet dates'!$D$9:$D$1008,$I361-8)="","",INDEX('Fleet dates'!$D$9:$D$1008,$I361-8)))</x:f>
      </x:c>
      <x:c r="E361" s="51" t="str">
        <x:f>IF(353&gt;$H$4,"",IF(INDEX('Fleet dates'!$E$9:$E$1008,$I361-8)="","",INDEX('Fleet dates'!$E$9:$E$1008,$I361-8)))</x:f>
      </x:c>
      <x:c r="F361" s="51" t="str">
        <x:f>IF(353&gt;$H$4,"",IF(INDEX('Fleet dates'!$F$9:$F$1008,$I361-8)="","",INDEX('Fleet dates'!$F$9:$F$1008,$I361-8)))</x:f>
      </x:c>
      <x:c r="G361" s="50" t="str">
        <x:f>IF(353&gt;$H$4,"",IF(INDEX('Fleet dates'!$G$9:$G$1008,$I361-8)="","",INDEX('Fleet dates'!$G$9:$G$1008,$I361-8)))</x:f>
      </x:c>
      <x:c r="H361" s="50" t="str">
        <x:f>IF(353&gt;$H$4,"",IF(INDEX('Fleet dates'!$I$9:$I$1008,$I361-8)="","",INDEX('Fleet dates'!$I$9:$I$1008,$I361-8)))</x:f>
      </x:c>
      <x:c r="I361" t="str">
        <x:f>IF(353&gt;$H$4,"",MATCH(353,'Fleet dates'!$J$9:$J$1008,0)+8)</x:f>
      </x:c>
    </x:row>
    <x:row r="362" ht="36" customHeight="1">
      <x:c r="A362" s="50" t="str">
        <x:f>IF(354&gt;$H$4,"",IF(INDEX('Fleet dates'!$A$9:$A$1008,$I362-8)="","",INDEX('Fleet dates'!$A$9:$A$1008,$I362-8)))</x:f>
      </x:c>
      <x:c r="B362" s="50" t="str">
        <x:f>IF(354&gt;$H$4,"",IF(INDEX('Fleet dates'!$B$9:$B$1008,$I362-8)="","",INDEX('Fleet dates'!$B$9:$B$1008,$I362-8)))</x:f>
      </x:c>
      <x:c r="C362" s="51" t="str">
        <x:f>IF(354&gt;$H$4,"",IF(INDEX('Fleet dates'!$C$9:$C$1008,$I362-8)="","",INDEX('Fleet dates'!$C$9:$C$1008,$I362-8)))</x:f>
      </x:c>
      <x:c r="D362" s="51" t="str">
        <x:f>IF(354&gt;$H$4,"",IF(INDEX('Fleet dates'!$D$9:$D$1008,$I362-8)="","",INDEX('Fleet dates'!$D$9:$D$1008,$I362-8)))</x:f>
      </x:c>
      <x:c r="E362" s="51" t="str">
        <x:f>IF(354&gt;$H$4,"",IF(INDEX('Fleet dates'!$E$9:$E$1008,$I362-8)="","",INDEX('Fleet dates'!$E$9:$E$1008,$I362-8)))</x:f>
      </x:c>
      <x:c r="F362" s="51" t="str">
        <x:f>IF(354&gt;$H$4,"",IF(INDEX('Fleet dates'!$F$9:$F$1008,$I362-8)="","",INDEX('Fleet dates'!$F$9:$F$1008,$I362-8)))</x:f>
      </x:c>
      <x:c r="G362" s="50" t="str">
        <x:f>IF(354&gt;$H$4,"",IF(INDEX('Fleet dates'!$G$9:$G$1008,$I362-8)="","",INDEX('Fleet dates'!$G$9:$G$1008,$I362-8)))</x:f>
      </x:c>
      <x:c r="H362" s="50" t="str">
        <x:f>IF(354&gt;$H$4,"",IF(INDEX('Fleet dates'!$I$9:$I$1008,$I362-8)="","",INDEX('Fleet dates'!$I$9:$I$1008,$I362-8)))</x:f>
      </x:c>
      <x:c r="I362" t="str">
        <x:f>IF(354&gt;$H$4,"",MATCH(354,'Fleet dates'!$J$9:$J$1008,0)+8)</x:f>
      </x:c>
    </x:row>
    <x:row r="363" ht="36" customHeight="1">
      <x:c r="A363" s="50" t="str">
        <x:f>IF(355&gt;$H$4,"",IF(INDEX('Fleet dates'!$A$9:$A$1008,$I363-8)="","",INDEX('Fleet dates'!$A$9:$A$1008,$I363-8)))</x:f>
      </x:c>
      <x:c r="B363" s="50" t="str">
        <x:f>IF(355&gt;$H$4,"",IF(INDEX('Fleet dates'!$B$9:$B$1008,$I363-8)="","",INDEX('Fleet dates'!$B$9:$B$1008,$I363-8)))</x:f>
      </x:c>
      <x:c r="C363" s="51" t="str">
        <x:f>IF(355&gt;$H$4,"",IF(INDEX('Fleet dates'!$C$9:$C$1008,$I363-8)="","",INDEX('Fleet dates'!$C$9:$C$1008,$I363-8)))</x:f>
      </x:c>
      <x:c r="D363" s="51" t="str">
        <x:f>IF(355&gt;$H$4,"",IF(INDEX('Fleet dates'!$D$9:$D$1008,$I363-8)="","",INDEX('Fleet dates'!$D$9:$D$1008,$I363-8)))</x:f>
      </x:c>
      <x:c r="E363" s="51" t="str">
        <x:f>IF(355&gt;$H$4,"",IF(INDEX('Fleet dates'!$E$9:$E$1008,$I363-8)="","",INDEX('Fleet dates'!$E$9:$E$1008,$I363-8)))</x:f>
      </x:c>
      <x:c r="F363" s="51" t="str">
        <x:f>IF(355&gt;$H$4,"",IF(INDEX('Fleet dates'!$F$9:$F$1008,$I363-8)="","",INDEX('Fleet dates'!$F$9:$F$1008,$I363-8)))</x:f>
      </x:c>
      <x:c r="G363" s="50" t="str">
        <x:f>IF(355&gt;$H$4,"",IF(INDEX('Fleet dates'!$G$9:$G$1008,$I363-8)="","",INDEX('Fleet dates'!$G$9:$G$1008,$I363-8)))</x:f>
      </x:c>
      <x:c r="H363" s="50" t="str">
        <x:f>IF(355&gt;$H$4,"",IF(INDEX('Fleet dates'!$I$9:$I$1008,$I363-8)="","",INDEX('Fleet dates'!$I$9:$I$1008,$I363-8)))</x:f>
      </x:c>
      <x:c r="I363" t="str">
        <x:f>IF(355&gt;$H$4,"",MATCH(355,'Fleet dates'!$J$9:$J$1008,0)+8)</x:f>
      </x:c>
    </x:row>
    <x:row r="364" ht="36" customHeight="1">
      <x:c r="A364" s="50" t="str">
        <x:f>IF(356&gt;$H$4,"",IF(INDEX('Fleet dates'!$A$9:$A$1008,$I364-8)="","",INDEX('Fleet dates'!$A$9:$A$1008,$I364-8)))</x:f>
      </x:c>
      <x:c r="B364" s="50" t="str">
        <x:f>IF(356&gt;$H$4,"",IF(INDEX('Fleet dates'!$B$9:$B$1008,$I364-8)="","",INDEX('Fleet dates'!$B$9:$B$1008,$I364-8)))</x:f>
      </x:c>
      <x:c r="C364" s="51" t="str">
        <x:f>IF(356&gt;$H$4,"",IF(INDEX('Fleet dates'!$C$9:$C$1008,$I364-8)="","",INDEX('Fleet dates'!$C$9:$C$1008,$I364-8)))</x:f>
      </x:c>
      <x:c r="D364" s="51" t="str">
        <x:f>IF(356&gt;$H$4,"",IF(INDEX('Fleet dates'!$D$9:$D$1008,$I364-8)="","",INDEX('Fleet dates'!$D$9:$D$1008,$I364-8)))</x:f>
      </x:c>
      <x:c r="E364" s="51" t="str">
        <x:f>IF(356&gt;$H$4,"",IF(INDEX('Fleet dates'!$E$9:$E$1008,$I364-8)="","",INDEX('Fleet dates'!$E$9:$E$1008,$I364-8)))</x:f>
      </x:c>
      <x:c r="F364" s="51" t="str">
        <x:f>IF(356&gt;$H$4,"",IF(INDEX('Fleet dates'!$F$9:$F$1008,$I364-8)="","",INDEX('Fleet dates'!$F$9:$F$1008,$I364-8)))</x:f>
      </x:c>
      <x:c r="G364" s="50" t="str">
        <x:f>IF(356&gt;$H$4,"",IF(INDEX('Fleet dates'!$G$9:$G$1008,$I364-8)="","",INDEX('Fleet dates'!$G$9:$G$1008,$I364-8)))</x:f>
      </x:c>
      <x:c r="H364" s="50" t="str">
        <x:f>IF(356&gt;$H$4,"",IF(INDEX('Fleet dates'!$I$9:$I$1008,$I364-8)="","",INDEX('Fleet dates'!$I$9:$I$1008,$I364-8)))</x:f>
      </x:c>
      <x:c r="I364" t="str">
        <x:f>IF(356&gt;$H$4,"",MATCH(356,'Fleet dates'!$J$9:$J$1008,0)+8)</x:f>
      </x:c>
    </x:row>
    <x:row r="365" ht="36" customHeight="1">
      <x:c r="A365" s="50" t="str">
        <x:f>IF(357&gt;$H$4,"",IF(INDEX('Fleet dates'!$A$9:$A$1008,$I365-8)="","",INDEX('Fleet dates'!$A$9:$A$1008,$I365-8)))</x:f>
      </x:c>
      <x:c r="B365" s="50" t="str">
        <x:f>IF(357&gt;$H$4,"",IF(INDEX('Fleet dates'!$B$9:$B$1008,$I365-8)="","",INDEX('Fleet dates'!$B$9:$B$1008,$I365-8)))</x:f>
      </x:c>
      <x:c r="C365" s="51" t="str">
        <x:f>IF(357&gt;$H$4,"",IF(INDEX('Fleet dates'!$C$9:$C$1008,$I365-8)="","",INDEX('Fleet dates'!$C$9:$C$1008,$I365-8)))</x:f>
      </x:c>
      <x:c r="D365" s="51" t="str">
        <x:f>IF(357&gt;$H$4,"",IF(INDEX('Fleet dates'!$D$9:$D$1008,$I365-8)="","",INDEX('Fleet dates'!$D$9:$D$1008,$I365-8)))</x:f>
      </x:c>
      <x:c r="E365" s="51" t="str">
        <x:f>IF(357&gt;$H$4,"",IF(INDEX('Fleet dates'!$E$9:$E$1008,$I365-8)="","",INDEX('Fleet dates'!$E$9:$E$1008,$I365-8)))</x:f>
      </x:c>
      <x:c r="F365" s="51" t="str">
        <x:f>IF(357&gt;$H$4,"",IF(INDEX('Fleet dates'!$F$9:$F$1008,$I365-8)="","",INDEX('Fleet dates'!$F$9:$F$1008,$I365-8)))</x:f>
      </x:c>
      <x:c r="G365" s="50" t="str">
        <x:f>IF(357&gt;$H$4,"",IF(INDEX('Fleet dates'!$G$9:$G$1008,$I365-8)="","",INDEX('Fleet dates'!$G$9:$G$1008,$I365-8)))</x:f>
      </x:c>
      <x:c r="H365" s="50" t="str">
        <x:f>IF(357&gt;$H$4,"",IF(INDEX('Fleet dates'!$I$9:$I$1008,$I365-8)="","",INDEX('Fleet dates'!$I$9:$I$1008,$I365-8)))</x:f>
      </x:c>
      <x:c r="I365" t="str">
        <x:f>IF(357&gt;$H$4,"",MATCH(357,'Fleet dates'!$J$9:$J$1008,0)+8)</x:f>
      </x:c>
    </x:row>
    <x:row r="366" ht="36" customHeight="1">
      <x:c r="A366" s="50" t="str">
        <x:f>IF(358&gt;$H$4,"",IF(INDEX('Fleet dates'!$A$9:$A$1008,$I366-8)="","",INDEX('Fleet dates'!$A$9:$A$1008,$I366-8)))</x:f>
      </x:c>
      <x:c r="B366" s="50" t="str">
        <x:f>IF(358&gt;$H$4,"",IF(INDEX('Fleet dates'!$B$9:$B$1008,$I366-8)="","",INDEX('Fleet dates'!$B$9:$B$1008,$I366-8)))</x:f>
      </x:c>
      <x:c r="C366" s="51" t="str">
        <x:f>IF(358&gt;$H$4,"",IF(INDEX('Fleet dates'!$C$9:$C$1008,$I366-8)="","",INDEX('Fleet dates'!$C$9:$C$1008,$I366-8)))</x:f>
      </x:c>
      <x:c r="D366" s="51" t="str">
        <x:f>IF(358&gt;$H$4,"",IF(INDEX('Fleet dates'!$D$9:$D$1008,$I366-8)="","",INDEX('Fleet dates'!$D$9:$D$1008,$I366-8)))</x:f>
      </x:c>
      <x:c r="E366" s="51" t="str">
        <x:f>IF(358&gt;$H$4,"",IF(INDEX('Fleet dates'!$E$9:$E$1008,$I366-8)="","",INDEX('Fleet dates'!$E$9:$E$1008,$I366-8)))</x:f>
      </x:c>
      <x:c r="F366" s="51" t="str">
        <x:f>IF(358&gt;$H$4,"",IF(INDEX('Fleet dates'!$F$9:$F$1008,$I366-8)="","",INDEX('Fleet dates'!$F$9:$F$1008,$I366-8)))</x:f>
      </x:c>
      <x:c r="G366" s="50" t="str">
        <x:f>IF(358&gt;$H$4,"",IF(INDEX('Fleet dates'!$G$9:$G$1008,$I366-8)="","",INDEX('Fleet dates'!$G$9:$G$1008,$I366-8)))</x:f>
      </x:c>
      <x:c r="H366" s="50" t="str">
        <x:f>IF(358&gt;$H$4,"",IF(INDEX('Fleet dates'!$I$9:$I$1008,$I366-8)="","",INDEX('Fleet dates'!$I$9:$I$1008,$I366-8)))</x:f>
      </x:c>
      <x:c r="I366" t="str">
        <x:f>IF(358&gt;$H$4,"",MATCH(358,'Fleet dates'!$J$9:$J$1008,0)+8)</x:f>
      </x:c>
    </x:row>
    <x:row r="367" ht="36" customHeight="1">
      <x:c r="A367" s="50" t="str">
        <x:f>IF(359&gt;$H$4,"",IF(INDEX('Fleet dates'!$A$9:$A$1008,$I367-8)="","",INDEX('Fleet dates'!$A$9:$A$1008,$I367-8)))</x:f>
      </x:c>
      <x:c r="B367" s="50" t="str">
        <x:f>IF(359&gt;$H$4,"",IF(INDEX('Fleet dates'!$B$9:$B$1008,$I367-8)="","",INDEX('Fleet dates'!$B$9:$B$1008,$I367-8)))</x:f>
      </x:c>
      <x:c r="C367" s="51" t="str">
        <x:f>IF(359&gt;$H$4,"",IF(INDEX('Fleet dates'!$C$9:$C$1008,$I367-8)="","",INDEX('Fleet dates'!$C$9:$C$1008,$I367-8)))</x:f>
      </x:c>
      <x:c r="D367" s="51" t="str">
        <x:f>IF(359&gt;$H$4,"",IF(INDEX('Fleet dates'!$D$9:$D$1008,$I367-8)="","",INDEX('Fleet dates'!$D$9:$D$1008,$I367-8)))</x:f>
      </x:c>
      <x:c r="E367" s="51" t="str">
        <x:f>IF(359&gt;$H$4,"",IF(INDEX('Fleet dates'!$E$9:$E$1008,$I367-8)="","",INDEX('Fleet dates'!$E$9:$E$1008,$I367-8)))</x:f>
      </x:c>
      <x:c r="F367" s="51" t="str">
        <x:f>IF(359&gt;$H$4,"",IF(INDEX('Fleet dates'!$F$9:$F$1008,$I367-8)="","",INDEX('Fleet dates'!$F$9:$F$1008,$I367-8)))</x:f>
      </x:c>
      <x:c r="G367" s="50" t="str">
        <x:f>IF(359&gt;$H$4,"",IF(INDEX('Fleet dates'!$G$9:$G$1008,$I367-8)="","",INDEX('Fleet dates'!$G$9:$G$1008,$I367-8)))</x:f>
      </x:c>
      <x:c r="H367" s="50" t="str">
        <x:f>IF(359&gt;$H$4,"",IF(INDEX('Fleet dates'!$I$9:$I$1008,$I367-8)="","",INDEX('Fleet dates'!$I$9:$I$1008,$I367-8)))</x:f>
      </x:c>
      <x:c r="I367" t="str">
        <x:f>IF(359&gt;$H$4,"",MATCH(359,'Fleet dates'!$J$9:$J$1008,0)+8)</x:f>
      </x:c>
    </x:row>
    <x:row r="368" ht="36" customHeight="1">
      <x:c r="A368" s="50" t="str">
        <x:f>IF(360&gt;$H$4,"",IF(INDEX('Fleet dates'!$A$9:$A$1008,$I368-8)="","",INDEX('Fleet dates'!$A$9:$A$1008,$I368-8)))</x:f>
      </x:c>
      <x:c r="B368" s="50" t="str">
        <x:f>IF(360&gt;$H$4,"",IF(INDEX('Fleet dates'!$B$9:$B$1008,$I368-8)="","",INDEX('Fleet dates'!$B$9:$B$1008,$I368-8)))</x:f>
      </x:c>
      <x:c r="C368" s="51" t="str">
        <x:f>IF(360&gt;$H$4,"",IF(INDEX('Fleet dates'!$C$9:$C$1008,$I368-8)="","",INDEX('Fleet dates'!$C$9:$C$1008,$I368-8)))</x:f>
      </x:c>
      <x:c r="D368" s="51" t="str">
        <x:f>IF(360&gt;$H$4,"",IF(INDEX('Fleet dates'!$D$9:$D$1008,$I368-8)="","",INDEX('Fleet dates'!$D$9:$D$1008,$I368-8)))</x:f>
      </x:c>
      <x:c r="E368" s="51" t="str">
        <x:f>IF(360&gt;$H$4,"",IF(INDEX('Fleet dates'!$E$9:$E$1008,$I368-8)="","",INDEX('Fleet dates'!$E$9:$E$1008,$I368-8)))</x:f>
      </x:c>
      <x:c r="F368" s="51" t="str">
        <x:f>IF(360&gt;$H$4,"",IF(INDEX('Fleet dates'!$F$9:$F$1008,$I368-8)="","",INDEX('Fleet dates'!$F$9:$F$1008,$I368-8)))</x:f>
      </x:c>
      <x:c r="G368" s="50" t="str">
        <x:f>IF(360&gt;$H$4,"",IF(INDEX('Fleet dates'!$G$9:$G$1008,$I368-8)="","",INDEX('Fleet dates'!$G$9:$G$1008,$I368-8)))</x:f>
      </x:c>
      <x:c r="H368" s="50" t="str">
        <x:f>IF(360&gt;$H$4,"",IF(INDEX('Fleet dates'!$I$9:$I$1008,$I368-8)="","",INDEX('Fleet dates'!$I$9:$I$1008,$I368-8)))</x:f>
      </x:c>
      <x:c r="I368" t="str">
        <x:f>IF(360&gt;$H$4,"",MATCH(360,'Fleet dates'!$J$9:$J$1008,0)+8)</x:f>
      </x:c>
    </x:row>
    <x:row r="369" ht="36" customHeight="1">
      <x:c r="A369" s="50" t="str">
        <x:f>IF(361&gt;$H$4,"",IF(INDEX('Fleet dates'!$A$9:$A$1008,$I369-8)="","",INDEX('Fleet dates'!$A$9:$A$1008,$I369-8)))</x:f>
      </x:c>
      <x:c r="B369" s="50" t="str">
        <x:f>IF(361&gt;$H$4,"",IF(INDEX('Fleet dates'!$B$9:$B$1008,$I369-8)="","",INDEX('Fleet dates'!$B$9:$B$1008,$I369-8)))</x:f>
      </x:c>
      <x:c r="C369" s="51" t="str">
        <x:f>IF(361&gt;$H$4,"",IF(INDEX('Fleet dates'!$C$9:$C$1008,$I369-8)="","",INDEX('Fleet dates'!$C$9:$C$1008,$I369-8)))</x:f>
      </x:c>
      <x:c r="D369" s="51" t="str">
        <x:f>IF(361&gt;$H$4,"",IF(INDEX('Fleet dates'!$D$9:$D$1008,$I369-8)="","",INDEX('Fleet dates'!$D$9:$D$1008,$I369-8)))</x:f>
      </x:c>
      <x:c r="E369" s="51" t="str">
        <x:f>IF(361&gt;$H$4,"",IF(INDEX('Fleet dates'!$E$9:$E$1008,$I369-8)="","",INDEX('Fleet dates'!$E$9:$E$1008,$I369-8)))</x:f>
      </x:c>
      <x:c r="F369" s="51" t="str">
        <x:f>IF(361&gt;$H$4,"",IF(INDEX('Fleet dates'!$F$9:$F$1008,$I369-8)="","",INDEX('Fleet dates'!$F$9:$F$1008,$I369-8)))</x:f>
      </x:c>
      <x:c r="G369" s="50" t="str">
        <x:f>IF(361&gt;$H$4,"",IF(INDEX('Fleet dates'!$G$9:$G$1008,$I369-8)="","",INDEX('Fleet dates'!$G$9:$G$1008,$I369-8)))</x:f>
      </x:c>
      <x:c r="H369" s="50" t="str">
        <x:f>IF(361&gt;$H$4,"",IF(INDEX('Fleet dates'!$I$9:$I$1008,$I369-8)="","",INDEX('Fleet dates'!$I$9:$I$1008,$I369-8)))</x:f>
      </x:c>
      <x:c r="I369" t="str">
        <x:f>IF(361&gt;$H$4,"",MATCH(361,'Fleet dates'!$J$9:$J$1008,0)+8)</x:f>
      </x:c>
    </x:row>
    <x:row r="370" ht="36" customHeight="1">
      <x:c r="A370" s="50" t="str">
        <x:f>IF(362&gt;$H$4,"",IF(INDEX('Fleet dates'!$A$9:$A$1008,$I370-8)="","",INDEX('Fleet dates'!$A$9:$A$1008,$I370-8)))</x:f>
      </x:c>
      <x:c r="B370" s="50" t="str">
        <x:f>IF(362&gt;$H$4,"",IF(INDEX('Fleet dates'!$B$9:$B$1008,$I370-8)="","",INDEX('Fleet dates'!$B$9:$B$1008,$I370-8)))</x:f>
      </x:c>
      <x:c r="C370" s="51" t="str">
        <x:f>IF(362&gt;$H$4,"",IF(INDEX('Fleet dates'!$C$9:$C$1008,$I370-8)="","",INDEX('Fleet dates'!$C$9:$C$1008,$I370-8)))</x:f>
      </x:c>
      <x:c r="D370" s="51" t="str">
        <x:f>IF(362&gt;$H$4,"",IF(INDEX('Fleet dates'!$D$9:$D$1008,$I370-8)="","",INDEX('Fleet dates'!$D$9:$D$1008,$I370-8)))</x:f>
      </x:c>
      <x:c r="E370" s="51" t="str">
        <x:f>IF(362&gt;$H$4,"",IF(INDEX('Fleet dates'!$E$9:$E$1008,$I370-8)="","",INDEX('Fleet dates'!$E$9:$E$1008,$I370-8)))</x:f>
      </x:c>
      <x:c r="F370" s="51" t="str">
        <x:f>IF(362&gt;$H$4,"",IF(INDEX('Fleet dates'!$F$9:$F$1008,$I370-8)="","",INDEX('Fleet dates'!$F$9:$F$1008,$I370-8)))</x:f>
      </x:c>
      <x:c r="G370" s="50" t="str">
        <x:f>IF(362&gt;$H$4,"",IF(INDEX('Fleet dates'!$G$9:$G$1008,$I370-8)="","",INDEX('Fleet dates'!$G$9:$G$1008,$I370-8)))</x:f>
      </x:c>
      <x:c r="H370" s="50" t="str">
        <x:f>IF(362&gt;$H$4,"",IF(INDEX('Fleet dates'!$I$9:$I$1008,$I370-8)="","",INDEX('Fleet dates'!$I$9:$I$1008,$I370-8)))</x:f>
      </x:c>
      <x:c r="I370" t="str">
        <x:f>IF(362&gt;$H$4,"",MATCH(362,'Fleet dates'!$J$9:$J$1008,0)+8)</x:f>
      </x:c>
    </x:row>
    <x:row r="371" ht="36" customHeight="1">
      <x:c r="A371" s="50" t="str">
        <x:f>IF(363&gt;$H$4,"",IF(INDEX('Fleet dates'!$A$9:$A$1008,$I371-8)="","",INDEX('Fleet dates'!$A$9:$A$1008,$I371-8)))</x:f>
      </x:c>
      <x:c r="B371" s="50" t="str">
        <x:f>IF(363&gt;$H$4,"",IF(INDEX('Fleet dates'!$B$9:$B$1008,$I371-8)="","",INDEX('Fleet dates'!$B$9:$B$1008,$I371-8)))</x:f>
      </x:c>
      <x:c r="C371" s="51" t="str">
        <x:f>IF(363&gt;$H$4,"",IF(INDEX('Fleet dates'!$C$9:$C$1008,$I371-8)="","",INDEX('Fleet dates'!$C$9:$C$1008,$I371-8)))</x:f>
      </x:c>
      <x:c r="D371" s="51" t="str">
        <x:f>IF(363&gt;$H$4,"",IF(INDEX('Fleet dates'!$D$9:$D$1008,$I371-8)="","",INDEX('Fleet dates'!$D$9:$D$1008,$I371-8)))</x:f>
      </x:c>
      <x:c r="E371" s="51" t="str">
        <x:f>IF(363&gt;$H$4,"",IF(INDEX('Fleet dates'!$E$9:$E$1008,$I371-8)="","",INDEX('Fleet dates'!$E$9:$E$1008,$I371-8)))</x:f>
      </x:c>
      <x:c r="F371" s="51" t="str">
        <x:f>IF(363&gt;$H$4,"",IF(INDEX('Fleet dates'!$F$9:$F$1008,$I371-8)="","",INDEX('Fleet dates'!$F$9:$F$1008,$I371-8)))</x:f>
      </x:c>
      <x:c r="G371" s="50" t="str">
        <x:f>IF(363&gt;$H$4,"",IF(INDEX('Fleet dates'!$G$9:$G$1008,$I371-8)="","",INDEX('Fleet dates'!$G$9:$G$1008,$I371-8)))</x:f>
      </x:c>
      <x:c r="H371" s="50" t="str">
        <x:f>IF(363&gt;$H$4,"",IF(INDEX('Fleet dates'!$I$9:$I$1008,$I371-8)="","",INDEX('Fleet dates'!$I$9:$I$1008,$I371-8)))</x:f>
      </x:c>
      <x:c r="I371" t="str">
        <x:f>IF(363&gt;$H$4,"",MATCH(363,'Fleet dates'!$J$9:$J$1008,0)+8)</x:f>
      </x:c>
    </x:row>
    <x:row r="372" ht="36" customHeight="1">
      <x:c r="A372" s="50" t="str">
        <x:f>IF(364&gt;$H$4,"",IF(INDEX('Fleet dates'!$A$9:$A$1008,$I372-8)="","",INDEX('Fleet dates'!$A$9:$A$1008,$I372-8)))</x:f>
      </x:c>
      <x:c r="B372" s="50" t="str">
        <x:f>IF(364&gt;$H$4,"",IF(INDEX('Fleet dates'!$B$9:$B$1008,$I372-8)="","",INDEX('Fleet dates'!$B$9:$B$1008,$I372-8)))</x:f>
      </x:c>
      <x:c r="C372" s="51" t="str">
        <x:f>IF(364&gt;$H$4,"",IF(INDEX('Fleet dates'!$C$9:$C$1008,$I372-8)="","",INDEX('Fleet dates'!$C$9:$C$1008,$I372-8)))</x:f>
      </x:c>
      <x:c r="D372" s="51" t="str">
        <x:f>IF(364&gt;$H$4,"",IF(INDEX('Fleet dates'!$D$9:$D$1008,$I372-8)="","",INDEX('Fleet dates'!$D$9:$D$1008,$I372-8)))</x:f>
      </x:c>
      <x:c r="E372" s="51" t="str">
        <x:f>IF(364&gt;$H$4,"",IF(INDEX('Fleet dates'!$E$9:$E$1008,$I372-8)="","",INDEX('Fleet dates'!$E$9:$E$1008,$I372-8)))</x:f>
      </x:c>
      <x:c r="F372" s="51" t="str">
        <x:f>IF(364&gt;$H$4,"",IF(INDEX('Fleet dates'!$F$9:$F$1008,$I372-8)="","",INDEX('Fleet dates'!$F$9:$F$1008,$I372-8)))</x:f>
      </x:c>
      <x:c r="G372" s="50" t="str">
        <x:f>IF(364&gt;$H$4,"",IF(INDEX('Fleet dates'!$G$9:$G$1008,$I372-8)="","",INDEX('Fleet dates'!$G$9:$G$1008,$I372-8)))</x:f>
      </x:c>
      <x:c r="H372" s="50" t="str">
        <x:f>IF(364&gt;$H$4,"",IF(INDEX('Fleet dates'!$I$9:$I$1008,$I372-8)="","",INDEX('Fleet dates'!$I$9:$I$1008,$I372-8)))</x:f>
      </x:c>
      <x:c r="I372" t="str">
        <x:f>IF(364&gt;$H$4,"",MATCH(364,'Fleet dates'!$J$9:$J$1008,0)+8)</x:f>
      </x:c>
    </x:row>
    <x:row r="373" ht="36" customHeight="1">
      <x:c r="A373" s="50" t="str">
        <x:f>IF(365&gt;$H$4,"",IF(INDEX('Fleet dates'!$A$9:$A$1008,$I373-8)="","",INDEX('Fleet dates'!$A$9:$A$1008,$I373-8)))</x:f>
      </x:c>
      <x:c r="B373" s="50" t="str">
        <x:f>IF(365&gt;$H$4,"",IF(INDEX('Fleet dates'!$B$9:$B$1008,$I373-8)="","",INDEX('Fleet dates'!$B$9:$B$1008,$I373-8)))</x:f>
      </x:c>
      <x:c r="C373" s="51" t="str">
        <x:f>IF(365&gt;$H$4,"",IF(INDEX('Fleet dates'!$C$9:$C$1008,$I373-8)="","",INDEX('Fleet dates'!$C$9:$C$1008,$I373-8)))</x:f>
      </x:c>
      <x:c r="D373" s="51" t="str">
        <x:f>IF(365&gt;$H$4,"",IF(INDEX('Fleet dates'!$D$9:$D$1008,$I373-8)="","",INDEX('Fleet dates'!$D$9:$D$1008,$I373-8)))</x:f>
      </x:c>
      <x:c r="E373" s="51" t="str">
        <x:f>IF(365&gt;$H$4,"",IF(INDEX('Fleet dates'!$E$9:$E$1008,$I373-8)="","",INDEX('Fleet dates'!$E$9:$E$1008,$I373-8)))</x:f>
      </x:c>
      <x:c r="F373" s="51" t="str">
        <x:f>IF(365&gt;$H$4,"",IF(INDEX('Fleet dates'!$F$9:$F$1008,$I373-8)="","",INDEX('Fleet dates'!$F$9:$F$1008,$I373-8)))</x:f>
      </x:c>
      <x:c r="G373" s="50" t="str">
        <x:f>IF(365&gt;$H$4,"",IF(INDEX('Fleet dates'!$G$9:$G$1008,$I373-8)="","",INDEX('Fleet dates'!$G$9:$G$1008,$I373-8)))</x:f>
      </x:c>
      <x:c r="H373" s="50" t="str">
        <x:f>IF(365&gt;$H$4,"",IF(INDEX('Fleet dates'!$I$9:$I$1008,$I373-8)="","",INDEX('Fleet dates'!$I$9:$I$1008,$I373-8)))</x:f>
      </x:c>
      <x:c r="I373" t="str">
        <x:f>IF(365&gt;$H$4,"",MATCH(365,'Fleet dates'!$J$9:$J$1008,0)+8)</x:f>
      </x:c>
    </x:row>
    <x:row r="374" ht="36" customHeight="1">
      <x:c r="A374" s="50" t="str">
        <x:f>IF(366&gt;$H$4,"",IF(INDEX('Fleet dates'!$A$9:$A$1008,$I374-8)="","",INDEX('Fleet dates'!$A$9:$A$1008,$I374-8)))</x:f>
      </x:c>
      <x:c r="B374" s="50" t="str">
        <x:f>IF(366&gt;$H$4,"",IF(INDEX('Fleet dates'!$B$9:$B$1008,$I374-8)="","",INDEX('Fleet dates'!$B$9:$B$1008,$I374-8)))</x:f>
      </x:c>
      <x:c r="C374" s="51" t="str">
        <x:f>IF(366&gt;$H$4,"",IF(INDEX('Fleet dates'!$C$9:$C$1008,$I374-8)="","",INDEX('Fleet dates'!$C$9:$C$1008,$I374-8)))</x:f>
      </x:c>
      <x:c r="D374" s="51" t="str">
        <x:f>IF(366&gt;$H$4,"",IF(INDEX('Fleet dates'!$D$9:$D$1008,$I374-8)="","",INDEX('Fleet dates'!$D$9:$D$1008,$I374-8)))</x:f>
      </x:c>
      <x:c r="E374" s="51" t="str">
        <x:f>IF(366&gt;$H$4,"",IF(INDEX('Fleet dates'!$E$9:$E$1008,$I374-8)="","",INDEX('Fleet dates'!$E$9:$E$1008,$I374-8)))</x:f>
      </x:c>
      <x:c r="F374" s="51" t="str">
        <x:f>IF(366&gt;$H$4,"",IF(INDEX('Fleet dates'!$F$9:$F$1008,$I374-8)="","",INDEX('Fleet dates'!$F$9:$F$1008,$I374-8)))</x:f>
      </x:c>
      <x:c r="G374" s="50" t="str">
        <x:f>IF(366&gt;$H$4,"",IF(INDEX('Fleet dates'!$G$9:$G$1008,$I374-8)="","",INDEX('Fleet dates'!$G$9:$G$1008,$I374-8)))</x:f>
      </x:c>
      <x:c r="H374" s="50" t="str">
        <x:f>IF(366&gt;$H$4,"",IF(INDEX('Fleet dates'!$I$9:$I$1008,$I374-8)="","",INDEX('Fleet dates'!$I$9:$I$1008,$I374-8)))</x:f>
      </x:c>
      <x:c r="I374" t="str">
        <x:f>IF(366&gt;$H$4,"",MATCH(366,'Fleet dates'!$J$9:$J$1008,0)+8)</x:f>
      </x:c>
    </x:row>
    <x:row r="375" ht="36" customHeight="1">
      <x:c r="A375" s="50" t="str">
        <x:f>IF(367&gt;$H$4,"",IF(INDEX('Fleet dates'!$A$9:$A$1008,$I375-8)="","",INDEX('Fleet dates'!$A$9:$A$1008,$I375-8)))</x:f>
      </x:c>
      <x:c r="B375" s="50" t="str">
        <x:f>IF(367&gt;$H$4,"",IF(INDEX('Fleet dates'!$B$9:$B$1008,$I375-8)="","",INDEX('Fleet dates'!$B$9:$B$1008,$I375-8)))</x:f>
      </x:c>
      <x:c r="C375" s="51" t="str">
        <x:f>IF(367&gt;$H$4,"",IF(INDEX('Fleet dates'!$C$9:$C$1008,$I375-8)="","",INDEX('Fleet dates'!$C$9:$C$1008,$I375-8)))</x:f>
      </x:c>
      <x:c r="D375" s="51" t="str">
        <x:f>IF(367&gt;$H$4,"",IF(INDEX('Fleet dates'!$D$9:$D$1008,$I375-8)="","",INDEX('Fleet dates'!$D$9:$D$1008,$I375-8)))</x:f>
      </x:c>
      <x:c r="E375" s="51" t="str">
        <x:f>IF(367&gt;$H$4,"",IF(INDEX('Fleet dates'!$E$9:$E$1008,$I375-8)="","",INDEX('Fleet dates'!$E$9:$E$1008,$I375-8)))</x:f>
      </x:c>
      <x:c r="F375" s="51" t="str">
        <x:f>IF(367&gt;$H$4,"",IF(INDEX('Fleet dates'!$F$9:$F$1008,$I375-8)="","",INDEX('Fleet dates'!$F$9:$F$1008,$I375-8)))</x:f>
      </x:c>
      <x:c r="G375" s="50" t="str">
        <x:f>IF(367&gt;$H$4,"",IF(INDEX('Fleet dates'!$G$9:$G$1008,$I375-8)="","",INDEX('Fleet dates'!$G$9:$G$1008,$I375-8)))</x:f>
      </x:c>
      <x:c r="H375" s="50" t="str">
        <x:f>IF(367&gt;$H$4,"",IF(INDEX('Fleet dates'!$I$9:$I$1008,$I375-8)="","",INDEX('Fleet dates'!$I$9:$I$1008,$I375-8)))</x:f>
      </x:c>
      <x:c r="I375" t="str">
        <x:f>IF(367&gt;$H$4,"",MATCH(367,'Fleet dates'!$J$9:$J$1008,0)+8)</x:f>
      </x:c>
    </x:row>
    <x:row r="376" ht="36" customHeight="1">
      <x:c r="A376" s="50" t="str">
        <x:f>IF(368&gt;$H$4,"",IF(INDEX('Fleet dates'!$A$9:$A$1008,$I376-8)="","",INDEX('Fleet dates'!$A$9:$A$1008,$I376-8)))</x:f>
      </x:c>
      <x:c r="B376" s="50" t="str">
        <x:f>IF(368&gt;$H$4,"",IF(INDEX('Fleet dates'!$B$9:$B$1008,$I376-8)="","",INDEX('Fleet dates'!$B$9:$B$1008,$I376-8)))</x:f>
      </x:c>
      <x:c r="C376" s="51" t="str">
        <x:f>IF(368&gt;$H$4,"",IF(INDEX('Fleet dates'!$C$9:$C$1008,$I376-8)="","",INDEX('Fleet dates'!$C$9:$C$1008,$I376-8)))</x:f>
      </x:c>
      <x:c r="D376" s="51" t="str">
        <x:f>IF(368&gt;$H$4,"",IF(INDEX('Fleet dates'!$D$9:$D$1008,$I376-8)="","",INDEX('Fleet dates'!$D$9:$D$1008,$I376-8)))</x:f>
      </x:c>
      <x:c r="E376" s="51" t="str">
        <x:f>IF(368&gt;$H$4,"",IF(INDEX('Fleet dates'!$E$9:$E$1008,$I376-8)="","",INDEX('Fleet dates'!$E$9:$E$1008,$I376-8)))</x:f>
      </x:c>
      <x:c r="F376" s="51" t="str">
        <x:f>IF(368&gt;$H$4,"",IF(INDEX('Fleet dates'!$F$9:$F$1008,$I376-8)="","",INDEX('Fleet dates'!$F$9:$F$1008,$I376-8)))</x:f>
      </x:c>
      <x:c r="G376" s="50" t="str">
        <x:f>IF(368&gt;$H$4,"",IF(INDEX('Fleet dates'!$G$9:$G$1008,$I376-8)="","",INDEX('Fleet dates'!$G$9:$G$1008,$I376-8)))</x:f>
      </x:c>
      <x:c r="H376" s="50" t="str">
        <x:f>IF(368&gt;$H$4,"",IF(INDEX('Fleet dates'!$I$9:$I$1008,$I376-8)="","",INDEX('Fleet dates'!$I$9:$I$1008,$I376-8)))</x:f>
      </x:c>
      <x:c r="I376" t="str">
        <x:f>IF(368&gt;$H$4,"",MATCH(368,'Fleet dates'!$J$9:$J$1008,0)+8)</x:f>
      </x:c>
    </x:row>
    <x:row r="377" ht="36" customHeight="1">
      <x:c r="A377" s="50" t="str">
        <x:f>IF(369&gt;$H$4,"",IF(INDEX('Fleet dates'!$A$9:$A$1008,$I377-8)="","",INDEX('Fleet dates'!$A$9:$A$1008,$I377-8)))</x:f>
      </x:c>
      <x:c r="B377" s="50" t="str">
        <x:f>IF(369&gt;$H$4,"",IF(INDEX('Fleet dates'!$B$9:$B$1008,$I377-8)="","",INDEX('Fleet dates'!$B$9:$B$1008,$I377-8)))</x:f>
      </x:c>
      <x:c r="C377" s="51" t="str">
        <x:f>IF(369&gt;$H$4,"",IF(INDEX('Fleet dates'!$C$9:$C$1008,$I377-8)="","",INDEX('Fleet dates'!$C$9:$C$1008,$I377-8)))</x:f>
      </x:c>
      <x:c r="D377" s="51" t="str">
        <x:f>IF(369&gt;$H$4,"",IF(INDEX('Fleet dates'!$D$9:$D$1008,$I377-8)="","",INDEX('Fleet dates'!$D$9:$D$1008,$I377-8)))</x:f>
      </x:c>
      <x:c r="E377" s="51" t="str">
        <x:f>IF(369&gt;$H$4,"",IF(INDEX('Fleet dates'!$E$9:$E$1008,$I377-8)="","",INDEX('Fleet dates'!$E$9:$E$1008,$I377-8)))</x:f>
      </x:c>
      <x:c r="F377" s="51" t="str">
        <x:f>IF(369&gt;$H$4,"",IF(INDEX('Fleet dates'!$F$9:$F$1008,$I377-8)="","",INDEX('Fleet dates'!$F$9:$F$1008,$I377-8)))</x:f>
      </x:c>
      <x:c r="G377" s="50" t="str">
        <x:f>IF(369&gt;$H$4,"",IF(INDEX('Fleet dates'!$G$9:$G$1008,$I377-8)="","",INDEX('Fleet dates'!$G$9:$G$1008,$I377-8)))</x:f>
      </x:c>
      <x:c r="H377" s="50" t="str">
        <x:f>IF(369&gt;$H$4,"",IF(INDEX('Fleet dates'!$I$9:$I$1008,$I377-8)="","",INDEX('Fleet dates'!$I$9:$I$1008,$I377-8)))</x:f>
      </x:c>
      <x:c r="I377" t="str">
        <x:f>IF(369&gt;$H$4,"",MATCH(369,'Fleet dates'!$J$9:$J$1008,0)+8)</x:f>
      </x:c>
    </x:row>
    <x:row r="378" ht="36" customHeight="1">
      <x:c r="A378" s="50" t="str">
        <x:f>IF(370&gt;$H$4,"",IF(INDEX('Fleet dates'!$A$9:$A$1008,$I378-8)="","",INDEX('Fleet dates'!$A$9:$A$1008,$I378-8)))</x:f>
      </x:c>
      <x:c r="B378" s="50" t="str">
        <x:f>IF(370&gt;$H$4,"",IF(INDEX('Fleet dates'!$B$9:$B$1008,$I378-8)="","",INDEX('Fleet dates'!$B$9:$B$1008,$I378-8)))</x:f>
      </x:c>
      <x:c r="C378" s="51" t="str">
        <x:f>IF(370&gt;$H$4,"",IF(INDEX('Fleet dates'!$C$9:$C$1008,$I378-8)="","",INDEX('Fleet dates'!$C$9:$C$1008,$I378-8)))</x:f>
      </x:c>
      <x:c r="D378" s="51" t="str">
        <x:f>IF(370&gt;$H$4,"",IF(INDEX('Fleet dates'!$D$9:$D$1008,$I378-8)="","",INDEX('Fleet dates'!$D$9:$D$1008,$I378-8)))</x:f>
      </x:c>
      <x:c r="E378" s="51" t="str">
        <x:f>IF(370&gt;$H$4,"",IF(INDEX('Fleet dates'!$E$9:$E$1008,$I378-8)="","",INDEX('Fleet dates'!$E$9:$E$1008,$I378-8)))</x:f>
      </x:c>
      <x:c r="F378" s="51" t="str">
        <x:f>IF(370&gt;$H$4,"",IF(INDEX('Fleet dates'!$F$9:$F$1008,$I378-8)="","",INDEX('Fleet dates'!$F$9:$F$1008,$I378-8)))</x:f>
      </x:c>
      <x:c r="G378" s="50" t="str">
        <x:f>IF(370&gt;$H$4,"",IF(INDEX('Fleet dates'!$G$9:$G$1008,$I378-8)="","",INDEX('Fleet dates'!$G$9:$G$1008,$I378-8)))</x:f>
      </x:c>
      <x:c r="H378" s="50" t="str">
        <x:f>IF(370&gt;$H$4,"",IF(INDEX('Fleet dates'!$I$9:$I$1008,$I378-8)="","",INDEX('Fleet dates'!$I$9:$I$1008,$I378-8)))</x:f>
      </x:c>
      <x:c r="I378" t="str">
        <x:f>IF(370&gt;$H$4,"",MATCH(370,'Fleet dates'!$J$9:$J$1008,0)+8)</x:f>
      </x:c>
    </x:row>
    <x:row r="379" ht="36" customHeight="1">
      <x:c r="A379" s="50" t="str">
        <x:f>IF(371&gt;$H$4,"",IF(INDEX('Fleet dates'!$A$9:$A$1008,$I379-8)="","",INDEX('Fleet dates'!$A$9:$A$1008,$I379-8)))</x:f>
      </x:c>
      <x:c r="B379" s="50" t="str">
        <x:f>IF(371&gt;$H$4,"",IF(INDEX('Fleet dates'!$B$9:$B$1008,$I379-8)="","",INDEX('Fleet dates'!$B$9:$B$1008,$I379-8)))</x:f>
      </x:c>
      <x:c r="C379" s="51" t="str">
        <x:f>IF(371&gt;$H$4,"",IF(INDEX('Fleet dates'!$C$9:$C$1008,$I379-8)="","",INDEX('Fleet dates'!$C$9:$C$1008,$I379-8)))</x:f>
      </x:c>
      <x:c r="D379" s="51" t="str">
        <x:f>IF(371&gt;$H$4,"",IF(INDEX('Fleet dates'!$D$9:$D$1008,$I379-8)="","",INDEX('Fleet dates'!$D$9:$D$1008,$I379-8)))</x:f>
      </x:c>
      <x:c r="E379" s="51" t="str">
        <x:f>IF(371&gt;$H$4,"",IF(INDEX('Fleet dates'!$E$9:$E$1008,$I379-8)="","",INDEX('Fleet dates'!$E$9:$E$1008,$I379-8)))</x:f>
      </x:c>
      <x:c r="F379" s="51" t="str">
        <x:f>IF(371&gt;$H$4,"",IF(INDEX('Fleet dates'!$F$9:$F$1008,$I379-8)="","",INDEX('Fleet dates'!$F$9:$F$1008,$I379-8)))</x:f>
      </x:c>
      <x:c r="G379" s="50" t="str">
        <x:f>IF(371&gt;$H$4,"",IF(INDEX('Fleet dates'!$G$9:$G$1008,$I379-8)="","",INDEX('Fleet dates'!$G$9:$G$1008,$I379-8)))</x:f>
      </x:c>
      <x:c r="H379" s="50" t="str">
        <x:f>IF(371&gt;$H$4,"",IF(INDEX('Fleet dates'!$I$9:$I$1008,$I379-8)="","",INDEX('Fleet dates'!$I$9:$I$1008,$I379-8)))</x:f>
      </x:c>
      <x:c r="I379" t="str">
        <x:f>IF(371&gt;$H$4,"",MATCH(371,'Fleet dates'!$J$9:$J$1008,0)+8)</x:f>
      </x:c>
    </x:row>
    <x:row r="380" ht="36" customHeight="1">
      <x:c r="A380" s="50" t="str">
        <x:f>IF(372&gt;$H$4,"",IF(INDEX('Fleet dates'!$A$9:$A$1008,$I380-8)="","",INDEX('Fleet dates'!$A$9:$A$1008,$I380-8)))</x:f>
      </x:c>
      <x:c r="B380" s="50" t="str">
        <x:f>IF(372&gt;$H$4,"",IF(INDEX('Fleet dates'!$B$9:$B$1008,$I380-8)="","",INDEX('Fleet dates'!$B$9:$B$1008,$I380-8)))</x:f>
      </x:c>
      <x:c r="C380" s="51" t="str">
        <x:f>IF(372&gt;$H$4,"",IF(INDEX('Fleet dates'!$C$9:$C$1008,$I380-8)="","",INDEX('Fleet dates'!$C$9:$C$1008,$I380-8)))</x:f>
      </x:c>
      <x:c r="D380" s="51" t="str">
        <x:f>IF(372&gt;$H$4,"",IF(INDEX('Fleet dates'!$D$9:$D$1008,$I380-8)="","",INDEX('Fleet dates'!$D$9:$D$1008,$I380-8)))</x:f>
      </x:c>
      <x:c r="E380" s="51" t="str">
        <x:f>IF(372&gt;$H$4,"",IF(INDEX('Fleet dates'!$E$9:$E$1008,$I380-8)="","",INDEX('Fleet dates'!$E$9:$E$1008,$I380-8)))</x:f>
      </x:c>
      <x:c r="F380" s="51" t="str">
        <x:f>IF(372&gt;$H$4,"",IF(INDEX('Fleet dates'!$F$9:$F$1008,$I380-8)="","",INDEX('Fleet dates'!$F$9:$F$1008,$I380-8)))</x:f>
      </x:c>
      <x:c r="G380" s="50" t="str">
        <x:f>IF(372&gt;$H$4,"",IF(INDEX('Fleet dates'!$G$9:$G$1008,$I380-8)="","",INDEX('Fleet dates'!$G$9:$G$1008,$I380-8)))</x:f>
      </x:c>
      <x:c r="H380" s="50" t="str">
        <x:f>IF(372&gt;$H$4,"",IF(INDEX('Fleet dates'!$I$9:$I$1008,$I380-8)="","",INDEX('Fleet dates'!$I$9:$I$1008,$I380-8)))</x:f>
      </x:c>
      <x:c r="I380" t="str">
        <x:f>IF(372&gt;$H$4,"",MATCH(372,'Fleet dates'!$J$9:$J$1008,0)+8)</x:f>
      </x:c>
    </x:row>
    <x:row r="381" ht="36" customHeight="1">
      <x:c r="A381" s="50" t="str">
        <x:f>IF(373&gt;$H$4,"",IF(INDEX('Fleet dates'!$A$9:$A$1008,$I381-8)="","",INDEX('Fleet dates'!$A$9:$A$1008,$I381-8)))</x:f>
      </x:c>
      <x:c r="B381" s="50" t="str">
        <x:f>IF(373&gt;$H$4,"",IF(INDEX('Fleet dates'!$B$9:$B$1008,$I381-8)="","",INDEX('Fleet dates'!$B$9:$B$1008,$I381-8)))</x:f>
      </x:c>
      <x:c r="C381" s="51" t="str">
        <x:f>IF(373&gt;$H$4,"",IF(INDEX('Fleet dates'!$C$9:$C$1008,$I381-8)="","",INDEX('Fleet dates'!$C$9:$C$1008,$I381-8)))</x:f>
      </x:c>
      <x:c r="D381" s="51" t="str">
        <x:f>IF(373&gt;$H$4,"",IF(INDEX('Fleet dates'!$D$9:$D$1008,$I381-8)="","",INDEX('Fleet dates'!$D$9:$D$1008,$I381-8)))</x:f>
      </x:c>
      <x:c r="E381" s="51" t="str">
        <x:f>IF(373&gt;$H$4,"",IF(INDEX('Fleet dates'!$E$9:$E$1008,$I381-8)="","",INDEX('Fleet dates'!$E$9:$E$1008,$I381-8)))</x:f>
      </x:c>
      <x:c r="F381" s="51" t="str">
        <x:f>IF(373&gt;$H$4,"",IF(INDEX('Fleet dates'!$F$9:$F$1008,$I381-8)="","",INDEX('Fleet dates'!$F$9:$F$1008,$I381-8)))</x:f>
      </x:c>
      <x:c r="G381" s="50" t="str">
        <x:f>IF(373&gt;$H$4,"",IF(INDEX('Fleet dates'!$G$9:$G$1008,$I381-8)="","",INDEX('Fleet dates'!$G$9:$G$1008,$I381-8)))</x:f>
      </x:c>
      <x:c r="H381" s="50" t="str">
        <x:f>IF(373&gt;$H$4,"",IF(INDEX('Fleet dates'!$I$9:$I$1008,$I381-8)="","",INDEX('Fleet dates'!$I$9:$I$1008,$I381-8)))</x:f>
      </x:c>
      <x:c r="I381" t="str">
        <x:f>IF(373&gt;$H$4,"",MATCH(373,'Fleet dates'!$J$9:$J$1008,0)+8)</x:f>
      </x:c>
    </x:row>
    <x:row r="382" ht="36" customHeight="1">
      <x:c r="A382" s="50" t="str">
        <x:f>IF(374&gt;$H$4,"",IF(INDEX('Fleet dates'!$A$9:$A$1008,$I382-8)="","",INDEX('Fleet dates'!$A$9:$A$1008,$I382-8)))</x:f>
      </x:c>
      <x:c r="B382" s="50" t="str">
        <x:f>IF(374&gt;$H$4,"",IF(INDEX('Fleet dates'!$B$9:$B$1008,$I382-8)="","",INDEX('Fleet dates'!$B$9:$B$1008,$I382-8)))</x:f>
      </x:c>
      <x:c r="C382" s="51" t="str">
        <x:f>IF(374&gt;$H$4,"",IF(INDEX('Fleet dates'!$C$9:$C$1008,$I382-8)="","",INDEX('Fleet dates'!$C$9:$C$1008,$I382-8)))</x:f>
      </x:c>
      <x:c r="D382" s="51" t="str">
        <x:f>IF(374&gt;$H$4,"",IF(INDEX('Fleet dates'!$D$9:$D$1008,$I382-8)="","",INDEX('Fleet dates'!$D$9:$D$1008,$I382-8)))</x:f>
      </x:c>
      <x:c r="E382" s="51" t="str">
        <x:f>IF(374&gt;$H$4,"",IF(INDEX('Fleet dates'!$E$9:$E$1008,$I382-8)="","",INDEX('Fleet dates'!$E$9:$E$1008,$I382-8)))</x:f>
      </x:c>
      <x:c r="F382" s="51" t="str">
        <x:f>IF(374&gt;$H$4,"",IF(INDEX('Fleet dates'!$F$9:$F$1008,$I382-8)="","",INDEX('Fleet dates'!$F$9:$F$1008,$I382-8)))</x:f>
      </x:c>
      <x:c r="G382" s="50" t="str">
        <x:f>IF(374&gt;$H$4,"",IF(INDEX('Fleet dates'!$G$9:$G$1008,$I382-8)="","",INDEX('Fleet dates'!$G$9:$G$1008,$I382-8)))</x:f>
      </x:c>
      <x:c r="H382" s="50" t="str">
        <x:f>IF(374&gt;$H$4,"",IF(INDEX('Fleet dates'!$I$9:$I$1008,$I382-8)="","",INDEX('Fleet dates'!$I$9:$I$1008,$I382-8)))</x:f>
      </x:c>
      <x:c r="I382" t="str">
        <x:f>IF(374&gt;$H$4,"",MATCH(374,'Fleet dates'!$J$9:$J$1008,0)+8)</x:f>
      </x:c>
    </x:row>
    <x:row r="383" ht="36" customHeight="1">
      <x:c r="A383" s="50" t="str">
        <x:f>IF(375&gt;$H$4,"",IF(INDEX('Fleet dates'!$A$9:$A$1008,$I383-8)="","",INDEX('Fleet dates'!$A$9:$A$1008,$I383-8)))</x:f>
      </x:c>
      <x:c r="B383" s="50" t="str">
        <x:f>IF(375&gt;$H$4,"",IF(INDEX('Fleet dates'!$B$9:$B$1008,$I383-8)="","",INDEX('Fleet dates'!$B$9:$B$1008,$I383-8)))</x:f>
      </x:c>
      <x:c r="C383" s="51" t="str">
        <x:f>IF(375&gt;$H$4,"",IF(INDEX('Fleet dates'!$C$9:$C$1008,$I383-8)="","",INDEX('Fleet dates'!$C$9:$C$1008,$I383-8)))</x:f>
      </x:c>
      <x:c r="D383" s="51" t="str">
        <x:f>IF(375&gt;$H$4,"",IF(INDEX('Fleet dates'!$D$9:$D$1008,$I383-8)="","",INDEX('Fleet dates'!$D$9:$D$1008,$I383-8)))</x:f>
      </x:c>
      <x:c r="E383" s="51" t="str">
        <x:f>IF(375&gt;$H$4,"",IF(INDEX('Fleet dates'!$E$9:$E$1008,$I383-8)="","",INDEX('Fleet dates'!$E$9:$E$1008,$I383-8)))</x:f>
      </x:c>
      <x:c r="F383" s="51" t="str">
        <x:f>IF(375&gt;$H$4,"",IF(INDEX('Fleet dates'!$F$9:$F$1008,$I383-8)="","",INDEX('Fleet dates'!$F$9:$F$1008,$I383-8)))</x:f>
      </x:c>
      <x:c r="G383" s="50" t="str">
        <x:f>IF(375&gt;$H$4,"",IF(INDEX('Fleet dates'!$G$9:$G$1008,$I383-8)="","",INDEX('Fleet dates'!$G$9:$G$1008,$I383-8)))</x:f>
      </x:c>
      <x:c r="H383" s="50" t="str">
        <x:f>IF(375&gt;$H$4,"",IF(INDEX('Fleet dates'!$I$9:$I$1008,$I383-8)="","",INDEX('Fleet dates'!$I$9:$I$1008,$I383-8)))</x:f>
      </x:c>
      <x:c r="I383" t="str">
        <x:f>IF(375&gt;$H$4,"",MATCH(375,'Fleet dates'!$J$9:$J$1008,0)+8)</x:f>
      </x:c>
    </x:row>
    <x:row r="384" ht="36" customHeight="1">
      <x:c r="A384" s="50" t="str">
        <x:f>IF(376&gt;$H$4,"",IF(INDEX('Fleet dates'!$A$9:$A$1008,$I384-8)="","",INDEX('Fleet dates'!$A$9:$A$1008,$I384-8)))</x:f>
      </x:c>
      <x:c r="B384" s="50" t="str">
        <x:f>IF(376&gt;$H$4,"",IF(INDEX('Fleet dates'!$B$9:$B$1008,$I384-8)="","",INDEX('Fleet dates'!$B$9:$B$1008,$I384-8)))</x:f>
      </x:c>
      <x:c r="C384" s="51" t="str">
        <x:f>IF(376&gt;$H$4,"",IF(INDEX('Fleet dates'!$C$9:$C$1008,$I384-8)="","",INDEX('Fleet dates'!$C$9:$C$1008,$I384-8)))</x:f>
      </x:c>
      <x:c r="D384" s="51" t="str">
        <x:f>IF(376&gt;$H$4,"",IF(INDEX('Fleet dates'!$D$9:$D$1008,$I384-8)="","",INDEX('Fleet dates'!$D$9:$D$1008,$I384-8)))</x:f>
      </x:c>
      <x:c r="E384" s="51" t="str">
        <x:f>IF(376&gt;$H$4,"",IF(INDEX('Fleet dates'!$E$9:$E$1008,$I384-8)="","",INDEX('Fleet dates'!$E$9:$E$1008,$I384-8)))</x:f>
      </x:c>
      <x:c r="F384" s="51" t="str">
        <x:f>IF(376&gt;$H$4,"",IF(INDEX('Fleet dates'!$F$9:$F$1008,$I384-8)="","",INDEX('Fleet dates'!$F$9:$F$1008,$I384-8)))</x:f>
      </x:c>
      <x:c r="G384" s="50" t="str">
        <x:f>IF(376&gt;$H$4,"",IF(INDEX('Fleet dates'!$G$9:$G$1008,$I384-8)="","",INDEX('Fleet dates'!$G$9:$G$1008,$I384-8)))</x:f>
      </x:c>
      <x:c r="H384" s="50" t="str">
        <x:f>IF(376&gt;$H$4,"",IF(INDEX('Fleet dates'!$I$9:$I$1008,$I384-8)="","",INDEX('Fleet dates'!$I$9:$I$1008,$I384-8)))</x:f>
      </x:c>
      <x:c r="I384" t="str">
        <x:f>IF(376&gt;$H$4,"",MATCH(376,'Fleet dates'!$J$9:$J$1008,0)+8)</x:f>
      </x:c>
    </x:row>
    <x:row r="385" ht="36" customHeight="1">
      <x:c r="A385" s="50" t="str">
        <x:f>IF(377&gt;$H$4,"",IF(INDEX('Fleet dates'!$A$9:$A$1008,$I385-8)="","",INDEX('Fleet dates'!$A$9:$A$1008,$I385-8)))</x:f>
      </x:c>
      <x:c r="B385" s="50" t="str">
        <x:f>IF(377&gt;$H$4,"",IF(INDEX('Fleet dates'!$B$9:$B$1008,$I385-8)="","",INDEX('Fleet dates'!$B$9:$B$1008,$I385-8)))</x:f>
      </x:c>
      <x:c r="C385" s="51" t="str">
        <x:f>IF(377&gt;$H$4,"",IF(INDEX('Fleet dates'!$C$9:$C$1008,$I385-8)="","",INDEX('Fleet dates'!$C$9:$C$1008,$I385-8)))</x:f>
      </x:c>
      <x:c r="D385" s="51" t="str">
        <x:f>IF(377&gt;$H$4,"",IF(INDEX('Fleet dates'!$D$9:$D$1008,$I385-8)="","",INDEX('Fleet dates'!$D$9:$D$1008,$I385-8)))</x:f>
      </x:c>
      <x:c r="E385" s="51" t="str">
        <x:f>IF(377&gt;$H$4,"",IF(INDEX('Fleet dates'!$E$9:$E$1008,$I385-8)="","",INDEX('Fleet dates'!$E$9:$E$1008,$I385-8)))</x:f>
      </x:c>
      <x:c r="F385" s="51" t="str">
        <x:f>IF(377&gt;$H$4,"",IF(INDEX('Fleet dates'!$F$9:$F$1008,$I385-8)="","",INDEX('Fleet dates'!$F$9:$F$1008,$I385-8)))</x:f>
      </x:c>
      <x:c r="G385" s="50" t="str">
        <x:f>IF(377&gt;$H$4,"",IF(INDEX('Fleet dates'!$G$9:$G$1008,$I385-8)="","",INDEX('Fleet dates'!$G$9:$G$1008,$I385-8)))</x:f>
      </x:c>
      <x:c r="H385" s="50" t="str">
        <x:f>IF(377&gt;$H$4,"",IF(INDEX('Fleet dates'!$I$9:$I$1008,$I385-8)="","",INDEX('Fleet dates'!$I$9:$I$1008,$I385-8)))</x:f>
      </x:c>
      <x:c r="I385" t="str">
        <x:f>IF(377&gt;$H$4,"",MATCH(377,'Fleet dates'!$J$9:$J$1008,0)+8)</x:f>
      </x:c>
    </x:row>
    <x:row r="386" ht="36" customHeight="1">
      <x:c r="A386" s="50" t="str">
        <x:f>IF(378&gt;$H$4,"",IF(INDEX('Fleet dates'!$A$9:$A$1008,$I386-8)="","",INDEX('Fleet dates'!$A$9:$A$1008,$I386-8)))</x:f>
      </x:c>
      <x:c r="B386" s="50" t="str">
        <x:f>IF(378&gt;$H$4,"",IF(INDEX('Fleet dates'!$B$9:$B$1008,$I386-8)="","",INDEX('Fleet dates'!$B$9:$B$1008,$I386-8)))</x:f>
      </x:c>
      <x:c r="C386" s="51" t="str">
        <x:f>IF(378&gt;$H$4,"",IF(INDEX('Fleet dates'!$C$9:$C$1008,$I386-8)="","",INDEX('Fleet dates'!$C$9:$C$1008,$I386-8)))</x:f>
      </x:c>
      <x:c r="D386" s="51" t="str">
        <x:f>IF(378&gt;$H$4,"",IF(INDEX('Fleet dates'!$D$9:$D$1008,$I386-8)="","",INDEX('Fleet dates'!$D$9:$D$1008,$I386-8)))</x:f>
      </x:c>
      <x:c r="E386" s="51" t="str">
        <x:f>IF(378&gt;$H$4,"",IF(INDEX('Fleet dates'!$E$9:$E$1008,$I386-8)="","",INDEX('Fleet dates'!$E$9:$E$1008,$I386-8)))</x:f>
      </x:c>
      <x:c r="F386" s="51" t="str">
        <x:f>IF(378&gt;$H$4,"",IF(INDEX('Fleet dates'!$F$9:$F$1008,$I386-8)="","",INDEX('Fleet dates'!$F$9:$F$1008,$I386-8)))</x:f>
      </x:c>
      <x:c r="G386" s="50" t="str">
        <x:f>IF(378&gt;$H$4,"",IF(INDEX('Fleet dates'!$G$9:$G$1008,$I386-8)="","",INDEX('Fleet dates'!$G$9:$G$1008,$I386-8)))</x:f>
      </x:c>
      <x:c r="H386" s="50" t="str">
        <x:f>IF(378&gt;$H$4,"",IF(INDEX('Fleet dates'!$I$9:$I$1008,$I386-8)="","",INDEX('Fleet dates'!$I$9:$I$1008,$I386-8)))</x:f>
      </x:c>
      <x:c r="I386" t="str">
        <x:f>IF(378&gt;$H$4,"",MATCH(378,'Fleet dates'!$J$9:$J$1008,0)+8)</x:f>
      </x:c>
    </x:row>
    <x:row r="387" ht="36" customHeight="1">
      <x:c r="A387" s="50" t="str">
        <x:f>IF(379&gt;$H$4,"",IF(INDEX('Fleet dates'!$A$9:$A$1008,$I387-8)="","",INDEX('Fleet dates'!$A$9:$A$1008,$I387-8)))</x:f>
      </x:c>
      <x:c r="B387" s="50" t="str">
        <x:f>IF(379&gt;$H$4,"",IF(INDEX('Fleet dates'!$B$9:$B$1008,$I387-8)="","",INDEX('Fleet dates'!$B$9:$B$1008,$I387-8)))</x:f>
      </x:c>
      <x:c r="C387" s="51" t="str">
        <x:f>IF(379&gt;$H$4,"",IF(INDEX('Fleet dates'!$C$9:$C$1008,$I387-8)="","",INDEX('Fleet dates'!$C$9:$C$1008,$I387-8)))</x:f>
      </x:c>
      <x:c r="D387" s="51" t="str">
        <x:f>IF(379&gt;$H$4,"",IF(INDEX('Fleet dates'!$D$9:$D$1008,$I387-8)="","",INDEX('Fleet dates'!$D$9:$D$1008,$I387-8)))</x:f>
      </x:c>
      <x:c r="E387" s="51" t="str">
        <x:f>IF(379&gt;$H$4,"",IF(INDEX('Fleet dates'!$E$9:$E$1008,$I387-8)="","",INDEX('Fleet dates'!$E$9:$E$1008,$I387-8)))</x:f>
      </x:c>
      <x:c r="F387" s="51" t="str">
        <x:f>IF(379&gt;$H$4,"",IF(INDEX('Fleet dates'!$F$9:$F$1008,$I387-8)="","",INDEX('Fleet dates'!$F$9:$F$1008,$I387-8)))</x:f>
      </x:c>
      <x:c r="G387" s="50" t="str">
        <x:f>IF(379&gt;$H$4,"",IF(INDEX('Fleet dates'!$G$9:$G$1008,$I387-8)="","",INDEX('Fleet dates'!$G$9:$G$1008,$I387-8)))</x:f>
      </x:c>
      <x:c r="H387" s="50" t="str">
        <x:f>IF(379&gt;$H$4,"",IF(INDEX('Fleet dates'!$I$9:$I$1008,$I387-8)="","",INDEX('Fleet dates'!$I$9:$I$1008,$I387-8)))</x:f>
      </x:c>
      <x:c r="I387" t="str">
        <x:f>IF(379&gt;$H$4,"",MATCH(379,'Fleet dates'!$J$9:$J$1008,0)+8)</x:f>
      </x:c>
    </x:row>
    <x:row r="388" ht="36" customHeight="1">
      <x:c r="A388" s="50" t="str">
        <x:f>IF(380&gt;$H$4,"",IF(INDEX('Fleet dates'!$A$9:$A$1008,$I388-8)="","",INDEX('Fleet dates'!$A$9:$A$1008,$I388-8)))</x:f>
      </x:c>
      <x:c r="B388" s="50" t="str">
        <x:f>IF(380&gt;$H$4,"",IF(INDEX('Fleet dates'!$B$9:$B$1008,$I388-8)="","",INDEX('Fleet dates'!$B$9:$B$1008,$I388-8)))</x:f>
      </x:c>
      <x:c r="C388" s="51" t="str">
        <x:f>IF(380&gt;$H$4,"",IF(INDEX('Fleet dates'!$C$9:$C$1008,$I388-8)="","",INDEX('Fleet dates'!$C$9:$C$1008,$I388-8)))</x:f>
      </x:c>
      <x:c r="D388" s="51" t="str">
        <x:f>IF(380&gt;$H$4,"",IF(INDEX('Fleet dates'!$D$9:$D$1008,$I388-8)="","",INDEX('Fleet dates'!$D$9:$D$1008,$I388-8)))</x:f>
      </x:c>
      <x:c r="E388" s="51" t="str">
        <x:f>IF(380&gt;$H$4,"",IF(INDEX('Fleet dates'!$E$9:$E$1008,$I388-8)="","",INDEX('Fleet dates'!$E$9:$E$1008,$I388-8)))</x:f>
      </x:c>
      <x:c r="F388" s="51" t="str">
        <x:f>IF(380&gt;$H$4,"",IF(INDEX('Fleet dates'!$F$9:$F$1008,$I388-8)="","",INDEX('Fleet dates'!$F$9:$F$1008,$I388-8)))</x:f>
      </x:c>
      <x:c r="G388" s="50" t="str">
        <x:f>IF(380&gt;$H$4,"",IF(INDEX('Fleet dates'!$G$9:$G$1008,$I388-8)="","",INDEX('Fleet dates'!$G$9:$G$1008,$I388-8)))</x:f>
      </x:c>
      <x:c r="H388" s="50" t="str">
        <x:f>IF(380&gt;$H$4,"",IF(INDEX('Fleet dates'!$I$9:$I$1008,$I388-8)="","",INDEX('Fleet dates'!$I$9:$I$1008,$I388-8)))</x:f>
      </x:c>
      <x:c r="I388" t="str">
        <x:f>IF(380&gt;$H$4,"",MATCH(380,'Fleet dates'!$J$9:$J$1008,0)+8)</x:f>
      </x:c>
    </x:row>
    <x:row r="389" ht="36" customHeight="1">
      <x:c r="A389" s="50" t="str">
        <x:f>IF(381&gt;$H$4,"",IF(INDEX('Fleet dates'!$A$9:$A$1008,$I389-8)="","",INDEX('Fleet dates'!$A$9:$A$1008,$I389-8)))</x:f>
      </x:c>
      <x:c r="B389" s="50" t="str">
        <x:f>IF(381&gt;$H$4,"",IF(INDEX('Fleet dates'!$B$9:$B$1008,$I389-8)="","",INDEX('Fleet dates'!$B$9:$B$1008,$I389-8)))</x:f>
      </x:c>
      <x:c r="C389" s="51" t="str">
        <x:f>IF(381&gt;$H$4,"",IF(INDEX('Fleet dates'!$C$9:$C$1008,$I389-8)="","",INDEX('Fleet dates'!$C$9:$C$1008,$I389-8)))</x:f>
      </x:c>
      <x:c r="D389" s="51" t="str">
        <x:f>IF(381&gt;$H$4,"",IF(INDEX('Fleet dates'!$D$9:$D$1008,$I389-8)="","",INDEX('Fleet dates'!$D$9:$D$1008,$I389-8)))</x:f>
      </x:c>
      <x:c r="E389" s="51" t="str">
        <x:f>IF(381&gt;$H$4,"",IF(INDEX('Fleet dates'!$E$9:$E$1008,$I389-8)="","",INDEX('Fleet dates'!$E$9:$E$1008,$I389-8)))</x:f>
      </x:c>
      <x:c r="F389" s="51" t="str">
        <x:f>IF(381&gt;$H$4,"",IF(INDEX('Fleet dates'!$F$9:$F$1008,$I389-8)="","",INDEX('Fleet dates'!$F$9:$F$1008,$I389-8)))</x:f>
      </x:c>
      <x:c r="G389" s="50" t="str">
        <x:f>IF(381&gt;$H$4,"",IF(INDEX('Fleet dates'!$G$9:$G$1008,$I389-8)="","",INDEX('Fleet dates'!$G$9:$G$1008,$I389-8)))</x:f>
      </x:c>
      <x:c r="H389" s="50" t="str">
        <x:f>IF(381&gt;$H$4,"",IF(INDEX('Fleet dates'!$I$9:$I$1008,$I389-8)="","",INDEX('Fleet dates'!$I$9:$I$1008,$I389-8)))</x:f>
      </x:c>
      <x:c r="I389" t="str">
        <x:f>IF(381&gt;$H$4,"",MATCH(381,'Fleet dates'!$J$9:$J$1008,0)+8)</x:f>
      </x:c>
    </x:row>
    <x:row r="390" ht="36" customHeight="1">
      <x:c r="A390" s="50" t="str">
        <x:f>IF(382&gt;$H$4,"",IF(INDEX('Fleet dates'!$A$9:$A$1008,$I390-8)="","",INDEX('Fleet dates'!$A$9:$A$1008,$I390-8)))</x:f>
      </x:c>
      <x:c r="B390" s="50" t="str">
        <x:f>IF(382&gt;$H$4,"",IF(INDEX('Fleet dates'!$B$9:$B$1008,$I390-8)="","",INDEX('Fleet dates'!$B$9:$B$1008,$I390-8)))</x:f>
      </x:c>
      <x:c r="C390" s="51" t="str">
        <x:f>IF(382&gt;$H$4,"",IF(INDEX('Fleet dates'!$C$9:$C$1008,$I390-8)="","",INDEX('Fleet dates'!$C$9:$C$1008,$I390-8)))</x:f>
      </x:c>
      <x:c r="D390" s="51" t="str">
        <x:f>IF(382&gt;$H$4,"",IF(INDEX('Fleet dates'!$D$9:$D$1008,$I390-8)="","",INDEX('Fleet dates'!$D$9:$D$1008,$I390-8)))</x:f>
      </x:c>
      <x:c r="E390" s="51" t="str">
        <x:f>IF(382&gt;$H$4,"",IF(INDEX('Fleet dates'!$E$9:$E$1008,$I390-8)="","",INDEX('Fleet dates'!$E$9:$E$1008,$I390-8)))</x:f>
      </x:c>
      <x:c r="F390" s="51" t="str">
        <x:f>IF(382&gt;$H$4,"",IF(INDEX('Fleet dates'!$F$9:$F$1008,$I390-8)="","",INDEX('Fleet dates'!$F$9:$F$1008,$I390-8)))</x:f>
      </x:c>
      <x:c r="G390" s="50" t="str">
        <x:f>IF(382&gt;$H$4,"",IF(INDEX('Fleet dates'!$G$9:$G$1008,$I390-8)="","",INDEX('Fleet dates'!$G$9:$G$1008,$I390-8)))</x:f>
      </x:c>
      <x:c r="H390" s="50" t="str">
        <x:f>IF(382&gt;$H$4,"",IF(INDEX('Fleet dates'!$I$9:$I$1008,$I390-8)="","",INDEX('Fleet dates'!$I$9:$I$1008,$I390-8)))</x:f>
      </x:c>
      <x:c r="I390" t="str">
        <x:f>IF(382&gt;$H$4,"",MATCH(382,'Fleet dates'!$J$9:$J$1008,0)+8)</x:f>
      </x:c>
    </x:row>
    <x:row r="391" ht="36" customHeight="1">
      <x:c r="A391" s="50" t="str">
        <x:f>IF(383&gt;$H$4,"",IF(INDEX('Fleet dates'!$A$9:$A$1008,$I391-8)="","",INDEX('Fleet dates'!$A$9:$A$1008,$I391-8)))</x:f>
      </x:c>
      <x:c r="B391" s="50" t="str">
        <x:f>IF(383&gt;$H$4,"",IF(INDEX('Fleet dates'!$B$9:$B$1008,$I391-8)="","",INDEX('Fleet dates'!$B$9:$B$1008,$I391-8)))</x:f>
      </x:c>
      <x:c r="C391" s="51" t="str">
        <x:f>IF(383&gt;$H$4,"",IF(INDEX('Fleet dates'!$C$9:$C$1008,$I391-8)="","",INDEX('Fleet dates'!$C$9:$C$1008,$I391-8)))</x:f>
      </x:c>
      <x:c r="D391" s="51" t="str">
        <x:f>IF(383&gt;$H$4,"",IF(INDEX('Fleet dates'!$D$9:$D$1008,$I391-8)="","",INDEX('Fleet dates'!$D$9:$D$1008,$I391-8)))</x:f>
      </x:c>
      <x:c r="E391" s="51" t="str">
        <x:f>IF(383&gt;$H$4,"",IF(INDEX('Fleet dates'!$E$9:$E$1008,$I391-8)="","",INDEX('Fleet dates'!$E$9:$E$1008,$I391-8)))</x:f>
      </x:c>
      <x:c r="F391" s="51" t="str">
        <x:f>IF(383&gt;$H$4,"",IF(INDEX('Fleet dates'!$F$9:$F$1008,$I391-8)="","",INDEX('Fleet dates'!$F$9:$F$1008,$I391-8)))</x:f>
      </x:c>
      <x:c r="G391" s="50" t="str">
        <x:f>IF(383&gt;$H$4,"",IF(INDEX('Fleet dates'!$G$9:$G$1008,$I391-8)="","",INDEX('Fleet dates'!$G$9:$G$1008,$I391-8)))</x:f>
      </x:c>
      <x:c r="H391" s="50" t="str">
        <x:f>IF(383&gt;$H$4,"",IF(INDEX('Fleet dates'!$I$9:$I$1008,$I391-8)="","",INDEX('Fleet dates'!$I$9:$I$1008,$I391-8)))</x:f>
      </x:c>
      <x:c r="I391" t="str">
        <x:f>IF(383&gt;$H$4,"",MATCH(383,'Fleet dates'!$J$9:$J$1008,0)+8)</x:f>
      </x:c>
    </x:row>
    <x:row r="392" ht="36" customHeight="1">
      <x:c r="A392" s="50" t="str">
        <x:f>IF(384&gt;$H$4,"",IF(INDEX('Fleet dates'!$A$9:$A$1008,$I392-8)="","",INDEX('Fleet dates'!$A$9:$A$1008,$I392-8)))</x:f>
      </x:c>
      <x:c r="B392" s="50" t="str">
        <x:f>IF(384&gt;$H$4,"",IF(INDEX('Fleet dates'!$B$9:$B$1008,$I392-8)="","",INDEX('Fleet dates'!$B$9:$B$1008,$I392-8)))</x:f>
      </x:c>
      <x:c r="C392" s="51" t="str">
        <x:f>IF(384&gt;$H$4,"",IF(INDEX('Fleet dates'!$C$9:$C$1008,$I392-8)="","",INDEX('Fleet dates'!$C$9:$C$1008,$I392-8)))</x:f>
      </x:c>
      <x:c r="D392" s="51" t="str">
        <x:f>IF(384&gt;$H$4,"",IF(INDEX('Fleet dates'!$D$9:$D$1008,$I392-8)="","",INDEX('Fleet dates'!$D$9:$D$1008,$I392-8)))</x:f>
      </x:c>
      <x:c r="E392" s="51" t="str">
        <x:f>IF(384&gt;$H$4,"",IF(INDEX('Fleet dates'!$E$9:$E$1008,$I392-8)="","",INDEX('Fleet dates'!$E$9:$E$1008,$I392-8)))</x:f>
      </x:c>
      <x:c r="F392" s="51" t="str">
        <x:f>IF(384&gt;$H$4,"",IF(INDEX('Fleet dates'!$F$9:$F$1008,$I392-8)="","",INDEX('Fleet dates'!$F$9:$F$1008,$I392-8)))</x:f>
      </x:c>
      <x:c r="G392" s="50" t="str">
        <x:f>IF(384&gt;$H$4,"",IF(INDEX('Fleet dates'!$G$9:$G$1008,$I392-8)="","",INDEX('Fleet dates'!$G$9:$G$1008,$I392-8)))</x:f>
      </x:c>
      <x:c r="H392" s="50" t="str">
        <x:f>IF(384&gt;$H$4,"",IF(INDEX('Fleet dates'!$I$9:$I$1008,$I392-8)="","",INDEX('Fleet dates'!$I$9:$I$1008,$I392-8)))</x:f>
      </x:c>
      <x:c r="I392" t="str">
        <x:f>IF(384&gt;$H$4,"",MATCH(384,'Fleet dates'!$J$9:$J$1008,0)+8)</x:f>
      </x:c>
    </x:row>
    <x:row r="393" ht="36" customHeight="1">
      <x:c r="A393" s="50" t="str">
        <x:f>IF(385&gt;$H$4,"",IF(INDEX('Fleet dates'!$A$9:$A$1008,$I393-8)="","",INDEX('Fleet dates'!$A$9:$A$1008,$I393-8)))</x:f>
      </x:c>
      <x:c r="B393" s="50" t="str">
        <x:f>IF(385&gt;$H$4,"",IF(INDEX('Fleet dates'!$B$9:$B$1008,$I393-8)="","",INDEX('Fleet dates'!$B$9:$B$1008,$I393-8)))</x:f>
      </x:c>
      <x:c r="C393" s="51" t="str">
        <x:f>IF(385&gt;$H$4,"",IF(INDEX('Fleet dates'!$C$9:$C$1008,$I393-8)="","",INDEX('Fleet dates'!$C$9:$C$1008,$I393-8)))</x:f>
      </x:c>
      <x:c r="D393" s="51" t="str">
        <x:f>IF(385&gt;$H$4,"",IF(INDEX('Fleet dates'!$D$9:$D$1008,$I393-8)="","",INDEX('Fleet dates'!$D$9:$D$1008,$I393-8)))</x:f>
      </x:c>
      <x:c r="E393" s="51" t="str">
        <x:f>IF(385&gt;$H$4,"",IF(INDEX('Fleet dates'!$E$9:$E$1008,$I393-8)="","",INDEX('Fleet dates'!$E$9:$E$1008,$I393-8)))</x:f>
      </x:c>
      <x:c r="F393" s="51" t="str">
        <x:f>IF(385&gt;$H$4,"",IF(INDEX('Fleet dates'!$F$9:$F$1008,$I393-8)="","",INDEX('Fleet dates'!$F$9:$F$1008,$I393-8)))</x:f>
      </x:c>
      <x:c r="G393" s="50" t="str">
        <x:f>IF(385&gt;$H$4,"",IF(INDEX('Fleet dates'!$G$9:$G$1008,$I393-8)="","",INDEX('Fleet dates'!$G$9:$G$1008,$I393-8)))</x:f>
      </x:c>
      <x:c r="H393" s="50" t="str">
        <x:f>IF(385&gt;$H$4,"",IF(INDEX('Fleet dates'!$I$9:$I$1008,$I393-8)="","",INDEX('Fleet dates'!$I$9:$I$1008,$I393-8)))</x:f>
      </x:c>
      <x:c r="I393" t="str">
        <x:f>IF(385&gt;$H$4,"",MATCH(385,'Fleet dates'!$J$9:$J$1008,0)+8)</x:f>
      </x:c>
    </x:row>
    <x:row r="394" ht="36" customHeight="1">
      <x:c r="A394" s="50" t="str">
        <x:f>IF(386&gt;$H$4,"",IF(INDEX('Fleet dates'!$A$9:$A$1008,$I394-8)="","",INDEX('Fleet dates'!$A$9:$A$1008,$I394-8)))</x:f>
      </x:c>
      <x:c r="B394" s="50" t="str">
        <x:f>IF(386&gt;$H$4,"",IF(INDEX('Fleet dates'!$B$9:$B$1008,$I394-8)="","",INDEX('Fleet dates'!$B$9:$B$1008,$I394-8)))</x:f>
      </x:c>
      <x:c r="C394" s="51" t="str">
        <x:f>IF(386&gt;$H$4,"",IF(INDEX('Fleet dates'!$C$9:$C$1008,$I394-8)="","",INDEX('Fleet dates'!$C$9:$C$1008,$I394-8)))</x:f>
      </x:c>
      <x:c r="D394" s="51" t="str">
        <x:f>IF(386&gt;$H$4,"",IF(INDEX('Fleet dates'!$D$9:$D$1008,$I394-8)="","",INDEX('Fleet dates'!$D$9:$D$1008,$I394-8)))</x:f>
      </x:c>
      <x:c r="E394" s="51" t="str">
        <x:f>IF(386&gt;$H$4,"",IF(INDEX('Fleet dates'!$E$9:$E$1008,$I394-8)="","",INDEX('Fleet dates'!$E$9:$E$1008,$I394-8)))</x:f>
      </x:c>
      <x:c r="F394" s="51" t="str">
        <x:f>IF(386&gt;$H$4,"",IF(INDEX('Fleet dates'!$F$9:$F$1008,$I394-8)="","",INDEX('Fleet dates'!$F$9:$F$1008,$I394-8)))</x:f>
      </x:c>
      <x:c r="G394" s="50" t="str">
        <x:f>IF(386&gt;$H$4,"",IF(INDEX('Fleet dates'!$G$9:$G$1008,$I394-8)="","",INDEX('Fleet dates'!$G$9:$G$1008,$I394-8)))</x:f>
      </x:c>
      <x:c r="H394" s="50" t="str">
        <x:f>IF(386&gt;$H$4,"",IF(INDEX('Fleet dates'!$I$9:$I$1008,$I394-8)="","",INDEX('Fleet dates'!$I$9:$I$1008,$I394-8)))</x:f>
      </x:c>
      <x:c r="I394" t="str">
        <x:f>IF(386&gt;$H$4,"",MATCH(386,'Fleet dates'!$J$9:$J$1008,0)+8)</x:f>
      </x:c>
    </x:row>
    <x:row r="395" ht="36" customHeight="1">
      <x:c r="A395" s="50" t="str">
        <x:f>IF(387&gt;$H$4,"",IF(INDEX('Fleet dates'!$A$9:$A$1008,$I395-8)="","",INDEX('Fleet dates'!$A$9:$A$1008,$I395-8)))</x:f>
      </x:c>
      <x:c r="B395" s="50" t="str">
        <x:f>IF(387&gt;$H$4,"",IF(INDEX('Fleet dates'!$B$9:$B$1008,$I395-8)="","",INDEX('Fleet dates'!$B$9:$B$1008,$I395-8)))</x:f>
      </x:c>
      <x:c r="C395" s="51" t="str">
        <x:f>IF(387&gt;$H$4,"",IF(INDEX('Fleet dates'!$C$9:$C$1008,$I395-8)="","",INDEX('Fleet dates'!$C$9:$C$1008,$I395-8)))</x:f>
      </x:c>
      <x:c r="D395" s="51" t="str">
        <x:f>IF(387&gt;$H$4,"",IF(INDEX('Fleet dates'!$D$9:$D$1008,$I395-8)="","",INDEX('Fleet dates'!$D$9:$D$1008,$I395-8)))</x:f>
      </x:c>
      <x:c r="E395" s="51" t="str">
        <x:f>IF(387&gt;$H$4,"",IF(INDEX('Fleet dates'!$E$9:$E$1008,$I395-8)="","",INDEX('Fleet dates'!$E$9:$E$1008,$I395-8)))</x:f>
      </x:c>
      <x:c r="F395" s="51" t="str">
        <x:f>IF(387&gt;$H$4,"",IF(INDEX('Fleet dates'!$F$9:$F$1008,$I395-8)="","",INDEX('Fleet dates'!$F$9:$F$1008,$I395-8)))</x:f>
      </x:c>
      <x:c r="G395" s="50" t="str">
        <x:f>IF(387&gt;$H$4,"",IF(INDEX('Fleet dates'!$G$9:$G$1008,$I395-8)="","",INDEX('Fleet dates'!$G$9:$G$1008,$I395-8)))</x:f>
      </x:c>
      <x:c r="H395" s="50" t="str">
        <x:f>IF(387&gt;$H$4,"",IF(INDEX('Fleet dates'!$I$9:$I$1008,$I395-8)="","",INDEX('Fleet dates'!$I$9:$I$1008,$I395-8)))</x:f>
      </x:c>
      <x:c r="I395" t="str">
        <x:f>IF(387&gt;$H$4,"",MATCH(387,'Fleet dates'!$J$9:$J$1008,0)+8)</x:f>
      </x:c>
    </x:row>
    <x:row r="396" ht="36" customHeight="1">
      <x:c r="A396" s="50" t="str">
        <x:f>IF(388&gt;$H$4,"",IF(INDEX('Fleet dates'!$A$9:$A$1008,$I396-8)="","",INDEX('Fleet dates'!$A$9:$A$1008,$I396-8)))</x:f>
      </x:c>
      <x:c r="B396" s="50" t="str">
        <x:f>IF(388&gt;$H$4,"",IF(INDEX('Fleet dates'!$B$9:$B$1008,$I396-8)="","",INDEX('Fleet dates'!$B$9:$B$1008,$I396-8)))</x:f>
      </x:c>
      <x:c r="C396" s="51" t="str">
        <x:f>IF(388&gt;$H$4,"",IF(INDEX('Fleet dates'!$C$9:$C$1008,$I396-8)="","",INDEX('Fleet dates'!$C$9:$C$1008,$I396-8)))</x:f>
      </x:c>
      <x:c r="D396" s="51" t="str">
        <x:f>IF(388&gt;$H$4,"",IF(INDEX('Fleet dates'!$D$9:$D$1008,$I396-8)="","",INDEX('Fleet dates'!$D$9:$D$1008,$I396-8)))</x:f>
      </x:c>
      <x:c r="E396" s="51" t="str">
        <x:f>IF(388&gt;$H$4,"",IF(INDEX('Fleet dates'!$E$9:$E$1008,$I396-8)="","",INDEX('Fleet dates'!$E$9:$E$1008,$I396-8)))</x:f>
      </x:c>
      <x:c r="F396" s="51" t="str">
        <x:f>IF(388&gt;$H$4,"",IF(INDEX('Fleet dates'!$F$9:$F$1008,$I396-8)="","",INDEX('Fleet dates'!$F$9:$F$1008,$I396-8)))</x:f>
      </x:c>
      <x:c r="G396" s="50" t="str">
        <x:f>IF(388&gt;$H$4,"",IF(INDEX('Fleet dates'!$G$9:$G$1008,$I396-8)="","",INDEX('Fleet dates'!$G$9:$G$1008,$I396-8)))</x:f>
      </x:c>
      <x:c r="H396" s="50" t="str">
        <x:f>IF(388&gt;$H$4,"",IF(INDEX('Fleet dates'!$I$9:$I$1008,$I396-8)="","",INDEX('Fleet dates'!$I$9:$I$1008,$I396-8)))</x:f>
      </x:c>
      <x:c r="I396" t="str">
        <x:f>IF(388&gt;$H$4,"",MATCH(388,'Fleet dates'!$J$9:$J$1008,0)+8)</x:f>
      </x:c>
    </x:row>
    <x:row r="397" ht="36" customHeight="1">
      <x:c r="A397" s="50" t="str">
        <x:f>IF(389&gt;$H$4,"",IF(INDEX('Fleet dates'!$A$9:$A$1008,$I397-8)="","",INDEX('Fleet dates'!$A$9:$A$1008,$I397-8)))</x:f>
      </x:c>
      <x:c r="B397" s="50" t="str">
        <x:f>IF(389&gt;$H$4,"",IF(INDEX('Fleet dates'!$B$9:$B$1008,$I397-8)="","",INDEX('Fleet dates'!$B$9:$B$1008,$I397-8)))</x:f>
      </x:c>
      <x:c r="C397" s="51" t="str">
        <x:f>IF(389&gt;$H$4,"",IF(INDEX('Fleet dates'!$C$9:$C$1008,$I397-8)="","",INDEX('Fleet dates'!$C$9:$C$1008,$I397-8)))</x:f>
      </x:c>
      <x:c r="D397" s="51" t="str">
        <x:f>IF(389&gt;$H$4,"",IF(INDEX('Fleet dates'!$D$9:$D$1008,$I397-8)="","",INDEX('Fleet dates'!$D$9:$D$1008,$I397-8)))</x:f>
      </x:c>
      <x:c r="E397" s="51" t="str">
        <x:f>IF(389&gt;$H$4,"",IF(INDEX('Fleet dates'!$E$9:$E$1008,$I397-8)="","",INDEX('Fleet dates'!$E$9:$E$1008,$I397-8)))</x:f>
      </x:c>
      <x:c r="F397" s="51" t="str">
        <x:f>IF(389&gt;$H$4,"",IF(INDEX('Fleet dates'!$F$9:$F$1008,$I397-8)="","",INDEX('Fleet dates'!$F$9:$F$1008,$I397-8)))</x:f>
      </x:c>
      <x:c r="G397" s="50" t="str">
        <x:f>IF(389&gt;$H$4,"",IF(INDEX('Fleet dates'!$G$9:$G$1008,$I397-8)="","",INDEX('Fleet dates'!$G$9:$G$1008,$I397-8)))</x:f>
      </x:c>
      <x:c r="H397" s="50" t="str">
        <x:f>IF(389&gt;$H$4,"",IF(INDEX('Fleet dates'!$I$9:$I$1008,$I397-8)="","",INDEX('Fleet dates'!$I$9:$I$1008,$I397-8)))</x:f>
      </x:c>
      <x:c r="I397" t="str">
        <x:f>IF(389&gt;$H$4,"",MATCH(389,'Fleet dates'!$J$9:$J$1008,0)+8)</x:f>
      </x:c>
    </x:row>
    <x:row r="398" ht="36" customHeight="1">
      <x:c r="A398" s="50" t="str">
        <x:f>IF(390&gt;$H$4,"",IF(INDEX('Fleet dates'!$A$9:$A$1008,$I398-8)="","",INDEX('Fleet dates'!$A$9:$A$1008,$I398-8)))</x:f>
      </x:c>
      <x:c r="B398" s="50" t="str">
        <x:f>IF(390&gt;$H$4,"",IF(INDEX('Fleet dates'!$B$9:$B$1008,$I398-8)="","",INDEX('Fleet dates'!$B$9:$B$1008,$I398-8)))</x:f>
      </x:c>
      <x:c r="C398" s="51" t="str">
        <x:f>IF(390&gt;$H$4,"",IF(INDEX('Fleet dates'!$C$9:$C$1008,$I398-8)="","",INDEX('Fleet dates'!$C$9:$C$1008,$I398-8)))</x:f>
      </x:c>
      <x:c r="D398" s="51" t="str">
        <x:f>IF(390&gt;$H$4,"",IF(INDEX('Fleet dates'!$D$9:$D$1008,$I398-8)="","",INDEX('Fleet dates'!$D$9:$D$1008,$I398-8)))</x:f>
      </x:c>
      <x:c r="E398" s="51" t="str">
        <x:f>IF(390&gt;$H$4,"",IF(INDEX('Fleet dates'!$E$9:$E$1008,$I398-8)="","",INDEX('Fleet dates'!$E$9:$E$1008,$I398-8)))</x:f>
      </x:c>
      <x:c r="F398" s="51" t="str">
        <x:f>IF(390&gt;$H$4,"",IF(INDEX('Fleet dates'!$F$9:$F$1008,$I398-8)="","",INDEX('Fleet dates'!$F$9:$F$1008,$I398-8)))</x:f>
      </x:c>
      <x:c r="G398" s="50" t="str">
        <x:f>IF(390&gt;$H$4,"",IF(INDEX('Fleet dates'!$G$9:$G$1008,$I398-8)="","",INDEX('Fleet dates'!$G$9:$G$1008,$I398-8)))</x:f>
      </x:c>
      <x:c r="H398" s="50" t="str">
        <x:f>IF(390&gt;$H$4,"",IF(INDEX('Fleet dates'!$I$9:$I$1008,$I398-8)="","",INDEX('Fleet dates'!$I$9:$I$1008,$I398-8)))</x:f>
      </x:c>
      <x:c r="I398" t="str">
        <x:f>IF(390&gt;$H$4,"",MATCH(390,'Fleet dates'!$J$9:$J$1008,0)+8)</x:f>
      </x:c>
    </x:row>
    <x:row r="399" ht="36" customHeight="1">
      <x:c r="A399" s="50" t="str">
        <x:f>IF(391&gt;$H$4,"",IF(INDEX('Fleet dates'!$A$9:$A$1008,$I399-8)="","",INDEX('Fleet dates'!$A$9:$A$1008,$I399-8)))</x:f>
      </x:c>
      <x:c r="B399" s="50" t="str">
        <x:f>IF(391&gt;$H$4,"",IF(INDEX('Fleet dates'!$B$9:$B$1008,$I399-8)="","",INDEX('Fleet dates'!$B$9:$B$1008,$I399-8)))</x:f>
      </x:c>
      <x:c r="C399" s="51" t="str">
        <x:f>IF(391&gt;$H$4,"",IF(INDEX('Fleet dates'!$C$9:$C$1008,$I399-8)="","",INDEX('Fleet dates'!$C$9:$C$1008,$I399-8)))</x:f>
      </x:c>
      <x:c r="D399" s="51" t="str">
        <x:f>IF(391&gt;$H$4,"",IF(INDEX('Fleet dates'!$D$9:$D$1008,$I399-8)="","",INDEX('Fleet dates'!$D$9:$D$1008,$I399-8)))</x:f>
      </x:c>
      <x:c r="E399" s="51" t="str">
        <x:f>IF(391&gt;$H$4,"",IF(INDEX('Fleet dates'!$E$9:$E$1008,$I399-8)="","",INDEX('Fleet dates'!$E$9:$E$1008,$I399-8)))</x:f>
      </x:c>
      <x:c r="F399" s="51" t="str">
        <x:f>IF(391&gt;$H$4,"",IF(INDEX('Fleet dates'!$F$9:$F$1008,$I399-8)="","",INDEX('Fleet dates'!$F$9:$F$1008,$I399-8)))</x:f>
      </x:c>
      <x:c r="G399" s="50" t="str">
        <x:f>IF(391&gt;$H$4,"",IF(INDEX('Fleet dates'!$G$9:$G$1008,$I399-8)="","",INDEX('Fleet dates'!$G$9:$G$1008,$I399-8)))</x:f>
      </x:c>
      <x:c r="H399" s="50" t="str">
        <x:f>IF(391&gt;$H$4,"",IF(INDEX('Fleet dates'!$I$9:$I$1008,$I399-8)="","",INDEX('Fleet dates'!$I$9:$I$1008,$I399-8)))</x:f>
      </x:c>
      <x:c r="I399" t="str">
        <x:f>IF(391&gt;$H$4,"",MATCH(391,'Fleet dates'!$J$9:$J$1008,0)+8)</x:f>
      </x:c>
    </x:row>
    <x:row r="400" ht="36" customHeight="1">
      <x:c r="A400" s="50" t="str">
        <x:f>IF(392&gt;$H$4,"",IF(INDEX('Fleet dates'!$A$9:$A$1008,$I400-8)="","",INDEX('Fleet dates'!$A$9:$A$1008,$I400-8)))</x:f>
      </x:c>
      <x:c r="B400" s="50" t="str">
        <x:f>IF(392&gt;$H$4,"",IF(INDEX('Fleet dates'!$B$9:$B$1008,$I400-8)="","",INDEX('Fleet dates'!$B$9:$B$1008,$I400-8)))</x:f>
      </x:c>
      <x:c r="C400" s="51" t="str">
        <x:f>IF(392&gt;$H$4,"",IF(INDEX('Fleet dates'!$C$9:$C$1008,$I400-8)="","",INDEX('Fleet dates'!$C$9:$C$1008,$I400-8)))</x:f>
      </x:c>
      <x:c r="D400" s="51" t="str">
        <x:f>IF(392&gt;$H$4,"",IF(INDEX('Fleet dates'!$D$9:$D$1008,$I400-8)="","",INDEX('Fleet dates'!$D$9:$D$1008,$I400-8)))</x:f>
      </x:c>
      <x:c r="E400" s="51" t="str">
        <x:f>IF(392&gt;$H$4,"",IF(INDEX('Fleet dates'!$E$9:$E$1008,$I400-8)="","",INDEX('Fleet dates'!$E$9:$E$1008,$I400-8)))</x:f>
      </x:c>
      <x:c r="F400" s="51" t="str">
        <x:f>IF(392&gt;$H$4,"",IF(INDEX('Fleet dates'!$F$9:$F$1008,$I400-8)="","",INDEX('Fleet dates'!$F$9:$F$1008,$I400-8)))</x:f>
      </x:c>
      <x:c r="G400" s="50" t="str">
        <x:f>IF(392&gt;$H$4,"",IF(INDEX('Fleet dates'!$G$9:$G$1008,$I400-8)="","",INDEX('Fleet dates'!$G$9:$G$1008,$I400-8)))</x:f>
      </x:c>
      <x:c r="H400" s="50" t="str">
        <x:f>IF(392&gt;$H$4,"",IF(INDEX('Fleet dates'!$I$9:$I$1008,$I400-8)="","",INDEX('Fleet dates'!$I$9:$I$1008,$I400-8)))</x:f>
      </x:c>
      <x:c r="I400" t="str">
        <x:f>IF(392&gt;$H$4,"",MATCH(392,'Fleet dates'!$J$9:$J$1008,0)+8)</x:f>
      </x:c>
    </x:row>
    <x:row r="401" ht="36" customHeight="1">
      <x:c r="A401" s="50" t="str">
        <x:f>IF(393&gt;$H$4,"",IF(INDEX('Fleet dates'!$A$9:$A$1008,$I401-8)="","",INDEX('Fleet dates'!$A$9:$A$1008,$I401-8)))</x:f>
      </x:c>
      <x:c r="B401" s="50" t="str">
        <x:f>IF(393&gt;$H$4,"",IF(INDEX('Fleet dates'!$B$9:$B$1008,$I401-8)="","",INDEX('Fleet dates'!$B$9:$B$1008,$I401-8)))</x:f>
      </x:c>
      <x:c r="C401" s="51" t="str">
        <x:f>IF(393&gt;$H$4,"",IF(INDEX('Fleet dates'!$C$9:$C$1008,$I401-8)="","",INDEX('Fleet dates'!$C$9:$C$1008,$I401-8)))</x:f>
      </x:c>
      <x:c r="D401" s="51" t="str">
        <x:f>IF(393&gt;$H$4,"",IF(INDEX('Fleet dates'!$D$9:$D$1008,$I401-8)="","",INDEX('Fleet dates'!$D$9:$D$1008,$I401-8)))</x:f>
      </x:c>
      <x:c r="E401" s="51" t="str">
        <x:f>IF(393&gt;$H$4,"",IF(INDEX('Fleet dates'!$E$9:$E$1008,$I401-8)="","",INDEX('Fleet dates'!$E$9:$E$1008,$I401-8)))</x:f>
      </x:c>
      <x:c r="F401" s="51" t="str">
        <x:f>IF(393&gt;$H$4,"",IF(INDEX('Fleet dates'!$F$9:$F$1008,$I401-8)="","",INDEX('Fleet dates'!$F$9:$F$1008,$I401-8)))</x:f>
      </x:c>
      <x:c r="G401" s="50" t="str">
        <x:f>IF(393&gt;$H$4,"",IF(INDEX('Fleet dates'!$G$9:$G$1008,$I401-8)="","",INDEX('Fleet dates'!$G$9:$G$1008,$I401-8)))</x:f>
      </x:c>
      <x:c r="H401" s="50" t="str">
        <x:f>IF(393&gt;$H$4,"",IF(INDEX('Fleet dates'!$I$9:$I$1008,$I401-8)="","",INDEX('Fleet dates'!$I$9:$I$1008,$I401-8)))</x:f>
      </x:c>
      <x:c r="I401" t="str">
        <x:f>IF(393&gt;$H$4,"",MATCH(393,'Fleet dates'!$J$9:$J$1008,0)+8)</x:f>
      </x:c>
    </x:row>
    <x:row r="402" ht="36" customHeight="1">
      <x:c r="A402" s="50" t="str">
        <x:f>IF(394&gt;$H$4,"",IF(INDEX('Fleet dates'!$A$9:$A$1008,$I402-8)="","",INDEX('Fleet dates'!$A$9:$A$1008,$I402-8)))</x:f>
      </x:c>
      <x:c r="B402" s="50" t="str">
        <x:f>IF(394&gt;$H$4,"",IF(INDEX('Fleet dates'!$B$9:$B$1008,$I402-8)="","",INDEX('Fleet dates'!$B$9:$B$1008,$I402-8)))</x:f>
      </x:c>
      <x:c r="C402" s="51" t="str">
        <x:f>IF(394&gt;$H$4,"",IF(INDEX('Fleet dates'!$C$9:$C$1008,$I402-8)="","",INDEX('Fleet dates'!$C$9:$C$1008,$I402-8)))</x:f>
      </x:c>
      <x:c r="D402" s="51" t="str">
        <x:f>IF(394&gt;$H$4,"",IF(INDEX('Fleet dates'!$D$9:$D$1008,$I402-8)="","",INDEX('Fleet dates'!$D$9:$D$1008,$I402-8)))</x:f>
      </x:c>
      <x:c r="E402" s="51" t="str">
        <x:f>IF(394&gt;$H$4,"",IF(INDEX('Fleet dates'!$E$9:$E$1008,$I402-8)="","",INDEX('Fleet dates'!$E$9:$E$1008,$I402-8)))</x:f>
      </x:c>
      <x:c r="F402" s="51" t="str">
        <x:f>IF(394&gt;$H$4,"",IF(INDEX('Fleet dates'!$F$9:$F$1008,$I402-8)="","",INDEX('Fleet dates'!$F$9:$F$1008,$I402-8)))</x:f>
      </x:c>
      <x:c r="G402" s="50" t="str">
        <x:f>IF(394&gt;$H$4,"",IF(INDEX('Fleet dates'!$G$9:$G$1008,$I402-8)="","",INDEX('Fleet dates'!$G$9:$G$1008,$I402-8)))</x:f>
      </x:c>
      <x:c r="H402" s="50" t="str">
        <x:f>IF(394&gt;$H$4,"",IF(INDEX('Fleet dates'!$I$9:$I$1008,$I402-8)="","",INDEX('Fleet dates'!$I$9:$I$1008,$I402-8)))</x:f>
      </x:c>
      <x:c r="I402" t="str">
        <x:f>IF(394&gt;$H$4,"",MATCH(394,'Fleet dates'!$J$9:$J$1008,0)+8)</x:f>
      </x:c>
    </x:row>
    <x:row r="403" ht="36" customHeight="1">
      <x:c r="A403" s="50" t="str">
        <x:f>IF(395&gt;$H$4,"",IF(INDEX('Fleet dates'!$A$9:$A$1008,$I403-8)="","",INDEX('Fleet dates'!$A$9:$A$1008,$I403-8)))</x:f>
      </x:c>
      <x:c r="B403" s="50" t="str">
        <x:f>IF(395&gt;$H$4,"",IF(INDEX('Fleet dates'!$B$9:$B$1008,$I403-8)="","",INDEX('Fleet dates'!$B$9:$B$1008,$I403-8)))</x:f>
      </x:c>
      <x:c r="C403" s="51" t="str">
        <x:f>IF(395&gt;$H$4,"",IF(INDEX('Fleet dates'!$C$9:$C$1008,$I403-8)="","",INDEX('Fleet dates'!$C$9:$C$1008,$I403-8)))</x:f>
      </x:c>
      <x:c r="D403" s="51" t="str">
        <x:f>IF(395&gt;$H$4,"",IF(INDEX('Fleet dates'!$D$9:$D$1008,$I403-8)="","",INDEX('Fleet dates'!$D$9:$D$1008,$I403-8)))</x:f>
      </x:c>
      <x:c r="E403" s="51" t="str">
        <x:f>IF(395&gt;$H$4,"",IF(INDEX('Fleet dates'!$E$9:$E$1008,$I403-8)="","",INDEX('Fleet dates'!$E$9:$E$1008,$I403-8)))</x:f>
      </x:c>
      <x:c r="F403" s="51" t="str">
        <x:f>IF(395&gt;$H$4,"",IF(INDEX('Fleet dates'!$F$9:$F$1008,$I403-8)="","",INDEX('Fleet dates'!$F$9:$F$1008,$I403-8)))</x:f>
      </x:c>
      <x:c r="G403" s="50" t="str">
        <x:f>IF(395&gt;$H$4,"",IF(INDEX('Fleet dates'!$G$9:$G$1008,$I403-8)="","",INDEX('Fleet dates'!$G$9:$G$1008,$I403-8)))</x:f>
      </x:c>
      <x:c r="H403" s="50" t="str">
        <x:f>IF(395&gt;$H$4,"",IF(INDEX('Fleet dates'!$I$9:$I$1008,$I403-8)="","",INDEX('Fleet dates'!$I$9:$I$1008,$I403-8)))</x:f>
      </x:c>
      <x:c r="I403" t="str">
        <x:f>IF(395&gt;$H$4,"",MATCH(395,'Fleet dates'!$J$9:$J$1008,0)+8)</x:f>
      </x:c>
    </x:row>
    <x:row r="404" ht="36" customHeight="1">
      <x:c r="A404" s="50" t="str">
        <x:f>IF(396&gt;$H$4,"",IF(INDEX('Fleet dates'!$A$9:$A$1008,$I404-8)="","",INDEX('Fleet dates'!$A$9:$A$1008,$I404-8)))</x:f>
      </x:c>
      <x:c r="B404" s="50" t="str">
        <x:f>IF(396&gt;$H$4,"",IF(INDEX('Fleet dates'!$B$9:$B$1008,$I404-8)="","",INDEX('Fleet dates'!$B$9:$B$1008,$I404-8)))</x:f>
      </x:c>
      <x:c r="C404" s="51" t="str">
        <x:f>IF(396&gt;$H$4,"",IF(INDEX('Fleet dates'!$C$9:$C$1008,$I404-8)="","",INDEX('Fleet dates'!$C$9:$C$1008,$I404-8)))</x:f>
      </x:c>
      <x:c r="D404" s="51" t="str">
        <x:f>IF(396&gt;$H$4,"",IF(INDEX('Fleet dates'!$D$9:$D$1008,$I404-8)="","",INDEX('Fleet dates'!$D$9:$D$1008,$I404-8)))</x:f>
      </x:c>
      <x:c r="E404" s="51" t="str">
        <x:f>IF(396&gt;$H$4,"",IF(INDEX('Fleet dates'!$E$9:$E$1008,$I404-8)="","",INDEX('Fleet dates'!$E$9:$E$1008,$I404-8)))</x:f>
      </x:c>
      <x:c r="F404" s="51" t="str">
        <x:f>IF(396&gt;$H$4,"",IF(INDEX('Fleet dates'!$F$9:$F$1008,$I404-8)="","",INDEX('Fleet dates'!$F$9:$F$1008,$I404-8)))</x:f>
      </x:c>
      <x:c r="G404" s="50" t="str">
        <x:f>IF(396&gt;$H$4,"",IF(INDEX('Fleet dates'!$G$9:$G$1008,$I404-8)="","",INDEX('Fleet dates'!$G$9:$G$1008,$I404-8)))</x:f>
      </x:c>
      <x:c r="H404" s="50" t="str">
        <x:f>IF(396&gt;$H$4,"",IF(INDEX('Fleet dates'!$I$9:$I$1008,$I404-8)="","",INDEX('Fleet dates'!$I$9:$I$1008,$I404-8)))</x:f>
      </x:c>
      <x:c r="I404" t="str">
        <x:f>IF(396&gt;$H$4,"",MATCH(396,'Fleet dates'!$J$9:$J$1008,0)+8)</x:f>
      </x:c>
    </x:row>
    <x:row r="405" ht="36" customHeight="1">
      <x:c r="A405" s="50" t="str">
        <x:f>IF(397&gt;$H$4,"",IF(INDEX('Fleet dates'!$A$9:$A$1008,$I405-8)="","",INDEX('Fleet dates'!$A$9:$A$1008,$I405-8)))</x:f>
      </x:c>
      <x:c r="B405" s="50" t="str">
        <x:f>IF(397&gt;$H$4,"",IF(INDEX('Fleet dates'!$B$9:$B$1008,$I405-8)="","",INDEX('Fleet dates'!$B$9:$B$1008,$I405-8)))</x:f>
      </x:c>
      <x:c r="C405" s="51" t="str">
        <x:f>IF(397&gt;$H$4,"",IF(INDEX('Fleet dates'!$C$9:$C$1008,$I405-8)="","",INDEX('Fleet dates'!$C$9:$C$1008,$I405-8)))</x:f>
      </x:c>
      <x:c r="D405" s="51" t="str">
        <x:f>IF(397&gt;$H$4,"",IF(INDEX('Fleet dates'!$D$9:$D$1008,$I405-8)="","",INDEX('Fleet dates'!$D$9:$D$1008,$I405-8)))</x:f>
      </x:c>
      <x:c r="E405" s="51" t="str">
        <x:f>IF(397&gt;$H$4,"",IF(INDEX('Fleet dates'!$E$9:$E$1008,$I405-8)="","",INDEX('Fleet dates'!$E$9:$E$1008,$I405-8)))</x:f>
      </x:c>
      <x:c r="F405" s="51" t="str">
        <x:f>IF(397&gt;$H$4,"",IF(INDEX('Fleet dates'!$F$9:$F$1008,$I405-8)="","",INDEX('Fleet dates'!$F$9:$F$1008,$I405-8)))</x:f>
      </x:c>
      <x:c r="G405" s="50" t="str">
        <x:f>IF(397&gt;$H$4,"",IF(INDEX('Fleet dates'!$G$9:$G$1008,$I405-8)="","",INDEX('Fleet dates'!$G$9:$G$1008,$I405-8)))</x:f>
      </x:c>
      <x:c r="H405" s="50" t="str">
        <x:f>IF(397&gt;$H$4,"",IF(INDEX('Fleet dates'!$I$9:$I$1008,$I405-8)="","",INDEX('Fleet dates'!$I$9:$I$1008,$I405-8)))</x:f>
      </x:c>
      <x:c r="I405" t="str">
        <x:f>IF(397&gt;$H$4,"",MATCH(397,'Fleet dates'!$J$9:$J$1008,0)+8)</x:f>
      </x:c>
    </x:row>
    <x:row r="406" ht="36" customHeight="1">
      <x:c r="A406" s="50" t="str">
        <x:f>IF(398&gt;$H$4,"",IF(INDEX('Fleet dates'!$A$9:$A$1008,$I406-8)="","",INDEX('Fleet dates'!$A$9:$A$1008,$I406-8)))</x:f>
      </x:c>
      <x:c r="B406" s="50" t="str">
        <x:f>IF(398&gt;$H$4,"",IF(INDEX('Fleet dates'!$B$9:$B$1008,$I406-8)="","",INDEX('Fleet dates'!$B$9:$B$1008,$I406-8)))</x:f>
      </x:c>
      <x:c r="C406" s="51" t="str">
        <x:f>IF(398&gt;$H$4,"",IF(INDEX('Fleet dates'!$C$9:$C$1008,$I406-8)="","",INDEX('Fleet dates'!$C$9:$C$1008,$I406-8)))</x:f>
      </x:c>
      <x:c r="D406" s="51" t="str">
        <x:f>IF(398&gt;$H$4,"",IF(INDEX('Fleet dates'!$D$9:$D$1008,$I406-8)="","",INDEX('Fleet dates'!$D$9:$D$1008,$I406-8)))</x:f>
      </x:c>
      <x:c r="E406" s="51" t="str">
        <x:f>IF(398&gt;$H$4,"",IF(INDEX('Fleet dates'!$E$9:$E$1008,$I406-8)="","",INDEX('Fleet dates'!$E$9:$E$1008,$I406-8)))</x:f>
      </x:c>
      <x:c r="F406" s="51" t="str">
        <x:f>IF(398&gt;$H$4,"",IF(INDEX('Fleet dates'!$F$9:$F$1008,$I406-8)="","",INDEX('Fleet dates'!$F$9:$F$1008,$I406-8)))</x:f>
      </x:c>
      <x:c r="G406" s="50" t="str">
        <x:f>IF(398&gt;$H$4,"",IF(INDEX('Fleet dates'!$G$9:$G$1008,$I406-8)="","",INDEX('Fleet dates'!$G$9:$G$1008,$I406-8)))</x:f>
      </x:c>
      <x:c r="H406" s="50" t="str">
        <x:f>IF(398&gt;$H$4,"",IF(INDEX('Fleet dates'!$I$9:$I$1008,$I406-8)="","",INDEX('Fleet dates'!$I$9:$I$1008,$I406-8)))</x:f>
      </x:c>
      <x:c r="I406" t="str">
        <x:f>IF(398&gt;$H$4,"",MATCH(398,'Fleet dates'!$J$9:$J$1008,0)+8)</x:f>
      </x:c>
    </x:row>
    <x:row r="407" ht="36" customHeight="1">
      <x:c r="A407" s="50" t="str">
        <x:f>IF(399&gt;$H$4,"",IF(INDEX('Fleet dates'!$A$9:$A$1008,$I407-8)="","",INDEX('Fleet dates'!$A$9:$A$1008,$I407-8)))</x:f>
      </x:c>
      <x:c r="B407" s="50" t="str">
        <x:f>IF(399&gt;$H$4,"",IF(INDEX('Fleet dates'!$B$9:$B$1008,$I407-8)="","",INDEX('Fleet dates'!$B$9:$B$1008,$I407-8)))</x:f>
      </x:c>
      <x:c r="C407" s="51" t="str">
        <x:f>IF(399&gt;$H$4,"",IF(INDEX('Fleet dates'!$C$9:$C$1008,$I407-8)="","",INDEX('Fleet dates'!$C$9:$C$1008,$I407-8)))</x:f>
      </x:c>
      <x:c r="D407" s="51" t="str">
        <x:f>IF(399&gt;$H$4,"",IF(INDEX('Fleet dates'!$D$9:$D$1008,$I407-8)="","",INDEX('Fleet dates'!$D$9:$D$1008,$I407-8)))</x:f>
      </x:c>
      <x:c r="E407" s="51" t="str">
        <x:f>IF(399&gt;$H$4,"",IF(INDEX('Fleet dates'!$E$9:$E$1008,$I407-8)="","",INDEX('Fleet dates'!$E$9:$E$1008,$I407-8)))</x:f>
      </x:c>
      <x:c r="F407" s="51" t="str">
        <x:f>IF(399&gt;$H$4,"",IF(INDEX('Fleet dates'!$F$9:$F$1008,$I407-8)="","",INDEX('Fleet dates'!$F$9:$F$1008,$I407-8)))</x:f>
      </x:c>
      <x:c r="G407" s="50" t="str">
        <x:f>IF(399&gt;$H$4,"",IF(INDEX('Fleet dates'!$G$9:$G$1008,$I407-8)="","",INDEX('Fleet dates'!$G$9:$G$1008,$I407-8)))</x:f>
      </x:c>
      <x:c r="H407" s="50" t="str">
        <x:f>IF(399&gt;$H$4,"",IF(INDEX('Fleet dates'!$I$9:$I$1008,$I407-8)="","",INDEX('Fleet dates'!$I$9:$I$1008,$I407-8)))</x:f>
      </x:c>
      <x:c r="I407" t="str">
        <x:f>IF(399&gt;$H$4,"",MATCH(399,'Fleet dates'!$J$9:$J$1008,0)+8)</x:f>
      </x:c>
    </x:row>
    <x:row r="408" ht="36" customHeight="1">
      <x:c r="A408" s="50" t="str">
        <x:f>IF(400&gt;$H$4,"",IF(INDEX('Fleet dates'!$A$9:$A$1008,$I408-8)="","",INDEX('Fleet dates'!$A$9:$A$1008,$I408-8)))</x:f>
      </x:c>
      <x:c r="B408" s="50" t="str">
        <x:f>IF(400&gt;$H$4,"",IF(INDEX('Fleet dates'!$B$9:$B$1008,$I408-8)="","",INDEX('Fleet dates'!$B$9:$B$1008,$I408-8)))</x:f>
      </x:c>
      <x:c r="C408" s="51" t="str">
        <x:f>IF(400&gt;$H$4,"",IF(INDEX('Fleet dates'!$C$9:$C$1008,$I408-8)="","",INDEX('Fleet dates'!$C$9:$C$1008,$I408-8)))</x:f>
      </x:c>
      <x:c r="D408" s="51" t="str">
        <x:f>IF(400&gt;$H$4,"",IF(INDEX('Fleet dates'!$D$9:$D$1008,$I408-8)="","",INDEX('Fleet dates'!$D$9:$D$1008,$I408-8)))</x:f>
      </x:c>
      <x:c r="E408" s="51" t="str">
        <x:f>IF(400&gt;$H$4,"",IF(INDEX('Fleet dates'!$E$9:$E$1008,$I408-8)="","",INDEX('Fleet dates'!$E$9:$E$1008,$I408-8)))</x:f>
      </x:c>
      <x:c r="F408" s="51" t="str">
        <x:f>IF(400&gt;$H$4,"",IF(INDEX('Fleet dates'!$F$9:$F$1008,$I408-8)="","",INDEX('Fleet dates'!$F$9:$F$1008,$I408-8)))</x:f>
      </x:c>
      <x:c r="G408" s="50" t="str">
        <x:f>IF(400&gt;$H$4,"",IF(INDEX('Fleet dates'!$G$9:$G$1008,$I408-8)="","",INDEX('Fleet dates'!$G$9:$G$1008,$I408-8)))</x:f>
      </x:c>
      <x:c r="H408" s="50" t="str">
        <x:f>IF(400&gt;$H$4,"",IF(INDEX('Fleet dates'!$I$9:$I$1008,$I408-8)="","",INDEX('Fleet dates'!$I$9:$I$1008,$I408-8)))</x:f>
      </x:c>
      <x:c r="I408" t="str">
        <x:f>IF(400&gt;$H$4,"",MATCH(400,'Fleet dates'!$J$9:$J$1008,0)+8)</x:f>
      </x:c>
    </x:row>
    <x:row r="409" ht="36" customHeight="1">
      <x:c r="A409" s="50" t="str">
        <x:f>IF(401&gt;$H$4,"",IF(INDEX('Fleet dates'!$A$9:$A$1008,$I409-8)="","",INDEX('Fleet dates'!$A$9:$A$1008,$I409-8)))</x:f>
      </x:c>
      <x:c r="B409" s="50" t="str">
        <x:f>IF(401&gt;$H$4,"",IF(INDEX('Fleet dates'!$B$9:$B$1008,$I409-8)="","",INDEX('Fleet dates'!$B$9:$B$1008,$I409-8)))</x:f>
      </x:c>
      <x:c r="C409" s="51" t="str">
        <x:f>IF(401&gt;$H$4,"",IF(INDEX('Fleet dates'!$C$9:$C$1008,$I409-8)="","",INDEX('Fleet dates'!$C$9:$C$1008,$I409-8)))</x:f>
      </x:c>
      <x:c r="D409" s="51" t="str">
        <x:f>IF(401&gt;$H$4,"",IF(INDEX('Fleet dates'!$D$9:$D$1008,$I409-8)="","",INDEX('Fleet dates'!$D$9:$D$1008,$I409-8)))</x:f>
      </x:c>
      <x:c r="E409" s="51" t="str">
        <x:f>IF(401&gt;$H$4,"",IF(INDEX('Fleet dates'!$E$9:$E$1008,$I409-8)="","",INDEX('Fleet dates'!$E$9:$E$1008,$I409-8)))</x:f>
      </x:c>
      <x:c r="F409" s="51" t="str">
        <x:f>IF(401&gt;$H$4,"",IF(INDEX('Fleet dates'!$F$9:$F$1008,$I409-8)="","",INDEX('Fleet dates'!$F$9:$F$1008,$I409-8)))</x:f>
      </x:c>
      <x:c r="G409" s="50" t="str">
        <x:f>IF(401&gt;$H$4,"",IF(INDEX('Fleet dates'!$G$9:$G$1008,$I409-8)="","",INDEX('Fleet dates'!$G$9:$G$1008,$I409-8)))</x:f>
      </x:c>
      <x:c r="H409" s="50" t="str">
        <x:f>IF(401&gt;$H$4,"",IF(INDEX('Fleet dates'!$I$9:$I$1008,$I409-8)="","",INDEX('Fleet dates'!$I$9:$I$1008,$I409-8)))</x:f>
      </x:c>
      <x:c r="I409" t="str">
        <x:f>IF(401&gt;$H$4,"",MATCH(401,'Fleet dates'!$J$9:$J$1008,0)+8)</x:f>
      </x:c>
    </x:row>
    <x:row r="410" ht="36" customHeight="1">
      <x:c r="A410" s="50" t="str">
        <x:f>IF(402&gt;$H$4,"",IF(INDEX('Fleet dates'!$A$9:$A$1008,$I410-8)="","",INDEX('Fleet dates'!$A$9:$A$1008,$I410-8)))</x:f>
      </x:c>
      <x:c r="B410" s="50" t="str">
        <x:f>IF(402&gt;$H$4,"",IF(INDEX('Fleet dates'!$B$9:$B$1008,$I410-8)="","",INDEX('Fleet dates'!$B$9:$B$1008,$I410-8)))</x:f>
      </x:c>
      <x:c r="C410" s="51" t="str">
        <x:f>IF(402&gt;$H$4,"",IF(INDEX('Fleet dates'!$C$9:$C$1008,$I410-8)="","",INDEX('Fleet dates'!$C$9:$C$1008,$I410-8)))</x:f>
      </x:c>
      <x:c r="D410" s="51" t="str">
        <x:f>IF(402&gt;$H$4,"",IF(INDEX('Fleet dates'!$D$9:$D$1008,$I410-8)="","",INDEX('Fleet dates'!$D$9:$D$1008,$I410-8)))</x:f>
      </x:c>
      <x:c r="E410" s="51" t="str">
        <x:f>IF(402&gt;$H$4,"",IF(INDEX('Fleet dates'!$E$9:$E$1008,$I410-8)="","",INDEX('Fleet dates'!$E$9:$E$1008,$I410-8)))</x:f>
      </x:c>
      <x:c r="F410" s="51" t="str">
        <x:f>IF(402&gt;$H$4,"",IF(INDEX('Fleet dates'!$F$9:$F$1008,$I410-8)="","",INDEX('Fleet dates'!$F$9:$F$1008,$I410-8)))</x:f>
      </x:c>
      <x:c r="G410" s="50" t="str">
        <x:f>IF(402&gt;$H$4,"",IF(INDEX('Fleet dates'!$G$9:$G$1008,$I410-8)="","",INDEX('Fleet dates'!$G$9:$G$1008,$I410-8)))</x:f>
      </x:c>
      <x:c r="H410" s="50" t="str">
        <x:f>IF(402&gt;$H$4,"",IF(INDEX('Fleet dates'!$I$9:$I$1008,$I410-8)="","",INDEX('Fleet dates'!$I$9:$I$1008,$I410-8)))</x:f>
      </x:c>
      <x:c r="I410" t="str">
        <x:f>IF(402&gt;$H$4,"",MATCH(402,'Fleet dates'!$J$9:$J$1008,0)+8)</x:f>
      </x:c>
    </x:row>
    <x:row r="411" ht="36" customHeight="1">
      <x:c r="A411" s="50" t="str">
        <x:f>IF(403&gt;$H$4,"",IF(INDEX('Fleet dates'!$A$9:$A$1008,$I411-8)="","",INDEX('Fleet dates'!$A$9:$A$1008,$I411-8)))</x:f>
      </x:c>
      <x:c r="B411" s="50" t="str">
        <x:f>IF(403&gt;$H$4,"",IF(INDEX('Fleet dates'!$B$9:$B$1008,$I411-8)="","",INDEX('Fleet dates'!$B$9:$B$1008,$I411-8)))</x:f>
      </x:c>
      <x:c r="C411" s="51" t="str">
        <x:f>IF(403&gt;$H$4,"",IF(INDEX('Fleet dates'!$C$9:$C$1008,$I411-8)="","",INDEX('Fleet dates'!$C$9:$C$1008,$I411-8)))</x:f>
      </x:c>
      <x:c r="D411" s="51" t="str">
        <x:f>IF(403&gt;$H$4,"",IF(INDEX('Fleet dates'!$D$9:$D$1008,$I411-8)="","",INDEX('Fleet dates'!$D$9:$D$1008,$I411-8)))</x:f>
      </x:c>
      <x:c r="E411" s="51" t="str">
        <x:f>IF(403&gt;$H$4,"",IF(INDEX('Fleet dates'!$E$9:$E$1008,$I411-8)="","",INDEX('Fleet dates'!$E$9:$E$1008,$I411-8)))</x:f>
      </x:c>
      <x:c r="F411" s="51" t="str">
        <x:f>IF(403&gt;$H$4,"",IF(INDEX('Fleet dates'!$F$9:$F$1008,$I411-8)="","",INDEX('Fleet dates'!$F$9:$F$1008,$I411-8)))</x:f>
      </x:c>
      <x:c r="G411" s="50" t="str">
        <x:f>IF(403&gt;$H$4,"",IF(INDEX('Fleet dates'!$G$9:$G$1008,$I411-8)="","",INDEX('Fleet dates'!$G$9:$G$1008,$I411-8)))</x:f>
      </x:c>
      <x:c r="H411" s="50" t="str">
        <x:f>IF(403&gt;$H$4,"",IF(INDEX('Fleet dates'!$I$9:$I$1008,$I411-8)="","",INDEX('Fleet dates'!$I$9:$I$1008,$I411-8)))</x:f>
      </x:c>
      <x:c r="I411" t="str">
        <x:f>IF(403&gt;$H$4,"",MATCH(403,'Fleet dates'!$J$9:$J$1008,0)+8)</x:f>
      </x:c>
    </x:row>
    <x:row r="412" ht="36" customHeight="1">
      <x:c r="A412" s="50" t="str">
        <x:f>IF(404&gt;$H$4,"",IF(INDEX('Fleet dates'!$A$9:$A$1008,$I412-8)="","",INDEX('Fleet dates'!$A$9:$A$1008,$I412-8)))</x:f>
      </x:c>
      <x:c r="B412" s="50" t="str">
        <x:f>IF(404&gt;$H$4,"",IF(INDEX('Fleet dates'!$B$9:$B$1008,$I412-8)="","",INDEX('Fleet dates'!$B$9:$B$1008,$I412-8)))</x:f>
      </x:c>
      <x:c r="C412" s="51" t="str">
        <x:f>IF(404&gt;$H$4,"",IF(INDEX('Fleet dates'!$C$9:$C$1008,$I412-8)="","",INDEX('Fleet dates'!$C$9:$C$1008,$I412-8)))</x:f>
      </x:c>
      <x:c r="D412" s="51" t="str">
        <x:f>IF(404&gt;$H$4,"",IF(INDEX('Fleet dates'!$D$9:$D$1008,$I412-8)="","",INDEX('Fleet dates'!$D$9:$D$1008,$I412-8)))</x:f>
      </x:c>
      <x:c r="E412" s="51" t="str">
        <x:f>IF(404&gt;$H$4,"",IF(INDEX('Fleet dates'!$E$9:$E$1008,$I412-8)="","",INDEX('Fleet dates'!$E$9:$E$1008,$I412-8)))</x:f>
      </x:c>
      <x:c r="F412" s="51" t="str">
        <x:f>IF(404&gt;$H$4,"",IF(INDEX('Fleet dates'!$F$9:$F$1008,$I412-8)="","",INDEX('Fleet dates'!$F$9:$F$1008,$I412-8)))</x:f>
      </x:c>
      <x:c r="G412" s="50" t="str">
        <x:f>IF(404&gt;$H$4,"",IF(INDEX('Fleet dates'!$G$9:$G$1008,$I412-8)="","",INDEX('Fleet dates'!$G$9:$G$1008,$I412-8)))</x:f>
      </x:c>
      <x:c r="H412" s="50" t="str">
        <x:f>IF(404&gt;$H$4,"",IF(INDEX('Fleet dates'!$I$9:$I$1008,$I412-8)="","",INDEX('Fleet dates'!$I$9:$I$1008,$I412-8)))</x:f>
      </x:c>
      <x:c r="I412" t="str">
        <x:f>IF(404&gt;$H$4,"",MATCH(404,'Fleet dates'!$J$9:$J$1008,0)+8)</x:f>
      </x:c>
    </x:row>
    <x:row r="413" ht="36" customHeight="1">
      <x:c r="A413" s="50" t="str">
        <x:f>IF(405&gt;$H$4,"",IF(INDEX('Fleet dates'!$A$9:$A$1008,$I413-8)="","",INDEX('Fleet dates'!$A$9:$A$1008,$I413-8)))</x:f>
      </x:c>
      <x:c r="B413" s="50" t="str">
        <x:f>IF(405&gt;$H$4,"",IF(INDEX('Fleet dates'!$B$9:$B$1008,$I413-8)="","",INDEX('Fleet dates'!$B$9:$B$1008,$I413-8)))</x:f>
      </x:c>
      <x:c r="C413" s="51" t="str">
        <x:f>IF(405&gt;$H$4,"",IF(INDEX('Fleet dates'!$C$9:$C$1008,$I413-8)="","",INDEX('Fleet dates'!$C$9:$C$1008,$I413-8)))</x:f>
      </x:c>
      <x:c r="D413" s="51" t="str">
        <x:f>IF(405&gt;$H$4,"",IF(INDEX('Fleet dates'!$D$9:$D$1008,$I413-8)="","",INDEX('Fleet dates'!$D$9:$D$1008,$I413-8)))</x:f>
      </x:c>
      <x:c r="E413" s="51" t="str">
        <x:f>IF(405&gt;$H$4,"",IF(INDEX('Fleet dates'!$E$9:$E$1008,$I413-8)="","",INDEX('Fleet dates'!$E$9:$E$1008,$I413-8)))</x:f>
      </x:c>
      <x:c r="F413" s="51" t="str">
        <x:f>IF(405&gt;$H$4,"",IF(INDEX('Fleet dates'!$F$9:$F$1008,$I413-8)="","",INDEX('Fleet dates'!$F$9:$F$1008,$I413-8)))</x:f>
      </x:c>
      <x:c r="G413" s="50" t="str">
        <x:f>IF(405&gt;$H$4,"",IF(INDEX('Fleet dates'!$G$9:$G$1008,$I413-8)="","",INDEX('Fleet dates'!$G$9:$G$1008,$I413-8)))</x:f>
      </x:c>
      <x:c r="H413" s="50" t="str">
        <x:f>IF(405&gt;$H$4,"",IF(INDEX('Fleet dates'!$I$9:$I$1008,$I413-8)="","",INDEX('Fleet dates'!$I$9:$I$1008,$I413-8)))</x:f>
      </x:c>
      <x:c r="I413" t="str">
        <x:f>IF(405&gt;$H$4,"",MATCH(405,'Fleet dates'!$J$9:$J$1008,0)+8)</x:f>
      </x:c>
    </x:row>
    <x:row r="414" ht="36" customHeight="1">
      <x:c r="A414" s="50" t="str">
        <x:f>IF(406&gt;$H$4,"",IF(INDEX('Fleet dates'!$A$9:$A$1008,$I414-8)="","",INDEX('Fleet dates'!$A$9:$A$1008,$I414-8)))</x:f>
      </x:c>
      <x:c r="B414" s="50" t="str">
        <x:f>IF(406&gt;$H$4,"",IF(INDEX('Fleet dates'!$B$9:$B$1008,$I414-8)="","",INDEX('Fleet dates'!$B$9:$B$1008,$I414-8)))</x:f>
      </x:c>
      <x:c r="C414" s="51" t="str">
        <x:f>IF(406&gt;$H$4,"",IF(INDEX('Fleet dates'!$C$9:$C$1008,$I414-8)="","",INDEX('Fleet dates'!$C$9:$C$1008,$I414-8)))</x:f>
      </x:c>
      <x:c r="D414" s="51" t="str">
        <x:f>IF(406&gt;$H$4,"",IF(INDEX('Fleet dates'!$D$9:$D$1008,$I414-8)="","",INDEX('Fleet dates'!$D$9:$D$1008,$I414-8)))</x:f>
      </x:c>
      <x:c r="E414" s="51" t="str">
        <x:f>IF(406&gt;$H$4,"",IF(INDEX('Fleet dates'!$E$9:$E$1008,$I414-8)="","",INDEX('Fleet dates'!$E$9:$E$1008,$I414-8)))</x:f>
      </x:c>
      <x:c r="F414" s="51" t="str">
        <x:f>IF(406&gt;$H$4,"",IF(INDEX('Fleet dates'!$F$9:$F$1008,$I414-8)="","",INDEX('Fleet dates'!$F$9:$F$1008,$I414-8)))</x:f>
      </x:c>
      <x:c r="G414" s="50" t="str">
        <x:f>IF(406&gt;$H$4,"",IF(INDEX('Fleet dates'!$G$9:$G$1008,$I414-8)="","",INDEX('Fleet dates'!$G$9:$G$1008,$I414-8)))</x:f>
      </x:c>
      <x:c r="H414" s="50" t="str">
        <x:f>IF(406&gt;$H$4,"",IF(INDEX('Fleet dates'!$I$9:$I$1008,$I414-8)="","",INDEX('Fleet dates'!$I$9:$I$1008,$I414-8)))</x:f>
      </x:c>
      <x:c r="I414" t="str">
        <x:f>IF(406&gt;$H$4,"",MATCH(406,'Fleet dates'!$J$9:$J$1008,0)+8)</x:f>
      </x:c>
    </x:row>
    <x:row r="415" ht="36" customHeight="1">
      <x:c r="A415" s="50" t="str">
        <x:f>IF(407&gt;$H$4,"",IF(INDEX('Fleet dates'!$A$9:$A$1008,$I415-8)="","",INDEX('Fleet dates'!$A$9:$A$1008,$I415-8)))</x:f>
      </x:c>
      <x:c r="B415" s="50" t="str">
        <x:f>IF(407&gt;$H$4,"",IF(INDEX('Fleet dates'!$B$9:$B$1008,$I415-8)="","",INDEX('Fleet dates'!$B$9:$B$1008,$I415-8)))</x:f>
      </x:c>
      <x:c r="C415" s="51" t="str">
        <x:f>IF(407&gt;$H$4,"",IF(INDEX('Fleet dates'!$C$9:$C$1008,$I415-8)="","",INDEX('Fleet dates'!$C$9:$C$1008,$I415-8)))</x:f>
      </x:c>
      <x:c r="D415" s="51" t="str">
        <x:f>IF(407&gt;$H$4,"",IF(INDEX('Fleet dates'!$D$9:$D$1008,$I415-8)="","",INDEX('Fleet dates'!$D$9:$D$1008,$I415-8)))</x:f>
      </x:c>
      <x:c r="E415" s="51" t="str">
        <x:f>IF(407&gt;$H$4,"",IF(INDEX('Fleet dates'!$E$9:$E$1008,$I415-8)="","",INDEX('Fleet dates'!$E$9:$E$1008,$I415-8)))</x:f>
      </x:c>
      <x:c r="F415" s="51" t="str">
        <x:f>IF(407&gt;$H$4,"",IF(INDEX('Fleet dates'!$F$9:$F$1008,$I415-8)="","",INDEX('Fleet dates'!$F$9:$F$1008,$I415-8)))</x:f>
      </x:c>
      <x:c r="G415" s="50" t="str">
        <x:f>IF(407&gt;$H$4,"",IF(INDEX('Fleet dates'!$G$9:$G$1008,$I415-8)="","",INDEX('Fleet dates'!$G$9:$G$1008,$I415-8)))</x:f>
      </x:c>
      <x:c r="H415" s="50" t="str">
        <x:f>IF(407&gt;$H$4,"",IF(INDEX('Fleet dates'!$I$9:$I$1008,$I415-8)="","",INDEX('Fleet dates'!$I$9:$I$1008,$I415-8)))</x:f>
      </x:c>
      <x:c r="I415" t="str">
        <x:f>IF(407&gt;$H$4,"",MATCH(407,'Fleet dates'!$J$9:$J$1008,0)+8)</x:f>
      </x:c>
    </x:row>
    <x:row r="416" ht="36" customHeight="1">
      <x:c r="A416" s="50" t="str">
        <x:f>IF(408&gt;$H$4,"",IF(INDEX('Fleet dates'!$A$9:$A$1008,$I416-8)="","",INDEX('Fleet dates'!$A$9:$A$1008,$I416-8)))</x:f>
      </x:c>
      <x:c r="B416" s="50" t="str">
        <x:f>IF(408&gt;$H$4,"",IF(INDEX('Fleet dates'!$B$9:$B$1008,$I416-8)="","",INDEX('Fleet dates'!$B$9:$B$1008,$I416-8)))</x:f>
      </x:c>
      <x:c r="C416" s="51" t="str">
        <x:f>IF(408&gt;$H$4,"",IF(INDEX('Fleet dates'!$C$9:$C$1008,$I416-8)="","",INDEX('Fleet dates'!$C$9:$C$1008,$I416-8)))</x:f>
      </x:c>
      <x:c r="D416" s="51" t="str">
        <x:f>IF(408&gt;$H$4,"",IF(INDEX('Fleet dates'!$D$9:$D$1008,$I416-8)="","",INDEX('Fleet dates'!$D$9:$D$1008,$I416-8)))</x:f>
      </x:c>
      <x:c r="E416" s="51" t="str">
        <x:f>IF(408&gt;$H$4,"",IF(INDEX('Fleet dates'!$E$9:$E$1008,$I416-8)="","",INDEX('Fleet dates'!$E$9:$E$1008,$I416-8)))</x:f>
      </x:c>
      <x:c r="F416" s="51" t="str">
        <x:f>IF(408&gt;$H$4,"",IF(INDEX('Fleet dates'!$F$9:$F$1008,$I416-8)="","",INDEX('Fleet dates'!$F$9:$F$1008,$I416-8)))</x:f>
      </x:c>
      <x:c r="G416" s="50" t="str">
        <x:f>IF(408&gt;$H$4,"",IF(INDEX('Fleet dates'!$G$9:$G$1008,$I416-8)="","",INDEX('Fleet dates'!$G$9:$G$1008,$I416-8)))</x:f>
      </x:c>
      <x:c r="H416" s="50" t="str">
        <x:f>IF(408&gt;$H$4,"",IF(INDEX('Fleet dates'!$I$9:$I$1008,$I416-8)="","",INDEX('Fleet dates'!$I$9:$I$1008,$I416-8)))</x:f>
      </x:c>
      <x:c r="I416" t="str">
        <x:f>IF(408&gt;$H$4,"",MATCH(408,'Fleet dates'!$J$9:$J$1008,0)+8)</x:f>
      </x:c>
    </x:row>
    <x:row r="417" ht="36" customHeight="1">
      <x:c r="A417" s="50" t="str">
        <x:f>IF(409&gt;$H$4,"",IF(INDEX('Fleet dates'!$A$9:$A$1008,$I417-8)="","",INDEX('Fleet dates'!$A$9:$A$1008,$I417-8)))</x:f>
      </x:c>
      <x:c r="B417" s="50" t="str">
        <x:f>IF(409&gt;$H$4,"",IF(INDEX('Fleet dates'!$B$9:$B$1008,$I417-8)="","",INDEX('Fleet dates'!$B$9:$B$1008,$I417-8)))</x:f>
      </x:c>
      <x:c r="C417" s="51" t="str">
        <x:f>IF(409&gt;$H$4,"",IF(INDEX('Fleet dates'!$C$9:$C$1008,$I417-8)="","",INDEX('Fleet dates'!$C$9:$C$1008,$I417-8)))</x:f>
      </x:c>
      <x:c r="D417" s="51" t="str">
        <x:f>IF(409&gt;$H$4,"",IF(INDEX('Fleet dates'!$D$9:$D$1008,$I417-8)="","",INDEX('Fleet dates'!$D$9:$D$1008,$I417-8)))</x:f>
      </x:c>
      <x:c r="E417" s="51" t="str">
        <x:f>IF(409&gt;$H$4,"",IF(INDEX('Fleet dates'!$E$9:$E$1008,$I417-8)="","",INDEX('Fleet dates'!$E$9:$E$1008,$I417-8)))</x:f>
      </x:c>
      <x:c r="F417" s="51" t="str">
        <x:f>IF(409&gt;$H$4,"",IF(INDEX('Fleet dates'!$F$9:$F$1008,$I417-8)="","",INDEX('Fleet dates'!$F$9:$F$1008,$I417-8)))</x:f>
      </x:c>
      <x:c r="G417" s="50" t="str">
        <x:f>IF(409&gt;$H$4,"",IF(INDEX('Fleet dates'!$G$9:$G$1008,$I417-8)="","",INDEX('Fleet dates'!$G$9:$G$1008,$I417-8)))</x:f>
      </x:c>
      <x:c r="H417" s="50" t="str">
        <x:f>IF(409&gt;$H$4,"",IF(INDEX('Fleet dates'!$I$9:$I$1008,$I417-8)="","",INDEX('Fleet dates'!$I$9:$I$1008,$I417-8)))</x:f>
      </x:c>
      <x:c r="I417" t="str">
        <x:f>IF(409&gt;$H$4,"",MATCH(409,'Fleet dates'!$J$9:$J$1008,0)+8)</x:f>
      </x:c>
    </x:row>
    <x:row r="418" ht="36" customHeight="1">
      <x:c r="A418" s="50" t="str">
        <x:f>IF(410&gt;$H$4,"",IF(INDEX('Fleet dates'!$A$9:$A$1008,$I418-8)="","",INDEX('Fleet dates'!$A$9:$A$1008,$I418-8)))</x:f>
      </x:c>
      <x:c r="B418" s="50" t="str">
        <x:f>IF(410&gt;$H$4,"",IF(INDEX('Fleet dates'!$B$9:$B$1008,$I418-8)="","",INDEX('Fleet dates'!$B$9:$B$1008,$I418-8)))</x:f>
      </x:c>
      <x:c r="C418" s="51" t="str">
        <x:f>IF(410&gt;$H$4,"",IF(INDEX('Fleet dates'!$C$9:$C$1008,$I418-8)="","",INDEX('Fleet dates'!$C$9:$C$1008,$I418-8)))</x:f>
      </x:c>
      <x:c r="D418" s="51" t="str">
        <x:f>IF(410&gt;$H$4,"",IF(INDEX('Fleet dates'!$D$9:$D$1008,$I418-8)="","",INDEX('Fleet dates'!$D$9:$D$1008,$I418-8)))</x:f>
      </x:c>
      <x:c r="E418" s="51" t="str">
        <x:f>IF(410&gt;$H$4,"",IF(INDEX('Fleet dates'!$E$9:$E$1008,$I418-8)="","",INDEX('Fleet dates'!$E$9:$E$1008,$I418-8)))</x:f>
      </x:c>
      <x:c r="F418" s="51" t="str">
        <x:f>IF(410&gt;$H$4,"",IF(INDEX('Fleet dates'!$F$9:$F$1008,$I418-8)="","",INDEX('Fleet dates'!$F$9:$F$1008,$I418-8)))</x:f>
      </x:c>
      <x:c r="G418" s="50" t="str">
        <x:f>IF(410&gt;$H$4,"",IF(INDEX('Fleet dates'!$G$9:$G$1008,$I418-8)="","",INDEX('Fleet dates'!$G$9:$G$1008,$I418-8)))</x:f>
      </x:c>
      <x:c r="H418" s="50" t="str">
        <x:f>IF(410&gt;$H$4,"",IF(INDEX('Fleet dates'!$I$9:$I$1008,$I418-8)="","",INDEX('Fleet dates'!$I$9:$I$1008,$I418-8)))</x:f>
      </x:c>
      <x:c r="I418" t="str">
        <x:f>IF(410&gt;$H$4,"",MATCH(410,'Fleet dates'!$J$9:$J$1008,0)+8)</x:f>
      </x:c>
    </x:row>
    <x:row r="419" ht="36" customHeight="1">
      <x:c r="A419" s="50" t="str">
        <x:f>IF(411&gt;$H$4,"",IF(INDEX('Fleet dates'!$A$9:$A$1008,$I419-8)="","",INDEX('Fleet dates'!$A$9:$A$1008,$I419-8)))</x:f>
      </x:c>
      <x:c r="B419" s="50" t="str">
        <x:f>IF(411&gt;$H$4,"",IF(INDEX('Fleet dates'!$B$9:$B$1008,$I419-8)="","",INDEX('Fleet dates'!$B$9:$B$1008,$I419-8)))</x:f>
      </x:c>
      <x:c r="C419" s="51" t="str">
        <x:f>IF(411&gt;$H$4,"",IF(INDEX('Fleet dates'!$C$9:$C$1008,$I419-8)="","",INDEX('Fleet dates'!$C$9:$C$1008,$I419-8)))</x:f>
      </x:c>
      <x:c r="D419" s="51" t="str">
        <x:f>IF(411&gt;$H$4,"",IF(INDEX('Fleet dates'!$D$9:$D$1008,$I419-8)="","",INDEX('Fleet dates'!$D$9:$D$1008,$I419-8)))</x:f>
      </x:c>
      <x:c r="E419" s="51" t="str">
        <x:f>IF(411&gt;$H$4,"",IF(INDEX('Fleet dates'!$E$9:$E$1008,$I419-8)="","",INDEX('Fleet dates'!$E$9:$E$1008,$I419-8)))</x:f>
      </x:c>
      <x:c r="F419" s="51" t="str">
        <x:f>IF(411&gt;$H$4,"",IF(INDEX('Fleet dates'!$F$9:$F$1008,$I419-8)="","",INDEX('Fleet dates'!$F$9:$F$1008,$I419-8)))</x:f>
      </x:c>
      <x:c r="G419" s="50" t="str">
        <x:f>IF(411&gt;$H$4,"",IF(INDEX('Fleet dates'!$G$9:$G$1008,$I419-8)="","",INDEX('Fleet dates'!$G$9:$G$1008,$I419-8)))</x:f>
      </x:c>
      <x:c r="H419" s="50" t="str">
        <x:f>IF(411&gt;$H$4,"",IF(INDEX('Fleet dates'!$I$9:$I$1008,$I419-8)="","",INDEX('Fleet dates'!$I$9:$I$1008,$I419-8)))</x:f>
      </x:c>
      <x:c r="I419" t="str">
        <x:f>IF(411&gt;$H$4,"",MATCH(411,'Fleet dates'!$J$9:$J$1008,0)+8)</x:f>
      </x:c>
    </x:row>
    <x:row r="420" ht="36" customHeight="1">
      <x:c r="A420" s="50" t="str">
        <x:f>IF(412&gt;$H$4,"",IF(INDEX('Fleet dates'!$A$9:$A$1008,$I420-8)="","",INDEX('Fleet dates'!$A$9:$A$1008,$I420-8)))</x:f>
      </x:c>
      <x:c r="B420" s="50" t="str">
        <x:f>IF(412&gt;$H$4,"",IF(INDEX('Fleet dates'!$B$9:$B$1008,$I420-8)="","",INDEX('Fleet dates'!$B$9:$B$1008,$I420-8)))</x:f>
      </x:c>
      <x:c r="C420" s="51" t="str">
        <x:f>IF(412&gt;$H$4,"",IF(INDEX('Fleet dates'!$C$9:$C$1008,$I420-8)="","",INDEX('Fleet dates'!$C$9:$C$1008,$I420-8)))</x:f>
      </x:c>
      <x:c r="D420" s="51" t="str">
        <x:f>IF(412&gt;$H$4,"",IF(INDEX('Fleet dates'!$D$9:$D$1008,$I420-8)="","",INDEX('Fleet dates'!$D$9:$D$1008,$I420-8)))</x:f>
      </x:c>
      <x:c r="E420" s="51" t="str">
        <x:f>IF(412&gt;$H$4,"",IF(INDEX('Fleet dates'!$E$9:$E$1008,$I420-8)="","",INDEX('Fleet dates'!$E$9:$E$1008,$I420-8)))</x:f>
      </x:c>
      <x:c r="F420" s="51" t="str">
        <x:f>IF(412&gt;$H$4,"",IF(INDEX('Fleet dates'!$F$9:$F$1008,$I420-8)="","",INDEX('Fleet dates'!$F$9:$F$1008,$I420-8)))</x:f>
      </x:c>
      <x:c r="G420" s="50" t="str">
        <x:f>IF(412&gt;$H$4,"",IF(INDEX('Fleet dates'!$G$9:$G$1008,$I420-8)="","",INDEX('Fleet dates'!$G$9:$G$1008,$I420-8)))</x:f>
      </x:c>
      <x:c r="H420" s="50" t="str">
        <x:f>IF(412&gt;$H$4,"",IF(INDEX('Fleet dates'!$I$9:$I$1008,$I420-8)="","",INDEX('Fleet dates'!$I$9:$I$1008,$I420-8)))</x:f>
      </x:c>
      <x:c r="I420" t="str">
        <x:f>IF(412&gt;$H$4,"",MATCH(412,'Fleet dates'!$J$9:$J$1008,0)+8)</x:f>
      </x:c>
    </x:row>
    <x:row r="421" ht="36" customHeight="1">
      <x:c r="A421" s="50" t="str">
        <x:f>IF(413&gt;$H$4,"",IF(INDEX('Fleet dates'!$A$9:$A$1008,$I421-8)="","",INDEX('Fleet dates'!$A$9:$A$1008,$I421-8)))</x:f>
      </x:c>
      <x:c r="B421" s="50" t="str">
        <x:f>IF(413&gt;$H$4,"",IF(INDEX('Fleet dates'!$B$9:$B$1008,$I421-8)="","",INDEX('Fleet dates'!$B$9:$B$1008,$I421-8)))</x:f>
      </x:c>
      <x:c r="C421" s="51" t="str">
        <x:f>IF(413&gt;$H$4,"",IF(INDEX('Fleet dates'!$C$9:$C$1008,$I421-8)="","",INDEX('Fleet dates'!$C$9:$C$1008,$I421-8)))</x:f>
      </x:c>
      <x:c r="D421" s="51" t="str">
        <x:f>IF(413&gt;$H$4,"",IF(INDEX('Fleet dates'!$D$9:$D$1008,$I421-8)="","",INDEX('Fleet dates'!$D$9:$D$1008,$I421-8)))</x:f>
      </x:c>
      <x:c r="E421" s="51" t="str">
        <x:f>IF(413&gt;$H$4,"",IF(INDEX('Fleet dates'!$E$9:$E$1008,$I421-8)="","",INDEX('Fleet dates'!$E$9:$E$1008,$I421-8)))</x:f>
      </x:c>
      <x:c r="F421" s="51" t="str">
        <x:f>IF(413&gt;$H$4,"",IF(INDEX('Fleet dates'!$F$9:$F$1008,$I421-8)="","",INDEX('Fleet dates'!$F$9:$F$1008,$I421-8)))</x:f>
      </x:c>
      <x:c r="G421" s="50" t="str">
        <x:f>IF(413&gt;$H$4,"",IF(INDEX('Fleet dates'!$G$9:$G$1008,$I421-8)="","",INDEX('Fleet dates'!$G$9:$G$1008,$I421-8)))</x:f>
      </x:c>
      <x:c r="H421" s="50" t="str">
        <x:f>IF(413&gt;$H$4,"",IF(INDEX('Fleet dates'!$I$9:$I$1008,$I421-8)="","",INDEX('Fleet dates'!$I$9:$I$1008,$I421-8)))</x:f>
      </x:c>
      <x:c r="I421" t="str">
        <x:f>IF(413&gt;$H$4,"",MATCH(413,'Fleet dates'!$J$9:$J$1008,0)+8)</x:f>
      </x:c>
    </x:row>
    <x:row r="422" ht="36" customHeight="1">
      <x:c r="A422" s="50" t="str">
        <x:f>IF(414&gt;$H$4,"",IF(INDEX('Fleet dates'!$A$9:$A$1008,$I422-8)="","",INDEX('Fleet dates'!$A$9:$A$1008,$I422-8)))</x:f>
      </x:c>
      <x:c r="B422" s="50" t="str">
        <x:f>IF(414&gt;$H$4,"",IF(INDEX('Fleet dates'!$B$9:$B$1008,$I422-8)="","",INDEX('Fleet dates'!$B$9:$B$1008,$I422-8)))</x:f>
      </x:c>
      <x:c r="C422" s="51" t="str">
        <x:f>IF(414&gt;$H$4,"",IF(INDEX('Fleet dates'!$C$9:$C$1008,$I422-8)="","",INDEX('Fleet dates'!$C$9:$C$1008,$I422-8)))</x:f>
      </x:c>
      <x:c r="D422" s="51" t="str">
        <x:f>IF(414&gt;$H$4,"",IF(INDEX('Fleet dates'!$D$9:$D$1008,$I422-8)="","",INDEX('Fleet dates'!$D$9:$D$1008,$I422-8)))</x:f>
      </x:c>
      <x:c r="E422" s="51" t="str">
        <x:f>IF(414&gt;$H$4,"",IF(INDEX('Fleet dates'!$E$9:$E$1008,$I422-8)="","",INDEX('Fleet dates'!$E$9:$E$1008,$I422-8)))</x:f>
      </x:c>
      <x:c r="F422" s="51" t="str">
        <x:f>IF(414&gt;$H$4,"",IF(INDEX('Fleet dates'!$F$9:$F$1008,$I422-8)="","",INDEX('Fleet dates'!$F$9:$F$1008,$I422-8)))</x:f>
      </x:c>
      <x:c r="G422" s="50" t="str">
        <x:f>IF(414&gt;$H$4,"",IF(INDEX('Fleet dates'!$G$9:$G$1008,$I422-8)="","",INDEX('Fleet dates'!$G$9:$G$1008,$I422-8)))</x:f>
      </x:c>
      <x:c r="H422" s="50" t="str">
        <x:f>IF(414&gt;$H$4,"",IF(INDEX('Fleet dates'!$I$9:$I$1008,$I422-8)="","",INDEX('Fleet dates'!$I$9:$I$1008,$I422-8)))</x:f>
      </x:c>
      <x:c r="I422" t="str">
        <x:f>IF(414&gt;$H$4,"",MATCH(414,'Fleet dates'!$J$9:$J$1008,0)+8)</x:f>
      </x:c>
    </x:row>
    <x:row r="423" ht="36" customHeight="1">
      <x:c r="A423" s="50" t="str">
        <x:f>IF(415&gt;$H$4,"",IF(INDEX('Fleet dates'!$A$9:$A$1008,$I423-8)="","",INDEX('Fleet dates'!$A$9:$A$1008,$I423-8)))</x:f>
      </x:c>
      <x:c r="B423" s="50" t="str">
        <x:f>IF(415&gt;$H$4,"",IF(INDEX('Fleet dates'!$B$9:$B$1008,$I423-8)="","",INDEX('Fleet dates'!$B$9:$B$1008,$I423-8)))</x:f>
      </x:c>
      <x:c r="C423" s="51" t="str">
        <x:f>IF(415&gt;$H$4,"",IF(INDEX('Fleet dates'!$C$9:$C$1008,$I423-8)="","",INDEX('Fleet dates'!$C$9:$C$1008,$I423-8)))</x:f>
      </x:c>
      <x:c r="D423" s="51" t="str">
        <x:f>IF(415&gt;$H$4,"",IF(INDEX('Fleet dates'!$D$9:$D$1008,$I423-8)="","",INDEX('Fleet dates'!$D$9:$D$1008,$I423-8)))</x:f>
      </x:c>
      <x:c r="E423" s="51" t="str">
        <x:f>IF(415&gt;$H$4,"",IF(INDEX('Fleet dates'!$E$9:$E$1008,$I423-8)="","",INDEX('Fleet dates'!$E$9:$E$1008,$I423-8)))</x:f>
      </x:c>
      <x:c r="F423" s="51" t="str">
        <x:f>IF(415&gt;$H$4,"",IF(INDEX('Fleet dates'!$F$9:$F$1008,$I423-8)="","",INDEX('Fleet dates'!$F$9:$F$1008,$I423-8)))</x:f>
      </x:c>
      <x:c r="G423" s="50" t="str">
        <x:f>IF(415&gt;$H$4,"",IF(INDEX('Fleet dates'!$G$9:$G$1008,$I423-8)="","",INDEX('Fleet dates'!$G$9:$G$1008,$I423-8)))</x:f>
      </x:c>
      <x:c r="H423" s="50" t="str">
        <x:f>IF(415&gt;$H$4,"",IF(INDEX('Fleet dates'!$I$9:$I$1008,$I423-8)="","",INDEX('Fleet dates'!$I$9:$I$1008,$I423-8)))</x:f>
      </x:c>
      <x:c r="I423" t="str">
        <x:f>IF(415&gt;$H$4,"",MATCH(415,'Fleet dates'!$J$9:$J$1008,0)+8)</x:f>
      </x:c>
    </x:row>
    <x:row r="424" ht="36" customHeight="1">
      <x:c r="A424" s="50" t="str">
        <x:f>IF(416&gt;$H$4,"",IF(INDEX('Fleet dates'!$A$9:$A$1008,$I424-8)="","",INDEX('Fleet dates'!$A$9:$A$1008,$I424-8)))</x:f>
      </x:c>
      <x:c r="B424" s="50" t="str">
        <x:f>IF(416&gt;$H$4,"",IF(INDEX('Fleet dates'!$B$9:$B$1008,$I424-8)="","",INDEX('Fleet dates'!$B$9:$B$1008,$I424-8)))</x:f>
      </x:c>
      <x:c r="C424" s="51" t="str">
        <x:f>IF(416&gt;$H$4,"",IF(INDEX('Fleet dates'!$C$9:$C$1008,$I424-8)="","",INDEX('Fleet dates'!$C$9:$C$1008,$I424-8)))</x:f>
      </x:c>
      <x:c r="D424" s="51" t="str">
        <x:f>IF(416&gt;$H$4,"",IF(INDEX('Fleet dates'!$D$9:$D$1008,$I424-8)="","",INDEX('Fleet dates'!$D$9:$D$1008,$I424-8)))</x:f>
      </x:c>
      <x:c r="E424" s="51" t="str">
        <x:f>IF(416&gt;$H$4,"",IF(INDEX('Fleet dates'!$E$9:$E$1008,$I424-8)="","",INDEX('Fleet dates'!$E$9:$E$1008,$I424-8)))</x:f>
      </x:c>
      <x:c r="F424" s="51" t="str">
        <x:f>IF(416&gt;$H$4,"",IF(INDEX('Fleet dates'!$F$9:$F$1008,$I424-8)="","",INDEX('Fleet dates'!$F$9:$F$1008,$I424-8)))</x:f>
      </x:c>
      <x:c r="G424" s="50" t="str">
        <x:f>IF(416&gt;$H$4,"",IF(INDEX('Fleet dates'!$G$9:$G$1008,$I424-8)="","",INDEX('Fleet dates'!$G$9:$G$1008,$I424-8)))</x:f>
      </x:c>
      <x:c r="H424" s="50" t="str">
        <x:f>IF(416&gt;$H$4,"",IF(INDEX('Fleet dates'!$I$9:$I$1008,$I424-8)="","",INDEX('Fleet dates'!$I$9:$I$1008,$I424-8)))</x:f>
      </x:c>
      <x:c r="I424" t="str">
        <x:f>IF(416&gt;$H$4,"",MATCH(416,'Fleet dates'!$J$9:$J$1008,0)+8)</x:f>
      </x:c>
    </x:row>
    <x:row r="425" ht="36" customHeight="1">
      <x:c r="A425" s="50" t="str">
        <x:f>IF(417&gt;$H$4,"",IF(INDEX('Fleet dates'!$A$9:$A$1008,$I425-8)="","",INDEX('Fleet dates'!$A$9:$A$1008,$I425-8)))</x:f>
      </x:c>
      <x:c r="B425" s="50" t="str">
        <x:f>IF(417&gt;$H$4,"",IF(INDEX('Fleet dates'!$B$9:$B$1008,$I425-8)="","",INDEX('Fleet dates'!$B$9:$B$1008,$I425-8)))</x:f>
      </x:c>
      <x:c r="C425" s="51" t="str">
        <x:f>IF(417&gt;$H$4,"",IF(INDEX('Fleet dates'!$C$9:$C$1008,$I425-8)="","",INDEX('Fleet dates'!$C$9:$C$1008,$I425-8)))</x:f>
      </x:c>
      <x:c r="D425" s="51" t="str">
        <x:f>IF(417&gt;$H$4,"",IF(INDEX('Fleet dates'!$D$9:$D$1008,$I425-8)="","",INDEX('Fleet dates'!$D$9:$D$1008,$I425-8)))</x:f>
      </x:c>
      <x:c r="E425" s="51" t="str">
        <x:f>IF(417&gt;$H$4,"",IF(INDEX('Fleet dates'!$E$9:$E$1008,$I425-8)="","",INDEX('Fleet dates'!$E$9:$E$1008,$I425-8)))</x:f>
      </x:c>
      <x:c r="F425" s="51" t="str">
        <x:f>IF(417&gt;$H$4,"",IF(INDEX('Fleet dates'!$F$9:$F$1008,$I425-8)="","",INDEX('Fleet dates'!$F$9:$F$1008,$I425-8)))</x:f>
      </x:c>
      <x:c r="G425" s="50" t="str">
        <x:f>IF(417&gt;$H$4,"",IF(INDEX('Fleet dates'!$G$9:$G$1008,$I425-8)="","",INDEX('Fleet dates'!$G$9:$G$1008,$I425-8)))</x:f>
      </x:c>
      <x:c r="H425" s="50" t="str">
        <x:f>IF(417&gt;$H$4,"",IF(INDEX('Fleet dates'!$I$9:$I$1008,$I425-8)="","",INDEX('Fleet dates'!$I$9:$I$1008,$I425-8)))</x:f>
      </x:c>
      <x:c r="I425" t="str">
        <x:f>IF(417&gt;$H$4,"",MATCH(417,'Fleet dates'!$J$9:$J$1008,0)+8)</x:f>
      </x:c>
    </x:row>
    <x:row r="426" ht="36" customHeight="1">
      <x:c r="A426" s="50" t="str">
        <x:f>IF(418&gt;$H$4,"",IF(INDEX('Fleet dates'!$A$9:$A$1008,$I426-8)="","",INDEX('Fleet dates'!$A$9:$A$1008,$I426-8)))</x:f>
      </x:c>
      <x:c r="B426" s="50" t="str">
        <x:f>IF(418&gt;$H$4,"",IF(INDEX('Fleet dates'!$B$9:$B$1008,$I426-8)="","",INDEX('Fleet dates'!$B$9:$B$1008,$I426-8)))</x:f>
      </x:c>
      <x:c r="C426" s="51" t="str">
        <x:f>IF(418&gt;$H$4,"",IF(INDEX('Fleet dates'!$C$9:$C$1008,$I426-8)="","",INDEX('Fleet dates'!$C$9:$C$1008,$I426-8)))</x:f>
      </x:c>
      <x:c r="D426" s="51" t="str">
        <x:f>IF(418&gt;$H$4,"",IF(INDEX('Fleet dates'!$D$9:$D$1008,$I426-8)="","",INDEX('Fleet dates'!$D$9:$D$1008,$I426-8)))</x:f>
      </x:c>
      <x:c r="E426" s="51" t="str">
        <x:f>IF(418&gt;$H$4,"",IF(INDEX('Fleet dates'!$E$9:$E$1008,$I426-8)="","",INDEX('Fleet dates'!$E$9:$E$1008,$I426-8)))</x:f>
      </x:c>
      <x:c r="F426" s="51" t="str">
        <x:f>IF(418&gt;$H$4,"",IF(INDEX('Fleet dates'!$F$9:$F$1008,$I426-8)="","",INDEX('Fleet dates'!$F$9:$F$1008,$I426-8)))</x:f>
      </x:c>
      <x:c r="G426" s="50" t="str">
        <x:f>IF(418&gt;$H$4,"",IF(INDEX('Fleet dates'!$G$9:$G$1008,$I426-8)="","",INDEX('Fleet dates'!$G$9:$G$1008,$I426-8)))</x:f>
      </x:c>
      <x:c r="H426" s="50" t="str">
        <x:f>IF(418&gt;$H$4,"",IF(INDEX('Fleet dates'!$I$9:$I$1008,$I426-8)="","",INDEX('Fleet dates'!$I$9:$I$1008,$I426-8)))</x:f>
      </x:c>
      <x:c r="I426" t="str">
        <x:f>IF(418&gt;$H$4,"",MATCH(418,'Fleet dates'!$J$9:$J$1008,0)+8)</x:f>
      </x:c>
    </x:row>
    <x:row r="427" ht="36" customHeight="1">
      <x:c r="A427" s="50" t="str">
        <x:f>IF(419&gt;$H$4,"",IF(INDEX('Fleet dates'!$A$9:$A$1008,$I427-8)="","",INDEX('Fleet dates'!$A$9:$A$1008,$I427-8)))</x:f>
      </x:c>
      <x:c r="B427" s="50" t="str">
        <x:f>IF(419&gt;$H$4,"",IF(INDEX('Fleet dates'!$B$9:$B$1008,$I427-8)="","",INDEX('Fleet dates'!$B$9:$B$1008,$I427-8)))</x:f>
      </x:c>
      <x:c r="C427" s="51" t="str">
        <x:f>IF(419&gt;$H$4,"",IF(INDEX('Fleet dates'!$C$9:$C$1008,$I427-8)="","",INDEX('Fleet dates'!$C$9:$C$1008,$I427-8)))</x:f>
      </x:c>
      <x:c r="D427" s="51" t="str">
        <x:f>IF(419&gt;$H$4,"",IF(INDEX('Fleet dates'!$D$9:$D$1008,$I427-8)="","",INDEX('Fleet dates'!$D$9:$D$1008,$I427-8)))</x:f>
      </x:c>
      <x:c r="E427" s="51" t="str">
        <x:f>IF(419&gt;$H$4,"",IF(INDEX('Fleet dates'!$E$9:$E$1008,$I427-8)="","",INDEX('Fleet dates'!$E$9:$E$1008,$I427-8)))</x:f>
      </x:c>
      <x:c r="F427" s="51" t="str">
        <x:f>IF(419&gt;$H$4,"",IF(INDEX('Fleet dates'!$F$9:$F$1008,$I427-8)="","",INDEX('Fleet dates'!$F$9:$F$1008,$I427-8)))</x:f>
      </x:c>
      <x:c r="G427" s="50" t="str">
        <x:f>IF(419&gt;$H$4,"",IF(INDEX('Fleet dates'!$G$9:$G$1008,$I427-8)="","",INDEX('Fleet dates'!$G$9:$G$1008,$I427-8)))</x:f>
      </x:c>
      <x:c r="H427" s="50" t="str">
        <x:f>IF(419&gt;$H$4,"",IF(INDEX('Fleet dates'!$I$9:$I$1008,$I427-8)="","",INDEX('Fleet dates'!$I$9:$I$1008,$I427-8)))</x:f>
      </x:c>
      <x:c r="I427" t="str">
        <x:f>IF(419&gt;$H$4,"",MATCH(419,'Fleet dates'!$J$9:$J$1008,0)+8)</x:f>
      </x:c>
    </x:row>
    <x:row r="428" ht="36" customHeight="1">
      <x:c r="A428" s="50" t="str">
        <x:f>IF(420&gt;$H$4,"",IF(INDEX('Fleet dates'!$A$9:$A$1008,$I428-8)="","",INDEX('Fleet dates'!$A$9:$A$1008,$I428-8)))</x:f>
      </x:c>
      <x:c r="B428" s="50" t="str">
        <x:f>IF(420&gt;$H$4,"",IF(INDEX('Fleet dates'!$B$9:$B$1008,$I428-8)="","",INDEX('Fleet dates'!$B$9:$B$1008,$I428-8)))</x:f>
      </x:c>
      <x:c r="C428" s="51" t="str">
        <x:f>IF(420&gt;$H$4,"",IF(INDEX('Fleet dates'!$C$9:$C$1008,$I428-8)="","",INDEX('Fleet dates'!$C$9:$C$1008,$I428-8)))</x:f>
      </x:c>
      <x:c r="D428" s="51" t="str">
        <x:f>IF(420&gt;$H$4,"",IF(INDEX('Fleet dates'!$D$9:$D$1008,$I428-8)="","",INDEX('Fleet dates'!$D$9:$D$1008,$I428-8)))</x:f>
      </x:c>
      <x:c r="E428" s="51" t="str">
        <x:f>IF(420&gt;$H$4,"",IF(INDEX('Fleet dates'!$E$9:$E$1008,$I428-8)="","",INDEX('Fleet dates'!$E$9:$E$1008,$I428-8)))</x:f>
      </x:c>
      <x:c r="F428" s="51" t="str">
        <x:f>IF(420&gt;$H$4,"",IF(INDEX('Fleet dates'!$F$9:$F$1008,$I428-8)="","",INDEX('Fleet dates'!$F$9:$F$1008,$I428-8)))</x:f>
      </x:c>
      <x:c r="G428" s="50" t="str">
        <x:f>IF(420&gt;$H$4,"",IF(INDEX('Fleet dates'!$G$9:$G$1008,$I428-8)="","",INDEX('Fleet dates'!$G$9:$G$1008,$I428-8)))</x:f>
      </x:c>
      <x:c r="H428" s="50" t="str">
        <x:f>IF(420&gt;$H$4,"",IF(INDEX('Fleet dates'!$I$9:$I$1008,$I428-8)="","",INDEX('Fleet dates'!$I$9:$I$1008,$I428-8)))</x:f>
      </x:c>
      <x:c r="I428" t="str">
        <x:f>IF(420&gt;$H$4,"",MATCH(420,'Fleet dates'!$J$9:$J$1008,0)+8)</x:f>
      </x:c>
    </x:row>
    <x:row r="429" ht="36" customHeight="1">
      <x:c r="A429" s="50" t="str">
        <x:f>IF(421&gt;$H$4,"",IF(INDEX('Fleet dates'!$A$9:$A$1008,$I429-8)="","",INDEX('Fleet dates'!$A$9:$A$1008,$I429-8)))</x:f>
      </x:c>
      <x:c r="B429" s="50" t="str">
        <x:f>IF(421&gt;$H$4,"",IF(INDEX('Fleet dates'!$B$9:$B$1008,$I429-8)="","",INDEX('Fleet dates'!$B$9:$B$1008,$I429-8)))</x:f>
      </x:c>
      <x:c r="C429" s="51" t="str">
        <x:f>IF(421&gt;$H$4,"",IF(INDEX('Fleet dates'!$C$9:$C$1008,$I429-8)="","",INDEX('Fleet dates'!$C$9:$C$1008,$I429-8)))</x:f>
      </x:c>
      <x:c r="D429" s="51" t="str">
        <x:f>IF(421&gt;$H$4,"",IF(INDEX('Fleet dates'!$D$9:$D$1008,$I429-8)="","",INDEX('Fleet dates'!$D$9:$D$1008,$I429-8)))</x:f>
      </x:c>
      <x:c r="E429" s="51" t="str">
        <x:f>IF(421&gt;$H$4,"",IF(INDEX('Fleet dates'!$E$9:$E$1008,$I429-8)="","",INDEX('Fleet dates'!$E$9:$E$1008,$I429-8)))</x:f>
      </x:c>
      <x:c r="F429" s="51" t="str">
        <x:f>IF(421&gt;$H$4,"",IF(INDEX('Fleet dates'!$F$9:$F$1008,$I429-8)="","",INDEX('Fleet dates'!$F$9:$F$1008,$I429-8)))</x:f>
      </x:c>
      <x:c r="G429" s="50" t="str">
        <x:f>IF(421&gt;$H$4,"",IF(INDEX('Fleet dates'!$G$9:$G$1008,$I429-8)="","",INDEX('Fleet dates'!$G$9:$G$1008,$I429-8)))</x:f>
      </x:c>
      <x:c r="H429" s="50" t="str">
        <x:f>IF(421&gt;$H$4,"",IF(INDEX('Fleet dates'!$I$9:$I$1008,$I429-8)="","",INDEX('Fleet dates'!$I$9:$I$1008,$I429-8)))</x:f>
      </x:c>
      <x:c r="I429" t="str">
        <x:f>IF(421&gt;$H$4,"",MATCH(421,'Fleet dates'!$J$9:$J$1008,0)+8)</x:f>
      </x:c>
    </x:row>
    <x:row r="430" ht="36" customHeight="1">
      <x:c r="A430" s="50" t="str">
        <x:f>IF(422&gt;$H$4,"",IF(INDEX('Fleet dates'!$A$9:$A$1008,$I430-8)="","",INDEX('Fleet dates'!$A$9:$A$1008,$I430-8)))</x:f>
      </x:c>
      <x:c r="B430" s="50" t="str">
        <x:f>IF(422&gt;$H$4,"",IF(INDEX('Fleet dates'!$B$9:$B$1008,$I430-8)="","",INDEX('Fleet dates'!$B$9:$B$1008,$I430-8)))</x:f>
      </x:c>
      <x:c r="C430" s="51" t="str">
        <x:f>IF(422&gt;$H$4,"",IF(INDEX('Fleet dates'!$C$9:$C$1008,$I430-8)="","",INDEX('Fleet dates'!$C$9:$C$1008,$I430-8)))</x:f>
      </x:c>
      <x:c r="D430" s="51" t="str">
        <x:f>IF(422&gt;$H$4,"",IF(INDEX('Fleet dates'!$D$9:$D$1008,$I430-8)="","",INDEX('Fleet dates'!$D$9:$D$1008,$I430-8)))</x:f>
      </x:c>
      <x:c r="E430" s="51" t="str">
        <x:f>IF(422&gt;$H$4,"",IF(INDEX('Fleet dates'!$E$9:$E$1008,$I430-8)="","",INDEX('Fleet dates'!$E$9:$E$1008,$I430-8)))</x:f>
      </x:c>
      <x:c r="F430" s="51" t="str">
        <x:f>IF(422&gt;$H$4,"",IF(INDEX('Fleet dates'!$F$9:$F$1008,$I430-8)="","",INDEX('Fleet dates'!$F$9:$F$1008,$I430-8)))</x:f>
      </x:c>
      <x:c r="G430" s="50" t="str">
        <x:f>IF(422&gt;$H$4,"",IF(INDEX('Fleet dates'!$G$9:$G$1008,$I430-8)="","",INDEX('Fleet dates'!$G$9:$G$1008,$I430-8)))</x:f>
      </x:c>
      <x:c r="H430" s="50" t="str">
        <x:f>IF(422&gt;$H$4,"",IF(INDEX('Fleet dates'!$I$9:$I$1008,$I430-8)="","",INDEX('Fleet dates'!$I$9:$I$1008,$I430-8)))</x:f>
      </x:c>
      <x:c r="I430" t="str">
        <x:f>IF(422&gt;$H$4,"",MATCH(422,'Fleet dates'!$J$9:$J$1008,0)+8)</x:f>
      </x:c>
    </x:row>
    <x:row r="431" ht="36" customHeight="1">
      <x:c r="A431" s="50" t="str">
        <x:f>IF(423&gt;$H$4,"",IF(INDEX('Fleet dates'!$A$9:$A$1008,$I431-8)="","",INDEX('Fleet dates'!$A$9:$A$1008,$I431-8)))</x:f>
      </x:c>
      <x:c r="B431" s="50" t="str">
        <x:f>IF(423&gt;$H$4,"",IF(INDEX('Fleet dates'!$B$9:$B$1008,$I431-8)="","",INDEX('Fleet dates'!$B$9:$B$1008,$I431-8)))</x:f>
      </x:c>
      <x:c r="C431" s="51" t="str">
        <x:f>IF(423&gt;$H$4,"",IF(INDEX('Fleet dates'!$C$9:$C$1008,$I431-8)="","",INDEX('Fleet dates'!$C$9:$C$1008,$I431-8)))</x:f>
      </x:c>
      <x:c r="D431" s="51" t="str">
        <x:f>IF(423&gt;$H$4,"",IF(INDEX('Fleet dates'!$D$9:$D$1008,$I431-8)="","",INDEX('Fleet dates'!$D$9:$D$1008,$I431-8)))</x:f>
      </x:c>
      <x:c r="E431" s="51" t="str">
        <x:f>IF(423&gt;$H$4,"",IF(INDEX('Fleet dates'!$E$9:$E$1008,$I431-8)="","",INDEX('Fleet dates'!$E$9:$E$1008,$I431-8)))</x:f>
      </x:c>
      <x:c r="F431" s="51" t="str">
        <x:f>IF(423&gt;$H$4,"",IF(INDEX('Fleet dates'!$F$9:$F$1008,$I431-8)="","",INDEX('Fleet dates'!$F$9:$F$1008,$I431-8)))</x:f>
      </x:c>
      <x:c r="G431" s="50" t="str">
        <x:f>IF(423&gt;$H$4,"",IF(INDEX('Fleet dates'!$G$9:$G$1008,$I431-8)="","",INDEX('Fleet dates'!$G$9:$G$1008,$I431-8)))</x:f>
      </x:c>
      <x:c r="H431" s="50" t="str">
        <x:f>IF(423&gt;$H$4,"",IF(INDEX('Fleet dates'!$I$9:$I$1008,$I431-8)="","",INDEX('Fleet dates'!$I$9:$I$1008,$I431-8)))</x:f>
      </x:c>
      <x:c r="I431" t="str">
        <x:f>IF(423&gt;$H$4,"",MATCH(423,'Fleet dates'!$J$9:$J$1008,0)+8)</x:f>
      </x:c>
    </x:row>
    <x:row r="432" ht="36" customHeight="1">
      <x:c r="A432" s="50" t="str">
        <x:f>IF(424&gt;$H$4,"",IF(INDEX('Fleet dates'!$A$9:$A$1008,$I432-8)="","",INDEX('Fleet dates'!$A$9:$A$1008,$I432-8)))</x:f>
      </x:c>
      <x:c r="B432" s="50" t="str">
        <x:f>IF(424&gt;$H$4,"",IF(INDEX('Fleet dates'!$B$9:$B$1008,$I432-8)="","",INDEX('Fleet dates'!$B$9:$B$1008,$I432-8)))</x:f>
      </x:c>
      <x:c r="C432" s="51" t="str">
        <x:f>IF(424&gt;$H$4,"",IF(INDEX('Fleet dates'!$C$9:$C$1008,$I432-8)="","",INDEX('Fleet dates'!$C$9:$C$1008,$I432-8)))</x:f>
      </x:c>
      <x:c r="D432" s="51" t="str">
        <x:f>IF(424&gt;$H$4,"",IF(INDEX('Fleet dates'!$D$9:$D$1008,$I432-8)="","",INDEX('Fleet dates'!$D$9:$D$1008,$I432-8)))</x:f>
      </x:c>
      <x:c r="E432" s="51" t="str">
        <x:f>IF(424&gt;$H$4,"",IF(INDEX('Fleet dates'!$E$9:$E$1008,$I432-8)="","",INDEX('Fleet dates'!$E$9:$E$1008,$I432-8)))</x:f>
      </x:c>
      <x:c r="F432" s="51" t="str">
        <x:f>IF(424&gt;$H$4,"",IF(INDEX('Fleet dates'!$F$9:$F$1008,$I432-8)="","",INDEX('Fleet dates'!$F$9:$F$1008,$I432-8)))</x:f>
      </x:c>
      <x:c r="G432" s="50" t="str">
        <x:f>IF(424&gt;$H$4,"",IF(INDEX('Fleet dates'!$G$9:$G$1008,$I432-8)="","",INDEX('Fleet dates'!$G$9:$G$1008,$I432-8)))</x:f>
      </x:c>
      <x:c r="H432" s="50" t="str">
        <x:f>IF(424&gt;$H$4,"",IF(INDEX('Fleet dates'!$I$9:$I$1008,$I432-8)="","",INDEX('Fleet dates'!$I$9:$I$1008,$I432-8)))</x:f>
      </x:c>
      <x:c r="I432" t="str">
        <x:f>IF(424&gt;$H$4,"",MATCH(424,'Fleet dates'!$J$9:$J$1008,0)+8)</x:f>
      </x:c>
    </x:row>
    <x:row r="433" ht="36" customHeight="1">
      <x:c r="A433" s="50" t="str">
        <x:f>IF(425&gt;$H$4,"",IF(INDEX('Fleet dates'!$A$9:$A$1008,$I433-8)="","",INDEX('Fleet dates'!$A$9:$A$1008,$I433-8)))</x:f>
      </x:c>
      <x:c r="B433" s="50" t="str">
        <x:f>IF(425&gt;$H$4,"",IF(INDEX('Fleet dates'!$B$9:$B$1008,$I433-8)="","",INDEX('Fleet dates'!$B$9:$B$1008,$I433-8)))</x:f>
      </x:c>
      <x:c r="C433" s="51" t="str">
        <x:f>IF(425&gt;$H$4,"",IF(INDEX('Fleet dates'!$C$9:$C$1008,$I433-8)="","",INDEX('Fleet dates'!$C$9:$C$1008,$I433-8)))</x:f>
      </x:c>
      <x:c r="D433" s="51" t="str">
        <x:f>IF(425&gt;$H$4,"",IF(INDEX('Fleet dates'!$D$9:$D$1008,$I433-8)="","",INDEX('Fleet dates'!$D$9:$D$1008,$I433-8)))</x:f>
      </x:c>
      <x:c r="E433" s="51" t="str">
        <x:f>IF(425&gt;$H$4,"",IF(INDEX('Fleet dates'!$E$9:$E$1008,$I433-8)="","",INDEX('Fleet dates'!$E$9:$E$1008,$I433-8)))</x:f>
      </x:c>
      <x:c r="F433" s="51" t="str">
        <x:f>IF(425&gt;$H$4,"",IF(INDEX('Fleet dates'!$F$9:$F$1008,$I433-8)="","",INDEX('Fleet dates'!$F$9:$F$1008,$I433-8)))</x:f>
      </x:c>
      <x:c r="G433" s="50" t="str">
        <x:f>IF(425&gt;$H$4,"",IF(INDEX('Fleet dates'!$G$9:$G$1008,$I433-8)="","",INDEX('Fleet dates'!$G$9:$G$1008,$I433-8)))</x:f>
      </x:c>
      <x:c r="H433" s="50" t="str">
        <x:f>IF(425&gt;$H$4,"",IF(INDEX('Fleet dates'!$I$9:$I$1008,$I433-8)="","",INDEX('Fleet dates'!$I$9:$I$1008,$I433-8)))</x:f>
      </x:c>
      <x:c r="I433" t="str">
        <x:f>IF(425&gt;$H$4,"",MATCH(425,'Fleet dates'!$J$9:$J$1008,0)+8)</x:f>
      </x:c>
    </x:row>
    <x:row r="434" ht="36" customHeight="1">
      <x:c r="A434" s="50" t="str">
        <x:f>IF(426&gt;$H$4,"",IF(INDEX('Fleet dates'!$A$9:$A$1008,$I434-8)="","",INDEX('Fleet dates'!$A$9:$A$1008,$I434-8)))</x:f>
      </x:c>
      <x:c r="B434" s="50" t="str">
        <x:f>IF(426&gt;$H$4,"",IF(INDEX('Fleet dates'!$B$9:$B$1008,$I434-8)="","",INDEX('Fleet dates'!$B$9:$B$1008,$I434-8)))</x:f>
      </x:c>
      <x:c r="C434" s="51" t="str">
        <x:f>IF(426&gt;$H$4,"",IF(INDEX('Fleet dates'!$C$9:$C$1008,$I434-8)="","",INDEX('Fleet dates'!$C$9:$C$1008,$I434-8)))</x:f>
      </x:c>
      <x:c r="D434" s="51" t="str">
        <x:f>IF(426&gt;$H$4,"",IF(INDEX('Fleet dates'!$D$9:$D$1008,$I434-8)="","",INDEX('Fleet dates'!$D$9:$D$1008,$I434-8)))</x:f>
      </x:c>
      <x:c r="E434" s="51" t="str">
        <x:f>IF(426&gt;$H$4,"",IF(INDEX('Fleet dates'!$E$9:$E$1008,$I434-8)="","",INDEX('Fleet dates'!$E$9:$E$1008,$I434-8)))</x:f>
      </x:c>
      <x:c r="F434" s="51" t="str">
        <x:f>IF(426&gt;$H$4,"",IF(INDEX('Fleet dates'!$F$9:$F$1008,$I434-8)="","",INDEX('Fleet dates'!$F$9:$F$1008,$I434-8)))</x:f>
      </x:c>
      <x:c r="G434" s="50" t="str">
        <x:f>IF(426&gt;$H$4,"",IF(INDEX('Fleet dates'!$G$9:$G$1008,$I434-8)="","",INDEX('Fleet dates'!$G$9:$G$1008,$I434-8)))</x:f>
      </x:c>
      <x:c r="H434" s="50" t="str">
        <x:f>IF(426&gt;$H$4,"",IF(INDEX('Fleet dates'!$I$9:$I$1008,$I434-8)="","",INDEX('Fleet dates'!$I$9:$I$1008,$I434-8)))</x:f>
      </x:c>
      <x:c r="I434" t="str">
        <x:f>IF(426&gt;$H$4,"",MATCH(426,'Fleet dates'!$J$9:$J$1008,0)+8)</x:f>
      </x:c>
    </x:row>
    <x:row r="435" ht="36" customHeight="1">
      <x:c r="A435" s="50" t="str">
        <x:f>IF(427&gt;$H$4,"",IF(INDEX('Fleet dates'!$A$9:$A$1008,$I435-8)="","",INDEX('Fleet dates'!$A$9:$A$1008,$I435-8)))</x:f>
      </x:c>
      <x:c r="B435" s="50" t="str">
        <x:f>IF(427&gt;$H$4,"",IF(INDEX('Fleet dates'!$B$9:$B$1008,$I435-8)="","",INDEX('Fleet dates'!$B$9:$B$1008,$I435-8)))</x:f>
      </x:c>
      <x:c r="C435" s="51" t="str">
        <x:f>IF(427&gt;$H$4,"",IF(INDEX('Fleet dates'!$C$9:$C$1008,$I435-8)="","",INDEX('Fleet dates'!$C$9:$C$1008,$I435-8)))</x:f>
      </x:c>
      <x:c r="D435" s="51" t="str">
        <x:f>IF(427&gt;$H$4,"",IF(INDEX('Fleet dates'!$D$9:$D$1008,$I435-8)="","",INDEX('Fleet dates'!$D$9:$D$1008,$I435-8)))</x:f>
      </x:c>
      <x:c r="E435" s="51" t="str">
        <x:f>IF(427&gt;$H$4,"",IF(INDEX('Fleet dates'!$E$9:$E$1008,$I435-8)="","",INDEX('Fleet dates'!$E$9:$E$1008,$I435-8)))</x:f>
      </x:c>
      <x:c r="F435" s="51" t="str">
        <x:f>IF(427&gt;$H$4,"",IF(INDEX('Fleet dates'!$F$9:$F$1008,$I435-8)="","",INDEX('Fleet dates'!$F$9:$F$1008,$I435-8)))</x:f>
      </x:c>
      <x:c r="G435" s="50" t="str">
        <x:f>IF(427&gt;$H$4,"",IF(INDEX('Fleet dates'!$G$9:$G$1008,$I435-8)="","",INDEX('Fleet dates'!$G$9:$G$1008,$I435-8)))</x:f>
      </x:c>
      <x:c r="H435" s="50" t="str">
        <x:f>IF(427&gt;$H$4,"",IF(INDEX('Fleet dates'!$I$9:$I$1008,$I435-8)="","",INDEX('Fleet dates'!$I$9:$I$1008,$I435-8)))</x:f>
      </x:c>
      <x:c r="I435" t="str">
        <x:f>IF(427&gt;$H$4,"",MATCH(427,'Fleet dates'!$J$9:$J$1008,0)+8)</x:f>
      </x:c>
    </x:row>
    <x:row r="436" ht="36" customHeight="1">
      <x:c r="A436" s="50" t="str">
        <x:f>IF(428&gt;$H$4,"",IF(INDEX('Fleet dates'!$A$9:$A$1008,$I436-8)="","",INDEX('Fleet dates'!$A$9:$A$1008,$I436-8)))</x:f>
      </x:c>
      <x:c r="B436" s="50" t="str">
        <x:f>IF(428&gt;$H$4,"",IF(INDEX('Fleet dates'!$B$9:$B$1008,$I436-8)="","",INDEX('Fleet dates'!$B$9:$B$1008,$I436-8)))</x:f>
      </x:c>
      <x:c r="C436" s="51" t="str">
        <x:f>IF(428&gt;$H$4,"",IF(INDEX('Fleet dates'!$C$9:$C$1008,$I436-8)="","",INDEX('Fleet dates'!$C$9:$C$1008,$I436-8)))</x:f>
      </x:c>
      <x:c r="D436" s="51" t="str">
        <x:f>IF(428&gt;$H$4,"",IF(INDEX('Fleet dates'!$D$9:$D$1008,$I436-8)="","",INDEX('Fleet dates'!$D$9:$D$1008,$I436-8)))</x:f>
      </x:c>
      <x:c r="E436" s="51" t="str">
        <x:f>IF(428&gt;$H$4,"",IF(INDEX('Fleet dates'!$E$9:$E$1008,$I436-8)="","",INDEX('Fleet dates'!$E$9:$E$1008,$I436-8)))</x:f>
      </x:c>
      <x:c r="F436" s="51" t="str">
        <x:f>IF(428&gt;$H$4,"",IF(INDEX('Fleet dates'!$F$9:$F$1008,$I436-8)="","",INDEX('Fleet dates'!$F$9:$F$1008,$I436-8)))</x:f>
      </x:c>
      <x:c r="G436" s="50" t="str">
        <x:f>IF(428&gt;$H$4,"",IF(INDEX('Fleet dates'!$G$9:$G$1008,$I436-8)="","",INDEX('Fleet dates'!$G$9:$G$1008,$I436-8)))</x:f>
      </x:c>
      <x:c r="H436" s="50" t="str">
        <x:f>IF(428&gt;$H$4,"",IF(INDEX('Fleet dates'!$I$9:$I$1008,$I436-8)="","",INDEX('Fleet dates'!$I$9:$I$1008,$I436-8)))</x:f>
      </x:c>
      <x:c r="I436" t="str">
        <x:f>IF(428&gt;$H$4,"",MATCH(428,'Fleet dates'!$J$9:$J$1008,0)+8)</x:f>
      </x:c>
    </x:row>
    <x:row r="437" ht="36" customHeight="1">
      <x:c r="A437" s="50" t="str">
        <x:f>IF(429&gt;$H$4,"",IF(INDEX('Fleet dates'!$A$9:$A$1008,$I437-8)="","",INDEX('Fleet dates'!$A$9:$A$1008,$I437-8)))</x:f>
      </x:c>
      <x:c r="B437" s="50" t="str">
        <x:f>IF(429&gt;$H$4,"",IF(INDEX('Fleet dates'!$B$9:$B$1008,$I437-8)="","",INDEX('Fleet dates'!$B$9:$B$1008,$I437-8)))</x:f>
      </x:c>
      <x:c r="C437" s="51" t="str">
        <x:f>IF(429&gt;$H$4,"",IF(INDEX('Fleet dates'!$C$9:$C$1008,$I437-8)="","",INDEX('Fleet dates'!$C$9:$C$1008,$I437-8)))</x:f>
      </x:c>
      <x:c r="D437" s="51" t="str">
        <x:f>IF(429&gt;$H$4,"",IF(INDEX('Fleet dates'!$D$9:$D$1008,$I437-8)="","",INDEX('Fleet dates'!$D$9:$D$1008,$I437-8)))</x:f>
      </x:c>
      <x:c r="E437" s="51" t="str">
        <x:f>IF(429&gt;$H$4,"",IF(INDEX('Fleet dates'!$E$9:$E$1008,$I437-8)="","",INDEX('Fleet dates'!$E$9:$E$1008,$I437-8)))</x:f>
      </x:c>
      <x:c r="F437" s="51" t="str">
        <x:f>IF(429&gt;$H$4,"",IF(INDEX('Fleet dates'!$F$9:$F$1008,$I437-8)="","",INDEX('Fleet dates'!$F$9:$F$1008,$I437-8)))</x:f>
      </x:c>
      <x:c r="G437" s="50" t="str">
        <x:f>IF(429&gt;$H$4,"",IF(INDEX('Fleet dates'!$G$9:$G$1008,$I437-8)="","",INDEX('Fleet dates'!$G$9:$G$1008,$I437-8)))</x:f>
      </x:c>
      <x:c r="H437" s="50" t="str">
        <x:f>IF(429&gt;$H$4,"",IF(INDEX('Fleet dates'!$I$9:$I$1008,$I437-8)="","",INDEX('Fleet dates'!$I$9:$I$1008,$I437-8)))</x:f>
      </x:c>
      <x:c r="I437" t="str">
        <x:f>IF(429&gt;$H$4,"",MATCH(429,'Fleet dates'!$J$9:$J$1008,0)+8)</x:f>
      </x:c>
    </x:row>
    <x:row r="438" ht="36" customHeight="1">
      <x:c r="A438" s="50" t="str">
        <x:f>IF(430&gt;$H$4,"",IF(INDEX('Fleet dates'!$A$9:$A$1008,$I438-8)="","",INDEX('Fleet dates'!$A$9:$A$1008,$I438-8)))</x:f>
      </x:c>
      <x:c r="B438" s="50" t="str">
        <x:f>IF(430&gt;$H$4,"",IF(INDEX('Fleet dates'!$B$9:$B$1008,$I438-8)="","",INDEX('Fleet dates'!$B$9:$B$1008,$I438-8)))</x:f>
      </x:c>
      <x:c r="C438" s="51" t="str">
        <x:f>IF(430&gt;$H$4,"",IF(INDEX('Fleet dates'!$C$9:$C$1008,$I438-8)="","",INDEX('Fleet dates'!$C$9:$C$1008,$I438-8)))</x:f>
      </x:c>
      <x:c r="D438" s="51" t="str">
        <x:f>IF(430&gt;$H$4,"",IF(INDEX('Fleet dates'!$D$9:$D$1008,$I438-8)="","",INDEX('Fleet dates'!$D$9:$D$1008,$I438-8)))</x:f>
      </x:c>
      <x:c r="E438" s="51" t="str">
        <x:f>IF(430&gt;$H$4,"",IF(INDEX('Fleet dates'!$E$9:$E$1008,$I438-8)="","",INDEX('Fleet dates'!$E$9:$E$1008,$I438-8)))</x:f>
      </x:c>
      <x:c r="F438" s="51" t="str">
        <x:f>IF(430&gt;$H$4,"",IF(INDEX('Fleet dates'!$F$9:$F$1008,$I438-8)="","",INDEX('Fleet dates'!$F$9:$F$1008,$I438-8)))</x:f>
      </x:c>
      <x:c r="G438" s="50" t="str">
        <x:f>IF(430&gt;$H$4,"",IF(INDEX('Fleet dates'!$G$9:$G$1008,$I438-8)="","",INDEX('Fleet dates'!$G$9:$G$1008,$I438-8)))</x:f>
      </x:c>
      <x:c r="H438" s="50" t="str">
        <x:f>IF(430&gt;$H$4,"",IF(INDEX('Fleet dates'!$I$9:$I$1008,$I438-8)="","",INDEX('Fleet dates'!$I$9:$I$1008,$I438-8)))</x:f>
      </x:c>
      <x:c r="I438" t="str">
        <x:f>IF(430&gt;$H$4,"",MATCH(430,'Fleet dates'!$J$9:$J$1008,0)+8)</x:f>
      </x:c>
    </x:row>
    <x:row r="439" ht="36" customHeight="1">
      <x:c r="A439" s="50" t="str">
        <x:f>IF(431&gt;$H$4,"",IF(INDEX('Fleet dates'!$A$9:$A$1008,$I439-8)="","",INDEX('Fleet dates'!$A$9:$A$1008,$I439-8)))</x:f>
      </x:c>
      <x:c r="B439" s="50" t="str">
        <x:f>IF(431&gt;$H$4,"",IF(INDEX('Fleet dates'!$B$9:$B$1008,$I439-8)="","",INDEX('Fleet dates'!$B$9:$B$1008,$I439-8)))</x:f>
      </x:c>
      <x:c r="C439" s="51" t="str">
        <x:f>IF(431&gt;$H$4,"",IF(INDEX('Fleet dates'!$C$9:$C$1008,$I439-8)="","",INDEX('Fleet dates'!$C$9:$C$1008,$I439-8)))</x:f>
      </x:c>
      <x:c r="D439" s="51" t="str">
        <x:f>IF(431&gt;$H$4,"",IF(INDEX('Fleet dates'!$D$9:$D$1008,$I439-8)="","",INDEX('Fleet dates'!$D$9:$D$1008,$I439-8)))</x:f>
      </x:c>
      <x:c r="E439" s="51" t="str">
        <x:f>IF(431&gt;$H$4,"",IF(INDEX('Fleet dates'!$E$9:$E$1008,$I439-8)="","",INDEX('Fleet dates'!$E$9:$E$1008,$I439-8)))</x:f>
      </x:c>
      <x:c r="F439" s="51" t="str">
        <x:f>IF(431&gt;$H$4,"",IF(INDEX('Fleet dates'!$F$9:$F$1008,$I439-8)="","",INDEX('Fleet dates'!$F$9:$F$1008,$I439-8)))</x:f>
      </x:c>
      <x:c r="G439" s="50" t="str">
        <x:f>IF(431&gt;$H$4,"",IF(INDEX('Fleet dates'!$G$9:$G$1008,$I439-8)="","",INDEX('Fleet dates'!$G$9:$G$1008,$I439-8)))</x:f>
      </x:c>
      <x:c r="H439" s="50" t="str">
        <x:f>IF(431&gt;$H$4,"",IF(INDEX('Fleet dates'!$I$9:$I$1008,$I439-8)="","",INDEX('Fleet dates'!$I$9:$I$1008,$I439-8)))</x:f>
      </x:c>
      <x:c r="I439" t="str">
        <x:f>IF(431&gt;$H$4,"",MATCH(431,'Fleet dates'!$J$9:$J$1008,0)+8)</x:f>
      </x:c>
    </x:row>
    <x:row r="440" ht="36" customHeight="1">
      <x:c r="A440" s="50" t="str">
        <x:f>IF(432&gt;$H$4,"",IF(INDEX('Fleet dates'!$A$9:$A$1008,$I440-8)="","",INDEX('Fleet dates'!$A$9:$A$1008,$I440-8)))</x:f>
      </x:c>
      <x:c r="B440" s="50" t="str">
        <x:f>IF(432&gt;$H$4,"",IF(INDEX('Fleet dates'!$B$9:$B$1008,$I440-8)="","",INDEX('Fleet dates'!$B$9:$B$1008,$I440-8)))</x:f>
      </x:c>
      <x:c r="C440" s="51" t="str">
        <x:f>IF(432&gt;$H$4,"",IF(INDEX('Fleet dates'!$C$9:$C$1008,$I440-8)="","",INDEX('Fleet dates'!$C$9:$C$1008,$I440-8)))</x:f>
      </x:c>
      <x:c r="D440" s="51" t="str">
        <x:f>IF(432&gt;$H$4,"",IF(INDEX('Fleet dates'!$D$9:$D$1008,$I440-8)="","",INDEX('Fleet dates'!$D$9:$D$1008,$I440-8)))</x:f>
      </x:c>
      <x:c r="E440" s="51" t="str">
        <x:f>IF(432&gt;$H$4,"",IF(INDEX('Fleet dates'!$E$9:$E$1008,$I440-8)="","",INDEX('Fleet dates'!$E$9:$E$1008,$I440-8)))</x:f>
      </x:c>
      <x:c r="F440" s="51" t="str">
        <x:f>IF(432&gt;$H$4,"",IF(INDEX('Fleet dates'!$F$9:$F$1008,$I440-8)="","",INDEX('Fleet dates'!$F$9:$F$1008,$I440-8)))</x:f>
      </x:c>
      <x:c r="G440" s="50" t="str">
        <x:f>IF(432&gt;$H$4,"",IF(INDEX('Fleet dates'!$G$9:$G$1008,$I440-8)="","",INDEX('Fleet dates'!$G$9:$G$1008,$I440-8)))</x:f>
      </x:c>
      <x:c r="H440" s="50" t="str">
        <x:f>IF(432&gt;$H$4,"",IF(INDEX('Fleet dates'!$I$9:$I$1008,$I440-8)="","",INDEX('Fleet dates'!$I$9:$I$1008,$I440-8)))</x:f>
      </x:c>
      <x:c r="I440" t="str">
        <x:f>IF(432&gt;$H$4,"",MATCH(432,'Fleet dates'!$J$9:$J$1008,0)+8)</x:f>
      </x:c>
    </x:row>
    <x:row r="441" ht="36" customHeight="1">
      <x:c r="A441" s="50" t="str">
        <x:f>IF(433&gt;$H$4,"",IF(INDEX('Fleet dates'!$A$9:$A$1008,$I441-8)="","",INDEX('Fleet dates'!$A$9:$A$1008,$I441-8)))</x:f>
      </x:c>
      <x:c r="B441" s="50" t="str">
        <x:f>IF(433&gt;$H$4,"",IF(INDEX('Fleet dates'!$B$9:$B$1008,$I441-8)="","",INDEX('Fleet dates'!$B$9:$B$1008,$I441-8)))</x:f>
      </x:c>
      <x:c r="C441" s="51" t="str">
        <x:f>IF(433&gt;$H$4,"",IF(INDEX('Fleet dates'!$C$9:$C$1008,$I441-8)="","",INDEX('Fleet dates'!$C$9:$C$1008,$I441-8)))</x:f>
      </x:c>
      <x:c r="D441" s="51" t="str">
        <x:f>IF(433&gt;$H$4,"",IF(INDEX('Fleet dates'!$D$9:$D$1008,$I441-8)="","",INDEX('Fleet dates'!$D$9:$D$1008,$I441-8)))</x:f>
      </x:c>
      <x:c r="E441" s="51" t="str">
        <x:f>IF(433&gt;$H$4,"",IF(INDEX('Fleet dates'!$E$9:$E$1008,$I441-8)="","",INDEX('Fleet dates'!$E$9:$E$1008,$I441-8)))</x:f>
      </x:c>
      <x:c r="F441" s="51" t="str">
        <x:f>IF(433&gt;$H$4,"",IF(INDEX('Fleet dates'!$F$9:$F$1008,$I441-8)="","",INDEX('Fleet dates'!$F$9:$F$1008,$I441-8)))</x:f>
      </x:c>
      <x:c r="G441" s="50" t="str">
        <x:f>IF(433&gt;$H$4,"",IF(INDEX('Fleet dates'!$G$9:$G$1008,$I441-8)="","",INDEX('Fleet dates'!$G$9:$G$1008,$I441-8)))</x:f>
      </x:c>
      <x:c r="H441" s="50" t="str">
        <x:f>IF(433&gt;$H$4,"",IF(INDEX('Fleet dates'!$I$9:$I$1008,$I441-8)="","",INDEX('Fleet dates'!$I$9:$I$1008,$I441-8)))</x:f>
      </x:c>
      <x:c r="I441" t="str">
        <x:f>IF(433&gt;$H$4,"",MATCH(433,'Fleet dates'!$J$9:$J$1008,0)+8)</x:f>
      </x:c>
    </x:row>
    <x:row r="442" ht="36" customHeight="1">
      <x:c r="A442" s="50" t="str">
        <x:f>IF(434&gt;$H$4,"",IF(INDEX('Fleet dates'!$A$9:$A$1008,$I442-8)="","",INDEX('Fleet dates'!$A$9:$A$1008,$I442-8)))</x:f>
      </x:c>
      <x:c r="B442" s="50" t="str">
        <x:f>IF(434&gt;$H$4,"",IF(INDEX('Fleet dates'!$B$9:$B$1008,$I442-8)="","",INDEX('Fleet dates'!$B$9:$B$1008,$I442-8)))</x:f>
      </x:c>
      <x:c r="C442" s="51" t="str">
        <x:f>IF(434&gt;$H$4,"",IF(INDEX('Fleet dates'!$C$9:$C$1008,$I442-8)="","",INDEX('Fleet dates'!$C$9:$C$1008,$I442-8)))</x:f>
      </x:c>
      <x:c r="D442" s="51" t="str">
        <x:f>IF(434&gt;$H$4,"",IF(INDEX('Fleet dates'!$D$9:$D$1008,$I442-8)="","",INDEX('Fleet dates'!$D$9:$D$1008,$I442-8)))</x:f>
      </x:c>
      <x:c r="E442" s="51" t="str">
        <x:f>IF(434&gt;$H$4,"",IF(INDEX('Fleet dates'!$E$9:$E$1008,$I442-8)="","",INDEX('Fleet dates'!$E$9:$E$1008,$I442-8)))</x:f>
      </x:c>
      <x:c r="F442" s="51" t="str">
        <x:f>IF(434&gt;$H$4,"",IF(INDEX('Fleet dates'!$F$9:$F$1008,$I442-8)="","",INDEX('Fleet dates'!$F$9:$F$1008,$I442-8)))</x:f>
      </x:c>
      <x:c r="G442" s="50" t="str">
        <x:f>IF(434&gt;$H$4,"",IF(INDEX('Fleet dates'!$G$9:$G$1008,$I442-8)="","",INDEX('Fleet dates'!$G$9:$G$1008,$I442-8)))</x:f>
      </x:c>
      <x:c r="H442" s="50" t="str">
        <x:f>IF(434&gt;$H$4,"",IF(INDEX('Fleet dates'!$I$9:$I$1008,$I442-8)="","",INDEX('Fleet dates'!$I$9:$I$1008,$I442-8)))</x:f>
      </x:c>
      <x:c r="I442" t="str">
        <x:f>IF(434&gt;$H$4,"",MATCH(434,'Fleet dates'!$J$9:$J$1008,0)+8)</x:f>
      </x:c>
    </x:row>
    <x:row r="443" ht="36" customHeight="1">
      <x:c r="A443" s="50" t="str">
        <x:f>IF(435&gt;$H$4,"",IF(INDEX('Fleet dates'!$A$9:$A$1008,$I443-8)="","",INDEX('Fleet dates'!$A$9:$A$1008,$I443-8)))</x:f>
      </x:c>
      <x:c r="B443" s="50" t="str">
        <x:f>IF(435&gt;$H$4,"",IF(INDEX('Fleet dates'!$B$9:$B$1008,$I443-8)="","",INDEX('Fleet dates'!$B$9:$B$1008,$I443-8)))</x:f>
      </x:c>
      <x:c r="C443" s="51" t="str">
        <x:f>IF(435&gt;$H$4,"",IF(INDEX('Fleet dates'!$C$9:$C$1008,$I443-8)="","",INDEX('Fleet dates'!$C$9:$C$1008,$I443-8)))</x:f>
      </x:c>
      <x:c r="D443" s="51" t="str">
        <x:f>IF(435&gt;$H$4,"",IF(INDEX('Fleet dates'!$D$9:$D$1008,$I443-8)="","",INDEX('Fleet dates'!$D$9:$D$1008,$I443-8)))</x:f>
      </x:c>
      <x:c r="E443" s="51" t="str">
        <x:f>IF(435&gt;$H$4,"",IF(INDEX('Fleet dates'!$E$9:$E$1008,$I443-8)="","",INDEX('Fleet dates'!$E$9:$E$1008,$I443-8)))</x:f>
      </x:c>
      <x:c r="F443" s="51" t="str">
        <x:f>IF(435&gt;$H$4,"",IF(INDEX('Fleet dates'!$F$9:$F$1008,$I443-8)="","",INDEX('Fleet dates'!$F$9:$F$1008,$I443-8)))</x:f>
      </x:c>
      <x:c r="G443" s="50" t="str">
        <x:f>IF(435&gt;$H$4,"",IF(INDEX('Fleet dates'!$G$9:$G$1008,$I443-8)="","",INDEX('Fleet dates'!$G$9:$G$1008,$I443-8)))</x:f>
      </x:c>
      <x:c r="H443" s="50" t="str">
        <x:f>IF(435&gt;$H$4,"",IF(INDEX('Fleet dates'!$I$9:$I$1008,$I443-8)="","",INDEX('Fleet dates'!$I$9:$I$1008,$I443-8)))</x:f>
      </x:c>
      <x:c r="I443" t="str">
        <x:f>IF(435&gt;$H$4,"",MATCH(435,'Fleet dates'!$J$9:$J$1008,0)+8)</x:f>
      </x:c>
    </x:row>
    <x:row r="444" ht="36" customHeight="1">
      <x:c r="A444" s="50" t="str">
        <x:f>IF(436&gt;$H$4,"",IF(INDEX('Fleet dates'!$A$9:$A$1008,$I444-8)="","",INDEX('Fleet dates'!$A$9:$A$1008,$I444-8)))</x:f>
      </x:c>
      <x:c r="B444" s="50" t="str">
        <x:f>IF(436&gt;$H$4,"",IF(INDEX('Fleet dates'!$B$9:$B$1008,$I444-8)="","",INDEX('Fleet dates'!$B$9:$B$1008,$I444-8)))</x:f>
      </x:c>
      <x:c r="C444" s="51" t="str">
        <x:f>IF(436&gt;$H$4,"",IF(INDEX('Fleet dates'!$C$9:$C$1008,$I444-8)="","",INDEX('Fleet dates'!$C$9:$C$1008,$I444-8)))</x:f>
      </x:c>
      <x:c r="D444" s="51" t="str">
        <x:f>IF(436&gt;$H$4,"",IF(INDEX('Fleet dates'!$D$9:$D$1008,$I444-8)="","",INDEX('Fleet dates'!$D$9:$D$1008,$I444-8)))</x:f>
      </x:c>
      <x:c r="E444" s="51" t="str">
        <x:f>IF(436&gt;$H$4,"",IF(INDEX('Fleet dates'!$E$9:$E$1008,$I444-8)="","",INDEX('Fleet dates'!$E$9:$E$1008,$I444-8)))</x:f>
      </x:c>
      <x:c r="F444" s="51" t="str">
        <x:f>IF(436&gt;$H$4,"",IF(INDEX('Fleet dates'!$F$9:$F$1008,$I444-8)="","",INDEX('Fleet dates'!$F$9:$F$1008,$I444-8)))</x:f>
      </x:c>
      <x:c r="G444" s="50" t="str">
        <x:f>IF(436&gt;$H$4,"",IF(INDEX('Fleet dates'!$G$9:$G$1008,$I444-8)="","",INDEX('Fleet dates'!$G$9:$G$1008,$I444-8)))</x:f>
      </x:c>
      <x:c r="H444" s="50" t="str">
        <x:f>IF(436&gt;$H$4,"",IF(INDEX('Fleet dates'!$I$9:$I$1008,$I444-8)="","",INDEX('Fleet dates'!$I$9:$I$1008,$I444-8)))</x:f>
      </x:c>
      <x:c r="I444" t="str">
        <x:f>IF(436&gt;$H$4,"",MATCH(436,'Fleet dates'!$J$9:$J$1008,0)+8)</x:f>
      </x:c>
    </x:row>
    <x:row r="445" ht="36" customHeight="1">
      <x:c r="A445" s="50" t="str">
        <x:f>IF(437&gt;$H$4,"",IF(INDEX('Fleet dates'!$A$9:$A$1008,$I445-8)="","",INDEX('Fleet dates'!$A$9:$A$1008,$I445-8)))</x:f>
      </x:c>
      <x:c r="B445" s="50" t="str">
        <x:f>IF(437&gt;$H$4,"",IF(INDEX('Fleet dates'!$B$9:$B$1008,$I445-8)="","",INDEX('Fleet dates'!$B$9:$B$1008,$I445-8)))</x:f>
      </x:c>
      <x:c r="C445" s="51" t="str">
        <x:f>IF(437&gt;$H$4,"",IF(INDEX('Fleet dates'!$C$9:$C$1008,$I445-8)="","",INDEX('Fleet dates'!$C$9:$C$1008,$I445-8)))</x:f>
      </x:c>
      <x:c r="D445" s="51" t="str">
        <x:f>IF(437&gt;$H$4,"",IF(INDEX('Fleet dates'!$D$9:$D$1008,$I445-8)="","",INDEX('Fleet dates'!$D$9:$D$1008,$I445-8)))</x:f>
      </x:c>
      <x:c r="E445" s="51" t="str">
        <x:f>IF(437&gt;$H$4,"",IF(INDEX('Fleet dates'!$E$9:$E$1008,$I445-8)="","",INDEX('Fleet dates'!$E$9:$E$1008,$I445-8)))</x:f>
      </x:c>
      <x:c r="F445" s="51" t="str">
        <x:f>IF(437&gt;$H$4,"",IF(INDEX('Fleet dates'!$F$9:$F$1008,$I445-8)="","",INDEX('Fleet dates'!$F$9:$F$1008,$I445-8)))</x:f>
      </x:c>
      <x:c r="G445" s="50" t="str">
        <x:f>IF(437&gt;$H$4,"",IF(INDEX('Fleet dates'!$G$9:$G$1008,$I445-8)="","",INDEX('Fleet dates'!$G$9:$G$1008,$I445-8)))</x:f>
      </x:c>
      <x:c r="H445" s="50" t="str">
        <x:f>IF(437&gt;$H$4,"",IF(INDEX('Fleet dates'!$I$9:$I$1008,$I445-8)="","",INDEX('Fleet dates'!$I$9:$I$1008,$I445-8)))</x:f>
      </x:c>
      <x:c r="I445" t="str">
        <x:f>IF(437&gt;$H$4,"",MATCH(437,'Fleet dates'!$J$9:$J$1008,0)+8)</x:f>
      </x:c>
    </x:row>
    <x:row r="446" ht="36" customHeight="1">
      <x:c r="A446" s="50" t="str">
        <x:f>IF(438&gt;$H$4,"",IF(INDEX('Fleet dates'!$A$9:$A$1008,$I446-8)="","",INDEX('Fleet dates'!$A$9:$A$1008,$I446-8)))</x:f>
      </x:c>
      <x:c r="B446" s="50" t="str">
        <x:f>IF(438&gt;$H$4,"",IF(INDEX('Fleet dates'!$B$9:$B$1008,$I446-8)="","",INDEX('Fleet dates'!$B$9:$B$1008,$I446-8)))</x:f>
      </x:c>
      <x:c r="C446" s="51" t="str">
        <x:f>IF(438&gt;$H$4,"",IF(INDEX('Fleet dates'!$C$9:$C$1008,$I446-8)="","",INDEX('Fleet dates'!$C$9:$C$1008,$I446-8)))</x:f>
      </x:c>
      <x:c r="D446" s="51" t="str">
        <x:f>IF(438&gt;$H$4,"",IF(INDEX('Fleet dates'!$D$9:$D$1008,$I446-8)="","",INDEX('Fleet dates'!$D$9:$D$1008,$I446-8)))</x:f>
      </x:c>
      <x:c r="E446" s="51" t="str">
        <x:f>IF(438&gt;$H$4,"",IF(INDEX('Fleet dates'!$E$9:$E$1008,$I446-8)="","",INDEX('Fleet dates'!$E$9:$E$1008,$I446-8)))</x:f>
      </x:c>
      <x:c r="F446" s="51" t="str">
        <x:f>IF(438&gt;$H$4,"",IF(INDEX('Fleet dates'!$F$9:$F$1008,$I446-8)="","",INDEX('Fleet dates'!$F$9:$F$1008,$I446-8)))</x:f>
      </x:c>
      <x:c r="G446" s="50" t="str">
        <x:f>IF(438&gt;$H$4,"",IF(INDEX('Fleet dates'!$G$9:$G$1008,$I446-8)="","",INDEX('Fleet dates'!$G$9:$G$1008,$I446-8)))</x:f>
      </x:c>
      <x:c r="H446" s="50" t="str">
        <x:f>IF(438&gt;$H$4,"",IF(INDEX('Fleet dates'!$I$9:$I$1008,$I446-8)="","",INDEX('Fleet dates'!$I$9:$I$1008,$I446-8)))</x:f>
      </x:c>
      <x:c r="I446" t="str">
        <x:f>IF(438&gt;$H$4,"",MATCH(438,'Fleet dates'!$J$9:$J$1008,0)+8)</x:f>
      </x:c>
    </x:row>
    <x:row r="447" ht="36" customHeight="1">
      <x:c r="A447" s="50" t="str">
        <x:f>IF(439&gt;$H$4,"",IF(INDEX('Fleet dates'!$A$9:$A$1008,$I447-8)="","",INDEX('Fleet dates'!$A$9:$A$1008,$I447-8)))</x:f>
      </x:c>
      <x:c r="B447" s="50" t="str">
        <x:f>IF(439&gt;$H$4,"",IF(INDEX('Fleet dates'!$B$9:$B$1008,$I447-8)="","",INDEX('Fleet dates'!$B$9:$B$1008,$I447-8)))</x:f>
      </x:c>
      <x:c r="C447" s="51" t="str">
        <x:f>IF(439&gt;$H$4,"",IF(INDEX('Fleet dates'!$C$9:$C$1008,$I447-8)="","",INDEX('Fleet dates'!$C$9:$C$1008,$I447-8)))</x:f>
      </x:c>
      <x:c r="D447" s="51" t="str">
        <x:f>IF(439&gt;$H$4,"",IF(INDEX('Fleet dates'!$D$9:$D$1008,$I447-8)="","",INDEX('Fleet dates'!$D$9:$D$1008,$I447-8)))</x:f>
      </x:c>
      <x:c r="E447" s="51" t="str">
        <x:f>IF(439&gt;$H$4,"",IF(INDEX('Fleet dates'!$E$9:$E$1008,$I447-8)="","",INDEX('Fleet dates'!$E$9:$E$1008,$I447-8)))</x:f>
      </x:c>
      <x:c r="F447" s="51" t="str">
        <x:f>IF(439&gt;$H$4,"",IF(INDEX('Fleet dates'!$F$9:$F$1008,$I447-8)="","",INDEX('Fleet dates'!$F$9:$F$1008,$I447-8)))</x:f>
      </x:c>
      <x:c r="G447" s="50" t="str">
        <x:f>IF(439&gt;$H$4,"",IF(INDEX('Fleet dates'!$G$9:$G$1008,$I447-8)="","",INDEX('Fleet dates'!$G$9:$G$1008,$I447-8)))</x:f>
      </x:c>
      <x:c r="H447" s="50" t="str">
        <x:f>IF(439&gt;$H$4,"",IF(INDEX('Fleet dates'!$I$9:$I$1008,$I447-8)="","",INDEX('Fleet dates'!$I$9:$I$1008,$I447-8)))</x:f>
      </x:c>
      <x:c r="I447" t="str">
        <x:f>IF(439&gt;$H$4,"",MATCH(439,'Fleet dates'!$J$9:$J$1008,0)+8)</x:f>
      </x:c>
    </x:row>
    <x:row r="448" ht="36" customHeight="1">
      <x:c r="A448" s="50" t="str">
        <x:f>IF(440&gt;$H$4,"",IF(INDEX('Fleet dates'!$A$9:$A$1008,$I448-8)="","",INDEX('Fleet dates'!$A$9:$A$1008,$I448-8)))</x:f>
      </x:c>
      <x:c r="B448" s="50" t="str">
        <x:f>IF(440&gt;$H$4,"",IF(INDEX('Fleet dates'!$B$9:$B$1008,$I448-8)="","",INDEX('Fleet dates'!$B$9:$B$1008,$I448-8)))</x:f>
      </x:c>
      <x:c r="C448" s="51" t="str">
        <x:f>IF(440&gt;$H$4,"",IF(INDEX('Fleet dates'!$C$9:$C$1008,$I448-8)="","",INDEX('Fleet dates'!$C$9:$C$1008,$I448-8)))</x:f>
      </x:c>
      <x:c r="D448" s="51" t="str">
        <x:f>IF(440&gt;$H$4,"",IF(INDEX('Fleet dates'!$D$9:$D$1008,$I448-8)="","",INDEX('Fleet dates'!$D$9:$D$1008,$I448-8)))</x:f>
      </x:c>
      <x:c r="E448" s="51" t="str">
        <x:f>IF(440&gt;$H$4,"",IF(INDEX('Fleet dates'!$E$9:$E$1008,$I448-8)="","",INDEX('Fleet dates'!$E$9:$E$1008,$I448-8)))</x:f>
      </x:c>
      <x:c r="F448" s="51" t="str">
        <x:f>IF(440&gt;$H$4,"",IF(INDEX('Fleet dates'!$F$9:$F$1008,$I448-8)="","",INDEX('Fleet dates'!$F$9:$F$1008,$I448-8)))</x:f>
      </x:c>
      <x:c r="G448" s="50" t="str">
        <x:f>IF(440&gt;$H$4,"",IF(INDEX('Fleet dates'!$G$9:$G$1008,$I448-8)="","",INDEX('Fleet dates'!$G$9:$G$1008,$I448-8)))</x:f>
      </x:c>
      <x:c r="H448" s="50" t="str">
        <x:f>IF(440&gt;$H$4,"",IF(INDEX('Fleet dates'!$I$9:$I$1008,$I448-8)="","",INDEX('Fleet dates'!$I$9:$I$1008,$I448-8)))</x:f>
      </x:c>
      <x:c r="I448" t="str">
        <x:f>IF(440&gt;$H$4,"",MATCH(440,'Fleet dates'!$J$9:$J$1008,0)+8)</x:f>
      </x:c>
    </x:row>
    <x:row r="449" ht="36" customHeight="1">
      <x:c r="A449" s="50" t="str">
        <x:f>IF(441&gt;$H$4,"",IF(INDEX('Fleet dates'!$A$9:$A$1008,$I449-8)="","",INDEX('Fleet dates'!$A$9:$A$1008,$I449-8)))</x:f>
      </x:c>
      <x:c r="B449" s="50" t="str">
        <x:f>IF(441&gt;$H$4,"",IF(INDEX('Fleet dates'!$B$9:$B$1008,$I449-8)="","",INDEX('Fleet dates'!$B$9:$B$1008,$I449-8)))</x:f>
      </x:c>
      <x:c r="C449" s="51" t="str">
        <x:f>IF(441&gt;$H$4,"",IF(INDEX('Fleet dates'!$C$9:$C$1008,$I449-8)="","",INDEX('Fleet dates'!$C$9:$C$1008,$I449-8)))</x:f>
      </x:c>
      <x:c r="D449" s="51" t="str">
        <x:f>IF(441&gt;$H$4,"",IF(INDEX('Fleet dates'!$D$9:$D$1008,$I449-8)="","",INDEX('Fleet dates'!$D$9:$D$1008,$I449-8)))</x:f>
      </x:c>
      <x:c r="E449" s="51" t="str">
        <x:f>IF(441&gt;$H$4,"",IF(INDEX('Fleet dates'!$E$9:$E$1008,$I449-8)="","",INDEX('Fleet dates'!$E$9:$E$1008,$I449-8)))</x:f>
      </x:c>
      <x:c r="F449" s="51" t="str">
        <x:f>IF(441&gt;$H$4,"",IF(INDEX('Fleet dates'!$F$9:$F$1008,$I449-8)="","",INDEX('Fleet dates'!$F$9:$F$1008,$I449-8)))</x:f>
      </x:c>
      <x:c r="G449" s="50" t="str">
        <x:f>IF(441&gt;$H$4,"",IF(INDEX('Fleet dates'!$G$9:$G$1008,$I449-8)="","",INDEX('Fleet dates'!$G$9:$G$1008,$I449-8)))</x:f>
      </x:c>
      <x:c r="H449" s="50" t="str">
        <x:f>IF(441&gt;$H$4,"",IF(INDEX('Fleet dates'!$I$9:$I$1008,$I449-8)="","",INDEX('Fleet dates'!$I$9:$I$1008,$I449-8)))</x:f>
      </x:c>
      <x:c r="I449" t="str">
        <x:f>IF(441&gt;$H$4,"",MATCH(441,'Fleet dates'!$J$9:$J$1008,0)+8)</x:f>
      </x:c>
    </x:row>
    <x:row r="450" ht="36" customHeight="1">
      <x:c r="A450" s="50" t="str">
        <x:f>IF(442&gt;$H$4,"",IF(INDEX('Fleet dates'!$A$9:$A$1008,$I450-8)="","",INDEX('Fleet dates'!$A$9:$A$1008,$I450-8)))</x:f>
      </x:c>
      <x:c r="B450" s="50" t="str">
        <x:f>IF(442&gt;$H$4,"",IF(INDEX('Fleet dates'!$B$9:$B$1008,$I450-8)="","",INDEX('Fleet dates'!$B$9:$B$1008,$I450-8)))</x:f>
      </x:c>
      <x:c r="C450" s="51" t="str">
        <x:f>IF(442&gt;$H$4,"",IF(INDEX('Fleet dates'!$C$9:$C$1008,$I450-8)="","",INDEX('Fleet dates'!$C$9:$C$1008,$I450-8)))</x:f>
      </x:c>
      <x:c r="D450" s="51" t="str">
        <x:f>IF(442&gt;$H$4,"",IF(INDEX('Fleet dates'!$D$9:$D$1008,$I450-8)="","",INDEX('Fleet dates'!$D$9:$D$1008,$I450-8)))</x:f>
      </x:c>
      <x:c r="E450" s="51" t="str">
        <x:f>IF(442&gt;$H$4,"",IF(INDEX('Fleet dates'!$E$9:$E$1008,$I450-8)="","",INDEX('Fleet dates'!$E$9:$E$1008,$I450-8)))</x:f>
      </x:c>
      <x:c r="F450" s="51" t="str">
        <x:f>IF(442&gt;$H$4,"",IF(INDEX('Fleet dates'!$F$9:$F$1008,$I450-8)="","",INDEX('Fleet dates'!$F$9:$F$1008,$I450-8)))</x:f>
      </x:c>
      <x:c r="G450" s="50" t="str">
        <x:f>IF(442&gt;$H$4,"",IF(INDEX('Fleet dates'!$G$9:$G$1008,$I450-8)="","",INDEX('Fleet dates'!$G$9:$G$1008,$I450-8)))</x:f>
      </x:c>
      <x:c r="H450" s="50" t="str">
        <x:f>IF(442&gt;$H$4,"",IF(INDEX('Fleet dates'!$I$9:$I$1008,$I450-8)="","",INDEX('Fleet dates'!$I$9:$I$1008,$I450-8)))</x:f>
      </x:c>
      <x:c r="I450" t="str">
        <x:f>IF(442&gt;$H$4,"",MATCH(442,'Fleet dates'!$J$9:$J$1008,0)+8)</x:f>
      </x:c>
    </x:row>
    <x:row r="451" ht="36" customHeight="1">
      <x:c r="A451" s="50" t="str">
        <x:f>IF(443&gt;$H$4,"",IF(INDEX('Fleet dates'!$A$9:$A$1008,$I451-8)="","",INDEX('Fleet dates'!$A$9:$A$1008,$I451-8)))</x:f>
      </x:c>
      <x:c r="B451" s="50" t="str">
        <x:f>IF(443&gt;$H$4,"",IF(INDEX('Fleet dates'!$B$9:$B$1008,$I451-8)="","",INDEX('Fleet dates'!$B$9:$B$1008,$I451-8)))</x:f>
      </x:c>
      <x:c r="C451" s="51" t="str">
        <x:f>IF(443&gt;$H$4,"",IF(INDEX('Fleet dates'!$C$9:$C$1008,$I451-8)="","",INDEX('Fleet dates'!$C$9:$C$1008,$I451-8)))</x:f>
      </x:c>
      <x:c r="D451" s="51" t="str">
        <x:f>IF(443&gt;$H$4,"",IF(INDEX('Fleet dates'!$D$9:$D$1008,$I451-8)="","",INDEX('Fleet dates'!$D$9:$D$1008,$I451-8)))</x:f>
      </x:c>
      <x:c r="E451" s="51" t="str">
        <x:f>IF(443&gt;$H$4,"",IF(INDEX('Fleet dates'!$E$9:$E$1008,$I451-8)="","",INDEX('Fleet dates'!$E$9:$E$1008,$I451-8)))</x:f>
      </x:c>
      <x:c r="F451" s="51" t="str">
        <x:f>IF(443&gt;$H$4,"",IF(INDEX('Fleet dates'!$F$9:$F$1008,$I451-8)="","",INDEX('Fleet dates'!$F$9:$F$1008,$I451-8)))</x:f>
      </x:c>
      <x:c r="G451" s="50" t="str">
        <x:f>IF(443&gt;$H$4,"",IF(INDEX('Fleet dates'!$G$9:$G$1008,$I451-8)="","",INDEX('Fleet dates'!$G$9:$G$1008,$I451-8)))</x:f>
      </x:c>
      <x:c r="H451" s="50" t="str">
        <x:f>IF(443&gt;$H$4,"",IF(INDEX('Fleet dates'!$I$9:$I$1008,$I451-8)="","",INDEX('Fleet dates'!$I$9:$I$1008,$I451-8)))</x:f>
      </x:c>
      <x:c r="I451" t="str">
        <x:f>IF(443&gt;$H$4,"",MATCH(443,'Fleet dates'!$J$9:$J$1008,0)+8)</x:f>
      </x:c>
    </x:row>
    <x:row r="452" ht="36" customHeight="1">
      <x:c r="A452" s="50" t="str">
        <x:f>IF(444&gt;$H$4,"",IF(INDEX('Fleet dates'!$A$9:$A$1008,$I452-8)="","",INDEX('Fleet dates'!$A$9:$A$1008,$I452-8)))</x:f>
      </x:c>
      <x:c r="B452" s="50" t="str">
        <x:f>IF(444&gt;$H$4,"",IF(INDEX('Fleet dates'!$B$9:$B$1008,$I452-8)="","",INDEX('Fleet dates'!$B$9:$B$1008,$I452-8)))</x:f>
      </x:c>
      <x:c r="C452" s="51" t="str">
        <x:f>IF(444&gt;$H$4,"",IF(INDEX('Fleet dates'!$C$9:$C$1008,$I452-8)="","",INDEX('Fleet dates'!$C$9:$C$1008,$I452-8)))</x:f>
      </x:c>
      <x:c r="D452" s="51" t="str">
        <x:f>IF(444&gt;$H$4,"",IF(INDEX('Fleet dates'!$D$9:$D$1008,$I452-8)="","",INDEX('Fleet dates'!$D$9:$D$1008,$I452-8)))</x:f>
      </x:c>
      <x:c r="E452" s="51" t="str">
        <x:f>IF(444&gt;$H$4,"",IF(INDEX('Fleet dates'!$E$9:$E$1008,$I452-8)="","",INDEX('Fleet dates'!$E$9:$E$1008,$I452-8)))</x:f>
      </x:c>
      <x:c r="F452" s="51" t="str">
        <x:f>IF(444&gt;$H$4,"",IF(INDEX('Fleet dates'!$F$9:$F$1008,$I452-8)="","",INDEX('Fleet dates'!$F$9:$F$1008,$I452-8)))</x:f>
      </x:c>
      <x:c r="G452" s="50" t="str">
        <x:f>IF(444&gt;$H$4,"",IF(INDEX('Fleet dates'!$G$9:$G$1008,$I452-8)="","",INDEX('Fleet dates'!$G$9:$G$1008,$I452-8)))</x:f>
      </x:c>
      <x:c r="H452" s="50" t="str">
        <x:f>IF(444&gt;$H$4,"",IF(INDEX('Fleet dates'!$I$9:$I$1008,$I452-8)="","",INDEX('Fleet dates'!$I$9:$I$1008,$I452-8)))</x:f>
      </x:c>
      <x:c r="I452" t="str">
        <x:f>IF(444&gt;$H$4,"",MATCH(444,'Fleet dates'!$J$9:$J$1008,0)+8)</x:f>
      </x:c>
    </x:row>
    <x:row r="453" ht="36" customHeight="1">
      <x:c r="A453" s="50" t="str">
        <x:f>IF(445&gt;$H$4,"",IF(INDEX('Fleet dates'!$A$9:$A$1008,$I453-8)="","",INDEX('Fleet dates'!$A$9:$A$1008,$I453-8)))</x:f>
      </x:c>
      <x:c r="B453" s="50" t="str">
        <x:f>IF(445&gt;$H$4,"",IF(INDEX('Fleet dates'!$B$9:$B$1008,$I453-8)="","",INDEX('Fleet dates'!$B$9:$B$1008,$I453-8)))</x:f>
      </x:c>
      <x:c r="C453" s="51" t="str">
        <x:f>IF(445&gt;$H$4,"",IF(INDEX('Fleet dates'!$C$9:$C$1008,$I453-8)="","",INDEX('Fleet dates'!$C$9:$C$1008,$I453-8)))</x:f>
      </x:c>
      <x:c r="D453" s="51" t="str">
        <x:f>IF(445&gt;$H$4,"",IF(INDEX('Fleet dates'!$D$9:$D$1008,$I453-8)="","",INDEX('Fleet dates'!$D$9:$D$1008,$I453-8)))</x:f>
      </x:c>
      <x:c r="E453" s="51" t="str">
        <x:f>IF(445&gt;$H$4,"",IF(INDEX('Fleet dates'!$E$9:$E$1008,$I453-8)="","",INDEX('Fleet dates'!$E$9:$E$1008,$I453-8)))</x:f>
      </x:c>
      <x:c r="F453" s="51" t="str">
        <x:f>IF(445&gt;$H$4,"",IF(INDEX('Fleet dates'!$F$9:$F$1008,$I453-8)="","",INDEX('Fleet dates'!$F$9:$F$1008,$I453-8)))</x:f>
      </x:c>
      <x:c r="G453" s="50" t="str">
        <x:f>IF(445&gt;$H$4,"",IF(INDEX('Fleet dates'!$G$9:$G$1008,$I453-8)="","",INDEX('Fleet dates'!$G$9:$G$1008,$I453-8)))</x:f>
      </x:c>
      <x:c r="H453" s="50" t="str">
        <x:f>IF(445&gt;$H$4,"",IF(INDEX('Fleet dates'!$I$9:$I$1008,$I453-8)="","",INDEX('Fleet dates'!$I$9:$I$1008,$I453-8)))</x:f>
      </x:c>
      <x:c r="I453" t="str">
        <x:f>IF(445&gt;$H$4,"",MATCH(445,'Fleet dates'!$J$9:$J$1008,0)+8)</x:f>
      </x:c>
    </x:row>
    <x:row r="454" ht="36" customHeight="1">
      <x:c r="A454" s="50" t="str">
        <x:f>IF(446&gt;$H$4,"",IF(INDEX('Fleet dates'!$A$9:$A$1008,$I454-8)="","",INDEX('Fleet dates'!$A$9:$A$1008,$I454-8)))</x:f>
      </x:c>
      <x:c r="B454" s="50" t="str">
        <x:f>IF(446&gt;$H$4,"",IF(INDEX('Fleet dates'!$B$9:$B$1008,$I454-8)="","",INDEX('Fleet dates'!$B$9:$B$1008,$I454-8)))</x:f>
      </x:c>
      <x:c r="C454" s="51" t="str">
        <x:f>IF(446&gt;$H$4,"",IF(INDEX('Fleet dates'!$C$9:$C$1008,$I454-8)="","",INDEX('Fleet dates'!$C$9:$C$1008,$I454-8)))</x:f>
      </x:c>
      <x:c r="D454" s="51" t="str">
        <x:f>IF(446&gt;$H$4,"",IF(INDEX('Fleet dates'!$D$9:$D$1008,$I454-8)="","",INDEX('Fleet dates'!$D$9:$D$1008,$I454-8)))</x:f>
      </x:c>
      <x:c r="E454" s="51" t="str">
        <x:f>IF(446&gt;$H$4,"",IF(INDEX('Fleet dates'!$E$9:$E$1008,$I454-8)="","",INDEX('Fleet dates'!$E$9:$E$1008,$I454-8)))</x:f>
      </x:c>
      <x:c r="F454" s="51" t="str">
        <x:f>IF(446&gt;$H$4,"",IF(INDEX('Fleet dates'!$F$9:$F$1008,$I454-8)="","",INDEX('Fleet dates'!$F$9:$F$1008,$I454-8)))</x:f>
      </x:c>
      <x:c r="G454" s="50" t="str">
        <x:f>IF(446&gt;$H$4,"",IF(INDEX('Fleet dates'!$G$9:$G$1008,$I454-8)="","",INDEX('Fleet dates'!$G$9:$G$1008,$I454-8)))</x:f>
      </x:c>
      <x:c r="H454" s="50" t="str">
        <x:f>IF(446&gt;$H$4,"",IF(INDEX('Fleet dates'!$I$9:$I$1008,$I454-8)="","",INDEX('Fleet dates'!$I$9:$I$1008,$I454-8)))</x:f>
      </x:c>
      <x:c r="I454" t="str">
        <x:f>IF(446&gt;$H$4,"",MATCH(446,'Fleet dates'!$J$9:$J$1008,0)+8)</x:f>
      </x:c>
    </x:row>
    <x:row r="455" ht="36" customHeight="1">
      <x:c r="A455" s="50" t="str">
        <x:f>IF(447&gt;$H$4,"",IF(INDEX('Fleet dates'!$A$9:$A$1008,$I455-8)="","",INDEX('Fleet dates'!$A$9:$A$1008,$I455-8)))</x:f>
      </x:c>
      <x:c r="B455" s="50" t="str">
        <x:f>IF(447&gt;$H$4,"",IF(INDEX('Fleet dates'!$B$9:$B$1008,$I455-8)="","",INDEX('Fleet dates'!$B$9:$B$1008,$I455-8)))</x:f>
      </x:c>
      <x:c r="C455" s="51" t="str">
        <x:f>IF(447&gt;$H$4,"",IF(INDEX('Fleet dates'!$C$9:$C$1008,$I455-8)="","",INDEX('Fleet dates'!$C$9:$C$1008,$I455-8)))</x:f>
      </x:c>
      <x:c r="D455" s="51" t="str">
        <x:f>IF(447&gt;$H$4,"",IF(INDEX('Fleet dates'!$D$9:$D$1008,$I455-8)="","",INDEX('Fleet dates'!$D$9:$D$1008,$I455-8)))</x:f>
      </x:c>
      <x:c r="E455" s="51" t="str">
        <x:f>IF(447&gt;$H$4,"",IF(INDEX('Fleet dates'!$E$9:$E$1008,$I455-8)="","",INDEX('Fleet dates'!$E$9:$E$1008,$I455-8)))</x:f>
      </x:c>
      <x:c r="F455" s="51" t="str">
        <x:f>IF(447&gt;$H$4,"",IF(INDEX('Fleet dates'!$F$9:$F$1008,$I455-8)="","",INDEX('Fleet dates'!$F$9:$F$1008,$I455-8)))</x:f>
      </x:c>
      <x:c r="G455" s="50" t="str">
        <x:f>IF(447&gt;$H$4,"",IF(INDEX('Fleet dates'!$G$9:$G$1008,$I455-8)="","",INDEX('Fleet dates'!$G$9:$G$1008,$I455-8)))</x:f>
      </x:c>
      <x:c r="H455" s="50" t="str">
        <x:f>IF(447&gt;$H$4,"",IF(INDEX('Fleet dates'!$I$9:$I$1008,$I455-8)="","",INDEX('Fleet dates'!$I$9:$I$1008,$I455-8)))</x:f>
      </x:c>
      <x:c r="I455" t="str">
        <x:f>IF(447&gt;$H$4,"",MATCH(447,'Fleet dates'!$J$9:$J$1008,0)+8)</x:f>
      </x:c>
    </x:row>
    <x:row r="456" ht="36" customHeight="1">
      <x:c r="A456" s="50" t="str">
        <x:f>IF(448&gt;$H$4,"",IF(INDEX('Fleet dates'!$A$9:$A$1008,$I456-8)="","",INDEX('Fleet dates'!$A$9:$A$1008,$I456-8)))</x:f>
      </x:c>
      <x:c r="B456" s="50" t="str">
        <x:f>IF(448&gt;$H$4,"",IF(INDEX('Fleet dates'!$B$9:$B$1008,$I456-8)="","",INDEX('Fleet dates'!$B$9:$B$1008,$I456-8)))</x:f>
      </x:c>
      <x:c r="C456" s="51" t="str">
        <x:f>IF(448&gt;$H$4,"",IF(INDEX('Fleet dates'!$C$9:$C$1008,$I456-8)="","",INDEX('Fleet dates'!$C$9:$C$1008,$I456-8)))</x:f>
      </x:c>
      <x:c r="D456" s="51" t="str">
        <x:f>IF(448&gt;$H$4,"",IF(INDEX('Fleet dates'!$D$9:$D$1008,$I456-8)="","",INDEX('Fleet dates'!$D$9:$D$1008,$I456-8)))</x:f>
      </x:c>
      <x:c r="E456" s="51" t="str">
        <x:f>IF(448&gt;$H$4,"",IF(INDEX('Fleet dates'!$E$9:$E$1008,$I456-8)="","",INDEX('Fleet dates'!$E$9:$E$1008,$I456-8)))</x:f>
      </x:c>
      <x:c r="F456" s="51" t="str">
        <x:f>IF(448&gt;$H$4,"",IF(INDEX('Fleet dates'!$F$9:$F$1008,$I456-8)="","",INDEX('Fleet dates'!$F$9:$F$1008,$I456-8)))</x:f>
      </x:c>
      <x:c r="G456" s="50" t="str">
        <x:f>IF(448&gt;$H$4,"",IF(INDEX('Fleet dates'!$G$9:$G$1008,$I456-8)="","",INDEX('Fleet dates'!$G$9:$G$1008,$I456-8)))</x:f>
      </x:c>
      <x:c r="H456" s="50" t="str">
        <x:f>IF(448&gt;$H$4,"",IF(INDEX('Fleet dates'!$I$9:$I$1008,$I456-8)="","",INDEX('Fleet dates'!$I$9:$I$1008,$I456-8)))</x:f>
      </x:c>
      <x:c r="I456" t="str">
        <x:f>IF(448&gt;$H$4,"",MATCH(448,'Fleet dates'!$J$9:$J$1008,0)+8)</x:f>
      </x:c>
    </x:row>
    <x:row r="457" ht="36" customHeight="1">
      <x:c r="A457" s="50" t="str">
        <x:f>IF(449&gt;$H$4,"",IF(INDEX('Fleet dates'!$A$9:$A$1008,$I457-8)="","",INDEX('Fleet dates'!$A$9:$A$1008,$I457-8)))</x:f>
      </x:c>
      <x:c r="B457" s="50" t="str">
        <x:f>IF(449&gt;$H$4,"",IF(INDEX('Fleet dates'!$B$9:$B$1008,$I457-8)="","",INDEX('Fleet dates'!$B$9:$B$1008,$I457-8)))</x:f>
      </x:c>
      <x:c r="C457" s="51" t="str">
        <x:f>IF(449&gt;$H$4,"",IF(INDEX('Fleet dates'!$C$9:$C$1008,$I457-8)="","",INDEX('Fleet dates'!$C$9:$C$1008,$I457-8)))</x:f>
      </x:c>
      <x:c r="D457" s="51" t="str">
        <x:f>IF(449&gt;$H$4,"",IF(INDEX('Fleet dates'!$D$9:$D$1008,$I457-8)="","",INDEX('Fleet dates'!$D$9:$D$1008,$I457-8)))</x:f>
      </x:c>
      <x:c r="E457" s="51" t="str">
        <x:f>IF(449&gt;$H$4,"",IF(INDEX('Fleet dates'!$E$9:$E$1008,$I457-8)="","",INDEX('Fleet dates'!$E$9:$E$1008,$I457-8)))</x:f>
      </x:c>
      <x:c r="F457" s="51" t="str">
        <x:f>IF(449&gt;$H$4,"",IF(INDEX('Fleet dates'!$F$9:$F$1008,$I457-8)="","",INDEX('Fleet dates'!$F$9:$F$1008,$I457-8)))</x:f>
      </x:c>
      <x:c r="G457" s="50" t="str">
        <x:f>IF(449&gt;$H$4,"",IF(INDEX('Fleet dates'!$G$9:$G$1008,$I457-8)="","",INDEX('Fleet dates'!$G$9:$G$1008,$I457-8)))</x:f>
      </x:c>
      <x:c r="H457" s="50" t="str">
        <x:f>IF(449&gt;$H$4,"",IF(INDEX('Fleet dates'!$I$9:$I$1008,$I457-8)="","",INDEX('Fleet dates'!$I$9:$I$1008,$I457-8)))</x:f>
      </x:c>
      <x:c r="I457" t="str">
        <x:f>IF(449&gt;$H$4,"",MATCH(449,'Fleet dates'!$J$9:$J$1008,0)+8)</x:f>
      </x:c>
    </x:row>
    <x:row r="458" ht="36" customHeight="1">
      <x:c r="A458" s="50" t="str">
        <x:f>IF(450&gt;$H$4,"",IF(INDEX('Fleet dates'!$A$9:$A$1008,$I458-8)="","",INDEX('Fleet dates'!$A$9:$A$1008,$I458-8)))</x:f>
      </x:c>
      <x:c r="B458" s="50" t="str">
        <x:f>IF(450&gt;$H$4,"",IF(INDEX('Fleet dates'!$B$9:$B$1008,$I458-8)="","",INDEX('Fleet dates'!$B$9:$B$1008,$I458-8)))</x:f>
      </x:c>
      <x:c r="C458" s="51" t="str">
        <x:f>IF(450&gt;$H$4,"",IF(INDEX('Fleet dates'!$C$9:$C$1008,$I458-8)="","",INDEX('Fleet dates'!$C$9:$C$1008,$I458-8)))</x:f>
      </x:c>
      <x:c r="D458" s="51" t="str">
        <x:f>IF(450&gt;$H$4,"",IF(INDEX('Fleet dates'!$D$9:$D$1008,$I458-8)="","",INDEX('Fleet dates'!$D$9:$D$1008,$I458-8)))</x:f>
      </x:c>
      <x:c r="E458" s="51" t="str">
        <x:f>IF(450&gt;$H$4,"",IF(INDEX('Fleet dates'!$E$9:$E$1008,$I458-8)="","",INDEX('Fleet dates'!$E$9:$E$1008,$I458-8)))</x:f>
      </x:c>
      <x:c r="F458" s="51" t="str">
        <x:f>IF(450&gt;$H$4,"",IF(INDEX('Fleet dates'!$F$9:$F$1008,$I458-8)="","",INDEX('Fleet dates'!$F$9:$F$1008,$I458-8)))</x:f>
      </x:c>
      <x:c r="G458" s="50" t="str">
        <x:f>IF(450&gt;$H$4,"",IF(INDEX('Fleet dates'!$G$9:$G$1008,$I458-8)="","",INDEX('Fleet dates'!$G$9:$G$1008,$I458-8)))</x:f>
      </x:c>
      <x:c r="H458" s="50" t="str">
        <x:f>IF(450&gt;$H$4,"",IF(INDEX('Fleet dates'!$I$9:$I$1008,$I458-8)="","",INDEX('Fleet dates'!$I$9:$I$1008,$I458-8)))</x:f>
      </x:c>
      <x:c r="I458" t="str">
        <x:f>IF(450&gt;$H$4,"",MATCH(450,'Fleet dates'!$J$9:$J$1008,0)+8)</x:f>
      </x:c>
    </x:row>
    <x:row r="459" ht="36" customHeight="1">
      <x:c r="A459" s="50" t="str">
        <x:f>IF(451&gt;$H$4,"",IF(INDEX('Fleet dates'!$A$9:$A$1008,$I459-8)="","",INDEX('Fleet dates'!$A$9:$A$1008,$I459-8)))</x:f>
      </x:c>
      <x:c r="B459" s="50" t="str">
        <x:f>IF(451&gt;$H$4,"",IF(INDEX('Fleet dates'!$B$9:$B$1008,$I459-8)="","",INDEX('Fleet dates'!$B$9:$B$1008,$I459-8)))</x:f>
      </x:c>
      <x:c r="C459" s="51" t="str">
        <x:f>IF(451&gt;$H$4,"",IF(INDEX('Fleet dates'!$C$9:$C$1008,$I459-8)="","",INDEX('Fleet dates'!$C$9:$C$1008,$I459-8)))</x:f>
      </x:c>
      <x:c r="D459" s="51" t="str">
        <x:f>IF(451&gt;$H$4,"",IF(INDEX('Fleet dates'!$D$9:$D$1008,$I459-8)="","",INDEX('Fleet dates'!$D$9:$D$1008,$I459-8)))</x:f>
      </x:c>
      <x:c r="E459" s="51" t="str">
        <x:f>IF(451&gt;$H$4,"",IF(INDEX('Fleet dates'!$E$9:$E$1008,$I459-8)="","",INDEX('Fleet dates'!$E$9:$E$1008,$I459-8)))</x:f>
      </x:c>
      <x:c r="F459" s="51" t="str">
        <x:f>IF(451&gt;$H$4,"",IF(INDEX('Fleet dates'!$F$9:$F$1008,$I459-8)="","",INDEX('Fleet dates'!$F$9:$F$1008,$I459-8)))</x:f>
      </x:c>
      <x:c r="G459" s="50" t="str">
        <x:f>IF(451&gt;$H$4,"",IF(INDEX('Fleet dates'!$G$9:$G$1008,$I459-8)="","",INDEX('Fleet dates'!$G$9:$G$1008,$I459-8)))</x:f>
      </x:c>
      <x:c r="H459" s="50" t="str">
        <x:f>IF(451&gt;$H$4,"",IF(INDEX('Fleet dates'!$I$9:$I$1008,$I459-8)="","",INDEX('Fleet dates'!$I$9:$I$1008,$I459-8)))</x:f>
      </x:c>
      <x:c r="I459" t="str">
        <x:f>IF(451&gt;$H$4,"",MATCH(451,'Fleet dates'!$J$9:$J$1008,0)+8)</x:f>
      </x:c>
    </x:row>
    <x:row r="460" ht="36" customHeight="1">
      <x:c r="A460" s="50" t="str">
        <x:f>IF(452&gt;$H$4,"",IF(INDEX('Fleet dates'!$A$9:$A$1008,$I460-8)="","",INDEX('Fleet dates'!$A$9:$A$1008,$I460-8)))</x:f>
      </x:c>
      <x:c r="B460" s="50" t="str">
        <x:f>IF(452&gt;$H$4,"",IF(INDEX('Fleet dates'!$B$9:$B$1008,$I460-8)="","",INDEX('Fleet dates'!$B$9:$B$1008,$I460-8)))</x:f>
      </x:c>
      <x:c r="C460" s="51" t="str">
        <x:f>IF(452&gt;$H$4,"",IF(INDEX('Fleet dates'!$C$9:$C$1008,$I460-8)="","",INDEX('Fleet dates'!$C$9:$C$1008,$I460-8)))</x:f>
      </x:c>
      <x:c r="D460" s="51" t="str">
        <x:f>IF(452&gt;$H$4,"",IF(INDEX('Fleet dates'!$D$9:$D$1008,$I460-8)="","",INDEX('Fleet dates'!$D$9:$D$1008,$I460-8)))</x:f>
      </x:c>
      <x:c r="E460" s="51" t="str">
        <x:f>IF(452&gt;$H$4,"",IF(INDEX('Fleet dates'!$E$9:$E$1008,$I460-8)="","",INDEX('Fleet dates'!$E$9:$E$1008,$I460-8)))</x:f>
      </x:c>
      <x:c r="F460" s="51" t="str">
        <x:f>IF(452&gt;$H$4,"",IF(INDEX('Fleet dates'!$F$9:$F$1008,$I460-8)="","",INDEX('Fleet dates'!$F$9:$F$1008,$I460-8)))</x:f>
      </x:c>
      <x:c r="G460" s="50" t="str">
        <x:f>IF(452&gt;$H$4,"",IF(INDEX('Fleet dates'!$G$9:$G$1008,$I460-8)="","",INDEX('Fleet dates'!$G$9:$G$1008,$I460-8)))</x:f>
      </x:c>
      <x:c r="H460" s="50" t="str">
        <x:f>IF(452&gt;$H$4,"",IF(INDEX('Fleet dates'!$I$9:$I$1008,$I460-8)="","",INDEX('Fleet dates'!$I$9:$I$1008,$I460-8)))</x:f>
      </x:c>
      <x:c r="I460" t="str">
        <x:f>IF(452&gt;$H$4,"",MATCH(452,'Fleet dates'!$J$9:$J$1008,0)+8)</x:f>
      </x:c>
    </x:row>
    <x:row r="461" ht="36" customHeight="1">
      <x:c r="A461" s="50" t="str">
        <x:f>IF(453&gt;$H$4,"",IF(INDEX('Fleet dates'!$A$9:$A$1008,$I461-8)="","",INDEX('Fleet dates'!$A$9:$A$1008,$I461-8)))</x:f>
      </x:c>
      <x:c r="B461" s="50" t="str">
        <x:f>IF(453&gt;$H$4,"",IF(INDEX('Fleet dates'!$B$9:$B$1008,$I461-8)="","",INDEX('Fleet dates'!$B$9:$B$1008,$I461-8)))</x:f>
      </x:c>
      <x:c r="C461" s="51" t="str">
        <x:f>IF(453&gt;$H$4,"",IF(INDEX('Fleet dates'!$C$9:$C$1008,$I461-8)="","",INDEX('Fleet dates'!$C$9:$C$1008,$I461-8)))</x:f>
      </x:c>
      <x:c r="D461" s="51" t="str">
        <x:f>IF(453&gt;$H$4,"",IF(INDEX('Fleet dates'!$D$9:$D$1008,$I461-8)="","",INDEX('Fleet dates'!$D$9:$D$1008,$I461-8)))</x:f>
      </x:c>
      <x:c r="E461" s="51" t="str">
        <x:f>IF(453&gt;$H$4,"",IF(INDEX('Fleet dates'!$E$9:$E$1008,$I461-8)="","",INDEX('Fleet dates'!$E$9:$E$1008,$I461-8)))</x:f>
      </x:c>
      <x:c r="F461" s="51" t="str">
        <x:f>IF(453&gt;$H$4,"",IF(INDEX('Fleet dates'!$F$9:$F$1008,$I461-8)="","",INDEX('Fleet dates'!$F$9:$F$1008,$I461-8)))</x:f>
      </x:c>
      <x:c r="G461" s="50" t="str">
        <x:f>IF(453&gt;$H$4,"",IF(INDEX('Fleet dates'!$G$9:$G$1008,$I461-8)="","",INDEX('Fleet dates'!$G$9:$G$1008,$I461-8)))</x:f>
      </x:c>
      <x:c r="H461" s="50" t="str">
        <x:f>IF(453&gt;$H$4,"",IF(INDEX('Fleet dates'!$I$9:$I$1008,$I461-8)="","",INDEX('Fleet dates'!$I$9:$I$1008,$I461-8)))</x:f>
      </x:c>
      <x:c r="I461" t="str">
        <x:f>IF(453&gt;$H$4,"",MATCH(453,'Fleet dates'!$J$9:$J$1008,0)+8)</x:f>
      </x:c>
    </x:row>
    <x:row r="462" ht="36" customHeight="1">
      <x:c r="A462" s="50" t="str">
        <x:f>IF(454&gt;$H$4,"",IF(INDEX('Fleet dates'!$A$9:$A$1008,$I462-8)="","",INDEX('Fleet dates'!$A$9:$A$1008,$I462-8)))</x:f>
      </x:c>
      <x:c r="B462" s="50" t="str">
        <x:f>IF(454&gt;$H$4,"",IF(INDEX('Fleet dates'!$B$9:$B$1008,$I462-8)="","",INDEX('Fleet dates'!$B$9:$B$1008,$I462-8)))</x:f>
      </x:c>
      <x:c r="C462" s="51" t="str">
        <x:f>IF(454&gt;$H$4,"",IF(INDEX('Fleet dates'!$C$9:$C$1008,$I462-8)="","",INDEX('Fleet dates'!$C$9:$C$1008,$I462-8)))</x:f>
      </x:c>
      <x:c r="D462" s="51" t="str">
        <x:f>IF(454&gt;$H$4,"",IF(INDEX('Fleet dates'!$D$9:$D$1008,$I462-8)="","",INDEX('Fleet dates'!$D$9:$D$1008,$I462-8)))</x:f>
      </x:c>
      <x:c r="E462" s="51" t="str">
        <x:f>IF(454&gt;$H$4,"",IF(INDEX('Fleet dates'!$E$9:$E$1008,$I462-8)="","",INDEX('Fleet dates'!$E$9:$E$1008,$I462-8)))</x:f>
      </x:c>
      <x:c r="F462" s="51" t="str">
        <x:f>IF(454&gt;$H$4,"",IF(INDEX('Fleet dates'!$F$9:$F$1008,$I462-8)="","",INDEX('Fleet dates'!$F$9:$F$1008,$I462-8)))</x:f>
      </x:c>
      <x:c r="G462" s="50" t="str">
        <x:f>IF(454&gt;$H$4,"",IF(INDEX('Fleet dates'!$G$9:$G$1008,$I462-8)="","",INDEX('Fleet dates'!$G$9:$G$1008,$I462-8)))</x:f>
      </x:c>
      <x:c r="H462" s="50" t="str">
        <x:f>IF(454&gt;$H$4,"",IF(INDEX('Fleet dates'!$I$9:$I$1008,$I462-8)="","",INDEX('Fleet dates'!$I$9:$I$1008,$I462-8)))</x:f>
      </x:c>
      <x:c r="I462" t="str">
        <x:f>IF(454&gt;$H$4,"",MATCH(454,'Fleet dates'!$J$9:$J$1008,0)+8)</x:f>
      </x:c>
    </x:row>
    <x:row r="463" ht="36" customHeight="1">
      <x:c r="A463" s="50" t="str">
        <x:f>IF(455&gt;$H$4,"",IF(INDEX('Fleet dates'!$A$9:$A$1008,$I463-8)="","",INDEX('Fleet dates'!$A$9:$A$1008,$I463-8)))</x:f>
      </x:c>
      <x:c r="B463" s="50" t="str">
        <x:f>IF(455&gt;$H$4,"",IF(INDEX('Fleet dates'!$B$9:$B$1008,$I463-8)="","",INDEX('Fleet dates'!$B$9:$B$1008,$I463-8)))</x:f>
      </x:c>
      <x:c r="C463" s="51" t="str">
        <x:f>IF(455&gt;$H$4,"",IF(INDEX('Fleet dates'!$C$9:$C$1008,$I463-8)="","",INDEX('Fleet dates'!$C$9:$C$1008,$I463-8)))</x:f>
      </x:c>
      <x:c r="D463" s="51" t="str">
        <x:f>IF(455&gt;$H$4,"",IF(INDEX('Fleet dates'!$D$9:$D$1008,$I463-8)="","",INDEX('Fleet dates'!$D$9:$D$1008,$I463-8)))</x:f>
      </x:c>
      <x:c r="E463" s="51" t="str">
        <x:f>IF(455&gt;$H$4,"",IF(INDEX('Fleet dates'!$E$9:$E$1008,$I463-8)="","",INDEX('Fleet dates'!$E$9:$E$1008,$I463-8)))</x:f>
      </x:c>
      <x:c r="F463" s="51" t="str">
        <x:f>IF(455&gt;$H$4,"",IF(INDEX('Fleet dates'!$F$9:$F$1008,$I463-8)="","",INDEX('Fleet dates'!$F$9:$F$1008,$I463-8)))</x:f>
      </x:c>
      <x:c r="G463" s="50" t="str">
        <x:f>IF(455&gt;$H$4,"",IF(INDEX('Fleet dates'!$G$9:$G$1008,$I463-8)="","",INDEX('Fleet dates'!$G$9:$G$1008,$I463-8)))</x:f>
      </x:c>
      <x:c r="H463" s="50" t="str">
        <x:f>IF(455&gt;$H$4,"",IF(INDEX('Fleet dates'!$I$9:$I$1008,$I463-8)="","",INDEX('Fleet dates'!$I$9:$I$1008,$I463-8)))</x:f>
      </x:c>
      <x:c r="I463" t="str">
        <x:f>IF(455&gt;$H$4,"",MATCH(455,'Fleet dates'!$J$9:$J$1008,0)+8)</x:f>
      </x:c>
    </x:row>
    <x:row r="464" ht="36" customHeight="1">
      <x:c r="A464" s="50" t="str">
        <x:f>IF(456&gt;$H$4,"",IF(INDEX('Fleet dates'!$A$9:$A$1008,$I464-8)="","",INDEX('Fleet dates'!$A$9:$A$1008,$I464-8)))</x:f>
      </x:c>
      <x:c r="B464" s="50" t="str">
        <x:f>IF(456&gt;$H$4,"",IF(INDEX('Fleet dates'!$B$9:$B$1008,$I464-8)="","",INDEX('Fleet dates'!$B$9:$B$1008,$I464-8)))</x:f>
      </x:c>
      <x:c r="C464" s="51" t="str">
        <x:f>IF(456&gt;$H$4,"",IF(INDEX('Fleet dates'!$C$9:$C$1008,$I464-8)="","",INDEX('Fleet dates'!$C$9:$C$1008,$I464-8)))</x:f>
      </x:c>
      <x:c r="D464" s="51" t="str">
        <x:f>IF(456&gt;$H$4,"",IF(INDEX('Fleet dates'!$D$9:$D$1008,$I464-8)="","",INDEX('Fleet dates'!$D$9:$D$1008,$I464-8)))</x:f>
      </x:c>
      <x:c r="E464" s="51" t="str">
        <x:f>IF(456&gt;$H$4,"",IF(INDEX('Fleet dates'!$E$9:$E$1008,$I464-8)="","",INDEX('Fleet dates'!$E$9:$E$1008,$I464-8)))</x:f>
      </x:c>
      <x:c r="F464" s="51" t="str">
        <x:f>IF(456&gt;$H$4,"",IF(INDEX('Fleet dates'!$F$9:$F$1008,$I464-8)="","",INDEX('Fleet dates'!$F$9:$F$1008,$I464-8)))</x:f>
      </x:c>
      <x:c r="G464" s="50" t="str">
        <x:f>IF(456&gt;$H$4,"",IF(INDEX('Fleet dates'!$G$9:$G$1008,$I464-8)="","",INDEX('Fleet dates'!$G$9:$G$1008,$I464-8)))</x:f>
      </x:c>
      <x:c r="H464" s="50" t="str">
        <x:f>IF(456&gt;$H$4,"",IF(INDEX('Fleet dates'!$I$9:$I$1008,$I464-8)="","",INDEX('Fleet dates'!$I$9:$I$1008,$I464-8)))</x:f>
      </x:c>
      <x:c r="I464" t="str">
        <x:f>IF(456&gt;$H$4,"",MATCH(456,'Fleet dates'!$J$9:$J$1008,0)+8)</x:f>
      </x:c>
    </x:row>
    <x:row r="465" ht="36" customHeight="1">
      <x:c r="A465" s="50" t="str">
        <x:f>IF(457&gt;$H$4,"",IF(INDEX('Fleet dates'!$A$9:$A$1008,$I465-8)="","",INDEX('Fleet dates'!$A$9:$A$1008,$I465-8)))</x:f>
      </x:c>
      <x:c r="B465" s="50" t="str">
        <x:f>IF(457&gt;$H$4,"",IF(INDEX('Fleet dates'!$B$9:$B$1008,$I465-8)="","",INDEX('Fleet dates'!$B$9:$B$1008,$I465-8)))</x:f>
      </x:c>
      <x:c r="C465" s="51" t="str">
        <x:f>IF(457&gt;$H$4,"",IF(INDEX('Fleet dates'!$C$9:$C$1008,$I465-8)="","",INDEX('Fleet dates'!$C$9:$C$1008,$I465-8)))</x:f>
      </x:c>
      <x:c r="D465" s="51" t="str">
        <x:f>IF(457&gt;$H$4,"",IF(INDEX('Fleet dates'!$D$9:$D$1008,$I465-8)="","",INDEX('Fleet dates'!$D$9:$D$1008,$I465-8)))</x:f>
      </x:c>
      <x:c r="E465" s="51" t="str">
        <x:f>IF(457&gt;$H$4,"",IF(INDEX('Fleet dates'!$E$9:$E$1008,$I465-8)="","",INDEX('Fleet dates'!$E$9:$E$1008,$I465-8)))</x:f>
      </x:c>
      <x:c r="F465" s="51" t="str">
        <x:f>IF(457&gt;$H$4,"",IF(INDEX('Fleet dates'!$F$9:$F$1008,$I465-8)="","",INDEX('Fleet dates'!$F$9:$F$1008,$I465-8)))</x:f>
      </x:c>
      <x:c r="G465" s="50" t="str">
        <x:f>IF(457&gt;$H$4,"",IF(INDEX('Fleet dates'!$G$9:$G$1008,$I465-8)="","",INDEX('Fleet dates'!$G$9:$G$1008,$I465-8)))</x:f>
      </x:c>
      <x:c r="H465" s="50" t="str">
        <x:f>IF(457&gt;$H$4,"",IF(INDEX('Fleet dates'!$I$9:$I$1008,$I465-8)="","",INDEX('Fleet dates'!$I$9:$I$1008,$I465-8)))</x:f>
      </x:c>
      <x:c r="I465" t="str">
        <x:f>IF(457&gt;$H$4,"",MATCH(457,'Fleet dates'!$J$9:$J$1008,0)+8)</x:f>
      </x:c>
    </x:row>
    <x:row r="466" ht="36" customHeight="1">
      <x:c r="A466" s="50" t="str">
        <x:f>IF(458&gt;$H$4,"",IF(INDEX('Fleet dates'!$A$9:$A$1008,$I466-8)="","",INDEX('Fleet dates'!$A$9:$A$1008,$I466-8)))</x:f>
      </x:c>
      <x:c r="B466" s="50" t="str">
        <x:f>IF(458&gt;$H$4,"",IF(INDEX('Fleet dates'!$B$9:$B$1008,$I466-8)="","",INDEX('Fleet dates'!$B$9:$B$1008,$I466-8)))</x:f>
      </x:c>
      <x:c r="C466" s="51" t="str">
        <x:f>IF(458&gt;$H$4,"",IF(INDEX('Fleet dates'!$C$9:$C$1008,$I466-8)="","",INDEX('Fleet dates'!$C$9:$C$1008,$I466-8)))</x:f>
      </x:c>
      <x:c r="D466" s="51" t="str">
        <x:f>IF(458&gt;$H$4,"",IF(INDEX('Fleet dates'!$D$9:$D$1008,$I466-8)="","",INDEX('Fleet dates'!$D$9:$D$1008,$I466-8)))</x:f>
      </x:c>
      <x:c r="E466" s="51" t="str">
        <x:f>IF(458&gt;$H$4,"",IF(INDEX('Fleet dates'!$E$9:$E$1008,$I466-8)="","",INDEX('Fleet dates'!$E$9:$E$1008,$I466-8)))</x:f>
      </x:c>
      <x:c r="F466" s="51" t="str">
        <x:f>IF(458&gt;$H$4,"",IF(INDEX('Fleet dates'!$F$9:$F$1008,$I466-8)="","",INDEX('Fleet dates'!$F$9:$F$1008,$I466-8)))</x:f>
      </x:c>
      <x:c r="G466" s="50" t="str">
        <x:f>IF(458&gt;$H$4,"",IF(INDEX('Fleet dates'!$G$9:$G$1008,$I466-8)="","",INDEX('Fleet dates'!$G$9:$G$1008,$I466-8)))</x:f>
      </x:c>
      <x:c r="H466" s="50" t="str">
        <x:f>IF(458&gt;$H$4,"",IF(INDEX('Fleet dates'!$I$9:$I$1008,$I466-8)="","",INDEX('Fleet dates'!$I$9:$I$1008,$I466-8)))</x:f>
      </x:c>
      <x:c r="I466" t="str">
        <x:f>IF(458&gt;$H$4,"",MATCH(458,'Fleet dates'!$J$9:$J$1008,0)+8)</x:f>
      </x:c>
    </x:row>
    <x:row r="467" ht="36" customHeight="1">
      <x:c r="A467" s="50" t="str">
        <x:f>IF(459&gt;$H$4,"",IF(INDEX('Fleet dates'!$A$9:$A$1008,$I467-8)="","",INDEX('Fleet dates'!$A$9:$A$1008,$I467-8)))</x:f>
      </x:c>
      <x:c r="B467" s="50" t="str">
        <x:f>IF(459&gt;$H$4,"",IF(INDEX('Fleet dates'!$B$9:$B$1008,$I467-8)="","",INDEX('Fleet dates'!$B$9:$B$1008,$I467-8)))</x:f>
      </x:c>
      <x:c r="C467" s="51" t="str">
        <x:f>IF(459&gt;$H$4,"",IF(INDEX('Fleet dates'!$C$9:$C$1008,$I467-8)="","",INDEX('Fleet dates'!$C$9:$C$1008,$I467-8)))</x:f>
      </x:c>
      <x:c r="D467" s="51" t="str">
        <x:f>IF(459&gt;$H$4,"",IF(INDEX('Fleet dates'!$D$9:$D$1008,$I467-8)="","",INDEX('Fleet dates'!$D$9:$D$1008,$I467-8)))</x:f>
      </x:c>
      <x:c r="E467" s="51" t="str">
        <x:f>IF(459&gt;$H$4,"",IF(INDEX('Fleet dates'!$E$9:$E$1008,$I467-8)="","",INDEX('Fleet dates'!$E$9:$E$1008,$I467-8)))</x:f>
      </x:c>
      <x:c r="F467" s="51" t="str">
        <x:f>IF(459&gt;$H$4,"",IF(INDEX('Fleet dates'!$F$9:$F$1008,$I467-8)="","",INDEX('Fleet dates'!$F$9:$F$1008,$I467-8)))</x:f>
      </x:c>
      <x:c r="G467" s="50" t="str">
        <x:f>IF(459&gt;$H$4,"",IF(INDEX('Fleet dates'!$G$9:$G$1008,$I467-8)="","",INDEX('Fleet dates'!$G$9:$G$1008,$I467-8)))</x:f>
      </x:c>
      <x:c r="H467" s="50" t="str">
        <x:f>IF(459&gt;$H$4,"",IF(INDEX('Fleet dates'!$I$9:$I$1008,$I467-8)="","",INDEX('Fleet dates'!$I$9:$I$1008,$I467-8)))</x:f>
      </x:c>
      <x:c r="I467" t="str">
        <x:f>IF(459&gt;$H$4,"",MATCH(459,'Fleet dates'!$J$9:$J$1008,0)+8)</x:f>
      </x:c>
    </x:row>
    <x:row r="468" ht="36" customHeight="1">
      <x:c r="A468" s="50" t="str">
        <x:f>IF(460&gt;$H$4,"",IF(INDEX('Fleet dates'!$A$9:$A$1008,$I468-8)="","",INDEX('Fleet dates'!$A$9:$A$1008,$I468-8)))</x:f>
      </x:c>
      <x:c r="B468" s="50" t="str">
        <x:f>IF(460&gt;$H$4,"",IF(INDEX('Fleet dates'!$B$9:$B$1008,$I468-8)="","",INDEX('Fleet dates'!$B$9:$B$1008,$I468-8)))</x:f>
      </x:c>
      <x:c r="C468" s="51" t="str">
        <x:f>IF(460&gt;$H$4,"",IF(INDEX('Fleet dates'!$C$9:$C$1008,$I468-8)="","",INDEX('Fleet dates'!$C$9:$C$1008,$I468-8)))</x:f>
      </x:c>
      <x:c r="D468" s="51" t="str">
        <x:f>IF(460&gt;$H$4,"",IF(INDEX('Fleet dates'!$D$9:$D$1008,$I468-8)="","",INDEX('Fleet dates'!$D$9:$D$1008,$I468-8)))</x:f>
      </x:c>
      <x:c r="E468" s="51" t="str">
        <x:f>IF(460&gt;$H$4,"",IF(INDEX('Fleet dates'!$E$9:$E$1008,$I468-8)="","",INDEX('Fleet dates'!$E$9:$E$1008,$I468-8)))</x:f>
      </x:c>
      <x:c r="F468" s="51" t="str">
        <x:f>IF(460&gt;$H$4,"",IF(INDEX('Fleet dates'!$F$9:$F$1008,$I468-8)="","",INDEX('Fleet dates'!$F$9:$F$1008,$I468-8)))</x:f>
      </x:c>
      <x:c r="G468" s="50" t="str">
        <x:f>IF(460&gt;$H$4,"",IF(INDEX('Fleet dates'!$G$9:$G$1008,$I468-8)="","",INDEX('Fleet dates'!$G$9:$G$1008,$I468-8)))</x:f>
      </x:c>
      <x:c r="H468" s="50" t="str">
        <x:f>IF(460&gt;$H$4,"",IF(INDEX('Fleet dates'!$I$9:$I$1008,$I468-8)="","",INDEX('Fleet dates'!$I$9:$I$1008,$I468-8)))</x:f>
      </x:c>
      <x:c r="I468" t="str">
        <x:f>IF(460&gt;$H$4,"",MATCH(460,'Fleet dates'!$J$9:$J$1008,0)+8)</x:f>
      </x:c>
    </x:row>
    <x:row r="469" ht="36" customHeight="1">
      <x:c r="A469" s="50" t="str">
        <x:f>IF(461&gt;$H$4,"",IF(INDEX('Fleet dates'!$A$9:$A$1008,$I469-8)="","",INDEX('Fleet dates'!$A$9:$A$1008,$I469-8)))</x:f>
      </x:c>
      <x:c r="B469" s="50" t="str">
        <x:f>IF(461&gt;$H$4,"",IF(INDEX('Fleet dates'!$B$9:$B$1008,$I469-8)="","",INDEX('Fleet dates'!$B$9:$B$1008,$I469-8)))</x:f>
      </x:c>
      <x:c r="C469" s="51" t="str">
        <x:f>IF(461&gt;$H$4,"",IF(INDEX('Fleet dates'!$C$9:$C$1008,$I469-8)="","",INDEX('Fleet dates'!$C$9:$C$1008,$I469-8)))</x:f>
      </x:c>
      <x:c r="D469" s="51" t="str">
        <x:f>IF(461&gt;$H$4,"",IF(INDEX('Fleet dates'!$D$9:$D$1008,$I469-8)="","",INDEX('Fleet dates'!$D$9:$D$1008,$I469-8)))</x:f>
      </x:c>
      <x:c r="E469" s="51" t="str">
        <x:f>IF(461&gt;$H$4,"",IF(INDEX('Fleet dates'!$E$9:$E$1008,$I469-8)="","",INDEX('Fleet dates'!$E$9:$E$1008,$I469-8)))</x:f>
      </x:c>
      <x:c r="F469" s="51" t="str">
        <x:f>IF(461&gt;$H$4,"",IF(INDEX('Fleet dates'!$F$9:$F$1008,$I469-8)="","",INDEX('Fleet dates'!$F$9:$F$1008,$I469-8)))</x:f>
      </x:c>
      <x:c r="G469" s="50" t="str">
        <x:f>IF(461&gt;$H$4,"",IF(INDEX('Fleet dates'!$G$9:$G$1008,$I469-8)="","",INDEX('Fleet dates'!$G$9:$G$1008,$I469-8)))</x:f>
      </x:c>
      <x:c r="H469" s="50" t="str">
        <x:f>IF(461&gt;$H$4,"",IF(INDEX('Fleet dates'!$I$9:$I$1008,$I469-8)="","",INDEX('Fleet dates'!$I$9:$I$1008,$I469-8)))</x:f>
      </x:c>
      <x:c r="I469" t="str">
        <x:f>IF(461&gt;$H$4,"",MATCH(461,'Fleet dates'!$J$9:$J$1008,0)+8)</x:f>
      </x:c>
    </x:row>
    <x:row r="470" ht="36" customHeight="1">
      <x:c r="A470" s="50" t="str">
        <x:f>IF(462&gt;$H$4,"",IF(INDEX('Fleet dates'!$A$9:$A$1008,$I470-8)="","",INDEX('Fleet dates'!$A$9:$A$1008,$I470-8)))</x:f>
      </x:c>
      <x:c r="B470" s="50" t="str">
        <x:f>IF(462&gt;$H$4,"",IF(INDEX('Fleet dates'!$B$9:$B$1008,$I470-8)="","",INDEX('Fleet dates'!$B$9:$B$1008,$I470-8)))</x:f>
      </x:c>
      <x:c r="C470" s="51" t="str">
        <x:f>IF(462&gt;$H$4,"",IF(INDEX('Fleet dates'!$C$9:$C$1008,$I470-8)="","",INDEX('Fleet dates'!$C$9:$C$1008,$I470-8)))</x:f>
      </x:c>
      <x:c r="D470" s="51" t="str">
        <x:f>IF(462&gt;$H$4,"",IF(INDEX('Fleet dates'!$D$9:$D$1008,$I470-8)="","",INDEX('Fleet dates'!$D$9:$D$1008,$I470-8)))</x:f>
      </x:c>
      <x:c r="E470" s="51" t="str">
        <x:f>IF(462&gt;$H$4,"",IF(INDEX('Fleet dates'!$E$9:$E$1008,$I470-8)="","",INDEX('Fleet dates'!$E$9:$E$1008,$I470-8)))</x:f>
      </x:c>
      <x:c r="F470" s="51" t="str">
        <x:f>IF(462&gt;$H$4,"",IF(INDEX('Fleet dates'!$F$9:$F$1008,$I470-8)="","",INDEX('Fleet dates'!$F$9:$F$1008,$I470-8)))</x:f>
      </x:c>
      <x:c r="G470" s="50" t="str">
        <x:f>IF(462&gt;$H$4,"",IF(INDEX('Fleet dates'!$G$9:$G$1008,$I470-8)="","",INDEX('Fleet dates'!$G$9:$G$1008,$I470-8)))</x:f>
      </x:c>
      <x:c r="H470" s="50" t="str">
        <x:f>IF(462&gt;$H$4,"",IF(INDEX('Fleet dates'!$I$9:$I$1008,$I470-8)="","",INDEX('Fleet dates'!$I$9:$I$1008,$I470-8)))</x:f>
      </x:c>
      <x:c r="I470" t="str">
        <x:f>IF(462&gt;$H$4,"",MATCH(462,'Fleet dates'!$J$9:$J$1008,0)+8)</x:f>
      </x:c>
    </x:row>
    <x:row r="471" ht="36" customHeight="1">
      <x:c r="A471" s="50" t="str">
        <x:f>IF(463&gt;$H$4,"",IF(INDEX('Fleet dates'!$A$9:$A$1008,$I471-8)="","",INDEX('Fleet dates'!$A$9:$A$1008,$I471-8)))</x:f>
      </x:c>
      <x:c r="B471" s="50" t="str">
        <x:f>IF(463&gt;$H$4,"",IF(INDEX('Fleet dates'!$B$9:$B$1008,$I471-8)="","",INDEX('Fleet dates'!$B$9:$B$1008,$I471-8)))</x:f>
      </x:c>
      <x:c r="C471" s="51" t="str">
        <x:f>IF(463&gt;$H$4,"",IF(INDEX('Fleet dates'!$C$9:$C$1008,$I471-8)="","",INDEX('Fleet dates'!$C$9:$C$1008,$I471-8)))</x:f>
      </x:c>
      <x:c r="D471" s="51" t="str">
        <x:f>IF(463&gt;$H$4,"",IF(INDEX('Fleet dates'!$D$9:$D$1008,$I471-8)="","",INDEX('Fleet dates'!$D$9:$D$1008,$I471-8)))</x:f>
      </x:c>
      <x:c r="E471" s="51" t="str">
        <x:f>IF(463&gt;$H$4,"",IF(INDEX('Fleet dates'!$E$9:$E$1008,$I471-8)="","",INDEX('Fleet dates'!$E$9:$E$1008,$I471-8)))</x:f>
      </x:c>
      <x:c r="F471" s="51" t="str">
        <x:f>IF(463&gt;$H$4,"",IF(INDEX('Fleet dates'!$F$9:$F$1008,$I471-8)="","",INDEX('Fleet dates'!$F$9:$F$1008,$I471-8)))</x:f>
      </x:c>
      <x:c r="G471" s="50" t="str">
        <x:f>IF(463&gt;$H$4,"",IF(INDEX('Fleet dates'!$G$9:$G$1008,$I471-8)="","",INDEX('Fleet dates'!$G$9:$G$1008,$I471-8)))</x:f>
      </x:c>
      <x:c r="H471" s="50" t="str">
        <x:f>IF(463&gt;$H$4,"",IF(INDEX('Fleet dates'!$I$9:$I$1008,$I471-8)="","",INDEX('Fleet dates'!$I$9:$I$1008,$I471-8)))</x:f>
      </x:c>
      <x:c r="I471" t="str">
        <x:f>IF(463&gt;$H$4,"",MATCH(463,'Fleet dates'!$J$9:$J$1008,0)+8)</x:f>
      </x:c>
    </x:row>
    <x:row r="472" ht="36" customHeight="1">
      <x:c r="A472" s="50" t="str">
        <x:f>IF(464&gt;$H$4,"",IF(INDEX('Fleet dates'!$A$9:$A$1008,$I472-8)="","",INDEX('Fleet dates'!$A$9:$A$1008,$I472-8)))</x:f>
      </x:c>
      <x:c r="B472" s="50" t="str">
        <x:f>IF(464&gt;$H$4,"",IF(INDEX('Fleet dates'!$B$9:$B$1008,$I472-8)="","",INDEX('Fleet dates'!$B$9:$B$1008,$I472-8)))</x:f>
      </x:c>
      <x:c r="C472" s="51" t="str">
        <x:f>IF(464&gt;$H$4,"",IF(INDEX('Fleet dates'!$C$9:$C$1008,$I472-8)="","",INDEX('Fleet dates'!$C$9:$C$1008,$I472-8)))</x:f>
      </x:c>
      <x:c r="D472" s="51" t="str">
        <x:f>IF(464&gt;$H$4,"",IF(INDEX('Fleet dates'!$D$9:$D$1008,$I472-8)="","",INDEX('Fleet dates'!$D$9:$D$1008,$I472-8)))</x:f>
      </x:c>
      <x:c r="E472" s="51" t="str">
        <x:f>IF(464&gt;$H$4,"",IF(INDEX('Fleet dates'!$E$9:$E$1008,$I472-8)="","",INDEX('Fleet dates'!$E$9:$E$1008,$I472-8)))</x:f>
      </x:c>
      <x:c r="F472" s="51" t="str">
        <x:f>IF(464&gt;$H$4,"",IF(INDEX('Fleet dates'!$F$9:$F$1008,$I472-8)="","",INDEX('Fleet dates'!$F$9:$F$1008,$I472-8)))</x:f>
      </x:c>
      <x:c r="G472" s="50" t="str">
        <x:f>IF(464&gt;$H$4,"",IF(INDEX('Fleet dates'!$G$9:$G$1008,$I472-8)="","",INDEX('Fleet dates'!$G$9:$G$1008,$I472-8)))</x:f>
      </x:c>
      <x:c r="H472" s="50" t="str">
        <x:f>IF(464&gt;$H$4,"",IF(INDEX('Fleet dates'!$I$9:$I$1008,$I472-8)="","",INDEX('Fleet dates'!$I$9:$I$1008,$I472-8)))</x:f>
      </x:c>
      <x:c r="I472" t="str">
        <x:f>IF(464&gt;$H$4,"",MATCH(464,'Fleet dates'!$J$9:$J$1008,0)+8)</x:f>
      </x:c>
    </x:row>
    <x:row r="473" ht="36" customHeight="1">
      <x:c r="A473" s="50" t="str">
        <x:f>IF(465&gt;$H$4,"",IF(INDEX('Fleet dates'!$A$9:$A$1008,$I473-8)="","",INDEX('Fleet dates'!$A$9:$A$1008,$I473-8)))</x:f>
      </x:c>
      <x:c r="B473" s="50" t="str">
        <x:f>IF(465&gt;$H$4,"",IF(INDEX('Fleet dates'!$B$9:$B$1008,$I473-8)="","",INDEX('Fleet dates'!$B$9:$B$1008,$I473-8)))</x:f>
      </x:c>
      <x:c r="C473" s="51" t="str">
        <x:f>IF(465&gt;$H$4,"",IF(INDEX('Fleet dates'!$C$9:$C$1008,$I473-8)="","",INDEX('Fleet dates'!$C$9:$C$1008,$I473-8)))</x:f>
      </x:c>
      <x:c r="D473" s="51" t="str">
        <x:f>IF(465&gt;$H$4,"",IF(INDEX('Fleet dates'!$D$9:$D$1008,$I473-8)="","",INDEX('Fleet dates'!$D$9:$D$1008,$I473-8)))</x:f>
      </x:c>
      <x:c r="E473" s="51" t="str">
        <x:f>IF(465&gt;$H$4,"",IF(INDEX('Fleet dates'!$E$9:$E$1008,$I473-8)="","",INDEX('Fleet dates'!$E$9:$E$1008,$I473-8)))</x:f>
      </x:c>
      <x:c r="F473" s="51" t="str">
        <x:f>IF(465&gt;$H$4,"",IF(INDEX('Fleet dates'!$F$9:$F$1008,$I473-8)="","",INDEX('Fleet dates'!$F$9:$F$1008,$I473-8)))</x:f>
      </x:c>
      <x:c r="G473" s="50" t="str">
        <x:f>IF(465&gt;$H$4,"",IF(INDEX('Fleet dates'!$G$9:$G$1008,$I473-8)="","",INDEX('Fleet dates'!$G$9:$G$1008,$I473-8)))</x:f>
      </x:c>
      <x:c r="H473" s="50" t="str">
        <x:f>IF(465&gt;$H$4,"",IF(INDEX('Fleet dates'!$I$9:$I$1008,$I473-8)="","",INDEX('Fleet dates'!$I$9:$I$1008,$I473-8)))</x:f>
      </x:c>
      <x:c r="I473" t="str">
        <x:f>IF(465&gt;$H$4,"",MATCH(465,'Fleet dates'!$J$9:$J$1008,0)+8)</x:f>
      </x:c>
    </x:row>
    <x:row r="474" ht="36" customHeight="1">
      <x:c r="A474" s="50" t="str">
        <x:f>IF(466&gt;$H$4,"",IF(INDEX('Fleet dates'!$A$9:$A$1008,$I474-8)="","",INDEX('Fleet dates'!$A$9:$A$1008,$I474-8)))</x:f>
      </x:c>
      <x:c r="B474" s="50" t="str">
        <x:f>IF(466&gt;$H$4,"",IF(INDEX('Fleet dates'!$B$9:$B$1008,$I474-8)="","",INDEX('Fleet dates'!$B$9:$B$1008,$I474-8)))</x:f>
      </x:c>
      <x:c r="C474" s="51" t="str">
        <x:f>IF(466&gt;$H$4,"",IF(INDEX('Fleet dates'!$C$9:$C$1008,$I474-8)="","",INDEX('Fleet dates'!$C$9:$C$1008,$I474-8)))</x:f>
      </x:c>
      <x:c r="D474" s="51" t="str">
        <x:f>IF(466&gt;$H$4,"",IF(INDEX('Fleet dates'!$D$9:$D$1008,$I474-8)="","",INDEX('Fleet dates'!$D$9:$D$1008,$I474-8)))</x:f>
      </x:c>
      <x:c r="E474" s="51" t="str">
        <x:f>IF(466&gt;$H$4,"",IF(INDEX('Fleet dates'!$E$9:$E$1008,$I474-8)="","",INDEX('Fleet dates'!$E$9:$E$1008,$I474-8)))</x:f>
      </x:c>
      <x:c r="F474" s="51" t="str">
        <x:f>IF(466&gt;$H$4,"",IF(INDEX('Fleet dates'!$F$9:$F$1008,$I474-8)="","",INDEX('Fleet dates'!$F$9:$F$1008,$I474-8)))</x:f>
      </x:c>
      <x:c r="G474" s="50" t="str">
        <x:f>IF(466&gt;$H$4,"",IF(INDEX('Fleet dates'!$G$9:$G$1008,$I474-8)="","",INDEX('Fleet dates'!$G$9:$G$1008,$I474-8)))</x:f>
      </x:c>
      <x:c r="H474" s="50" t="str">
        <x:f>IF(466&gt;$H$4,"",IF(INDEX('Fleet dates'!$I$9:$I$1008,$I474-8)="","",INDEX('Fleet dates'!$I$9:$I$1008,$I474-8)))</x:f>
      </x:c>
      <x:c r="I474" t="str">
        <x:f>IF(466&gt;$H$4,"",MATCH(466,'Fleet dates'!$J$9:$J$1008,0)+8)</x:f>
      </x:c>
    </x:row>
    <x:row r="475" ht="36" customHeight="1">
      <x:c r="A475" s="50" t="str">
        <x:f>IF(467&gt;$H$4,"",IF(INDEX('Fleet dates'!$A$9:$A$1008,$I475-8)="","",INDEX('Fleet dates'!$A$9:$A$1008,$I475-8)))</x:f>
      </x:c>
      <x:c r="B475" s="50" t="str">
        <x:f>IF(467&gt;$H$4,"",IF(INDEX('Fleet dates'!$B$9:$B$1008,$I475-8)="","",INDEX('Fleet dates'!$B$9:$B$1008,$I475-8)))</x:f>
      </x:c>
      <x:c r="C475" s="51" t="str">
        <x:f>IF(467&gt;$H$4,"",IF(INDEX('Fleet dates'!$C$9:$C$1008,$I475-8)="","",INDEX('Fleet dates'!$C$9:$C$1008,$I475-8)))</x:f>
      </x:c>
      <x:c r="D475" s="51" t="str">
        <x:f>IF(467&gt;$H$4,"",IF(INDEX('Fleet dates'!$D$9:$D$1008,$I475-8)="","",INDEX('Fleet dates'!$D$9:$D$1008,$I475-8)))</x:f>
      </x:c>
      <x:c r="E475" s="51" t="str">
        <x:f>IF(467&gt;$H$4,"",IF(INDEX('Fleet dates'!$E$9:$E$1008,$I475-8)="","",INDEX('Fleet dates'!$E$9:$E$1008,$I475-8)))</x:f>
      </x:c>
      <x:c r="F475" s="51" t="str">
        <x:f>IF(467&gt;$H$4,"",IF(INDEX('Fleet dates'!$F$9:$F$1008,$I475-8)="","",INDEX('Fleet dates'!$F$9:$F$1008,$I475-8)))</x:f>
      </x:c>
      <x:c r="G475" s="50" t="str">
        <x:f>IF(467&gt;$H$4,"",IF(INDEX('Fleet dates'!$G$9:$G$1008,$I475-8)="","",INDEX('Fleet dates'!$G$9:$G$1008,$I475-8)))</x:f>
      </x:c>
      <x:c r="H475" s="50" t="str">
        <x:f>IF(467&gt;$H$4,"",IF(INDEX('Fleet dates'!$I$9:$I$1008,$I475-8)="","",INDEX('Fleet dates'!$I$9:$I$1008,$I475-8)))</x:f>
      </x:c>
      <x:c r="I475" t="str">
        <x:f>IF(467&gt;$H$4,"",MATCH(467,'Fleet dates'!$J$9:$J$1008,0)+8)</x:f>
      </x:c>
    </x:row>
    <x:row r="476" ht="36" customHeight="1">
      <x:c r="A476" s="50" t="str">
        <x:f>IF(468&gt;$H$4,"",IF(INDEX('Fleet dates'!$A$9:$A$1008,$I476-8)="","",INDEX('Fleet dates'!$A$9:$A$1008,$I476-8)))</x:f>
      </x:c>
      <x:c r="B476" s="50" t="str">
        <x:f>IF(468&gt;$H$4,"",IF(INDEX('Fleet dates'!$B$9:$B$1008,$I476-8)="","",INDEX('Fleet dates'!$B$9:$B$1008,$I476-8)))</x:f>
      </x:c>
      <x:c r="C476" s="51" t="str">
        <x:f>IF(468&gt;$H$4,"",IF(INDEX('Fleet dates'!$C$9:$C$1008,$I476-8)="","",INDEX('Fleet dates'!$C$9:$C$1008,$I476-8)))</x:f>
      </x:c>
      <x:c r="D476" s="51" t="str">
        <x:f>IF(468&gt;$H$4,"",IF(INDEX('Fleet dates'!$D$9:$D$1008,$I476-8)="","",INDEX('Fleet dates'!$D$9:$D$1008,$I476-8)))</x:f>
      </x:c>
      <x:c r="E476" s="51" t="str">
        <x:f>IF(468&gt;$H$4,"",IF(INDEX('Fleet dates'!$E$9:$E$1008,$I476-8)="","",INDEX('Fleet dates'!$E$9:$E$1008,$I476-8)))</x:f>
      </x:c>
      <x:c r="F476" s="51" t="str">
        <x:f>IF(468&gt;$H$4,"",IF(INDEX('Fleet dates'!$F$9:$F$1008,$I476-8)="","",INDEX('Fleet dates'!$F$9:$F$1008,$I476-8)))</x:f>
      </x:c>
      <x:c r="G476" s="50" t="str">
        <x:f>IF(468&gt;$H$4,"",IF(INDEX('Fleet dates'!$G$9:$G$1008,$I476-8)="","",INDEX('Fleet dates'!$G$9:$G$1008,$I476-8)))</x:f>
      </x:c>
      <x:c r="H476" s="50" t="str">
        <x:f>IF(468&gt;$H$4,"",IF(INDEX('Fleet dates'!$I$9:$I$1008,$I476-8)="","",INDEX('Fleet dates'!$I$9:$I$1008,$I476-8)))</x:f>
      </x:c>
      <x:c r="I476" t="str">
        <x:f>IF(468&gt;$H$4,"",MATCH(468,'Fleet dates'!$J$9:$J$1008,0)+8)</x:f>
      </x:c>
    </x:row>
    <x:row r="477" ht="36" customHeight="1">
      <x:c r="A477" s="50" t="str">
        <x:f>IF(469&gt;$H$4,"",IF(INDEX('Fleet dates'!$A$9:$A$1008,$I477-8)="","",INDEX('Fleet dates'!$A$9:$A$1008,$I477-8)))</x:f>
      </x:c>
      <x:c r="B477" s="50" t="str">
        <x:f>IF(469&gt;$H$4,"",IF(INDEX('Fleet dates'!$B$9:$B$1008,$I477-8)="","",INDEX('Fleet dates'!$B$9:$B$1008,$I477-8)))</x:f>
      </x:c>
      <x:c r="C477" s="51" t="str">
        <x:f>IF(469&gt;$H$4,"",IF(INDEX('Fleet dates'!$C$9:$C$1008,$I477-8)="","",INDEX('Fleet dates'!$C$9:$C$1008,$I477-8)))</x:f>
      </x:c>
      <x:c r="D477" s="51" t="str">
        <x:f>IF(469&gt;$H$4,"",IF(INDEX('Fleet dates'!$D$9:$D$1008,$I477-8)="","",INDEX('Fleet dates'!$D$9:$D$1008,$I477-8)))</x:f>
      </x:c>
      <x:c r="E477" s="51" t="str">
        <x:f>IF(469&gt;$H$4,"",IF(INDEX('Fleet dates'!$E$9:$E$1008,$I477-8)="","",INDEX('Fleet dates'!$E$9:$E$1008,$I477-8)))</x:f>
      </x:c>
      <x:c r="F477" s="51" t="str">
        <x:f>IF(469&gt;$H$4,"",IF(INDEX('Fleet dates'!$F$9:$F$1008,$I477-8)="","",INDEX('Fleet dates'!$F$9:$F$1008,$I477-8)))</x:f>
      </x:c>
      <x:c r="G477" s="50" t="str">
        <x:f>IF(469&gt;$H$4,"",IF(INDEX('Fleet dates'!$G$9:$G$1008,$I477-8)="","",INDEX('Fleet dates'!$G$9:$G$1008,$I477-8)))</x:f>
      </x:c>
      <x:c r="H477" s="50" t="str">
        <x:f>IF(469&gt;$H$4,"",IF(INDEX('Fleet dates'!$I$9:$I$1008,$I477-8)="","",INDEX('Fleet dates'!$I$9:$I$1008,$I477-8)))</x:f>
      </x:c>
      <x:c r="I477" t="str">
        <x:f>IF(469&gt;$H$4,"",MATCH(469,'Fleet dates'!$J$9:$J$1008,0)+8)</x:f>
      </x:c>
    </x:row>
    <x:row r="478" ht="36" customHeight="1">
      <x:c r="A478" s="50" t="str">
        <x:f>IF(470&gt;$H$4,"",IF(INDEX('Fleet dates'!$A$9:$A$1008,$I478-8)="","",INDEX('Fleet dates'!$A$9:$A$1008,$I478-8)))</x:f>
      </x:c>
      <x:c r="B478" s="50" t="str">
        <x:f>IF(470&gt;$H$4,"",IF(INDEX('Fleet dates'!$B$9:$B$1008,$I478-8)="","",INDEX('Fleet dates'!$B$9:$B$1008,$I478-8)))</x:f>
      </x:c>
      <x:c r="C478" s="51" t="str">
        <x:f>IF(470&gt;$H$4,"",IF(INDEX('Fleet dates'!$C$9:$C$1008,$I478-8)="","",INDEX('Fleet dates'!$C$9:$C$1008,$I478-8)))</x:f>
      </x:c>
      <x:c r="D478" s="51" t="str">
        <x:f>IF(470&gt;$H$4,"",IF(INDEX('Fleet dates'!$D$9:$D$1008,$I478-8)="","",INDEX('Fleet dates'!$D$9:$D$1008,$I478-8)))</x:f>
      </x:c>
      <x:c r="E478" s="51" t="str">
        <x:f>IF(470&gt;$H$4,"",IF(INDEX('Fleet dates'!$E$9:$E$1008,$I478-8)="","",INDEX('Fleet dates'!$E$9:$E$1008,$I478-8)))</x:f>
      </x:c>
      <x:c r="F478" s="51" t="str">
        <x:f>IF(470&gt;$H$4,"",IF(INDEX('Fleet dates'!$F$9:$F$1008,$I478-8)="","",INDEX('Fleet dates'!$F$9:$F$1008,$I478-8)))</x:f>
      </x:c>
      <x:c r="G478" s="50" t="str">
        <x:f>IF(470&gt;$H$4,"",IF(INDEX('Fleet dates'!$G$9:$G$1008,$I478-8)="","",INDEX('Fleet dates'!$G$9:$G$1008,$I478-8)))</x:f>
      </x:c>
      <x:c r="H478" s="50" t="str">
        <x:f>IF(470&gt;$H$4,"",IF(INDEX('Fleet dates'!$I$9:$I$1008,$I478-8)="","",INDEX('Fleet dates'!$I$9:$I$1008,$I478-8)))</x:f>
      </x:c>
      <x:c r="I478" t="str">
        <x:f>IF(470&gt;$H$4,"",MATCH(470,'Fleet dates'!$J$9:$J$1008,0)+8)</x:f>
      </x:c>
    </x:row>
    <x:row r="479" ht="36" customHeight="1">
      <x:c r="A479" s="50" t="str">
        <x:f>IF(471&gt;$H$4,"",IF(INDEX('Fleet dates'!$A$9:$A$1008,$I479-8)="","",INDEX('Fleet dates'!$A$9:$A$1008,$I479-8)))</x:f>
      </x:c>
      <x:c r="B479" s="50" t="str">
        <x:f>IF(471&gt;$H$4,"",IF(INDEX('Fleet dates'!$B$9:$B$1008,$I479-8)="","",INDEX('Fleet dates'!$B$9:$B$1008,$I479-8)))</x:f>
      </x:c>
      <x:c r="C479" s="51" t="str">
        <x:f>IF(471&gt;$H$4,"",IF(INDEX('Fleet dates'!$C$9:$C$1008,$I479-8)="","",INDEX('Fleet dates'!$C$9:$C$1008,$I479-8)))</x:f>
      </x:c>
      <x:c r="D479" s="51" t="str">
        <x:f>IF(471&gt;$H$4,"",IF(INDEX('Fleet dates'!$D$9:$D$1008,$I479-8)="","",INDEX('Fleet dates'!$D$9:$D$1008,$I479-8)))</x:f>
      </x:c>
      <x:c r="E479" s="51" t="str">
        <x:f>IF(471&gt;$H$4,"",IF(INDEX('Fleet dates'!$E$9:$E$1008,$I479-8)="","",INDEX('Fleet dates'!$E$9:$E$1008,$I479-8)))</x:f>
      </x:c>
      <x:c r="F479" s="51" t="str">
        <x:f>IF(471&gt;$H$4,"",IF(INDEX('Fleet dates'!$F$9:$F$1008,$I479-8)="","",INDEX('Fleet dates'!$F$9:$F$1008,$I479-8)))</x:f>
      </x:c>
      <x:c r="G479" s="50" t="str">
        <x:f>IF(471&gt;$H$4,"",IF(INDEX('Fleet dates'!$G$9:$G$1008,$I479-8)="","",INDEX('Fleet dates'!$G$9:$G$1008,$I479-8)))</x:f>
      </x:c>
      <x:c r="H479" s="50" t="str">
        <x:f>IF(471&gt;$H$4,"",IF(INDEX('Fleet dates'!$I$9:$I$1008,$I479-8)="","",INDEX('Fleet dates'!$I$9:$I$1008,$I479-8)))</x:f>
      </x:c>
      <x:c r="I479" t="str">
        <x:f>IF(471&gt;$H$4,"",MATCH(471,'Fleet dates'!$J$9:$J$1008,0)+8)</x:f>
      </x:c>
    </x:row>
    <x:row r="480" ht="36" customHeight="1">
      <x:c r="A480" s="50" t="str">
        <x:f>IF(472&gt;$H$4,"",IF(INDEX('Fleet dates'!$A$9:$A$1008,$I480-8)="","",INDEX('Fleet dates'!$A$9:$A$1008,$I480-8)))</x:f>
      </x:c>
      <x:c r="B480" s="50" t="str">
        <x:f>IF(472&gt;$H$4,"",IF(INDEX('Fleet dates'!$B$9:$B$1008,$I480-8)="","",INDEX('Fleet dates'!$B$9:$B$1008,$I480-8)))</x:f>
      </x:c>
      <x:c r="C480" s="51" t="str">
        <x:f>IF(472&gt;$H$4,"",IF(INDEX('Fleet dates'!$C$9:$C$1008,$I480-8)="","",INDEX('Fleet dates'!$C$9:$C$1008,$I480-8)))</x:f>
      </x:c>
      <x:c r="D480" s="51" t="str">
        <x:f>IF(472&gt;$H$4,"",IF(INDEX('Fleet dates'!$D$9:$D$1008,$I480-8)="","",INDEX('Fleet dates'!$D$9:$D$1008,$I480-8)))</x:f>
      </x:c>
      <x:c r="E480" s="51" t="str">
        <x:f>IF(472&gt;$H$4,"",IF(INDEX('Fleet dates'!$E$9:$E$1008,$I480-8)="","",INDEX('Fleet dates'!$E$9:$E$1008,$I480-8)))</x:f>
      </x:c>
      <x:c r="F480" s="51" t="str">
        <x:f>IF(472&gt;$H$4,"",IF(INDEX('Fleet dates'!$F$9:$F$1008,$I480-8)="","",INDEX('Fleet dates'!$F$9:$F$1008,$I480-8)))</x:f>
      </x:c>
      <x:c r="G480" s="50" t="str">
        <x:f>IF(472&gt;$H$4,"",IF(INDEX('Fleet dates'!$G$9:$G$1008,$I480-8)="","",INDEX('Fleet dates'!$G$9:$G$1008,$I480-8)))</x:f>
      </x:c>
      <x:c r="H480" s="50" t="str">
        <x:f>IF(472&gt;$H$4,"",IF(INDEX('Fleet dates'!$I$9:$I$1008,$I480-8)="","",INDEX('Fleet dates'!$I$9:$I$1008,$I480-8)))</x:f>
      </x:c>
      <x:c r="I480" t="str">
        <x:f>IF(472&gt;$H$4,"",MATCH(472,'Fleet dates'!$J$9:$J$1008,0)+8)</x:f>
      </x:c>
    </x:row>
    <x:row r="481" ht="36" customHeight="1">
      <x:c r="A481" s="50" t="str">
        <x:f>IF(473&gt;$H$4,"",IF(INDEX('Fleet dates'!$A$9:$A$1008,$I481-8)="","",INDEX('Fleet dates'!$A$9:$A$1008,$I481-8)))</x:f>
      </x:c>
      <x:c r="B481" s="50" t="str">
        <x:f>IF(473&gt;$H$4,"",IF(INDEX('Fleet dates'!$B$9:$B$1008,$I481-8)="","",INDEX('Fleet dates'!$B$9:$B$1008,$I481-8)))</x:f>
      </x:c>
      <x:c r="C481" s="51" t="str">
        <x:f>IF(473&gt;$H$4,"",IF(INDEX('Fleet dates'!$C$9:$C$1008,$I481-8)="","",INDEX('Fleet dates'!$C$9:$C$1008,$I481-8)))</x:f>
      </x:c>
      <x:c r="D481" s="51" t="str">
        <x:f>IF(473&gt;$H$4,"",IF(INDEX('Fleet dates'!$D$9:$D$1008,$I481-8)="","",INDEX('Fleet dates'!$D$9:$D$1008,$I481-8)))</x:f>
      </x:c>
      <x:c r="E481" s="51" t="str">
        <x:f>IF(473&gt;$H$4,"",IF(INDEX('Fleet dates'!$E$9:$E$1008,$I481-8)="","",INDEX('Fleet dates'!$E$9:$E$1008,$I481-8)))</x:f>
      </x:c>
      <x:c r="F481" s="51" t="str">
        <x:f>IF(473&gt;$H$4,"",IF(INDEX('Fleet dates'!$F$9:$F$1008,$I481-8)="","",INDEX('Fleet dates'!$F$9:$F$1008,$I481-8)))</x:f>
      </x:c>
      <x:c r="G481" s="50" t="str">
        <x:f>IF(473&gt;$H$4,"",IF(INDEX('Fleet dates'!$G$9:$G$1008,$I481-8)="","",INDEX('Fleet dates'!$G$9:$G$1008,$I481-8)))</x:f>
      </x:c>
      <x:c r="H481" s="50" t="str">
        <x:f>IF(473&gt;$H$4,"",IF(INDEX('Fleet dates'!$I$9:$I$1008,$I481-8)="","",INDEX('Fleet dates'!$I$9:$I$1008,$I481-8)))</x:f>
      </x:c>
      <x:c r="I481" t="str">
        <x:f>IF(473&gt;$H$4,"",MATCH(473,'Fleet dates'!$J$9:$J$1008,0)+8)</x:f>
      </x:c>
    </x:row>
    <x:row r="482" ht="36" customHeight="1">
      <x:c r="A482" s="50" t="str">
        <x:f>IF(474&gt;$H$4,"",IF(INDEX('Fleet dates'!$A$9:$A$1008,$I482-8)="","",INDEX('Fleet dates'!$A$9:$A$1008,$I482-8)))</x:f>
      </x:c>
      <x:c r="B482" s="50" t="str">
        <x:f>IF(474&gt;$H$4,"",IF(INDEX('Fleet dates'!$B$9:$B$1008,$I482-8)="","",INDEX('Fleet dates'!$B$9:$B$1008,$I482-8)))</x:f>
      </x:c>
      <x:c r="C482" s="51" t="str">
        <x:f>IF(474&gt;$H$4,"",IF(INDEX('Fleet dates'!$C$9:$C$1008,$I482-8)="","",INDEX('Fleet dates'!$C$9:$C$1008,$I482-8)))</x:f>
      </x:c>
      <x:c r="D482" s="51" t="str">
        <x:f>IF(474&gt;$H$4,"",IF(INDEX('Fleet dates'!$D$9:$D$1008,$I482-8)="","",INDEX('Fleet dates'!$D$9:$D$1008,$I482-8)))</x:f>
      </x:c>
      <x:c r="E482" s="51" t="str">
        <x:f>IF(474&gt;$H$4,"",IF(INDEX('Fleet dates'!$E$9:$E$1008,$I482-8)="","",INDEX('Fleet dates'!$E$9:$E$1008,$I482-8)))</x:f>
      </x:c>
      <x:c r="F482" s="51" t="str">
        <x:f>IF(474&gt;$H$4,"",IF(INDEX('Fleet dates'!$F$9:$F$1008,$I482-8)="","",INDEX('Fleet dates'!$F$9:$F$1008,$I482-8)))</x:f>
      </x:c>
      <x:c r="G482" s="50" t="str">
        <x:f>IF(474&gt;$H$4,"",IF(INDEX('Fleet dates'!$G$9:$G$1008,$I482-8)="","",INDEX('Fleet dates'!$G$9:$G$1008,$I482-8)))</x:f>
      </x:c>
      <x:c r="H482" s="50" t="str">
        <x:f>IF(474&gt;$H$4,"",IF(INDEX('Fleet dates'!$I$9:$I$1008,$I482-8)="","",INDEX('Fleet dates'!$I$9:$I$1008,$I482-8)))</x:f>
      </x:c>
      <x:c r="I482" t="str">
        <x:f>IF(474&gt;$H$4,"",MATCH(474,'Fleet dates'!$J$9:$J$1008,0)+8)</x:f>
      </x:c>
    </x:row>
    <x:row r="483" ht="36" customHeight="1">
      <x:c r="A483" s="50" t="str">
        <x:f>IF(475&gt;$H$4,"",IF(INDEX('Fleet dates'!$A$9:$A$1008,$I483-8)="","",INDEX('Fleet dates'!$A$9:$A$1008,$I483-8)))</x:f>
      </x:c>
      <x:c r="B483" s="50" t="str">
        <x:f>IF(475&gt;$H$4,"",IF(INDEX('Fleet dates'!$B$9:$B$1008,$I483-8)="","",INDEX('Fleet dates'!$B$9:$B$1008,$I483-8)))</x:f>
      </x:c>
      <x:c r="C483" s="51" t="str">
        <x:f>IF(475&gt;$H$4,"",IF(INDEX('Fleet dates'!$C$9:$C$1008,$I483-8)="","",INDEX('Fleet dates'!$C$9:$C$1008,$I483-8)))</x:f>
      </x:c>
      <x:c r="D483" s="51" t="str">
        <x:f>IF(475&gt;$H$4,"",IF(INDEX('Fleet dates'!$D$9:$D$1008,$I483-8)="","",INDEX('Fleet dates'!$D$9:$D$1008,$I483-8)))</x:f>
      </x:c>
      <x:c r="E483" s="51" t="str">
        <x:f>IF(475&gt;$H$4,"",IF(INDEX('Fleet dates'!$E$9:$E$1008,$I483-8)="","",INDEX('Fleet dates'!$E$9:$E$1008,$I483-8)))</x:f>
      </x:c>
      <x:c r="F483" s="51" t="str">
        <x:f>IF(475&gt;$H$4,"",IF(INDEX('Fleet dates'!$F$9:$F$1008,$I483-8)="","",INDEX('Fleet dates'!$F$9:$F$1008,$I483-8)))</x:f>
      </x:c>
      <x:c r="G483" s="50" t="str">
        <x:f>IF(475&gt;$H$4,"",IF(INDEX('Fleet dates'!$G$9:$G$1008,$I483-8)="","",INDEX('Fleet dates'!$G$9:$G$1008,$I483-8)))</x:f>
      </x:c>
      <x:c r="H483" s="50" t="str">
        <x:f>IF(475&gt;$H$4,"",IF(INDEX('Fleet dates'!$I$9:$I$1008,$I483-8)="","",INDEX('Fleet dates'!$I$9:$I$1008,$I483-8)))</x:f>
      </x:c>
      <x:c r="I483" t="str">
        <x:f>IF(475&gt;$H$4,"",MATCH(475,'Fleet dates'!$J$9:$J$1008,0)+8)</x:f>
      </x:c>
    </x:row>
    <x:row r="484" ht="36" customHeight="1">
      <x:c r="A484" s="50" t="str">
        <x:f>IF(476&gt;$H$4,"",IF(INDEX('Fleet dates'!$A$9:$A$1008,$I484-8)="","",INDEX('Fleet dates'!$A$9:$A$1008,$I484-8)))</x:f>
      </x:c>
      <x:c r="B484" s="50" t="str">
        <x:f>IF(476&gt;$H$4,"",IF(INDEX('Fleet dates'!$B$9:$B$1008,$I484-8)="","",INDEX('Fleet dates'!$B$9:$B$1008,$I484-8)))</x:f>
      </x:c>
      <x:c r="C484" s="51" t="str">
        <x:f>IF(476&gt;$H$4,"",IF(INDEX('Fleet dates'!$C$9:$C$1008,$I484-8)="","",INDEX('Fleet dates'!$C$9:$C$1008,$I484-8)))</x:f>
      </x:c>
      <x:c r="D484" s="51" t="str">
        <x:f>IF(476&gt;$H$4,"",IF(INDEX('Fleet dates'!$D$9:$D$1008,$I484-8)="","",INDEX('Fleet dates'!$D$9:$D$1008,$I484-8)))</x:f>
      </x:c>
      <x:c r="E484" s="51" t="str">
        <x:f>IF(476&gt;$H$4,"",IF(INDEX('Fleet dates'!$E$9:$E$1008,$I484-8)="","",INDEX('Fleet dates'!$E$9:$E$1008,$I484-8)))</x:f>
      </x:c>
      <x:c r="F484" s="51" t="str">
        <x:f>IF(476&gt;$H$4,"",IF(INDEX('Fleet dates'!$F$9:$F$1008,$I484-8)="","",INDEX('Fleet dates'!$F$9:$F$1008,$I484-8)))</x:f>
      </x:c>
      <x:c r="G484" s="50" t="str">
        <x:f>IF(476&gt;$H$4,"",IF(INDEX('Fleet dates'!$G$9:$G$1008,$I484-8)="","",INDEX('Fleet dates'!$G$9:$G$1008,$I484-8)))</x:f>
      </x:c>
      <x:c r="H484" s="50" t="str">
        <x:f>IF(476&gt;$H$4,"",IF(INDEX('Fleet dates'!$I$9:$I$1008,$I484-8)="","",INDEX('Fleet dates'!$I$9:$I$1008,$I484-8)))</x:f>
      </x:c>
      <x:c r="I484" t="str">
        <x:f>IF(476&gt;$H$4,"",MATCH(476,'Fleet dates'!$J$9:$J$1008,0)+8)</x:f>
      </x:c>
    </x:row>
    <x:row r="485" ht="36" customHeight="1">
      <x:c r="A485" s="50" t="str">
        <x:f>IF(477&gt;$H$4,"",IF(INDEX('Fleet dates'!$A$9:$A$1008,$I485-8)="","",INDEX('Fleet dates'!$A$9:$A$1008,$I485-8)))</x:f>
      </x:c>
      <x:c r="B485" s="50" t="str">
        <x:f>IF(477&gt;$H$4,"",IF(INDEX('Fleet dates'!$B$9:$B$1008,$I485-8)="","",INDEX('Fleet dates'!$B$9:$B$1008,$I485-8)))</x:f>
      </x:c>
      <x:c r="C485" s="51" t="str">
        <x:f>IF(477&gt;$H$4,"",IF(INDEX('Fleet dates'!$C$9:$C$1008,$I485-8)="","",INDEX('Fleet dates'!$C$9:$C$1008,$I485-8)))</x:f>
      </x:c>
      <x:c r="D485" s="51" t="str">
        <x:f>IF(477&gt;$H$4,"",IF(INDEX('Fleet dates'!$D$9:$D$1008,$I485-8)="","",INDEX('Fleet dates'!$D$9:$D$1008,$I485-8)))</x:f>
      </x:c>
      <x:c r="E485" s="51" t="str">
        <x:f>IF(477&gt;$H$4,"",IF(INDEX('Fleet dates'!$E$9:$E$1008,$I485-8)="","",INDEX('Fleet dates'!$E$9:$E$1008,$I485-8)))</x:f>
      </x:c>
      <x:c r="F485" s="51" t="str">
        <x:f>IF(477&gt;$H$4,"",IF(INDEX('Fleet dates'!$F$9:$F$1008,$I485-8)="","",INDEX('Fleet dates'!$F$9:$F$1008,$I485-8)))</x:f>
      </x:c>
      <x:c r="G485" s="50" t="str">
        <x:f>IF(477&gt;$H$4,"",IF(INDEX('Fleet dates'!$G$9:$G$1008,$I485-8)="","",INDEX('Fleet dates'!$G$9:$G$1008,$I485-8)))</x:f>
      </x:c>
      <x:c r="H485" s="50" t="str">
        <x:f>IF(477&gt;$H$4,"",IF(INDEX('Fleet dates'!$I$9:$I$1008,$I485-8)="","",INDEX('Fleet dates'!$I$9:$I$1008,$I485-8)))</x:f>
      </x:c>
      <x:c r="I485" t="str">
        <x:f>IF(477&gt;$H$4,"",MATCH(477,'Fleet dates'!$J$9:$J$1008,0)+8)</x:f>
      </x:c>
    </x:row>
    <x:row r="486" ht="36" customHeight="1">
      <x:c r="A486" s="50" t="str">
        <x:f>IF(478&gt;$H$4,"",IF(INDEX('Fleet dates'!$A$9:$A$1008,$I486-8)="","",INDEX('Fleet dates'!$A$9:$A$1008,$I486-8)))</x:f>
      </x:c>
      <x:c r="B486" s="50" t="str">
        <x:f>IF(478&gt;$H$4,"",IF(INDEX('Fleet dates'!$B$9:$B$1008,$I486-8)="","",INDEX('Fleet dates'!$B$9:$B$1008,$I486-8)))</x:f>
      </x:c>
      <x:c r="C486" s="51" t="str">
        <x:f>IF(478&gt;$H$4,"",IF(INDEX('Fleet dates'!$C$9:$C$1008,$I486-8)="","",INDEX('Fleet dates'!$C$9:$C$1008,$I486-8)))</x:f>
      </x:c>
      <x:c r="D486" s="51" t="str">
        <x:f>IF(478&gt;$H$4,"",IF(INDEX('Fleet dates'!$D$9:$D$1008,$I486-8)="","",INDEX('Fleet dates'!$D$9:$D$1008,$I486-8)))</x:f>
      </x:c>
      <x:c r="E486" s="51" t="str">
        <x:f>IF(478&gt;$H$4,"",IF(INDEX('Fleet dates'!$E$9:$E$1008,$I486-8)="","",INDEX('Fleet dates'!$E$9:$E$1008,$I486-8)))</x:f>
      </x:c>
      <x:c r="F486" s="51" t="str">
        <x:f>IF(478&gt;$H$4,"",IF(INDEX('Fleet dates'!$F$9:$F$1008,$I486-8)="","",INDEX('Fleet dates'!$F$9:$F$1008,$I486-8)))</x:f>
      </x:c>
      <x:c r="G486" s="50" t="str">
        <x:f>IF(478&gt;$H$4,"",IF(INDEX('Fleet dates'!$G$9:$G$1008,$I486-8)="","",INDEX('Fleet dates'!$G$9:$G$1008,$I486-8)))</x:f>
      </x:c>
      <x:c r="H486" s="50" t="str">
        <x:f>IF(478&gt;$H$4,"",IF(INDEX('Fleet dates'!$I$9:$I$1008,$I486-8)="","",INDEX('Fleet dates'!$I$9:$I$1008,$I486-8)))</x:f>
      </x:c>
      <x:c r="I486" t="str">
        <x:f>IF(478&gt;$H$4,"",MATCH(478,'Fleet dates'!$J$9:$J$1008,0)+8)</x:f>
      </x:c>
    </x:row>
    <x:row r="487" ht="36" customHeight="1">
      <x:c r="A487" s="50" t="str">
        <x:f>IF(479&gt;$H$4,"",IF(INDEX('Fleet dates'!$A$9:$A$1008,$I487-8)="","",INDEX('Fleet dates'!$A$9:$A$1008,$I487-8)))</x:f>
      </x:c>
      <x:c r="B487" s="50" t="str">
        <x:f>IF(479&gt;$H$4,"",IF(INDEX('Fleet dates'!$B$9:$B$1008,$I487-8)="","",INDEX('Fleet dates'!$B$9:$B$1008,$I487-8)))</x:f>
      </x:c>
      <x:c r="C487" s="51" t="str">
        <x:f>IF(479&gt;$H$4,"",IF(INDEX('Fleet dates'!$C$9:$C$1008,$I487-8)="","",INDEX('Fleet dates'!$C$9:$C$1008,$I487-8)))</x:f>
      </x:c>
      <x:c r="D487" s="51" t="str">
        <x:f>IF(479&gt;$H$4,"",IF(INDEX('Fleet dates'!$D$9:$D$1008,$I487-8)="","",INDEX('Fleet dates'!$D$9:$D$1008,$I487-8)))</x:f>
      </x:c>
      <x:c r="E487" s="51" t="str">
        <x:f>IF(479&gt;$H$4,"",IF(INDEX('Fleet dates'!$E$9:$E$1008,$I487-8)="","",INDEX('Fleet dates'!$E$9:$E$1008,$I487-8)))</x:f>
      </x:c>
      <x:c r="F487" s="51" t="str">
        <x:f>IF(479&gt;$H$4,"",IF(INDEX('Fleet dates'!$F$9:$F$1008,$I487-8)="","",INDEX('Fleet dates'!$F$9:$F$1008,$I487-8)))</x:f>
      </x:c>
      <x:c r="G487" s="50" t="str">
        <x:f>IF(479&gt;$H$4,"",IF(INDEX('Fleet dates'!$G$9:$G$1008,$I487-8)="","",INDEX('Fleet dates'!$G$9:$G$1008,$I487-8)))</x:f>
      </x:c>
      <x:c r="H487" s="50" t="str">
        <x:f>IF(479&gt;$H$4,"",IF(INDEX('Fleet dates'!$I$9:$I$1008,$I487-8)="","",INDEX('Fleet dates'!$I$9:$I$1008,$I487-8)))</x:f>
      </x:c>
      <x:c r="I487" t="str">
        <x:f>IF(479&gt;$H$4,"",MATCH(479,'Fleet dates'!$J$9:$J$1008,0)+8)</x:f>
      </x:c>
    </x:row>
    <x:row r="488" ht="36" customHeight="1">
      <x:c r="A488" s="50" t="str">
        <x:f>IF(480&gt;$H$4,"",IF(INDEX('Fleet dates'!$A$9:$A$1008,$I488-8)="","",INDEX('Fleet dates'!$A$9:$A$1008,$I488-8)))</x:f>
      </x:c>
      <x:c r="B488" s="50" t="str">
        <x:f>IF(480&gt;$H$4,"",IF(INDEX('Fleet dates'!$B$9:$B$1008,$I488-8)="","",INDEX('Fleet dates'!$B$9:$B$1008,$I488-8)))</x:f>
      </x:c>
      <x:c r="C488" s="51" t="str">
        <x:f>IF(480&gt;$H$4,"",IF(INDEX('Fleet dates'!$C$9:$C$1008,$I488-8)="","",INDEX('Fleet dates'!$C$9:$C$1008,$I488-8)))</x:f>
      </x:c>
      <x:c r="D488" s="51" t="str">
        <x:f>IF(480&gt;$H$4,"",IF(INDEX('Fleet dates'!$D$9:$D$1008,$I488-8)="","",INDEX('Fleet dates'!$D$9:$D$1008,$I488-8)))</x:f>
      </x:c>
      <x:c r="E488" s="51" t="str">
        <x:f>IF(480&gt;$H$4,"",IF(INDEX('Fleet dates'!$E$9:$E$1008,$I488-8)="","",INDEX('Fleet dates'!$E$9:$E$1008,$I488-8)))</x:f>
      </x:c>
      <x:c r="F488" s="51" t="str">
        <x:f>IF(480&gt;$H$4,"",IF(INDEX('Fleet dates'!$F$9:$F$1008,$I488-8)="","",INDEX('Fleet dates'!$F$9:$F$1008,$I488-8)))</x:f>
      </x:c>
      <x:c r="G488" s="50" t="str">
        <x:f>IF(480&gt;$H$4,"",IF(INDEX('Fleet dates'!$G$9:$G$1008,$I488-8)="","",INDEX('Fleet dates'!$G$9:$G$1008,$I488-8)))</x:f>
      </x:c>
      <x:c r="H488" s="50" t="str">
        <x:f>IF(480&gt;$H$4,"",IF(INDEX('Fleet dates'!$I$9:$I$1008,$I488-8)="","",INDEX('Fleet dates'!$I$9:$I$1008,$I488-8)))</x:f>
      </x:c>
      <x:c r="I488" t="str">
        <x:f>IF(480&gt;$H$4,"",MATCH(480,'Fleet dates'!$J$9:$J$1008,0)+8)</x:f>
      </x:c>
    </x:row>
    <x:row r="489" ht="36" customHeight="1">
      <x:c r="A489" s="50" t="str">
        <x:f>IF(481&gt;$H$4,"",IF(INDEX('Fleet dates'!$A$9:$A$1008,$I489-8)="","",INDEX('Fleet dates'!$A$9:$A$1008,$I489-8)))</x:f>
      </x:c>
      <x:c r="B489" s="50" t="str">
        <x:f>IF(481&gt;$H$4,"",IF(INDEX('Fleet dates'!$B$9:$B$1008,$I489-8)="","",INDEX('Fleet dates'!$B$9:$B$1008,$I489-8)))</x:f>
      </x:c>
      <x:c r="C489" s="51" t="str">
        <x:f>IF(481&gt;$H$4,"",IF(INDEX('Fleet dates'!$C$9:$C$1008,$I489-8)="","",INDEX('Fleet dates'!$C$9:$C$1008,$I489-8)))</x:f>
      </x:c>
      <x:c r="D489" s="51" t="str">
        <x:f>IF(481&gt;$H$4,"",IF(INDEX('Fleet dates'!$D$9:$D$1008,$I489-8)="","",INDEX('Fleet dates'!$D$9:$D$1008,$I489-8)))</x:f>
      </x:c>
      <x:c r="E489" s="51" t="str">
        <x:f>IF(481&gt;$H$4,"",IF(INDEX('Fleet dates'!$E$9:$E$1008,$I489-8)="","",INDEX('Fleet dates'!$E$9:$E$1008,$I489-8)))</x:f>
      </x:c>
      <x:c r="F489" s="51" t="str">
        <x:f>IF(481&gt;$H$4,"",IF(INDEX('Fleet dates'!$F$9:$F$1008,$I489-8)="","",INDEX('Fleet dates'!$F$9:$F$1008,$I489-8)))</x:f>
      </x:c>
      <x:c r="G489" s="50" t="str">
        <x:f>IF(481&gt;$H$4,"",IF(INDEX('Fleet dates'!$G$9:$G$1008,$I489-8)="","",INDEX('Fleet dates'!$G$9:$G$1008,$I489-8)))</x:f>
      </x:c>
      <x:c r="H489" s="50" t="str">
        <x:f>IF(481&gt;$H$4,"",IF(INDEX('Fleet dates'!$I$9:$I$1008,$I489-8)="","",INDEX('Fleet dates'!$I$9:$I$1008,$I489-8)))</x:f>
      </x:c>
      <x:c r="I489" t="str">
        <x:f>IF(481&gt;$H$4,"",MATCH(481,'Fleet dates'!$J$9:$J$1008,0)+8)</x:f>
      </x:c>
    </x:row>
    <x:row r="490" ht="36" customHeight="1">
      <x:c r="A490" s="50" t="str">
        <x:f>IF(482&gt;$H$4,"",IF(INDEX('Fleet dates'!$A$9:$A$1008,$I490-8)="","",INDEX('Fleet dates'!$A$9:$A$1008,$I490-8)))</x:f>
      </x:c>
      <x:c r="B490" s="50" t="str">
        <x:f>IF(482&gt;$H$4,"",IF(INDEX('Fleet dates'!$B$9:$B$1008,$I490-8)="","",INDEX('Fleet dates'!$B$9:$B$1008,$I490-8)))</x:f>
      </x:c>
      <x:c r="C490" s="51" t="str">
        <x:f>IF(482&gt;$H$4,"",IF(INDEX('Fleet dates'!$C$9:$C$1008,$I490-8)="","",INDEX('Fleet dates'!$C$9:$C$1008,$I490-8)))</x:f>
      </x:c>
      <x:c r="D490" s="51" t="str">
        <x:f>IF(482&gt;$H$4,"",IF(INDEX('Fleet dates'!$D$9:$D$1008,$I490-8)="","",INDEX('Fleet dates'!$D$9:$D$1008,$I490-8)))</x:f>
      </x:c>
      <x:c r="E490" s="51" t="str">
        <x:f>IF(482&gt;$H$4,"",IF(INDEX('Fleet dates'!$E$9:$E$1008,$I490-8)="","",INDEX('Fleet dates'!$E$9:$E$1008,$I490-8)))</x:f>
      </x:c>
      <x:c r="F490" s="51" t="str">
        <x:f>IF(482&gt;$H$4,"",IF(INDEX('Fleet dates'!$F$9:$F$1008,$I490-8)="","",INDEX('Fleet dates'!$F$9:$F$1008,$I490-8)))</x:f>
      </x:c>
      <x:c r="G490" s="50" t="str">
        <x:f>IF(482&gt;$H$4,"",IF(INDEX('Fleet dates'!$G$9:$G$1008,$I490-8)="","",INDEX('Fleet dates'!$G$9:$G$1008,$I490-8)))</x:f>
      </x:c>
      <x:c r="H490" s="50" t="str">
        <x:f>IF(482&gt;$H$4,"",IF(INDEX('Fleet dates'!$I$9:$I$1008,$I490-8)="","",INDEX('Fleet dates'!$I$9:$I$1008,$I490-8)))</x:f>
      </x:c>
      <x:c r="I490" t="str">
        <x:f>IF(482&gt;$H$4,"",MATCH(482,'Fleet dates'!$J$9:$J$1008,0)+8)</x:f>
      </x:c>
    </x:row>
    <x:row r="491" ht="36" customHeight="1">
      <x:c r="A491" s="50" t="str">
        <x:f>IF(483&gt;$H$4,"",IF(INDEX('Fleet dates'!$A$9:$A$1008,$I491-8)="","",INDEX('Fleet dates'!$A$9:$A$1008,$I491-8)))</x:f>
      </x:c>
      <x:c r="B491" s="50" t="str">
        <x:f>IF(483&gt;$H$4,"",IF(INDEX('Fleet dates'!$B$9:$B$1008,$I491-8)="","",INDEX('Fleet dates'!$B$9:$B$1008,$I491-8)))</x:f>
      </x:c>
      <x:c r="C491" s="51" t="str">
        <x:f>IF(483&gt;$H$4,"",IF(INDEX('Fleet dates'!$C$9:$C$1008,$I491-8)="","",INDEX('Fleet dates'!$C$9:$C$1008,$I491-8)))</x:f>
      </x:c>
      <x:c r="D491" s="51" t="str">
        <x:f>IF(483&gt;$H$4,"",IF(INDEX('Fleet dates'!$D$9:$D$1008,$I491-8)="","",INDEX('Fleet dates'!$D$9:$D$1008,$I491-8)))</x:f>
      </x:c>
      <x:c r="E491" s="51" t="str">
        <x:f>IF(483&gt;$H$4,"",IF(INDEX('Fleet dates'!$E$9:$E$1008,$I491-8)="","",INDEX('Fleet dates'!$E$9:$E$1008,$I491-8)))</x:f>
      </x:c>
      <x:c r="F491" s="51" t="str">
        <x:f>IF(483&gt;$H$4,"",IF(INDEX('Fleet dates'!$F$9:$F$1008,$I491-8)="","",INDEX('Fleet dates'!$F$9:$F$1008,$I491-8)))</x:f>
      </x:c>
      <x:c r="G491" s="50" t="str">
        <x:f>IF(483&gt;$H$4,"",IF(INDEX('Fleet dates'!$G$9:$G$1008,$I491-8)="","",INDEX('Fleet dates'!$G$9:$G$1008,$I491-8)))</x:f>
      </x:c>
      <x:c r="H491" s="50" t="str">
        <x:f>IF(483&gt;$H$4,"",IF(INDEX('Fleet dates'!$I$9:$I$1008,$I491-8)="","",INDEX('Fleet dates'!$I$9:$I$1008,$I491-8)))</x:f>
      </x:c>
      <x:c r="I491" t="str">
        <x:f>IF(483&gt;$H$4,"",MATCH(483,'Fleet dates'!$J$9:$J$1008,0)+8)</x:f>
      </x:c>
    </x:row>
    <x:row r="492" ht="36" customHeight="1">
      <x:c r="A492" s="50" t="str">
        <x:f>IF(484&gt;$H$4,"",IF(INDEX('Fleet dates'!$A$9:$A$1008,$I492-8)="","",INDEX('Fleet dates'!$A$9:$A$1008,$I492-8)))</x:f>
      </x:c>
      <x:c r="B492" s="50" t="str">
        <x:f>IF(484&gt;$H$4,"",IF(INDEX('Fleet dates'!$B$9:$B$1008,$I492-8)="","",INDEX('Fleet dates'!$B$9:$B$1008,$I492-8)))</x:f>
      </x:c>
      <x:c r="C492" s="51" t="str">
        <x:f>IF(484&gt;$H$4,"",IF(INDEX('Fleet dates'!$C$9:$C$1008,$I492-8)="","",INDEX('Fleet dates'!$C$9:$C$1008,$I492-8)))</x:f>
      </x:c>
      <x:c r="D492" s="51" t="str">
        <x:f>IF(484&gt;$H$4,"",IF(INDEX('Fleet dates'!$D$9:$D$1008,$I492-8)="","",INDEX('Fleet dates'!$D$9:$D$1008,$I492-8)))</x:f>
      </x:c>
      <x:c r="E492" s="51" t="str">
        <x:f>IF(484&gt;$H$4,"",IF(INDEX('Fleet dates'!$E$9:$E$1008,$I492-8)="","",INDEX('Fleet dates'!$E$9:$E$1008,$I492-8)))</x:f>
      </x:c>
      <x:c r="F492" s="51" t="str">
        <x:f>IF(484&gt;$H$4,"",IF(INDEX('Fleet dates'!$F$9:$F$1008,$I492-8)="","",INDEX('Fleet dates'!$F$9:$F$1008,$I492-8)))</x:f>
      </x:c>
      <x:c r="G492" s="50" t="str">
        <x:f>IF(484&gt;$H$4,"",IF(INDEX('Fleet dates'!$G$9:$G$1008,$I492-8)="","",INDEX('Fleet dates'!$G$9:$G$1008,$I492-8)))</x:f>
      </x:c>
      <x:c r="H492" s="50" t="str">
        <x:f>IF(484&gt;$H$4,"",IF(INDEX('Fleet dates'!$I$9:$I$1008,$I492-8)="","",INDEX('Fleet dates'!$I$9:$I$1008,$I492-8)))</x:f>
      </x:c>
      <x:c r="I492" t="str">
        <x:f>IF(484&gt;$H$4,"",MATCH(484,'Fleet dates'!$J$9:$J$1008,0)+8)</x:f>
      </x:c>
    </x:row>
    <x:row r="493" ht="36" customHeight="1">
      <x:c r="A493" s="50" t="str">
        <x:f>IF(485&gt;$H$4,"",IF(INDEX('Fleet dates'!$A$9:$A$1008,$I493-8)="","",INDEX('Fleet dates'!$A$9:$A$1008,$I493-8)))</x:f>
      </x:c>
      <x:c r="B493" s="50" t="str">
        <x:f>IF(485&gt;$H$4,"",IF(INDEX('Fleet dates'!$B$9:$B$1008,$I493-8)="","",INDEX('Fleet dates'!$B$9:$B$1008,$I493-8)))</x:f>
      </x:c>
      <x:c r="C493" s="51" t="str">
        <x:f>IF(485&gt;$H$4,"",IF(INDEX('Fleet dates'!$C$9:$C$1008,$I493-8)="","",INDEX('Fleet dates'!$C$9:$C$1008,$I493-8)))</x:f>
      </x:c>
      <x:c r="D493" s="51" t="str">
        <x:f>IF(485&gt;$H$4,"",IF(INDEX('Fleet dates'!$D$9:$D$1008,$I493-8)="","",INDEX('Fleet dates'!$D$9:$D$1008,$I493-8)))</x:f>
      </x:c>
      <x:c r="E493" s="51" t="str">
        <x:f>IF(485&gt;$H$4,"",IF(INDEX('Fleet dates'!$E$9:$E$1008,$I493-8)="","",INDEX('Fleet dates'!$E$9:$E$1008,$I493-8)))</x:f>
      </x:c>
      <x:c r="F493" s="51" t="str">
        <x:f>IF(485&gt;$H$4,"",IF(INDEX('Fleet dates'!$F$9:$F$1008,$I493-8)="","",INDEX('Fleet dates'!$F$9:$F$1008,$I493-8)))</x:f>
      </x:c>
      <x:c r="G493" s="50" t="str">
        <x:f>IF(485&gt;$H$4,"",IF(INDEX('Fleet dates'!$G$9:$G$1008,$I493-8)="","",INDEX('Fleet dates'!$G$9:$G$1008,$I493-8)))</x:f>
      </x:c>
      <x:c r="H493" s="50" t="str">
        <x:f>IF(485&gt;$H$4,"",IF(INDEX('Fleet dates'!$I$9:$I$1008,$I493-8)="","",INDEX('Fleet dates'!$I$9:$I$1008,$I493-8)))</x:f>
      </x:c>
      <x:c r="I493" t="str">
        <x:f>IF(485&gt;$H$4,"",MATCH(485,'Fleet dates'!$J$9:$J$1008,0)+8)</x:f>
      </x:c>
    </x:row>
    <x:row r="494" ht="36" customHeight="1">
      <x:c r="A494" s="50" t="str">
        <x:f>IF(486&gt;$H$4,"",IF(INDEX('Fleet dates'!$A$9:$A$1008,$I494-8)="","",INDEX('Fleet dates'!$A$9:$A$1008,$I494-8)))</x:f>
      </x:c>
      <x:c r="B494" s="50" t="str">
        <x:f>IF(486&gt;$H$4,"",IF(INDEX('Fleet dates'!$B$9:$B$1008,$I494-8)="","",INDEX('Fleet dates'!$B$9:$B$1008,$I494-8)))</x:f>
      </x:c>
      <x:c r="C494" s="51" t="str">
        <x:f>IF(486&gt;$H$4,"",IF(INDEX('Fleet dates'!$C$9:$C$1008,$I494-8)="","",INDEX('Fleet dates'!$C$9:$C$1008,$I494-8)))</x:f>
      </x:c>
      <x:c r="D494" s="51" t="str">
        <x:f>IF(486&gt;$H$4,"",IF(INDEX('Fleet dates'!$D$9:$D$1008,$I494-8)="","",INDEX('Fleet dates'!$D$9:$D$1008,$I494-8)))</x:f>
      </x:c>
      <x:c r="E494" s="51" t="str">
        <x:f>IF(486&gt;$H$4,"",IF(INDEX('Fleet dates'!$E$9:$E$1008,$I494-8)="","",INDEX('Fleet dates'!$E$9:$E$1008,$I494-8)))</x:f>
      </x:c>
      <x:c r="F494" s="51" t="str">
        <x:f>IF(486&gt;$H$4,"",IF(INDEX('Fleet dates'!$F$9:$F$1008,$I494-8)="","",INDEX('Fleet dates'!$F$9:$F$1008,$I494-8)))</x:f>
      </x:c>
      <x:c r="G494" s="50" t="str">
        <x:f>IF(486&gt;$H$4,"",IF(INDEX('Fleet dates'!$G$9:$G$1008,$I494-8)="","",INDEX('Fleet dates'!$G$9:$G$1008,$I494-8)))</x:f>
      </x:c>
      <x:c r="H494" s="50" t="str">
        <x:f>IF(486&gt;$H$4,"",IF(INDEX('Fleet dates'!$I$9:$I$1008,$I494-8)="","",INDEX('Fleet dates'!$I$9:$I$1008,$I494-8)))</x:f>
      </x:c>
      <x:c r="I494" t="str">
        <x:f>IF(486&gt;$H$4,"",MATCH(486,'Fleet dates'!$J$9:$J$1008,0)+8)</x:f>
      </x:c>
    </x:row>
    <x:row r="495" ht="36" customHeight="1">
      <x:c r="A495" s="50" t="str">
        <x:f>IF(487&gt;$H$4,"",IF(INDEX('Fleet dates'!$A$9:$A$1008,$I495-8)="","",INDEX('Fleet dates'!$A$9:$A$1008,$I495-8)))</x:f>
      </x:c>
      <x:c r="B495" s="50" t="str">
        <x:f>IF(487&gt;$H$4,"",IF(INDEX('Fleet dates'!$B$9:$B$1008,$I495-8)="","",INDEX('Fleet dates'!$B$9:$B$1008,$I495-8)))</x:f>
      </x:c>
      <x:c r="C495" s="51" t="str">
        <x:f>IF(487&gt;$H$4,"",IF(INDEX('Fleet dates'!$C$9:$C$1008,$I495-8)="","",INDEX('Fleet dates'!$C$9:$C$1008,$I495-8)))</x:f>
      </x:c>
      <x:c r="D495" s="51" t="str">
        <x:f>IF(487&gt;$H$4,"",IF(INDEX('Fleet dates'!$D$9:$D$1008,$I495-8)="","",INDEX('Fleet dates'!$D$9:$D$1008,$I495-8)))</x:f>
      </x:c>
      <x:c r="E495" s="51" t="str">
        <x:f>IF(487&gt;$H$4,"",IF(INDEX('Fleet dates'!$E$9:$E$1008,$I495-8)="","",INDEX('Fleet dates'!$E$9:$E$1008,$I495-8)))</x:f>
      </x:c>
      <x:c r="F495" s="51" t="str">
        <x:f>IF(487&gt;$H$4,"",IF(INDEX('Fleet dates'!$F$9:$F$1008,$I495-8)="","",INDEX('Fleet dates'!$F$9:$F$1008,$I495-8)))</x:f>
      </x:c>
      <x:c r="G495" s="50" t="str">
        <x:f>IF(487&gt;$H$4,"",IF(INDEX('Fleet dates'!$G$9:$G$1008,$I495-8)="","",INDEX('Fleet dates'!$G$9:$G$1008,$I495-8)))</x:f>
      </x:c>
      <x:c r="H495" s="50" t="str">
        <x:f>IF(487&gt;$H$4,"",IF(INDEX('Fleet dates'!$I$9:$I$1008,$I495-8)="","",INDEX('Fleet dates'!$I$9:$I$1008,$I495-8)))</x:f>
      </x:c>
      <x:c r="I495" t="str">
        <x:f>IF(487&gt;$H$4,"",MATCH(487,'Fleet dates'!$J$9:$J$1008,0)+8)</x:f>
      </x:c>
    </x:row>
    <x:row r="496" ht="36" customHeight="1">
      <x:c r="A496" s="50" t="str">
        <x:f>IF(488&gt;$H$4,"",IF(INDEX('Fleet dates'!$A$9:$A$1008,$I496-8)="","",INDEX('Fleet dates'!$A$9:$A$1008,$I496-8)))</x:f>
      </x:c>
      <x:c r="B496" s="50" t="str">
        <x:f>IF(488&gt;$H$4,"",IF(INDEX('Fleet dates'!$B$9:$B$1008,$I496-8)="","",INDEX('Fleet dates'!$B$9:$B$1008,$I496-8)))</x:f>
      </x:c>
      <x:c r="C496" s="51" t="str">
        <x:f>IF(488&gt;$H$4,"",IF(INDEX('Fleet dates'!$C$9:$C$1008,$I496-8)="","",INDEX('Fleet dates'!$C$9:$C$1008,$I496-8)))</x:f>
      </x:c>
      <x:c r="D496" s="51" t="str">
        <x:f>IF(488&gt;$H$4,"",IF(INDEX('Fleet dates'!$D$9:$D$1008,$I496-8)="","",INDEX('Fleet dates'!$D$9:$D$1008,$I496-8)))</x:f>
      </x:c>
      <x:c r="E496" s="51" t="str">
        <x:f>IF(488&gt;$H$4,"",IF(INDEX('Fleet dates'!$E$9:$E$1008,$I496-8)="","",INDEX('Fleet dates'!$E$9:$E$1008,$I496-8)))</x:f>
      </x:c>
      <x:c r="F496" s="51" t="str">
        <x:f>IF(488&gt;$H$4,"",IF(INDEX('Fleet dates'!$F$9:$F$1008,$I496-8)="","",INDEX('Fleet dates'!$F$9:$F$1008,$I496-8)))</x:f>
      </x:c>
      <x:c r="G496" s="50" t="str">
        <x:f>IF(488&gt;$H$4,"",IF(INDEX('Fleet dates'!$G$9:$G$1008,$I496-8)="","",INDEX('Fleet dates'!$G$9:$G$1008,$I496-8)))</x:f>
      </x:c>
      <x:c r="H496" s="50" t="str">
        <x:f>IF(488&gt;$H$4,"",IF(INDEX('Fleet dates'!$I$9:$I$1008,$I496-8)="","",INDEX('Fleet dates'!$I$9:$I$1008,$I496-8)))</x:f>
      </x:c>
      <x:c r="I496" t="str">
        <x:f>IF(488&gt;$H$4,"",MATCH(488,'Fleet dates'!$J$9:$J$1008,0)+8)</x:f>
      </x:c>
    </x:row>
    <x:row r="497" ht="36" customHeight="1">
      <x:c r="A497" s="50" t="str">
        <x:f>IF(489&gt;$H$4,"",IF(INDEX('Fleet dates'!$A$9:$A$1008,$I497-8)="","",INDEX('Fleet dates'!$A$9:$A$1008,$I497-8)))</x:f>
      </x:c>
      <x:c r="B497" s="50" t="str">
        <x:f>IF(489&gt;$H$4,"",IF(INDEX('Fleet dates'!$B$9:$B$1008,$I497-8)="","",INDEX('Fleet dates'!$B$9:$B$1008,$I497-8)))</x:f>
      </x:c>
      <x:c r="C497" s="51" t="str">
        <x:f>IF(489&gt;$H$4,"",IF(INDEX('Fleet dates'!$C$9:$C$1008,$I497-8)="","",INDEX('Fleet dates'!$C$9:$C$1008,$I497-8)))</x:f>
      </x:c>
      <x:c r="D497" s="51" t="str">
        <x:f>IF(489&gt;$H$4,"",IF(INDEX('Fleet dates'!$D$9:$D$1008,$I497-8)="","",INDEX('Fleet dates'!$D$9:$D$1008,$I497-8)))</x:f>
      </x:c>
      <x:c r="E497" s="51" t="str">
        <x:f>IF(489&gt;$H$4,"",IF(INDEX('Fleet dates'!$E$9:$E$1008,$I497-8)="","",INDEX('Fleet dates'!$E$9:$E$1008,$I497-8)))</x:f>
      </x:c>
      <x:c r="F497" s="51" t="str">
        <x:f>IF(489&gt;$H$4,"",IF(INDEX('Fleet dates'!$F$9:$F$1008,$I497-8)="","",INDEX('Fleet dates'!$F$9:$F$1008,$I497-8)))</x:f>
      </x:c>
      <x:c r="G497" s="50" t="str">
        <x:f>IF(489&gt;$H$4,"",IF(INDEX('Fleet dates'!$G$9:$G$1008,$I497-8)="","",INDEX('Fleet dates'!$G$9:$G$1008,$I497-8)))</x:f>
      </x:c>
      <x:c r="H497" s="50" t="str">
        <x:f>IF(489&gt;$H$4,"",IF(INDEX('Fleet dates'!$I$9:$I$1008,$I497-8)="","",INDEX('Fleet dates'!$I$9:$I$1008,$I497-8)))</x:f>
      </x:c>
      <x:c r="I497" t="str">
        <x:f>IF(489&gt;$H$4,"",MATCH(489,'Fleet dates'!$J$9:$J$1008,0)+8)</x:f>
      </x:c>
    </x:row>
    <x:row r="498" ht="36" customHeight="1">
      <x:c r="A498" s="50" t="str">
        <x:f>IF(490&gt;$H$4,"",IF(INDEX('Fleet dates'!$A$9:$A$1008,$I498-8)="","",INDEX('Fleet dates'!$A$9:$A$1008,$I498-8)))</x:f>
      </x:c>
      <x:c r="B498" s="50" t="str">
        <x:f>IF(490&gt;$H$4,"",IF(INDEX('Fleet dates'!$B$9:$B$1008,$I498-8)="","",INDEX('Fleet dates'!$B$9:$B$1008,$I498-8)))</x:f>
      </x:c>
      <x:c r="C498" s="51" t="str">
        <x:f>IF(490&gt;$H$4,"",IF(INDEX('Fleet dates'!$C$9:$C$1008,$I498-8)="","",INDEX('Fleet dates'!$C$9:$C$1008,$I498-8)))</x:f>
      </x:c>
      <x:c r="D498" s="51" t="str">
        <x:f>IF(490&gt;$H$4,"",IF(INDEX('Fleet dates'!$D$9:$D$1008,$I498-8)="","",INDEX('Fleet dates'!$D$9:$D$1008,$I498-8)))</x:f>
      </x:c>
      <x:c r="E498" s="51" t="str">
        <x:f>IF(490&gt;$H$4,"",IF(INDEX('Fleet dates'!$E$9:$E$1008,$I498-8)="","",INDEX('Fleet dates'!$E$9:$E$1008,$I498-8)))</x:f>
      </x:c>
      <x:c r="F498" s="51" t="str">
        <x:f>IF(490&gt;$H$4,"",IF(INDEX('Fleet dates'!$F$9:$F$1008,$I498-8)="","",INDEX('Fleet dates'!$F$9:$F$1008,$I498-8)))</x:f>
      </x:c>
      <x:c r="G498" s="50" t="str">
        <x:f>IF(490&gt;$H$4,"",IF(INDEX('Fleet dates'!$G$9:$G$1008,$I498-8)="","",INDEX('Fleet dates'!$G$9:$G$1008,$I498-8)))</x:f>
      </x:c>
      <x:c r="H498" s="50" t="str">
        <x:f>IF(490&gt;$H$4,"",IF(INDEX('Fleet dates'!$I$9:$I$1008,$I498-8)="","",INDEX('Fleet dates'!$I$9:$I$1008,$I498-8)))</x:f>
      </x:c>
      <x:c r="I498" t="str">
        <x:f>IF(490&gt;$H$4,"",MATCH(490,'Fleet dates'!$J$9:$J$1008,0)+8)</x:f>
      </x:c>
    </x:row>
    <x:row r="499" ht="36" customHeight="1">
      <x:c r="A499" s="50" t="str">
        <x:f>IF(491&gt;$H$4,"",IF(INDEX('Fleet dates'!$A$9:$A$1008,$I499-8)="","",INDEX('Fleet dates'!$A$9:$A$1008,$I499-8)))</x:f>
      </x:c>
      <x:c r="B499" s="50" t="str">
        <x:f>IF(491&gt;$H$4,"",IF(INDEX('Fleet dates'!$B$9:$B$1008,$I499-8)="","",INDEX('Fleet dates'!$B$9:$B$1008,$I499-8)))</x:f>
      </x:c>
      <x:c r="C499" s="51" t="str">
        <x:f>IF(491&gt;$H$4,"",IF(INDEX('Fleet dates'!$C$9:$C$1008,$I499-8)="","",INDEX('Fleet dates'!$C$9:$C$1008,$I499-8)))</x:f>
      </x:c>
      <x:c r="D499" s="51" t="str">
        <x:f>IF(491&gt;$H$4,"",IF(INDEX('Fleet dates'!$D$9:$D$1008,$I499-8)="","",INDEX('Fleet dates'!$D$9:$D$1008,$I499-8)))</x:f>
      </x:c>
      <x:c r="E499" s="51" t="str">
        <x:f>IF(491&gt;$H$4,"",IF(INDEX('Fleet dates'!$E$9:$E$1008,$I499-8)="","",INDEX('Fleet dates'!$E$9:$E$1008,$I499-8)))</x:f>
      </x:c>
      <x:c r="F499" s="51" t="str">
        <x:f>IF(491&gt;$H$4,"",IF(INDEX('Fleet dates'!$F$9:$F$1008,$I499-8)="","",INDEX('Fleet dates'!$F$9:$F$1008,$I499-8)))</x:f>
      </x:c>
      <x:c r="G499" s="50" t="str">
        <x:f>IF(491&gt;$H$4,"",IF(INDEX('Fleet dates'!$G$9:$G$1008,$I499-8)="","",INDEX('Fleet dates'!$G$9:$G$1008,$I499-8)))</x:f>
      </x:c>
      <x:c r="H499" s="50" t="str">
        <x:f>IF(491&gt;$H$4,"",IF(INDEX('Fleet dates'!$I$9:$I$1008,$I499-8)="","",INDEX('Fleet dates'!$I$9:$I$1008,$I499-8)))</x:f>
      </x:c>
      <x:c r="I499" t="str">
        <x:f>IF(491&gt;$H$4,"",MATCH(491,'Fleet dates'!$J$9:$J$1008,0)+8)</x:f>
      </x:c>
    </x:row>
    <x:row r="500" ht="36" customHeight="1">
      <x:c r="A500" s="50" t="str">
        <x:f>IF(492&gt;$H$4,"",IF(INDEX('Fleet dates'!$A$9:$A$1008,$I500-8)="","",INDEX('Fleet dates'!$A$9:$A$1008,$I500-8)))</x:f>
      </x:c>
      <x:c r="B500" s="50" t="str">
        <x:f>IF(492&gt;$H$4,"",IF(INDEX('Fleet dates'!$B$9:$B$1008,$I500-8)="","",INDEX('Fleet dates'!$B$9:$B$1008,$I500-8)))</x:f>
      </x:c>
      <x:c r="C500" s="51" t="str">
        <x:f>IF(492&gt;$H$4,"",IF(INDEX('Fleet dates'!$C$9:$C$1008,$I500-8)="","",INDEX('Fleet dates'!$C$9:$C$1008,$I500-8)))</x:f>
      </x:c>
      <x:c r="D500" s="51" t="str">
        <x:f>IF(492&gt;$H$4,"",IF(INDEX('Fleet dates'!$D$9:$D$1008,$I500-8)="","",INDEX('Fleet dates'!$D$9:$D$1008,$I500-8)))</x:f>
      </x:c>
      <x:c r="E500" s="51" t="str">
        <x:f>IF(492&gt;$H$4,"",IF(INDEX('Fleet dates'!$E$9:$E$1008,$I500-8)="","",INDEX('Fleet dates'!$E$9:$E$1008,$I500-8)))</x:f>
      </x:c>
      <x:c r="F500" s="51" t="str">
        <x:f>IF(492&gt;$H$4,"",IF(INDEX('Fleet dates'!$F$9:$F$1008,$I500-8)="","",INDEX('Fleet dates'!$F$9:$F$1008,$I500-8)))</x:f>
      </x:c>
      <x:c r="G500" s="50" t="str">
        <x:f>IF(492&gt;$H$4,"",IF(INDEX('Fleet dates'!$G$9:$G$1008,$I500-8)="","",INDEX('Fleet dates'!$G$9:$G$1008,$I500-8)))</x:f>
      </x:c>
      <x:c r="H500" s="50" t="str">
        <x:f>IF(492&gt;$H$4,"",IF(INDEX('Fleet dates'!$I$9:$I$1008,$I500-8)="","",INDEX('Fleet dates'!$I$9:$I$1008,$I500-8)))</x:f>
      </x:c>
      <x:c r="I500" t="str">
        <x:f>IF(492&gt;$H$4,"",MATCH(492,'Fleet dates'!$J$9:$J$1008,0)+8)</x:f>
      </x:c>
    </x:row>
    <x:row r="501" ht="36" customHeight="1">
      <x:c r="A501" s="50" t="str">
        <x:f>IF(493&gt;$H$4,"",IF(INDEX('Fleet dates'!$A$9:$A$1008,$I501-8)="","",INDEX('Fleet dates'!$A$9:$A$1008,$I501-8)))</x:f>
      </x:c>
      <x:c r="B501" s="50" t="str">
        <x:f>IF(493&gt;$H$4,"",IF(INDEX('Fleet dates'!$B$9:$B$1008,$I501-8)="","",INDEX('Fleet dates'!$B$9:$B$1008,$I501-8)))</x:f>
      </x:c>
      <x:c r="C501" s="51" t="str">
        <x:f>IF(493&gt;$H$4,"",IF(INDEX('Fleet dates'!$C$9:$C$1008,$I501-8)="","",INDEX('Fleet dates'!$C$9:$C$1008,$I501-8)))</x:f>
      </x:c>
      <x:c r="D501" s="51" t="str">
        <x:f>IF(493&gt;$H$4,"",IF(INDEX('Fleet dates'!$D$9:$D$1008,$I501-8)="","",INDEX('Fleet dates'!$D$9:$D$1008,$I501-8)))</x:f>
      </x:c>
      <x:c r="E501" s="51" t="str">
        <x:f>IF(493&gt;$H$4,"",IF(INDEX('Fleet dates'!$E$9:$E$1008,$I501-8)="","",INDEX('Fleet dates'!$E$9:$E$1008,$I501-8)))</x:f>
      </x:c>
      <x:c r="F501" s="51" t="str">
        <x:f>IF(493&gt;$H$4,"",IF(INDEX('Fleet dates'!$F$9:$F$1008,$I501-8)="","",INDEX('Fleet dates'!$F$9:$F$1008,$I501-8)))</x:f>
      </x:c>
      <x:c r="G501" s="50" t="str">
        <x:f>IF(493&gt;$H$4,"",IF(INDEX('Fleet dates'!$G$9:$G$1008,$I501-8)="","",INDEX('Fleet dates'!$G$9:$G$1008,$I501-8)))</x:f>
      </x:c>
      <x:c r="H501" s="50" t="str">
        <x:f>IF(493&gt;$H$4,"",IF(INDEX('Fleet dates'!$I$9:$I$1008,$I501-8)="","",INDEX('Fleet dates'!$I$9:$I$1008,$I501-8)))</x:f>
      </x:c>
      <x:c r="I501" t="str">
        <x:f>IF(493&gt;$H$4,"",MATCH(493,'Fleet dates'!$J$9:$J$1008,0)+8)</x:f>
      </x:c>
    </x:row>
    <x:row r="502" ht="36" customHeight="1">
      <x:c r="A502" s="50" t="str">
        <x:f>IF(494&gt;$H$4,"",IF(INDEX('Fleet dates'!$A$9:$A$1008,$I502-8)="","",INDEX('Fleet dates'!$A$9:$A$1008,$I502-8)))</x:f>
      </x:c>
      <x:c r="B502" s="50" t="str">
        <x:f>IF(494&gt;$H$4,"",IF(INDEX('Fleet dates'!$B$9:$B$1008,$I502-8)="","",INDEX('Fleet dates'!$B$9:$B$1008,$I502-8)))</x:f>
      </x:c>
      <x:c r="C502" s="51" t="str">
        <x:f>IF(494&gt;$H$4,"",IF(INDEX('Fleet dates'!$C$9:$C$1008,$I502-8)="","",INDEX('Fleet dates'!$C$9:$C$1008,$I502-8)))</x:f>
      </x:c>
      <x:c r="D502" s="51" t="str">
        <x:f>IF(494&gt;$H$4,"",IF(INDEX('Fleet dates'!$D$9:$D$1008,$I502-8)="","",INDEX('Fleet dates'!$D$9:$D$1008,$I502-8)))</x:f>
      </x:c>
      <x:c r="E502" s="51" t="str">
        <x:f>IF(494&gt;$H$4,"",IF(INDEX('Fleet dates'!$E$9:$E$1008,$I502-8)="","",INDEX('Fleet dates'!$E$9:$E$1008,$I502-8)))</x:f>
      </x:c>
      <x:c r="F502" s="51" t="str">
        <x:f>IF(494&gt;$H$4,"",IF(INDEX('Fleet dates'!$F$9:$F$1008,$I502-8)="","",INDEX('Fleet dates'!$F$9:$F$1008,$I502-8)))</x:f>
      </x:c>
      <x:c r="G502" s="50" t="str">
        <x:f>IF(494&gt;$H$4,"",IF(INDEX('Fleet dates'!$G$9:$G$1008,$I502-8)="","",INDEX('Fleet dates'!$G$9:$G$1008,$I502-8)))</x:f>
      </x:c>
      <x:c r="H502" s="50" t="str">
        <x:f>IF(494&gt;$H$4,"",IF(INDEX('Fleet dates'!$I$9:$I$1008,$I502-8)="","",INDEX('Fleet dates'!$I$9:$I$1008,$I502-8)))</x:f>
      </x:c>
      <x:c r="I502" t="str">
        <x:f>IF(494&gt;$H$4,"",MATCH(494,'Fleet dates'!$J$9:$J$1008,0)+8)</x:f>
      </x:c>
    </x:row>
    <x:row r="503" ht="36" customHeight="1">
      <x:c r="A503" s="50" t="str">
        <x:f>IF(495&gt;$H$4,"",IF(INDEX('Fleet dates'!$A$9:$A$1008,$I503-8)="","",INDEX('Fleet dates'!$A$9:$A$1008,$I503-8)))</x:f>
      </x:c>
      <x:c r="B503" s="50" t="str">
        <x:f>IF(495&gt;$H$4,"",IF(INDEX('Fleet dates'!$B$9:$B$1008,$I503-8)="","",INDEX('Fleet dates'!$B$9:$B$1008,$I503-8)))</x:f>
      </x:c>
      <x:c r="C503" s="51" t="str">
        <x:f>IF(495&gt;$H$4,"",IF(INDEX('Fleet dates'!$C$9:$C$1008,$I503-8)="","",INDEX('Fleet dates'!$C$9:$C$1008,$I503-8)))</x:f>
      </x:c>
      <x:c r="D503" s="51" t="str">
        <x:f>IF(495&gt;$H$4,"",IF(INDEX('Fleet dates'!$D$9:$D$1008,$I503-8)="","",INDEX('Fleet dates'!$D$9:$D$1008,$I503-8)))</x:f>
      </x:c>
      <x:c r="E503" s="51" t="str">
        <x:f>IF(495&gt;$H$4,"",IF(INDEX('Fleet dates'!$E$9:$E$1008,$I503-8)="","",INDEX('Fleet dates'!$E$9:$E$1008,$I503-8)))</x:f>
      </x:c>
      <x:c r="F503" s="51" t="str">
        <x:f>IF(495&gt;$H$4,"",IF(INDEX('Fleet dates'!$F$9:$F$1008,$I503-8)="","",INDEX('Fleet dates'!$F$9:$F$1008,$I503-8)))</x:f>
      </x:c>
      <x:c r="G503" s="50" t="str">
        <x:f>IF(495&gt;$H$4,"",IF(INDEX('Fleet dates'!$G$9:$G$1008,$I503-8)="","",INDEX('Fleet dates'!$G$9:$G$1008,$I503-8)))</x:f>
      </x:c>
      <x:c r="H503" s="50" t="str">
        <x:f>IF(495&gt;$H$4,"",IF(INDEX('Fleet dates'!$I$9:$I$1008,$I503-8)="","",INDEX('Fleet dates'!$I$9:$I$1008,$I503-8)))</x:f>
      </x:c>
      <x:c r="I503" t="str">
        <x:f>IF(495&gt;$H$4,"",MATCH(495,'Fleet dates'!$J$9:$J$1008,0)+8)</x:f>
      </x:c>
    </x:row>
    <x:row r="504" ht="36" customHeight="1">
      <x:c r="A504" s="50" t="str">
        <x:f>IF(496&gt;$H$4,"",IF(INDEX('Fleet dates'!$A$9:$A$1008,$I504-8)="","",INDEX('Fleet dates'!$A$9:$A$1008,$I504-8)))</x:f>
      </x:c>
      <x:c r="B504" s="50" t="str">
        <x:f>IF(496&gt;$H$4,"",IF(INDEX('Fleet dates'!$B$9:$B$1008,$I504-8)="","",INDEX('Fleet dates'!$B$9:$B$1008,$I504-8)))</x:f>
      </x:c>
      <x:c r="C504" s="51" t="str">
        <x:f>IF(496&gt;$H$4,"",IF(INDEX('Fleet dates'!$C$9:$C$1008,$I504-8)="","",INDEX('Fleet dates'!$C$9:$C$1008,$I504-8)))</x:f>
      </x:c>
      <x:c r="D504" s="51" t="str">
        <x:f>IF(496&gt;$H$4,"",IF(INDEX('Fleet dates'!$D$9:$D$1008,$I504-8)="","",INDEX('Fleet dates'!$D$9:$D$1008,$I504-8)))</x:f>
      </x:c>
      <x:c r="E504" s="51" t="str">
        <x:f>IF(496&gt;$H$4,"",IF(INDEX('Fleet dates'!$E$9:$E$1008,$I504-8)="","",INDEX('Fleet dates'!$E$9:$E$1008,$I504-8)))</x:f>
      </x:c>
      <x:c r="F504" s="51" t="str">
        <x:f>IF(496&gt;$H$4,"",IF(INDEX('Fleet dates'!$F$9:$F$1008,$I504-8)="","",INDEX('Fleet dates'!$F$9:$F$1008,$I504-8)))</x:f>
      </x:c>
      <x:c r="G504" s="50" t="str">
        <x:f>IF(496&gt;$H$4,"",IF(INDEX('Fleet dates'!$G$9:$G$1008,$I504-8)="","",INDEX('Fleet dates'!$G$9:$G$1008,$I504-8)))</x:f>
      </x:c>
      <x:c r="H504" s="50" t="str">
        <x:f>IF(496&gt;$H$4,"",IF(INDEX('Fleet dates'!$I$9:$I$1008,$I504-8)="","",INDEX('Fleet dates'!$I$9:$I$1008,$I504-8)))</x:f>
      </x:c>
      <x:c r="I504" t="str">
        <x:f>IF(496&gt;$H$4,"",MATCH(496,'Fleet dates'!$J$9:$J$1008,0)+8)</x:f>
      </x:c>
    </x:row>
    <x:row r="505" ht="36" customHeight="1">
      <x:c r="A505" s="50" t="str">
        <x:f>IF(497&gt;$H$4,"",IF(INDEX('Fleet dates'!$A$9:$A$1008,$I505-8)="","",INDEX('Fleet dates'!$A$9:$A$1008,$I505-8)))</x:f>
      </x:c>
      <x:c r="B505" s="50" t="str">
        <x:f>IF(497&gt;$H$4,"",IF(INDEX('Fleet dates'!$B$9:$B$1008,$I505-8)="","",INDEX('Fleet dates'!$B$9:$B$1008,$I505-8)))</x:f>
      </x:c>
      <x:c r="C505" s="51" t="str">
        <x:f>IF(497&gt;$H$4,"",IF(INDEX('Fleet dates'!$C$9:$C$1008,$I505-8)="","",INDEX('Fleet dates'!$C$9:$C$1008,$I505-8)))</x:f>
      </x:c>
      <x:c r="D505" s="51" t="str">
        <x:f>IF(497&gt;$H$4,"",IF(INDEX('Fleet dates'!$D$9:$D$1008,$I505-8)="","",INDEX('Fleet dates'!$D$9:$D$1008,$I505-8)))</x:f>
      </x:c>
      <x:c r="E505" s="51" t="str">
        <x:f>IF(497&gt;$H$4,"",IF(INDEX('Fleet dates'!$E$9:$E$1008,$I505-8)="","",INDEX('Fleet dates'!$E$9:$E$1008,$I505-8)))</x:f>
      </x:c>
      <x:c r="F505" s="51" t="str">
        <x:f>IF(497&gt;$H$4,"",IF(INDEX('Fleet dates'!$F$9:$F$1008,$I505-8)="","",INDEX('Fleet dates'!$F$9:$F$1008,$I505-8)))</x:f>
      </x:c>
      <x:c r="G505" s="50" t="str">
        <x:f>IF(497&gt;$H$4,"",IF(INDEX('Fleet dates'!$G$9:$G$1008,$I505-8)="","",INDEX('Fleet dates'!$G$9:$G$1008,$I505-8)))</x:f>
      </x:c>
      <x:c r="H505" s="50" t="str">
        <x:f>IF(497&gt;$H$4,"",IF(INDEX('Fleet dates'!$I$9:$I$1008,$I505-8)="","",INDEX('Fleet dates'!$I$9:$I$1008,$I505-8)))</x:f>
      </x:c>
      <x:c r="I505" t="str">
        <x:f>IF(497&gt;$H$4,"",MATCH(497,'Fleet dates'!$J$9:$J$1008,0)+8)</x:f>
      </x:c>
    </x:row>
    <x:row r="506" ht="36" customHeight="1">
      <x:c r="A506" s="50" t="str">
        <x:f>IF(498&gt;$H$4,"",IF(INDEX('Fleet dates'!$A$9:$A$1008,$I506-8)="","",INDEX('Fleet dates'!$A$9:$A$1008,$I506-8)))</x:f>
      </x:c>
      <x:c r="B506" s="50" t="str">
        <x:f>IF(498&gt;$H$4,"",IF(INDEX('Fleet dates'!$B$9:$B$1008,$I506-8)="","",INDEX('Fleet dates'!$B$9:$B$1008,$I506-8)))</x:f>
      </x:c>
      <x:c r="C506" s="51" t="str">
        <x:f>IF(498&gt;$H$4,"",IF(INDEX('Fleet dates'!$C$9:$C$1008,$I506-8)="","",INDEX('Fleet dates'!$C$9:$C$1008,$I506-8)))</x:f>
      </x:c>
      <x:c r="D506" s="51" t="str">
        <x:f>IF(498&gt;$H$4,"",IF(INDEX('Fleet dates'!$D$9:$D$1008,$I506-8)="","",INDEX('Fleet dates'!$D$9:$D$1008,$I506-8)))</x:f>
      </x:c>
      <x:c r="E506" s="51" t="str">
        <x:f>IF(498&gt;$H$4,"",IF(INDEX('Fleet dates'!$E$9:$E$1008,$I506-8)="","",INDEX('Fleet dates'!$E$9:$E$1008,$I506-8)))</x:f>
      </x:c>
      <x:c r="F506" s="51" t="str">
        <x:f>IF(498&gt;$H$4,"",IF(INDEX('Fleet dates'!$F$9:$F$1008,$I506-8)="","",INDEX('Fleet dates'!$F$9:$F$1008,$I506-8)))</x:f>
      </x:c>
      <x:c r="G506" s="50" t="str">
        <x:f>IF(498&gt;$H$4,"",IF(INDEX('Fleet dates'!$G$9:$G$1008,$I506-8)="","",INDEX('Fleet dates'!$G$9:$G$1008,$I506-8)))</x:f>
      </x:c>
      <x:c r="H506" s="50" t="str">
        <x:f>IF(498&gt;$H$4,"",IF(INDEX('Fleet dates'!$I$9:$I$1008,$I506-8)="","",INDEX('Fleet dates'!$I$9:$I$1008,$I506-8)))</x:f>
      </x:c>
      <x:c r="I506" t="str">
        <x:f>IF(498&gt;$H$4,"",MATCH(498,'Fleet dates'!$J$9:$J$1008,0)+8)</x:f>
      </x:c>
    </x:row>
    <x:row r="507" ht="36" customHeight="1">
      <x:c r="A507" s="50" t="str">
        <x:f>IF(499&gt;$H$4,"",IF(INDEX('Fleet dates'!$A$9:$A$1008,$I507-8)="","",INDEX('Fleet dates'!$A$9:$A$1008,$I507-8)))</x:f>
      </x:c>
      <x:c r="B507" s="50" t="str">
        <x:f>IF(499&gt;$H$4,"",IF(INDEX('Fleet dates'!$B$9:$B$1008,$I507-8)="","",INDEX('Fleet dates'!$B$9:$B$1008,$I507-8)))</x:f>
      </x:c>
      <x:c r="C507" s="51" t="str">
        <x:f>IF(499&gt;$H$4,"",IF(INDEX('Fleet dates'!$C$9:$C$1008,$I507-8)="","",INDEX('Fleet dates'!$C$9:$C$1008,$I507-8)))</x:f>
      </x:c>
      <x:c r="D507" s="51" t="str">
        <x:f>IF(499&gt;$H$4,"",IF(INDEX('Fleet dates'!$D$9:$D$1008,$I507-8)="","",INDEX('Fleet dates'!$D$9:$D$1008,$I507-8)))</x:f>
      </x:c>
      <x:c r="E507" s="51" t="str">
        <x:f>IF(499&gt;$H$4,"",IF(INDEX('Fleet dates'!$E$9:$E$1008,$I507-8)="","",INDEX('Fleet dates'!$E$9:$E$1008,$I507-8)))</x:f>
      </x:c>
      <x:c r="F507" s="51" t="str">
        <x:f>IF(499&gt;$H$4,"",IF(INDEX('Fleet dates'!$F$9:$F$1008,$I507-8)="","",INDEX('Fleet dates'!$F$9:$F$1008,$I507-8)))</x:f>
      </x:c>
      <x:c r="G507" s="50" t="str">
        <x:f>IF(499&gt;$H$4,"",IF(INDEX('Fleet dates'!$G$9:$G$1008,$I507-8)="","",INDEX('Fleet dates'!$G$9:$G$1008,$I507-8)))</x:f>
      </x:c>
      <x:c r="H507" s="50" t="str">
        <x:f>IF(499&gt;$H$4,"",IF(INDEX('Fleet dates'!$I$9:$I$1008,$I507-8)="","",INDEX('Fleet dates'!$I$9:$I$1008,$I507-8)))</x:f>
      </x:c>
      <x:c r="I507" t="str">
        <x:f>IF(499&gt;$H$4,"",MATCH(499,'Fleet dates'!$J$9:$J$1008,0)+8)</x:f>
      </x:c>
    </x:row>
    <x:row r="508" ht="36" customHeight="1">
      <x:c r="A508" s="50" t="str">
        <x:f>IF(500&gt;$H$4,"",IF(INDEX('Fleet dates'!$A$9:$A$1008,$I508-8)="","",INDEX('Fleet dates'!$A$9:$A$1008,$I508-8)))</x:f>
      </x:c>
      <x:c r="B508" s="50" t="str">
        <x:f>IF(500&gt;$H$4,"",IF(INDEX('Fleet dates'!$B$9:$B$1008,$I508-8)="","",INDEX('Fleet dates'!$B$9:$B$1008,$I508-8)))</x:f>
      </x:c>
      <x:c r="C508" s="51" t="str">
        <x:f>IF(500&gt;$H$4,"",IF(INDEX('Fleet dates'!$C$9:$C$1008,$I508-8)="","",INDEX('Fleet dates'!$C$9:$C$1008,$I508-8)))</x:f>
      </x:c>
      <x:c r="D508" s="51" t="str">
        <x:f>IF(500&gt;$H$4,"",IF(INDEX('Fleet dates'!$D$9:$D$1008,$I508-8)="","",INDEX('Fleet dates'!$D$9:$D$1008,$I508-8)))</x:f>
      </x:c>
      <x:c r="E508" s="51" t="str">
        <x:f>IF(500&gt;$H$4,"",IF(INDEX('Fleet dates'!$E$9:$E$1008,$I508-8)="","",INDEX('Fleet dates'!$E$9:$E$1008,$I508-8)))</x:f>
      </x:c>
      <x:c r="F508" s="51" t="str">
        <x:f>IF(500&gt;$H$4,"",IF(INDEX('Fleet dates'!$F$9:$F$1008,$I508-8)="","",INDEX('Fleet dates'!$F$9:$F$1008,$I508-8)))</x:f>
      </x:c>
      <x:c r="G508" s="50" t="str">
        <x:f>IF(500&gt;$H$4,"",IF(INDEX('Fleet dates'!$G$9:$G$1008,$I508-8)="","",INDEX('Fleet dates'!$G$9:$G$1008,$I508-8)))</x:f>
      </x:c>
      <x:c r="H508" s="50" t="str">
        <x:f>IF(500&gt;$H$4,"",IF(INDEX('Fleet dates'!$I$9:$I$1008,$I508-8)="","",INDEX('Fleet dates'!$I$9:$I$1008,$I508-8)))</x:f>
      </x:c>
      <x:c r="I508" t="str">
        <x:f>IF(500&gt;$H$4,"",MATCH(500,'Fleet dates'!$J$9:$J$1008,0)+8)</x:f>
      </x:c>
    </x:row>
    <x:row r="509" ht="36" customHeight="1">
      <x:c r="A509" s="50" t="str">
        <x:f>IF(501&gt;$H$4,"",IF(INDEX('Fleet dates'!$A$9:$A$1008,$I509-8)="","",INDEX('Fleet dates'!$A$9:$A$1008,$I509-8)))</x:f>
      </x:c>
      <x:c r="B509" s="50" t="str">
        <x:f>IF(501&gt;$H$4,"",IF(INDEX('Fleet dates'!$B$9:$B$1008,$I509-8)="","",INDEX('Fleet dates'!$B$9:$B$1008,$I509-8)))</x:f>
      </x:c>
      <x:c r="C509" s="51" t="str">
        <x:f>IF(501&gt;$H$4,"",IF(INDEX('Fleet dates'!$C$9:$C$1008,$I509-8)="","",INDEX('Fleet dates'!$C$9:$C$1008,$I509-8)))</x:f>
      </x:c>
      <x:c r="D509" s="51" t="str">
        <x:f>IF(501&gt;$H$4,"",IF(INDEX('Fleet dates'!$D$9:$D$1008,$I509-8)="","",INDEX('Fleet dates'!$D$9:$D$1008,$I509-8)))</x:f>
      </x:c>
      <x:c r="E509" s="51" t="str">
        <x:f>IF(501&gt;$H$4,"",IF(INDEX('Fleet dates'!$E$9:$E$1008,$I509-8)="","",INDEX('Fleet dates'!$E$9:$E$1008,$I509-8)))</x:f>
      </x:c>
      <x:c r="F509" s="51" t="str">
        <x:f>IF(501&gt;$H$4,"",IF(INDEX('Fleet dates'!$F$9:$F$1008,$I509-8)="","",INDEX('Fleet dates'!$F$9:$F$1008,$I509-8)))</x:f>
      </x:c>
      <x:c r="G509" s="50" t="str">
        <x:f>IF(501&gt;$H$4,"",IF(INDEX('Fleet dates'!$G$9:$G$1008,$I509-8)="","",INDEX('Fleet dates'!$G$9:$G$1008,$I509-8)))</x:f>
      </x:c>
      <x:c r="H509" s="50" t="str">
        <x:f>IF(501&gt;$H$4,"",IF(INDEX('Fleet dates'!$I$9:$I$1008,$I509-8)="","",INDEX('Fleet dates'!$I$9:$I$1008,$I509-8)))</x:f>
      </x:c>
      <x:c r="I509" t="str">
        <x:f>IF(501&gt;$H$4,"",MATCH(501,'Fleet dates'!$J$9:$J$1008,0)+8)</x:f>
      </x:c>
    </x:row>
    <x:row r="510" ht="36" customHeight="1">
      <x:c r="A510" s="50" t="str">
        <x:f>IF(502&gt;$H$4,"",IF(INDEX('Fleet dates'!$A$9:$A$1008,$I510-8)="","",INDEX('Fleet dates'!$A$9:$A$1008,$I510-8)))</x:f>
      </x:c>
      <x:c r="B510" s="50" t="str">
        <x:f>IF(502&gt;$H$4,"",IF(INDEX('Fleet dates'!$B$9:$B$1008,$I510-8)="","",INDEX('Fleet dates'!$B$9:$B$1008,$I510-8)))</x:f>
      </x:c>
      <x:c r="C510" s="51" t="str">
        <x:f>IF(502&gt;$H$4,"",IF(INDEX('Fleet dates'!$C$9:$C$1008,$I510-8)="","",INDEX('Fleet dates'!$C$9:$C$1008,$I510-8)))</x:f>
      </x:c>
      <x:c r="D510" s="51" t="str">
        <x:f>IF(502&gt;$H$4,"",IF(INDEX('Fleet dates'!$D$9:$D$1008,$I510-8)="","",INDEX('Fleet dates'!$D$9:$D$1008,$I510-8)))</x:f>
      </x:c>
      <x:c r="E510" s="51" t="str">
        <x:f>IF(502&gt;$H$4,"",IF(INDEX('Fleet dates'!$E$9:$E$1008,$I510-8)="","",INDEX('Fleet dates'!$E$9:$E$1008,$I510-8)))</x:f>
      </x:c>
      <x:c r="F510" s="51" t="str">
        <x:f>IF(502&gt;$H$4,"",IF(INDEX('Fleet dates'!$F$9:$F$1008,$I510-8)="","",INDEX('Fleet dates'!$F$9:$F$1008,$I510-8)))</x:f>
      </x:c>
      <x:c r="G510" s="50" t="str">
        <x:f>IF(502&gt;$H$4,"",IF(INDEX('Fleet dates'!$G$9:$G$1008,$I510-8)="","",INDEX('Fleet dates'!$G$9:$G$1008,$I510-8)))</x:f>
      </x:c>
      <x:c r="H510" s="50" t="str">
        <x:f>IF(502&gt;$H$4,"",IF(INDEX('Fleet dates'!$I$9:$I$1008,$I510-8)="","",INDEX('Fleet dates'!$I$9:$I$1008,$I510-8)))</x:f>
      </x:c>
      <x:c r="I510" t="str">
        <x:f>IF(502&gt;$H$4,"",MATCH(502,'Fleet dates'!$J$9:$J$1008,0)+8)</x:f>
      </x:c>
    </x:row>
    <x:row r="511" ht="36" customHeight="1">
      <x:c r="A511" s="50" t="str">
        <x:f>IF(503&gt;$H$4,"",IF(INDEX('Fleet dates'!$A$9:$A$1008,$I511-8)="","",INDEX('Fleet dates'!$A$9:$A$1008,$I511-8)))</x:f>
      </x:c>
      <x:c r="B511" s="50" t="str">
        <x:f>IF(503&gt;$H$4,"",IF(INDEX('Fleet dates'!$B$9:$B$1008,$I511-8)="","",INDEX('Fleet dates'!$B$9:$B$1008,$I511-8)))</x:f>
      </x:c>
      <x:c r="C511" s="51" t="str">
        <x:f>IF(503&gt;$H$4,"",IF(INDEX('Fleet dates'!$C$9:$C$1008,$I511-8)="","",INDEX('Fleet dates'!$C$9:$C$1008,$I511-8)))</x:f>
      </x:c>
      <x:c r="D511" s="51" t="str">
        <x:f>IF(503&gt;$H$4,"",IF(INDEX('Fleet dates'!$D$9:$D$1008,$I511-8)="","",INDEX('Fleet dates'!$D$9:$D$1008,$I511-8)))</x:f>
      </x:c>
      <x:c r="E511" s="51" t="str">
        <x:f>IF(503&gt;$H$4,"",IF(INDEX('Fleet dates'!$E$9:$E$1008,$I511-8)="","",INDEX('Fleet dates'!$E$9:$E$1008,$I511-8)))</x:f>
      </x:c>
      <x:c r="F511" s="51" t="str">
        <x:f>IF(503&gt;$H$4,"",IF(INDEX('Fleet dates'!$F$9:$F$1008,$I511-8)="","",INDEX('Fleet dates'!$F$9:$F$1008,$I511-8)))</x:f>
      </x:c>
      <x:c r="G511" s="50" t="str">
        <x:f>IF(503&gt;$H$4,"",IF(INDEX('Fleet dates'!$G$9:$G$1008,$I511-8)="","",INDEX('Fleet dates'!$G$9:$G$1008,$I511-8)))</x:f>
      </x:c>
      <x:c r="H511" s="50" t="str">
        <x:f>IF(503&gt;$H$4,"",IF(INDEX('Fleet dates'!$I$9:$I$1008,$I511-8)="","",INDEX('Fleet dates'!$I$9:$I$1008,$I511-8)))</x:f>
      </x:c>
      <x:c r="I511" t="str">
        <x:f>IF(503&gt;$H$4,"",MATCH(503,'Fleet dates'!$J$9:$J$1008,0)+8)</x:f>
      </x:c>
    </x:row>
    <x:row r="512" ht="36" customHeight="1">
      <x:c r="A512" s="50" t="str">
        <x:f>IF(504&gt;$H$4,"",IF(INDEX('Fleet dates'!$A$9:$A$1008,$I512-8)="","",INDEX('Fleet dates'!$A$9:$A$1008,$I512-8)))</x:f>
      </x:c>
      <x:c r="B512" s="50" t="str">
        <x:f>IF(504&gt;$H$4,"",IF(INDEX('Fleet dates'!$B$9:$B$1008,$I512-8)="","",INDEX('Fleet dates'!$B$9:$B$1008,$I512-8)))</x:f>
      </x:c>
      <x:c r="C512" s="51" t="str">
        <x:f>IF(504&gt;$H$4,"",IF(INDEX('Fleet dates'!$C$9:$C$1008,$I512-8)="","",INDEX('Fleet dates'!$C$9:$C$1008,$I512-8)))</x:f>
      </x:c>
      <x:c r="D512" s="51" t="str">
        <x:f>IF(504&gt;$H$4,"",IF(INDEX('Fleet dates'!$D$9:$D$1008,$I512-8)="","",INDEX('Fleet dates'!$D$9:$D$1008,$I512-8)))</x:f>
      </x:c>
      <x:c r="E512" s="51" t="str">
        <x:f>IF(504&gt;$H$4,"",IF(INDEX('Fleet dates'!$E$9:$E$1008,$I512-8)="","",INDEX('Fleet dates'!$E$9:$E$1008,$I512-8)))</x:f>
      </x:c>
      <x:c r="F512" s="51" t="str">
        <x:f>IF(504&gt;$H$4,"",IF(INDEX('Fleet dates'!$F$9:$F$1008,$I512-8)="","",INDEX('Fleet dates'!$F$9:$F$1008,$I512-8)))</x:f>
      </x:c>
      <x:c r="G512" s="50" t="str">
        <x:f>IF(504&gt;$H$4,"",IF(INDEX('Fleet dates'!$G$9:$G$1008,$I512-8)="","",INDEX('Fleet dates'!$G$9:$G$1008,$I512-8)))</x:f>
      </x:c>
      <x:c r="H512" s="50" t="str">
        <x:f>IF(504&gt;$H$4,"",IF(INDEX('Fleet dates'!$I$9:$I$1008,$I512-8)="","",INDEX('Fleet dates'!$I$9:$I$1008,$I512-8)))</x:f>
      </x:c>
      <x:c r="I512" t="str">
        <x:f>IF(504&gt;$H$4,"",MATCH(504,'Fleet dates'!$J$9:$J$1008,0)+8)</x:f>
      </x:c>
    </x:row>
    <x:row r="513" ht="36" customHeight="1">
      <x:c r="A513" s="50" t="str">
        <x:f>IF(505&gt;$H$4,"",IF(INDEX('Fleet dates'!$A$9:$A$1008,$I513-8)="","",INDEX('Fleet dates'!$A$9:$A$1008,$I513-8)))</x:f>
      </x:c>
      <x:c r="B513" s="50" t="str">
        <x:f>IF(505&gt;$H$4,"",IF(INDEX('Fleet dates'!$B$9:$B$1008,$I513-8)="","",INDEX('Fleet dates'!$B$9:$B$1008,$I513-8)))</x:f>
      </x:c>
      <x:c r="C513" s="51" t="str">
        <x:f>IF(505&gt;$H$4,"",IF(INDEX('Fleet dates'!$C$9:$C$1008,$I513-8)="","",INDEX('Fleet dates'!$C$9:$C$1008,$I513-8)))</x:f>
      </x:c>
      <x:c r="D513" s="51" t="str">
        <x:f>IF(505&gt;$H$4,"",IF(INDEX('Fleet dates'!$D$9:$D$1008,$I513-8)="","",INDEX('Fleet dates'!$D$9:$D$1008,$I513-8)))</x:f>
      </x:c>
      <x:c r="E513" s="51" t="str">
        <x:f>IF(505&gt;$H$4,"",IF(INDEX('Fleet dates'!$E$9:$E$1008,$I513-8)="","",INDEX('Fleet dates'!$E$9:$E$1008,$I513-8)))</x:f>
      </x:c>
      <x:c r="F513" s="51" t="str">
        <x:f>IF(505&gt;$H$4,"",IF(INDEX('Fleet dates'!$F$9:$F$1008,$I513-8)="","",INDEX('Fleet dates'!$F$9:$F$1008,$I513-8)))</x:f>
      </x:c>
      <x:c r="G513" s="50" t="str">
        <x:f>IF(505&gt;$H$4,"",IF(INDEX('Fleet dates'!$G$9:$G$1008,$I513-8)="","",INDEX('Fleet dates'!$G$9:$G$1008,$I513-8)))</x:f>
      </x:c>
      <x:c r="H513" s="50" t="str">
        <x:f>IF(505&gt;$H$4,"",IF(INDEX('Fleet dates'!$I$9:$I$1008,$I513-8)="","",INDEX('Fleet dates'!$I$9:$I$1008,$I513-8)))</x:f>
      </x:c>
      <x:c r="I513" t="str">
        <x:f>IF(505&gt;$H$4,"",MATCH(505,'Fleet dates'!$J$9:$J$1008,0)+8)</x:f>
      </x:c>
    </x:row>
    <x:row r="514" ht="36" customHeight="1">
      <x:c r="A514" s="50" t="str">
        <x:f>IF(506&gt;$H$4,"",IF(INDEX('Fleet dates'!$A$9:$A$1008,$I514-8)="","",INDEX('Fleet dates'!$A$9:$A$1008,$I514-8)))</x:f>
      </x:c>
      <x:c r="B514" s="50" t="str">
        <x:f>IF(506&gt;$H$4,"",IF(INDEX('Fleet dates'!$B$9:$B$1008,$I514-8)="","",INDEX('Fleet dates'!$B$9:$B$1008,$I514-8)))</x:f>
      </x:c>
      <x:c r="C514" s="51" t="str">
        <x:f>IF(506&gt;$H$4,"",IF(INDEX('Fleet dates'!$C$9:$C$1008,$I514-8)="","",INDEX('Fleet dates'!$C$9:$C$1008,$I514-8)))</x:f>
      </x:c>
      <x:c r="D514" s="51" t="str">
        <x:f>IF(506&gt;$H$4,"",IF(INDEX('Fleet dates'!$D$9:$D$1008,$I514-8)="","",INDEX('Fleet dates'!$D$9:$D$1008,$I514-8)))</x:f>
      </x:c>
      <x:c r="E514" s="51" t="str">
        <x:f>IF(506&gt;$H$4,"",IF(INDEX('Fleet dates'!$E$9:$E$1008,$I514-8)="","",INDEX('Fleet dates'!$E$9:$E$1008,$I514-8)))</x:f>
      </x:c>
      <x:c r="F514" s="51" t="str">
        <x:f>IF(506&gt;$H$4,"",IF(INDEX('Fleet dates'!$F$9:$F$1008,$I514-8)="","",INDEX('Fleet dates'!$F$9:$F$1008,$I514-8)))</x:f>
      </x:c>
      <x:c r="G514" s="50" t="str">
        <x:f>IF(506&gt;$H$4,"",IF(INDEX('Fleet dates'!$G$9:$G$1008,$I514-8)="","",INDEX('Fleet dates'!$G$9:$G$1008,$I514-8)))</x:f>
      </x:c>
      <x:c r="H514" s="50" t="str">
        <x:f>IF(506&gt;$H$4,"",IF(INDEX('Fleet dates'!$I$9:$I$1008,$I514-8)="","",INDEX('Fleet dates'!$I$9:$I$1008,$I514-8)))</x:f>
      </x:c>
      <x:c r="I514" t="str">
        <x:f>IF(506&gt;$H$4,"",MATCH(506,'Fleet dates'!$J$9:$J$1008,0)+8)</x:f>
      </x:c>
    </x:row>
    <x:row r="515" ht="36" customHeight="1">
      <x:c r="A515" s="50" t="str">
        <x:f>IF(507&gt;$H$4,"",IF(INDEX('Fleet dates'!$A$9:$A$1008,$I515-8)="","",INDEX('Fleet dates'!$A$9:$A$1008,$I515-8)))</x:f>
      </x:c>
      <x:c r="B515" s="50" t="str">
        <x:f>IF(507&gt;$H$4,"",IF(INDEX('Fleet dates'!$B$9:$B$1008,$I515-8)="","",INDEX('Fleet dates'!$B$9:$B$1008,$I515-8)))</x:f>
      </x:c>
      <x:c r="C515" s="51" t="str">
        <x:f>IF(507&gt;$H$4,"",IF(INDEX('Fleet dates'!$C$9:$C$1008,$I515-8)="","",INDEX('Fleet dates'!$C$9:$C$1008,$I515-8)))</x:f>
      </x:c>
      <x:c r="D515" s="51" t="str">
        <x:f>IF(507&gt;$H$4,"",IF(INDEX('Fleet dates'!$D$9:$D$1008,$I515-8)="","",INDEX('Fleet dates'!$D$9:$D$1008,$I515-8)))</x:f>
      </x:c>
      <x:c r="E515" s="51" t="str">
        <x:f>IF(507&gt;$H$4,"",IF(INDEX('Fleet dates'!$E$9:$E$1008,$I515-8)="","",INDEX('Fleet dates'!$E$9:$E$1008,$I515-8)))</x:f>
      </x:c>
      <x:c r="F515" s="51" t="str">
        <x:f>IF(507&gt;$H$4,"",IF(INDEX('Fleet dates'!$F$9:$F$1008,$I515-8)="","",INDEX('Fleet dates'!$F$9:$F$1008,$I515-8)))</x:f>
      </x:c>
      <x:c r="G515" s="50" t="str">
        <x:f>IF(507&gt;$H$4,"",IF(INDEX('Fleet dates'!$G$9:$G$1008,$I515-8)="","",INDEX('Fleet dates'!$G$9:$G$1008,$I515-8)))</x:f>
      </x:c>
      <x:c r="H515" s="50" t="str">
        <x:f>IF(507&gt;$H$4,"",IF(INDEX('Fleet dates'!$I$9:$I$1008,$I515-8)="","",INDEX('Fleet dates'!$I$9:$I$1008,$I515-8)))</x:f>
      </x:c>
      <x:c r="I515" t="str">
        <x:f>IF(507&gt;$H$4,"",MATCH(507,'Fleet dates'!$J$9:$J$1008,0)+8)</x:f>
      </x:c>
    </x:row>
    <x:row r="516" ht="36" customHeight="1">
      <x:c r="A516" s="50" t="str">
        <x:f>IF(508&gt;$H$4,"",IF(INDEX('Fleet dates'!$A$9:$A$1008,$I516-8)="","",INDEX('Fleet dates'!$A$9:$A$1008,$I516-8)))</x:f>
      </x:c>
      <x:c r="B516" s="50" t="str">
        <x:f>IF(508&gt;$H$4,"",IF(INDEX('Fleet dates'!$B$9:$B$1008,$I516-8)="","",INDEX('Fleet dates'!$B$9:$B$1008,$I516-8)))</x:f>
      </x:c>
      <x:c r="C516" s="51" t="str">
        <x:f>IF(508&gt;$H$4,"",IF(INDEX('Fleet dates'!$C$9:$C$1008,$I516-8)="","",INDEX('Fleet dates'!$C$9:$C$1008,$I516-8)))</x:f>
      </x:c>
      <x:c r="D516" s="51" t="str">
        <x:f>IF(508&gt;$H$4,"",IF(INDEX('Fleet dates'!$D$9:$D$1008,$I516-8)="","",INDEX('Fleet dates'!$D$9:$D$1008,$I516-8)))</x:f>
      </x:c>
      <x:c r="E516" s="51" t="str">
        <x:f>IF(508&gt;$H$4,"",IF(INDEX('Fleet dates'!$E$9:$E$1008,$I516-8)="","",INDEX('Fleet dates'!$E$9:$E$1008,$I516-8)))</x:f>
      </x:c>
      <x:c r="F516" s="51" t="str">
        <x:f>IF(508&gt;$H$4,"",IF(INDEX('Fleet dates'!$F$9:$F$1008,$I516-8)="","",INDEX('Fleet dates'!$F$9:$F$1008,$I516-8)))</x:f>
      </x:c>
      <x:c r="G516" s="50" t="str">
        <x:f>IF(508&gt;$H$4,"",IF(INDEX('Fleet dates'!$G$9:$G$1008,$I516-8)="","",INDEX('Fleet dates'!$G$9:$G$1008,$I516-8)))</x:f>
      </x:c>
      <x:c r="H516" s="50" t="str">
        <x:f>IF(508&gt;$H$4,"",IF(INDEX('Fleet dates'!$I$9:$I$1008,$I516-8)="","",INDEX('Fleet dates'!$I$9:$I$1008,$I516-8)))</x:f>
      </x:c>
      <x:c r="I516" t="str">
        <x:f>IF(508&gt;$H$4,"",MATCH(508,'Fleet dates'!$J$9:$J$1008,0)+8)</x:f>
      </x:c>
    </x:row>
    <x:row r="517" ht="36" customHeight="1">
      <x:c r="A517" s="50" t="str">
        <x:f>IF(509&gt;$H$4,"",IF(INDEX('Fleet dates'!$A$9:$A$1008,$I517-8)="","",INDEX('Fleet dates'!$A$9:$A$1008,$I517-8)))</x:f>
      </x:c>
      <x:c r="B517" s="50" t="str">
        <x:f>IF(509&gt;$H$4,"",IF(INDEX('Fleet dates'!$B$9:$B$1008,$I517-8)="","",INDEX('Fleet dates'!$B$9:$B$1008,$I517-8)))</x:f>
      </x:c>
      <x:c r="C517" s="51" t="str">
        <x:f>IF(509&gt;$H$4,"",IF(INDEX('Fleet dates'!$C$9:$C$1008,$I517-8)="","",INDEX('Fleet dates'!$C$9:$C$1008,$I517-8)))</x:f>
      </x:c>
      <x:c r="D517" s="51" t="str">
        <x:f>IF(509&gt;$H$4,"",IF(INDEX('Fleet dates'!$D$9:$D$1008,$I517-8)="","",INDEX('Fleet dates'!$D$9:$D$1008,$I517-8)))</x:f>
      </x:c>
      <x:c r="E517" s="51" t="str">
        <x:f>IF(509&gt;$H$4,"",IF(INDEX('Fleet dates'!$E$9:$E$1008,$I517-8)="","",INDEX('Fleet dates'!$E$9:$E$1008,$I517-8)))</x:f>
      </x:c>
      <x:c r="F517" s="51" t="str">
        <x:f>IF(509&gt;$H$4,"",IF(INDEX('Fleet dates'!$F$9:$F$1008,$I517-8)="","",INDEX('Fleet dates'!$F$9:$F$1008,$I517-8)))</x:f>
      </x:c>
      <x:c r="G517" s="50" t="str">
        <x:f>IF(509&gt;$H$4,"",IF(INDEX('Fleet dates'!$G$9:$G$1008,$I517-8)="","",INDEX('Fleet dates'!$G$9:$G$1008,$I517-8)))</x:f>
      </x:c>
      <x:c r="H517" s="50" t="str">
        <x:f>IF(509&gt;$H$4,"",IF(INDEX('Fleet dates'!$I$9:$I$1008,$I517-8)="","",INDEX('Fleet dates'!$I$9:$I$1008,$I517-8)))</x:f>
      </x:c>
      <x:c r="I517" t="str">
        <x:f>IF(509&gt;$H$4,"",MATCH(509,'Fleet dates'!$J$9:$J$1008,0)+8)</x:f>
      </x:c>
    </x:row>
    <x:row r="518" ht="36" customHeight="1">
      <x:c r="A518" s="50" t="str">
        <x:f>IF(510&gt;$H$4,"",IF(INDEX('Fleet dates'!$A$9:$A$1008,$I518-8)="","",INDEX('Fleet dates'!$A$9:$A$1008,$I518-8)))</x:f>
      </x:c>
      <x:c r="B518" s="50" t="str">
        <x:f>IF(510&gt;$H$4,"",IF(INDEX('Fleet dates'!$B$9:$B$1008,$I518-8)="","",INDEX('Fleet dates'!$B$9:$B$1008,$I518-8)))</x:f>
      </x:c>
      <x:c r="C518" s="51" t="str">
        <x:f>IF(510&gt;$H$4,"",IF(INDEX('Fleet dates'!$C$9:$C$1008,$I518-8)="","",INDEX('Fleet dates'!$C$9:$C$1008,$I518-8)))</x:f>
      </x:c>
      <x:c r="D518" s="51" t="str">
        <x:f>IF(510&gt;$H$4,"",IF(INDEX('Fleet dates'!$D$9:$D$1008,$I518-8)="","",INDEX('Fleet dates'!$D$9:$D$1008,$I518-8)))</x:f>
      </x:c>
      <x:c r="E518" s="51" t="str">
        <x:f>IF(510&gt;$H$4,"",IF(INDEX('Fleet dates'!$E$9:$E$1008,$I518-8)="","",INDEX('Fleet dates'!$E$9:$E$1008,$I518-8)))</x:f>
      </x:c>
      <x:c r="F518" s="51" t="str">
        <x:f>IF(510&gt;$H$4,"",IF(INDEX('Fleet dates'!$F$9:$F$1008,$I518-8)="","",INDEX('Fleet dates'!$F$9:$F$1008,$I518-8)))</x:f>
      </x:c>
      <x:c r="G518" s="50" t="str">
        <x:f>IF(510&gt;$H$4,"",IF(INDEX('Fleet dates'!$G$9:$G$1008,$I518-8)="","",INDEX('Fleet dates'!$G$9:$G$1008,$I518-8)))</x:f>
      </x:c>
      <x:c r="H518" s="50" t="str">
        <x:f>IF(510&gt;$H$4,"",IF(INDEX('Fleet dates'!$I$9:$I$1008,$I518-8)="","",INDEX('Fleet dates'!$I$9:$I$1008,$I518-8)))</x:f>
      </x:c>
      <x:c r="I518" t="str">
        <x:f>IF(510&gt;$H$4,"",MATCH(510,'Fleet dates'!$J$9:$J$1008,0)+8)</x:f>
      </x:c>
    </x:row>
    <x:row r="519" ht="36" customHeight="1">
      <x:c r="A519" s="50" t="str">
        <x:f>IF(511&gt;$H$4,"",IF(INDEX('Fleet dates'!$A$9:$A$1008,$I519-8)="","",INDEX('Fleet dates'!$A$9:$A$1008,$I519-8)))</x:f>
      </x:c>
      <x:c r="B519" s="50" t="str">
        <x:f>IF(511&gt;$H$4,"",IF(INDEX('Fleet dates'!$B$9:$B$1008,$I519-8)="","",INDEX('Fleet dates'!$B$9:$B$1008,$I519-8)))</x:f>
      </x:c>
      <x:c r="C519" s="51" t="str">
        <x:f>IF(511&gt;$H$4,"",IF(INDEX('Fleet dates'!$C$9:$C$1008,$I519-8)="","",INDEX('Fleet dates'!$C$9:$C$1008,$I519-8)))</x:f>
      </x:c>
      <x:c r="D519" s="51" t="str">
        <x:f>IF(511&gt;$H$4,"",IF(INDEX('Fleet dates'!$D$9:$D$1008,$I519-8)="","",INDEX('Fleet dates'!$D$9:$D$1008,$I519-8)))</x:f>
      </x:c>
      <x:c r="E519" s="51" t="str">
        <x:f>IF(511&gt;$H$4,"",IF(INDEX('Fleet dates'!$E$9:$E$1008,$I519-8)="","",INDEX('Fleet dates'!$E$9:$E$1008,$I519-8)))</x:f>
      </x:c>
      <x:c r="F519" s="51" t="str">
        <x:f>IF(511&gt;$H$4,"",IF(INDEX('Fleet dates'!$F$9:$F$1008,$I519-8)="","",INDEX('Fleet dates'!$F$9:$F$1008,$I519-8)))</x:f>
      </x:c>
      <x:c r="G519" s="50" t="str">
        <x:f>IF(511&gt;$H$4,"",IF(INDEX('Fleet dates'!$G$9:$G$1008,$I519-8)="","",INDEX('Fleet dates'!$G$9:$G$1008,$I519-8)))</x:f>
      </x:c>
      <x:c r="H519" s="50" t="str">
        <x:f>IF(511&gt;$H$4,"",IF(INDEX('Fleet dates'!$I$9:$I$1008,$I519-8)="","",INDEX('Fleet dates'!$I$9:$I$1008,$I519-8)))</x:f>
      </x:c>
      <x:c r="I519" t="str">
        <x:f>IF(511&gt;$H$4,"",MATCH(511,'Fleet dates'!$J$9:$J$1008,0)+8)</x:f>
      </x:c>
    </x:row>
    <x:row r="520" ht="36" customHeight="1">
      <x:c r="A520" s="50" t="str">
        <x:f>IF(512&gt;$H$4,"",IF(INDEX('Fleet dates'!$A$9:$A$1008,$I520-8)="","",INDEX('Fleet dates'!$A$9:$A$1008,$I520-8)))</x:f>
      </x:c>
      <x:c r="B520" s="50" t="str">
        <x:f>IF(512&gt;$H$4,"",IF(INDEX('Fleet dates'!$B$9:$B$1008,$I520-8)="","",INDEX('Fleet dates'!$B$9:$B$1008,$I520-8)))</x:f>
      </x:c>
      <x:c r="C520" s="51" t="str">
        <x:f>IF(512&gt;$H$4,"",IF(INDEX('Fleet dates'!$C$9:$C$1008,$I520-8)="","",INDEX('Fleet dates'!$C$9:$C$1008,$I520-8)))</x:f>
      </x:c>
      <x:c r="D520" s="51" t="str">
        <x:f>IF(512&gt;$H$4,"",IF(INDEX('Fleet dates'!$D$9:$D$1008,$I520-8)="","",INDEX('Fleet dates'!$D$9:$D$1008,$I520-8)))</x:f>
      </x:c>
      <x:c r="E520" s="51" t="str">
        <x:f>IF(512&gt;$H$4,"",IF(INDEX('Fleet dates'!$E$9:$E$1008,$I520-8)="","",INDEX('Fleet dates'!$E$9:$E$1008,$I520-8)))</x:f>
      </x:c>
      <x:c r="F520" s="51" t="str">
        <x:f>IF(512&gt;$H$4,"",IF(INDEX('Fleet dates'!$F$9:$F$1008,$I520-8)="","",INDEX('Fleet dates'!$F$9:$F$1008,$I520-8)))</x:f>
      </x:c>
      <x:c r="G520" s="50" t="str">
        <x:f>IF(512&gt;$H$4,"",IF(INDEX('Fleet dates'!$G$9:$G$1008,$I520-8)="","",INDEX('Fleet dates'!$G$9:$G$1008,$I520-8)))</x:f>
      </x:c>
      <x:c r="H520" s="50" t="str">
        <x:f>IF(512&gt;$H$4,"",IF(INDEX('Fleet dates'!$I$9:$I$1008,$I520-8)="","",INDEX('Fleet dates'!$I$9:$I$1008,$I520-8)))</x:f>
      </x:c>
      <x:c r="I520" t="str">
        <x:f>IF(512&gt;$H$4,"",MATCH(512,'Fleet dates'!$J$9:$J$1008,0)+8)</x:f>
      </x:c>
    </x:row>
    <x:row r="521" ht="36" customHeight="1">
      <x:c r="A521" s="50" t="str">
        <x:f>IF(513&gt;$H$4,"",IF(INDEX('Fleet dates'!$A$9:$A$1008,$I521-8)="","",INDEX('Fleet dates'!$A$9:$A$1008,$I521-8)))</x:f>
      </x:c>
      <x:c r="B521" s="50" t="str">
        <x:f>IF(513&gt;$H$4,"",IF(INDEX('Fleet dates'!$B$9:$B$1008,$I521-8)="","",INDEX('Fleet dates'!$B$9:$B$1008,$I521-8)))</x:f>
      </x:c>
      <x:c r="C521" s="51" t="str">
        <x:f>IF(513&gt;$H$4,"",IF(INDEX('Fleet dates'!$C$9:$C$1008,$I521-8)="","",INDEX('Fleet dates'!$C$9:$C$1008,$I521-8)))</x:f>
      </x:c>
      <x:c r="D521" s="51" t="str">
        <x:f>IF(513&gt;$H$4,"",IF(INDEX('Fleet dates'!$D$9:$D$1008,$I521-8)="","",INDEX('Fleet dates'!$D$9:$D$1008,$I521-8)))</x:f>
      </x:c>
      <x:c r="E521" s="51" t="str">
        <x:f>IF(513&gt;$H$4,"",IF(INDEX('Fleet dates'!$E$9:$E$1008,$I521-8)="","",INDEX('Fleet dates'!$E$9:$E$1008,$I521-8)))</x:f>
      </x:c>
      <x:c r="F521" s="51" t="str">
        <x:f>IF(513&gt;$H$4,"",IF(INDEX('Fleet dates'!$F$9:$F$1008,$I521-8)="","",INDEX('Fleet dates'!$F$9:$F$1008,$I521-8)))</x:f>
      </x:c>
      <x:c r="G521" s="50" t="str">
        <x:f>IF(513&gt;$H$4,"",IF(INDEX('Fleet dates'!$G$9:$G$1008,$I521-8)="","",INDEX('Fleet dates'!$G$9:$G$1008,$I521-8)))</x:f>
      </x:c>
      <x:c r="H521" s="50" t="str">
        <x:f>IF(513&gt;$H$4,"",IF(INDEX('Fleet dates'!$I$9:$I$1008,$I521-8)="","",INDEX('Fleet dates'!$I$9:$I$1008,$I521-8)))</x:f>
      </x:c>
      <x:c r="I521" t="str">
        <x:f>IF(513&gt;$H$4,"",MATCH(513,'Fleet dates'!$J$9:$J$1008,0)+8)</x:f>
      </x:c>
    </x:row>
    <x:row r="522" ht="36" customHeight="1">
      <x:c r="A522" s="50" t="str">
        <x:f>IF(514&gt;$H$4,"",IF(INDEX('Fleet dates'!$A$9:$A$1008,$I522-8)="","",INDEX('Fleet dates'!$A$9:$A$1008,$I522-8)))</x:f>
      </x:c>
      <x:c r="B522" s="50" t="str">
        <x:f>IF(514&gt;$H$4,"",IF(INDEX('Fleet dates'!$B$9:$B$1008,$I522-8)="","",INDEX('Fleet dates'!$B$9:$B$1008,$I522-8)))</x:f>
      </x:c>
      <x:c r="C522" s="51" t="str">
        <x:f>IF(514&gt;$H$4,"",IF(INDEX('Fleet dates'!$C$9:$C$1008,$I522-8)="","",INDEX('Fleet dates'!$C$9:$C$1008,$I522-8)))</x:f>
      </x:c>
      <x:c r="D522" s="51" t="str">
        <x:f>IF(514&gt;$H$4,"",IF(INDEX('Fleet dates'!$D$9:$D$1008,$I522-8)="","",INDEX('Fleet dates'!$D$9:$D$1008,$I522-8)))</x:f>
      </x:c>
      <x:c r="E522" s="51" t="str">
        <x:f>IF(514&gt;$H$4,"",IF(INDEX('Fleet dates'!$E$9:$E$1008,$I522-8)="","",INDEX('Fleet dates'!$E$9:$E$1008,$I522-8)))</x:f>
      </x:c>
      <x:c r="F522" s="51" t="str">
        <x:f>IF(514&gt;$H$4,"",IF(INDEX('Fleet dates'!$F$9:$F$1008,$I522-8)="","",INDEX('Fleet dates'!$F$9:$F$1008,$I522-8)))</x:f>
      </x:c>
      <x:c r="G522" s="50" t="str">
        <x:f>IF(514&gt;$H$4,"",IF(INDEX('Fleet dates'!$G$9:$G$1008,$I522-8)="","",INDEX('Fleet dates'!$G$9:$G$1008,$I522-8)))</x:f>
      </x:c>
      <x:c r="H522" s="50" t="str">
        <x:f>IF(514&gt;$H$4,"",IF(INDEX('Fleet dates'!$I$9:$I$1008,$I522-8)="","",INDEX('Fleet dates'!$I$9:$I$1008,$I522-8)))</x:f>
      </x:c>
      <x:c r="I522" t="str">
        <x:f>IF(514&gt;$H$4,"",MATCH(514,'Fleet dates'!$J$9:$J$1008,0)+8)</x:f>
      </x:c>
    </x:row>
    <x:row r="523" ht="36" customHeight="1">
      <x:c r="A523" s="50" t="str">
        <x:f>IF(515&gt;$H$4,"",IF(INDEX('Fleet dates'!$A$9:$A$1008,$I523-8)="","",INDEX('Fleet dates'!$A$9:$A$1008,$I523-8)))</x:f>
      </x:c>
      <x:c r="B523" s="50" t="str">
        <x:f>IF(515&gt;$H$4,"",IF(INDEX('Fleet dates'!$B$9:$B$1008,$I523-8)="","",INDEX('Fleet dates'!$B$9:$B$1008,$I523-8)))</x:f>
      </x:c>
      <x:c r="C523" s="51" t="str">
        <x:f>IF(515&gt;$H$4,"",IF(INDEX('Fleet dates'!$C$9:$C$1008,$I523-8)="","",INDEX('Fleet dates'!$C$9:$C$1008,$I523-8)))</x:f>
      </x:c>
      <x:c r="D523" s="51" t="str">
        <x:f>IF(515&gt;$H$4,"",IF(INDEX('Fleet dates'!$D$9:$D$1008,$I523-8)="","",INDEX('Fleet dates'!$D$9:$D$1008,$I523-8)))</x:f>
      </x:c>
      <x:c r="E523" s="51" t="str">
        <x:f>IF(515&gt;$H$4,"",IF(INDEX('Fleet dates'!$E$9:$E$1008,$I523-8)="","",INDEX('Fleet dates'!$E$9:$E$1008,$I523-8)))</x:f>
      </x:c>
      <x:c r="F523" s="51" t="str">
        <x:f>IF(515&gt;$H$4,"",IF(INDEX('Fleet dates'!$F$9:$F$1008,$I523-8)="","",INDEX('Fleet dates'!$F$9:$F$1008,$I523-8)))</x:f>
      </x:c>
      <x:c r="G523" s="50" t="str">
        <x:f>IF(515&gt;$H$4,"",IF(INDEX('Fleet dates'!$G$9:$G$1008,$I523-8)="","",INDEX('Fleet dates'!$G$9:$G$1008,$I523-8)))</x:f>
      </x:c>
      <x:c r="H523" s="50" t="str">
        <x:f>IF(515&gt;$H$4,"",IF(INDEX('Fleet dates'!$I$9:$I$1008,$I523-8)="","",INDEX('Fleet dates'!$I$9:$I$1008,$I523-8)))</x:f>
      </x:c>
      <x:c r="I523" t="str">
        <x:f>IF(515&gt;$H$4,"",MATCH(515,'Fleet dates'!$J$9:$J$1008,0)+8)</x:f>
      </x:c>
    </x:row>
    <x:row r="524" ht="36" customHeight="1">
      <x:c r="A524" s="50" t="str">
        <x:f>IF(516&gt;$H$4,"",IF(INDEX('Fleet dates'!$A$9:$A$1008,$I524-8)="","",INDEX('Fleet dates'!$A$9:$A$1008,$I524-8)))</x:f>
      </x:c>
      <x:c r="B524" s="50" t="str">
        <x:f>IF(516&gt;$H$4,"",IF(INDEX('Fleet dates'!$B$9:$B$1008,$I524-8)="","",INDEX('Fleet dates'!$B$9:$B$1008,$I524-8)))</x:f>
      </x:c>
      <x:c r="C524" s="51" t="str">
        <x:f>IF(516&gt;$H$4,"",IF(INDEX('Fleet dates'!$C$9:$C$1008,$I524-8)="","",INDEX('Fleet dates'!$C$9:$C$1008,$I524-8)))</x:f>
      </x:c>
      <x:c r="D524" s="51" t="str">
        <x:f>IF(516&gt;$H$4,"",IF(INDEX('Fleet dates'!$D$9:$D$1008,$I524-8)="","",INDEX('Fleet dates'!$D$9:$D$1008,$I524-8)))</x:f>
      </x:c>
      <x:c r="E524" s="51" t="str">
        <x:f>IF(516&gt;$H$4,"",IF(INDEX('Fleet dates'!$E$9:$E$1008,$I524-8)="","",INDEX('Fleet dates'!$E$9:$E$1008,$I524-8)))</x:f>
      </x:c>
      <x:c r="F524" s="51" t="str">
        <x:f>IF(516&gt;$H$4,"",IF(INDEX('Fleet dates'!$F$9:$F$1008,$I524-8)="","",INDEX('Fleet dates'!$F$9:$F$1008,$I524-8)))</x:f>
      </x:c>
      <x:c r="G524" s="50" t="str">
        <x:f>IF(516&gt;$H$4,"",IF(INDEX('Fleet dates'!$G$9:$G$1008,$I524-8)="","",INDEX('Fleet dates'!$G$9:$G$1008,$I524-8)))</x:f>
      </x:c>
      <x:c r="H524" s="50" t="str">
        <x:f>IF(516&gt;$H$4,"",IF(INDEX('Fleet dates'!$I$9:$I$1008,$I524-8)="","",INDEX('Fleet dates'!$I$9:$I$1008,$I524-8)))</x:f>
      </x:c>
      <x:c r="I524" t="str">
        <x:f>IF(516&gt;$H$4,"",MATCH(516,'Fleet dates'!$J$9:$J$1008,0)+8)</x:f>
      </x:c>
    </x:row>
    <x:row r="525" ht="36" customHeight="1">
      <x:c r="A525" s="50" t="str">
        <x:f>IF(517&gt;$H$4,"",IF(INDEX('Fleet dates'!$A$9:$A$1008,$I525-8)="","",INDEX('Fleet dates'!$A$9:$A$1008,$I525-8)))</x:f>
      </x:c>
      <x:c r="B525" s="50" t="str">
        <x:f>IF(517&gt;$H$4,"",IF(INDEX('Fleet dates'!$B$9:$B$1008,$I525-8)="","",INDEX('Fleet dates'!$B$9:$B$1008,$I525-8)))</x:f>
      </x:c>
      <x:c r="C525" s="51" t="str">
        <x:f>IF(517&gt;$H$4,"",IF(INDEX('Fleet dates'!$C$9:$C$1008,$I525-8)="","",INDEX('Fleet dates'!$C$9:$C$1008,$I525-8)))</x:f>
      </x:c>
      <x:c r="D525" s="51" t="str">
        <x:f>IF(517&gt;$H$4,"",IF(INDEX('Fleet dates'!$D$9:$D$1008,$I525-8)="","",INDEX('Fleet dates'!$D$9:$D$1008,$I525-8)))</x:f>
      </x:c>
      <x:c r="E525" s="51" t="str">
        <x:f>IF(517&gt;$H$4,"",IF(INDEX('Fleet dates'!$E$9:$E$1008,$I525-8)="","",INDEX('Fleet dates'!$E$9:$E$1008,$I525-8)))</x:f>
      </x:c>
      <x:c r="F525" s="51" t="str">
        <x:f>IF(517&gt;$H$4,"",IF(INDEX('Fleet dates'!$F$9:$F$1008,$I525-8)="","",INDEX('Fleet dates'!$F$9:$F$1008,$I525-8)))</x:f>
      </x:c>
      <x:c r="G525" s="50" t="str">
        <x:f>IF(517&gt;$H$4,"",IF(INDEX('Fleet dates'!$G$9:$G$1008,$I525-8)="","",INDEX('Fleet dates'!$G$9:$G$1008,$I525-8)))</x:f>
      </x:c>
      <x:c r="H525" s="50" t="str">
        <x:f>IF(517&gt;$H$4,"",IF(INDEX('Fleet dates'!$I$9:$I$1008,$I525-8)="","",INDEX('Fleet dates'!$I$9:$I$1008,$I525-8)))</x:f>
      </x:c>
      <x:c r="I525" t="str">
        <x:f>IF(517&gt;$H$4,"",MATCH(517,'Fleet dates'!$J$9:$J$1008,0)+8)</x:f>
      </x:c>
    </x:row>
    <x:row r="526" ht="36" customHeight="1">
      <x:c r="A526" s="50" t="str">
        <x:f>IF(518&gt;$H$4,"",IF(INDEX('Fleet dates'!$A$9:$A$1008,$I526-8)="","",INDEX('Fleet dates'!$A$9:$A$1008,$I526-8)))</x:f>
      </x:c>
      <x:c r="B526" s="50" t="str">
        <x:f>IF(518&gt;$H$4,"",IF(INDEX('Fleet dates'!$B$9:$B$1008,$I526-8)="","",INDEX('Fleet dates'!$B$9:$B$1008,$I526-8)))</x:f>
      </x:c>
      <x:c r="C526" s="51" t="str">
        <x:f>IF(518&gt;$H$4,"",IF(INDEX('Fleet dates'!$C$9:$C$1008,$I526-8)="","",INDEX('Fleet dates'!$C$9:$C$1008,$I526-8)))</x:f>
      </x:c>
      <x:c r="D526" s="51" t="str">
        <x:f>IF(518&gt;$H$4,"",IF(INDEX('Fleet dates'!$D$9:$D$1008,$I526-8)="","",INDEX('Fleet dates'!$D$9:$D$1008,$I526-8)))</x:f>
      </x:c>
      <x:c r="E526" s="51" t="str">
        <x:f>IF(518&gt;$H$4,"",IF(INDEX('Fleet dates'!$E$9:$E$1008,$I526-8)="","",INDEX('Fleet dates'!$E$9:$E$1008,$I526-8)))</x:f>
      </x:c>
      <x:c r="F526" s="51" t="str">
        <x:f>IF(518&gt;$H$4,"",IF(INDEX('Fleet dates'!$F$9:$F$1008,$I526-8)="","",INDEX('Fleet dates'!$F$9:$F$1008,$I526-8)))</x:f>
      </x:c>
      <x:c r="G526" s="50" t="str">
        <x:f>IF(518&gt;$H$4,"",IF(INDEX('Fleet dates'!$G$9:$G$1008,$I526-8)="","",INDEX('Fleet dates'!$G$9:$G$1008,$I526-8)))</x:f>
      </x:c>
      <x:c r="H526" s="50" t="str">
        <x:f>IF(518&gt;$H$4,"",IF(INDEX('Fleet dates'!$I$9:$I$1008,$I526-8)="","",INDEX('Fleet dates'!$I$9:$I$1008,$I526-8)))</x:f>
      </x:c>
      <x:c r="I526" t="str">
        <x:f>IF(518&gt;$H$4,"",MATCH(518,'Fleet dates'!$J$9:$J$1008,0)+8)</x:f>
      </x:c>
    </x:row>
    <x:row r="527" ht="36" customHeight="1">
      <x:c r="A527" s="50" t="str">
        <x:f>IF(519&gt;$H$4,"",IF(INDEX('Fleet dates'!$A$9:$A$1008,$I527-8)="","",INDEX('Fleet dates'!$A$9:$A$1008,$I527-8)))</x:f>
      </x:c>
      <x:c r="B527" s="50" t="str">
        <x:f>IF(519&gt;$H$4,"",IF(INDEX('Fleet dates'!$B$9:$B$1008,$I527-8)="","",INDEX('Fleet dates'!$B$9:$B$1008,$I527-8)))</x:f>
      </x:c>
      <x:c r="C527" s="51" t="str">
        <x:f>IF(519&gt;$H$4,"",IF(INDEX('Fleet dates'!$C$9:$C$1008,$I527-8)="","",INDEX('Fleet dates'!$C$9:$C$1008,$I527-8)))</x:f>
      </x:c>
      <x:c r="D527" s="51" t="str">
        <x:f>IF(519&gt;$H$4,"",IF(INDEX('Fleet dates'!$D$9:$D$1008,$I527-8)="","",INDEX('Fleet dates'!$D$9:$D$1008,$I527-8)))</x:f>
      </x:c>
      <x:c r="E527" s="51" t="str">
        <x:f>IF(519&gt;$H$4,"",IF(INDEX('Fleet dates'!$E$9:$E$1008,$I527-8)="","",INDEX('Fleet dates'!$E$9:$E$1008,$I527-8)))</x:f>
      </x:c>
      <x:c r="F527" s="51" t="str">
        <x:f>IF(519&gt;$H$4,"",IF(INDEX('Fleet dates'!$F$9:$F$1008,$I527-8)="","",INDEX('Fleet dates'!$F$9:$F$1008,$I527-8)))</x:f>
      </x:c>
      <x:c r="G527" s="50" t="str">
        <x:f>IF(519&gt;$H$4,"",IF(INDEX('Fleet dates'!$G$9:$G$1008,$I527-8)="","",INDEX('Fleet dates'!$G$9:$G$1008,$I527-8)))</x:f>
      </x:c>
      <x:c r="H527" s="50" t="str">
        <x:f>IF(519&gt;$H$4,"",IF(INDEX('Fleet dates'!$I$9:$I$1008,$I527-8)="","",INDEX('Fleet dates'!$I$9:$I$1008,$I527-8)))</x:f>
      </x:c>
      <x:c r="I527" t="str">
        <x:f>IF(519&gt;$H$4,"",MATCH(519,'Fleet dates'!$J$9:$J$1008,0)+8)</x:f>
      </x:c>
    </x:row>
    <x:row r="528" ht="36" customHeight="1">
      <x:c r="A528" s="50" t="str">
        <x:f>IF(520&gt;$H$4,"",IF(INDEX('Fleet dates'!$A$9:$A$1008,$I528-8)="","",INDEX('Fleet dates'!$A$9:$A$1008,$I528-8)))</x:f>
      </x:c>
      <x:c r="B528" s="50" t="str">
        <x:f>IF(520&gt;$H$4,"",IF(INDEX('Fleet dates'!$B$9:$B$1008,$I528-8)="","",INDEX('Fleet dates'!$B$9:$B$1008,$I528-8)))</x:f>
      </x:c>
      <x:c r="C528" s="51" t="str">
        <x:f>IF(520&gt;$H$4,"",IF(INDEX('Fleet dates'!$C$9:$C$1008,$I528-8)="","",INDEX('Fleet dates'!$C$9:$C$1008,$I528-8)))</x:f>
      </x:c>
      <x:c r="D528" s="51" t="str">
        <x:f>IF(520&gt;$H$4,"",IF(INDEX('Fleet dates'!$D$9:$D$1008,$I528-8)="","",INDEX('Fleet dates'!$D$9:$D$1008,$I528-8)))</x:f>
      </x:c>
      <x:c r="E528" s="51" t="str">
        <x:f>IF(520&gt;$H$4,"",IF(INDEX('Fleet dates'!$E$9:$E$1008,$I528-8)="","",INDEX('Fleet dates'!$E$9:$E$1008,$I528-8)))</x:f>
      </x:c>
      <x:c r="F528" s="51" t="str">
        <x:f>IF(520&gt;$H$4,"",IF(INDEX('Fleet dates'!$F$9:$F$1008,$I528-8)="","",INDEX('Fleet dates'!$F$9:$F$1008,$I528-8)))</x:f>
      </x:c>
      <x:c r="G528" s="50" t="str">
        <x:f>IF(520&gt;$H$4,"",IF(INDEX('Fleet dates'!$G$9:$G$1008,$I528-8)="","",INDEX('Fleet dates'!$G$9:$G$1008,$I528-8)))</x:f>
      </x:c>
      <x:c r="H528" s="50" t="str">
        <x:f>IF(520&gt;$H$4,"",IF(INDEX('Fleet dates'!$I$9:$I$1008,$I528-8)="","",INDEX('Fleet dates'!$I$9:$I$1008,$I528-8)))</x:f>
      </x:c>
      <x:c r="I528" t="str">
        <x:f>IF(520&gt;$H$4,"",MATCH(520,'Fleet dates'!$J$9:$J$1008,0)+8)</x:f>
      </x:c>
    </x:row>
    <x:row r="529" ht="36" customHeight="1">
      <x:c r="A529" s="50" t="str">
        <x:f>IF(521&gt;$H$4,"",IF(INDEX('Fleet dates'!$A$9:$A$1008,$I529-8)="","",INDEX('Fleet dates'!$A$9:$A$1008,$I529-8)))</x:f>
      </x:c>
      <x:c r="B529" s="50" t="str">
        <x:f>IF(521&gt;$H$4,"",IF(INDEX('Fleet dates'!$B$9:$B$1008,$I529-8)="","",INDEX('Fleet dates'!$B$9:$B$1008,$I529-8)))</x:f>
      </x:c>
      <x:c r="C529" s="51" t="str">
        <x:f>IF(521&gt;$H$4,"",IF(INDEX('Fleet dates'!$C$9:$C$1008,$I529-8)="","",INDEX('Fleet dates'!$C$9:$C$1008,$I529-8)))</x:f>
      </x:c>
      <x:c r="D529" s="51" t="str">
        <x:f>IF(521&gt;$H$4,"",IF(INDEX('Fleet dates'!$D$9:$D$1008,$I529-8)="","",INDEX('Fleet dates'!$D$9:$D$1008,$I529-8)))</x:f>
      </x:c>
      <x:c r="E529" s="51" t="str">
        <x:f>IF(521&gt;$H$4,"",IF(INDEX('Fleet dates'!$E$9:$E$1008,$I529-8)="","",INDEX('Fleet dates'!$E$9:$E$1008,$I529-8)))</x:f>
      </x:c>
      <x:c r="F529" s="51" t="str">
        <x:f>IF(521&gt;$H$4,"",IF(INDEX('Fleet dates'!$F$9:$F$1008,$I529-8)="","",INDEX('Fleet dates'!$F$9:$F$1008,$I529-8)))</x:f>
      </x:c>
      <x:c r="G529" s="50" t="str">
        <x:f>IF(521&gt;$H$4,"",IF(INDEX('Fleet dates'!$G$9:$G$1008,$I529-8)="","",INDEX('Fleet dates'!$G$9:$G$1008,$I529-8)))</x:f>
      </x:c>
      <x:c r="H529" s="50" t="str">
        <x:f>IF(521&gt;$H$4,"",IF(INDEX('Fleet dates'!$I$9:$I$1008,$I529-8)="","",INDEX('Fleet dates'!$I$9:$I$1008,$I529-8)))</x:f>
      </x:c>
      <x:c r="I529" t="str">
        <x:f>IF(521&gt;$H$4,"",MATCH(521,'Fleet dates'!$J$9:$J$1008,0)+8)</x:f>
      </x:c>
    </x:row>
    <x:row r="530" ht="36" customHeight="1">
      <x:c r="A530" s="50" t="str">
        <x:f>IF(522&gt;$H$4,"",IF(INDEX('Fleet dates'!$A$9:$A$1008,$I530-8)="","",INDEX('Fleet dates'!$A$9:$A$1008,$I530-8)))</x:f>
      </x:c>
      <x:c r="B530" s="50" t="str">
        <x:f>IF(522&gt;$H$4,"",IF(INDEX('Fleet dates'!$B$9:$B$1008,$I530-8)="","",INDEX('Fleet dates'!$B$9:$B$1008,$I530-8)))</x:f>
      </x:c>
      <x:c r="C530" s="51" t="str">
        <x:f>IF(522&gt;$H$4,"",IF(INDEX('Fleet dates'!$C$9:$C$1008,$I530-8)="","",INDEX('Fleet dates'!$C$9:$C$1008,$I530-8)))</x:f>
      </x:c>
      <x:c r="D530" s="51" t="str">
        <x:f>IF(522&gt;$H$4,"",IF(INDEX('Fleet dates'!$D$9:$D$1008,$I530-8)="","",INDEX('Fleet dates'!$D$9:$D$1008,$I530-8)))</x:f>
      </x:c>
      <x:c r="E530" s="51" t="str">
        <x:f>IF(522&gt;$H$4,"",IF(INDEX('Fleet dates'!$E$9:$E$1008,$I530-8)="","",INDEX('Fleet dates'!$E$9:$E$1008,$I530-8)))</x:f>
      </x:c>
      <x:c r="F530" s="51" t="str">
        <x:f>IF(522&gt;$H$4,"",IF(INDEX('Fleet dates'!$F$9:$F$1008,$I530-8)="","",INDEX('Fleet dates'!$F$9:$F$1008,$I530-8)))</x:f>
      </x:c>
      <x:c r="G530" s="50" t="str">
        <x:f>IF(522&gt;$H$4,"",IF(INDEX('Fleet dates'!$G$9:$G$1008,$I530-8)="","",INDEX('Fleet dates'!$G$9:$G$1008,$I530-8)))</x:f>
      </x:c>
      <x:c r="H530" s="50" t="str">
        <x:f>IF(522&gt;$H$4,"",IF(INDEX('Fleet dates'!$I$9:$I$1008,$I530-8)="","",INDEX('Fleet dates'!$I$9:$I$1008,$I530-8)))</x:f>
      </x:c>
      <x:c r="I530" t="str">
        <x:f>IF(522&gt;$H$4,"",MATCH(522,'Fleet dates'!$J$9:$J$1008,0)+8)</x:f>
      </x:c>
    </x:row>
    <x:row r="531" ht="36" customHeight="1">
      <x:c r="A531" s="50" t="str">
        <x:f>IF(523&gt;$H$4,"",IF(INDEX('Fleet dates'!$A$9:$A$1008,$I531-8)="","",INDEX('Fleet dates'!$A$9:$A$1008,$I531-8)))</x:f>
      </x:c>
      <x:c r="B531" s="50" t="str">
        <x:f>IF(523&gt;$H$4,"",IF(INDEX('Fleet dates'!$B$9:$B$1008,$I531-8)="","",INDEX('Fleet dates'!$B$9:$B$1008,$I531-8)))</x:f>
      </x:c>
      <x:c r="C531" s="51" t="str">
        <x:f>IF(523&gt;$H$4,"",IF(INDEX('Fleet dates'!$C$9:$C$1008,$I531-8)="","",INDEX('Fleet dates'!$C$9:$C$1008,$I531-8)))</x:f>
      </x:c>
      <x:c r="D531" s="51" t="str">
        <x:f>IF(523&gt;$H$4,"",IF(INDEX('Fleet dates'!$D$9:$D$1008,$I531-8)="","",INDEX('Fleet dates'!$D$9:$D$1008,$I531-8)))</x:f>
      </x:c>
      <x:c r="E531" s="51" t="str">
        <x:f>IF(523&gt;$H$4,"",IF(INDEX('Fleet dates'!$E$9:$E$1008,$I531-8)="","",INDEX('Fleet dates'!$E$9:$E$1008,$I531-8)))</x:f>
      </x:c>
      <x:c r="F531" s="51" t="str">
        <x:f>IF(523&gt;$H$4,"",IF(INDEX('Fleet dates'!$F$9:$F$1008,$I531-8)="","",INDEX('Fleet dates'!$F$9:$F$1008,$I531-8)))</x:f>
      </x:c>
      <x:c r="G531" s="50" t="str">
        <x:f>IF(523&gt;$H$4,"",IF(INDEX('Fleet dates'!$G$9:$G$1008,$I531-8)="","",INDEX('Fleet dates'!$G$9:$G$1008,$I531-8)))</x:f>
      </x:c>
      <x:c r="H531" s="50" t="str">
        <x:f>IF(523&gt;$H$4,"",IF(INDEX('Fleet dates'!$I$9:$I$1008,$I531-8)="","",INDEX('Fleet dates'!$I$9:$I$1008,$I531-8)))</x:f>
      </x:c>
      <x:c r="I531" t="str">
        <x:f>IF(523&gt;$H$4,"",MATCH(523,'Fleet dates'!$J$9:$J$1008,0)+8)</x:f>
      </x:c>
    </x:row>
    <x:row r="532" ht="36" customHeight="1">
      <x:c r="A532" s="50" t="str">
        <x:f>IF(524&gt;$H$4,"",IF(INDEX('Fleet dates'!$A$9:$A$1008,$I532-8)="","",INDEX('Fleet dates'!$A$9:$A$1008,$I532-8)))</x:f>
      </x:c>
      <x:c r="B532" s="50" t="str">
        <x:f>IF(524&gt;$H$4,"",IF(INDEX('Fleet dates'!$B$9:$B$1008,$I532-8)="","",INDEX('Fleet dates'!$B$9:$B$1008,$I532-8)))</x:f>
      </x:c>
      <x:c r="C532" s="51" t="str">
        <x:f>IF(524&gt;$H$4,"",IF(INDEX('Fleet dates'!$C$9:$C$1008,$I532-8)="","",INDEX('Fleet dates'!$C$9:$C$1008,$I532-8)))</x:f>
      </x:c>
      <x:c r="D532" s="51" t="str">
        <x:f>IF(524&gt;$H$4,"",IF(INDEX('Fleet dates'!$D$9:$D$1008,$I532-8)="","",INDEX('Fleet dates'!$D$9:$D$1008,$I532-8)))</x:f>
      </x:c>
      <x:c r="E532" s="51" t="str">
        <x:f>IF(524&gt;$H$4,"",IF(INDEX('Fleet dates'!$E$9:$E$1008,$I532-8)="","",INDEX('Fleet dates'!$E$9:$E$1008,$I532-8)))</x:f>
      </x:c>
      <x:c r="F532" s="51" t="str">
        <x:f>IF(524&gt;$H$4,"",IF(INDEX('Fleet dates'!$F$9:$F$1008,$I532-8)="","",INDEX('Fleet dates'!$F$9:$F$1008,$I532-8)))</x:f>
      </x:c>
      <x:c r="G532" s="50" t="str">
        <x:f>IF(524&gt;$H$4,"",IF(INDEX('Fleet dates'!$G$9:$G$1008,$I532-8)="","",INDEX('Fleet dates'!$G$9:$G$1008,$I532-8)))</x:f>
      </x:c>
      <x:c r="H532" s="50" t="str">
        <x:f>IF(524&gt;$H$4,"",IF(INDEX('Fleet dates'!$I$9:$I$1008,$I532-8)="","",INDEX('Fleet dates'!$I$9:$I$1008,$I532-8)))</x:f>
      </x:c>
      <x:c r="I532" t="str">
        <x:f>IF(524&gt;$H$4,"",MATCH(524,'Fleet dates'!$J$9:$J$1008,0)+8)</x:f>
      </x:c>
    </x:row>
    <x:row r="533" ht="36" customHeight="1">
      <x:c r="A533" s="50" t="str">
        <x:f>IF(525&gt;$H$4,"",IF(INDEX('Fleet dates'!$A$9:$A$1008,$I533-8)="","",INDEX('Fleet dates'!$A$9:$A$1008,$I533-8)))</x:f>
      </x:c>
      <x:c r="B533" s="50" t="str">
        <x:f>IF(525&gt;$H$4,"",IF(INDEX('Fleet dates'!$B$9:$B$1008,$I533-8)="","",INDEX('Fleet dates'!$B$9:$B$1008,$I533-8)))</x:f>
      </x:c>
      <x:c r="C533" s="51" t="str">
        <x:f>IF(525&gt;$H$4,"",IF(INDEX('Fleet dates'!$C$9:$C$1008,$I533-8)="","",INDEX('Fleet dates'!$C$9:$C$1008,$I533-8)))</x:f>
      </x:c>
      <x:c r="D533" s="51" t="str">
        <x:f>IF(525&gt;$H$4,"",IF(INDEX('Fleet dates'!$D$9:$D$1008,$I533-8)="","",INDEX('Fleet dates'!$D$9:$D$1008,$I533-8)))</x:f>
      </x:c>
      <x:c r="E533" s="51" t="str">
        <x:f>IF(525&gt;$H$4,"",IF(INDEX('Fleet dates'!$E$9:$E$1008,$I533-8)="","",INDEX('Fleet dates'!$E$9:$E$1008,$I533-8)))</x:f>
      </x:c>
      <x:c r="F533" s="51" t="str">
        <x:f>IF(525&gt;$H$4,"",IF(INDEX('Fleet dates'!$F$9:$F$1008,$I533-8)="","",INDEX('Fleet dates'!$F$9:$F$1008,$I533-8)))</x:f>
      </x:c>
      <x:c r="G533" s="50" t="str">
        <x:f>IF(525&gt;$H$4,"",IF(INDEX('Fleet dates'!$G$9:$G$1008,$I533-8)="","",INDEX('Fleet dates'!$G$9:$G$1008,$I533-8)))</x:f>
      </x:c>
      <x:c r="H533" s="50" t="str">
        <x:f>IF(525&gt;$H$4,"",IF(INDEX('Fleet dates'!$I$9:$I$1008,$I533-8)="","",INDEX('Fleet dates'!$I$9:$I$1008,$I533-8)))</x:f>
      </x:c>
      <x:c r="I533" t="str">
        <x:f>IF(525&gt;$H$4,"",MATCH(525,'Fleet dates'!$J$9:$J$1008,0)+8)</x:f>
      </x:c>
    </x:row>
    <x:row r="534" ht="36" customHeight="1">
      <x:c r="A534" s="50" t="str">
        <x:f>IF(526&gt;$H$4,"",IF(INDEX('Fleet dates'!$A$9:$A$1008,$I534-8)="","",INDEX('Fleet dates'!$A$9:$A$1008,$I534-8)))</x:f>
      </x:c>
      <x:c r="B534" s="50" t="str">
        <x:f>IF(526&gt;$H$4,"",IF(INDEX('Fleet dates'!$B$9:$B$1008,$I534-8)="","",INDEX('Fleet dates'!$B$9:$B$1008,$I534-8)))</x:f>
      </x:c>
      <x:c r="C534" s="51" t="str">
        <x:f>IF(526&gt;$H$4,"",IF(INDEX('Fleet dates'!$C$9:$C$1008,$I534-8)="","",INDEX('Fleet dates'!$C$9:$C$1008,$I534-8)))</x:f>
      </x:c>
      <x:c r="D534" s="51" t="str">
        <x:f>IF(526&gt;$H$4,"",IF(INDEX('Fleet dates'!$D$9:$D$1008,$I534-8)="","",INDEX('Fleet dates'!$D$9:$D$1008,$I534-8)))</x:f>
      </x:c>
      <x:c r="E534" s="51" t="str">
        <x:f>IF(526&gt;$H$4,"",IF(INDEX('Fleet dates'!$E$9:$E$1008,$I534-8)="","",INDEX('Fleet dates'!$E$9:$E$1008,$I534-8)))</x:f>
      </x:c>
      <x:c r="F534" s="51" t="str">
        <x:f>IF(526&gt;$H$4,"",IF(INDEX('Fleet dates'!$F$9:$F$1008,$I534-8)="","",INDEX('Fleet dates'!$F$9:$F$1008,$I534-8)))</x:f>
      </x:c>
      <x:c r="G534" s="50" t="str">
        <x:f>IF(526&gt;$H$4,"",IF(INDEX('Fleet dates'!$G$9:$G$1008,$I534-8)="","",INDEX('Fleet dates'!$G$9:$G$1008,$I534-8)))</x:f>
      </x:c>
      <x:c r="H534" s="50" t="str">
        <x:f>IF(526&gt;$H$4,"",IF(INDEX('Fleet dates'!$I$9:$I$1008,$I534-8)="","",INDEX('Fleet dates'!$I$9:$I$1008,$I534-8)))</x:f>
      </x:c>
      <x:c r="I534" t="str">
        <x:f>IF(526&gt;$H$4,"",MATCH(526,'Fleet dates'!$J$9:$J$1008,0)+8)</x:f>
      </x:c>
    </x:row>
    <x:row r="535" ht="36" customHeight="1">
      <x:c r="A535" s="50" t="str">
        <x:f>IF(527&gt;$H$4,"",IF(INDEX('Fleet dates'!$A$9:$A$1008,$I535-8)="","",INDEX('Fleet dates'!$A$9:$A$1008,$I535-8)))</x:f>
      </x:c>
      <x:c r="B535" s="50" t="str">
        <x:f>IF(527&gt;$H$4,"",IF(INDEX('Fleet dates'!$B$9:$B$1008,$I535-8)="","",INDEX('Fleet dates'!$B$9:$B$1008,$I535-8)))</x:f>
      </x:c>
      <x:c r="C535" s="51" t="str">
        <x:f>IF(527&gt;$H$4,"",IF(INDEX('Fleet dates'!$C$9:$C$1008,$I535-8)="","",INDEX('Fleet dates'!$C$9:$C$1008,$I535-8)))</x:f>
      </x:c>
      <x:c r="D535" s="51" t="str">
        <x:f>IF(527&gt;$H$4,"",IF(INDEX('Fleet dates'!$D$9:$D$1008,$I535-8)="","",INDEX('Fleet dates'!$D$9:$D$1008,$I535-8)))</x:f>
      </x:c>
      <x:c r="E535" s="51" t="str">
        <x:f>IF(527&gt;$H$4,"",IF(INDEX('Fleet dates'!$E$9:$E$1008,$I535-8)="","",INDEX('Fleet dates'!$E$9:$E$1008,$I535-8)))</x:f>
      </x:c>
      <x:c r="F535" s="51" t="str">
        <x:f>IF(527&gt;$H$4,"",IF(INDEX('Fleet dates'!$F$9:$F$1008,$I535-8)="","",INDEX('Fleet dates'!$F$9:$F$1008,$I535-8)))</x:f>
      </x:c>
      <x:c r="G535" s="50" t="str">
        <x:f>IF(527&gt;$H$4,"",IF(INDEX('Fleet dates'!$G$9:$G$1008,$I535-8)="","",INDEX('Fleet dates'!$G$9:$G$1008,$I535-8)))</x:f>
      </x:c>
      <x:c r="H535" s="50" t="str">
        <x:f>IF(527&gt;$H$4,"",IF(INDEX('Fleet dates'!$I$9:$I$1008,$I535-8)="","",INDEX('Fleet dates'!$I$9:$I$1008,$I535-8)))</x:f>
      </x:c>
      <x:c r="I535" t="str">
        <x:f>IF(527&gt;$H$4,"",MATCH(527,'Fleet dates'!$J$9:$J$1008,0)+8)</x:f>
      </x:c>
    </x:row>
    <x:row r="536" ht="36" customHeight="1">
      <x:c r="A536" s="50" t="str">
        <x:f>IF(528&gt;$H$4,"",IF(INDEX('Fleet dates'!$A$9:$A$1008,$I536-8)="","",INDEX('Fleet dates'!$A$9:$A$1008,$I536-8)))</x:f>
      </x:c>
      <x:c r="B536" s="50" t="str">
        <x:f>IF(528&gt;$H$4,"",IF(INDEX('Fleet dates'!$B$9:$B$1008,$I536-8)="","",INDEX('Fleet dates'!$B$9:$B$1008,$I536-8)))</x:f>
      </x:c>
      <x:c r="C536" s="51" t="str">
        <x:f>IF(528&gt;$H$4,"",IF(INDEX('Fleet dates'!$C$9:$C$1008,$I536-8)="","",INDEX('Fleet dates'!$C$9:$C$1008,$I536-8)))</x:f>
      </x:c>
      <x:c r="D536" s="51" t="str">
        <x:f>IF(528&gt;$H$4,"",IF(INDEX('Fleet dates'!$D$9:$D$1008,$I536-8)="","",INDEX('Fleet dates'!$D$9:$D$1008,$I536-8)))</x:f>
      </x:c>
      <x:c r="E536" s="51" t="str">
        <x:f>IF(528&gt;$H$4,"",IF(INDEX('Fleet dates'!$E$9:$E$1008,$I536-8)="","",INDEX('Fleet dates'!$E$9:$E$1008,$I536-8)))</x:f>
      </x:c>
      <x:c r="F536" s="51" t="str">
        <x:f>IF(528&gt;$H$4,"",IF(INDEX('Fleet dates'!$F$9:$F$1008,$I536-8)="","",INDEX('Fleet dates'!$F$9:$F$1008,$I536-8)))</x:f>
      </x:c>
      <x:c r="G536" s="50" t="str">
        <x:f>IF(528&gt;$H$4,"",IF(INDEX('Fleet dates'!$G$9:$G$1008,$I536-8)="","",INDEX('Fleet dates'!$G$9:$G$1008,$I536-8)))</x:f>
      </x:c>
      <x:c r="H536" s="50" t="str">
        <x:f>IF(528&gt;$H$4,"",IF(INDEX('Fleet dates'!$I$9:$I$1008,$I536-8)="","",INDEX('Fleet dates'!$I$9:$I$1008,$I536-8)))</x:f>
      </x:c>
      <x:c r="I536" t="str">
        <x:f>IF(528&gt;$H$4,"",MATCH(528,'Fleet dates'!$J$9:$J$1008,0)+8)</x:f>
      </x:c>
    </x:row>
    <x:row r="537" ht="36" customHeight="1">
      <x:c r="A537" s="50" t="str">
        <x:f>IF(529&gt;$H$4,"",IF(INDEX('Fleet dates'!$A$9:$A$1008,$I537-8)="","",INDEX('Fleet dates'!$A$9:$A$1008,$I537-8)))</x:f>
      </x:c>
      <x:c r="B537" s="50" t="str">
        <x:f>IF(529&gt;$H$4,"",IF(INDEX('Fleet dates'!$B$9:$B$1008,$I537-8)="","",INDEX('Fleet dates'!$B$9:$B$1008,$I537-8)))</x:f>
      </x:c>
      <x:c r="C537" s="51" t="str">
        <x:f>IF(529&gt;$H$4,"",IF(INDEX('Fleet dates'!$C$9:$C$1008,$I537-8)="","",INDEX('Fleet dates'!$C$9:$C$1008,$I537-8)))</x:f>
      </x:c>
      <x:c r="D537" s="51" t="str">
        <x:f>IF(529&gt;$H$4,"",IF(INDEX('Fleet dates'!$D$9:$D$1008,$I537-8)="","",INDEX('Fleet dates'!$D$9:$D$1008,$I537-8)))</x:f>
      </x:c>
      <x:c r="E537" s="51" t="str">
        <x:f>IF(529&gt;$H$4,"",IF(INDEX('Fleet dates'!$E$9:$E$1008,$I537-8)="","",INDEX('Fleet dates'!$E$9:$E$1008,$I537-8)))</x:f>
      </x:c>
      <x:c r="F537" s="51" t="str">
        <x:f>IF(529&gt;$H$4,"",IF(INDEX('Fleet dates'!$F$9:$F$1008,$I537-8)="","",INDEX('Fleet dates'!$F$9:$F$1008,$I537-8)))</x:f>
      </x:c>
      <x:c r="G537" s="50" t="str">
        <x:f>IF(529&gt;$H$4,"",IF(INDEX('Fleet dates'!$G$9:$G$1008,$I537-8)="","",INDEX('Fleet dates'!$G$9:$G$1008,$I537-8)))</x:f>
      </x:c>
      <x:c r="H537" s="50" t="str">
        <x:f>IF(529&gt;$H$4,"",IF(INDEX('Fleet dates'!$I$9:$I$1008,$I537-8)="","",INDEX('Fleet dates'!$I$9:$I$1008,$I537-8)))</x:f>
      </x:c>
      <x:c r="I537" t="str">
        <x:f>IF(529&gt;$H$4,"",MATCH(529,'Fleet dates'!$J$9:$J$1008,0)+8)</x:f>
      </x:c>
    </x:row>
    <x:row r="538" ht="36" customHeight="1">
      <x:c r="A538" s="50" t="str">
        <x:f>IF(530&gt;$H$4,"",IF(INDEX('Fleet dates'!$A$9:$A$1008,$I538-8)="","",INDEX('Fleet dates'!$A$9:$A$1008,$I538-8)))</x:f>
      </x:c>
      <x:c r="B538" s="50" t="str">
        <x:f>IF(530&gt;$H$4,"",IF(INDEX('Fleet dates'!$B$9:$B$1008,$I538-8)="","",INDEX('Fleet dates'!$B$9:$B$1008,$I538-8)))</x:f>
      </x:c>
      <x:c r="C538" s="51" t="str">
        <x:f>IF(530&gt;$H$4,"",IF(INDEX('Fleet dates'!$C$9:$C$1008,$I538-8)="","",INDEX('Fleet dates'!$C$9:$C$1008,$I538-8)))</x:f>
      </x:c>
      <x:c r="D538" s="51" t="str">
        <x:f>IF(530&gt;$H$4,"",IF(INDEX('Fleet dates'!$D$9:$D$1008,$I538-8)="","",INDEX('Fleet dates'!$D$9:$D$1008,$I538-8)))</x:f>
      </x:c>
      <x:c r="E538" s="51" t="str">
        <x:f>IF(530&gt;$H$4,"",IF(INDEX('Fleet dates'!$E$9:$E$1008,$I538-8)="","",INDEX('Fleet dates'!$E$9:$E$1008,$I538-8)))</x:f>
      </x:c>
      <x:c r="F538" s="51" t="str">
        <x:f>IF(530&gt;$H$4,"",IF(INDEX('Fleet dates'!$F$9:$F$1008,$I538-8)="","",INDEX('Fleet dates'!$F$9:$F$1008,$I538-8)))</x:f>
      </x:c>
      <x:c r="G538" s="50" t="str">
        <x:f>IF(530&gt;$H$4,"",IF(INDEX('Fleet dates'!$G$9:$G$1008,$I538-8)="","",INDEX('Fleet dates'!$G$9:$G$1008,$I538-8)))</x:f>
      </x:c>
      <x:c r="H538" s="50" t="str">
        <x:f>IF(530&gt;$H$4,"",IF(INDEX('Fleet dates'!$I$9:$I$1008,$I538-8)="","",INDEX('Fleet dates'!$I$9:$I$1008,$I538-8)))</x:f>
      </x:c>
      <x:c r="I538" t="str">
        <x:f>IF(530&gt;$H$4,"",MATCH(530,'Fleet dates'!$J$9:$J$1008,0)+8)</x:f>
      </x:c>
    </x:row>
    <x:row r="539" ht="36" customHeight="1">
      <x:c r="A539" s="50" t="str">
        <x:f>IF(531&gt;$H$4,"",IF(INDEX('Fleet dates'!$A$9:$A$1008,$I539-8)="","",INDEX('Fleet dates'!$A$9:$A$1008,$I539-8)))</x:f>
      </x:c>
      <x:c r="B539" s="50" t="str">
        <x:f>IF(531&gt;$H$4,"",IF(INDEX('Fleet dates'!$B$9:$B$1008,$I539-8)="","",INDEX('Fleet dates'!$B$9:$B$1008,$I539-8)))</x:f>
      </x:c>
      <x:c r="C539" s="51" t="str">
        <x:f>IF(531&gt;$H$4,"",IF(INDEX('Fleet dates'!$C$9:$C$1008,$I539-8)="","",INDEX('Fleet dates'!$C$9:$C$1008,$I539-8)))</x:f>
      </x:c>
      <x:c r="D539" s="51" t="str">
        <x:f>IF(531&gt;$H$4,"",IF(INDEX('Fleet dates'!$D$9:$D$1008,$I539-8)="","",INDEX('Fleet dates'!$D$9:$D$1008,$I539-8)))</x:f>
      </x:c>
      <x:c r="E539" s="51" t="str">
        <x:f>IF(531&gt;$H$4,"",IF(INDEX('Fleet dates'!$E$9:$E$1008,$I539-8)="","",INDEX('Fleet dates'!$E$9:$E$1008,$I539-8)))</x:f>
      </x:c>
      <x:c r="F539" s="51" t="str">
        <x:f>IF(531&gt;$H$4,"",IF(INDEX('Fleet dates'!$F$9:$F$1008,$I539-8)="","",INDEX('Fleet dates'!$F$9:$F$1008,$I539-8)))</x:f>
      </x:c>
      <x:c r="G539" s="50" t="str">
        <x:f>IF(531&gt;$H$4,"",IF(INDEX('Fleet dates'!$G$9:$G$1008,$I539-8)="","",INDEX('Fleet dates'!$G$9:$G$1008,$I539-8)))</x:f>
      </x:c>
      <x:c r="H539" s="50" t="str">
        <x:f>IF(531&gt;$H$4,"",IF(INDEX('Fleet dates'!$I$9:$I$1008,$I539-8)="","",INDEX('Fleet dates'!$I$9:$I$1008,$I539-8)))</x:f>
      </x:c>
      <x:c r="I539" t="str">
        <x:f>IF(531&gt;$H$4,"",MATCH(531,'Fleet dates'!$J$9:$J$1008,0)+8)</x:f>
      </x:c>
    </x:row>
    <x:row r="540" ht="36" customHeight="1">
      <x:c r="A540" s="50" t="str">
        <x:f>IF(532&gt;$H$4,"",IF(INDEX('Fleet dates'!$A$9:$A$1008,$I540-8)="","",INDEX('Fleet dates'!$A$9:$A$1008,$I540-8)))</x:f>
      </x:c>
      <x:c r="B540" s="50" t="str">
        <x:f>IF(532&gt;$H$4,"",IF(INDEX('Fleet dates'!$B$9:$B$1008,$I540-8)="","",INDEX('Fleet dates'!$B$9:$B$1008,$I540-8)))</x:f>
      </x:c>
      <x:c r="C540" s="51" t="str">
        <x:f>IF(532&gt;$H$4,"",IF(INDEX('Fleet dates'!$C$9:$C$1008,$I540-8)="","",INDEX('Fleet dates'!$C$9:$C$1008,$I540-8)))</x:f>
      </x:c>
      <x:c r="D540" s="51" t="str">
        <x:f>IF(532&gt;$H$4,"",IF(INDEX('Fleet dates'!$D$9:$D$1008,$I540-8)="","",INDEX('Fleet dates'!$D$9:$D$1008,$I540-8)))</x:f>
      </x:c>
      <x:c r="E540" s="51" t="str">
        <x:f>IF(532&gt;$H$4,"",IF(INDEX('Fleet dates'!$E$9:$E$1008,$I540-8)="","",INDEX('Fleet dates'!$E$9:$E$1008,$I540-8)))</x:f>
      </x:c>
      <x:c r="F540" s="51" t="str">
        <x:f>IF(532&gt;$H$4,"",IF(INDEX('Fleet dates'!$F$9:$F$1008,$I540-8)="","",INDEX('Fleet dates'!$F$9:$F$1008,$I540-8)))</x:f>
      </x:c>
      <x:c r="G540" s="50" t="str">
        <x:f>IF(532&gt;$H$4,"",IF(INDEX('Fleet dates'!$G$9:$G$1008,$I540-8)="","",INDEX('Fleet dates'!$G$9:$G$1008,$I540-8)))</x:f>
      </x:c>
      <x:c r="H540" s="50" t="str">
        <x:f>IF(532&gt;$H$4,"",IF(INDEX('Fleet dates'!$I$9:$I$1008,$I540-8)="","",INDEX('Fleet dates'!$I$9:$I$1008,$I540-8)))</x:f>
      </x:c>
      <x:c r="I540" t="str">
        <x:f>IF(532&gt;$H$4,"",MATCH(532,'Fleet dates'!$J$9:$J$1008,0)+8)</x:f>
      </x:c>
    </x:row>
    <x:row r="541" ht="36" customHeight="1">
      <x:c r="A541" s="50" t="str">
        <x:f>IF(533&gt;$H$4,"",IF(INDEX('Fleet dates'!$A$9:$A$1008,$I541-8)="","",INDEX('Fleet dates'!$A$9:$A$1008,$I541-8)))</x:f>
      </x:c>
      <x:c r="B541" s="50" t="str">
        <x:f>IF(533&gt;$H$4,"",IF(INDEX('Fleet dates'!$B$9:$B$1008,$I541-8)="","",INDEX('Fleet dates'!$B$9:$B$1008,$I541-8)))</x:f>
      </x:c>
      <x:c r="C541" s="51" t="str">
        <x:f>IF(533&gt;$H$4,"",IF(INDEX('Fleet dates'!$C$9:$C$1008,$I541-8)="","",INDEX('Fleet dates'!$C$9:$C$1008,$I541-8)))</x:f>
      </x:c>
      <x:c r="D541" s="51" t="str">
        <x:f>IF(533&gt;$H$4,"",IF(INDEX('Fleet dates'!$D$9:$D$1008,$I541-8)="","",INDEX('Fleet dates'!$D$9:$D$1008,$I541-8)))</x:f>
      </x:c>
      <x:c r="E541" s="51" t="str">
        <x:f>IF(533&gt;$H$4,"",IF(INDEX('Fleet dates'!$E$9:$E$1008,$I541-8)="","",INDEX('Fleet dates'!$E$9:$E$1008,$I541-8)))</x:f>
      </x:c>
      <x:c r="F541" s="51" t="str">
        <x:f>IF(533&gt;$H$4,"",IF(INDEX('Fleet dates'!$F$9:$F$1008,$I541-8)="","",INDEX('Fleet dates'!$F$9:$F$1008,$I541-8)))</x:f>
      </x:c>
      <x:c r="G541" s="50" t="str">
        <x:f>IF(533&gt;$H$4,"",IF(INDEX('Fleet dates'!$G$9:$G$1008,$I541-8)="","",INDEX('Fleet dates'!$G$9:$G$1008,$I541-8)))</x:f>
      </x:c>
      <x:c r="H541" s="50" t="str">
        <x:f>IF(533&gt;$H$4,"",IF(INDEX('Fleet dates'!$I$9:$I$1008,$I541-8)="","",INDEX('Fleet dates'!$I$9:$I$1008,$I541-8)))</x:f>
      </x:c>
      <x:c r="I541" t="str">
        <x:f>IF(533&gt;$H$4,"",MATCH(533,'Fleet dates'!$J$9:$J$1008,0)+8)</x:f>
      </x:c>
    </x:row>
    <x:row r="542" ht="36" customHeight="1">
      <x:c r="A542" s="50" t="str">
        <x:f>IF(534&gt;$H$4,"",IF(INDEX('Fleet dates'!$A$9:$A$1008,$I542-8)="","",INDEX('Fleet dates'!$A$9:$A$1008,$I542-8)))</x:f>
      </x:c>
      <x:c r="B542" s="50" t="str">
        <x:f>IF(534&gt;$H$4,"",IF(INDEX('Fleet dates'!$B$9:$B$1008,$I542-8)="","",INDEX('Fleet dates'!$B$9:$B$1008,$I542-8)))</x:f>
      </x:c>
      <x:c r="C542" s="51" t="str">
        <x:f>IF(534&gt;$H$4,"",IF(INDEX('Fleet dates'!$C$9:$C$1008,$I542-8)="","",INDEX('Fleet dates'!$C$9:$C$1008,$I542-8)))</x:f>
      </x:c>
      <x:c r="D542" s="51" t="str">
        <x:f>IF(534&gt;$H$4,"",IF(INDEX('Fleet dates'!$D$9:$D$1008,$I542-8)="","",INDEX('Fleet dates'!$D$9:$D$1008,$I542-8)))</x:f>
      </x:c>
      <x:c r="E542" s="51" t="str">
        <x:f>IF(534&gt;$H$4,"",IF(INDEX('Fleet dates'!$E$9:$E$1008,$I542-8)="","",INDEX('Fleet dates'!$E$9:$E$1008,$I542-8)))</x:f>
      </x:c>
      <x:c r="F542" s="51" t="str">
        <x:f>IF(534&gt;$H$4,"",IF(INDEX('Fleet dates'!$F$9:$F$1008,$I542-8)="","",INDEX('Fleet dates'!$F$9:$F$1008,$I542-8)))</x:f>
      </x:c>
      <x:c r="G542" s="50" t="str">
        <x:f>IF(534&gt;$H$4,"",IF(INDEX('Fleet dates'!$G$9:$G$1008,$I542-8)="","",INDEX('Fleet dates'!$G$9:$G$1008,$I542-8)))</x:f>
      </x:c>
      <x:c r="H542" s="50" t="str">
        <x:f>IF(534&gt;$H$4,"",IF(INDEX('Fleet dates'!$I$9:$I$1008,$I542-8)="","",INDEX('Fleet dates'!$I$9:$I$1008,$I542-8)))</x:f>
      </x:c>
      <x:c r="I542" t="str">
        <x:f>IF(534&gt;$H$4,"",MATCH(534,'Fleet dates'!$J$9:$J$1008,0)+8)</x:f>
      </x:c>
    </x:row>
    <x:row r="543" ht="36" customHeight="1">
      <x:c r="A543" s="50" t="str">
        <x:f>IF(535&gt;$H$4,"",IF(INDEX('Fleet dates'!$A$9:$A$1008,$I543-8)="","",INDEX('Fleet dates'!$A$9:$A$1008,$I543-8)))</x:f>
      </x:c>
      <x:c r="B543" s="50" t="str">
        <x:f>IF(535&gt;$H$4,"",IF(INDEX('Fleet dates'!$B$9:$B$1008,$I543-8)="","",INDEX('Fleet dates'!$B$9:$B$1008,$I543-8)))</x:f>
      </x:c>
      <x:c r="C543" s="51" t="str">
        <x:f>IF(535&gt;$H$4,"",IF(INDEX('Fleet dates'!$C$9:$C$1008,$I543-8)="","",INDEX('Fleet dates'!$C$9:$C$1008,$I543-8)))</x:f>
      </x:c>
      <x:c r="D543" s="51" t="str">
        <x:f>IF(535&gt;$H$4,"",IF(INDEX('Fleet dates'!$D$9:$D$1008,$I543-8)="","",INDEX('Fleet dates'!$D$9:$D$1008,$I543-8)))</x:f>
      </x:c>
      <x:c r="E543" s="51" t="str">
        <x:f>IF(535&gt;$H$4,"",IF(INDEX('Fleet dates'!$E$9:$E$1008,$I543-8)="","",INDEX('Fleet dates'!$E$9:$E$1008,$I543-8)))</x:f>
      </x:c>
      <x:c r="F543" s="51" t="str">
        <x:f>IF(535&gt;$H$4,"",IF(INDEX('Fleet dates'!$F$9:$F$1008,$I543-8)="","",INDEX('Fleet dates'!$F$9:$F$1008,$I543-8)))</x:f>
      </x:c>
      <x:c r="G543" s="50" t="str">
        <x:f>IF(535&gt;$H$4,"",IF(INDEX('Fleet dates'!$G$9:$G$1008,$I543-8)="","",INDEX('Fleet dates'!$G$9:$G$1008,$I543-8)))</x:f>
      </x:c>
      <x:c r="H543" s="50" t="str">
        <x:f>IF(535&gt;$H$4,"",IF(INDEX('Fleet dates'!$I$9:$I$1008,$I543-8)="","",INDEX('Fleet dates'!$I$9:$I$1008,$I543-8)))</x:f>
      </x:c>
      <x:c r="I543" t="str">
        <x:f>IF(535&gt;$H$4,"",MATCH(535,'Fleet dates'!$J$9:$J$1008,0)+8)</x:f>
      </x:c>
    </x:row>
    <x:row r="544" ht="36" customHeight="1">
      <x:c r="A544" s="50" t="str">
        <x:f>IF(536&gt;$H$4,"",IF(INDEX('Fleet dates'!$A$9:$A$1008,$I544-8)="","",INDEX('Fleet dates'!$A$9:$A$1008,$I544-8)))</x:f>
      </x:c>
      <x:c r="B544" s="50" t="str">
        <x:f>IF(536&gt;$H$4,"",IF(INDEX('Fleet dates'!$B$9:$B$1008,$I544-8)="","",INDEX('Fleet dates'!$B$9:$B$1008,$I544-8)))</x:f>
      </x:c>
      <x:c r="C544" s="51" t="str">
        <x:f>IF(536&gt;$H$4,"",IF(INDEX('Fleet dates'!$C$9:$C$1008,$I544-8)="","",INDEX('Fleet dates'!$C$9:$C$1008,$I544-8)))</x:f>
      </x:c>
      <x:c r="D544" s="51" t="str">
        <x:f>IF(536&gt;$H$4,"",IF(INDEX('Fleet dates'!$D$9:$D$1008,$I544-8)="","",INDEX('Fleet dates'!$D$9:$D$1008,$I544-8)))</x:f>
      </x:c>
      <x:c r="E544" s="51" t="str">
        <x:f>IF(536&gt;$H$4,"",IF(INDEX('Fleet dates'!$E$9:$E$1008,$I544-8)="","",INDEX('Fleet dates'!$E$9:$E$1008,$I544-8)))</x:f>
      </x:c>
      <x:c r="F544" s="51" t="str">
        <x:f>IF(536&gt;$H$4,"",IF(INDEX('Fleet dates'!$F$9:$F$1008,$I544-8)="","",INDEX('Fleet dates'!$F$9:$F$1008,$I544-8)))</x:f>
      </x:c>
      <x:c r="G544" s="50" t="str">
        <x:f>IF(536&gt;$H$4,"",IF(INDEX('Fleet dates'!$G$9:$G$1008,$I544-8)="","",INDEX('Fleet dates'!$G$9:$G$1008,$I544-8)))</x:f>
      </x:c>
      <x:c r="H544" s="50" t="str">
        <x:f>IF(536&gt;$H$4,"",IF(INDEX('Fleet dates'!$I$9:$I$1008,$I544-8)="","",INDEX('Fleet dates'!$I$9:$I$1008,$I544-8)))</x:f>
      </x:c>
      <x:c r="I544" t="str">
        <x:f>IF(536&gt;$H$4,"",MATCH(536,'Fleet dates'!$J$9:$J$1008,0)+8)</x:f>
      </x:c>
    </x:row>
    <x:row r="545" ht="36" customHeight="1">
      <x:c r="A545" s="50" t="str">
        <x:f>IF(537&gt;$H$4,"",IF(INDEX('Fleet dates'!$A$9:$A$1008,$I545-8)="","",INDEX('Fleet dates'!$A$9:$A$1008,$I545-8)))</x:f>
      </x:c>
      <x:c r="B545" s="50" t="str">
        <x:f>IF(537&gt;$H$4,"",IF(INDEX('Fleet dates'!$B$9:$B$1008,$I545-8)="","",INDEX('Fleet dates'!$B$9:$B$1008,$I545-8)))</x:f>
      </x:c>
      <x:c r="C545" s="51" t="str">
        <x:f>IF(537&gt;$H$4,"",IF(INDEX('Fleet dates'!$C$9:$C$1008,$I545-8)="","",INDEX('Fleet dates'!$C$9:$C$1008,$I545-8)))</x:f>
      </x:c>
      <x:c r="D545" s="51" t="str">
        <x:f>IF(537&gt;$H$4,"",IF(INDEX('Fleet dates'!$D$9:$D$1008,$I545-8)="","",INDEX('Fleet dates'!$D$9:$D$1008,$I545-8)))</x:f>
      </x:c>
      <x:c r="E545" s="51" t="str">
        <x:f>IF(537&gt;$H$4,"",IF(INDEX('Fleet dates'!$E$9:$E$1008,$I545-8)="","",INDEX('Fleet dates'!$E$9:$E$1008,$I545-8)))</x:f>
      </x:c>
      <x:c r="F545" s="51" t="str">
        <x:f>IF(537&gt;$H$4,"",IF(INDEX('Fleet dates'!$F$9:$F$1008,$I545-8)="","",INDEX('Fleet dates'!$F$9:$F$1008,$I545-8)))</x:f>
      </x:c>
      <x:c r="G545" s="50" t="str">
        <x:f>IF(537&gt;$H$4,"",IF(INDEX('Fleet dates'!$G$9:$G$1008,$I545-8)="","",INDEX('Fleet dates'!$G$9:$G$1008,$I545-8)))</x:f>
      </x:c>
      <x:c r="H545" s="50" t="str">
        <x:f>IF(537&gt;$H$4,"",IF(INDEX('Fleet dates'!$I$9:$I$1008,$I545-8)="","",INDEX('Fleet dates'!$I$9:$I$1008,$I545-8)))</x:f>
      </x:c>
      <x:c r="I545" t="str">
        <x:f>IF(537&gt;$H$4,"",MATCH(537,'Fleet dates'!$J$9:$J$1008,0)+8)</x:f>
      </x:c>
    </x:row>
    <x:row r="546" ht="36" customHeight="1">
      <x:c r="A546" s="50" t="str">
        <x:f>IF(538&gt;$H$4,"",IF(INDEX('Fleet dates'!$A$9:$A$1008,$I546-8)="","",INDEX('Fleet dates'!$A$9:$A$1008,$I546-8)))</x:f>
      </x:c>
      <x:c r="B546" s="50" t="str">
        <x:f>IF(538&gt;$H$4,"",IF(INDEX('Fleet dates'!$B$9:$B$1008,$I546-8)="","",INDEX('Fleet dates'!$B$9:$B$1008,$I546-8)))</x:f>
      </x:c>
      <x:c r="C546" s="51" t="str">
        <x:f>IF(538&gt;$H$4,"",IF(INDEX('Fleet dates'!$C$9:$C$1008,$I546-8)="","",INDEX('Fleet dates'!$C$9:$C$1008,$I546-8)))</x:f>
      </x:c>
      <x:c r="D546" s="51" t="str">
        <x:f>IF(538&gt;$H$4,"",IF(INDEX('Fleet dates'!$D$9:$D$1008,$I546-8)="","",INDEX('Fleet dates'!$D$9:$D$1008,$I546-8)))</x:f>
      </x:c>
      <x:c r="E546" s="51" t="str">
        <x:f>IF(538&gt;$H$4,"",IF(INDEX('Fleet dates'!$E$9:$E$1008,$I546-8)="","",INDEX('Fleet dates'!$E$9:$E$1008,$I546-8)))</x:f>
      </x:c>
      <x:c r="F546" s="51" t="str">
        <x:f>IF(538&gt;$H$4,"",IF(INDEX('Fleet dates'!$F$9:$F$1008,$I546-8)="","",INDEX('Fleet dates'!$F$9:$F$1008,$I546-8)))</x:f>
      </x:c>
      <x:c r="G546" s="50" t="str">
        <x:f>IF(538&gt;$H$4,"",IF(INDEX('Fleet dates'!$G$9:$G$1008,$I546-8)="","",INDEX('Fleet dates'!$G$9:$G$1008,$I546-8)))</x:f>
      </x:c>
      <x:c r="H546" s="50" t="str">
        <x:f>IF(538&gt;$H$4,"",IF(INDEX('Fleet dates'!$I$9:$I$1008,$I546-8)="","",INDEX('Fleet dates'!$I$9:$I$1008,$I546-8)))</x:f>
      </x:c>
      <x:c r="I546" t="str">
        <x:f>IF(538&gt;$H$4,"",MATCH(538,'Fleet dates'!$J$9:$J$1008,0)+8)</x:f>
      </x:c>
    </x:row>
    <x:row r="547" ht="36" customHeight="1">
      <x:c r="A547" s="50" t="str">
        <x:f>IF(539&gt;$H$4,"",IF(INDEX('Fleet dates'!$A$9:$A$1008,$I547-8)="","",INDEX('Fleet dates'!$A$9:$A$1008,$I547-8)))</x:f>
      </x:c>
      <x:c r="B547" s="50" t="str">
        <x:f>IF(539&gt;$H$4,"",IF(INDEX('Fleet dates'!$B$9:$B$1008,$I547-8)="","",INDEX('Fleet dates'!$B$9:$B$1008,$I547-8)))</x:f>
      </x:c>
      <x:c r="C547" s="51" t="str">
        <x:f>IF(539&gt;$H$4,"",IF(INDEX('Fleet dates'!$C$9:$C$1008,$I547-8)="","",INDEX('Fleet dates'!$C$9:$C$1008,$I547-8)))</x:f>
      </x:c>
      <x:c r="D547" s="51" t="str">
        <x:f>IF(539&gt;$H$4,"",IF(INDEX('Fleet dates'!$D$9:$D$1008,$I547-8)="","",INDEX('Fleet dates'!$D$9:$D$1008,$I547-8)))</x:f>
      </x:c>
      <x:c r="E547" s="51" t="str">
        <x:f>IF(539&gt;$H$4,"",IF(INDEX('Fleet dates'!$E$9:$E$1008,$I547-8)="","",INDEX('Fleet dates'!$E$9:$E$1008,$I547-8)))</x:f>
      </x:c>
      <x:c r="F547" s="51" t="str">
        <x:f>IF(539&gt;$H$4,"",IF(INDEX('Fleet dates'!$F$9:$F$1008,$I547-8)="","",INDEX('Fleet dates'!$F$9:$F$1008,$I547-8)))</x:f>
      </x:c>
      <x:c r="G547" s="50" t="str">
        <x:f>IF(539&gt;$H$4,"",IF(INDEX('Fleet dates'!$G$9:$G$1008,$I547-8)="","",INDEX('Fleet dates'!$G$9:$G$1008,$I547-8)))</x:f>
      </x:c>
      <x:c r="H547" s="50" t="str">
        <x:f>IF(539&gt;$H$4,"",IF(INDEX('Fleet dates'!$I$9:$I$1008,$I547-8)="","",INDEX('Fleet dates'!$I$9:$I$1008,$I547-8)))</x:f>
      </x:c>
      <x:c r="I547" t="str">
        <x:f>IF(539&gt;$H$4,"",MATCH(539,'Fleet dates'!$J$9:$J$1008,0)+8)</x:f>
      </x:c>
    </x:row>
    <x:row r="548" ht="36" customHeight="1">
      <x:c r="A548" s="50" t="str">
        <x:f>IF(540&gt;$H$4,"",IF(INDEX('Fleet dates'!$A$9:$A$1008,$I548-8)="","",INDEX('Fleet dates'!$A$9:$A$1008,$I548-8)))</x:f>
      </x:c>
      <x:c r="B548" s="50" t="str">
        <x:f>IF(540&gt;$H$4,"",IF(INDEX('Fleet dates'!$B$9:$B$1008,$I548-8)="","",INDEX('Fleet dates'!$B$9:$B$1008,$I548-8)))</x:f>
      </x:c>
      <x:c r="C548" s="51" t="str">
        <x:f>IF(540&gt;$H$4,"",IF(INDEX('Fleet dates'!$C$9:$C$1008,$I548-8)="","",INDEX('Fleet dates'!$C$9:$C$1008,$I548-8)))</x:f>
      </x:c>
      <x:c r="D548" s="51" t="str">
        <x:f>IF(540&gt;$H$4,"",IF(INDEX('Fleet dates'!$D$9:$D$1008,$I548-8)="","",INDEX('Fleet dates'!$D$9:$D$1008,$I548-8)))</x:f>
      </x:c>
      <x:c r="E548" s="51" t="str">
        <x:f>IF(540&gt;$H$4,"",IF(INDEX('Fleet dates'!$E$9:$E$1008,$I548-8)="","",INDEX('Fleet dates'!$E$9:$E$1008,$I548-8)))</x:f>
      </x:c>
      <x:c r="F548" s="51" t="str">
        <x:f>IF(540&gt;$H$4,"",IF(INDEX('Fleet dates'!$F$9:$F$1008,$I548-8)="","",INDEX('Fleet dates'!$F$9:$F$1008,$I548-8)))</x:f>
      </x:c>
      <x:c r="G548" s="50" t="str">
        <x:f>IF(540&gt;$H$4,"",IF(INDEX('Fleet dates'!$G$9:$G$1008,$I548-8)="","",INDEX('Fleet dates'!$G$9:$G$1008,$I548-8)))</x:f>
      </x:c>
      <x:c r="H548" s="50" t="str">
        <x:f>IF(540&gt;$H$4,"",IF(INDEX('Fleet dates'!$I$9:$I$1008,$I548-8)="","",INDEX('Fleet dates'!$I$9:$I$1008,$I548-8)))</x:f>
      </x:c>
      <x:c r="I548" t="str">
        <x:f>IF(540&gt;$H$4,"",MATCH(540,'Fleet dates'!$J$9:$J$1008,0)+8)</x:f>
      </x:c>
    </x:row>
    <x:row r="549" ht="36" customHeight="1">
      <x:c r="A549" s="50" t="str">
        <x:f>IF(541&gt;$H$4,"",IF(INDEX('Fleet dates'!$A$9:$A$1008,$I549-8)="","",INDEX('Fleet dates'!$A$9:$A$1008,$I549-8)))</x:f>
      </x:c>
      <x:c r="B549" s="50" t="str">
        <x:f>IF(541&gt;$H$4,"",IF(INDEX('Fleet dates'!$B$9:$B$1008,$I549-8)="","",INDEX('Fleet dates'!$B$9:$B$1008,$I549-8)))</x:f>
      </x:c>
      <x:c r="C549" s="51" t="str">
        <x:f>IF(541&gt;$H$4,"",IF(INDEX('Fleet dates'!$C$9:$C$1008,$I549-8)="","",INDEX('Fleet dates'!$C$9:$C$1008,$I549-8)))</x:f>
      </x:c>
      <x:c r="D549" s="51" t="str">
        <x:f>IF(541&gt;$H$4,"",IF(INDEX('Fleet dates'!$D$9:$D$1008,$I549-8)="","",INDEX('Fleet dates'!$D$9:$D$1008,$I549-8)))</x:f>
      </x:c>
      <x:c r="E549" s="51" t="str">
        <x:f>IF(541&gt;$H$4,"",IF(INDEX('Fleet dates'!$E$9:$E$1008,$I549-8)="","",INDEX('Fleet dates'!$E$9:$E$1008,$I549-8)))</x:f>
      </x:c>
      <x:c r="F549" s="51" t="str">
        <x:f>IF(541&gt;$H$4,"",IF(INDEX('Fleet dates'!$F$9:$F$1008,$I549-8)="","",INDEX('Fleet dates'!$F$9:$F$1008,$I549-8)))</x:f>
      </x:c>
      <x:c r="G549" s="50" t="str">
        <x:f>IF(541&gt;$H$4,"",IF(INDEX('Fleet dates'!$G$9:$G$1008,$I549-8)="","",INDEX('Fleet dates'!$G$9:$G$1008,$I549-8)))</x:f>
      </x:c>
      <x:c r="H549" s="50" t="str">
        <x:f>IF(541&gt;$H$4,"",IF(INDEX('Fleet dates'!$I$9:$I$1008,$I549-8)="","",INDEX('Fleet dates'!$I$9:$I$1008,$I549-8)))</x:f>
      </x:c>
      <x:c r="I549" t="str">
        <x:f>IF(541&gt;$H$4,"",MATCH(541,'Fleet dates'!$J$9:$J$1008,0)+8)</x:f>
      </x:c>
    </x:row>
    <x:row r="550" ht="36" customHeight="1">
      <x:c r="A550" s="50" t="str">
        <x:f>IF(542&gt;$H$4,"",IF(INDEX('Fleet dates'!$A$9:$A$1008,$I550-8)="","",INDEX('Fleet dates'!$A$9:$A$1008,$I550-8)))</x:f>
      </x:c>
      <x:c r="B550" s="50" t="str">
        <x:f>IF(542&gt;$H$4,"",IF(INDEX('Fleet dates'!$B$9:$B$1008,$I550-8)="","",INDEX('Fleet dates'!$B$9:$B$1008,$I550-8)))</x:f>
      </x:c>
      <x:c r="C550" s="51" t="str">
        <x:f>IF(542&gt;$H$4,"",IF(INDEX('Fleet dates'!$C$9:$C$1008,$I550-8)="","",INDEX('Fleet dates'!$C$9:$C$1008,$I550-8)))</x:f>
      </x:c>
      <x:c r="D550" s="51" t="str">
        <x:f>IF(542&gt;$H$4,"",IF(INDEX('Fleet dates'!$D$9:$D$1008,$I550-8)="","",INDEX('Fleet dates'!$D$9:$D$1008,$I550-8)))</x:f>
      </x:c>
      <x:c r="E550" s="51" t="str">
        <x:f>IF(542&gt;$H$4,"",IF(INDEX('Fleet dates'!$E$9:$E$1008,$I550-8)="","",INDEX('Fleet dates'!$E$9:$E$1008,$I550-8)))</x:f>
      </x:c>
      <x:c r="F550" s="51" t="str">
        <x:f>IF(542&gt;$H$4,"",IF(INDEX('Fleet dates'!$F$9:$F$1008,$I550-8)="","",INDEX('Fleet dates'!$F$9:$F$1008,$I550-8)))</x:f>
      </x:c>
      <x:c r="G550" s="50" t="str">
        <x:f>IF(542&gt;$H$4,"",IF(INDEX('Fleet dates'!$G$9:$G$1008,$I550-8)="","",INDEX('Fleet dates'!$G$9:$G$1008,$I550-8)))</x:f>
      </x:c>
      <x:c r="H550" s="50" t="str">
        <x:f>IF(542&gt;$H$4,"",IF(INDEX('Fleet dates'!$I$9:$I$1008,$I550-8)="","",INDEX('Fleet dates'!$I$9:$I$1008,$I550-8)))</x:f>
      </x:c>
      <x:c r="I550" t="str">
        <x:f>IF(542&gt;$H$4,"",MATCH(542,'Fleet dates'!$J$9:$J$1008,0)+8)</x:f>
      </x:c>
    </x:row>
    <x:row r="551" ht="36" customHeight="1">
      <x:c r="A551" s="50" t="str">
        <x:f>IF(543&gt;$H$4,"",IF(INDEX('Fleet dates'!$A$9:$A$1008,$I551-8)="","",INDEX('Fleet dates'!$A$9:$A$1008,$I551-8)))</x:f>
      </x:c>
      <x:c r="B551" s="50" t="str">
        <x:f>IF(543&gt;$H$4,"",IF(INDEX('Fleet dates'!$B$9:$B$1008,$I551-8)="","",INDEX('Fleet dates'!$B$9:$B$1008,$I551-8)))</x:f>
      </x:c>
      <x:c r="C551" s="51" t="str">
        <x:f>IF(543&gt;$H$4,"",IF(INDEX('Fleet dates'!$C$9:$C$1008,$I551-8)="","",INDEX('Fleet dates'!$C$9:$C$1008,$I551-8)))</x:f>
      </x:c>
      <x:c r="D551" s="51" t="str">
        <x:f>IF(543&gt;$H$4,"",IF(INDEX('Fleet dates'!$D$9:$D$1008,$I551-8)="","",INDEX('Fleet dates'!$D$9:$D$1008,$I551-8)))</x:f>
      </x:c>
      <x:c r="E551" s="51" t="str">
        <x:f>IF(543&gt;$H$4,"",IF(INDEX('Fleet dates'!$E$9:$E$1008,$I551-8)="","",INDEX('Fleet dates'!$E$9:$E$1008,$I551-8)))</x:f>
      </x:c>
      <x:c r="F551" s="51" t="str">
        <x:f>IF(543&gt;$H$4,"",IF(INDEX('Fleet dates'!$F$9:$F$1008,$I551-8)="","",INDEX('Fleet dates'!$F$9:$F$1008,$I551-8)))</x:f>
      </x:c>
      <x:c r="G551" s="50" t="str">
        <x:f>IF(543&gt;$H$4,"",IF(INDEX('Fleet dates'!$G$9:$G$1008,$I551-8)="","",INDEX('Fleet dates'!$G$9:$G$1008,$I551-8)))</x:f>
      </x:c>
      <x:c r="H551" s="50" t="str">
        <x:f>IF(543&gt;$H$4,"",IF(INDEX('Fleet dates'!$I$9:$I$1008,$I551-8)="","",INDEX('Fleet dates'!$I$9:$I$1008,$I551-8)))</x:f>
      </x:c>
      <x:c r="I551" t="str">
        <x:f>IF(543&gt;$H$4,"",MATCH(543,'Fleet dates'!$J$9:$J$1008,0)+8)</x:f>
      </x:c>
    </x:row>
    <x:row r="552" ht="36" customHeight="1">
      <x:c r="A552" s="50" t="str">
        <x:f>IF(544&gt;$H$4,"",IF(INDEX('Fleet dates'!$A$9:$A$1008,$I552-8)="","",INDEX('Fleet dates'!$A$9:$A$1008,$I552-8)))</x:f>
      </x:c>
      <x:c r="B552" s="50" t="str">
        <x:f>IF(544&gt;$H$4,"",IF(INDEX('Fleet dates'!$B$9:$B$1008,$I552-8)="","",INDEX('Fleet dates'!$B$9:$B$1008,$I552-8)))</x:f>
      </x:c>
      <x:c r="C552" s="51" t="str">
        <x:f>IF(544&gt;$H$4,"",IF(INDEX('Fleet dates'!$C$9:$C$1008,$I552-8)="","",INDEX('Fleet dates'!$C$9:$C$1008,$I552-8)))</x:f>
      </x:c>
      <x:c r="D552" s="51" t="str">
        <x:f>IF(544&gt;$H$4,"",IF(INDEX('Fleet dates'!$D$9:$D$1008,$I552-8)="","",INDEX('Fleet dates'!$D$9:$D$1008,$I552-8)))</x:f>
      </x:c>
      <x:c r="E552" s="51" t="str">
        <x:f>IF(544&gt;$H$4,"",IF(INDEX('Fleet dates'!$E$9:$E$1008,$I552-8)="","",INDEX('Fleet dates'!$E$9:$E$1008,$I552-8)))</x:f>
      </x:c>
      <x:c r="F552" s="51" t="str">
        <x:f>IF(544&gt;$H$4,"",IF(INDEX('Fleet dates'!$F$9:$F$1008,$I552-8)="","",INDEX('Fleet dates'!$F$9:$F$1008,$I552-8)))</x:f>
      </x:c>
      <x:c r="G552" s="50" t="str">
        <x:f>IF(544&gt;$H$4,"",IF(INDEX('Fleet dates'!$G$9:$G$1008,$I552-8)="","",INDEX('Fleet dates'!$G$9:$G$1008,$I552-8)))</x:f>
      </x:c>
      <x:c r="H552" s="50" t="str">
        <x:f>IF(544&gt;$H$4,"",IF(INDEX('Fleet dates'!$I$9:$I$1008,$I552-8)="","",INDEX('Fleet dates'!$I$9:$I$1008,$I552-8)))</x:f>
      </x:c>
      <x:c r="I552" t="str">
        <x:f>IF(544&gt;$H$4,"",MATCH(544,'Fleet dates'!$J$9:$J$1008,0)+8)</x:f>
      </x:c>
    </x:row>
    <x:row r="553" ht="36" customHeight="1">
      <x:c r="A553" s="50" t="str">
        <x:f>IF(545&gt;$H$4,"",IF(INDEX('Fleet dates'!$A$9:$A$1008,$I553-8)="","",INDEX('Fleet dates'!$A$9:$A$1008,$I553-8)))</x:f>
      </x:c>
      <x:c r="B553" s="50" t="str">
        <x:f>IF(545&gt;$H$4,"",IF(INDEX('Fleet dates'!$B$9:$B$1008,$I553-8)="","",INDEX('Fleet dates'!$B$9:$B$1008,$I553-8)))</x:f>
      </x:c>
      <x:c r="C553" s="51" t="str">
        <x:f>IF(545&gt;$H$4,"",IF(INDEX('Fleet dates'!$C$9:$C$1008,$I553-8)="","",INDEX('Fleet dates'!$C$9:$C$1008,$I553-8)))</x:f>
      </x:c>
      <x:c r="D553" s="51" t="str">
        <x:f>IF(545&gt;$H$4,"",IF(INDEX('Fleet dates'!$D$9:$D$1008,$I553-8)="","",INDEX('Fleet dates'!$D$9:$D$1008,$I553-8)))</x:f>
      </x:c>
      <x:c r="E553" s="51" t="str">
        <x:f>IF(545&gt;$H$4,"",IF(INDEX('Fleet dates'!$E$9:$E$1008,$I553-8)="","",INDEX('Fleet dates'!$E$9:$E$1008,$I553-8)))</x:f>
      </x:c>
      <x:c r="F553" s="51" t="str">
        <x:f>IF(545&gt;$H$4,"",IF(INDEX('Fleet dates'!$F$9:$F$1008,$I553-8)="","",INDEX('Fleet dates'!$F$9:$F$1008,$I553-8)))</x:f>
      </x:c>
      <x:c r="G553" s="50" t="str">
        <x:f>IF(545&gt;$H$4,"",IF(INDEX('Fleet dates'!$G$9:$G$1008,$I553-8)="","",INDEX('Fleet dates'!$G$9:$G$1008,$I553-8)))</x:f>
      </x:c>
      <x:c r="H553" s="50" t="str">
        <x:f>IF(545&gt;$H$4,"",IF(INDEX('Fleet dates'!$I$9:$I$1008,$I553-8)="","",INDEX('Fleet dates'!$I$9:$I$1008,$I553-8)))</x:f>
      </x:c>
      <x:c r="I553" t="str">
        <x:f>IF(545&gt;$H$4,"",MATCH(545,'Fleet dates'!$J$9:$J$1008,0)+8)</x:f>
      </x:c>
    </x:row>
    <x:row r="554" ht="36" customHeight="1">
      <x:c r="A554" s="50" t="str">
        <x:f>IF(546&gt;$H$4,"",IF(INDEX('Fleet dates'!$A$9:$A$1008,$I554-8)="","",INDEX('Fleet dates'!$A$9:$A$1008,$I554-8)))</x:f>
      </x:c>
      <x:c r="B554" s="50" t="str">
        <x:f>IF(546&gt;$H$4,"",IF(INDEX('Fleet dates'!$B$9:$B$1008,$I554-8)="","",INDEX('Fleet dates'!$B$9:$B$1008,$I554-8)))</x:f>
      </x:c>
      <x:c r="C554" s="51" t="str">
        <x:f>IF(546&gt;$H$4,"",IF(INDEX('Fleet dates'!$C$9:$C$1008,$I554-8)="","",INDEX('Fleet dates'!$C$9:$C$1008,$I554-8)))</x:f>
      </x:c>
      <x:c r="D554" s="51" t="str">
        <x:f>IF(546&gt;$H$4,"",IF(INDEX('Fleet dates'!$D$9:$D$1008,$I554-8)="","",INDEX('Fleet dates'!$D$9:$D$1008,$I554-8)))</x:f>
      </x:c>
      <x:c r="E554" s="51" t="str">
        <x:f>IF(546&gt;$H$4,"",IF(INDEX('Fleet dates'!$E$9:$E$1008,$I554-8)="","",INDEX('Fleet dates'!$E$9:$E$1008,$I554-8)))</x:f>
      </x:c>
      <x:c r="F554" s="51" t="str">
        <x:f>IF(546&gt;$H$4,"",IF(INDEX('Fleet dates'!$F$9:$F$1008,$I554-8)="","",INDEX('Fleet dates'!$F$9:$F$1008,$I554-8)))</x:f>
      </x:c>
      <x:c r="G554" s="50" t="str">
        <x:f>IF(546&gt;$H$4,"",IF(INDEX('Fleet dates'!$G$9:$G$1008,$I554-8)="","",INDEX('Fleet dates'!$G$9:$G$1008,$I554-8)))</x:f>
      </x:c>
      <x:c r="H554" s="50" t="str">
        <x:f>IF(546&gt;$H$4,"",IF(INDEX('Fleet dates'!$I$9:$I$1008,$I554-8)="","",INDEX('Fleet dates'!$I$9:$I$1008,$I554-8)))</x:f>
      </x:c>
      <x:c r="I554" t="str">
        <x:f>IF(546&gt;$H$4,"",MATCH(546,'Fleet dates'!$J$9:$J$1008,0)+8)</x:f>
      </x:c>
    </x:row>
    <x:row r="555" ht="36" customHeight="1">
      <x:c r="A555" s="50" t="str">
        <x:f>IF(547&gt;$H$4,"",IF(INDEX('Fleet dates'!$A$9:$A$1008,$I555-8)="","",INDEX('Fleet dates'!$A$9:$A$1008,$I555-8)))</x:f>
      </x:c>
      <x:c r="B555" s="50" t="str">
        <x:f>IF(547&gt;$H$4,"",IF(INDEX('Fleet dates'!$B$9:$B$1008,$I555-8)="","",INDEX('Fleet dates'!$B$9:$B$1008,$I555-8)))</x:f>
      </x:c>
      <x:c r="C555" s="51" t="str">
        <x:f>IF(547&gt;$H$4,"",IF(INDEX('Fleet dates'!$C$9:$C$1008,$I555-8)="","",INDEX('Fleet dates'!$C$9:$C$1008,$I555-8)))</x:f>
      </x:c>
      <x:c r="D555" s="51" t="str">
        <x:f>IF(547&gt;$H$4,"",IF(INDEX('Fleet dates'!$D$9:$D$1008,$I555-8)="","",INDEX('Fleet dates'!$D$9:$D$1008,$I555-8)))</x:f>
      </x:c>
      <x:c r="E555" s="51" t="str">
        <x:f>IF(547&gt;$H$4,"",IF(INDEX('Fleet dates'!$E$9:$E$1008,$I555-8)="","",INDEX('Fleet dates'!$E$9:$E$1008,$I555-8)))</x:f>
      </x:c>
      <x:c r="F555" s="51" t="str">
        <x:f>IF(547&gt;$H$4,"",IF(INDEX('Fleet dates'!$F$9:$F$1008,$I555-8)="","",INDEX('Fleet dates'!$F$9:$F$1008,$I555-8)))</x:f>
      </x:c>
      <x:c r="G555" s="50" t="str">
        <x:f>IF(547&gt;$H$4,"",IF(INDEX('Fleet dates'!$G$9:$G$1008,$I555-8)="","",INDEX('Fleet dates'!$G$9:$G$1008,$I555-8)))</x:f>
      </x:c>
      <x:c r="H555" s="50" t="str">
        <x:f>IF(547&gt;$H$4,"",IF(INDEX('Fleet dates'!$I$9:$I$1008,$I555-8)="","",INDEX('Fleet dates'!$I$9:$I$1008,$I555-8)))</x:f>
      </x:c>
      <x:c r="I555" t="str">
        <x:f>IF(547&gt;$H$4,"",MATCH(547,'Fleet dates'!$J$9:$J$1008,0)+8)</x:f>
      </x:c>
    </x:row>
    <x:row r="556" ht="36" customHeight="1">
      <x:c r="A556" s="50" t="str">
        <x:f>IF(548&gt;$H$4,"",IF(INDEX('Fleet dates'!$A$9:$A$1008,$I556-8)="","",INDEX('Fleet dates'!$A$9:$A$1008,$I556-8)))</x:f>
      </x:c>
      <x:c r="B556" s="50" t="str">
        <x:f>IF(548&gt;$H$4,"",IF(INDEX('Fleet dates'!$B$9:$B$1008,$I556-8)="","",INDEX('Fleet dates'!$B$9:$B$1008,$I556-8)))</x:f>
      </x:c>
      <x:c r="C556" s="51" t="str">
        <x:f>IF(548&gt;$H$4,"",IF(INDEX('Fleet dates'!$C$9:$C$1008,$I556-8)="","",INDEX('Fleet dates'!$C$9:$C$1008,$I556-8)))</x:f>
      </x:c>
      <x:c r="D556" s="51" t="str">
        <x:f>IF(548&gt;$H$4,"",IF(INDEX('Fleet dates'!$D$9:$D$1008,$I556-8)="","",INDEX('Fleet dates'!$D$9:$D$1008,$I556-8)))</x:f>
      </x:c>
      <x:c r="E556" s="51" t="str">
        <x:f>IF(548&gt;$H$4,"",IF(INDEX('Fleet dates'!$E$9:$E$1008,$I556-8)="","",INDEX('Fleet dates'!$E$9:$E$1008,$I556-8)))</x:f>
      </x:c>
      <x:c r="F556" s="51" t="str">
        <x:f>IF(548&gt;$H$4,"",IF(INDEX('Fleet dates'!$F$9:$F$1008,$I556-8)="","",INDEX('Fleet dates'!$F$9:$F$1008,$I556-8)))</x:f>
      </x:c>
      <x:c r="G556" s="50" t="str">
        <x:f>IF(548&gt;$H$4,"",IF(INDEX('Fleet dates'!$G$9:$G$1008,$I556-8)="","",INDEX('Fleet dates'!$G$9:$G$1008,$I556-8)))</x:f>
      </x:c>
      <x:c r="H556" s="50" t="str">
        <x:f>IF(548&gt;$H$4,"",IF(INDEX('Fleet dates'!$I$9:$I$1008,$I556-8)="","",INDEX('Fleet dates'!$I$9:$I$1008,$I556-8)))</x:f>
      </x:c>
      <x:c r="I556" t="str">
        <x:f>IF(548&gt;$H$4,"",MATCH(548,'Fleet dates'!$J$9:$J$1008,0)+8)</x:f>
      </x:c>
    </x:row>
    <x:row r="557" ht="36" customHeight="1">
      <x:c r="A557" s="50" t="str">
        <x:f>IF(549&gt;$H$4,"",IF(INDEX('Fleet dates'!$A$9:$A$1008,$I557-8)="","",INDEX('Fleet dates'!$A$9:$A$1008,$I557-8)))</x:f>
      </x:c>
      <x:c r="B557" s="50" t="str">
        <x:f>IF(549&gt;$H$4,"",IF(INDEX('Fleet dates'!$B$9:$B$1008,$I557-8)="","",INDEX('Fleet dates'!$B$9:$B$1008,$I557-8)))</x:f>
      </x:c>
      <x:c r="C557" s="51" t="str">
        <x:f>IF(549&gt;$H$4,"",IF(INDEX('Fleet dates'!$C$9:$C$1008,$I557-8)="","",INDEX('Fleet dates'!$C$9:$C$1008,$I557-8)))</x:f>
      </x:c>
      <x:c r="D557" s="51" t="str">
        <x:f>IF(549&gt;$H$4,"",IF(INDEX('Fleet dates'!$D$9:$D$1008,$I557-8)="","",INDEX('Fleet dates'!$D$9:$D$1008,$I557-8)))</x:f>
      </x:c>
      <x:c r="E557" s="51" t="str">
        <x:f>IF(549&gt;$H$4,"",IF(INDEX('Fleet dates'!$E$9:$E$1008,$I557-8)="","",INDEX('Fleet dates'!$E$9:$E$1008,$I557-8)))</x:f>
      </x:c>
      <x:c r="F557" s="51" t="str">
        <x:f>IF(549&gt;$H$4,"",IF(INDEX('Fleet dates'!$F$9:$F$1008,$I557-8)="","",INDEX('Fleet dates'!$F$9:$F$1008,$I557-8)))</x:f>
      </x:c>
      <x:c r="G557" s="50" t="str">
        <x:f>IF(549&gt;$H$4,"",IF(INDEX('Fleet dates'!$G$9:$G$1008,$I557-8)="","",INDEX('Fleet dates'!$G$9:$G$1008,$I557-8)))</x:f>
      </x:c>
      <x:c r="H557" s="50" t="str">
        <x:f>IF(549&gt;$H$4,"",IF(INDEX('Fleet dates'!$I$9:$I$1008,$I557-8)="","",INDEX('Fleet dates'!$I$9:$I$1008,$I557-8)))</x:f>
      </x:c>
      <x:c r="I557" t="str">
        <x:f>IF(549&gt;$H$4,"",MATCH(549,'Fleet dates'!$J$9:$J$1008,0)+8)</x:f>
      </x:c>
    </x:row>
    <x:row r="558" ht="36" customHeight="1">
      <x:c r="A558" s="50" t="str">
        <x:f>IF(550&gt;$H$4,"",IF(INDEX('Fleet dates'!$A$9:$A$1008,$I558-8)="","",INDEX('Fleet dates'!$A$9:$A$1008,$I558-8)))</x:f>
      </x:c>
      <x:c r="B558" s="50" t="str">
        <x:f>IF(550&gt;$H$4,"",IF(INDEX('Fleet dates'!$B$9:$B$1008,$I558-8)="","",INDEX('Fleet dates'!$B$9:$B$1008,$I558-8)))</x:f>
      </x:c>
      <x:c r="C558" s="51" t="str">
        <x:f>IF(550&gt;$H$4,"",IF(INDEX('Fleet dates'!$C$9:$C$1008,$I558-8)="","",INDEX('Fleet dates'!$C$9:$C$1008,$I558-8)))</x:f>
      </x:c>
      <x:c r="D558" s="51" t="str">
        <x:f>IF(550&gt;$H$4,"",IF(INDEX('Fleet dates'!$D$9:$D$1008,$I558-8)="","",INDEX('Fleet dates'!$D$9:$D$1008,$I558-8)))</x:f>
      </x:c>
      <x:c r="E558" s="51" t="str">
        <x:f>IF(550&gt;$H$4,"",IF(INDEX('Fleet dates'!$E$9:$E$1008,$I558-8)="","",INDEX('Fleet dates'!$E$9:$E$1008,$I558-8)))</x:f>
      </x:c>
      <x:c r="F558" s="51" t="str">
        <x:f>IF(550&gt;$H$4,"",IF(INDEX('Fleet dates'!$F$9:$F$1008,$I558-8)="","",INDEX('Fleet dates'!$F$9:$F$1008,$I558-8)))</x:f>
      </x:c>
      <x:c r="G558" s="50" t="str">
        <x:f>IF(550&gt;$H$4,"",IF(INDEX('Fleet dates'!$G$9:$G$1008,$I558-8)="","",INDEX('Fleet dates'!$G$9:$G$1008,$I558-8)))</x:f>
      </x:c>
      <x:c r="H558" s="50" t="str">
        <x:f>IF(550&gt;$H$4,"",IF(INDEX('Fleet dates'!$I$9:$I$1008,$I558-8)="","",INDEX('Fleet dates'!$I$9:$I$1008,$I558-8)))</x:f>
      </x:c>
      <x:c r="I558" t="str">
        <x:f>IF(550&gt;$H$4,"",MATCH(550,'Fleet dates'!$J$9:$J$1008,0)+8)</x:f>
      </x:c>
    </x:row>
    <x:row r="559" ht="36" customHeight="1">
      <x:c r="A559" s="50" t="str">
        <x:f>IF(551&gt;$H$4,"",IF(INDEX('Fleet dates'!$A$9:$A$1008,$I559-8)="","",INDEX('Fleet dates'!$A$9:$A$1008,$I559-8)))</x:f>
      </x:c>
      <x:c r="B559" s="50" t="str">
        <x:f>IF(551&gt;$H$4,"",IF(INDEX('Fleet dates'!$B$9:$B$1008,$I559-8)="","",INDEX('Fleet dates'!$B$9:$B$1008,$I559-8)))</x:f>
      </x:c>
      <x:c r="C559" s="51" t="str">
        <x:f>IF(551&gt;$H$4,"",IF(INDEX('Fleet dates'!$C$9:$C$1008,$I559-8)="","",INDEX('Fleet dates'!$C$9:$C$1008,$I559-8)))</x:f>
      </x:c>
      <x:c r="D559" s="51" t="str">
        <x:f>IF(551&gt;$H$4,"",IF(INDEX('Fleet dates'!$D$9:$D$1008,$I559-8)="","",INDEX('Fleet dates'!$D$9:$D$1008,$I559-8)))</x:f>
      </x:c>
      <x:c r="E559" s="51" t="str">
        <x:f>IF(551&gt;$H$4,"",IF(INDEX('Fleet dates'!$E$9:$E$1008,$I559-8)="","",INDEX('Fleet dates'!$E$9:$E$1008,$I559-8)))</x:f>
      </x:c>
      <x:c r="F559" s="51" t="str">
        <x:f>IF(551&gt;$H$4,"",IF(INDEX('Fleet dates'!$F$9:$F$1008,$I559-8)="","",INDEX('Fleet dates'!$F$9:$F$1008,$I559-8)))</x:f>
      </x:c>
      <x:c r="G559" s="50" t="str">
        <x:f>IF(551&gt;$H$4,"",IF(INDEX('Fleet dates'!$G$9:$G$1008,$I559-8)="","",INDEX('Fleet dates'!$G$9:$G$1008,$I559-8)))</x:f>
      </x:c>
      <x:c r="H559" s="50" t="str">
        <x:f>IF(551&gt;$H$4,"",IF(INDEX('Fleet dates'!$I$9:$I$1008,$I559-8)="","",INDEX('Fleet dates'!$I$9:$I$1008,$I559-8)))</x:f>
      </x:c>
      <x:c r="I559" t="str">
        <x:f>IF(551&gt;$H$4,"",MATCH(551,'Fleet dates'!$J$9:$J$1008,0)+8)</x:f>
      </x:c>
    </x:row>
    <x:row r="560" ht="36" customHeight="1">
      <x:c r="A560" s="50" t="str">
        <x:f>IF(552&gt;$H$4,"",IF(INDEX('Fleet dates'!$A$9:$A$1008,$I560-8)="","",INDEX('Fleet dates'!$A$9:$A$1008,$I560-8)))</x:f>
      </x:c>
      <x:c r="B560" s="50" t="str">
        <x:f>IF(552&gt;$H$4,"",IF(INDEX('Fleet dates'!$B$9:$B$1008,$I560-8)="","",INDEX('Fleet dates'!$B$9:$B$1008,$I560-8)))</x:f>
      </x:c>
      <x:c r="C560" s="51" t="str">
        <x:f>IF(552&gt;$H$4,"",IF(INDEX('Fleet dates'!$C$9:$C$1008,$I560-8)="","",INDEX('Fleet dates'!$C$9:$C$1008,$I560-8)))</x:f>
      </x:c>
      <x:c r="D560" s="51" t="str">
        <x:f>IF(552&gt;$H$4,"",IF(INDEX('Fleet dates'!$D$9:$D$1008,$I560-8)="","",INDEX('Fleet dates'!$D$9:$D$1008,$I560-8)))</x:f>
      </x:c>
      <x:c r="E560" s="51" t="str">
        <x:f>IF(552&gt;$H$4,"",IF(INDEX('Fleet dates'!$E$9:$E$1008,$I560-8)="","",INDEX('Fleet dates'!$E$9:$E$1008,$I560-8)))</x:f>
      </x:c>
      <x:c r="F560" s="51" t="str">
        <x:f>IF(552&gt;$H$4,"",IF(INDEX('Fleet dates'!$F$9:$F$1008,$I560-8)="","",INDEX('Fleet dates'!$F$9:$F$1008,$I560-8)))</x:f>
      </x:c>
      <x:c r="G560" s="50" t="str">
        <x:f>IF(552&gt;$H$4,"",IF(INDEX('Fleet dates'!$G$9:$G$1008,$I560-8)="","",INDEX('Fleet dates'!$G$9:$G$1008,$I560-8)))</x:f>
      </x:c>
      <x:c r="H560" s="50" t="str">
        <x:f>IF(552&gt;$H$4,"",IF(INDEX('Fleet dates'!$I$9:$I$1008,$I560-8)="","",INDEX('Fleet dates'!$I$9:$I$1008,$I560-8)))</x:f>
      </x:c>
      <x:c r="I560" t="str">
        <x:f>IF(552&gt;$H$4,"",MATCH(552,'Fleet dates'!$J$9:$J$1008,0)+8)</x:f>
      </x:c>
    </x:row>
    <x:row r="561" ht="36" customHeight="1">
      <x:c r="A561" s="50" t="str">
        <x:f>IF(553&gt;$H$4,"",IF(INDEX('Fleet dates'!$A$9:$A$1008,$I561-8)="","",INDEX('Fleet dates'!$A$9:$A$1008,$I561-8)))</x:f>
      </x:c>
      <x:c r="B561" s="50" t="str">
        <x:f>IF(553&gt;$H$4,"",IF(INDEX('Fleet dates'!$B$9:$B$1008,$I561-8)="","",INDEX('Fleet dates'!$B$9:$B$1008,$I561-8)))</x:f>
      </x:c>
      <x:c r="C561" s="51" t="str">
        <x:f>IF(553&gt;$H$4,"",IF(INDEX('Fleet dates'!$C$9:$C$1008,$I561-8)="","",INDEX('Fleet dates'!$C$9:$C$1008,$I561-8)))</x:f>
      </x:c>
      <x:c r="D561" s="51" t="str">
        <x:f>IF(553&gt;$H$4,"",IF(INDEX('Fleet dates'!$D$9:$D$1008,$I561-8)="","",INDEX('Fleet dates'!$D$9:$D$1008,$I561-8)))</x:f>
      </x:c>
      <x:c r="E561" s="51" t="str">
        <x:f>IF(553&gt;$H$4,"",IF(INDEX('Fleet dates'!$E$9:$E$1008,$I561-8)="","",INDEX('Fleet dates'!$E$9:$E$1008,$I561-8)))</x:f>
      </x:c>
      <x:c r="F561" s="51" t="str">
        <x:f>IF(553&gt;$H$4,"",IF(INDEX('Fleet dates'!$F$9:$F$1008,$I561-8)="","",INDEX('Fleet dates'!$F$9:$F$1008,$I561-8)))</x:f>
      </x:c>
      <x:c r="G561" s="50" t="str">
        <x:f>IF(553&gt;$H$4,"",IF(INDEX('Fleet dates'!$G$9:$G$1008,$I561-8)="","",INDEX('Fleet dates'!$G$9:$G$1008,$I561-8)))</x:f>
      </x:c>
      <x:c r="H561" s="50" t="str">
        <x:f>IF(553&gt;$H$4,"",IF(INDEX('Fleet dates'!$I$9:$I$1008,$I561-8)="","",INDEX('Fleet dates'!$I$9:$I$1008,$I561-8)))</x:f>
      </x:c>
      <x:c r="I561" t="str">
        <x:f>IF(553&gt;$H$4,"",MATCH(553,'Fleet dates'!$J$9:$J$1008,0)+8)</x:f>
      </x:c>
    </x:row>
    <x:row r="562" ht="36" customHeight="1">
      <x:c r="A562" s="50" t="str">
        <x:f>IF(554&gt;$H$4,"",IF(INDEX('Fleet dates'!$A$9:$A$1008,$I562-8)="","",INDEX('Fleet dates'!$A$9:$A$1008,$I562-8)))</x:f>
      </x:c>
      <x:c r="B562" s="50" t="str">
        <x:f>IF(554&gt;$H$4,"",IF(INDEX('Fleet dates'!$B$9:$B$1008,$I562-8)="","",INDEX('Fleet dates'!$B$9:$B$1008,$I562-8)))</x:f>
      </x:c>
      <x:c r="C562" s="51" t="str">
        <x:f>IF(554&gt;$H$4,"",IF(INDEX('Fleet dates'!$C$9:$C$1008,$I562-8)="","",INDEX('Fleet dates'!$C$9:$C$1008,$I562-8)))</x:f>
      </x:c>
      <x:c r="D562" s="51" t="str">
        <x:f>IF(554&gt;$H$4,"",IF(INDEX('Fleet dates'!$D$9:$D$1008,$I562-8)="","",INDEX('Fleet dates'!$D$9:$D$1008,$I562-8)))</x:f>
      </x:c>
      <x:c r="E562" s="51" t="str">
        <x:f>IF(554&gt;$H$4,"",IF(INDEX('Fleet dates'!$E$9:$E$1008,$I562-8)="","",INDEX('Fleet dates'!$E$9:$E$1008,$I562-8)))</x:f>
      </x:c>
      <x:c r="F562" s="51" t="str">
        <x:f>IF(554&gt;$H$4,"",IF(INDEX('Fleet dates'!$F$9:$F$1008,$I562-8)="","",INDEX('Fleet dates'!$F$9:$F$1008,$I562-8)))</x:f>
      </x:c>
      <x:c r="G562" s="50" t="str">
        <x:f>IF(554&gt;$H$4,"",IF(INDEX('Fleet dates'!$G$9:$G$1008,$I562-8)="","",INDEX('Fleet dates'!$G$9:$G$1008,$I562-8)))</x:f>
      </x:c>
      <x:c r="H562" s="50" t="str">
        <x:f>IF(554&gt;$H$4,"",IF(INDEX('Fleet dates'!$I$9:$I$1008,$I562-8)="","",INDEX('Fleet dates'!$I$9:$I$1008,$I562-8)))</x:f>
      </x:c>
      <x:c r="I562" t="str">
        <x:f>IF(554&gt;$H$4,"",MATCH(554,'Fleet dates'!$J$9:$J$1008,0)+8)</x:f>
      </x:c>
    </x:row>
    <x:row r="563" ht="36" customHeight="1">
      <x:c r="A563" s="50" t="str">
        <x:f>IF(555&gt;$H$4,"",IF(INDEX('Fleet dates'!$A$9:$A$1008,$I563-8)="","",INDEX('Fleet dates'!$A$9:$A$1008,$I563-8)))</x:f>
      </x:c>
      <x:c r="B563" s="50" t="str">
        <x:f>IF(555&gt;$H$4,"",IF(INDEX('Fleet dates'!$B$9:$B$1008,$I563-8)="","",INDEX('Fleet dates'!$B$9:$B$1008,$I563-8)))</x:f>
      </x:c>
      <x:c r="C563" s="51" t="str">
        <x:f>IF(555&gt;$H$4,"",IF(INDEX('Fleet dates'!$C$9:$C$1008,$I563-8)="","",INDEX('Fleet dates'!$C$9:$C$1008,$I563-8)))</x:f>
      </x:c>
      <x:c r="D563" s="51" t="str">
        <x:f>IF(555&gt;$H$4,"",IF(INDEX('Fleet dates'!$D$9:$D$1008,$I563-8)="","",INDEX('Fleet dates'!$D$9:$D$1008,$I563-8)))</x:f>
      </x:c>
      <x:c r="E563" s="51" t="str">
        <x:f>IF(555&gt;$H$4,"",IF(INDEX('Fleet dates'!$E$9:$E$1008,$I563-8)="","",INDEX('Fleet dates'!$E$9:$E$1008,$I563-8)))</x:f>
      </x:c>
      <x:c r="F563" s="51" t="str">
        <x:f>IF(555&gt;$H$4,"",IF(INDEX('Fleet dates'!$F$9:$F$1008,$I563-8)="","",INDEX('Fleet dates'!$F$9:$F$1008,$I563-8)))</x:f>
      </x:c>
      <x:c r="G563" s="50" t="str">
        <x:f>IF(555&gt;$H$4,"",IF(INDEX('Fleet dates'!$G$9:$G$1008,$I563-8)="","",INDEX('Fleet dates'!$G$9:$G$1008,$I563-8)))</x:f>
      </x:c>
      <x:c r="H563" s="50" t="str">
        <x:f>IF(555&gt;$H$4,"",IF(INDEX('Fleet dates'!$I$9:$I$1008,$I563-8)="","",INDEX('Fleet dates'!$I$9:$I$1008,$I563-8)))</x:f>
      </x:c>
      <x:c r="I563" t="str">
        <x:f>IF(555&gt;$H$4,"",MATCH(555,'Fleet dates'!$J$9:$J$1008,0)+8)</x:f>
      </x:c>
    </x:row>
    <x:row r="564" ht="36" customHeight="1">
      <x:c r="A564" s="50" t="str">
        <x:f>IF(556&gt;$H$4,"",IF(INDEX('Fleet dates'!$A$9:$A$1008,$I564-8)="","",INDEX('Fleet dates'!$A$9:$A$1008,$I564-8)))</x:f>
      </x:c>
      <x:c r="B564" s="50" t="str">
        <x:f>IF(556&gt;$H$4,"",IF(INDEX('Fleet dates'!$B$9:$B$1008,$I564-8)="","",INDEX('Fleet dates'!$B$9:$B$1008,$I564-8)))</x:f>
      </x:c>
      <x:c r="C564" s="51" t="str">
        <x:f>IF(556&gt;$H$4,"",IF(INDEX('Fleet dates'!$C$9:$C$1008,$I564-8)="","",INDEX('Fleet dates'!$C$9:$C$1008,$I564-8)))</x:f>
      </x:c>
      <x:c r="D564" s="51" t="str">
        <x:f>IF(556&gt;$H$4,"",IF(INDEX('Fleet dates'!$D$9:$D$1008,$I564-8)="","",INDEX('Fleet dates'!$D$9:$D$1008,$I564-8)))</x:f>
      </x:c>
      <x:c r="E564" s="51" t="str">
        <x:f>IF(556&gt;$H$4,"",IF(INDEX('Fleet dates'!$E$9:$E$1008,$I564-8)="","",INDEX('Fleet dates'!$E$9:$E$1008,$I564-8)))</x:f>
      </x:c>
      <x:c r="F564" s="51" t="str">
        <x:f>IF(556&gt;$H$4,"",IF(INDEX('Fleet dates'!$F$9:$F$1008,$I564-8)="","",INDEX('Fleet dates'!$F$9:$F$1008,$I564-8)))</x:f>
      </x:c>
      <x:c r="G564" s="50" t="str">
        <x:f>IF(556&gt;$H$4,"",IF(INDEX('Fleet dates'!$G$9:$G$1008,$I564-8)="","",INDEX('Fleet dates'!$G$9:$G$1008,$I564-8)))</x:f>
      </x:c>
      <x:c r="H564" s="50" t="str">
        <x:f>IF(556&gt;$H$4,"",IF(INDEX('Fleet dates'!$I$9:$I$1008,$I564-8)="","",INDEX('Fleet dates'!$I$9:$I$1008,$I564-8)))</x:f>
      </x:c>
      <x:c r="I564" t="str">
        <x:f>IF(556&gt;$H$4,"",MATCH(556,'Fleet dates'!$J$9:$J$1008,0)+8)</x:f>
      </x:c>
    </x:row>
    <x:row r="565" ht="36" customHeight="1">
      <x:c r="A565" s="50" t="str">
        <x:f>IF(557&gt;$H$4,"",IF(INDEX('Fleet dates'!$A$9:$A$1008,$I565-8)="","",INDEX('Fleet dates'!$A$9:$A$1008,$I565-8)))</x:f>
      </x:c>
      <x:c r="B565" s="50" t="str">
        <x:f>IF(557&gt;$H$4,"",IF(INDEX('Fleet dates'!$B$9:$B$1008,$I565-8)="","",INDEX('Fleet dates'!$B$9:$B$1008,$I565-8)))</x:f>
      </x:c>
      <x:c r="C565" s="51" t="str">
        <x:f>IF(557&gt;$H$4,"",IF(INDEX('Fleet dates'!$C$9:$C$1008,$I565-8)="","",INDEX('Fleet dates'!$C$9:$C$1008,$I565-8)))</x:f>
      </x:c>
      <x:c r="D565" s="51" t="str">
        <x:f>IF(557&gt;$H$4,"",IF(INDEX('Fleet dates'!$D$9:$D$1008,$I565-8)="","",INDEX('Fleet dates'!$D$9:$D$1008,$I565-8)))</x:f>
      </x:c>
      <x:c r="E565" s="51" t="str">
        <x:f>IF(557&gt;$H$4,"",IF(INDEX('Fleet dates'!$E$9:$E$1008,$I565-8)="","",INDEX('Fleet dates'!$E$9:$E$1008,$I565-8)))</x:f>
      </x:c>
      <x:c r="F565" s="51" t="str">
        <x:f>IF(557&gt;$H$4,"",IF(INDEX('Fleet dates'!$F$9:$F$1008,$I565-8)="","",INDEX('Fleet dates'!$F$9:$F$1008,$I565-8)))</x:f>
      </x:c>
      <x:c r="G565" s="50" t="str">
        <x:f>IF(557&gt;$H$4,"",IF(INDEX('Fleet dates'!$G$9:$G$1008,$I565-8)="","",INDEX('Fleet dates'!$G$9:$G$1008,$I565-8)))</x:f>
      </x:c>
      <x:c r="H565" s="50" t="str">
        <x:f>IF(557&gt;$H$4,"",IF(INDEX('Fleet dates'!$I$9:$I$1008,$I565-8)="","",INDEX('Fleet dates'!$I$9:$I$1008,$I565-8)))</x:f>
      </x:c>
      <x:c r="I565" t="str">
        <x:f>IF(557&gt;$H$4,"",MATCH(557,'Fleet dates'!$J$9:$J$1008,0)+8)</x:f>
      </x:c>
    </x:row>
    <x:row r="566" ht="36" customHeight="1">
      <x:c r="A566" s="50" t="str">
        <x:f>IF(558&gt;$H$4,"",IF(INDEX('Fleet dates'!$A$9:$A$1008,$I566-8)="","",INDEX('Fleet dates'!$A$9:$A$1008,$I566-8)))</x:f>
      </x:c>
      <x:c r="B566" s="50" t="str">
        <x:f>IF(558&gt;$H$4,"",IF(INDEX('Fleet dates'!$B$9:$B$1008,$I566-8)="","",INDEX('Fleet dates'!$B$9:$B$1008,$I566-8)))</x:f>
      </x:c>
      <x:c r="C566" s="51" t="str">
        <x:f>IF(558&gt;$H$4,"",IF(INDEX('Fleet dates'!$C$9:$C$1008,$I566-8)="","",INDEX('Fleet dates'!$C$9:$C$1008,$I566-8)))</x:f>
      </x:c>
      <x:c r="D566" s="51" t="str">
        <x:f>IF(558&gt;$H$4,"",IF(INDEX('Fleet dates'!$D$9:$D$1008,$I566-8)="","",INDEX('Fleet dates'!$D$9:$D$1008,$I566-8)))</x:f>
      </x:c>
      <x:c r="E566" s="51" t="str">
        <x:f>IF(558&gt;$H$4,"",IF(INDEX('Fleet dates'!$E$9:$E$1008,$I566-8)="","",INDEX('Fleet dates'!$E$9:$E$1008,$I566-8)))</x:f>
      </x:c>
      <x:c r="F566" s="51" t="str">
        <x:f>IF(558&gt;$H$4,"",IF(INDEX('Fleet dates'!$F$9:$F$1008,$I566-8)="","",INDEX('Fleet dates'!$F$9:$F$1008,$I566-8)))</x:f>
      </x:c>
      <x:c r="G566" s="50" t="str">
        <x:f>IF(558&gt;$H$4,"",IF(INDEX('Fleet dates'!$G$9:$G$1008,$I566-8)="","",INDEX('Fleet dates'!$G$9:$G$1008,$I566-8)))</x:f>
      </x:c>
      <x:c r="H566" s="50" t="str">
        <x:f>IF(558&gt;$H$4,"",IF(INDEX('Fleet dates'!$I$9:$I$1008,$I566-8)="","",INDEX('Fleet dates'!$I$9:$I$1008,$I566-8)))</x:f>
      </x:c>
      <x:c r="I566" t="str">
        <x:f>IF(558&gt;$H$4,"",MATCH(558,'Fleet dates'!$J$9:$J$1008,0)+8)</x:f>
      </x:c>
    </x:row>
    <x:row r="567" ht="36" customHeight="1">
      <x:c r="A567" s="50" t="str">
        <x:f>IF(559&gt;$H$4,"",IF(INDEX('Fleet dates'!$A$9:$A$1008,$I567-8)="","",INDEX('Fleet dates'!$A$9:$A$1008,$I567-8)))</x:f>
      </x:c>
      <x:c r="B567" s="50" t="str">
        <x:f>IF(559&gt;$H$4,"",IF(INDEX('Fleet dates'!$B$9:$B$1008,$I567-8)="","",INDEX('Fleet dates'!$B$9:$B$1008,$I567-8)))</x:f>
      </x:c>
      <x:c r="C567" s="51" t="str">
        <x:f>IF(559&gt;$H$4,"",IF(INDEX('Fleet dates'!$C$9:$C$1008,$I567-8)="","",INDEX('Fleet dates'!$C$9:$C$1008,$I567-8)))</x:f>
      </x:c>
      <x:c r="D567" s="51" t="str">
        <x:f>IF(559&gt;$H$4,"",IF(INDEX('Fleet dates'!$D$9:$D$1008,$I567-8)="","",INDEX('Fleet dates'!$D$9:$D$1008,$I567-8)))</x:f>
      </x:c>
      <x:c r="E567" s="51" t="str">
        <x:f>IF(559&gt;$H$4,"",IF(INDEX('Fleet dates'!$E$9:$E$1008,$I567-8)="","",INDEX('Fleet dates'!$E$9:$E$1008,$I567-8)))</x:f>
      </x:c>
      <x:c r="F567" s="51" t="str">
        <x:f>IF(559&gt;$H$4,"",IF(INDEX('Fleet dates'!$F$9:$F$1008,$I567-8)="","",INDEX('Fleet dates'!$F$9:$F$1008,$I567-8)))</x:f>
      </x:c>
      <x:c r="G567" s="50" t="str">
        <x:f>IF(559&gt;$H$4,"",IF(INDEX('Fleet dates'!$G$9:$G$1008,$I567-8)="","",INDEX('Fleet dates'!$G$9:$G$1008,$I567-8)))</x:f>
      </x:c>
      <x:c r="H567" s="50" t="str">
        <x:f>IF(559&gt;$H$4,"",IF(INDEX('Fleet dates'!$I$9:$I$1008,$I567-8)="","",INDEX('Fleet dates'!$I$9:$I$1008,$I567-8)))</x:f>
      </x:c>
      <x:c r="I567" t="str">
        <x:f>IF(559&gt;$H$4,"",MATCH(559,'Fleet dates'!$J$9:$J$1008,0)+8)</x:f>
      </x:c>
    </x:row>
    <x:row r="568" ht="36" customHeight="1">
      <x:c r="A568" s="50" t="str">
        <x:f>IF(560&gt;$H$4,"",IF(INDEX('Fleet dates'!$A$9:$A$1008,$I568-8)="","",INDEX('Fleet dates'!$A$9:$A$1008,$I568-8)))</x:f>
      </x:c>
      <x:c r="B568" s="50" t="str">
        <x:f>IF(560&gt;$H$4,"",IF(INDEX('Fleet dates'!$B$9:$B$1008,$I568-8)="","",INDEX('Fleet dates'!$B$9:$B$1008,$I568-8)))</x:f>
      </x:c>
      <x:c r="C568" s="51" t="str">
        <x:f>IF(560&gt;$H$4,"",IF(INDEX('Fleet dates'!$C$9:$C$1008,$I568-8)="","",INDEX('Fleet dates'!$C$9:$C$1008,$I568-8)))</x:f>
      </x:c>
      <x:c r="D568" s="51" t="str">
        <x:f>IF(560&gt;$H$4,"",IF(INDEX('Fleet dates'!$D$9:$D$1008,$I568-8)="","",INDEX('Fleet dates'!$D$9:$D$1008,$I568-8)))</x:f>
      </x:c>
      <x:c r="E568" s="51" t="str">
        <x:f>IF(560&gt;$H$4,"",IF(INDEX('Fleet dates'!$E$9:$E$1008,$I568-8)="","",INDEX('Fleet dates'!$E$9:$E$1008,$I568-8)))</x:f>
      </x:c>
      <x:c r="F568" s="51" t="str">
        <x:f>IF(560&gt;$H$4,"",IF(INDEX('Fleet dates'!$F$9:$F$1008,$I568-8)="","",INDEX('Fleet dates'!$F$9:$F$1008,$I568-8)))</x:f>
      </x:c>
      <x:c r="G568" s="50" t="str">
        <x:f>IF(560&gt;$H$4,"",IF(INDEX('Fleet dates'!$G$9:$G$1008,$I568-8)="","",INDEX('Fleet dates'!$G$9:$G$1008,$I568-8)))</x:f>
      </x:c>
      <x:c r="H568" s="50" t="str">
        <x:f>IF(560&gt;$H$4,"",IF(INDEX('Fleet dates'!$I$9:$I$1008,$I568-8)="","",INDEX('Fleet dates'!$I$9:$I$1008,$I568-8)))</x:f>
      </x:c>
      <x:c r="I568" t="str">
        <x:f>IF(560&gt;$H$4,"",MATCH(560,'Fleet dates'!$J$9:$J$1008,0)+8)</x:f>
      </x:c>
    </x:row>
    <x:row r="569" ht="36" customHeight="1">
      <x:c r="A569" s="50" t="str">
        <x:f>IF(561&gt;$H$4,"",IF(INDEX('Fleet dates'!$A$9:$A$1008,$I569-8)="","",INDEX('Fleet dates'!$A$9:$A$1008,$I569-8)))</x:f>
      </x:c>
      <x:c r="B569" s="50" t="str">
        <x:f>IF(561&gt;$H$4,"",IF(INDEX('Fleet dates'!$B$9:$B$1008,$I569-8)="","",INDEX('Fleet dates'!$B$9:$B$1008,$I569-8)))</x:f>
      </x:c>
      <x:c r="C569" s="51" t="str">
        <x:f>IF(561&gt;$H$4,"",IF(INDEX('Fleet dates'!$C$9:$C$1008,$I569-8)="","",INDEX('Fleet dates'!$C$9:$C$1008,$I569-8)))</x:f>
      </x:c>
      <x:c r="D569" s="51" t="str">
        <x:f>IF(561&gt;$H$4,"",IF(INDEX('Fleet dates'!$D$9:$D$1008,$I569-8)="","",INDEX('Fleet dates'!$D$9:$D$1008,$I569-8)))</x:f>
      </x:c>
      <x:c r="E569" s="51" t="str">
        <x:f>IF(561&gt;$H$4,"",IF(INDEX('Fleet dates'!$E$9:$E$1008,$I569-8)="","",INDEX('Fleet dates'!$E$9:$E$1008,$I569-8)))</x:f>
      </x:c>
      <x:c r="F569" s="51" t="str">
        <x:f>IF(561&gt;$H$4,"",IF(INDEX('Fleet dates'!$F$9:$F$1008,$I569-8)="","",INDEX('Fleet dates'!$F$9:$F$1008,$I569-8)))</x:f>
      </x:c>
      <x:c r="G569" s="50" t="str">
        <x:f>IF(561&gt;$H$4,"",IF(INDEX('Fleet dates'!$G$9:$G$1008,$I569-8)="","",INDEX('Fleet dates'!$G$9:$G$1008,$I569-8)))</x:f>
      </x:c>
      <x:c r="H569" s="50" t="str">
        <x:f>IF(561&gt;$H$4,"",IF(INDEX('Fleet dates'!$I$9:$I$1008,$I569-8)="","",INDEX('Fleet dates'!$I$9:$I$1008,$I569-8)))</x:f>
      </x:c>
      <x:c r="I569" t="str">
        <x:f>IF(561&gt;$H$4,"",MATCH(561,'Fleet dates'!$J$9:$J$1008,0)+8)</x:f>
      </x:c>
    </x:row>
    <x:row r="570" ht="36" customHeight="1">
      <x:c r="A570" s="50" t="str">
        <x:f>IF(562&gt;$H$4,"",IF(INDEX('Fleet dates'!$A$9:$A$1008,$I570-8)="","",INDEX('Fleet dates'!$A$9:$A$1008,$I570-8)))</x:f>
      </x:c>
      <x:c r="B570" s="50" t="str">
        <x:f>IF(562&gt;$H$4,"",IF(INDEX('Fleet dates'!$B$9:$B$1008,$I570-8)="","",INDEX('Fleet dates'!$B$9:$B$1008,$I570-8)))</x:f>
      </x:c>
      <x:c r="C570" s="51" t="str">
        <x:f>IF(562&gt;$H$4,"",IF(INDEX('Fleet dates'!$C$9:$C$1008,$I570-8)="","",INDEX('Fleet dates'!$C$9:$C$1008,$I570-8)))</x:f>
      </x:c>
      <x:c r="D570" s="51" t="str">
        <x:f>IF(562&gt;$H$4,"",IF(INDEX('Fleet dates'!$D$9:$D$1008,$I570-8)="","",INDEX('Fleet dates'!$D$9:$D$1008,$I570-8)))</x:f>
      </x:c>
      <x:c r="E570" s="51" t="str">
        <x:f>IF(562&gt;$H$4,"",IF(INDEX('Fleet dates'!$E$9:$E$1008,$I570-8)="","",INDEX('Fleet dates'!$E$9:$E$1008,$I570-8)))</x:f>
      </x:c>
      <x:c r="F570" s="51" t="str">
        <x:f>IF(562&gt;$H$4,"",IF(INDEX('Fleet dates'!$F$9:$F$1008,$I570-8)="","",INDEX('Fleet dates'!$F$9:$F$1008,$I570-8)))</x:f>
      </x:c>
      <x:c r="G570" s="50" t="str">
        <x:f>IF(562&gt;$H$4,"",IF(INDEX('Fleet dates'!$G$9:$G$1008,$I570-8)="","",INDEX('Fleet dates'!$G$9:$G$1008,$I570-8)))</x:f>
      </x:c>
      <x:c r="H570" s="50" t="str">
        <x:f>IF(562&gt;$H$4,"",IF(INDEX('Fleet dates'!$I$9:$I$1008,$I570-8)="","",INDEX('Fleet dates'!$I$9:$I$1008,$I570-8)))</x:f>
      </x:c>
      <x:c r="I570" t="str">
        <x:f>IF(562&gt;$H$4,"",MATCH(562,'Fleet dates'!$J$9:$J$1008,0)+8)</x:f>
      </x:c>
    </x:row>
    <x:row r="571" ht="36" customHeight="1">
      <x:c r="A571" s="50" t="str">
        <x:f>IF(563&gt;$H$4,"",IF(INDEX('Fleet dates'!$A$9:$A$1008,$I571-8)="","",INDEX('Fleet dates'!$A$9:$A$1008,$I571-8)))</x:f>
      </x:c>
      <x:c r="B571" s="50" t="str">
        <x:f>IF(563&gt;$H$4,"",IF(INDEX('Fleet dates'!$B$9:$B$1008,$I571-8)="","",INDEX('Fleet dates'!$B$9:$B$1008,$I571-8)))</x:f>
      </x:c>
      <x:c r="C571" s="51" t="str">
        <x:f>IF(563&gt;$H$4,"",IF(INDEX('Fleet dates'!$C$9:$C$1008,$I571-8)="","",INDEX('Fleet dates'!$C$9:$C$1008,$I571-8)))</x:f>
      </x:c>
      <x:c r="D571" s="51" t="str">
        <x:f>IF(563&gt;$H$4,"",IF(INDEX('Fleet dates'!$D$9:$D$1008,$I571-8)="","",INDEX('Fleet dates'!$D$9:$D$1008,$I571-8)))</x:f>
      </x:c>
      <x:c r="E571" s="51" t="str">
        <x:f>IF(563&gt;$H$4,"",IF(INDEX('Fleet dates'!$E$9:$E$1008,$I571-8)="","",INDEX('Fleet dates'!$E$9:$E$1008,$I571-8)))</x:f>
      </x:c>
      <x:c r="F571" s="51" t="str">
        <x:f>IF(563&gt;$H$4,"",IF(INDEX('Fleet dates'!$F$9:$F$1008,$I571-8)="","",INDEX('Fleet dates'!$F$9:$F$1008,$I571-8)))</x:f>
      </x:c>
      <x:c r="G571" s="50" t="str">
        <x:f>IF(563&gt;$H$4,"",IF(INDEX('Fleet dates'!$G$9:$G$1008,$I571-8)="","",INDEX('Fleet dates'!$G$9:$G$1008,$I571-8)))</x:f>
      </x:c>
      <x:c r="H571" s="50" t="str">
        <x:f>IF(563&gt;$H$4,"",IF(INDEX('Fleet dates'!$I$9:$I$1008,$I571-8)="","",INDEX('Fleet dates'!$I$9:$I$1008,$I571-8)))</x:f>
      </x:c>
      <x:c r="I571" t="str">
        <x:f>IF(563&gt;$H$4,"",MATCH(563,'Fleet dates'!$J$9:$J$1008,0)+8)</x:f>
      </x:c>
    </x:row>
    <x:row r="572" ht="36" customHeight="1">
      <x:c r="A572" s="50" t="str">
        <x:f>IF(564&gt;$H$4,"",IF(INDEX('Fleet dates'!$A$9:$A$1008,$I572-8)="","",INDEX('Fleet dates'!$A$9:$A$1008,$I572-8)))</x:f>
      </x:c>
      <x:c r="B572" s="50" t="str">
        <x:f>IF(564&gt;$H$4,"",IF(INDEX('Fleet dates'!$B$9:$B$1008,$I572-8)="","",INDEX('Fleet dates'!$B$9:$B$1008,$I572-8)))</x:f>
      </x:c>
      <x:c r="C572" s="51" t="str">
        <x:f>IF(564&gt;$H$4,"",IF(INDEX('Fleet dates'!$C$9:$C$1008,$I572-8)="","",INDEX('Fleet dates'!$C$9:$C$1008,$I572-8)))</x:f>
      </x:c>
      <x:c r="D572" s="51" t="str">
        <x:f>IF(564&gt;$H$4,"",IF(INDEX('Fleet dates'!$D$9:$D$1008,$I572-8)="","",INDEX('Fleet dates'!$D$9:$D$1008,$I572-8)))</x:f>
      </x:c>
      <x:c r="E572" s="51" t="str">
        <x:f>IF(564&gt;$H$4,"",IF(INDEX('Fleet dates'!$E$9:$E$1008,$I572-8)="","",INDEX('Fleet dates'!$E$9:$E$1008,$I572-8)))</x:f>
      </x:c>
      <x:c r="F572" s="51" t="str">
        <x:f>IF(564&gt;$H$4,"",IF(INDEX('Fleet dates'!$F$9:$F$1008,$I572-8)="","",INDEX('Fleet dates'!$F$9:$F$1008,$I572-8)))</x:f>
      </x:c>
      <x:c r="G572" s="50" t="str">
        <x:f>IF(564&gt;$H$4,"",IF(INDEX('Fleet dates'!$G$9:$G$1008,$I572-8)="","",INDEX('Fleet dates'!$G$9:$G$1008,$I572-8)))</x:f>
      </x:c>
      <x:c r="H572" s="50" t="str">
        <x:f>IF(564&gt;$H$4,"",IF(INDEX('Fleet dates'!$I$9:$I$1008,$I572-8)="","",INDEX('Fleet dates'!$I$9:$I$1008,$I572-8)))</x:f>
      </x:c>
      <x:c r="I572" t="str">
        <x:f>IF(564&gt;$H$4,"",MATCH(564,'Fleet dates'!$J$9:$J$1008,0)+8)</x:f>
      </x:c>
    </x:row>
    <x:row r="573" ht="36" customHeight="1">
      <x:c r="A573" s="50" t="str">
        <x:f>IF(565&gt;$H$4,"",IF(INDEX('Fleet dates'!$A$9:$A$1008,$I573-8)="","",INDEX('Fleet dates'!$A$9:$A$1008,$I573-8)))</x:f>
      </x:c>
      <x:c r="B573" s="50" t="str">
        <x:f>IF(565&gt;$H$4,"",IF(INDEX('Fleet dates'!$B$9:$B$1008,$I573-8)="","",INDEX('Fleet dates'!$B$9:$B$1008,$I573-8)))</x:f>
      </x:c>
      <x:c r="C573" s="51" t="str">
        <x:f>IF(565&gt;$H$4,"",IF(INDEX('Fleet dates'!$C$9:$C$1008,$I573-8)="","",INDEX('Fleet dates'!$C$9:$C$1008,$I573-8)))</x:f>
      </x:c>
      <x:c r="D573" s="51" t="str">
        <x:f>IF(565&gt;$H$4,"",IF(INDEX('Fleet dates'!$D$9:$D$1008,$I573-8)="","",INDEX('Fleet dates'!$D$9:$D$1008,$I573-8)))</x:f>
      </x:c>
      <x:c r="E573" s="51" t="str">
        <x:f>IF(565&gt;$H$4,"",IF(INDEX('Fleet dates'!$E$9:$E$1008,$I573-8)="","",INDEX('Fleet dates'!$E$9:$E$1008,$I573-8)))</x:f>
      </x:c>
      <x:c r="F573" s="51" t="str">
        <x:f>IF(565&gt;$H$4,"",IF(INDEX('Fleet dates'!$F$9:$F$1008,$I573-8)="","",INDEX('Fleet dates'!$F$9:$F$1008,$I573-8)))</x:f>
      </x:c>
      <x:c r="G573" s="50" t="str">
        <x:f>IF(565&gt;$H$4,"",IF(INDEX('Fleet dates'!$G$9:$G$1008,$I573-8)="","",INDEX('Fleet dates'!$G$9:$G$1008,$I573-8)))</x:f>
      </x:c>
      <x:c r="H573" s="50" t="str">
        <x:f>IF(565&gt;$H$4,"",IF(INDEX('Fleet dates'!$I$9:$I$1008,$I573-8)="","",INDEX('Fleet dates'!$I$9:$I$1008,$I573-8)))</x:f>
      </x:c>
      <x:c r="I573" t="str">
        <x:f>IF(565&gt;$H$4,"",MATCH(565,'Fleet dates'!$J$9:$J$1008,0)+8)</x:f>
      </x:c>
    </x:row>
    <x:row r="574" ht="36" customHeight="1">
      <x:c r="A574" s="50" t="str">
        <x:f>IF(566&gt;$H$4,"",IF(INDEX('Fleet dates'!$A$9:$A$1008,$I574-8)="","",INDEX('Fleet dates'!$A$9:$A$1008,$I574-8)))</x:f>
      </x:c>
      <x:c r="B574" s="50" t="str">
        <x:f>IF(566&gt;$H$4,"",IF(INDEX('Fleet dates'!$B$9:$B$1008,$I574-8)="","",INDEX('Fleet dates'!$B$9:$B$1008,$I574-8)))</x:f>
      </x:c>
      <x:c r="C574" s="51" t="str">
        <x:f>IF(566&gt;$H$4,"",IF(INDEX('Fleet dates'!$C$9:$C$1008,$I574-8)="","",INDEX('Fleet dates'!$C$9:$C$1008,$I574-8)))</x:f>
      </x:c>
      <x:c r="D574" s="51" t="str">
        <x:f>IF(566&gt;$H$4,"",IF(INDEX('Fleet dates'!$D$9:$D$1008,$I574-8)="","",INDEX('Fleet dates'!$D$9:$D$1008,$I574-8)))</x:f>
      </x:c>
      <x:c r="E574" s="51" t="str">
        <x:f>IF(566&gt;$H$4,"",IF(INDEX('Fleet dates'!$E$9:$E$1008,$I574-8)="","",INDEX('Fleet dates'!$E$9:$E$1008,$I574-8)))</x:f>
      </x:c>
      <x:c r="F574" s="51" t="str">
        <x:f>IF(566&gt;$H$4,"",IF(INDEX('Fleet dates'!$F$9:$F$1008,$I574-8)="","",INDEX('Fleet dates'!$F$9:$F$1008,$I574-8)))</x:f>
      </x:c>
      <x:c r="G574" s="50" t="str">
        <x:f>IF(566&gt;$H$4,"",IF(INDEX('Fleet dates'!$G$9:$G$1008,$I574-8)="","",INDEX('Fleet dates'!$G$9:$G$1008,$I574-8)))</x:f>
      </x:c>
      <x:c r="H574" s="50" t="str">
        <x:f>IF(566&gt;$H$4,"",IF(INDEX('Fleet dates'!$I$9:$I$1008,$I574-8)="","",INDEX('Fleet dates'!$I$9:$I$1008,$I574-8)))</x:f>
      </x:c>
      <x:c r="I574" t="str">
        <x:f>IF(566&gt;$H$4,"",MATCH(566,'Fleet dates'!$J$9:$J$1008,0)+8)</x:f>
      </x:c>
    </x:row>
    <x:row r="575" ht="36" customHeight="1">
      <x:c r="A575" s="50" t="str">
        <x:f>IF(567&gt;$H$4,"",IF(INDEX('Fleet dates'!$A$9:$A$1008,$I575-8)="","",INDEX('Fleet dates'!$A$9:$A$1008,$I575-8)))</x:f>
      </x:c>
      <x:c r="B575" s="50" t="str">
        <x:f>IF(567&gt;$H$4,"",IF(INDEX('Fleet dates'!$B$9:$B$1008,$I575-8)="","",INDEX('Fleet dates'!$B$9:$B$1008,$I575-8)))</x:f>
      </x:c>
      <x:c r="C575" s="51" t="str">
        <x:f>IF(567&gt;$H$4,"",IF(INDEX('Fleet dates'!$C$9:$C$1008,$I575-8)="","",INDEX('Fleet dates'!$C$9:$C$1008,$I575-8)))</x:f>
      </x:c>
      <x:c r="D575" s="51" t="str">
        <x:f>IF(567&gt;$H$4,"",IF(INDEX('Fleet dates'!$D$9:$D$1008,$I575-8)="","",INDEX('Fleet dates'!$D$9:$D$1008,$I575-8)))</x:f>
      </x:c>
      <x:c r="E575" s="51" t="str">
        <x:f>IF(567&gt;$H$4,"",IF(INDEX('Fleet dates'!$E$9:$E$1008,$I575-8)="","",INDEX('Fleet dates'!$E$9:$E$1008,$I575-8)))</x:f>
      </x:c>
      <x:c r="F575" s="51" t="str">
        <x:f>IF(567&gt;$H$4,"",IF(INDEX('Fleet dates'!$F$9:$F$1008,$I575-8)="","",INDEX('Fleet dates'!$F$9:$F$1008,$I575-8)))</x:f>
      </x:c>
      <x:c r="G575" s="50" t="str">
        <x:f>IF(567&gt;$H$4,"",IF(INDEX('Fleet dates'!$G$9:$G$1008,$I575-8)="","",INDEX('Fleet dates'!$G$9:$G$1008,$I575-8)))</x:f>
      </x:c>
      <x:c r="H575" s="50" t="str">
        <x:f>IF(567&gt;$H$4,"",IF(INDEX('Fleet dates'!$I$9:$I$1008,$I575-8)="","",INDEX('Fleet dates'!$I$9:$I$1008,$I575-8)))</x:f>
      </x:c>
      <x:c r="I575" t="str">
        <x:f>IF(567&gt;$H$4,"",MATCH(567,'Fleet dates'!$J$9:$J$1008,0)+8)</x:f>
      </x:c>
    </x:row>
    <x:row r="576" ht="36" customHeight="1">
      <x:c r="A576" s="50" t="str">
        <x:f>IF(568&gt;$H$4,"",IF(INDEX('Fleet dates'!$A$9:$A$1008,$I576-8)="","",INDEX('Fleet dates'!$A$9:$A$1008,$I576-8)))</x:f>
      </x:c>
      <x:c r="B576" s="50" t="str">
        <x:f>IF(568&gt;$H$4,"",IF(INDEX('Fleet dates'!$B$9:$B$1008,$I576-8)="","",INDEX('Fleet dates'!$B$9:$B$1008,$I576-8)))</x:f>
      </x:c>
      <x:c r="C576" s="51" t="str">
        <x:f>IF(568&gt;$H$4,"",IF(INDEX('Fleet dates'!$C$9:$C$1008,$I576-8)="","",INDEX('Fleet dates'!$C$9:$C$1008,$I576-8)))</x:f>
      </x:c>
      <x:c r="D576" s="51" t="str">
        <x:f>IF(568&gt;$H$4,"",IF(INDEX('Fleet dates'!$D$9:$D$1008,$I576-8)="","",INDEX('Fleet dates'!$D$9:$D$1008,$I576-8)))</x:f>
      </x:c>
      <x:c r="E576" s="51" t="str">
        <x:f>IF(568&gt;$H$4,"",IF(INDEX('Fleet dates'!$E$9:$E$1008,$I576-8)="","",INDEX('Fleet dates'!$E$9:$E$1008,$I576-8)))</x:f>
      </x:c>
      <x:c r="F576" s="51" t="str">
        <x:f>IF(568&gt;$H$4,"",IF(INDEX('Fleet dates'!$F$9:$F$1008,$I576-8)="","",INDEX('Fleet dates'!$F$9:$F$1008,$I576-8)))</x:f>
      </x:c>
      <x:c r="G576" s="50" t="str">
        <x:f>IF(568&gt;$H$4,"",IF(INDEX('Fleet dates'!$G$9:$G$1008,$I576-8)="","",INDEX('Fleet dates'!$G$9:$G$1008,$I576-8)))</x:f>
      </x:c>
      <x:c r="H576" s="50" t="str">
        <x:f>IF(568&gt;$H$4,"",IF(INDEX('Fleet dates'!$I$9:$I$1008,$I576-8)="","",INDEX('Fleet dates'!$I$9:$I$1008,$I576-8)))</x:f>
      </x:c>
      <x:c r="I576" t="str">
        <x:f>IF(568&gt;$H$4,"",MATCH(568,'Fleet dates'!$J$9:$J$1008,0)+8)</x:f>
      </x:c>
    </x:row>
    <x:row r="577" ht="36" customHeight="1">
      <x:c r="A577" s="50" t="str">
        <x:f>IF(569&gt;$H$4,"",IF(INDEX('Fleet dates'!$A$9:$A$1008,$I577-8)="","",INDEX('Fleet dates'!$A$9:$A$1008,$I577-8)))</x:f>
      </x:c>
      <x:c r="B577" s="50" t="str">
        <x:f>IF(569&gt;$H$4,"",IF(INDEX('Fleet dates'!$B$9:$B$1008,$I577-8)="","",INDEX('Fleet dates'!$B$9:$B$1008,$I577-8)))</x:f>
      </x:c>
      <x:c r="C577" s="51" t="str">
        <x:f>IF(569&gt;$H$4,"",IF(INDEX('Fleet dates'!$C$9:$C$1008,$I577-8)="","",INDEX('Fleet dates'!$C$9:$C$1008,$I577-8)))</x:f>
      </x:c>
      <x:c r="D577" s="51" t="str">
        <x:f>IF(569&gt;$H$4,"",IF(INDEX('Fleet dates'!$D$9:$D$1008,$I577-8)="","",INDEX('Fleet dates'!$D$9:$D$1008,$I577-8)))</x:f>
      </x:c>
      <x:c r="E577" s="51" t="str">
        <x:f>IF(569&gt;$H$4,"",IF(INDEX('Fleet dates'!$E$9:$E$1008,$I577-8)="","",INDEX('Fleet dates'!$E$9:$E$1008,$I577-8)))</x:f>
      </x:c>
      <x:c r="F577" s="51" t="str">
        <x:f>IF(569&gt;$H$4,"",IF(INDEX('Fleet dates'!$F$9:$F$1008,$I577-8)="","",INDEX('Fleet dates'!$F$9:$F$1008,$I577-8)))</x:f>
      </x:c>
      <x:c r="G577" s="50" t="str">
        <x:f>IF(569&gt;$H$4,"",IF(INDEX('Fleet dates'!$G$9:$G$1008,$I577-8)="","",INDEX('Fleet dates'!$G$9:$G$1008,$I577-8)))</x:f>
      </x:c>
      <x:c r="H577" s="50" t="str">
        <x:f>IF(569&gt;$H$4,"",IF(INDEX('Fleet dates'!$I$9:$I$1008,$I577-8)="","",INDEX('Fleet dates'!$I$9:$I$1008,$I577-8)))</x:f>
      </x:c>
      <x:c r="I577" t="str">
        <x:f>IF(569&gt;$H$4,"",MATCH(569,'Fleet dates'!$J$9:$J$1008,0)+8)</x:f>
      </x:c>
    </x:row>
    <x:row r="578" ht="36" customHeight="1">
      <x:c r="A578" s="50" t="str">
        <x:f>IF(570&gt;$H$4,"",IF(INDEX('Fleet dates'!$A$9:$A$1008,$I578-8)="","",INDEX('Fleet dates'!$A$9:$A$1008,$I578-8)))</x:f>
      </x:c>
      <x:c r="B578" s="50" t="str">
        <x:f>IF(570&gt;$H$4,"",IF(INDEX('Fleet dates'!$B$9:$B$1008,$I578-8)="","",INDEX('Fleet dates'!$B$9:$B$1008,$I578-8)))</x:f>
      </x:c>
      <x:c r="C578" s="51" t="str">
        <x:f>IF(570&gt;$H$4,"",IF(INDEX('Fleet dates'!$C$9:$C$1008,$I578-8)="","",INDEX('Fleet dates'!$C$9:$C$1008,$I578-8)))</x:f>
      </x:c>
      <x:c r="D578" s="51" t="str">
        <x:f>IF(570&gt;$H$4,"",IF(INDEX('Fleet dates'!$D$9:$D$1008,$I578-8)="","",INDEX('Fleet dates'!$D$9:$D$1008,$I578-8)))</x:f>
      </x:c>
      <x:c r="E578" s="51" t="str">
        <x:f>IF(570&gt;$H$4,"",IF(INDEX('Fleet dates'!$E$9:$E$1008,$I578-8)="","",INDEX('Fleet dates'!$E$9:$E$1008,$I578-8)))</x:f>
      </x:c>
      <x:c r="F578" s="51" t="str">
        <x:f>IF(570&gt;$H$4,"",IF(INDEX('Fleet dates'!$F$9:$F$1008,$I578-8)="","",INDEX('Fleet dates'!$F$9:$F$1008,$I578-8)))</x:f>
      </x:c>
      <x:c r="G578" s="50" t="str">
        <x:f>IF(570&gt;$H$4,"",IF(INDEX('Fleet dates'!$G$9:$G$1008,$I578-8)="","",INDEX('Fleet dates'!$G$9:$G$1008,$I578-8)))</x:f>
      </x:c>
      <x:c r="H578" s="50" t="str">
        <x:f>IF(570&gt;$H$4,"",IF(INDEX('Fleet dates'!$I$9:$I$1008,$I578-8)="","",INDEX('Fleet dates'!$I$9:$I$1008,$I578-8)))</x:f>
      </x:c>
      <x:c r="I578" t="str">
        <x:f>IF(570&gt;$H$4,"",MATCH(570,'Fleet dates'!$J$9:$J$1008,0)+8)</x:f>
      </x:c>
    </x:row>
    <x:row r="579" ht="36" customHeight="1">
      <x:c r="A579" s="50" t="str">
        <x:f>IF(571&gt;$H$4,"",IF(INDEX('Fleet dates'!$A$9:$A$1008,$I579-8)="","",INDEX('Fleet dates'!$A$9:$A$1008,$I579-8)))</x:f>
      </x:c>
      <x:c r="B579" s="50" t="str">
        <x:f>IF(571&gt;$H$4,"",IF(INDEX('Fleet dates'!$B$9:$B$1008,$I579-8)="","",INDEX('Fleet dates'!$B$9:$B$1008,$I579-8)))</x:f>
      </x:c>
      <x:c r="C579" s="51" t="str">
        <x:f>IF(571&gt;$H$4,"",IF(INDEX('Fleet dates'!$C$9:$C$1008,$I579-8)="","",INDEX('Fleet dates'!$C$9:$C$1008,$I579-8)))</x:f>
      </x:c>
      <x:c r="D579" s="51" t="str">
        <x:f>IF(571&gt;$H$4,"",IF(INDEX('Fleet dates'!$D$9:$D$1008,$I579-8)="","",INDEX('Fleet dates'!$D$9:$D$1008,$I579-8)))</x:f>
      </x:c>
      <x:c r="E579" s="51" t="str">
        <x:f>IF(571&gt;$H$4,"",IF(INDEX('Fleet dates'!$E$9:$E$1008,$I579-8)="","",INDEX('Fleet dates'!$E$9:$E$1008,$I579-8)))</x:f>
      </x:c>
      <x:c r="F579" s="51" t="str">
        <x:f>IF(571&gt;$H$4,"",IF(INDEX('Fleet dates'!$F$9:$F$1008,$I579-8)="","",INDEX('Fleet dates'!$F$9:$F$1008,$I579-8)))</x:f>
      </x:c>
      <x:c r="G579" s="50" t="str">
        <x:f>IF(571&gt;$H$4,"",IF(INDEX('Fleet dates'!$G$9:$G$1008,$I579-8)="","",INDEX('Fleet dates'!$G$9:$G$1008,$I579-8)))</x:f>
      </x:c>
      <x:c r="H579" s="50" t="str">
        <x:f>IF(571&gt;$H$4,"",IF(INDEX('Fleet dates'!$I$9:$I$1008,$I579-8)="","",INDEX('Fleet dates'!$I$9:$I$1008,$I579-8)))</x:f>
      </x:c>
      <x:c r="I579" t="str">
        <x:f>IF(571&gt;$H$4,"",MATCH(571,'Fleet dates'!$J$9:$J$1008,0)+8)</x:f>
      </x:c>
    </x:row>
    <x:row r="580" ht="36" customHeight="1">
      <x:c r="A580" s="50" t="str">
        <x:f>IF(572&gt;$H$4,"",IF(INDEX('Fleet dates'!$A$9:$A$1008,$I580-8)="","",INDEX('Fleet dates'!$A$9:$A$1008,$I580-8)))</x:f>
      </x:c>
      <x:c r="B580" s="50" t="str">
        <x:f>IF(572&gt;$H$4,"",IF(INDEX('Fleet dates'!$B$9:$B$1008,$I580-8)="","",INDEX('Fleet dates'!$B$9:$B$1008,$I580-8)))</x:f>
      </x:c>
      <x:c r="C580" s="51" t="str">
        <x:f>IF(572&gt;$H$4,"",IF(INDEX('Fleet dates'!$C$9:$C$1008,$I580-8)="","",INDEX('Fleet dates'!$C$9:$C$1008,$I580-8)))</x:f>
      </x:c>
      <x:c r="D580" s="51" t="str">
        <x:f>IF(572&gt;$H$4,"",IF(INDEX('Fleet dates'!$D$9:$D$1008,$I580-8)="","",INDEX('Fleet dates'!$D$9:$D$1008,$I580-8)))</x:f>
      </x:c>
      <x:c r="E580" s="51" t="str">
        <x:f>IF(572&gt;$H$4,"",IF(INDEX('Fleet dates'!$E$9:$E$1008,$I580-8)="","",INDEX('Fleet dates'!$E$9:$E$1008,$I580-8)))</x:f>
      </x:c>
      <x:c r="F580" s="51" t="str">
        <x:f>IF(572&gt;$H$4,"",IF(INDEX('Fleet dates'!$F$9:$F$1008,$I580-8)="","",INDEX('Fleet dates'!$F$9:$F$1008,$I580-8)))</x:f>
      </x:c>
      <x:c r="G580" s="50" t="str">
        <x:f>IF(572&gt;$H$4,"",IF(INDEX('Fleet dates'!$G$9:$G$1008,$I580-8)="","",INDEX('Fleet dates'!$G$9:$G$1008,$I580-8)))</x:f>
      </x:c>
      <x:c r="H580" s="50" t="str">
        <x:f>IF(572&gt;$H$4,"",IF(INDEX('Fleet dates'!$I$9:$I$1008,$I580-8)="","",INDEX('Fleet dates'!$I$9:$I$1008,$I580-8)))</x:f>
      </x:c>
      <x:c r="I580" t="str">
        <x:f>IF(572&gt;$H$4,"",MATCH(572,'Fleet dates'!$J$9:$J$1008,0)+8)</x:f>
      </x:c>
    </x:row>
    <x:row r="581" ht="36" customHeight="1">
      <x:c r="A581" s="50" t="str">
        <x:f>IF(573&gt;$H$4,"",IF(INDEX('Fleet dates'!$A$9:$A$1008,$I581-8)="","",INDEX('Fleet dates'!$A$9:$A$1008,$I581-8)))</x:f>
      </x:c>
      <x:c r="B581" s="50" t="str">
        <x:f>IF(573&gt;$H$4,"",IF(INDEX('Fleet dates'!$B$9:$B$1008,$I581-8)="","",INDEX('Fleet dates'!$B$9:$B$1008,$I581-8)))</x:f>
      </x:c>
      <x:c r="C581" s="51" t="str">
        <x:f>IF(573&gt;$H$4,"",IF(INDEX('Fleet dates'!$C$9:$C$1008,$I581-8)="","",INDEX('Fleet dates'!$C$9:$C$1008,$I581-8)))</x:f>
      </x:c>
      <x:c r="D581" s="51" t="str">
        <x:f>IF(573&gt;$H$4,"",IF(INDEX('Fleet dates'!$D$9:$D$1008,$I581-8)="","",INDEX('Fleet dates'!$D$9:$D$1008,$I581-8)))</x:f>
      </x:c>
      <x:c r="E581" s="51" t="str">
        <x:f>IF(573&gt;$H$4,"",IF(INDEX('Fleet dates'!$E$9:$E$1008,$I581-8)="","",INDEX('Fleet dates'!$E$9:$E$1008,$I581-8)))</x:f>
      </x:c>
      <x:c r="F581" s="51" t="str">
        <x:f>IF(573&gt;$H$4,"",IF(INDEX('Fleet dates'!$F$9:$F$1008,$I581-8)="","",INDEX('Fleet dates'!$F$9:$F$1008,$I581-8)))</x:f>
      </x:c>
      <x:c r="G581" s="50" t="str">
        <x:f>IF(573&gt;$H$4,"",IF(INDEX('Fleet dates'!$G$9:$G$1008,$I581-8)="","",INDEX('Fleet dates'!$G$9:$G$1008,$I581-8)))</x:f>
      </x:c>
      <x:c r="H581" s="50" t="str">
        <x:f>IF(573&gt;$H$4,"",IF(INDEX('Fleet dates'!$I$9:$I$1008,$I581-8)="","",INDEX('Fleet dates'!$I$9:$I$1008,$I581-8)))</x:f>
      </x:c>
      <x:c r="I581" t="str">
        <x:f>IF(573&gt;$H$4,"",MATCH(573,'Fleet dates'!$J$9:$J$1008,0)+8)</x:f>
      </x:c>
    </x:row>
    <x:row r="582" ht="36" customHeight="1">
      <x:c r="A582" s="50" t="str">
        <x:f>IF(574&gt;$H$4,"",IF(INDEX('Fleet dates'!$A$9:$A$1008,$I582-8)="","",INDEX('Fleet dates'!$A$9:$A$1008,$I582-8)))</x:f>
      </x:c>
      <x:c r="B582" s="50" t="str">
        <x:f>IF(574&gt;$H$4,"",IF(INDEX('Fleet dates'!$B$9:$B$1008,$I582-8)="","",INDEX('Fleet dates'!$B$9:$B$1008,$I582-8)))</x:f>
      </x:c>
      <x:c r="C582" s="51" t="str">
        <x:f>IF(574&gt;$H$4,"",IF(INDEX('Fleet dates'!$C$9:$C$1008,$I582-8)="","",INDEX('Fleet dates'!$C$9:$C$1008,$I582-8)))</x:f>
      </x:c>
      <x:c r="D582" s="51" t="str">
        <x:f>IF(574&gt;$H$4,"",IF(INDEX('Fleet dates'!$D$9:$D$1008,$I582-8)="","",INDEX('Fleet dates'!$D$9:$D$1008,$I582-8)))</x:f>
      </x:c>
      <x:c r="E582" s="51" t="str">
        <x:f>IF(574&gt;$H$4,"",IF(INDEX('Fleet dates'!$E$9:$E$1008,$I582-8)="","",INDEX('Fleet dates'!$E$9:$E$1008,$I582-8)))</x:f>
      </x:c>
      <x:c r="F582" s="51" t="str">
        <x:f>IF(574&gt;$H$4,"",IF(INDEX('Fleet dates'!$F$9:$F$1008,$I582-8)="","",INDEX('Fleet dates'!$F$9:$F$1008,$I582-8)))</x:f>
      </x:c>
      <x:c r="G582" s="50" t="str">
        <x:f>IF(574&gt;$H$4,"",IF(INDEX('Fleet dates'!$G$9:$G$1008,$I582-8)="","",INDEX('Fleet dates'!$G$9:$G$1008,$I582-8)))</x:f>
      </x:c>
      <x:c r="H582" s="50" t="str">
        <x:f>IF(574&gt;$H$4,"",IF(INDEX('Fleet dates'!$I$9:$I$1008,$I582-8)="","",INDEX('Fleet dates'!$I$9:$I$1008,$I582-8)))</x:f>
      </x:c>
      <x:c r="I582" t="str">
        <x:f>IF(574&gt;$H$4,"",MATCH(574,'Fleet dates'!$J$9:$J$1008,0)+8)</x:f>
      </x:c>
    </x:row>
    <x:row r="583" ht="36" customHeight="1">
      <x:c r="A583" s="50" t="str">
        <x:f>IF(575&gt;$H$4,"",IF(INDEX('Fleet dates'!$A$9:$A$1008,$I583-8)="","",INDEX('Fleet dates'!$A$9:$A$1008,$I583-8)))</x:f>
      </x:c>
      <x:c r="B583" s="50" t="str">
        <x:f>IF(575&gt;$H$4,"",IF(INDEX('Fleet dates'!$B$9:$B$1008,$I583-8)="","",INDEX('Fleet dates'!$B$9:$B$1008,$I583-8)))</x:f>
      </x:c>
      <x:c r="C583" s="51" t="str">
        <x:f>IF(575&gt;$H$4,"",IF(INDEX('Fleet dates'!$C$9:$C$1008,$I583-8)="","",INDEX('Fleet dates'!$C$9:$C$1008,$I583-8)))</x:f>
      </x:c>
      <x:c r="D583" s="51" t="str">
        <x:f>IF(575&gt;$H$4,"",IF(INDEX('Fleet dates'!$D$9:$D$1008,$I583-8)="","",INDEX('Fleet dates'!$D$9:$D$1008,$I583-8)))</x:f>
      </x:c>
      <x:c r="E583" s="51" t="str">
        <x:f>IF(575&gt;$H$4,"",IF(INDEX('Fleet dates'!$E$9:$E$1008,$I583-8)="","",INDEX('Fleet dates'!$E$9:$E$1008,$I583-8)))</x:f>
      </x:c>
      <x:c r="F583" s="51" t="str">
        <x:f>IF(575&gt;$H$4,"",IF(INDEX('Fleet dates'!$F$9:$F$1008,$I583-8)="","",INDEX('Fleet dates'!$F$9:$F$1008,$I583-8)))</x:f>
      </x:c>
      <x:c r="G583" s="50" t="str">
        <x:f>IF(575&gt;$H$4,"",IF(INDEX('Fleet dates'!$G$9:$G$1008,$I583-8)="","",INDEX('Fleet dates'!$G$9:$G$1008,$I583-8)))</x:f>
      </x:c>
      <x:c r="H583" s="50" t="str">
        <x:f>IF(575&gt;$H$4,"",IF(INDEX('Fleet dates'!$I$9:$I$1008,$I583-8)="","",INDEX('Fleet dates'!$I$9:$I$1008,$I583-8)))</x:f>
      </x:c>
      <x:c r="I583" t="str">
        <x:f>IF(575&gt;$H$4,"",MATCH(575,'Fleet dates'!$J$9:$J$1008,0)+8)</x:f>
      </x:c>
    </x:row>
    <x:row r="584" ht="36" customHeight="1">
      <x:c r="A584" s="50" t="str">
        <x:f>IF(576&gt;$H$4,"",IF(INDEX('Fleet dates'!$A$9:$A$1008,$I584-8)="","",INDEX('Fleet dates'!$A$9:$A$1008,$I584-8)))</x:f>
      </x:c>
      <x:c r="B584" s="50" t="str">
        <x:f>IF(576&gt;$H$4,"",IF(INDEX('Fleet dates'!$B$9:$B$1008,$I584-8)="","",INDEX('Fleet dates'!$B$9:$B$1008,$I584-8)))</x:f>
      </x:c>
      <x:c r="C584" s="51" t="str">
        <x:f>IF(576&gt;$H$4,"",IF(INDEX('Fleet dates'!$C$9:$C$1008,$I584-8)="","",INDEX('Fleet dates'!$C$9:$C$1008,$I584-8)))</x:f>
      </x:c>
      <x:c r="D584" s="51" t="str">
        <x:f>IF(576&gt;$H$4,"",IF(INDEX('Fleet dates'!$D$9:$D$1008,$I584-8)="","",INDEX('Fleet dates'!$D$9:$D$1008,$I584-8)))</x:f>
      </x:c>
      <x:c r="E584" s="51" t="str">
        <x:f>IF(576&gt;$H$4,"",IF(INDEX('Fleet dates'!$E$9:$E$1008,$I584-8)="","",INDEX('Fleet dates'!$E$9:$E$1008,$I584-8)))</x:f>
      </x:c>
      <x:c r="F584" s="51" t="str">
        <x:f>IF(576&gt;$H$4,"",IF(INDEX('Fleet dates'!$F$9:$F$1008,$I584-8)="","",INDEX('Fleet dates'!$F$9:$F$1008,$I584-8)))</x:f>
      </x:c>
      <x:c r="G584" s="50" t="str">
        <x:f>IF(576&gt;$H$4,"",IF(INDEX('Fleet dates'!$G$9:$G$1008,$I584-8)="","",INDEX('Fleet dates'!$G$9:$G$1008,$I584-8)))</x:f>
      </x:c>
      <x:c r="H584" s="50" t="str">
        <x:f>IF(576&gt;$H$4,"",IF(INDEX('Fleet dates'!$I$9:$I$1008,$I584-8)="","",INDEX('Fleet dates'!$I$9:$I$1008,$I584-8)))</x:f>
      </x:c>
      <x:c r="I584" t="str">
        <x:f>IF(576&gt;$H$4,"",MATCH(576,'Fleet dates'!$J$9:$J$1008,0)+8)</x:f>
      </x:c>
    </x:row>
    <x:row r="585" ht="36" customHeight="1">
      <x:c r="A585" s="50" t="str">
        <x:f>IF(577&gt;$H$4,"",IF(INDEX('Fleet dates'!$A$9:$A$1008,$I585-8)="","",INDEX('Fleet dates'!$A$9:$A$1008,$I585-8)))</x:f>
      </x:c>
      <x:c r="B585" s="50" t="str">
        <x:f>IF(577&gt;$H$4,"",IF(INDEX('Fleet dates'!$B$9:$B$1008,$I585-8)="","",INDEX('Fleet dates'!$B$9:$B$1008,$I585-8)))</x:f>
      </x:c>
      <x:c r="C585" s="51" t="str">
        <x:f>IF(577&gt;$H$4,"",IF(INDEX('Fleet dates'!$C$9:$C$1008,$I585-8)="","",INDEX('Fleet dates'!$C$9:$C$1008,$I585-8)))</x:f>
      </x:c>
      <x:c r="D585" s="51" t="str">
        <x:f>IF(577&gt;$H$4,"",IF(INDEX('Fleet dates'!$D$9:$D$1008,$I585-8)="","",INDEX('Fleet dates'!$D$9:$D$1008,$I585-8)))</x:f>
      </x:c>
      <x:c r="E585" s="51" t="str">
        <x:f>IF(577&gt;$H$4,"",IF(INDEX('Fleet dates'!$E$9:$E$1008,$I585-8)="","",INDEX('Fleet dates'!$E$9:$E$1008,$I585-8)))</x:f>
      </x:c>
      <x:c r="F585" s="51" t="str">
        <x:f>IF(577&gt;$H$4,"",IF(INDEX('Fleet dates'!$F$9:$F$1008,$I585-8)="","",INDEX('Fleet dates'!$F$9:$F$1008,$I585-8)))</x:f>
      </x:c>
      <x:c r="G585" s="50" t="str">
        <x:f>IF(577&gt;$H$4,"",IF(INDEX('Fleet dates'!$G$9:$G$1008,$I585-8)="","",INDEX('Fleet dates'!$G$9:$G$1008,$I585-8)))</x:f>
      </x:c>
      <x:c r="H585" s="50" t="str">
        <x:f>IF(577&gt;$H$4,"",IF(INDEX('Fleet dates'!$I$9:$I$1008,$I585-8)="","",INDEX('Fleet dates'!$I$9:$I$1008,$I585-8)))</x:f>
      </x:c>
      <x:c r="I585" t="str">
        <x:f>IF(577&gt;$H$4,"",MATCH(577,'Fleet dates'!$J$9:$J$1008,0)+8)</x:f>
      </x:c>
    </x:row>
    <x:row r="586" ht="36" customHeight="1">
      <x:c r="A586" s="50" t="str">
        <x:f>IF(578&gt;$H$4,"",IF(INDEX('Fleet dates'!$A$9:$A$1008,$I586-8)="","",INDEX('Fleet dates'!$A$9:$A$1008,$I586-8)))</x:f>
      </x:c>
      <x:c r="B586" s="50" t="str">
        <x:f>IF(578&gt;$H$4,"",IF(INDEX('Fleet dates'!$B$9:$B$1008,$I586-8)="","",INDEX('Fleet dates'!$B$9:$B$1008,$I586-8)))</x:f>
      </x:c>
      <x:c r="C586" s="51" t="str">
        <x:f>IF(578&gt;$H$4,"",IF(INDEX('Fleet dates'!$C$9:$C$1008,$I586-8)="","",INDEX('Fleet dates'!$C$9:$C$1008,$I586-8)))</x:f>
      </x:c>
      <x:c r="D586" s="51" t="str">
        <x:f>IF(578&gt;$H$4,"",IF(INDEX('Fleet dates'!$D$9:$D$1008,$I586-8)="","",INDEX('Fleet dates'!$D$9:$D$1008,$I586-8)))</x:f>
      </x:c>
      <x:c r="E586" s="51" t="str">
        <x:f>IF(578&gt;$H$4,"",IF(INDEX('Fleet dates'!$E$9:$E$1008,$I586-8)="","",INDEX('Fleet dates'!$E$9:$E$1008,$I586-8)))</x:f>
      </x:c>
      <x:c r="F586" s="51" t="str">
        <x:f>IF(578&gt;$H$4,"",IF(INDEX('Fleet dates'!$F$9:$F$1008,$I586-8)="","",INDEX('Fleet dates'!$F$9:$F$1008,$I586-8)))</x:f>
      </x:c>
      <x:c r="G586" s="50" t="str">
        <x:f>IF(578&gt;$H$4,"",IF(INDEX('Fleet dates'!$G$9:$G$1008,$I586-8)="","",INDEX('Fleet dates'!$G$9:$G$1008,$I586-8)))</x:f>
      </x:c>
      <x:c r="H586" s="50" t="str">
        <x:f>IF(578&gt;$H$4,"",IF(INDEX('Fleet dates'!$I$9:$I$1008,$I586-8)="","",INDEX('Fleet dates'!$I$9:$I$1008,$I586-8)))</x:f>
      </x:c>
      <x:c r="I586" t="str">
        <x:f>IF(578&gt;$H$4,"",MATCH(578,'Fleet dates'!$J$9:$J$1008,0)+8)</x:f>
      </x:c>
    </x:row>
    <x:row r="587" ht="36" customHeight="1">
      <x:c r="A587" s="50" t="str">
        <x:f>IF(579&gt;$H$4,"",IF(INDEX('Fleet dates'!$A$9:$A$1008,$I587-8)="","",INDEX('Fleet dates'!$A$9:$A$1008,$I587-8)))</x:f>
      </x:c>
      <x:c r="B587" s="50" t="str">
        <x:f>IF(579&gt;$H$4,"",IF(INDEX('Fleet dates'!$B$9:$B$1008,$I587-8)="","",INDEX('Fleet dates'!$B$9:$B$1008,$I587-8)))</x:f>
      </x:c>
      <x:c r="C587" s="51" t="str">
        <x:f>IF(579&gt;$H$4,"",IF(INDEX('Fleet dates'!$C$9:$C$1008,$I587-8)="","",INDEX('Fleet dates'!$C$9:$C$1008,$I587-8)))</x:f>
      </x:c>
      <x:c r="D587" s="51" t="str">
        <x:f>IF(579&gt;$H$4,"",IF(INDEX('Fleet dates'!$D$9:$D$1008,$I587-8)="","",INDEX('Fleet dates'!$D$9:$D$1008,$I587-8)))</x:f>
      </x:c>
      <x:c r="E587" s="51" t="str">
        <x:f>IF(579&gt;$H$4,"",IF(INDEX('Fleet dates'!$E$9:$E$1008,$I587-8)="","",INDEX('Fleet dates'!$E$9:$E$1008,$I587-8)))</x:f>
      </x:c>
      <x:c r="F587" s="51" t="str">
        <x:f>IF(579&gt;$H$4,"",IF(INDEX('Fleet dates'!$F$9:$F$1008,$I587-8)="","",INDEX('Fleet dates'!$F$9:$F$1008,$I587-8)))</x:f>
      </x:c>
      <x:c r="G587" s="50" t="str">
        <x:f>IF(579&gt;$H$4,"",IF(INDEX('Fleet dates'!$G$9:$G$1008,$I587-8)="","",INDEX('Fleet dates'!$G$9:$G$1008,$I587-8)))</x:f>
      </x:c>
      <x:c r="H587" s="50" t="str">
        <x:f>IF(579&gt;$H$4,"",IF(INDEX('Fleet dates'!$I$9:$I$1008,$I587-8)="","",INDEX('Fleet dates'!$I$9:$I$1008,$I587-8)))</x:f>
      </x:c>
      <x:c r="I587" t="str">
        <x:f>IF(579&gt;$H$4,"",MATCH(579,'Fleet dates'!$J$9:$J$1008,0)+8)</x:f>
      </x:c>
    </x:row>
    <x:row r="588" ht="36" customHeight="1">
      <x:c r="A588" s="50" t="str">
        <x:f>IF(580&gt;$H$4,"",IF(INDEX('Fleet dates'!$A$9:$A$1008,$I588-8)="","",INDEX('Fleet dates'!$A$9:$A$1008,$I588-8)))</x:f>
      </x:c>
      <x:c r="B588" s="50" t="str">
        <x:f>IF(580&gt;$H$4,"",IF(INDEX('Fleet dates'!$B$9:$B$1008,$I588-8)="","",INDEX('Fleet dates'!$B$9:$B$1008,$I588-8)))</x:f>
      </x:c>
      <x:c r="C588" s="51" t="str">
        <x:f>IF(580&gt;$H$4,"",IF(INDEX('Fleet dates'!$C$9:$C$1008,$I588-8)="","",INDEX('Fleet dates'!$C$9:$C$1008,$I588-8)))</x:f>
      </x:c>
      <x:c r="D588" s="51" t="str">
        <x:f>IF(580&gt;$H$4,"",IF(INDEX('Fleet dates'!$D$9:$D$1008,$I588-8)="","",INDEX('Fleet dates'!$D$9:$D$1008,$I588-8)))</x:f>
      </x:c>
      <x:c r="E588" s="51" t="str">
        <x:f>IF(580&gt;$H$4,"",IF(INDEX('Fleet dates'!$E$9:$E$1008,$I588-8)="","",INDEX('Fleet dates'!$E$9:$E$1008,$I588-8)))</x:f>
      </x:c>
      <x:c r="F588" s="51" t="str">
        <x:f>IF(580&gt;$H$4,"",IF(INDEX('Fleet dates'!$F$9:$F$1008,$I588-8)="","",INDEX('Fleet dates'!$F$9:$F$1008,$I588-8)))</x:f>
      </x:c>
      <x:c r="G588" s="50" t="str">
        <x:f>IF(580&gt;$H$4,"",IF(INDEX('Fleet dates'!$G$9:$G$1008,$I588-8)="","",INDEX('Fleet dates'!$G$9:$G$1008,$I588-8)))</x:f>
      </x:c>
      <x:c r="H588" s="50" t="str">
        <x:f>IF(580&gt;$H$4,"",IF(INDEX('Fleet dates'!$I$9:$I$1008,$I588-8)="","",INDEX('Fleet dates'!$I$9:$I$1008,$I588-8)))</x:f>
      </x:c>
      <x:c r="I588" t="str">
        <x:f>IF(580&gt;$H$4,"",MATCH(580,'Fleet dates'!$J$9:$J$1008,0)+8)</x:f>
      </x:c>
    </x:row>
    <x:row r="589" ht="36" customHeight="1">
      <x:c r="A589" s="50" t="str">
        <x:f>IF(581&gt;$H$4,"",IF(INDEX('Fleet dates'!$A$9:$A$1008,$I589-8)="","",INDEX('Fleet dates'!$A$9:$A$1008,$I589-8)))</x:f>
      </x:c>
      <x:c r="B589" s="50" t="str">
        <x:f>IF(581&gt;$H$4,"",IF(INDEX('Fleet dates'!$B$9:$B$1008,$I589-8)="","",INDEX('Fleet dates'!$B$9:$B$1008,$I589-8)))</x:f>
      </x:c>
      <x:c r="C589" s="51" t="str">
        <x:f>IF(581&gt;$H$4,"",IF(INDEX('Fleet dates'!$C$9:$C$1008,$I589-8)="","",INDEX('Fleet dates'!$C$9:$C$1008,$I589-8)))</x:f>
      </x:c>
      <x:c r="D589" s="51" t="str">
        <x:f>IF(581&gt;$H$4,"",IF(INDEX('Fleet dates'!$D$9:$D$1008,$I589-8)="","",INDEX('Fleet dates'!$D$9:$D$1008,$I589-8)))</x:f>
      </x:c>
      <x:c r="E589" s="51" t="str">
        <x:f>IF(581&gt;$H$4,"",IF(INDEX('Fleet dates'!$E$9:$E$1008,$I589-8)="","",INDEX('Fleet dates'!$E$9:$E$1008,$I589-8)))</x:f>
      </x:c>
      <x:c r="F589" s="51" t="str">
        <x:f>IF(581&gt;$H$4,"",IF(INDEX('Fleet dates'!$F$9:$F$1008,$I589-8)="","",INDEX('Fleet dates'!$F$9:$F$1008,$I589-8)))</x:f>
      </x:c>
      <x:c r="G589" s="50" t="str">
        <x:f>IF(581&gt;$H$4,"",IF(INDEX('Fleet dates'!$G$9:$G$1008,$I589-8)="","",INDEX('Fleet dates'!$G$9:$G$1008,$I589-8)))</x:f>
      </x:c>
      <x:c r="H589" s="50" t="str">
        <x:f>IF(581&gt;$H$4,"",IF(INDEX('Fleet dates'!$I$9:$I$1008,$I589-8)="","",INDEX('Fleet dates'!$I$9:$I$1008,$I589-8)))</x:f>
      </x:c>
      <x:c r="I589" t="str">
        <x:f>IF(581&gt;$H$4,"",MATCH(581,'Fleet dates'!$J$9:$J$1008,0)+8)</x:f>
      </x:c>
    </x:row>
    <x:row r="590" ht="36" customHeight="1">
      <x:c r="A590" s="50" t="str">
        <x:f>IF(582&gt;$H$4,"",IF(INDEX('Fleet dates'!$A$9:$A$1008,$I590-8)="","",INDEX('Fleet dates'!$A$9:$A$1008,$I590-8)))</x:f>
      </x:c>
      <x:c r="B590" s="50" t="str">
        <x:f>IF(582&gt;$H$4,"",IF(INDEX('Fleet dates'!$B$9:$B$1008,$I590-8)="","",INDEX('Fleet dates'!$B$9:$B$1008,$I590-8)))</x:f>
      </x:c>
      <x:c r="C590" s="51" t="str">
        <x:f>IF(582&gt;$H$4,"",IF(INDEX('Fleet dates'!$C$9:$C$1008,$I590-8)="","",INDEX('Fleet dates'!$C$9:$C$1008,$I590-8)))</x:f>
      </x:c>
      <x:c r="D590" s="51" t="str">
        <x:f>IF(582&gt;$H$4,"",IF(INDEX('Fleet dates'!$D$9:$D$1008,$I590-8)="","",INDEX('Fleet dates'!$D$9:$D$1008,$I590-8)))</x:f>
      </x:c>
      <x:c r="E590" s="51" t="str">
        <x:f>IF(582&gt;$H$4,"",IF(INDEX('Fleet dates'!$E$9:$E$1008,$I590-8)="","",INDEX('Fleet dates'!$E$9:$E$1008,$I590-8)))</x:f>
      </x:c>
      <x:c r="F590" s="51" t="str">
        <x:f>IF(582&gt;$H$4,"",IF(INDEX('Fleet dates'!$F$9:$F$1008,$I590-8)="","",INDEX('Fleet dates'!$F$9:$F$1008,$I590-8)))</x:f>
      </x:c>
      <x:c r="G590" s="50" t="str">
        <x:f>IF(582&gt;$H$4,"",IF(INDEX('Fleet dates'!$G$9:$G$1008,$I590-8)="","",INDEX('Fleet dates'!$G$9:$G$1008,$I590-8)))</x:f>
      </x:c>
      <x:c r="H590" s="50" t="str">
        <x:f>IF(582&gt;$H$4,"",IF(INDEX('Fleet dates'!$I$9:$I$1008,$I590-8)="","",INDEX('Fleet dates'!$I$9:$I$1008,$I590-8)))</x:f>
      </x:c>
      <x:c r="I590" t="str">
        <x:f>IF(582&gt;$H$4,"",MATCH(582,'Fleet dates'!$J$9:$J$1008,0)+8)</x:f>
      </x:c>
    </x:row>
    <x:row r="591" ht="36" customHeight="1">
      <x:c r="A591" s="50" t="str">
        <x:f>IF(583&gt;$H$4,"",IF(INDEX('Fleet dates'!$A$9:$A$1008,$I591-8)="","",INDEX('Fleet dates'!$A$9:$A$1008,$I591-8)))</x:f>
      </x:c>
      <x:c r="B591" s="50" t="str">
        <x:f>IF(583&gt;$H$4,"",IF(INDEX('Fleet dates'!$B$9:$B$1008,$I591-8)="","",INDEX('Fleet dates'!$B$9:$B$1008,$I591-8)))</x:f>
      </x:c>
      <x:c r="C591" s="51" t="str">
        <x:f>IF(583&gt;$H$4,"",IF(INDEX('Fleet dates'!$C$9:$C$1008,$I591-8)="","",INDEX('Fleet dates'!$C$9:$C$1008,$I591-8)))</x:f>
      </x:c>
      <x:c r="D591" s="51" t="str">
        <x:f>IF(583&gt;$H$4,"",IF(INDEX('Fleet dates'!$D$9:$D$1008,$I591-8)="","",INDEX('Fleet dates'!$D$9:$D$1008,$I591-8)))</x:f>
      </x:c>
      <x:c r="E591" s="51" t="str">
        <x:f>IF(583&gt;$H$4,"",IF(INDEX('Fleet dates'!$E$9:$E$1008,$I591-8)="","",INDEX('Fleet dates'!$E$9:$E$1008,$I591-8)))</x:f>
      </x:c>
      <x:c r="F591" s="51" t="str">
        <x:f>IF(583&gt;$H$4,"",IF(INDEX('Fleet dates'!$F$9:$F$1008,$I591-8)="","",INDEX('Fleet dates'!$F$9:$F$1008,$I591-8)))</x:f>
      </x:c>
      <x:c r="G591" s="50" t="str">
        <x:f>IF(583&gt;$H$4,"",IF(INDEX('Fleet dates'!$G$9:$G$1008,$I591-8)="","",INDEX('Fleet dates'!$G$9:$G$1008,$I591-8)))</x:f>
      </x:c>
      <x:c r="H591" s="50" t="str">
        <x:f>IF(583&gt;$H$4,"",IF(INDEX('Fleet dates'!$I$9:$I$1008,$I591-8)="","",INDEX('Fleet dates'!$I$9:$I$1008,$I591-8)))</x:f>
      </x:c>
      <x:c r="I591" t="str">
        <x:f>IF(583&gt;$H$4,"",MATCH(583,'Fleet dates'!$J$9:$J$1008,0)+8)</x:f>
      </x:c>
    </x:row>
    <x:row r="592" ht="36" customHeight="1">
      <x:c r="A592" s="50" t="str">
        <x:f>IF(584&gt;$H$4,"",IF(INDEX('Fleet dates'!$A$9:$A$1008,$I592-8)="","",INDEX('Fleet dates'!$A$9:$A$1008,$I592-8)))</x:f>
      </x:c>
      <x:c r="B592" s="50" t="str">
        <x:f>IF(584&gt;$H$4,"",IF(INDEX('Fleet dates'!$B$9:$B$1008,$I592-8)="","",INDEX('Fleet dates'!$B$9:$B$1008,$I592-8)))</x:f>
      </x:c>
      <x:c r="C592" s="51" t="str">
        <x:f>IF(584&gt;$H$4,"",IF(INDEX('Fleet dates'!$C$9:$C$1008,$I592-8)="","",INDEX('Fleet dates'!$C$9:$C$1008,$I592-8)))</x:f>
      </x:c>
      <x:c r="D592" s="51" t="str">
        <x:f>IF(584&gt;$H$4,"",IF(INDEX('Fleet dates'!$D$9:$D$1008,$I592-8)="","",INDEX('Fleet dates'!$D$9:$D$1008,$I592-8)))</x:f>
      </x:c>
      <x:c r="E592" s="51" t="str">
        <x:f>IF(584&gt;$H$4,"",IF(INDEX('Fleet dates'!$E$9:$E$1008,$I592-8)="","",INDEX('Fleet dates'!$E$9:$E$1008,$I592-8)))</x:f>
      </x:c>
      <x:c r="F592" s="51" t="str">
        <x:f>IF(584&gt;$H$4,"",IF(INDEX('Fleet dates'!$F$9:$F$1008,$I592-8)="","",INDEX('Fleet dates'!$F$9:$F$1008,$I592-8)))</x:f>
      </x:c>
      <x:c r="G592" s="50" t="str">
        <x:f>IF(584&gt;$H$4,"",IF(INDEX('Fleet dates'!$G$9:$G$1008,$I592-8)="","",INDEX('Fleet dates'!$G$9:$G$1008,$I592-8)))</x:f>
      </x:c>
      <x:c r="H592" s="50" t="str">
        <x:f>IF(584&gt;$H$4,"",IF(INDEX('Fleet dates'!$I$9:$I$1008,$I592-8)="","",INDEX('Fleet dates'!$I$9:$I$1008,$I592-8)))</x:f>
      </x:c>
      <x:c r="I592" t="str">
        <x:f>IF(584&gt;$H$4,"",MATCH(584,'Fleet dates'!$J$9:$J$1008,0)+8)</x:f>
      </x:c>
    </x:row>
    <x:row r="593" ht="36" customHeight="1">
      <x:c r="A593" s="50" t="str">
        <x:f>IF(585&gt;$H$4,"",IF(INDEX('Fleet dates'!$A$9:$A$1008,$I593-8)="","",INDEX('Fleet dates'!$A$9:$A$1008,$I593-8)))</x:f>
      </x:c>
      <x:c r="B593" s="50" t="str">
        <x:f>IF(585&gt;$H$4,"",IF(INDEX('Fleet dates'!$B$9:$B$1008,$I593-8)="","",INDEX('Fleet dates'!$B$9:$B$1008,$I593-8)))</x:f>
      </x:c>
      <x:c r="C593" s="51" t="str">
        <x:f>IF(585&gt;$H$4,"",IF(INDEX('Fleet dates'!$C$9:$C$1008,$I593-8)="","",INDEX('Fleet dates'!$C$9:$C$1008,$I593-8)))</x:f>
      </x:c>
      <x:c r="D593" s="51" t="str">
        <x:f>IF(585&gt;$H$4,"",IF(INDEX('Fleet dates'!$D$9:$D$1008,$I593-8)="","",INDEX('Fleet dates'!$D$9:$D$1008,$I593-8)))</x:f>
      </x:c>
      <x:c r="E593" s="51" t="str">
        <x:f>IF(585&gt;$H$4,"",IF(INDEX('Fleet dates'!$E$9:$E$1008,$I593-8)="","",INDEX('Fleet dates'!$E$9:$E$1008,$I593-8)))</x:f>
      </x:c>
      <x:c r="F593" s="51" t="str">
        <x:f>IF(585&gt;$H$4,"",IF(INDEX('Fleet dates'!$F$9:$F$1008,$I593-8)="","",INDEX('Fleet dates'!$F$9:$F$1008,$I593-8)))</x:f>
      </x:c>
      <x:c r="G593" s="50" t="str">
        <x:f>IF(585&gt;$H$4,"",IF(INDEX('Fleet dates'!$G$9:$G$1008,$I593-8)="","",INDEX('Fleet dates'!$G$9:$G$1008,$I593-8)))</x:f>
      </x:c>
      <x:c r="H593" s="50" t="str">
        <x:f>IF(585&gt;$H$4,"",IF(INDEX('Fleet dates'!$I$9:$I$1008,$I593-8)="","",INDEX('Fleet dates'!$I$9:$I$1008,$I593-8)))</x:f>
      </x:c>
      <x:c r="I593" t="str">
        <x:f>IF(585&gt;$H$4,"",MATCH(585,'Fleet dates'!$J$9:$J$1008,0)+8)</x:f>
      </x:c>
    </x:row>
    <x:row r="594" ht="36" customHeight="1">
      <x:c r="A594" s="50" t="str">
        <x:f>IF(586&gt;$H$4,"",IF(INDEX('Fleet dates'!$A$9:$A$1008,$I594-8)="","",INDEX('Fleet dates'!$A$9:$A$1008,$I594-8)))</x:f>
      </x:c>
      <x:c r="B594" s="50" t="str">
        <x:f>IF(586&gt;$H$4,"",IF(INDEX('Fleet dates'!$B$9:$B$1008,$I594-8)="","",INDEX('Fleet dates'!$B$9:$B$1008,$I594-8)))</x:f>
      </x:c>
      <x:c r="C594" s="51" t="str">
        <x:f>IF(586&gt;$H$4,"",IF(INDEX('Fleet dates'!$C$9:$C$1008,$I594-8)="","",INDEX('Fleet dates'!$C$9:$C$1008,$I594-8)))</x:f>
      </x:c>
      <x:c r="D594" s="51" t="str">
        <x:f>IF(586&gt;$H$4,"",IF(INDEX('Fleet dates'!$D$9:$D$1008,$I594-8)="","",INDEX('Fleet dates'!$D$9:$D$1008,$I594-8)))</x:f>
      </x:c>
      <x:c r="E594" s="51" t="str">
        <x:f>IF(586&gt;$H$4,"",IF(INDEX('Fleet dates'!$E$9:$E$1008,$I594-8)="","",INDEX('Fleet dates'!$E$9:$E$1008,$I594-8)))</x:f>
      </x:c>
      <x:c r="F594" s="51" t="str">
        <x:f>IF(586&gt;$H$4,"",IF(INDEX('Fleet dates'!$F$9:$F$1008,$I594-8)="","",INDEX('Fleet dates'!$F$9:$F$1008,$I594-8)))</x:f>
      </x:c>
      <x:c r="G594" s="50" t="str">
        <x:f>IF(586&gt;$H$4,"",IF(INDEX('Fleet dates'!$G$9:$G$1008,$I594-8)="","",INDEX('Fleet dates'!$G$9:$G$1008,$I594-8)))</x:f>
      </x:c>
      <x:c r="H594" s="50" t="str">
        <x:f>IF(586&gt;$H$4,"",IF(INDEX('Fleet dates'!$I$9:$I$1008,$I594-8)="","",INDEX('Fleet dates'!$I$9:$I$1008,$I594-8)))</x:f>
      </x:c>
      <x:c r="I594" t="str">
        <x:f>IF(586&gt;$H$4,"",MATCH(586,'Fleet dates'!$J$9:$J$1008,0)+8)</x:f>
      </x:c>
    </x:row>
    <x:row r="595" ht="36" customHeight="1">
      <x:c r="A595" s="50" t="str">
        <x:f>IF(587&gt;$H$4,"",IF(INDEX('Fleet dates'!$A$9:$A$1008,$I595-8)="","",INDEX('Fleet dates'!$A$9:$A$1008,$I595-8)))</x:f>
      </x:c>
      <x:c r="B595" s="50" t="str">
        <x:f>IF(587&gt;$H$4,"",IF(INDEX('Fleet dates'!$B$9:$B$1008,$I595-8)="","",INDEX('Fleet dates'!$B$9:$B$1008,$I595-8)))</x:f>
      </x:c>
      <x:c r="C595" s="51" t="str">
        <x:f>IF(587&gt;$H$4,"",IF(INDEX('Fleet dates'!$C$9:$C$1008,$I595-8)="","",INDEX('Fleet dates'!$C$9:$C$1008,$I595-8)))</x:f>
      </x:c>
      <x:c r="D595" s="51" t="str">
        <x:f>IF(587&gt;$H$4,"",IF(INDEX('Fleet dates'!$D$9:$D$1008,$I595-8)="","",INDEX('Fleet dates'!$D$9:$D$1008,$I595-8)))</x:f>
      </x:c>
      <x:c r="E595" s="51" t="str">
        <x:f>IF(587&gt;$H$4,"",IF(INDEX('Fleet dates'!$E$9:$E$1008,$I595-8)="","",INDEX('Fleet dates'!$E$9:$E$1008,$I595-8)))</x:f>
      </x:c>
      <x:c r="F595" s="51" t="str">
        <x:f>IF(587&gt;$H$4,"",IF(INDEX('Fleet dates'!$F$9:$F$1008,$I595-8)="","",INDEX('Fleet dates'!$F$9:$F$1008,$I595-8)))</x:f>
      </x:c>
      <x:c r="G595" s="50" t="str">
        <x:f>IF(587&gt;$H$4,"",IF(INDEX('Fleet dates'!$G$9:$G$1008,$I595-8)="","",INDEX('Fleet dates'!$G$9:$G$1008,$I595-8)))</x:f>
      </x:c>
      <x:c r="H595" s="50" t="str">
        <x:f>IF(587&gt;$H$4,"",IF(INDEX('Fleet dates'!$I$9:$I$1008,$I595-8)="","",INDEX('Fleet dates'!$I$9:$I$1008,$I595-8)))</x:f>
      </x:c>
      <x:c r="I595" t="str">
        <x:f>IF(587&gt;$H$4,"",MATCH(587,'Fleet dates'!$J$9:$J$1008,0)+8)</x:f>
      </x:c>
    </x:row>
    <x:row r="596" ht="36" customHeight="1">
      <x:c r="A596" s="50" t="str">
        <x:f>IF(588&gt;$H$4,"",IF(INDEX('Fleet dates'!$A$9:$A$1008,$I596-8)="","",INDEX('Fleet dates'!$A$9:$A$1008,$I596-8)))</x:f>
      </x:c>
      <x:c r="B596" s="50" t="str">
        <x:f>IF(588&gt;$H$4,"",IF(INDEX('Fleet dates'!$B$9:$B$1008,$I596-8)="","",INDEX('Fleet dates'!$B$9:$B$1008,$I596-8)))</x:f>
      </x:c>
      <x:c r="C596" s="51" t="str">
        <x:f>IF(588&gt;$H$4,"",IF(INDEX('Fleet dates'!$C$9:$C$1008,$I596-8)="","",INDEX('Fleet dates'!$C$9:$C$1008,$I596-8)))</x:f>
      </x:c>
      <x:c r="D596" s="51" t="str">
        <x:f>IF(588&gt;$H$4,"",IF(INDEX('Fleet dates'!$D$9:$D$1008,$I596-8)="","",INDEX('Fleet dates'!$D$9:$D$1008,$I596-8)))</x:f>
      </x:c>
      <x:c r="E596" s="51" t="str">
        <x:f>IF(588&gt;$H$4,"",IF(INDEX('Fleet dates'!$E$9:$E$1008,$I596-8)="","",INDEX('Fleet dates'!$E$9:$E$1008,$I596-8)))</x:f>
      </x:c>
      <x:c r="F596" s="51" t="str">
        <x:f>IF(588&gt;$H$4,"",IF(INDEX('Fleet dates'!$F$9:$F$1008,$I596-8)="","",INDEX('Fleet dates'!$F$9:$F$1008,$I596-8)))</x:f>
      </x:c>
      <x:c r="G596" s="50" t="str">
        <x:f>IF(588&gt;$H$4,"",IF(INDEX('Fleet dates'!$G$9:$G$1008,$I596-8)="","",INDEX('Fleet dates'!$G$9:$G$1008,$I596-8)))</x:f>
      </x:c>
      <x:c r="H596" s="50" t="str">
        <x:f>IF(588&gt;$H$4,"",IF(INDEX('Fleet dates'!$I$9:$I$1008,$I596-8)="","",INDEX('Fleet dates'!$I$9:$I$1008,$I596-8)))</x:f>
      </x:c>
      <x:c r="I596" t="str">
        <x:f>IF(588&gt;$H$4,"",MATCH(588,'Fleet dates'!$J$9:$J$1008,0)+8)</x:f>
      </x:c>
    </x:row>
    <x:row r="597" ht="36" customHeight="1">
      <x:c r="A597" s="50" t="str">
        <x:f>IF(589&gt;$H$4,"",IF(INDEX('Fleet dates'!$A$9:$A$1008,$I597-8)="","",INDEX('Fleet dates'!$A$9:$A$1008,$I597-8)))</x:f>
      </x:c>
      <x:c r="B597" s="50" t="str">
        <x:f>IF(589&gt;$H$4,"",IF(INDEX('Fleet dates'!$B$9:$B$1008,$I597-8)="","",INDEX('Fleet dates'!$B$9:$B$1008,$I597-8)))</x:f>
      </x:c>
      <x:c r="C597" s="51" t="str">
        <x:f>IF(589&gt;$H$4,"",IF(INDEX('Fleet dates'!$C$9:$C$1008,$I597-8)="","",INDEX('Fleet dates'!$C$9:$C$1008,$I597-8)))</x:f>
      </x:c>
      <x:c r="D597" s="51" t="str">
        <x:f>IF(589&gt;$H$4,"",IF(INDEX('Fleet dates'!$D$9:$D$1008,$I597-8)="","",INDEX('Fleet dates'!$D$9:$D$1008,$I597-8)))</x:f>
      </x:c>
      <x:c r="E597" s="51" t="str">
        <x:f>IF(589&gt;$H$4,"",IF(INDEX('Fleet dates'!$E$9:$E$1008,$I597-8)="","",INDEX('Fleet dates'!$E$9:$E$1008,$I597-8)))</x:f>
      </x:c>
      <x:c r="F597" s="51" t="str">
        <x:f>IF(589&gt;$H$4,"",IF(INDEX('Fleet dates'!$F$9:$F$1008,$I597-8)="","",INDEX('Fleet dates'!$F$9:$F$1008,$I597-8)))</x:f>
      </x:c>
      <x:c r="G597" s="50" t="str">
        <x:f>IF(589&gt;$H$4,"",IF(INDEX('Fleet dates'!$G$9:$G$1008,$I597-8)="","",INDEX('Fleet dates'!$G$9:$G$1008,$I597-8)))</x:f>
      </x:c>
      <x:c r="H597" s="50" t="str">
        <x:f>IF(589&gt;$H$4,"",IF(INDEX('Fleet dates'!$I$9:$I$1008,$I597-8)="","",INDEX('Fleet dates'!$I$9:$I$1008,$I597-8)))</x:f>
      </x:c>
      <x:c r="I597" t="str">
        <x:f>IF(589&gt;$H$4,"",MATCH(589,'Fleet dates'!$J$9:$J$1008,0)+8)</x:f>
      </x:c>
    </x:row>
    <x:row r="598" ht="36" customHeight="1">
      <x:c r="A598" s="50" t="str">
        <x:f>IF(590&gt;$H$4,"",IF(INDEX('Fleet dates'!$A$9:$A$1008,$I598-8)="","",INDEX('Fleet dates'!$A$9:$A$1008,$I598-8)))</x:f>
      </x:c>
      <x:c r="B598" s="50" t="str">
        <x:f>IF(590&gt;$H$4,"",IF(INDEX('Fleet dates'!$B$9:$B$1008,$I598-8)="","",INDEX('Fleet dates'!$B$9:$B$1008,$I598-8)))</x:f>
      </x:c>
      <x:c r="C598" s="51" t="str">
        <x:f>IF(590&gt;$H$4,"",IF(INDEX('Fleet dates'!$C$9:$C$1008,$I598-8)="","",INDEX('Fleet dates'!$C$9:$C$1008,$I598-8)))</x:f>
      </x:c>
      <x:c r="D598" s="51" t="str">
        <x:f>IF(590&gt;$H$4,"",IF(INDEX('Fleet dates'!$D$9:$D$1008,$I598-8)="","",INDEX('Fleet dates'!$D$9:$D$1008,$I598-8)))</x:f>
      </x:c>
      <x:c r="E598" s="51" t="str">
        <x:f>IF(590&gt;$H$4,"",IF(INDEX('Fleet dates'!$E$9:$E$1008,$I598-8)="","",INDEX('Fleet dates'!$E$9:$E$1008,$I598-8)))</x:f>
      </x:c>
      <x:c r="F598" s="51" t="str">
        <x:f>IF(590&gt;$H$4,"",IF(INDEX('Fleet dates'!$F$9:$F$1008,$I598-8)="","",INDEX('Fleet dates'!$F$9:$F$1008,$I598-8)))</x:f>
      </x:c>
      <x:c r="G598" s="50" t="str">
        <x:f>IF(590&gt;$H$4,"",IF(INDEX('Fleet dates'!$G$9:$G$1008,$I598-8)="","",INDEX('Fleet dates'!$G$9:$G$1008,$I598-8)))</x:f>
      </x:c>
      <x:c r="H598" s="50" t="str">
        <x:f>IF(590&gt;$H$4,"",IF(INDEX('Fleet dates'!$I$9:$I$1008,$I598-8)="","",INDEX('Fleet dates'!$I$9:$I$1008,$I598-8)))</x:f>
      </x:c>
      <x:c r="I598" t="str">
        <x:f>IF(590&gt;$H$4,"",MATCH(590,'Fleet dates'!$J$9:$J$1008,0)+8)</x:f>
      </x:c>
    </x:row>
    <x:row r="599" ht="36" customHeight="1">
      <x:c r="A599" s="50" t="str">
        <x:f>IF(591&gt;$H$4,"",IF(INDEX('Fleet dates'!$A$9:$A$1008,$I599-8)="","",INDEX('Fleet dates'!$A$9:$A$1008,$I599-8)))</x:f>
      </x:c>
      <x:c r="B599" s="50" t="str">
        <x:f>IF(591&gt;$H$4,"",IF(INDEX('Fleet dates'!$B$9:$B$1008,$I599-8)="","",INDEX('Fleet dates'!$B$9:$B$1008,$I599-8)))</x:f>
      </x:c>
      <x:c r="C599" s="51" t="str">
        <x:f>IF(591&gt;$H$4,"",IF(INDEX('Fleet dates'!$C$9:$C$1008,$I599-8)="","",INDEX('Fleet dates'!$C$9:$C$1008,$I599-8)))</x:f>
      </x:c>
      <x:c r="D599" s="51" t="str">
        <x:f>IF(591&gt;$H$4,"",IF(INDEX('Fleet dates'!$D$9:$D$1008,$I599-8)="","",INDEX('Fleet dates'!$D$9:$D$1008,$I599-8)))</x:f>
      </x:c>
      <x:c r="E599" s="51" t="str">
        <x:f>IF(591&gt;$H$4,"",IF(INDEX('Fleet dates'!$E$9:$E$1008,$I599-8)="","",INDEX('Fleet dates'!$E$9:$E$1008,$I599-8)))</x:f>
      </x:c>
      <x:c r="F599" s="51" t="str">
        <x:f>IF(591&gt;$H$4,"",IF(INDEX('Fleet dates'!$F$9:$F$1008,$I599-8)="","",INDEX('Fleet dates'!$F$9:$F$1008,$I599-8)))</x:f>
      </x:c>
      <x:c r="G599" s="50" t="str">
        <x:f>IF(591&gt;$H$4,"",IF(INDEX('Fleet dates'!$G$9:$G$1008,$I599-8)="","",INDEX('Fleet dates'!$G$9:$G$1008,$I599-8)))</x:f>
      </x:c>
      <x:c r="H599" s="50" t="str">
        <x:f>IF(591&gt;$H$4,"",IF(INDEX('Fleet dates'!$I$9:$I$1008,$I599-8)="","",INDEX('Fleet dates'!$I$9:$I$1008,$I599-8)))</x:f>
      </x:c>
      <x:c r="I599" t="str">
        <x:f>IF(591&gt;$H$4,"",MATCH(591,'Fleet dates'!$J$9:$J$1008,0)+8)</x:f>
      </x:c>
    </x:row>
    <x:row r="600" ht="36" customHeight="1">
      <x:c r="A600" s="50" t="str">
        <x:f>IF(592&gt;$H$4,"",IF(INDEX('Fleet dates'!$A$9:$A$1008,$I600-8)="","",INDEX('Fleet dates'!$A$9:$A$1008,$I600-8)))</x:f>
      </x:c>
      <x:c r="B600" s="50" t="str">
        <x:f>IF(592&gt;$H$4,"",IF(INDEX('Fleet dates'!$B$9:$B$1008,$I600-8)="","",INDEX('Fleet dates'!$B$9:$B$1008,$I600-8)))</x:f>
      </x:c>
      <x:c r="C600" s="51" t="str">
        <x:f>IF(592&gt;$H$4,"",IF(INDEX('Fleet dates'!$C$9:$C$1008,$I600-8)="","",INDEX('Fleet dates'!$C$9:$C$1008,$I600-8)))</x:f>
      </x:c>
      <x:c r="D600" s="51" t="str">
        <x:f>IF(592&gt;$H$4,"",IF(INDEX('Fleet dates'!$D$9:$D$1008,$I600-8)="","",INDEX('Fleet dates'!$D$9:$D$1008,$I600-8)))</x:f>
      </x:c>
      <x:c r="E600" s="51" t="str">
        <x:f>IF(592&gt;$H$4,"",IF(INDEX('Fleet dates'!$E$9:$E$1008,$I600-8)="","",INDEX('Fleet dates'!$E$9:$E$1008,$I600-8)))</x:f>
      </x:c>
      <x:c r="F600" s="51" t="str">
        <x:f>IF(592&gt;$H$4,"",IF(INDEX('Fleet dates'!$F$9:$F$1008,$I600-8)="","",INDEX('Fleet dates'!$F$9:$F$1008,$I600-8)))</x:f>
      </x:c>
      <x:c r="G600" s="50" t="str">
        <x:f>IF(592&gt;$H$4,"",IF(INDEX('Fleet dates'!$G$9:$G$1008,$I600-8)="","",INDEX('Fleet dates'!$G$9:$G$1008,$I600-8)))</x:f>
      </x:c>
      <x:c r="H600" s="50" t="str">
        <x:f>IF(592&gt;$H$4,"",IF(INDEX('Fleet dates'!$I$9:$I$1008,$I600-8)="","",INDEX('Fleet dates'!$I$9:$I$1008,$I600-8)))</x:f>
      </x:c>
      <x:c r="I600" t="str">
        <x:f>IF(592&gt;$H$4,"",MATCH(592,'Fleet dates'!$J$9:$J$1008,0)+8)</x:f>
      </x:c>
    </x:row>
    <x:row r="601" ht="36" customHeight="1">
      <x:c r="A601" s="50" t="str">
        <x:f>IF(593&gt;$H$4,"",IF(INDEX('Fleet dates'!$A$9:$A$1008,$I601-8)="","",INDEX('Fleet dates'!$A$9:$A$1008,$I601-8)))</x:f>
      </x:c>
      <x:c r="B601" s="50" t="str">
        <x:f>IF(593&gt;$H$4,"",IF(INDEX('Fleet dates'!$B$9:$B$1008,$I601-8)="","",INDEX('Fleet dates'!$B$9:$B$1008,$I601-8)))</x:f>
      </x:c>
      <x:c r="C601" s="51" t="str">
        <x:f>IF(593&gt;$H$4,"",IF(INDEX('Fleet dates'!$C$9:$C$1008,$I601-8)="","",INDEX('Fleet dates'!$C$9:$C$1008,$I601-8)))</x:f>
      </x:c>
      <x:c r="D601" s="51" t="str">
        <x:f>IF(593&gt;$H$4,"",IF(INDEX('Fleet dates'!$D$9:$D$1008,$I601-8)="","",INDEX('Fleet dates'!$D$9:$D$1008,$I601-8)))</x:f>
      </x:c>
      <x:c r="E601" s="51" t="str">
        <x:f>IF(593&gt;$H$4,"",IF(INDEX('Fleet dates'!$E$9:$E$1008,$I601-8)="","",INDEX('Fleet dates'!$E$9:$E$1008,$I601-8)))</x:f>
      </x:c>
      <x:c r="F601" s="51" t="str">
        <x:f>IF(593&gt;$H$4,"",IF(INDEX('Fleet dates'!$F$9:$F$1008,$I601-8)="","",INDEX('Fleet dates'!$F$9:$F$1008,$I601-8)))</x:f>
      </x:c>
      <x:c r="G601" s="50" t="str">
        <x:f>IF(593&gt;$H$4,"",IF(INDEX('Fleet dates'!$G$9:$G$1008,$I601-8)="","",INDEX('Fleet dates'!$G$9:$G$1008,$I601-8)))</x:f>
      </x:c>
      <x:c r="H601" s="50" t="str">
        <x:f>IF(593&gt;$H$4,"",IF(INDEX('Fleet dates'!$I$9:$I$1008,$I601-8)="","",INDEX('Fleet dates'!$I$9:$I$1008,$I601-8)))</x:f>
      </x:c>
      <x:c r="I601" t="str">
        <x:f>IF(593&gt;$H$4,"",MATCH(593,'Fleet dates'!$J$9:$J$1008,0)+8)</x:f>
      </x:c>
    </x:row>
    <x:row r="602" ht="36" customHeight="1">
      <x:c r="A602" s="50" t="str">
        <x:f>IF(594&gt;$H$4,"",IF(INDEX('Fleet dates'!$A$9:$A$1008,$I602-8)="","",INDEX('Fleet dates'!$A$9:$A$1008,$I602-8)))</x:f>
      </x:c>
      <x:c r="B602" s="50" t="str">
        <x:f>IF(594&gt;$H$4,"",IF(INDEX('Fleet dates'!$B$9:$B$1008,$I602-8)="","",INDEX('Fleet dates'!$B$9:$B$1008,$I602-8)))</x:f>
      </x:c>
      <x:c r="C602" s="51" t="str">
        <x:f>IF(594&gt;$H$4,"",IF(INDEX('Fleet dates'!$C$9:$C$1008,$I602-8)="","",INDEX('Fleet dates'!$C$9:$C$1008,$I602-8)))</x:f>
      </x:c>
      <x:c r="D602" s="51" t="str">
        <x:f>IF(594&gt;$H$4,"",IF(INDEX('Fleet dates'!$D$9:$D$1008,$I602-8)="","",INDEX('Fleet dates'!$D$9:$D$1008,$I602-8)))</x:f>
      </x:c>
      <x:c r="E602" s="51" t="str">
        <x:f>IF(594&gt;$H$4,"",IF(INDEX('Fleet dates'!$E$9:$E$1008,$I602-8)="","",INDEX('Fleet dates'!$E$9:$E$1008,$I602-8)))</x:f>
      </x:c>
      <x:c r="F602" s="51" t="str">
        <x:f>IF(594&gt;$H$4,"",IF(INDEX('Fleet dates'!$F$9:$F$1008,$I602-8)="","",INDEX('Fleet dates'!$F$9:$F$1008,$I602-8)))</x:f>
      </x:c>
      <x:c r="G602" s="50" t="str">
        <x:f>IF(594&gt;$H$4,"",IF(INDEX('Fleet dates'!$G$9:$G$1008,$I602-8)="","",INDEX('Fleet dates'!$G$9:$G$1008,$I602-8)))</x:f>
      </x:c>
      <x:c r="H602" s="50" t="str">
        <x:f>IF(594&gt;$H$4,"",IF(INDEX('Fleet dates'!$I$9:$I$1008,$I602-8)="","",INDEX('Fleet dates'!$I$9:$I$1008,$I602-8)))</x:f>
      </x:c>
      <x:c r="I602" t="str">
        <x:f>IF(594&gt;$H$4,"",MATCH(594,'Fleet dates'!$J$9:$J$1008,0)+8)</x:f>
      </x:c>
    </x:row>
    <x:row r="603" ht="36" customHeight="1">
      <x:c r="A603" s="50" t="str">
        <x:f>IF(595&gt;$H$4,"",IF(INDEX('Fleet dates'!$A$9:$A$1008,$I603-8)="","",INDEX('Fleet dates'!$A$9:$A$1008,$I603-8)))</x:f>
      </x:c>
      <x:c r="B603" s="50" t="str">
        <x:f>IF(595&gt;$H$4,"",IF(INDEX('Fleet dates'!$B$9:$B$1008,$I603-8)="","",INDEX('Fleet dates'!$B$9:$B$1008,$I603-8)))</x:f>
      </x:c>
      <x:c r="C603" s="51" t="str">
        <x:f>IF(595&gt;$H$4,"",IF(INDEX('Fleet dates'!$C$9:$C$1008,$I603-8)="","",INDEX('Fleet dates'!$C$9:$C$1008,$I603-8)))</x:f>
      </x:c>
      <x:c r="D603" s="51" t="str">
        <x:f>IF(595&gt;$H$4,"",IF(INDEX('Fleet dates'!$D$9:$D$1008,$I603-8)="","",INDEX('Fleet dates'!$D$9:$D$1008,$I603-8)))</x:f>
      </x:c>
      <x:c r="E603" s="51" t="str">
        <x:f>IF(595&gt;$H$4,"",IF(INDEX('Fleet dates'!$E$9:$E$1008,$I603-8)="","",INDEX('Fleet dates'!$E$9:$E$1008,$I603-8)))</x:f>
      </x:c>
      <x:c r="F603" s="51" t="str">
        <x:f>IF(595&gt;$H$4,"",IF(INDEX('Fleet dates'!$F$9:$F$1008,$I603-8)="","",INDEX('Fleet dates'!$F$9:$F$1008,$I603-8)))</x:f>
      </x:c>
      <x:c r="G603" s="50" t="str">
        <x:f>IF(595&gt;$H$4,"",IF(INDEX('Fleet dates'!$G$9:$G$1008,$I603-8)="","",INDEX('Fleet dates'!$G$9:$G$1008,$I603-8)))</x:f>
      </x:c>
      <x:c r="H603" s="50" t="str">
        <x:f>IF(595&gt;$H$4,"",IF(INDEX('Fleet dates'!$I$9:$I$1008,$I603-8)="","",INDEX('Fleet dates'!$I$9:$I$1008,$I603-8)))</x:f>
      </x:c>
      <x:c r="I603" t="str">
        <x:f>IF(595&gt;$H$4,"",MATCH(595,'Fleet dates'!$J$9:$J$1008,0)+8)</x:f>
      </x:c>
    </x:row>
    <x:row r="604" ht="36" customHeight="1">
      <x:c r="A604" s="50" t="str">
        <x:f>IF(596&gt;$H$4,"",IF(INDEX('Fleet dates'!$A$9:$A$1008,$I604-8)="","",INDEX('Fleet dates'!$A$9:$A$1008,$I604-8)))</x:f>
      </x:c>
      <x:c r="B604" s="50" t="str">
        <x:f>IF(596&gt;$H$4,"",IF(INDEX('Fleet dates'!$B$9:$B$1008,$I604-8)="","",INDEX('Fleet dates'!$B$9:$B$1008,$I604-8)))</x:f>
      </x:c>
      <x:c r="C604" s="51" t="str">
        <x:f>IF(596&gt;$H$4,"",IF(INDEX('Fleet dates'!$C$9:$C$1008,$I604-8)="","",INDEX('Fleet dates'!$C$9:$C$1008,$I604-8)))</x:f>
      </x:c>
      <x:c r="D604" s="51" t="str">
        <x:f>IF(596&gt;$H$4,"",IF(INDEX('Fleet dates'!$D$9:$D$1008,$I604-8)="","",INDEX('Fleet dates'!$D$9:$D$1008,$I604-8)))</x:f>
      </x:c>
      <x:c r="E604" s="51" t="str">
        <x:f>IF(596&gt;$H$4,"",IF(INDEX('Fleet dates'!$E$9:$E$1008,$I604-8)="","",INDEX('Fleet dates'!$E$9:$E$1008,$I604-8)))</x:f>
      </x:c>
      <x:c r="F604" s="51" t="str">
        <x:f>IF(596&gt;$H$4,"",IF(INDEX('Fleet dates'!$F$9:$F$1008,$I604-8)="","",INDEX('Fleet dates'!$F$9:$F$1008,$I604-8)))</x:f>
      </x:c>
      <x:c r="G604" s="50" t="str">
        <x:f>IF(596&gt;$H$4,"",IF(INDEX('Fleet dates'!$G$9:$G$1008,$I604-8)="","",INDEX('Fleet dates'!$G$9:$G$1008,$I604-8)))</x:f>
      </x:c>
      <x:c r="H604" s="50" t="str">
        <x:f>IF(596&gt;$H$4,"",IF(INDEX('Fleet dates'!$I$9:$I$1008,$I604-8)="","",INDEX('Fleet dates'!$I$9:$I$1008,$I604-8)))</x:f>
      </x:c>
      <x:c r="I604" t="str">
        <x:f>IF(596&gt;$H$4,"",MATCH(596,'Fleet dates'!$J$9:$J$1008,0)+8)</x:f>
      </x:c>
    </x:row>
    <x:row r="605" ht="36" customHeight="1">
      <x:c r="A605" s="50" t="str">
        <x:f>IF(597&gt;$H$4,"",IF(INDEX('Fleet dates'!$A$9:$A$1008,$I605-8)="","",INDEX('Fleet dates'!$A$9:$A$1008,$I605-8)))</x:f>
      </x:c>
      <x:c r="B605" s="50" t="str">
        <x:f>IF(597&gt;$H$4,"",IF(INDEX('Fleet dates'!$B$9:$B$1008,$I605-8)="","",INDEX('Fleet dates'!$B$9:$B$1008,$I605-8)))</x:f>
      </x:c>
      <x:c r="C605" s="51" t="str">
        <x:f>IF(597&gt;$H$4,"",IF(INDEX('Fleet dates'!$C$9:$C$1008,$I605-8)="","",INDEX('Fleet dates'!$C$9:$C$1008,$I605-8)))</x:f>
      </x:c>
      <x:c r="D605" s="51" t="str">
        <x:f>IF(597&gt;$H$4,"",IF(INDEX('Fleet dates'!$D$9:$D$1008,$I605-8)="","",INDEX('Fleet dates'!$D$9:$D$1008,$I605-8)))</x:f>
      </x:c>
      <x:c r="E605" s="51" t="str">
        <x:f>IF(597&gt;$H$4,"",IF(INDEX('Fleet dates'!$E$9:$E$1008,$I605-8)="","",INDEX('Fleet dates'!$E$9:$E$1008,$I605-8)))</x:f>
      </x:c>
      <x:c r="F605" s="51" t="str">
        <x:f>IF(597&gt;$H$4,"",IF(INDEX('Fleet dates'!$F$9:$F$1008,$I605-8)="","",INDEX('Fleet dates'!$F$9:$F$1008,$I605-8)))</x:f>
      </x:c>
      <x:c r="G605" s="50" t="str">
        <x:f>IF(597&gt;$H$4,"",IF(INDEX('Fleet dates'!$G$9:$G$1008,$I605-8)="","",INDEX('Fleet dates'!$G$9:$G$1008,$I605-8)))</x:f>
      </x:c>
      <x:c r="H605" s="50" t="str">
        <x:f>IF(597&gt;$H$4,"",IF(INDEX('Fleet dates'!$I$9:$I$1008,$I605-8)="","",INDEX('Fleet dates'!$I$9:$I$1008,$I605-8)))</x:f>
      </x:c>
      <x:c r="I605" t="str">
        <x:f>IF(597&gt;$H$4,"",MATCH(597,'Fleet dates'!$J$9:$J$1008,0)+8)</x:f>
      </x:c>
    </x:row>
    <x:row r="606" ht="36" customHeight="1">
      <x:c r="A606" s="50" t="str">
        <x:f>IF(598&gt;$H$4,"",IF(INDEX('Fleet dates'!$A$9:$A$1008,$I606-8)="","",INDEX('Fleet dates'!$A$9:$A$1008,$I606-8)))</x:f>
      </x:c>
      <x:c r="B606" s="50" t="str">
        <x:f>IF(598&gt;$H$4,"",IF(INDEX('Fleet dates'!$B$9:$B$1008,$I606-8)="","",INDEX('Fleet dates'!$B$9:$B$1008,$I606-8)))</x:f>
      </x:c>
      <x:c r="C606" s="51" t="str">
        <x:f>IF(598&gt;$H$4,"",IF(INDEX('Fleet dates'!$C$9:$C$1008,$I606-8)="","",INDEX('Fleet dates'!$C$9:$C$1008,$I606-8)))</x:f>
      </x:c>
      <x:c r="D606" s="51" t="str">
        <x:f>IF(598&gt;$H$4,"",IF(INDEX('Fleet dates'!$D$9:$D$1008,$I606-8)="","",INDEX('Fleet dates'!$D$9:$D$1008,$I606-8)))</x:f>
      </x:c>
      <x:c r="E606" s="51" t="str">
        <x:f>IF(598&gt;$H$4,"",IF(INDEX('Fleet dates'!$E$9:$E$1008,$I606-8)="","",INDEX('Fleet dates'!$E$9:$E$1008,$I606-8)))</x:f>
      </x:c>
      <x:c r="F606" s="51" t="str">
        <x:f>IF(598&gt;$H$4,"",IF(INDEX('Fleet dates'!$F$9:$F$1008,$I606-8)="","",INDEX('Fleet dates'!$F$9:$F$1008,$I606-8)))</x:f>
      </x:c>
      <x:c r="G606" s="50" t="str">
        <x:f>IF(598&gt;$H$4,"",IF(INDEX('Fleet dates'!$G$9:$G$1008,$I606-8)="","",INDEX('Fleet dates'!$G$9:$G$1008,$I606-8)))</x:f>
      </x:c>
      <x:c r="H606" s="50" t="str">
        <x:f>IF(598&gt;$H$4,"",IF(INDEX('Fleet dates'!$I$9:$I$1008,$I606-8)="","",INDEX('Fleet dates'!$I$9:$I$1008,$I606-8)))</x:f>
      </x:c>
      <x:c r="I606" t="str">
        <x:f>IF(598&gt;$H$4,"",MATCH(598,'Fleet dates'!$J$9:$J$1008,0)+8)</x:f>
      </x:c>
    </x:row>
    <x:row r="607" ht="36" customHeight="1">
      <x:c r="A607" s="50" t="str">
        <x:f>IF(599&gt;$H$4,"",IF(INDEX('Fleet dates'!$A$9:$A$1008,$I607-8)="","",INDEX('Fleet dates'!$A$9:$A$1008,$I607-8)))</x:f>
      </x:c>
      <x:c r="B607" s="50" t="str">
        <x:f>IF(599&gt;$H$4,"",IF(INDEX('Fleet dates'!$B$9:$B$1008,$I607-8)="","",INDEX('Fleet dates'!$B$9:$B$1008,$I607-8)))</x:f>
      </x:c>
      <x:c r="C607" s="51" t="str">
        <x:f>IF(599&gt;$H$4,"",IF(INDEX('Fleet dates'!$C$9:$C$1008,$I607-8)="","",INDEX('Fleet dates'!$C$9:$C$1008,$I607-8)))</x:f>
      </x:c>
      <x:c r="D607" s="51" t="str">
        <x:f>IF(599&gt;$H$4,"",IF(INDEX('Fleet dates'!$D$9:$D$1008,$I607-8)="","",INDEX('Fleet dates'!$D$9:$D$1008,$I607-8)))</x:f>
      </x:c>
      <x:c r="E607" s="51" t="str">
        <x:f>IF(599&gt;$H$4,"",IF(INDEX('Fleet dates'!$E$9:$E$1008,$I607-8)="","",INDEX('Fleet dates'!$E$9:$E$1008,$I607-8)))</x:f>
      </x:c>
      <x:c r="F607" s="51" t="str">
        <x:f>IF(599&gt;$H$4,"",IF(INDEX('Fleet dates'!$F$9:$F$1008,$I607-8)="","",INDEX('Fleet dates'!$F$9:$F$1008,$I607-8)))</x:f>
      </x:c>
      <x:c r="G607" s="50" t="str">
        <x:f>IF(599&gt;$H$4,"",IF(INDEX('Fleet dates'!$G$9:$G$1008,$I607-8)="","",INDEX('Fleet dates'!$G$9:$G$1008,$I607-8)))</x:f>
      </x:c>
      <x:c r="H607" s="50" t="str">
        <x:f>IF(599&gt;$H$4,"",IF(INDEX('Fleet dates'!$I$9:$I$1008,$I607-8)="","",INDEX('Fleet dates'!$I$9:$I$1008,$I607-8)))</x:f>
      </x:c>
      <x:c r="I607" t="str">
        <x:f>IF(599&gt;$H$4,"",MATCH(599,'Fleet dates'!$J$9:$J$1008,0)+8)</x:f>
      </x:c>
    </x:row>
    <x:row r="608" ht="36" customHeight="1">
      <x:c r="A608" s="50" t="str">
        <x:f>IF(600&gt;$H$4,"",IF(INDEX('Fleet dates'!$A$9:$A$1008,$I608-8)="","",INDEX('Fleet dates'!$A$9:$A$1008,$I608-8)))</x:f>
      </x:c>
      <x:c r="B608" s="50" t="str">
        <x:f>IF(600&gt;$H$4,"",IF(INDEX('Fleet dates'!$B$9:$B$1008,$I608-8)="","",INDEX('Fleet dates'!$B$9:$B$1008,$I608-8)))</x:f>
      </x:c>
      <x:c r="C608" s="51" t="str">
        <x:f>IF(600&gt;$H$4,"",IF(INDEX('Fleet dates'!$C$9:$C$1008,$I608-8)="","",INDEX('Fleet dates'!$C$9:$C$1008,$I608-8)))</x:f>
      </x:c>
      <x:c r="D608" s="51" t="str">
        <x:f>IF(600&gt;$H$4,"",IF(INDEX('Fleet dates'!$D$9:$D$1008,$I608-8)="","",INDEX('Fleet dates'!$D$9:$D$1008,$I608-8)))</x:f>
      </x:c>
      <x:c r="E608" s="51" t="str">
        <x:f>IF(600&gt;$H$4,"",IF(INDEX('Fleet dates'!$E$9:$E$1008,$I608-8)="","",INDEX('Fleet dates'!$E$9:$E$1008,$I608-8)))</x:f>
      </x:c>
      <x:c r="F608" s="51" t="str">
        <x:f>IF(600&gt;$H$4,"",IF(INDEX('Fleet dates'!$F$9:$F$1008,$I608-8)="","",INDEX('Fleet dates'!$F$9:$F$1008,$I608-8)))</x:f>
      </x:c>
      <x:c r="G608" s="50" t="str">
        <x:f>IF(600&gt;$H$4,"",IF(INDEX('Fleet dates'!$G$9:$G$1008,$I608-8)="","",INDEX('Fleet dates'!$G$9:$G$1008,$I608-8)))</x:f>
      </x:c>
      <x:c r="H608" s="50" t="str">
        <x:f>IF(600&gt;$H$4,"",IF(INDEX('Fleet dates'!$I$9:$I$1008,$I608-8)="","",INDEX('Fleet dates'!$I$9:$I$1008,$I608-8)))</x:f>
      </x:c>
      <x:c r="I608" t="str">
        <x:f>IF(600&gt;$H$4,"",MATCH(600,'Fleet dates'!$J$9:$J$1008,0)+8)</x:f>
      </x:c>
    </x:row>
    <x:row r="609" ht="36" customHeight="1">
      <x:c r="A609" s="50" t="str">
        <x:f>IF(601&gt;$H$4,"",IF(INDEX('Fleet dates'!$A$9:$A$1008,$I609-8)="","",INDEX('Fleet dates'!$A$9:$A$1008,$I609-8)))</x:f>
      </x:c>
      <x:c r="B609" s="50" t="str">
        <x:f>IF(601&gt;$H$4,"",IF(INDEX('Fleet dates'!$B$9:$B$1008,$I609-8)="","",INDEX('Fleet dates'!$B$9:$B$1008,$I609-8)))</x:f>
      </x:c>
      <x:c r="C609" s="51" t="str">
        <x:f>IF(601&gt;$H$4,"",IF(INDEX('Fleet dates'!$C$9:$C$1008,$I609-8)="","",INDEX('Fleet dates'!$C$9:$C$1008,$I609-8)))</x:f>
      </x:c>
      <x:c r="D609" s="51" t="str">
        <x:f>IF(601&gt;$H$4,"",IF(INDEX('Fleet dates'!$D$9:$D$1008,$I609-8)="","",INDEX('Fleet dates'!$D$9:$D$1008,$I609-8)))</x:f>
      </x:c>
      <x:c r="E609" s="51" t="str">
        <x:f>IF(601&gt;$H$4,"",IF(INDEX('Fleet dates'!$E$9:$E$1008,$I609-8)="","",INDEX('Fleet dates'!$E$9:$E$1008,$I609-8)))</x:f>
      </x:c>
      <x:c r="F609" s="51" t="str">
        <x:f>IF(601&gt;$H$4,"",IF(INDEX('Fleet dates'!$F$9:$F$1008,$I609-8)="","",INDEX('Fleet dates'!$F$9:$F$1008,$I609-8)))</x:f>
      </x:c>
      <x:c r="G609" s="50" t="str">
        <x:f>IF(601&gt;$H$4,"",IF(INDEX('Fleet dates'!$G$9:$G$1008,$I609-8)="","",INDEX('Fleet dates'!$G$9:$G$1008,$I609-8)))</x:f>
      </x:c>
      <x:c r="H609" s="50" t="str">
        <x:f>IF(601&gt;$H$4,"",IF(INDEX('Fleet dates'!$I$9:$I$1008,$I609-8)="","",INDEX('Fleet dates'!$I$9:$I$1008,$I609-8)))</x:f>
      </x:c>
      <x:c r="I609" t="str">
        <x:f>IF(601&gt;$H$4,"",MATCH(601,'Fleet dates'!$J$9:$J$1008,0)+8)</x:f>
      </x:c>
    </x:row>
    <x:row r="610" ht="36" customHeight="1">
      <x:c r="A610" s="50" t="str">
        <x:f>IF(602&gt;$H$4,"",IF(INDEX('Fleet dates'!$A$9:$A$1008,$I610-8)="","",INDEX('Fleet dates'!$A$9:$A$1008,$I610-8)))</x:f>
      </x:c>
      <x:c r="B610" s="50" t="str">
        <x:f>IF(602&gt;$H$4,"",IF(INDEX('Fleet dates'!$B$9:$B$1008,$I610-8)="","",INDEX('Fleet dates'!$B$9:$B$1008,$I610-8)))</x:f>
      </x:c>
      <x:c r="C610" s="51" t="str">
        <x:f>IF(602&gt;$H$4,"",IF(INDEX('Fleet dates'!$C$9:$C$1008,$I610-8)="","",INDEX('Fleet dates'!$C$9:$C$1008,$I610-8)))</x:f>
      </x:c>
      <x:c r="D610" s="51" t="str">
        <x:f>IF(602&gt;$H$4,"",IF(INDEX('Fleet dates'!$D$9:$D$1008,$I610-8)="","",INDEX('Fleet dates'!$D$9:$D$1008,$I610-8)))</x:f>
      </x:c>
      <x:c r="E610" s="51" t="str">
        <x:f>IF(602&gt;$H$4,"",IF(INDEX('Fleet dates'!$E$9:$E$1008,$I610-8)="","",INDEX('Fleet dates'!$E$9:$E$1008,$I610-8)))</x:f>
      </x:c>
      <x:c r="F610" s="51" t="str">
        <x:f>IF(602&gt;$H$4,"",IF(INDEX('Fleet dates'!$F$9:$F$1008,$I610-8)="","",INDEX('Fleet dates'!$F$9:$F$1008,$I610-8)))</x:f>
      </x:c>
      <x:c r="G610" s="50" t="str">
        <x:f>IF(602&gt;$H$4,"",IF(INDEX('Fleet dates'!$G$9:$G$1008,$I610-8)="","",INDEX('Fleet dates'!$G$9:$G$1008,$I610-8)))</x:f>
      </x:c>
      <x:c r="H610" s="50" t="str">
        <x:f>IF(602&gt;$H$4,"",IF(INDEX('Fleet dates'!$I$9:$I$1008,$I610-8)="","",INDEX('Fleet dates'!$I$9:$I$1008,$I610-8)))</x:f>
      </x:c>
      <x:c r="I610" t="str">
        <x:f>IF(602&gt;$H$4,"",MATCH(602,'Fleet dates'!$J$9:$J$1008,0)+8)</x:f>
      </x:c>
    </x:row>
    <x:row r="611" ht="36" customHeight="1">
      <x:c r="A611" s="50" t="str">
        <x:f>IF(603&gt;$H$4,"",IF(INDEX('Fleet dates'!$A$9:$A$1008,$I611-8)="","",INDEX('Fleet dates'!$A$9:$A$1008,$I611-8)))</x:f>
      </x:c>
      <x:c r="B611" s="50" t="str">
        <x:f>IF(603&gt;$H$4,"",IF(INDEX('Fleet dates'!$B$9:$B$1008,$I611-8)="","",INDEX('Fleet dates'!$B$9:$B$1008,$I611-8)))</x:f>
      </x:c>
      <x:c r="C611" s="51" t="str">
        <x:f>IF(603&gt;$H$4,"",IF(INDEX('Fleet dates'!$C$9:$C$1008,$I611-8)="","",INDEX('Fleet dates'!$C$9:$C$1008,$I611-8)))</x:f>
      </x:c>
      <x:c r="D611" s="51" t="str">
        <x:f>IF(603&gt;$H$4,"",IF(INDEX('Fleet dates'!$D$9:$D$1008,$I611-8)="","",INDEX('Fleet dates'!$D$9:$D$1008,$I611-8)))</x:f>
      </x:c>
      <x:c r="E611" s="51" t="str">
        <x:f>IF(603&gt;$H$4,"",IF(INDEX('Fleet dates'!$E$9:$E$1008,$I611-8)="","",INDEX('Fleet dates'!$E$9:$E$1008,$I611-8)))</x:f>
      </x:c>
      <x:c r="F611" s="51" t="str">
        <x:f>IF(603&gt;$H$4,"",IF(INDEX('Fleet dates'!$F$9:$F$1008,$I611-8)="","",INDEX('Fleet dates'!$F$9:$F$1008,$I611-8)))</x:f>
      </x:c>
      <x:c r="G611" s="50" t="str">
        <x:f>IF(603&gt;$H$4,"",IF(INDEX('Fleet dates'!$G$9:$G$1008,$I611-8)="","",INDEX('Fleet dates'!$G$9:$G$1008,$I611-8)))</x:f>
      </x:c>
      <x:c r="H611" s="50" t="str">
        <x:f>IF(603&gt;$H$4,"",IF(INDEX('Fleet dates'!$I$9:$I$1008,$I611-8)="","",INDEX('Fleet dates'!$I$9:$I$1008,$I611-8)))</x:f>
      </x:c>
      <x:c r="I611" t="str">
        <x:f>IF(603&gt;$H$4,"",MATCH(603,'Fleet dates'!$J$9:$J$1008,0)+8)</x:f>
      </x:c>
    </x:row>
    <x:row r="612" ht="36" customHeight="1">
      <x:c r="A612" s="50" t="str">
        <x:f>IF(604&gt;$H$4,"",IF(INDEX('Fleet dates'!$A$9:$A$1008,$I612-8)="","",INDEX('Fleet dates'!$A$9:$A$1008,$I612-8)))</x:f>
      </x:c>
      <x:c r="B612" s="50" t="str">
        <x:f>IF(604&gt;$H$4,"",IF(INDEX('Fleet dates'!$B$9:$B$1008,$I612-8)="","",INDEX('Fleet dates'!$B$9:$B$1008,$I612-8)))</x:f>
      </x:c>
      <x:c r="C612" s="51" t="str">
        <x:f>IF(604&gt;$H$4,"",IF(INDEX('Fleet dates'!$C$9:$C$1008,$I612-8)="","",INDEX('Fleet dates'!$C$9:$C$1008,$I612-8)))</x:f>
      </x:c>
      <x:c r="D612" s="51" t="str">
        <x:f>IF(604&gt;$H$4,"",IF(INDEX('Fleet dates'!$D$9:$D$1008,$I612-8)="","",INDEX('Fleet dates'!$D$9:$D$1008,$I612-8)))</x:f>
      </x:c>
      <x:c r="E612" s="51" t="str">
        <x:f>IF(604&gt;$H$4,"",IF(INDEX('Fleet dates'!$E$9:$E$1008,$I612-8)="","",INDEX('Fleet dates'!$E$9:$E$1008,$I612-8)))</x:f>
      </x:c>
      <x:c r="F612" s="51" t="str">
        <x:f>IF(604&gt;$H$4,"",IF(INDEX('Fleet dates'!$F$9:$F$1008,$I612-8)="","",INDEX('Fleet dates'!$F$9:$F$1008,$I612-8)))</x:f>
      </x:c>
      <x:c r="G612" s="50" t="str">
        <x:f>IF(604&gt;$H$4,"",IF(INDEX('Fleet dates'!$G$9:$G$1008,$I612-8)="","",INDEX('Fleet dates'!$G$9:$G$1008,$I612-8)))</x:f>
      </x:c>
      <x:c r="H612" s="50" t="str">
        <x:f>IF(604&gt;$H$4,"",IF(INDEX('Fleet dates'!$I$9:$I$1008,$I612-8)="","",INDEX('Fleet dates'!$I$9:$I$1008,$I612-8)))</x:f>
      </x:c>
      <x:c r="I612" t="str">
        <x:f>IF(604&gt;$H$4,"",MATCH(604,'Fleet dates'!$J$9:$J$1008,0)+8)</x:f>
      </x:c>
    </x:row>
    <x:row r="613" ht="36" customHeight="1">
      <x:c r="A613" s="50" t="str">
        <x:f>IF(605&gt;$H$4,"",IF(INDEX('Fleet dates'!$A$9:$A$1008,$I613-8)="","",INDEX('Fleet dates'!$A$9:$A$1008,$I613-8)))</x:f>
      </x:c>
      <x:c r="B613" s="50" t="str">
        <x:f>IF(605&gt;$H$4,"",IF(INDEX('Fleet dates'!$B$9:$B$1008,$I613-8)="","",INDEX('Fleet dates'!$B$9:$B$1008,$I613-8)))</x:f>
      </x:c>
      <x:c r="C613" s="51" t="str">
        <x:f>IF(605&gt;$H$4,"",IF(INDEX('Fleet dates'!$C$9:$C$1008,$I613-8)="","",INDEX('Fleet dates'!$C$9:$C$1008,$I613-8)))</x:f>
      </x:c>
      <x:c r="D613" s="51" t="str">
        <x:f>IF(605&gt;$H$4,"",IF(INDEX('Fleet dates'!$D$9:$D$1008,$I613-8)="","",INDEX('Fleet dates'!$D$9:$D$1008,$I613-8)))</x:f>
      </x:c>
      <x:c r="E613" s="51" t="str">
        <x:f>IF(605&gt;$H$4,"",IF(INDEX('Fleet dates'!$E$9:$E$1008,$I613-8)="","",INDEX('Fleet dates'!$E$9:$E$1008,$I613-8)))</x:f>
      </x:c>
      <x:c r="F613" s="51" t="str">
        <x:f>IF(605&gt;$H$4,"",IF(INDEX('Fleet dates'!$F$9:$F$1008,$I613-8)="","",INDEX('Fleet dates'!$F$9:$F$1008,$I613-8)))</x:f>
      </x:c>
      <x:c r="G613" s="50" t="str">
        <x:f>IF(605&gt;$H$4,"",IF(INDEX('Fleet dates'!$G$9:$G$1008,$I613-8)="","",INDEX('Fleet dates'!$G$9:$G$1008,$I613-8)))</x:f>
      </x:c>
      <x:c r="H613" s="50" t="str">
        <x:f>IF(605&gt;$H$4,"",IF(INDEX('Fleet dates'!$I$9:$I$1008,$I613-8)="","",INDEX('Fleet dates'!$I$9:$I$1008,$I613-8)))</x:f>
      </x:c>
      <x:c r="I613" t="str">
        <x:f>IF(605&gt;$H$4,"",MATCH(605,'Fleet dates'!$J$9:$J$1008,0)+8)</x:f>
      </x:c>
    </x:row>
    <x:row r="614" ht="36" customHeight="1">
      <x:c r="A614" s="50" t="str">
        <x:f>IF(606&gt;$H$4,"",IF(INDEX('Fleet dates'!$A$9:$A$1008,$I614-8)="","",INDEX('Fleet dates'!$A$9:$A$1008,$I614-8)))</x:f>
      </x:c>
      <x:c r="B614" s="50" t="str">
        <x:f>IF(606&gt;$H$4,"",IF(INDEX('Fleet dates'!$B$9:$B$1008,$I614-8)="","",INDEX('Fleet dates'!$B$9:$B$1008,$I614-8)))</x:f>
      </x:c>
      <x:c r="C614" s="51" t="str">
        <x:f>IF(606&gt;$H$4,"",IF(INDEX('Fleet dates'!$C$9:$C$1008,$I614-8)="","",INDEX('Fleet dates'!$C$9:$C$1008,$I614-8)))</x:f>
      </x:c>
      <x:c r="D614" s="51" t="str">
        <x:f>IF(606&gt;$H$4,"",IF(INDEX('Fleet dates'!$D$9:$D$1008,$I614-8)="","",INDEX('Fleet dates'!$D$9:$D$1008,$I614-8)))</x:f>
      </x:c>
      <x:c r="E614" s="51" t="str">
        <x:f>IF(606&gt;$H$4,"",IF(INDEX('Fleet dates'!$E$9:$E$1008,$I614-8)="","",INDEX('Fleet dates'!$E$9:$E$1008,$I614-8)))</x:f>
      </x:c>
      <x:c r="F614" s="51" t="str">
        <x:f>IF(606&gt;$H$4,"",IF(INDEX('Fleet dates'!$F$9:$F$1008,$I614-8)="","",INDEX('Fleet dates'!$F$9:$F$1008,$I614-8)))</x:f>
      </x:c>
      <x:c r="G614" s="50" t="str">
        <x:f>IF(606&gt;$H$4,"",IF(INDEX('Fleet dates'!$G$9:$G$1008,$I614-8)="","",INDEX('Fleet dates'!$G$9:$G$1008,$I614-8)))</x:f>
      </x:c>
      <x:c r="H614" s="50" t="str">
        <x:f>IF(606&gt;$H$4,"",IF(INDEX('Fleet dates'!$I$9:$I$1008,$I614-8)="","",INDEX('Fleet dates'!$I$9:$I$1008,$I614-8)))</x:f>
      </x:c>
      <x:c r="I614" t="str">
        <x:f>IF(606&gt;$H$4,"",MATCH(606,'Fleet dates'!$J$9:$J$1008,0)+8)</x:f>
      </x:c>
    </x:row>
    <x:row r="615" ht="36" customHeight="1">
      <x:c r="A615" s="50" t="str">
        <x:f>IF(607&gt;$H$4,"",IF(INDEX('Fleet dates'!$A$9:$A$1008,$I615-8)="","",INDEX('Fleet dates'!$A$9:$A$1008,$I615-8)))</x:f>
      </x:c>
      <x:c r="B615" s="50" t="str">
        <x:f>IF(607&gt;$H$4,"",IF(INDEX('Fleet dates'!$B$9:$B$1008,$I615-8)="","",INDEX('Fleet dates'!$B$9:$B$1008,$I615-8)))</x:f>
      </x:c>
      <x:c r="C615" s="51" t="str">
        <x:f>IF(607&gt;$H$4,"",IF(INDEX('Fleet dates'!$C$9:$C$1008,$I615-8)="","",INDEX('Fleet dates'!$C$9:$C$1008,$I615-8)))</x:f>
      </x:c>
      <x:c r="D615" s="51" t="str">
        <x:f>IF(607&gt;$H$4,"",IF(INDEX('Fleet dates'!$D$9:$D$1008,$I615-8)="","",INDEX('Fleet dates'!$D$9:$D$1008,$I615-8)))</x:f>
      </x:c>
      <x:c r="E615" s="51" t="str">
        <x:f>IF(607&gt;$H$4,"",IF(INDEX('Fleet dates'!$E$9:$E$1008,$I615-8)="","",INDEX('Fleet dates'!$E$9:$E$1008,$I615-8)))</x:f>
      </x:c>
      <x:c r="F615" s="51" t="str">
        <x:f>IF(607&gt;$H$4,"",IF(INDEX('Fleet dates'!$F$9:$F$1008,$I615-8)="","",INDEX('Fleet dates'!$F$9:$F$1008,$I615-8)))</x:f>
      </x:c>
      <x:c r="G615" s="50" t="str">
        <x:f>IF(607&gt;$H$4,"",IF(INDEX('Fleet dates'!$G$9:$G$1008,$I615-8)="","",INDEX('Fleet dates'!$G$9:$G$1008,$I615-8)))</x:f>
      </x:c>
      <x:c r="H615" s="50" t="str">
        <x:f>IF(607&gt;$H$4,"",IF(INDEX('Fleet dates'!$I$9:$I$1008,$I615-8)="","",INDEX('Fleet dates'!$I$9:$I$1008,$I615-8)))</x:f>
      </x:c>
      <x:c r="I615" t="str">
        <x:f>IF(607&gt;$H$4,"",MATCH(607,'Fleet dates'!$J$9:$J$1008,0)+8)</x:f>
      </x:c>
    </x:row>
    <x:row r="616" ht="36" customHeight="1">
      <x:c r="A616" s="50" t="str">
        <x:f>IF(608&gt;$H$4,"",IF(INDEX('Fleet dates'!$A$9:$A$1008,$I616-8)="","",INDEX('Fleet dates'!$A$9:$A$1008,$I616-8)))</x:f>
      </x:c>
      <x:c r="B616" s="50" t="str">
        <x:f>IF(608&gt;$H$4,"",IF(INDEX('Fleet dates'!$B$9:$B$1008,$I616-8)="","",INDEX('Fleet dates'!$B$9:$B$1008,$I616-8)))</x:f>
      </x:c>
      <x:c r="C616" s="51" t="str">
        <x:f>IF(608&gt;$H$4,"",IF(INDEX('Fleet dates'!$C$9:$C$1008,$I616-8)="","",INDEX('Fleet dates'!$C$9:$C$1008,$I616-8)))</x:f>
      </x:c>
      <x:c r="D616" s="51" t="str">
        <x:f>IF(608&gt;$H$4,"",IF(INDEX('Fleet dates'!$D$9:$D$1008,$I616-8)="","",INDEX('Fleet dates'!$D$9:$D$1008,$I616-8)))</x:f>
      </x:c>
      <x:c r="E616" s="51" t="str">
        <x:f>IF(608&gt;$H$4,"",IF(INDEX('Fleet dates'!$E$9:$E$1008,$I616-8)="","",INDEX('Fleet dates'!$E$9:$E$1008,$I616-8)))</x:f>
      </x:c>
      <x:c r="F616" s="51" t="str">
        <x:f>IF(608&gt;$H$4,"",IF(INDEX('Fleet dates'!$F$9:$F$1008,$I616-8)="","",INDEX('Fleet dates'!$F$9:$F$1008,$I616-8)))</x:f>
      </x:c>
      <x:c r="G616" s="50" t="str">
        <x:f>IF(608&gt;$H$4,"",IF(INDEX('Fleet dates'!$G$9:$G$1008,$I616-8)="","",INDEX('Fleet dates'!$G$9:$G$1008,$I616-8)))</x:f>
      </x:c>
      <x:c r="H616" s="50" t="str">
        <x:f>IF(608&gt;$H$4,"",IF(INDEX('Fleet dates'!$I$9:$I$1008,$I616-8)="","",INDEX('Fleet dates'!$I$9:$I$1008,$I616-8)))</x:f>
      </x:c>
      <x:c r="I616" t="str">
        <x:f>IF(608&gt;$H$4,"",MATCH(608,'Fleet dates'!$J$9:$J$1008,0)+8)</x:f>
      </x:c>
    </x:row>
    <x:row r="617" ht="36" customHeight="1">
      <x:c r="A617" s="50" t="str">
        <x:f>IF(609&gt;$H$4,"",IF(INDEX('Fleet dates'!$A$9:$A$1008,$I617-8)="","",INDEX('Fleet dates'!$A$9:$A$1008,$I617-8)))</x:f>
      </x:c>
      <x:c r="B617" s="50" t="str">
        <x:f>IF(609&gt;$H$4,"",IF(INDEX('Fleet dates'!$B$9:$B$1008,$I617-8)="","",INDEX('Fleet dates'!$B$9:$B$1008,$I617-8)))</x:f>
      </x:c>
      <x:c r="C617" s="51" t="str">
        <x:f>IF(609&gt;$H$4,"",IF(INDEX('Fleet dates'!$C$9:$C$1008,$I617-8)="","",INDEX('Fleet dates'!$C$9:$C$1008,$I617-8)))</x:f>
      </x:c>
      <x:c r="D617" s="51" t="str">
        <x:f>IF(609&gt;$H$4,"",IF(INDEX('Fleet dates'!$D$9:$D$1008,$I617-8)="","",INDEX('Fleet dates'!$D$9:$D$1008,$I617-8)))</x:f>
      </x:c>
      <x:c r="E617" s="51" t="str">
        <x:f>IF(609&gt;$H$4,"",IF(INDEX('Fleet dates'!$E$9:$E$1008,$I617-8)="","",INDEX('Fleet dates'!$E$9:$E$1008,$I617-8)))</x:f>
      </x:c>
      <x:c r="F617" s="51" t="str">
        <x:f>IF(609&gt;$H$4,"",IF(INDEX('Fleet dates'!$F$9:$F$1008,$I617-8)="","",INDEX('Fleet dates'!$F$9:$F$1008,$I617-8)))</x:f>
      </x:c>
      <x:c r="G617" s="50" t="str">
        <x:f>IF(609&gt;$H$4,"",IF(INDEX('Fleet dates'!$G$9:$G$1008,$I617-8)="","",INDEX('Fleet dates'!$G$9:$G$1008,$I617-8)))</x:f>
      </x:c>
      <x:c r="H617" s="50" t="str">
        <x:f>IF(609&gt;$H$4,"",IF(INDEX('Fleet dates'!$I$9:$I$1008,$I617-8)="","",INDEX('Fleet dates'!$I$9:$I$1008,$I617-8)))</x:f>
      </x:c>
      <x:c r="I617" t="str">
        <x:f>IF(609&gt;$H$4,"",MATCH(609,'Fleet dates'!$J$9:$J$1008,0)+8)</x:f>
      </x:c>
    </x:row>
    <x:row r="618" ht="36" customHeight="1">
      <x:c r="A618" s="50" t="str">
        <x:f>IF(610&gt;$H$4,"",IF(INDEX('Fleet dates'!$A$9:$A$1008,$I618-8)="","",INDEX('Fleet dates'!$A$9:$A$1008,$I618-8)))</x:f>
      </x:c>
      <x:c r="B618" s="50" t="str">
        <x:f>IF(610&gt;$H$4,"",IF(INDEX('Fleet dates'!$B$9:$B$1008,$I618-8)="","",INDEX('Fleet dates'!$B$9:$B$1008,$I618-8)))</x:f>
      </x:c>
      <x:c r="C618" s="51" t="str">
        <x:f>IF(610&gt;$H$4,"",IF(INDEX('Fleet dates'!$C$9:$C$1008,$I618-8)="","",INDEX('Fleet dates'!$C$9:$C$1008,$I618-8)))</x:f>
      </x:c>
      <x:c r="D618" s="51" t="str">
        <x:f>IF(610&gt;$H$4,"",IF(INDEX('Fleet dates'!$D$9:$D$1008,$I618-8)="","",INDEX('Fleet dates'!$D$9:$D$1008,$I618-8)))</x:f>
      </x:c>
      <x:c r="E618" s="51" t="str">
        <x:f>IF(610&gt;$H$4,"",IF(INDEX('Fleet dates'!$E$9:$E$1008,$I618-8)="","",INDEX('Fleet dates'!$E$9:$E$1008,$I618-8)))</x:f>
      </x:c>
      <x:c r="F618" s="51" t="str">
        <x:f>IF(610&gt;$H$4,"",IF(INDEX('Fleet dates'!$F$9:$F$1008,$I618-8)="","",INDEX('Fleet dates'!$F$9:$F$1008,$I618-8)))</x:f>
      </x:c>
      <x:c r="G618" s="50" t="str">
        <x:f>IF(610&gt;$H$4,"",IF(INDEX('Fleet dates'!$G$9:$G$1008,$I618-8)="","",INDEX('Fleet dates'!$G$9:$G$1008,$I618-8)))</x:f>
      </x:c>
      <x:c r="H618" s="50" t="str">
        <x:f>IF(610&gt;$H$4,"",IF(INDEX('Fleet dates'!$I$9:$I$1008,$I618-8)="","",INDEX('Fleet dates'!$I$9:$I$1008,$I618-8)))</x:f>
      </x:c>
      <x:c r="I618" t="str">
        <x:f>IF(610&gt;$H$4,"",MATCH(610,'Fleet dates'!$J$9:$J$1008,0)+8)</x:f>
      </x:c>
    </x:row>
    <x:row r="619" ht="36" customHeight="1">
      <x:c r="A619" s="50" t="str">
        <x:f>IF(611&gt;$H$4,"",IF(INDEX('Fleet dates'!$A$9:$A$1008,$I619-8)="","",INDEX('Fleet dates'!$A$9:$A$1008,$I619-8)))</x:f>
      </x:c>
      <x:c r="B619" s="50" t="str">
        <x:f>IF(611&gt;$H$4,"",IF(INDEX('Fleet dates'!$B$9:$B$1008,$I619-8)="","",INDEX('Fleet dates'!$B$9:$B$1008,$I619-8)))</x:f>
      </x:c>
      <x:c r="C619" s="51" t="str">
        <x:f>IF(611&gt;$H$4,"",IF(INDEX('Fleet dates'!$C$9:$C$1008,$I619-8)="","",INDEX('Fleet dates'!$C$9:$C$1008,$I619-8)))</x:f>
      </x:c>
      <x:c r="D619" s="51" t="str">
        <x:f>IF(611&gt;$H$4,"",IF(INDEX('Fleet dates'!$D$9:$D$1008,$I619-8)="","",INDEX('Fleet dates'!$D$9:$D$1008,$I619-8)))</x:f>
      </x:c>
      <x:c r="E619" s="51" t="str">
        <x:f>IF(611&gt;$H$4,"",IF(INDEX('Fleet dates'!$E$9:$E$1008,$I619-8)="","",INDEX('Fleet dates'!$E$9:$E$1008,$I619-8)))</x:f>
      </x:c>
      <x:c r="F619" s="51" t="str">
        <x:f>IF(611&gt;$H$4,"",IF(INDEX('Fleet dates'!$F$9:$F$1008,$I619-8)="","",INDEX('Fleet dates'!$F$9:$F$1008,$I619-8)))</x:f>
      </x:c>
      <x:c r="G619" s="50" t="str">
        <x:f>IF(611&gt;$H$4,"",IF(INDEX('Fleet dates'!$G$9:$G$1008,$I619-8)="","",INDEX('Fleet dates'!$G$9:$G$1008,$I619-8)))</x:f>
      </x:c>
      <x:c r="H619" s="50" t="str">
        <x:f>IF(611&gt;$H$4,"",IF(INDEX('Fleet dates'!$I$9:$I$1008,$I619-8)="","",INDEX('Fleet dates'!$I$9:$I$1008,$I619-8)))</x:f>
      </x:c>
      <x:c r="I619" t="str">
        <x:f>IF(611&gt;$H$4,"",MATCH(611,'Fleet dates'!$J$9:$J$1008,0)+8)</x:f>
      </x:c>
    </x:row>
    <x:row r="620" ht="36" customHeight="1">
      <x:c r="A620" s="50" t="str">
        <x:f>IF(612&gt;$H$4,"",IF(INDEX('Fleet dates'!$A$9:$A$1008,$I620-8)="","",INDEX('Fleet dates'!$A$9:$A$1008,$I620-8)))</x:f>
      </x:c>
      <x:c r="B620" s="50" t="str">
        <x:f>IF(612&gt;$H$4,"",IF(INDEX('Fleet dates'!$B$9:$B$1008,$I620-8)="","",INDEX('Fleet dates'!$B$9:$B$1008,$I620-8)))</x:f>
      </x:c>
      <x:c r="C620" s="51" t="str">
        <x:f>IF(612&gt;$H$4,"",IF(INDEX('Fleet dates'!$C$9:$C$1008,$I620-8)="","",INDEX('Fleet dates'!$C$9:$C$1008,$I620-8)))</x:f>
      </x:c>
      <x:c r="D620" s="51" t="str">
        <x:f>IF(612&gt;$H$4,"",IF(INDEX('Fleet dates'!$D$9:$D$1008,$I620-8)="","",INDEX('Fleet dates'!$D$9:$D$1008,$I620-8)))</x:f>
      </x:c>
      <x:c r="E620" s="51" t="str">
        <x:f>IF(612&gt;$H$4,"",IF(INDEX('Fleet dates'!$E$9:$E$1008,$I620-8)="","",INDEX('Fleet dates'!$E$9:$E$1008,$I620-8)))</x:f>
      </x:c>
      <x:c r="F620" s="51" t="str">
        <x:f>IF(612&gt;$H$4,"",IF(INDEX('Fleet dates'!$F$9:$F$1008,$I620-8)="","",INDEX('Fleet dates'!$F$9:$F$1008,$I620-8)))</x:f>
      </x:c>
      <x:c r="G620" s="50" t="str">
        <x:f>IF(612&gt;$H$4,"",IF(INDEX('Fleet dates'!$G$9:$G$1008,$I620-8)="","",INDEX('Fleet dates'!$G$9:$G$1008,$I620-8)))</x:f>
      </x:c>
      <x:c r="H620" s="50" t="str">
        <x:f>IF(612&gt;$H$4,"",IF(INDEX('Fleet dates'!$I$9:$I$1008,$I620-8)="","",INDEX('Fleet dates'!$I$9:$I$1008,$I620-8)))</x:f>
      </x:c>
      <x:c r="I620" t="str">
        <x:f>IF(612&gt;$H$4,"",MATCH(612,'Fleet dates'!$J$9:$J$1008,0)+8)</x:f>
      </x:c>
    </x:row>
    <x:row r="621" ht="36" customHeight="1">
      <x:c r="A621" s="50" t="str">
        <x:f>IF(613&gt;$H$4,"",IF(INDEX('Fleet dates'!$A$9:$A$1008,$I621-8)="","",INDEX('Fleet dates'!$A$9:$A$1008,$I621-8)))</x:f>
      </x:c>
      <x:c r="B621" s="50" t="str">
        <x:f>IF(613&gt;$H$4,"",IF(INDEX('Fleet dates'!$B$9:$B$1008,$I621-8)="","",INDEX('Fleet dates'!$B$9:$B$1008,$I621-8)))</x:f>
      </x:c>
      <x:c r="C621" s="51" t="str">
        <x:f>IF(613&gt;$H$4,"",IF(INDEX('Fleet dates'!$C$9:$C$1008,$I621-8)="","",INDEX('Fleet dates'!$C$9:$C$1008,$I621-8)))</x:f>
      </x:c>
      <x:c r="D621" s="51" t="str">
        <x:f>IF(613&gt;$H$4,"",IF(INDEX('Fleet dates'!$D$9:$D$1008,$I621-8)="","",INDEX('Fleet dates'!$D$9:$D$1008,$I621-8)))</x:f>
      </x:c>
      <x:c r="E621" s="51" t="str">
        <x:f>IF(613&gt;$H$4,"",IF(INDEX('Fleet dates'!$E$9:$E$1008,$I621-8)="","",INDEX('Fleet dates'!$E$9:$E$1008,$I621-8)))</x:f>
      </x:c>
      <x:c r="F621" s="51" t="str">
        <x:f>IF(613&gt;$H$4,"",IF(INDEX('Fleet dates'!$F$9:$F$1008,$I621-8)="","",INDEX('Fleet dates'!$F$9:$F$1008,$I621-8)))</x:f>
      </x:c>
      <x:c r="G621" s="50" t="str">
        <x:f>IF(613&gt;$H$4,"",IF(INDEX('Fleet dates'!$G$9:$G$1008,$I621-8)="","",INDEX('Fleet dates'!$G$9:$G$1008,$I621-8)))</x:f>
      </x:c>
      <x:c r="H621" s="50" t="str">
        <x:f>IF(613&gt;$H$4,"",IF(INDEX('Fleet dates'!$I$9:$I$1008,$I621-8)="","",INDEX('Fleet dates'!$I$9:$I$1008,$I621-8)))</x:f>
      </x:c>
      <x:c r="I621" t="str">
        <x:f>IF(613&gt;$H$4,"",MATCH(613,'Fleet dates'!$J$9:$J$1008,0)+8)</x:f>
      </x:c>
    </x:row>
    <x:row r="622" ht="36" customHeight="1">
      <x:c r="A622" s="50" t="str">
        <x:f>IF(614&gt;$H$4,"",IF(INDEX('Fleet dates'!$A$9:$A$1008,$I622-8)="","",INDEX('Fleet dates'!$A$9:$A$1008,$I622-8)))</x:f>
      </x:c>
      <x:c r="B622" s="50" t="str">
        <x:f>IF(614&gt;$H$4,"",IF(INDEX('Fleet dates'!$B$9:$B$1008,$I622-8)="","",INDEX('Fleet dates'!$B$9:$B$1008,$I622-8)))</x:f>
      </x:c>
      <x:c r="C622" s="51" t="str">
        <x:f>IF(614&gt;$H$4,"",IF(INDEX('Fleet dates'!$C$9:$C$1008,$I622-8)="","",INDEX('Fleet dates'!$C$9:$C$1008,$I622-8)))</x:f>
      </x:c>
      <x:c r="D622" s="51" t="str">
        <x:f>IF(614&gt;$H$4,"",IF(INDEX('Fleet dates'!$D$9:$D$1008,$I622-8)="","",INDEX('Fleet dates'!$D$9:$D$1008,$I622-8)))</x:f>
      </x:c>
      <x:c r="E622" s="51" t="str">
        <x:f>IF(614&gt;$H$4,"",IF(INDEX('Fleet dates'!$E$9:$E$1008,$I622-8)="","",INDEX('Fleet dates'!$E$9:$E$1008,$I622-8)))</x:f>
      </x:c>
      <x:c r="F622" s="51" t="str">
        <x:f>IF(614&gt;$H$4,"",IF(INDEX('Fleet dates'!$F$9:$F$1008,$I622-8)="","",INDEX('Fleet dates'!$F$9:$F$1008,$I622-8)))</x:f>
      </x:c>
      <x:c r="G622" s="50" t="str">
        <x:f>IF(614&gt;$H$4,"",IF(INDEX('Fleet dates'!$G$9:$G$1008,$I622-8)="","",INDEX('Fleet dates'!$G$9:$G$1008,$I622-8)))</x:f>
      </x:c>
      <x:c r="H622" s="50" t="str">
        <x:f>IF(614&gt;$H$4,"",IF(INDEX('Fleet dates'!$I$9:$I$1008,$I622-8)="","",INDEX('Fleet dates'!$I$9:$I$1008,$I622-8)))</x:f>
      </x:c>
      <x:c r="I622" t="str">
        <x:f>IF(614&gt;$H$4,"",MATCH(614,'Fleet dates'!$J$9:$J$1008,0)+8)</x:f>
      </x:c>
    </x:row>
    <x:row r="623" ht="36" customHeight="1">
      <x:c r="A623" s="50" t="str">
        <x:f>IF(615&gt;$H$4,"",IF(INDEX('Fleet dates'!$A$9:$A$1008,$I623-8)="","",INDEX('Fleet dates'!$A$9:$A$1008,$I623-8)))</x:f>
      </x:c>
      <x:c r="B623" s="50" t="str">
        <x:f>IF(615&gt;$H$4,"",IF(INDEX('Fleet dates'!$B$9:$B$1008,$I623-8)="","",INDEX('Fleet dates'!$B$9:$B$1008,$I623-8)))</x:f>
      </x:c>
      <x:c r="C623" s="51" t="str">
        <x:f>IF(615&gt;$H$4,"",IF(INDEX('Fleet dates'!$C$9:$C$1008,$I623-8)="","",INDEX('Fleet dates'!$C$9:$C$1008,$I623-8)))</x:f>
      </x:c>
      <x:c r="D623" s="51" t="str">
        <x:f>IF(615&gt;$H$4,"",IF(INDEX('Fleet dates'!$D$9:$D$1008,$I623-8)="","",INDEX('Fleet dates'!$D$9:$D$1008,$I623-8)))</x:f>
      </x:c>
      <x:c r="E623" s="51" t="str">
        <x:f>IF(615&gt;$H$4,"",IF(INDEX('Fleet dates'!$E$9:$E$1008,$I623-8)="","",INDEX('Fleet dates'!$E$9:$E$1008,$I623-8)))</x:f>
      </x:c>
      <x:c r="F623" s="51" t="str">
        <x:f>IF(615&gt;$H$4,"",IF(INDEX('Fleet dates'!$F$9:$F$1008,$I623-8)="","",INDEX('Fleet dates'!$F$9:$F$1008,$I623-8)))</x:f>
      </x:c>
      <x:c r="G623" s="50" t="str">
        <x:f>IF(615&gt;$H$4,"",IF(INDEX('Fleet dates'!$G$9:$G$1008,$I623-8)="","",INDEX('Fleet dates'!$G$9:$G$1008,$I623-8)))</x:f>
      </x:c>
      <x:c r="H623" s="50" t="str">
        <x:f>IF(615&gt;$H$4,"",IF(INDEX('Fleet dates'!$I$9:$I$1008,$I623-8)="","",INDEX('Fleet dates'!$I$9:$I$1008,$I623-8)))</x:f>
      </x:c>
      <x:c r="I623" t="str">
        <x:f>IF(615&gt;$H$4,"",MATCH(615,'Fleet dates'!$J$9:$J$1008,0)+8)</x:f>
      </x:c>
    </x:row>
    <x:row r="624" ht="36" customHeight="1">
      <x:c r="A624" s="50" t="str">
        <x:f>IF(616&gt;$H$4,"",IF(INDEX('Fleet dates'!$A$9:$A$1008,$I624-8)="","",INDEX('Fleet dates'!$A$9:$A$1008,$I624-8)))</x:f>
      </x:c>
      <x:c r="B624" s="50" t="str">
        <x:f>IF(616&gt;$H$4,"",IF(INDEX('Fleet dates'!$B$9:$B$1008,$I624-8)="","",INDEX('Fleet dates'!$B$9:$B$1008,$I624-8)))</x:f>
      </x:c>
      <x:c r="C624" s="51" t="str">
        <x:f>IF(616&gt;$H$4,"",IF(INDEX('Fleet dates'!$C$9:$C$1008,$I624-8)="","",INDEX('Fleet dates'!$C$9:$C$1008,$I624-8)))</x:f>
      </x:c>
      <x:c r="D624" s="51" t="str">
        <x:f>IF(616&gt;$H$4,"",IF(INDEX('Fleet dates'!$D$9:$D$1008,$I624-8)="","",INDEX('Fleet dates'!$D$9:$D$1008,$I624-8)))</x:f>
      </x:c>
      <x:c r="E624" s="51" t="str">
        <x:f>IF(616&gt;$H$4,"",IF(INDEX('Fleet dates'!$E$9:$E$1008,$I624-8)="","",INDEX('Fleet dates'!$E$9:$E$1008,$I624-8)))</x:f>
      </x:c>
      <x:c r="F624" s="51" t="str">
        <x:f>IF(616&gt;$H$4,"",IF(INDEX('Fleet dates'!$F$9:$F$1008,$I624-8)="","",INDEX('Fleet dates'!$F$9:$F$1008,$I624-8)))</x:f>
      </x:c>
      <x:c r="G624" s="50" t="str">
        <x:f>IF(616&gt;$H$4,"",IF(INDEX('Fleet dates'!$G$9:$G$1008,$I624-8)="","",INDEX('Fleet dates'!$G$9:$G$1008,$I624-8)))</x:f>
      </x:c>
      <x:c r="H624" s="50" t="str">
        <x:f>IF(616&gt;$H$4,"",IF(INDEX('Fleet dates'!$I$9:$I$1008,$I624-8)="","",INDEX('Fleet dates'!$I$9:$I$1008,$I624-8)))</x:f>
      </x:c>
      <x:c r="I624" t="str">
        <x:f>IF(616&gt;$H$4,"",MATCH(616,'Fleet dates'!$J$9:$J$1008,0)+8)</x:f>
      </x:c>
    </x:row>
    <x:row r="625" ht="36" customHeight="1">
      <x:c r="A625" s="50" t="str">
        <x:f>IF(617&gt;$H$4,"",IF(INDEX('Fleet dates'!$A$9:$A$1008,$I625-8)="","",INDEX('Fleet dates'!$A$9:$A$1008,$I625-8)))</x:f>
      </x:c>
      <x:c r="B625" s="50" t="str">
        <x:f>IF(617&gt;$H$4,"",IF(INDEX('Fleet dates'!$B$9:$B$1008,$I625-8)="","",INDEX('Fleet dates'!$B$9:$B$1008,$I625-8)))</x:f>
      </x:c>
      <x:c r="C625" s="51" t="str">
        <x:f>IF(617&gt;$H$4,"",IF(INDEX('Fleet dates'!$C$9:$C$1008,$I625-8)="","",INDEX('Fleet dates'!$C$9:$C$1008,$I625-8)))</x:f>
      </x:c>
      <x:c r="D625" s="51" t="str">
        <x:f>IF(617&gt;$H$4,"",IF(INDEX('Fleet dates'!$D$9:$D$1008,$I625-8)="","",INDEX('Fleet dates'!$D$9:$D$1008,$I625-8)))</x:f>
      </x:c>
      <x:c r="E625" s="51" t="str">
        <x:f>IF(617&gt;$H$4,"",IF(INDEX('Fleet dates'!$E$9:$E$1008,$I625-8)="","",INDEX('Fleet dates'!$E$9:$E$1008,$I625-8)))</x:f>
      </x:c>
      <x:c r="F625" s="51" t="str">
        <x:f>IF(617&gt;$H$4,"",IF(INDEX('Fleet dates'!$F$9:$F$1008,$I625-8)="","",INDEX('Fleet dates'!$F$9:$F$1008,$I625-8)))</x:f>
      </x:c>
      <x:c r="G625" s="50" t="str">
        <x:f>IF(617&gt;$H$4,"",IF(INDEX('Fleet dates'!$G$9:$G$1008,$I625-8)="","",INDEX('Fleet dates'!$G$9:$G$1008,$I625-8)))</x:f>
      </x:c>
      <x:c r="H625" s="50" t="str">
        <x:f>IF(617&gt;$H$4,"",IF(INDEX('Fleet dates'!$I$9:$I$1008,$I625-8)="","",INDEX('Fleet dates'!$I$9:$I$1008,$I625-8)))</x:f>
      </x:c>
      <x:c r="I625" t="str">
        <x:f>IF(617&gt;$H$4,"",MATCH(617,'Fleet dates'!$J$9:$J$1008,0)+8)</x:f>
      </x:c>
    </x:row>
    <x:row r="626" ht="36" customHeight="1">
      <x:c r="A626" s="50" t="str">
        <x:f>IF(618&gt;$H$4,"",IF(INDEX('Fleet dates'!$A$9:$A$1008,$I626-8)="","",INDEX('Fleet dates'!$A$9:$A$1008,$I626-8)))</x:f>
      </x:c>
      <x:c r="B626" s="50" t="str">
        <x:f>IF(618&gt;$H$4,"",IF(INDEX('Fleet dates'!$B$9:$B$1008,$I626-8)="","",INDEX('Fleet dates'!$B$9:$B$1008,$I626-8)))</x:f>
      </x:c>
      <x:c r="C626" s="51" t="str">
        <x:f>IF(618&gt;$H$4,"",IF(INDEX('Fleet dates'!$C$9:$C$1008,$I626-8)="","",INDEX('Fleet dates'!$C$9:$C$1008,$I626-8)))</x:f>
      </x:c>
      <x:c r="D626" s="51" t="str">
        <x:f>IF(618&gt;$H$4,"",IF(INDEX('Fleet dates'!$D$9:$D$1008,$I626-8)="","",INDEX('Fleet dates'!$D$9:$D$1008,$I626-8)))</x:f>
      </x:c>
      <x:c r="E626" s="51" t="str">
        <x:f>IF(618&gt;$H$4,"",IF(INDEX('Fleet dates'!$E$9:$E$1008,$I626-8)="","",INDEX('Fleet dates'!$E$9:$E$1008,$I626-8)))</x:f>
      </x:c>
      <x:c r="F626" s="51" t="str">
        <x:f>IF(618&gt;$H$4,"",IF(INDEX('Fleet dates'!$F$9:$F$1008,$I626-8)="","",INDEX('Fleet dates'!$F$9:$F$1008,$I626-8)))</x:f>
      </x:c>
      <x:c r="G626" s="50" t="str">
        <x:f>IF(618&gt;$H$4,"",IF(INDEX('Fleet dates'!$G$9:$G$1008,$I626-8)="","",INDEX('Fleet dates'!$G$9:$G$1008,$I626-8)))</x:f>
      </x:c>
      <x:c r="H626" s="50" t="str">
        <x:f>IF(618&gt;$H$4,"",IF(INDEX('Fleet dates'!$I$9:$I$1008,$I626-8)="","",INDEX('Fleet dates'!$I$9:$I$1008,$I626-8)))</x:f>
      </x:c>
      <x:c r="I626" t="str">
        <x:f>IF(618&gt;$H$4,"",MATCH(618,'Fleet dates'!$J$9:$J$1008,0)+8)</x:f>
      </x:c>
    </x:row>
    <x:row r="627" ht="36" customHeight="1">
      <x:c r="A627" s="50" t="str">
        <x:f>IF(619&gt;$H$4,"",IF(INDEX('Fleet dates'!$A$9:$A$1008,$I627-8)="","",INDEX('Fleet dates'!$A$9:$A$1008,$I627-8)))</x:f>
      </x:c>
      <x:c r="B627" s="50" t="str">
        <x:f>IF(619&gt;$H$4,"",IF(INDEX('Fleet dates'!$B$9:$B$1008,$I627-8)="","",INDEX('Fleet dates'!$B$9:$B$1008,$I627-8)))</x:f>
      </x:c>
      <x:c r="C627" s="51" t="str">
        <x:f>IF(619&gt;$H$4,"",IF(INDEX('Fleet dates'!$C$9:$C$1008,$I627-8)="","",INDEX('Fleet dates'!$C$9:$C$1008,$I627-8)))</x:f>
      </x:c>
      <x:c r="D627" s="51" t="str">
        <x:f>IF(619&gt;$H$4,"",IF(INDEX('Fleet dates'!$D$9:$D$1008,$I627-8)="","",INDEX('Fleet dates'!$D$9:$D$1008,$I627-8)))</x:f>
      </x:c>
      <x:c r="E627" s="51" t="str">
        <x:f>IF(619&gt;$H$4,"",IF(INDEX('Fleet dates'!$E$9:$E$1008,$I627-8)="","",INDEX('Fleet dates'!$E$9:$E$1008,$I627-8)))</x:f>
      </x:c>
      <x:c r="F627" s="51" t="str">
        <x:f>IF(619&gt;$H$4,"",IF(INDEX('Fleet dates'!$F$9:$F$1008,$I627-8)="","",INDEX('Fleet dates'!$F$9:$F$1008,$I627-8)))</x:f>
      </x:c>
      <x:c r="G627" s="50" t="str">
        <x:f>IF(619&gt;$H$4,"",IF(INDEX('Fleet dates'!$G$9:$G$1008,$I627-8)="","",INDEX('Fleet dates'!$G$9:$G$1008,$I627-8)))</x:f>
      </x:c>
      <x:c r="H627" s="50" t="str">
        <x:f>IF(619&gt;$H$4,"",IF(INDEX('Fleet dates'!$I$9:$I$1008,$I627-8)="","",INDEX('Fleet dates'!$I$9:$I$1008,$I627-8)))</x:f>
      </x:c>
      <x:c r="I627" t="str">
        <x:f>IF(619&gt;$H$4,"",MATCH(619,'Fleet dates'!$J$9:$J$1008,0)+8)</x:f>
      </x:c>
    </x:row>
    <x:row r="628" ht="36" customHeight="1">
      <x:c r="A628" s="50" t="str">
        <x:f>IF(620&gt;$H$4,"",IF(INDEX('Fleet dates'!$A$9:$A$1008,$I628-8)="","",INDEX('Fleet dates'!$A$9:$A$1008,$I628-8)))</x:f>
      </x:c>
      <x:c r="B628" s="50" t="str">
        <x:f>IF(620&gt;$H$4,"",IF(INDEX('Fleet dates'!$B$9:$B$1008,$I628-8)="","",INDEX('Fleet dates'!$B$9:$B$1008,$I628-8)))</x:f>
      </x:c>
      <x:c r="C628" s="51" t="str">
        <x:f>IF(620&gt;$H$4,"",IF(INDEX('Fleet dates'!$C$9:$C$1008,$I628-8)="","",INDEX('Fleet dates'!$C$9:$C$1008,$I628-8)))</x:f>
      </x:c>
      <x:c r="D628" s="51" t="str">
        <x:f>IF(620&gt;$H$4,"",IF(INDEX('Fleet dates'!$D$9:$D$1008,$I628-8)="","",INDEX('Fleet dates'!$D$9:$D$1008,$I628-8)))</x:f>
      </x:c>
      <x:c r="E628" s="51" t="str">
        <x:f>IF(620&gt;$H$4,"",IF(INDEX('Fleet dates'!$E$9:$E$1008,$I628-8)="","",INDEX('Fleet dates'!$E$9:$E$1008,$I628-8)))</x:f>
      </x:c>
      <x:c r="F628" s="51" t="str">
        <x:f>IF(620&gt;$H$4,"",IF(INDEX('Fleet dates'!$F$9:$F$1008,$I628-8)="","",INDEX('Fleet dates'!$F$9:$F$1008,$I628-8)))</x:f>
      </x:c>
      <x:c r="G628" s="50" t="str">
        <x:f>IF(620&gt;$H$4,"",IF(INDEX('Fleet dates'!$G$9:$G$1008,$I628-8)="","",INDEX('Fleet dates'!$G$9:$G$1008,$I628-8)))</x:f>
      </x:c>
      <x:c r="H628" s="50" t="str">
        <x:f>IF(620&gt;$H$4,"",IF(INDEX('Fleet dates'!$I$9:$I$1008,$I628-8)="","",INDEX('Fleet dates'!$I$9:$I$1008,$I628-8)))</x:f>
      </x:c>
      <x:c r="I628" t="str">
        <x:f>IF(620&gt;$H$4,"",MATCH(620,'Fleet dates'!$J$9:$J$1008,0)+8)</x:f>
      </x:c>
    </x:row>
    <x:row r="629" ht="36" customHeight="1">
      <x:c r="A629" s="50" t="str">
        <x:f>IF(621&gt;$H$4,"",IF(INDEX('Fleet dates'!$A$9:$A$1008,$I629-8)="","",INDEX('Fleet dates'!$A$9:$A$1008,$I629-8)))</x:f>
      </x:c>
      <x:c r="B629" s="50" t="str">
        <x:f>IF(621&gt;$H$4,"",IF(INDEX('Fleet dates'!$B$9:$B$1008,$I629-8)="","",INDEX('Fleet dates'!$B$9:$B$1008,$I629-8)))</x:f>
      </x:c>
      <x:c r="C629" s="51" t="str">
        <x:f>IF(621&gt;$H$4,"",IF(INDEX('Fleet dates'!$C$9:$C$1008,$I629-8)="","",INDEX('Fleet dates'!$C$9:$C$1008,$I629-8)))</x:f>
      </x:c>
      <x:c r="D629" s="51" t="str">
        <x:f>IF(621&gt;$H$4,"",IF(INDEX('Fleet dates'!$D$9:$D$1008,$I629-8)="","",INDEX('Fleet dates'!$D$9:$D$1008,$I629-8)))</x:f>
      </x:c>
      <x:c r="E629" s="51" t="str">
        <x:f>IF(621&gt;$H$4,"",IF(INDEX('Fleet dates'!$E$9:$E$1008,$I629-8)="","",INDEX('Fleet dates'!$E$9:$E$1008,$I629-8)))</x:f>
      </x:c>
      <x:c r="F629" s="51" t="str">
        <x:f>IF(621&gt;$H$4,"",IF(INDEX('Fleet dates'!$F$9:$F$1008,$I629-8)="","",INDEX('Fleet dates'!$F$9:$F$1008,$I629-8)))</x:f>
      </x:c>
      <x:c r="G629" s="50" t="str">
        <x:f>IF(621&gt;$H$4,"",IF(INDEX('Fleet dates'!$G$9:$G$1008,$I629-8)="","",INDEX('Fleet dates'!$G$9:$G$1008,$I629-8)))</x:f>
      </x:c>
      <x:c r="H629" s="50" t="str">
        <x:f>IF(621&gt;$H$4,"",IF(INDEX('Fleet dates'!$I$9:$I$1008,$I629-8)="","",INDEX('Fleet dates'!$I$9:$I$1008,$I629-8)))</x:f>
      </x:c>
      <x:c r="I629" t="str">
        <x:f>IF(621&gt;$H$4,"",MATCH(621,'Fleet dates'!$J$9:$J$1008,0)+8)</x:f>
      </x:c>
    </x:row>
    <x:row r="630" ht="36" customHeight="1">
      <x:c r="A630" s="50" t="str">
        <x:f>IF(622&gt;$H$4,"",IF(INDEX('Fleet dates'!$A$9:$A$1008,$I630-8)="","",INDEX('Fleet dates'!$A$9:$A$1008,$I630-8)))</x:f>
      </x:c>
      <x:c r="B630" s="50" t="str">
        <x:f>IF(622&gt;$H$4,"",IF(INDEX('Fleet dates'!$B$9:$B$1008,$I630-8)="","",INDEX('Fleet dates'!$B$9:$B$1008,$I630-8)))</x:f>
      </x:c>
      <x:c r="C630" s="51" t="str">
        <x:f>IF(622&gt;$H$4,"",IF(INDEX('Fleet dates'!$C$9:$C$1008,$I630-8)="","",INDEX('Fleet dates'!$C$9:$C$1008,$I630-8)))</x:f>
      </x:c>
      <x:c r="D630" s="51" t="str">
        <x:f>IF(622&gt;$H$4,"",IF(INDEX('Fleet dates'!$D$9:$D$1008,$I630-8)="","",INDEX('Fleet dates'!$D$9:$D$1008,$I630-8)))</x:f>
      </x:c>
      <x:c r="E630" s="51" t="str">
        <x:f>IF(622&gt;$H$4,"",IF(INDEX('Fleet dates'!$E$9:$E$1008,$I630-8)="","",INDEX('Fleet dates'!$E$9:$E$1008,$I630-8)))</x:f>
      </x:c>
      <x:c r="F630" s="51" t="str">
        <x:f>IF(622&gt;$H$4,"",IF(INDEX('Fleet dates'!$F$9:$F$1008,$I630-8)="","",INDEX('Fleet dates'!$F$9:$F$1008,$I630-8)))</x:f>
      </x:c>
      <x:c r="G630" s="50" t="str">
        <x:f>IF(622&gt;$H$4,"",IF(INDEX('Fleet dates'!$G$9:$G$1008,$I630-8)="","",INDEX('Fleet dates'!$G$9:$G$1008,$I630-8)))</x:f>
      </x:c>
      <x:c r="H630" s="50" t="str">
        <x:f>IF(622&gt;$H$4,"",IF(INDEX('Fleet dates'!$I$9:$I$1008,$I630-8)="","",INDEX('Fleet dates'!$I$9:$I$1008,$I630-8)))</x:f>
      </x:c>
      <x:c r="I630" t="str">
        <x:f>IF(622&gt;$H$4,"",MATCH(622,'Fleet dates'!$J$9:$J$1008,0)+8)</x:f>
      </x:c>
    </x:row>
    <x:row r="631" ht="36" customHeight="1">
      <x:c r="A631" s="50" t="str">
        <x:f>IF(623&gt;$H$4,"",IF(INDEX('Fleet dates'!$A$9:$A$1008,$I631-8)="","",INDEX('Fleet dates'!$A$9:$A$1008,$I631-8)))</x:f>
      </x:c>
      <x:c r="B631" s="50" t="str">
        <x:f>IF(623&gt;$H$4,"",IF(INDEX('Fleet dates'!$B$9:$B$1008,$I631-8)="","",INDEX('Fleet dates'!$B$9:$B$1008,$I631-8)))</x:f>
      </x:c>
      <x:c r="C631" s="51" t="str">
        <x:f>IF(623&gt;$H$4,"",IF(INDEX('Fleet dates'!$C$9:$C$1008,$I631-8)="","",INDEX('Fleet dates'!$C$9:$C$1008,$I631-8)))</x:f>
      </x:c>
      <x:c r="D631" s="51" t="str">
        <x:f>IF(623&gt;$H$4,"",IF(INDEX('Fleet dates'!$D$9:$D$1008,$I631-8)="","",INDEX('Fleet dates'!$D$9:$D$1008,$I631-8)))</x:f>
      </x:c>
      <x:c r="E631" s="51" t="str">
        <x:f>IF(623&gt;$H$4,"",IF(INDEX('Fleet dates'!$E$9:$E$1008,$I631-8)="","",INDEX('Fleet dates'!$E$9:$E$1008,$I631-8)))</x:f>
      </x:c>
      <x:c r="F631" s="51" t="str">
        <x:f>IF(623&gt;$H$4,"",IF(INDEX('Fleet dates'!$F$9:$F$1008,$I631-8)="","",INDEX('Fleet dates'!$F$9:$F$1008,$I631-8)))</x:f>
      </x:c>
      <x:c r="G631" s="50" t="str">
        <x:f>IF(623&gt;$H$4,"",IF(INDEX('Fleet dates'!$G$9:$G$1008,$I631-8)="","",INDEX('Fleet dates'!$G$9:$G$1008,$I631-8)))</x:f>
      </x:c>
      <x:c r="H631" s="50" t="str">
        <x:f>IF(623&gt;$H$4,"",IF(INDEX('Fleet dates'!$I$9:$I$1008,$I631-8)="","",INDEX('Fleet dates'!$I$9:$I$1008,$I631-8)))</x:f>
      </x:c>
      <x:c r="I631" t="str">
        <x:f>IF(623&gt;$H$4,"",MATCH(623,'Fleet dates'!$J$9:$J$1008,0)+8)</x:f>
      </x:c>
    </x:row>
    <x:row r="632" ht="36" customHeight="1">
      <x:c r="A632" s="50" t="str">
        <x:f>IF(624&gt;$H$4,"",IF(INDEX('Fleet dates'!$A$9:$A$1008,$I632-8)="","",INDEX('Fleet dates'!$A$9:$A$1008,$I632-8)))</x:f>
      </x:c>
      <x:c r="B632" s="50" t="str">
        <x:f>IF(624&gt;$H$4,"",IF(INDEX('Fleet dates'!$B$9:$B$1008,$I632-8)="","",INDEX('Fleet dates'!$B$9:$B$1008,$I632-8)))</x:f>
      </x:c>
      <x:c r="C632" s="51" t="str">
        <x:f>IF(624&gt;$H$4,"",IF(INDEX('Fleet dates'!$C$9:$C$1008,$I632-8)="","",INDEX('Fleet dates'!$C$9:$C$1008,$I632-8)))</x:f>
      </x:c>
      <x:c r="D632" s="51" t="str">
        <x:f>IF(624&gt;$H$4,"",IF(INDEX('Fleet dates'!$D$9:$D$1008,$I632-8)="","",INDEX('Fleet dates'!$D$9:$D$1008,$I632-8)))</x:f>
      </x:c>
      <x:c r="E632" s="51" t="str">
        <x:f>IF(624&gt;$H$4,"",IF(INDEX('Fleet dates'!$E$9:$E$1008,$I632-8)="","",INDEX('Fleet dates'!$E$9:$E$1008,$I632-8)))</x:f>
      </x:c>
      <x:c r="F632" s="51" t="str">
        <x:f>IF(624&gt;$H$4,"",IF(INDEX('Fleet dates'!$F$9:$F$1008,$I632-8)="","",INDEX('Fleet dates'!$F$9:$F$1008,$I632-8)))</x:f>
      </x:c>
      <x:c r="G632" s="50" t="str">
        <x:f>IF(624&gt;$H$4,"",IF(INDEX('Fleet dates'!$G$9:$G$1008,$I632-8)="","",INDEX('Fleet dates'!$G$9:$G$1008,$I632-8)))</x:f>
      </x:c>
      <x:c r="H632" s="50" t="str">
        <x:f>IF(624&gt;$H$4,"",IF(INDEX('Fleet dates'!$I$9:$I$1008,$I632-8)="","",INDEX('Fleet dates'!$I$9:$I$1008,$I632-8)))</x:f>
      </x:c>
      <x:c r="I632" t="str">
        <x:f>IF(624&gt;$H$4,"",MATCH(624,'Fleet dates'!$J$9:$J$1008,0)+8)</x:f>
      </x:c>
    </x:row>
    <x:row r="633" ht="36" customHeight="1">
      <x:c r="A633" s="50" t="str">
        <x:f>IF(625&gt;$H$4,"",IF(INDEX('Fleet dates'!$A$9:$A$1008,$I633-8)="","",INDEX('Fleet dates'!$A$9:$A$1008,$I633-8)))</x:f>
      </x:c>
      <x:c r="B633" s="50" t="str">
        <x:f>IF(625&gt;$H$4,"",IF(INDEX('Fleet dates'!$B$9:$B$1008,$I633-8)="","",INDEX('Fleet dates'!$B$9:$B$1008,$I633-8)))</x:f>
      </x:c>
      <x:c r="C633" s="51" t="str">
        <x:f>IF(625&gt;$H$4,"",IF(INDEX('Fleet dates'!$C$9:$C$1008,$I633-8)="","",INDEX('Fleet dates'!$C$9:$C$1008,$I633-8)))</x:f>
      </x:c>
      <x:c r="D633" s="51" t="str">
        <x:f>IF(625&gt;$H$4,"",IF(INDEX('Fleet dates'!$D$9:$D$1008,$I633-8)="","",INDEX('Fleet dates'!$D$9:$D$1008,$I633-8)))</x:f>
      </x:c>
      <x:c r="E633" s="51" t="str">
        <x:f>IF(625&gt;$H$4,"",IF(INDEX('Fleet dates'!$E$9:$E$1008,$I633-8)="","",INDEX('Fleet dates'!$E$9:$E$1008,$I633-8)))</x:f>
      </x:c>
      <x:c r="F633" s="51" t="str">
        <x:f>IF(625&gt;$H$4,"",IF(INDEX('Fleet dates'!$F$9:$F$1008,$I633-8)="","",INDEX('Fleet dates'!$F$9:$F$1008,$I633-8)))</x:f>
      </x:c>
      <x:c r="G633" s="50" t="str">
        <x:f>IF(625&gt;$H$4,"",IF(INDEX('Fleet dates'!$G$9:$G$1008,$I633-8)="","",INDEX('Fleet dates'!$G$9:$G$1008,$I633-8)))</x:f>
      </x:c>
      <x:c r="H633" s="50" t="str">
        <x:f>IF(625&gt;$H$4,"",IF(INDEX('Fleet dates'!$I$9:$I$1008,$I633-8)="","",INDEX('Fleet dates'!$I$9:$I$1008,$I633-8)))</x:f>
      </x:c>
      <x:c r="I633" t="str">
        <x:f>IF(625&gt;$H$4,"",MATCH(625,'Fleet dates'!$J$9:$J$1008,0)+8)</x:f>
      </x:c>
    </x:row>
    <x:row r="634" ht="36" customHeight="1">
      <x:c r="A634" s="50" t="str">
        <x:f>IF(626&gt;$H$4,"",IF(INDEX('Fleet dates'!$A$9:$A$1008,$I634-8)="","",INDEX('Fleet dates'!$A$9:$A$1008,$I634-8)))</x:f>
      </x:c>
      <x:c r="B634" s="50" t="str">
        <x:f>IF(626&gt;$H$4,"",IF(INDEX('Fleet dates'!$B$9:$B$1008,$I634-8)="","",INDEX('Fleet dates'!$B$9:$B$1008,$I634-8)))</x:f>
      </x:c>
      <x:c r="C634" s="51" t="str">
        <x:f>IF(626&gt;$H$4,"",IF(INDEX('Fleet dates'!$C$9:$C$1008,$I634-8)="","",INDEX('Fleet dates'!$C$9:$C$1008,$I634-8)))</x:f>
      </x:c>
      <x:c r="D634" s="51" t="str">
        <x:f>IF(626&gt;$H$4,"",IF(INDEX('Fleet dates'!$D$9:$D$1008,$I634-8)="","",INDEX('Fleet dates'!$D$9:$D$1008,$I634-8)))</x:f>
      </x:c>
      <x:c r="E634" s="51" t="str">
        <x:f>IF(626&gt;$H$4,"",IF(INDEX('Fleet dates'!$E$9:$E$1008,$I634-8)="","",INDEX('Fleet dates'!$E$9:$E$1008,$I634-8)))</x:f>
      </x:c>
      <x:c r="F634" s="51" t="str">
        <x:f>IF(626&gt;$H$4,"",IF(INDEX('Fleet dates'!$F$9:$F$1008,$I634-8)="","",INDEX('Fleet dates'!$F$9:$F$1008,$I634-8)))</x:f>
      </x:c>
      <x:c r="G634" s="50" t="str">
        <x:f>IF(626&gt;$H$4,"",IF(INDEX('Fleet dates'!$G$9:$G$1008,$I634-8)="","",INDEX('Fleet dates'!$G$9:$G$1008,$I634-8)))</x:f>
      </x:c>
      <x:c r="H634" s="50" t="str">
        <x:f>IF(626&gt;$H$4,"",IF(INDEX('Fleet dates'!$I$9:$I$1008,$I634-8)="","",INDEX('Fleet dates'!$I$9:$I$1008,$I634-8)))</x:f>
      </x:c>
      <x:c r="I634" t="str">
        <x:f>IF(626&gt;$H$4,"",MATCH(626,'Fleet dates'!$J$9:$J$1008,0)+8)</x:f>
      </x:c>
    </x:row>
    <x:row r="635" ht="36" customHeight="1">
      <x:c r="A635" s="50" t="str">
        <x:f>IF(627&gt;$H$4,"",IF(INDEX('Fleet dates'!$A$9:$A$1008,$I635-8)="","",INDEX('Fleet dates'!$A$9:$A$1008,$I635-8)))</x:f>
      </x:c>
      <x:c r="B635" s="50" t="str">
        <x:f>IF(627&gt;$H$4,"",IF(INDEX('Fleet dates'!$B$9:$B$1008,$I635-8)="","",INDEX('Fleet dates'!$B$9:$B$1008,$I635-8)))</x:f>
      </x:c>
      <x:c r="C635" s="51" t="str">
        <x:f>IF(627&gt;$H$4,"",IF(INDEX('Fleet dates'!$C$9:$C$1008,$I635-8)="","",INDEX('Fleet dates'!$C$9:$C$1008,$I635-8)))</x:f>
      </x:c>
      <x:c r="D635" s="51" t="str">
        <x:f>IF(627&gt;$H$4,"",IF(INDEX('Fleet dates'!$D$9:$D$1008,$I635-8)="","",INDEX('Fleet dates'!$D$9:$D$1008,$I635-8)))</x:f>
      </x:c>
      <x:c r="E635" s="51" t="str">
        <x:f>IF(627&gt;$H$4,"",IF(INDEX('Fleet dates'!$E$9:$E$1008,$I635-8)="","",INDEX('Fleet dates'!$E$9:$E$1008,$I635-8)))</x:f>
      </x:c>
      <x:c r="F635" s="51" t="str">
        <x:f>IF(627&gt;$H$4,"",IF(INDEX('Fleet dates'!$F$9:$F$1008,$I635-8)="","",INDEX('Fleet dates'!$F$9:$F$1008,$I635-8)))</x:f>
      </x:c>
      <x:c r="G635" s="50" t="str">
        <x:f>IF(627&gt;$H$4,"",IF(INDEX('Fleet dates'!$G$9:$G$1008,$I635-8)="","",INDEX('Fleet dates'!$G$9:$G$1008,$I635-8)))</x:f>
      </x:c>
      <x:c r="H635" s="50" t="str">
        <x:f>IF(627&gt;$H$4,"",IF(INDEX('Fleet dates'!$I$9:$I$1008,$I635-8)="","",INDEX('Fleet dates'!$I$9:$I$1008,$I635-8)))</x:f>
      </x:c>
      <x:c r="I635" t="str">
        <x:f>IF(627&gt;$H$4,"",MATCH(627,'Fleet dates'!$J$9:$J$1008,0)+8)</x:f>
      </x:c>
    </x:row>
    <x:row r="636" ht="36" customHeight="1">
      <x:c r="A636" s="50" t="str">
        <x:f>IF(628&gt;$H$4,"",IF(INDEX('Fleet dates'!$A$9:$A$1008,$I636-8)="","",INDEX('Fleet dates'!$A$9:$A$1008,$I636-8)))</x:f>
      </x:c>
      <x:c r="B636" s="50" t="str">
        <x:f>IF(628&gt;$H$4,"",IF(INDEX('Fleet dates'!$B$9:$B$1008,$I636-8)="","",INDEX('Fleet dates'!$B$9:$B$1008,$I636-8)))</x:f>
      </x:c>
      <x:c r="C636" s="51" t="str">
        <x:f>IF(628&gt;$H$4,"",IF(INDEX('Fleet dates'!$C$9:$C$1008,$I636-8)="","",INDEX('Fleet dates'!$C$9:$C$1008,$I636-8)))</x:f>
      </x:c>
      <x:c r="D636" s="51" t="str">
        <x:f>IF(628&gt;$H$4,"",IF(INDEX('Fleet dates'!$D$9:$D$1008,$I636-8)="","",INDEX('Fleet dates'!$D$9:$D$1008,$I636-8)))</x:f>
      </x:c>
      <x:c r="E636" s="51" t="str">
        <x:f>IF(628&gt;$H$4,"",IF(INDEX('Fleet dates'!$E$9:$E$1008,$I636-8)="","",INDEX('Fleet dates'!$E$9:$E$1008,$I636-8)))</x:f>
      </x:c>
      <x:c r="F636" s="51" t="str">
        <x:f>IF(628&gt;$H$4,"",IF(INDEX('Fleet dates'!$F$9:$F$1008,$I636-8)="","",INDEX('Fleet dates'!$F$9:$F$1008,$I636-8)))</x:f>
      </x:c>
      <x:c r="G636" s="50" t="str">
        <x:f>IF(628&gt;$H$4,"",IF(INDEX('Fleet dates'!$G$9:$G$1008,$I636-8)="","",INDEX('Fleet dates'!$G$9:$G$1008,$I636-8)))</x:f>
      </x:c>
      <x:c r="H636" s="50" t="str">
        <x:f>IF(628&gt;$H$4,"",IF(INDEX('Fleet dates'!$I$9:$I$1008,$I636-8)="","",INDEX('Fleet dates'!$I$9:$I$1008,$I636-8)))</x:f>
      </x:c>
      <x:c r="I636" t="str">
        <x:f>IF(628&gt;$H$4,"",MATCH(628,'Fleet dates'!$J$9:$J$1008,0)+8)</x:f>
      </x:c>
    </x:row>
    <x:row r="637" ht="36" customHeight="1">
      <x:c r="A637" s="50" t="str">
        <x:f>IF(629&gt;$H$4,"",IF(INDEX('Fleet dates'!$A$9:$A$1008,$I637-8)="","",INDEX('Fleet dates'!$A$9:$A$1008,$I637-8)))</x:f>
      </x:c>
      <x:c r="B637" s="50" t="str">
        <x:f>IF(629&gt;$H$4,"",IF(INDEX('Fleet dates'!$B$9:$B$1008,$I637-8)="","",INDEX('Fleet dates'!$B$9:$B$1008,$I637-8)))</x:f>
      </x:c>
      <x:c r="C637" s="51" t="str">
        <x:f>IF(629&gt;$H$4,"",IF(INDEX('Fleet dates'!$C$9:$C$1008,$I637-8)="","",INDEX('Fleet dates'!$C$9:$C$1008,$I637-8)))</x:f>
      </x:c>
      <x:c r="D637" s="51" t="str">
        <x:f>IF(629&gt;$H$4,"",IF(INDEX('Fleet dates'!$D$9:$D$1008,$I637-8)="","",INDEX('Fleet dates'!$D$9:$D$1008,$I637-8)))</x:f>
      </x:c>
      <x:c r="E637" s="51" t="str">
        <x:f>IF(629&gt;$H$4,"",IF(INDEX('Fleet dates'!$E$9:$E$1008,$I637-8)="","",INDEX('Fleet dates'!$E$9:$E$1008,$I637-8)))</x:f>
      </x:c>
      <x:c r="F637" s="51" t="str">
        <x:f>IF(629&gt;$H$4,"",IF(INDEX('Fleet dates'!$F$9:$F$1008,$I637-8)="","",INDEX('Fleet dates'!$F$9:$F$1008,$I637-8)))</x:f>
      </x:c>
      <x:c r="G637" s="50" t="str">
        <x:f>IF(629&gt;$H$4,"",IF(INDEX('Fleet dates'!$G$9:$G$1008,$I637-8)="","",INDEX('Fleet dates'!$G$9:$G$1008,$I637-8)))</x:f>
      </x:c>
      <x:c r="H637" s="50" t="str">
        <x:f>IF(629&gt;$H$4,"",IF(INDEX('Fleet dates'!$I$9:$I$1008,$I637-8)="","",INDEX('Fleet dates'!$I$9:$I$1008,$I637-8)))</x:f>
      </x:c>
      <x:c r="I637" t="str">
        <x:f>IF(629&gt;$H$4,"",MATCH(629,'Fleet dates'!$J$9:$J$1008,0)+8)</x:f>
      </x:c>
    </x:row>
    <x:row r="638" ht="36" customHeight="1">
      <x:c r="A638" s="50" t="str">
        <x:f>IF(630&gt;$H$4,"",IF(INDEX('Fleet dates'!$A$9:$A$1008,$I638-8)="","",INDEX('Fleet dates'!$A$9:$A$1008,$I638-8)))</x:f>
      </x:c>
      <x:c r="B638" s="50" t="str">
        <x:f>IF(630&gt;$H$4,"",IF(INDEX('Fleet dates'!$B$9:$B$1008,$I638-8)="","",INDEX('Fleet dates'!$B$9:$B$1008,$I638-8)))</x:f>
      </x:c>
      <x:c r="C638" s="51" t="str">
        <x:f>IF(630&gt;$H$4,"",IF(INDEX('Fleet dates'!$C$9:$C$1008,$I638-8)="","",INDEX('Fleet dates'!$C$9:$C$1008,$I638-8)))</x:f>
      </x:c>
      <x:c r="D638" s="51" t="str">
        <x:f>IF(630&gt;$H$4,"",IF(INDEX('Fleet dates'!$D$9:$D$1008,$I638-8)="","",INDEX('Fleet dates'!$D$9:$D$1008,$I638-8)))</x:f>
      </x:c>
      <x:c r="E638" s="51" t="str">
        <x:f>IF(630&gt;$H$4,"",IF(INDEX('Fleet dates'!$E$9:$E$1008,$I638-8)="","",INDEX('Fleet dates'!$E$9:$E$1008,$I638-8)))</x:f>
      </x:c>
      <x:c r="F638" s="51" t="str">
        <x:f>IF(630&gt;$H$4,"",IF(INDEX('Fleet dates'!$F$9:$F$1008,$I638-8)="","",INDEX('Fleet dates'!$F$9:$F$1008,$I638-8)))</x:f>
      </x:c>
      <x:c r="G638" s="50" t="str">
        <x:f>IF(630&gt;$H$4,"",IF(INDEX('Fleet dates'!$G$9:$G$1008,$I638-8)="","",INDEX('Fleet dates'!$G$9:$G$1008,$I638-8)))</x:f>
      </x:c>
      <x:c r="H638" s="50" t="str">
        <x:f>IF(630&gt;$H$4,"",IF(INDEX('Fleet dates'!$I$9:$I$1008,$I638-8)="","",INDEX('Fleet dates'!$I$9:$I$1008,$I638-8)))</x:f>
      </x:c>
      <x:c r="I638" t="str">
        <x:f>IF(630&gt;$H$4,"",MATCH(630,'Fleet dates'!$J$9:$J$1008,0)+8)</x:f>
      </x:c>
    </x:row>
    <x:row r="639" ht="36" customHeight="1">
      <x:c r="A639" s="50" t="str">
        <x:f>IF(631&gt;$H$4,"",IF(INDEX('Fleet dates'!$A$9:$A$1008,$I639-8)="","",INDEX('Fleet dates'!$A$9:$A$1008,$I639-8)))</x:f>
      </x:c>
      <x:c r="B639" s="50" t="str">
        <x:f>IF(631&gt;$H$4,"",IF(INDEX('Fleet dates'!$B$9:$B$1008,$I639-8)="","",INDEX('Fleet dates'!$B$9:$B$1008,$I639-8)))</x:f>
      </x:c>
      <x:c r="C639" s="51" t="str">
        <x:f>IF(631&gt;$H$4,"",IF(INDEX('Fleet dates'!$C$9:$C$1008,$I639-8)="","",INDEX('Fleet dates'!$C$9:$C$1008,$I639-8)))</x:f>
      </x:c>
      <x:c r="D639" s="51" t="str">
        <x:f>IF(631&gt;$H$4,"",IF(INDEX('Fleet dates'!$D$9:$D$1008,$I639-8)="","",INDEX('Fleet dates'!$D$9:$D$1008,$I639-8)))</x:f>
      </x:c>
      <x:c r="E639" s="51" t="str">
        <x:f>IF(631&gt;$H$4,"",IF(INDEX('Fleet dates'!$E$9:$E$1008,$I639-8)="","",INDEX('Fleet dates'!$E$9:$E$1008,$I639-8)))</x:f>
      </x:c>
      <x:c r="F639" s="51" t="str">
        <x:f>IF(631&gt;$H$4,"",IF(INDEX('Fleet dates'!$F$9:$F$1008,$I639-8)="","",INDEX('Fleet dates'!$F$9:$F$1008,$I639-8)))</x:f>
      </x:c>
      <x:c r="G639" s="50" t="str">
        <x:f>IF(631&gt;$H$4,"",IF(INDEX('Fleet dates'!$G$9:$G$1008,$I639-8)="","",INDEX('Fleet dates'!$G$9:$G$1008,$I639-8)))</x:f>
      </x:c>
      <x:c r="H639" s="50" t="str">
        <x:f>IF(631&gt;$H$4,"",IF(INDEX('Fleet dates'!$I$9:$I$1008,$I639-8)="","",INDEX('Fleet dates'!$I$9:$I$1008,$I639-8)))</x:f>
      </x:c>
      <x:c r="I639" t="str">
        <x:f>IF(631&gt;$H$4,"",MATCH(631,'Fleet dates'!$J$9:$J$1008,0)+8)</x:f>
      </x:c>
    </x:row>
    <x:row r="640" ht="36" customHeight="1">
      <x:c r="A640" s="50" t="str">
        <x:f>IF(632&gt;$H$4,"",IF(INDEX('Fleet dates'!$A$9:$A$1008,$I640-8)="","",INDEX('Fleet dates'!$A$9:$A$1008,$I640-8)))</x:f>
      </x:c>
      <x:c r="B640" s="50" t="str">
        <x:f>IF(632&gt;$H$4,"",IF(INDEX('Fleet dates'!$B$9:$B$1008,$I640-8)="","",INDEX('Fleet dates'!$B$9:$B$1008,$I640-8)))</x:f>
      </x:c>
      <x:c r="C640" s="51" t="str">
        <x:f>IF(632&gt;$H$4,"",IF(INDEX('Fleet dates'!$C$9:$C$1008,$I640-8)="","",INDEX('Fleet dates'!$C$9:$C$1008,$I640-8)))</x:f>
      </x:c>
      <x:c r="D640" s="51" t="str">
        <x:f>IF(632&gt;$H$4,"",IF(INDEX('Fleet dates'!$D$9:$D$1008,$I640-8)="","",INDEX('Fleet dates'!$D$9:$D$1008,$I640-8)))</x:f>
      </x:c>
      <x:c r="E640" s="51" t="str">
        <x:f>IF(632&gt;$H$4,"",IF(INDEX('Fleet dates'!$E$9:$E$1008,$I640-8)="","",INDEX('Fleet dates'!$E$9:$E$1008,$I640-8)))</x:f>
      </x:c>
      <x:c r="F640" s="51" t="str">
        <x:f>IF(632&gt;$H$4,"",IF(INDEX('Fleet dates'!$F$9:$F$1008,$I640-8)="","",INDEX('Fleet dates'!$F$9:$F$1008,$I640-8)))</x:f>
      </x:c>
      <x:c r="G640" s="50" t="str">
        <x:f>IF(632&gt;$H$4,"",IF(INDEX('Fleet dates'!$G$9:$G$1008,$I640-8)="","",INDEX('Fleet dates'!$G$9:$G$1008,$I640-8)))</x:f>
      </x:c>
      <x:c r="H640" s="50" t="str">
        <x:f>IF(632&gt;$H$4,"",IF(INDEX('Fleet dates'!$I$9:$I$1008,$I640-8)="","",INDEX('Fleet dates'!$I$9:$I$1008,$I640-8)))</x:f>
      </x:c>
      <x:c r="I640" t="str">
        <x:f>IF(632&gt;$H$4,"",MATCH(632,'Fleet dates'!$J$9:$J$1008,0)+8)</x:f>
      </x:c>
    </x:row>
    <x:row r="641" ht="36" customHeight="1">
      <x:c r="A641" s="50" t="str">
        <x:f>IF(633&gt;$H$4,"",IF(INDEX('Fleet dates'!$A$9:$A$1008,$I641-8)="","",INDEX('Fleet dates'!$A$9:$A$1008,$I641-8)))</x:f>
      </x:c>
      <x:c r="B641" s="50" t="str">
        <x:f>IF(633&gt;$H$4,"",IF(INDEX('Fleet dates'!$B$9:$B$1008,$I641-8)="","",INDEX('Fleet dates'!$B$9:$B$1008,$I641-8)))</x:f>
      </x:c>
      <x:c r="C641" s="51" t="str">
        <x:f>IF(633&gt;$H$4,"",IF(INDEX('Fleet dates'!$C$9:$C$1008,$I641-8)="","",INDEX('Fleet dates'!$C$9:$C$1008,$I641-8)))</x:f>
      </x:c>
      <x:c r="D641" s="51" t="str">
        <x:f>IF(633&gt;$H$4,"",IF(INDEX('Fleet dates'!$D$9:$D$1008,$I641-8)="","",INDEX('Fleet dates'!$D$9:$D$1008,$I641-8)))</x:f>
      </x:c>
      <x:c r="E641" s="51" t="str">
        <x:f>IF(633&gt;$H$4,"",IF(INDEX('Fleet dates'!$E$9:$E$1008,$I641-8)="","",INDEX('Fleet dates'!$E$9:$E$1008,$I641-8)))</x:f>
      </x:c>
      <x:c r="F641" s="51" t="str">
        <x:f>IF(633&gt;$H$4,"",IF(INDEX('Fleet dates'!$F$9:$F$1008,$I641-8)="","",INDEX('Fleet dates'!$F$9:$F$1008,$I641-8)))</x:f>
      </x:c>
      <x:c r="G641" s="50" t="str">
        <x:f>IF(633&gt;$H$4,"",IF(INDEX('Fleet dates'!$G$9:$G$1008,$I641-8)="","",INDEX('Fleet dates'!$G$9:$G$1008,$I641-8)))</x:f>
      </x:c>
      <x:c r="H641" s="50" t="str">
        <x:f>IF(633&gt;$H$4,"",IF(INDEX('Fleet dates'!$I$9:$I$1008,$I641-8)="","",INDEX('Fleet dates'!$I$9:$I$1008,$I641-8)))</x:f>
      </x:c>
      <x:c r="I641" t="str">
        <x:f>IF(633&gt;$H$4,"",MATCH(633,'Fleet dates'!$J$9:$J$1008,0)+8)</x:f>
      </x:c>
    </x:row>
    <x:row r="642" ht="36" customHeight="1">
      <x:c r="A642" s="50" t="str">
        <x:f>IF(634&gt;$H$4,"",IF(INDEX('Fleet dates'!$A$9:$A$1008,$I642-8)="","",INDEX('Fleet dates'!$A$9:$A$1008,$I642-8)))</x:f>
      </x:c>
      <x:c r="B642" s="50" t="str">
        <x:f>IF(634&gt;$H$4,"",IF(INDEX('Fleet dates'!$B$9:$B$1008,$I642-8)="","",INDEX('Fleet dates'!$B$9:$B$1008,$I642-8)))</x:f>
      </x:c>
      <x:c r="C642" s="51" t="str">
        <x:f>IF(634&gt;$H$4,"",IF(INDEX('Fleet dates'!$C$9:$C$1008,$I642-8)="","",INDEX('Fleet dates'!$C$9:$C$1008,$I642-8)))</x:f>
      </x:c>
      <x:c r="D642" s="51" t="str">
        <x:f>IF(634&gt;$H$4,"",IF(INDEX('Fleet dates'!$D$9:$D$1008,$I642-8)="","",INDEX('Fleet dates'!$D$9:$D$1008,$I642-8)))</x:f>
      </x:c>
      <x:c r="E642" s="51" t="str">
        <x:f>IF(634&gt;$H$4,"",IF(INDEX('Fleet dates'!$E$9:$E$1008,$I642-8)="","",INDEX('Fleet dates'!$E$9:$E$1008,$I642-8)))</x:f>
      </x:c>
      <x:c r="F642" s="51" t="str">
        <x:f>IF(634&gt;$H$4,"",IF(INDEX('Fleet dates'!$F$9:$F$1008,$I642-8)="","",INDEX('Fleet dates'!$F$9:$F$1008,$I642-8)))</x:f>
      </x:c>
      <x:c r="G642" s="50" t="str">
        <x:f>IF(634&gt;$H$4,"",IF(INDEX('Fleet dates'!$G$9:$G$1008,$I642-8)="","",INDEX('Fleet dates'!$G$9:$G$1008,$I642-8)))</x:f>
      </x:c>
      <x:c r="H642" s="50" t="str">
        <x:f>IF(634&gt;$H$4,"",IF(INDEX('Fleet dates'!$I$9:$I$1008,$I642-8)="","",INDEX('Fleet dates'!$I$9:$I$1008,$I642-8)))</x:f>
      </x:c>
      <x:c r="I642" t="str">
        <x:f>IF(634&gt;$H$4,"",MATCH(634,'Fleet dates'!$J$9:$J$1008,0)+8)</x:f>
      </x:c>
    </x:row>
    <x:row r="643" ht="36" customHeight="1">
      <x:c r="A643" s="50" t="str">
        <x:f>IF(635&gt;$H$4,"",IF(INDEX('Fleet dates'!$A$9:$A$1008,$I643-8)="","",INDEX('Fleet dates'!$A$9:$A$1008,$I643-8)))</x:f>
      </x:c>
      <x:c r="B643" s="50" t="str">
        <x:f>IF(635&gt;$H$4,"",IF(INDEX('Fleet dates'!$B$9:$B$1008,$I643-8)="","",INDEX('Fleet dates'!$B$9:$B$1008,$I643-8)))</x:f>
      </x:c>
      <x:c r="C643" s="51" t="str">
        <x:f>IF(635&gt;$H$4,"",IF(INDEX('Fleet dates'!$C$9:$C$1008,$I643-8)="","",INDEX('Fleet dates'!$C$9:$C$1008,$I643-8)))</x:f>
      </x:c>
      <x:c r="D643" s="51" t="str">
        <x:f>IF(635&gt;$H$4,"",IF(INDEX('Fleet dates'!$D$9:$D$1008,$I643-8)="","",INDEX('Fleet dates'!$D$9:$D$1008,$I643-8)))</x:f>
      </x:c>
      <x:c r="E643" s="51" t="str">
        <x:f>IF(635&gt;$H$4,"",IF(INDEX('Fleet dates'!$E$9:$E$1008,$I643-8)="","",INDEX('Fleet dates'!$E$9:$E$1008,$I643-8)))</x:f>
      </x:c>
      <x:c r="F643" s="51" t="str">
        <x:f>IF(635&gt;$H$4,"",IF(INDEX('Fleet dates'!$F$9:$F$1008,$I643-8)="","",INDEX('Fleet dates'!$F$9:$F$1008,$I643-8)))</x:f>
      </x:c>
      <x:c r="G643" s="50" t="str">
        <x:f>IF(635&gt;$H$4,"",IF(INDEX('Fleet dates'!$G$9:$G$1008,$I643-8)="","",INDEX('Fleet dates'!$G$9:$G$1008,$I643-8)))</x:f>
      </x:c>
      <x:c r="H643" s="50" t="str">
        <x:f>IF(635&gt;$H$4,"",IF(INDEX('Fleet dates'!$I$9:$I$1008,$I643-8)="","",INDEX('Fleet dates'!$I$9:$I$1008,$I643-8)))</x:f>
      </x:c>
      <x:c r="I643" t="str">
        <x:f>IF(635&gt;$H$4,"",MATCH(635,'Fleet dates'!$J$9:$J$1008,0)+8)</x:f>
      </x:c>
    </x:row>
    <x:row r="644" ht="36" customHeight="1">
      <x:c r="A644" s="50" t="str">
        <x:f>IF(636&gt;$H$4,"",IF(INDEX('Fleet dates'!$A$9:$A$1008,$I644-8)="","",INDEX('Fleet dates'!$A$9:$A$1008,$I644-8)))</x:f>
      </x:c>
      <x:c r="B644" s="50" t="str">
        <x:f>IF(636&gt;$H$4,"",IF(INDEX('Fleet dates'!$B$9:$B$1008,$I644-8)="","",INDEX('Fleet dates'!$B$9:$B$1008,$I644-8)))</x:f>
      </x:c>
      <x:c r="C644" s="51" t="str">
        <x:f>IF(636&gt;$H$4,"",IF(INDEX('Fleet dates'!$C$9:$C$1008,$I644-8)="","",INDEX('Fleet dates'!$C$9:$C$1008,$I644-8)))</x:f>
      </x:c>
      <x:c r="D644" s="51" t="str">
        <x:f>IF(636&gt;$H$4,"",IF(INDEX('Fleet dates'!$D$9:$D$1008,$I644-8)="","",INDEX('Fleet dates'!$D$9:$D$1008,$I644-8)))</x:f>
      </x:c>
      <x:c r="E644" s="51" t="str">
        <x:f>IF(636&gt;$H$4,"",IF(INDEX('Fleet dates'!$E$9:$E$1008,$I644-8)="","",INDEX('Fleet dates'!$E$9:$E$1008,$I644-8)))</x:f>
      </x:c>
      <x:c r="F644" s="51" t="str">
        <x:f>IF(636&gt;$H$4,"",IF(INDEX('Fleet dates'!$F$9:$F$1008,$I644-8)="","",INDEX('Fleet dates'!$F$9:$F$1008,$I644-8)))</x:f>
      </x:c>
      <x:c r="G644" s="50" t="str">
        <x:f>IF(636&gt;$H$4,"",IF(INDEX('Fleet dates'!$G$9:$G$1008,$I644-8)="","",INDEX('Fleet dates'!$G$9:$G$1008,$I644-8)))</x:f>
      </x:c>
      <x:c r="H644" s="50" t="str">
        <x:f>IF(636&gt;$H$4,"",IF(INDEX('Fleet dates'!$I$9:$I$1008,$I644-8)="","",INDEX('Fleet dates'!$I$9:$I$1008,$I644-8)))</x:f>
      </x:c>
      <x:c r="I644" t="str">
        <x:f>IF(636&gt;$H$4,"",MATCH(636,'Fleet dates'!$J$9:$J$1008,0)+8)</x:f>
      </x:c>
    </x:row>
    <x:row r="645" ht="36" customHeight="1">
      <x:c r="A645" s="50" t="str">
        <x:f>IF(637&gt;$H$4,"",IF(INDEX('Fleet dates'!$A$9:$A$1008,$I645-8)="","",INDEX('Fleet dates'!$A$9:$A$1008,$I645-8)))</x:f>
      </x:c>
      <x:c r="B645" s="50" t="str">
        <x:f>IF(637&gt;$H$4,"",IF(INDEX('Fleet dates'!$B$9:$B$1008,$I645-8)="","",INDEX('Fleet dates'!$B$9:$B$1008,$I645-8)))</x:f>
      </x:c>
      <x:c r="C645" s="51" t="str">
        <x:f>IF(637&gt;$H$4,"",IF(INDEX('Fleet dates'!$C$9:$C$1008,$I645-8)="","",INDEX('Fleet dates'!$C$9:$C$1008,$I645-8)))</x:f>
      </x:c>
      <x:c r="D645" s="51" t="str">
        <x:f>IF(637&gt;$H$4,"",IF(INDEX('Fleet dates'!$D$9:$D$1008,$I645-8)="","",INDEX('Fleet dates'!$D$9:$D$1008,$I645-8)))</x:f>
      </x:c>
      <x:c r="E645" s="51" t="str">
        <x:f>IF(637&gt;$H$4,"",IF(INDEX('Fleet dates'!$E$9:$E$1008,$I645-8)="","",INDEX('Fleet dates'!$E$9:$E$1008,$I645-8)))</x:f>
      </x:c>
      <x:c r="F645" s="51" t="str">
        <x:f>IF(637&gt;$H$4,"",IF(INDEX('Fleet dates'!$F$9:$F$1008,$I645-8)="","",INDEX('Fleet dates'!$F$9:$F$1008,$I645-8)))</x:f>
      </x:c>
      <x:c r="G645" s="50" t="str">
        <x:f>IF(637&gt;$H$4,"",IF(INDEX('Fleet dates'!$G$9:$G$1008,$I645-8)="","",INDEX('Fleet dates'!$G$9:$G$1008,$I645-8)))</x:f>
      </x:c>
      <x:c r="H645" s="50" t="str">
        <x:f>IF(637&gt;$H$4,"",IF(INDEX('Fleet dates'!$I$9:$I$1008,$I645-8)="","",INDEX('Fleet dates'!$I$9:$I$1008,$I645-8)))</x:f>
      </x:c>
      <x:c r="I645" t="str">
        <x:f>IF(637&gt;$H$4,"",MATCH(637,'Fleet dates'!$J$9:$J$1008,0)+8)</x:f>
      </x:c>
    </x:row>
    <x:row r="646" ht="36" customHeight="1">
      <x:c r="A646" s="50" t="str">
        <x:f>IF(638&gt;$H$4,"",IF(INDEX('Fleet dates'!$A$9:$A$1008,$I646-8)="","",INDEX('Fleet dates'!$A$9:$A$1008,$I646-8)))</x:f>
      </x:c>
      <x:c r="B646" s="50" t="str">
        <x:f>IF(638&gt;$H$4,"",IF(INDEX('Fleet dates'!$B$9:$B$1008,$I646-8)="","",INDEX('Fleet dates'!$B$9:$B$1008,$I646-8)))</x:f>
      </x:c>
      <x:c r="C646" s="51" t="str">
        <x:f>IF(638&gt;$H$4,"",IF(INDEX('Fleet dates'!$C$9:$C$1008,$I646-8)="","",INDEX('Fleet dates'!$C$9:$C$1008,$I646-8)))</x:f>
      </x:c>
      <x:c r="D646" s="51" t="str">
        <x:f>IF(638&gt;$H$4,"",IF(INDEX('Fleet dates'!$D$9:$D$1008,$I646-8)="","",INDEX('Fleet dates'!$D$9:$D$1008,$I646-8)))</x:f>
      </x:c>
      <x:c r="E646" s="51" t="str">
        <x:f>IF(638&gt;$H$4,"",IF(INDEX('Fleet dates'!$E$9:$E$1008,$I646-8)="","",INDEX('Fleet dates'!$E$9:$E$1008,$I646-8)))</x:f>
      </x:c>
      <x:c r="F646" s="51" t="str">
        <x:f>IF(638&gt;$H$4,"",IF(INDEX('Fleet dates'!$F$9:$F$1008,$I646-8)="","",INDEX('Fleet dates'!$F$9:$F$1008,$I646-8)))</x:f>
      </x:c>
      <x:c r="G646" s="50" t="str">
        <x:f>IF(638&gt;$H$4,"",IF(INDEX('Fleet dates'!$G$9:$G$1008,$I646-8)="","",INDEX('Fleet dates'!$G$9:$G$1008,$I646-8)))</x:f>
      </x:c>
      <x:c r="H646" s="50" t="str">
        <x:f>IF(638&gt;$H$4,"",IF(INDEX('Fleet dates'!$I$9:$I$1008,$I646-8)="","",INDEX('Fleet dates'!$I$9:$I$1008,$I646-8)))</x:f>
      </x:c>
      <x:c r="I646" t="str">
        <x:f>IF(638&gt;$H$4,"",MATCH(638,'Fleet dates'!$J$9:$J$1008,0)+8)</x:f>
      </x:c>
    </x:row>
    <x:row r="647" ht="36" customHeight="1">
      <x:c r="A647" s="50" t="str">
        <x:f>IF(639&gt;$H$4,"",IF(INDEX('Fleet dates'!$A$9:$A$1008,$I647-8)="","",INDEX('Fleet dates'!$A$9:$A$1008,$I647-8)))</x:f>
      </x:c>
      <x:c r="B647" s="50" t="str">
        <x:f>IF(639&gt;$H$4,"",IF(INDEX('Fleet dates'!$B$9:$B$1008,$I647-8)="","",INDEX('Fleet dates'!$B$9:$B$1008,$I647-8)))</x:f>
      </x:c>
      <x:c r="C647" s="51" t="str">
        <x:f>IF(639&gt;$H$4,"",IF(INDEX('Fleet dates'!$C$9:$C$1008,$I647-8)="","",INDEX('Fleet dates'!$C$9:$C$1008,$I647-8)))</x:f>
      </x:c>
      <x:c r="D647" s="51" t="str">
        <x:f>IF(639&gt;$H$4,"",IF(INDEX('Fleet dates'!$D$9:$D$1008,$I647-8)="","",INDEX('Fleet dates'!$D$9:$D$1008,$I647-8)))</x:f>
      </x:c>
      <x:c r="E647" s="51" t="str">
        <x:f>IF(639&gt;$H$4,"",IF(INDEX('Fleet dates'!$E$9:$E$1008,$I647-8)="","",INDEX('Fleet dates'!$E$9:$E$1008,$I647-8)))</x:f>
      </x:c>
      <x:c r="F647" s="51" t="str">
        <x:f>IF(639&gt;$H$4,"",IF(INDEX('Fleet dates'!$F$9:$F$1008,$I647-8)="","",INDEX('Fleet dates'!$F$9:$F$1008,$I647-8)))</x:f>
      </x:c>
      <x:c r="G647" s="50" t="str">
        <x:f>IF(639&gt;$H$4,"",IF(INDEX('Fleet dates'!$G$9:$G$1008,$I647-8)="","",INDEX('Fleet dates'!$G$9:$G$1008,$I647-8)))</x:f>
      </x:c>
      <x:c r="H647" s="50" t="str">
        <x:f>IF(639&gt;$H$4,"",IF(INDEX('Fleet dates'!$I$9:$I$1008,$I647-8)="","",INDEX('Fleet dates'!$I$9:$I$1008,$I647-8)))</x:f>
      </x:c>
      <x:c r="I647" t="str">
        <x:f>IF(639&gt;$H$4,"",MATCH(639,'Fleet dates'!$J$9:$J$1008,0)+8)</x:f>
      </x:c>
    </x:row>
    <x:row r="648" ht="36" customHeight="1">
      <x:c r="A648" s="50" t="str">
        <x:f>IF(640&gt;$H$4,"",IF(INDEX('Fleet dates'!$A$9:$A$1008,$I648-8)="","",INDEX('Fleet dates'!$A$9:$A$1008,$I648-8)))</x:f>
      </x:c>
      <x:c r="B648" s="50" t="str">
        <x:f>IF(640&gt;$H$4,"",IF(INDEX('Fleet dates'!$B$9:$B$1008,$I648-8)="","",INDEX('Fleet dates'!$B$9:$B$1008,$I648-8)))</x:f>
      </x:c>
      <x:c r="C648" s="51" t="str">
        <x:f>IF(640&gt;$H$4,"",IF(INDEX('Fleet dates'!$C$9:$C$1008,$I648-8)="","",INDEX('Fleet dates'!$C$9:$C$1008,$I648-8)))</x:f>
      </x:c>
      <x:c r="D648" s="51" t="str">
        <x:f>IF(640&gt;$H$4,"",IF(INDEX('Fleet dates'!$D$9:$D$1008,$I648-8)="","",INDEX('Fleet dates'!$D$9:$D$1008,$I648-8)))</x:f>
      </x:c>
      <x:c r="E648" s="51" t="str">
        <x:f>IF(640&gt;$H$4,"",IF(INDEX('Fleet dates'!$E$9:$E$1008,$I648-8)="","",INDEX('Fleet dates'!$E$9:$E$1008,$I648-8)))</x:f>
      </x:c>
      <x:c r="F648" s="51" t="str">
        <x:f>IF(640&gt;$H$4,"",IF(INDEX('Fleet dates'!$F$9:$F$1008,$I648-8)="","",INDEX('Fleet dates'!$F$9:$F$1008,$I648-8)))</x:f>
      </x:c>
      <x:c r="G648" s="50" t="str">
        <x:f>IF(640&gt;$H$4,"",IF(INDEX('Fleet dates'!$G$9:$G$1008,$I648-8)="","",INDEX('Fleet dates'!$G$9:$G$1008,$I648-8)))</x:f>
      </x:c>
      <x:c r="H648" s="50" t="str">
        <x:f>IF(640&gt;$H$4,"",IF(INDEX('Fleet dates'!$I$9:$I$1008,$I648-8)="","",INDEX('Fleet dates'!$I$9:$I$1008,$I648-8)))</x:f>
      </x:c>
      <x:c r="I648" t="str">
        <x:f>IF(640&gt;$H$4,"",MATCH(640,'Fleet dates'!$J$9:$J$1008,0)+8)</x:f>
      </x:c>
    </x:row>
    <x:row r="649" ht="36" customHeight="1">
      <x:c r="A649" s="50" t="str">
        <x:f>IF(641&gt;$H$4,"",IF(INDEX('Fleet dates'!$A$9:$A$1008,$I649-8)="","",INDEX('Fleet dates'!$A$9:$A$1008,$I649-8)))</x:f>
      </x:c>
      <x:c r="B649" s="50" t="str">
        <x:f>IF(641&gt;$H$4,"",IF(INDEX('Fleet dates'!$B$9:$B$1008,$I649-8)="","",INDEX('Fleet dates'!$B$9:$B$1008,$I649-8)))</x:f>
      </x:c>
      <x:c r="C649" s="51" t="str">
        <x:f>IF(641&gt;$H$4,"",IF(INDEX('Fleet dates'!$C$9:$C$1008,$I649-8)="","",INDEX('Fleet dates'!$C$9:$C$1008,$I649-8)))</x:f>
      </x:c>
      <x:c r="D649" s="51" t="str">
        <x:f>IF(641&gt;$H$4,"",IF(INDEX('Fleet dates'!$D$9:$D$1008,$I649-8)="","",INDEX('Fleet dates'!$D$9:$D$1008,$I649-8)))</x:f>
      </x:c>
      <x:c r="E649" s="51" t="str">
        <x:f>IF(641&gt;$H$4,"",IF(INDEX('Fleet dates'!$E$9:$E$1008,$I649-8)="","",INDEX('Fleet dates'!$E$9:$E$1008,$I649-8)))</x:f>
      </x:c>
      <x:c r="F649" s="51" t="str">
        <x:f>IF(641&gt;$H$4,"",IF(INDEX('Fleet dates'!$F$9:$F$1008,$I649-8)="","",INDEX('Fleet dates'!$F$9:$F$1008,$I649-8)))</x:f>
      </x:c>
      <x:c r="G649" s="50" t="str">
        <x:f>IF(641&gt;$H$4,"",IF(INDEX('Fleet dates'!$G$9:$G$1008,$I649-8)="","",INDEX('Fleet dates'!$G$9:$G$1008,$I649-8)))</x:f>
      </x:c>
      <x:c r="H649" s="50" t="str">
        <x:f>IF(641&gt;$H$4,"",IF(INDEX('Fleet dates'!$I$9:$I$1008,$I649-8)="","",INDEX('Fleet dates'!$I$9:$I$1008,$I649-8)))</x:f>
      </x:c>
      <x:c r="I649" t="str">
        <x:f>IF(641&gt;$H$4,"",MATCH(641,'Fleet dates'!$J$9:$J$1008,0)+8)</x:f>
      </x:c>
    </x:row>
    <x:row r="650" ht="36" customHeight="1">
      <x:c r="A650" s="50" t="str">
        <x:f>IF(642&gt;$H$4,"",IF(INDEX('Fleet dates'!$A$9:$A$1008,$I650-8)="","",INDEX('Fleet dates'!$A$9:$A$1008,$I650-8)))</x:f>
      </x:c>
      <x:c r="B650" s="50" t="str">
        <x:f>IF(642&gt;$H$4,"",IF(INDEX('Fleet dates'!$B$9:$B$1008,$I650-8)="","",INDEX('Fleet dates'!$B$9:$B$1008,$I650-8)))</x:f>
      </x:c>
      <x:c r="C650" s="51" t="str">
        <x:f>IF(642&gt;$H$4,"",IF(INDEX('Fleet dates'!$C$9:$C$1008,$I650-8)="","",INDEX('Fleet dates'!$C$9:$C$1008,$I650-8)))</x:f>
      </x:c>
      <x:c r="D650" s="51" t="str">
        <x:f>IF(642&gt;$H$4,"",IF(INDEX('Fleet dates'!$D$9:$D$1008,$I650-8)="","",INDEX('Fleet dates'!$D$9:$D$1008,$I650-8)))</x:f>
      </x:c>
      <x:c r="E650" s="51" t="str">
        <x:f>IF(642&gt;$H$4,"",IF(INDEX('Fleet dates'!$E$9:$E$1008,$I650-8)="","",INDEX('Fleet dates'!$E$9:$E$1008,$I650-8)))</x:f>
      </x:c>
      <x:c r="F650" s="51" t="str">
        <x:f>IF(642&gt;$H$4,"",IF(INDEX('Fleet dates'!$F$9:$F$1008,$I650-8)="","",INDEX('Fleet dates'!$F$9:$F$1008,$I650-8)))</x:f>
      </x:c>
      <x:c r="G650" s="50" t="str">
        <x:f>IF(642&gt;$H$4,"",IF(INDEX('Fleet dates'!$G$9:$G$1008,$I650-8)="","",INDEX('Fleet dates'!$G$9:$G$1008,$I650-8)))</x:f>
      </x:c>
      <x:c r="H650" s="50" t="str">
        <x:f>IF(642&gt;$H$4,"",IF(INDEX('Fleet dates'!$I$9:$I$1008,$I650-8)="","",INDEX('Fleet dates'!$I$9:$I$1008,$I650-8)))</x:f>
      </x:c>
      <x:c r="I650" t="str">
        <x:f>IF(642&gt;$H$4,"",MATCH(642,'Fleet dates'!$J$9:$J$1008,0)+8)</x:f>
      </x:c>
    </x:row>
    <x:row r="651" ht="36" customHeight="1">
      <x:c r="A651" s="50" t="str">
        <x:f>IF(643&gt;$H$4,"",IF(INDEX('Fleet dates'!$A$9:$A$1008,$I651-8)="","",INDEX('Fleet dates'!$A$9:$A$1008,$I651-8)))</x:f>
      </x:c>
      <x:c r="B651" s="50" t="str">
        <x:f>IF(643&gt;$H$4,"",IF(INDEX('Fleet dates'!$B$9:$B$1008,$I651-8)="","",INDEX('Fleet dates'!$B$9:$B$1008,$I651-8)))</x:f>
      </x:c>
      <x:c r="C651" s="51" t="str">
        <x:f>IF(643&gt;$H$4,"",IF(INDEX('Fleet dates'!$C$9:$C$1008,$I651-8)="","",INDEX('Fleet dates'!$C$9:$C$1008,$I651-8)))</x:f>
      </x:c>
      <x:c r="D651" s="51" t="str">
        <x:f>IF(643&gt;$H$4,"",IF(INDEX('Fleet dates'!$D$9:$D$1008,$I651-8)="","",INDEX('Fleet dates'!$D$9:$D$1008,$I651-8)))</x:f>
      </x:c>
      <x:c r="E651" s="51" t="str">
        <x:f>IF(643&gt;$H$4,"",IF(INDEX('Fleet dates'!$E$9:$E$1008,$I651-8)="","",INDEX('Fleet dates'!$E$9:$E$1008,$I651-8)))</x:f>
      </x:c>
      <x:c r="F651" s="51" t="str">
        <x:f>IF(643&gt;$H$4,"",IF(INDEX('Fleet dates'!$F$9:$F$1008,$I651-8)="","",INDEX('Fleet dates'!$F$9:$F$1008,$I651-8)))</x:f>
      </x:c>
      <x:c r="G651" s="50" t="str">
        <x:f>IF(643&gt;$H$4,"",IF(INDEX('Fleet dates'!$G$9:$G$1008,$I651-8)="","",INDEX('Fleet dates'!$G$9:$G$1008,$I651-8)))</x:f>
      </x:c>
      <x:c r="H651" s="50" t="str">
        <x:f>IF(643&gt;$H$4,"",IF(INDEX('Fleet dates'!$I$9:$I$1008,$I651-8)="","",INDEX('Fleet dates'!$I$9:$I$1008,$I651-8)))</x:f>
      </x:c>
      <x:c r="I651" t="str">
        <x:f>IF(643&gt;$H$4,"",MATCH(643,'Fleet dates'!$J$9:$J$1008,0)+8)</x:f>
      </x:c>
    </x:row>
    <x:row r="652" ht="36" customHeight="1">
      <x:c r="A652" s="50" t="str">
        <x:f>IF(644&gt;$H$4,"",IF(INDEX('Fleet dates'!$A$9:$A$1008,$I652-8)="","",INDEX('Fleet dates'!$A$9:$A$1008,$I652-8)))</x:f>
      </x:c>
      <x:c r="B652" s="50" t="str">
        <x:f>IF(644&gt;$H$4,"",IF(INDEX('Fleet dates'!$B$9:$B$1008,$I652-8)="","",INDEX('Fleet dates'!$B$9:$B$1008,$I652-8)))</x:f>
      </x:c>
      <x:c r="C652" s="51" t="str">
        <x:f>IF(644&gt;$H$4,"",IF(INDEX('Fleet dates'!$C$9:$C$1008,$I652-8)="","",INDEX('Fleet dates'!$C$9:$C$1008,$I652-8)))</x:f>
      </x:c>
      <x:c r="D652" s="51" t="str">
        <x:f>IF(644&gt;$H$4,"",IF(INDEX('Fleet dates'!$D$9:$D$1008,$I652-8)="","",INDEX('Fleet dates'!$D$9:$D$1008,$I652-8)))</x:f>
      </x:c>
      <x:c r="E652" s="51" t="str">
        <x:f>IF(644&gt;$H$4,"",IF(INDEX('Fleet dates'!$E$9:$E$1008,$I652-8)="","",INDEX('Fleet dates'!$E$9:$E$1008,$I652-8)))</x:f>
      </x:c>
      <x:c r="F652" s="51" t="str">
        <x:f>IF(644&gt;$H$4,"",IF(INDEX('Fleet dates'!$F$9:$F$1008,$I652-8)="","",INDEX('Fleet dates'!$F$9:$F$1008,$I652-8)))</x:f>
      </x:c>
      <x:c r="G652" s="50" t="str">
        <x:f>IF(644&gt;$H$4,"",IF(INDEX('Fleet dates'!$G$9:$G$1008,$I652-8)="","",INDEX('Fleet dates'!$G$9:$G$1008,$I652-8)))</x:f>
      </x:c>
      <x:c r="H652" s="50" t="str">
        <x:f>IF(644&gt;$H$4,"",IF(INDEX('Fleet dates'!$I$9:$I$1008,$I652-8)="","",INDEX('Fleet dates'!$I$9:$I$1008,$I652-8)))</x:f>
      </x:c>
      <x:c r="I652" t="str">
        <x:f>IF(644&gt;$H$4,"",MATCH(644,'Fleet dates'!$J$9:$J$1008,0)+8)</x:f>
      </x:c>
    </x:row>
    <x:row r="653" ht="36" customHeight="1">
      <x:c r="A653" s="50" t="str">
        <x:f>IF(645&gt;$H$4,"",IF(INDEX('Fleet dates'!$A$9:$A$1008,$I653-8)="","",INDEX('Fleet dates'!$A$9:$A$1008,$I653-8)))</x:f>
      </x:c>
      <x:c r="B653" s="50" t="str">
        <x:f>IF(645&gt;$H$4,"",IF(INDEX('Fleet dates'!$B$9:$B$1008,$I653-8)="","",INDEX('Fleet dates'!$B$9:$B$1008,$I653-8)))</x:f>
      </x:c>
      <x:c r="C653" s="51" t="str">
        <x:f>IF(645&gt;$H$4,"",IF(INDEX('Fleet dates'!$C$9:$C$1008,$I653-8)="","",INDEX('Fleet dates'!$C$9:$C$1008,$I653-8)))</x:f>
      </x:c>
      <x:c r="D653" s="51" t="str">
        <x:f>IF(645&gt;$H$4,"",IF(INDEX('Fleet dates'!$D$9:$D$1008,$I653-8)="","",INDEX('Fleet dates'!$D$9:$D$1008,$I653-8)))</x:f>
      </x:c>
      <x:c r="E653" s="51" t="str">
        <x:f>IF(645&gt;$H$4,"",IF(INDEX('Fleet dates'!$E$9:$E$1008,$I653-8)="","",INDEX('Fleet dates'!$E$9:$E$1008,$I653-8)))</x:f>
      </x:c>
      <x:c r="F653" s="51" t="str">
        <x:f>IF(645&gt;$H$4,"",IF(INDEX('Fleet dates'!$F$9:$F$1008,$I653-8)="","",INDEX('Fleet dates'!$F$9:$F$1008,$I653-8)))</x:f>
      </x:c>
      <x:c r="G653" s="50" t="str">
        <x:f>IF(645&gt;$H$4,"",IF(INDEX('Fleet dates'!$G$9:$G$1008,$I653-8)="","",INDEX('Fleet dates'!$G$9:$G$1008,$I653-8)))</x:f>
      </x:c>
      <x:c r="H653" s="50" t="str">
        <x:f>IF(645&gt;$H$4,"",IF(INDEX('Fleet dates'!$I$9:$I$1008,$I653-8)="","",INDEX('Fleet dates'!$I$9:$I$1008,$I653-8)))</x:f>
      </x:c>
      <x:c r="I653" t="str">
        <x:f>IF(645&gt;$H$4,"",MATCH(645,'Fleet dates'!$J$9:$J$1008,0)+8)</x:f>
      </x:c>
    </x:row>
    <x:row r="654" ht="36" customHeight="1">
      <x:c r="A654" s="50" t="str">
        <x:f>IF(646&gt;$H$4,"",IF(INDEX('Fleet dates'!$A$9:$A$1008,$I654-8)="","",INDEX('Fleet dates'!$A$9:$A$1008,$I654-8)))</x:f>
      </x:c>
      <x:c r="B654" s="50" t="str">
        <x:f>IF(646&gt;$H$4,"",IF(INDEX('Fleet dates'!$B$9:$B$1008,$I654-8)="","",INDEX('Fleet dates'!$B$9:$B$1008,$I654-8)))</x:f>
      </x:c>
      <x:c r="C654" s="51" t="str">
        <x:f>IF(646&gt;$H$4,"",IF(INDEX('Fleet dates'!$C$9:$C$1008,$I654-8)="","",INDEX('Fleet dates'!$C$9:$C$1008,$I654-8)))</x:f>
      </x:c>
      <x:c r="D654" s="51" t="str">
        <x:f>IF(646&gt;$H$4,"",IF(INDEX('Fleet dates'!$D$9:$D$1008,$I654-8)="","",INDEX('Fleet dates'!$D$9:$D$1008,$I654-8)))</x:f>
      </x:c>
      <x:c r="E654" s="51" t="str">
        <x:f>IF(646&gt;$H$4,"",IF(INDEX('Fleet dates'!$E$9:$E$1008,$I654-8)="","",INDEX('Fleet dates'!$E$9:$E$1008,$I654-8)))</x:f>
      </x:c>
      <x:c r="F654" s="51" t="str">
        <x:f>IF(646&gt;$H$4,"",IF(INDEX('Fleet dates'!$F$9:$F$1008,$I654-8)="","",INDEX('Fleet dates'!$F$9:$F$1008,$I654-8)))</x:f>
      </x:c>
      <x:c r="G654" s="50" t="str">
        <x:f>IF(646&gt;$H$4,"",IF(INDEX('Fleet dates'!$G$9:$G$1008,$I654-8)="","",INDEX('Fleet dates'!$G$9:$G$1008,$I654-8)))</x:f>
      </x:c>
      <x:c r="H654" s="50" t="str">
        <x:f>IF(646&gt;$H$4,"",IF(INDEX('Fleet dates'!$I$9:$I$1008,$I654-8)="","",INDEX('Fleet dates'!$I$9:$I$1008,$I654-8)))</x:f>
      </x:c>
      <x:c r="I654" t="str">
        <x:f>IF(646&gt;$H$4,"",MATCH(646,'Fleet dates'!$J$9:$J$1008,0)+8)</x:f>
      </x:c>
    </x:row>
    <x:row r="655" ht="36" customHeight="1">
      <x:c r="A655" s="50" t="str">
        <x:f>IF(647&gt;$H$4,"",IF(INDEX('Fleet dates'!$A$9:$A$1008,$I655-8)="","",INDEX('Fleet dates'!$A$9:$A$1008,$I655-8)))</x:f>
      </x:c>
      <x:c r="B655" s="50" t="str">
        <x:f>IF(647&gt;$H$4,"",IF(INDEX('Fleet dates'!$B$9:$B$1008,$I655-8)="","",INDEX('Fleet dates'!$B$9:$B$1008,$I655-8)))</x:f>
      </x:c>
      <x:c r="C655" s="51" t="str">
        <x:f>IF(647&gt;$H$4,"",IF(INDEX('Fleet dates'!$C$9:$C$1008,$I655-8)="","",INDEX('Fleet dates'!$C$9:$C$1008,$I655-8)))</x:f>
      </x:c>
      <x:c r="D655" s="51" t="str">
        <x:f>IF(647&gt;$H$4,"",IF(INDEX('Fleet dates'!$D$9:$D$1008,$I655-8)="","",INDEX('Fleet dates'!$D$9:$D$1008,$I655-8)))</x:f>
      </x:c>
      <x:c r="E655" s="51" t="str">
        <x:f>IF(647&gt;$H$4,"",IF(INDEX('Fleet dates'!$E$9:$E$1008,$I655-8)="","",INDEX('Fleet dates'!$E$9:$E$1008,$I655-8)))</x:f>
      </x:c>
      <x:c r="F655" s="51" t="str">
        <x:f>IF(647&gt;$H$4,"",IF(INDEX('Fleet dates'!$F$9:$F$1008,$I655-8)="","",INDEX('Fleet dates'!$F$9:$F$1008,$I655-8)))</x:f>
      </x:c>
      <x:c r="G655" s="50" t="str">
        <x:f>IF(647&gt;$H$4,"",IF(INDEX('Fleet dates'!$G$9:$G$1008,$I655-8)="","",INDEX('Fleet dates'!$G$9:$G$1008,$I655-8)))</x:f>
      </x:c>
      <x:c r="H655" s="50" t="str">
        <x:f>IF(647&gt;$H$4,"",IF(INDEX('Fleet dates'!$I$9:$I$1008,$I655-8)="","",INDEX('Fleet dates'!$I$9:$I$1008,$I655-8)))</x:f>
      </x:c>
      <x:c r="I655" t="str">
        <x:f>IF(647&gt;$H$4,"",MATCH(647,'Fleet dates'!$J$9:$J$1008,0)+8)</x:f>
      </x:c>
    </x:row>
    <x:row r="656" ht="36" customHeight="1">
      <x:c r="A656" s="50" t="str">
        <x:f>IF(648&gt;$H$4,"",IF(INDEX('Fleet dates'!$A$9:$A$1008,$I656-8)="","",INDEX('Fleet dates'!$A$9:$A$1008,$I656-8)))</x:f>
      </x:c>
      <x:c r="B656" s="50" t="str">
        <x:f>IF(648&gt;$H$4,"",IF(INDEX('Fleet dates'!$B$9:$B$1008,$I656-8)="","",INDEX('Fleet dates'!$B$9:$B$1008,$I656-8)))</x:f>
      </x:c>
      <x:c r="C656" s="51" t="str">
        <x:f>IF(648&gt;$H$4,"",IF(INDEX('Fleet dates'!$C$9:$C$1008,$I656-8)="","",INDEX('Fleet dates'!$C$9:$C$1008,$I656-8)))</x:f>
      </x:c>
      <x:c r="D656" s="51" t="str">
        <x:f>IF(648&gt;$H$4,"",IF(INDEX('Fleet dates'!$D$9:$D$1008,$I656-8)="","",INDEX('Fleet dates'!$D$9:$D$1008,$I656-8)))</x:f>
      </x:c>
      <x:c r="E656" s="51" t="str">
        <x:f>IF(648&gt;$H$4,"",IF(INDEX('Fleet dates'!$E$9:$E$1008,$I656-8)="","",INDEX('Fleet dates'!$E$9:$E$1008,$I656-8)))</x:f>
      </x:c>
      <x:c r="F656" s="51" t="str">
        <x:f>IF(648&gt;$H$4,"",IF(INDEX('Fleet dates'!$F$9:$F$1008,$I656-8)="","",INDEX('Fleet dates'!$F$9:$F$1008,$I656-8)))</x:f>
      </x:c>
      <x:c r="G656" s="50" t="str">
        <x:f>IF(648&gt;$H$4,"",IF(INDEX('Fleet dates'!$G$9:$G$1008,$I656-8)="","",INDEX('Fleet dates'!$G$9:$G$1008,$I656-8)))</x:f>
      </x:c>
      <x:c r="H656" s="50" t="str">
        <x:f>IF(648&gt;$H$4,"",IF(INDEX('Fleet dates'!$I$9:$I$1008,$I656-8)="","",INDEX('Fleet dates'!$I$9:$I$1008,$I656-8)))</x:f>
      </x:c>
      <x:c r="I656" t="str">
        <x:f>IF(648&gt;$H$4,"",MATCH(648,'Fleet dates'!$J$9:$J$1008,0)+8)</x:f>
      </x:c>
    </x:row>
    <x:row r="657" ht="36" customHeight="1">
      <x:c r="A657" s="50" t="str">
        <x:f>IF(649&gt;$H$4,"",IF(INDEX('Fleet dates'!$A$9:$A$1008,$I657-8)="","",INDEX('Fleet dates'!$A$9:$A$1008,$I657-8)))</x:f>
      </x:c>
      <x:c r="B657" s="50" t="str">
        <x:f>IF(649&gt;$H$4,"",IF(INDEX('Fleet dates'!$B$9:$B$1008,$I657-8)="","",INDEX('Fleet dates'!$B$9:$B$1008,$I657-8)))</x:f>
      </x:c>
      <x:c r="C657" s="51" t="str">
        <x:f>IF(649&gt;$H$4,"",IF(INDEX('Fleet dates'!$C$9:$C$1008,$I657-8)="","",INDEX('Fleet dates'!$C$9:$C$1008,$I657-8)))</x:f>
      </x:c>
      <x:c r="D657" s="51" t="str">
        <x:f>IF(649&gt;$H$4,"",IF(INDEX('Fleet dates'!$D$9:$D$1008,$I657-8)="","",INDEX('Fleet dates'!$D$9:$D$1008,$I657-8)))</x:f>
      </x:c>
      <x:c r="E657" s="51" t="str">
        <x:f>IF(649&gt;$H$4,"",IF(INDEX('Fleet dates'!$E$9:$E$1008,$I657-8)="","",INDEX('Fleet dates'!$E$9:$E$1008,$I657-8)))</x:f>
      </x:c>
      <x:c r="F657" s="51" t="str">
        <x:f>IF(649&gt;$H$4,"",IF(INDEX('Fleet dates'!$F$9:$F$1008,$I657-8)="","",INDEX('Fleet dates'!$F$9:$F$1008,$I657-8)))</x:f>
      </x:c>
      <x:c r="G657" s="50" t="str">
        <x:f>IF(649&gt;$H$4,"",IF(INDEX('Fleet dates'!$G$9:$G$1008,$I657-8)="","",INDEX('Fleet dates'!$G$9:$G$1008,$I657-8)))</x:f>
      </x:c>
      <x:c r="H657" s="50" t="str">
        <x:f>IF(649&gt;$H$4,"",IF(INDEX('Fleet dates'!$I$9:$I$1008,$I657-8)="","",INDEX('Fleet dates'!$I$9:$I$1008,$I657-8)))</x:f>
      </x:c>
      <x:c r="I657" t="str">
        <x:f>IF(649&gt;$H$4,"",MATCH(649,'Fleet dates'!$J$9:$J$1008,0)+8)</x:f>
      </x:c>
    </x:row>
    <x:row r="658" ht="36" customHeight="1">
      <x:c r="A658" s="50" t="str">
        <x:f>IF(650&gt;$H$4,"",IF(INDEX('Fleet dates'!$A$9:$A$1008,$I658-8)="","",INDEX('Fleet dates'!$A$9:$A$1008,$I658-8)))</x:f>
      </x:c>
      <x:c r="B658" s="50" t="str">
        <x:f>IF(650&gt;$H$4,"",IF(INDEX('Fleet dates'!$B$9:$B$1008,$I658-8)="","",INDEX('Fleet dates'!$B$9:$B$1008,$I658-8)))</x:f>
      </x:c>
      <x:c r="C658" s="51" t="str">
        <x:f>IF(650&gt;$H$4,"",IF(INDEX('Fleet dates'!$C$9:$C$1008,$I658-8)="","",INDEX('Fleet dates'!$C$9:$C$1008,$I658-8)))</x:f>
      </x:c>
      <x:c r="D658" s="51" t="str">
        <x:f>IF(650&gt;$H$4,"",IF(INDEX('Fleet dates'!$D$9:$D$1008,$I658-8)="","",INDEX('Fleet dates'!$D$9:$D$1008,$I658-8)))</x:f>
      </x:c>
      <x:c r="E658" s="51" t="str">
        <x:f>IF(650&gt;$H$4,"",IF(INDEX('Fleet dates'!$E$9:$E$1008,$I658-8)="","",INDEX('Fleet dates'!$E$9:$E$1008,$I658-8)))</x:f>
      </x:c>
      <x:c r="F658" s="51" t="str">
        <x:f>IF(650&gt;$H$4,"",IF(INDEX('Fleet dates'!$F$9:$F$1008,$I658-8)="","",INDEX('Fleet dates'!$F$9:$F$1008,$I658-8)))</x:f>
      </x:c>
      <x:c r="G658" s="50" t="str">
        <x:f>IF(650&gt;$H$4,"",IF(INDEX('Fleet dates'!$G$9:$G$1008,$I658-8)="","",INDEX('Fleet dates'!$G$9:$G$1008,$I658-8)))</x:f>
      </x:c>
      <x:c r="H658" s="50" t="str">
        <x:f>IF(650&gt;$H$4,"",IF(INDEX('Fleet dates'!$I$9:$I$1008,$I658-8)="","",INDEX('Fleet dates'!$I$9:$I$1008,$I658-8)))</x:f>
      </x:c>
      <x:c r="I658" t="str">
        <x:f>IF(650&gt;$H$4,"",MATCH(650,'Fleet dates'!$J$9:$J$1008,0)+8)</x:f>
      </x:c>
    </x:row>
    <x:row r="659" ht="36" customHeight="1">
      <x:c r="A659" s="50" t="str">
        <x:f>IF(651&gt;$H$4,"",IF(INDEX('Fleet dates'!$A$9:$A$1008,$I659-8)="","",INDEX('Fleet dates'!$A$9:$A$1008,$I659-8)))</x:f>
      </x:c>
      <x:c r="B659" s="50" t="str">
        <x:f>IF(651&gt;$H$4,"",IF(INDEX('Fleet dates'!$B$9:$B$1008,$I659-8)="","",INDEX('Fleet dates'!$B$9:$B$1008,$I659-8)))</x:f>
      </x:c>
      <x:c r="C659" s="51" t="str">
        <x:f>IF(651&gt;$H$4,"",IF(INDEX('Fleet dates'!$C$9:$C$1008,$I659-8)="","",INDEX('Fleet dates'!$C$9:$C$1008,$I659-8)))</x:f>
      </x:c>
      <x:c r="D659" s="51" t="str">
        <x:f>IF(651&gt;$H$4,"",IF(INDEX('Fleet dates'!$D$9:$D$1008,$I659-8)="","",INDEX('Fleet dates'!$D$9:$D$1008,$I659-8)))</x:f>
      </x:c>
      <x:c r="E659" s="51" t="str">
        <x:f>IF(651&gt;$H$4,"",IF(INDEX('Fleet dates'!$E$9:$E$1008,$I659-8)="","",INDEX('Fleet dates'!$E$9:$E$1008,$I659-8)))</x:f>
      </x:c>
      <x:c r="F659" s="51" t="str">
        <x:f>IF(651&gt;$H$4,"",IF(INDEX('Fleet dates'!$F$9:$F$1008,$I659-8)="","",INDEX('Fleet dates'!$F$9:$F$1008,$I659-8)))</x:f>
      </x:c>
      <x:c r="G659" s="50" t="str">
        <x:f>IF(651&gt;$H$4,"",IF(INDEX('Fleet dates'!$G$9:$G$1008,$I659-8)="","",INDEX('Fleet dates'!$G$9:$G$1008,$I659-8)))</x:f>
      </x:c>
      <x:c r="H659" s="50" t="str">
        <x:f>IF(651&gt;$H$4,"",IF(INDEX('Fleet dates'!$I$9:$I$1008,$I659-8)="","",INDEX('Fleet dates'!$I$9:$I$1008,$I659-8)))</x:f>
      </x:c>
      <x:c r="I659" t="str">
        <x:f>IF(651&gt;$H$4,"",MATCH(651,'Fleet dates'!$J$9:$J$1008,0)+8)</x:f>
      </x:c>
    </x:row>
    <x:row r="660" ht="36" customHeight="1">
      <x:c r="A660" s="50" t="str">
        <x:f>IF(652&gt;$H$4,"",IF(INDEX('Fleet dates'!$A$9:$A$1008,$I660-8)="","",INDEX('Fleet dates'!$A$9:$A$1008,$I660-8)))</x:f>
      </x:c>
      <x:c r="B660" s="50" t="str">
        <x:f>IF(652&gt;$H$4,"",IF(INDEX('Fleet dates'!$B$9:$B$1008,$I660-8)="","",INDEX('Fleet dates'!$B$9:$B$1008,$I660-8)))</x:f>
      </x:c>
      <x:c r="C660" s="51" t="str">
        <x:f>IF(652&gt;$H$4,"",IF(INDEX('Fleet dates'!$C$9:$C$1008,$I660-8)="","",INDEX('Fleet dates'!$C$9:$C$1008,$I660-8)))</x:f>
      </x:c>
      <x:c r="D660" s="51" t="str">
        <x:f>IF(652&gt;$H$4,"",IF(INDEX('Fleet dates'!$D$9:$D$1008,$I660-8)="","",INDEX('Fleet dates'!$D$9:$D$1008,$I660-8)))</x:f>
      </x:c>
      <x:c r="E660" s="51" t="str">
        <x:f>IF(652&gt;$H$4,"",IF(INDEX('Fleet dates'!$E$9:$E$1008,$I660-8)="","",INDEX('Fleet dates'!$E$9:$E$1008,$I660-8)))</x:f>
      </x:c>
      <x:c r="F660" s="51" t="str">
        <x:f>IF(652&gt;$H$4,"",IF(INDEX('Fleet dates'!$F$9:$F$1008,$I660-8)="","",INDEX('Fleet dates'!$F$9:$F$1008,$I660-8)))</x:f>
      </x:c>
      <x:c r="G660" s="50" t="str">
        <x:f>IF(652&gt;$H$4,"",IF(INDEX('Fleet dates'!$G$9:$G$1008,$I660-8)="","",INDEX('Fleet dates'!$G$9:$G$1008,$I660-8)))</x:f>
      </x:c>
      <x:c r="H660" s="50" t="str">
        <x:f>IF(652&gt;$H$4,"",IF(INDEX('Fleet dates'!$I$9:$I$1008,$I660-8)="","",INDEX('Fleet dates'!$I$9:$I$1008,$I660-8)))</x:f>
      </x:c>
      <x:c r="I660" t="str">
        <x:f>IF(652&gt;$H$4,"",MATCH(652,'Fleet dates'!$J$9:$J$1008,0)+8)</x:f>
      </x:c>
    </x:row>
    <x:row r="661" ht="36" customHeight="1">
      <x:c r="A661" s="50" t="str">
        <x:f>IF(653&gt;$H$4,"",IF(INDEX('Fleet dates'!$A$9:$A$1008,$I661-8)="","",INDEX('Fleet dates'!$A$9:$A$1008,$I661-8)))</x:f>
      </x:c>
      <x:c r="B661" s="50" t="str">
        <x:f>IF(653&gt;$H$4,"",IF(INDEX('Fleet dates'!$B$9:$B$1008,$I661-8)="","",INDEX('Fleet dates'!$B$9:$B$1008,$I661-8)))</x:f>
      </x:c>
      <x:c r="C661" s="51" t="str">
        <x:f>IF(653&gt;$H$4,"",IF(INDEX('Fleet dates'!$C$9:$C$1008,$I661-8)="","",INDEX('Fleet dates'!$C$9:$C$1008,$I661-8)))</x:f>
      </x:c>
      <x:c r="D661" s="51" t="str">
        <x:f>IF(653&gt;$H$4,"",IF(INDEX('Fleet dates'!$D$9:$D$1008,$I661-8)="","",INDEX('Fleet dates'!$D$9:$D$1008,$I661-8)))</x:f>
      </x:c>
      <x:c r="E661" s="51" t="str">
        <x:f>IF(653&gt;$H$4,"",IF(INDEX('Fleet dates'!$E$9:$E$1008,$I661-8)="","",INDEX('Fleet dates'!$E$9:$E$1008,$I661-8)))</x:f>
      </x:c>
      <x:c r="F661" s="51" t="str">
        <x:f>IF(653&gt;$H$4,"",IF(INDEX('Fleet dates'!$F$9:$F$1008,$I661-8)="","",INDEX('Fleet dates'!$F$9:$F$1008,$I661-8)))</x:f>
      </x:c>
      <x:c r="G661" s="50" t="str">
        <x:f>IF(653&gt;$H$4,"",IF(INDEX('Fleet dates'!$G$9:$G$1008,$I661-8)="","",INDEX('Fleet dates'!$G$9:$G$1008,$I661-8)))</x:f>
      </x:c>
      <x:c r="H661" s="50" t="str">
        <x:f>IF(653&gt;$H$4,"",IF(INDEX('Fleet dates'!$I$9:$I$1008,$I661-8)="","",INDEX('Fleet dates'!$I$9:$I$1008,$I661-8)))</x:f>
      </x:c>
      <x:c r="I661" t="str">
        <x:f>IF(653&gt;$H$4,"",MATCH(653,'Fleet dates'!$J$9:$J$1008,0)+8)</x:f>
      </x:c>
    </x:row>
    <x:row r="662" ht="36" customHeight="1">
      <x:c r="A662" s="50" t="str">
        <x:f>IF(654&gt;$H$4,"",IF(INDEX('Fleet dates'!$A$9:$A$1008,$I662-8)="","",INDEX('Fleet dates'!$A$9:$A$1008,$I662-8)))</x:f>
      </x:c>
      <x:c r="B662" s="50" t="str">
        <x:f>IF(654&gt;$H$4,"",IF(INDEX('Fleet dates'!$B$9:$B$1008,$I662-8)="","",INDEX('Fleet dates'!$B$9:$B$1008,$I662-8)))</x:f>
      </x:c>
      <x:c r="C662" s="51" t="str">
        <x:f>IF(654&gt;$H$4,"",IF(INDEX('Fleet dates'!$C$9:$C$1008,$I662-8)="","",INDEX('Fleet dates'!$C$9:$C$1008,$I662-8)))</x:f>
      </x:c>
      <x:c r="D662" s="51" t="str">
        <x:f>IF(654&gt;$H$4,"",IF(INDEX('Fleet dates'!$D$9:$D$1008,$I662-8)="","",INDEX('Fleet dates'!$D$9:$D$1008,$I662-8)))</x:f>
      </x:c>
      <x:c r="E662" s="51" t="str">
        <x:f>IF(654&gt;$H$4,"",IF(INDEX('Fleet dates'!$E$9:$E$1008,$I662-8)="","",INDEX('Fleet dates'!$E$9:$E$1008,$I662-8)))</x:f>
      </x:c>
      <x:c r="F662" s="51" t="str">
        <x:f>IF(654&gt;$H$4,"",IF(INDEX('Fleet dates'!$F$9:$F$1008,$I662-8)="","",INDEX('Fleet dates'!$F$9:$F$1008,$I662-8)))</x:f>
      </x:c>
      <x:c r="G662" s="50" t="str">
        <x:f>IF(654&gt;$H$4,"",IF(INDEX('Fleet dates'!$G$9:$G$1008,$I662-8)="","",INDEX('Fleet dates'!$G$9:$G$1008,$I662-8)))</x:f>
      </x:c>
      <x:c r="H662" s="50" t="str">
        <x:f>IF(654&gt;$H$4,"",IF(INDEX('Fleet dates'!$I$9:$I$1008,$I662-8)="","",INDEX('Fleet dates'!$I$9:$I$1008,$I662-8)))</x:f>
      </x:c>
      <x:c r="I662" t="str">
        <x:f>IF(654&gt;$H$4,"",MATCH(654,'Fleet dates'!$J$9:$J$1008,0)+8)</x:f>
      </x:c>
    </x:row>
    <x:row r="663" ht="36" customHeight="1">
      <x:c r="A663" s="50" t="str">
        <x:f>IF(655&gt;$H$4,"",IF(INDEX('Fleet dates'!$A$9:$A$1008,$I663-8)="","",INDEX('Fleet dates'!$A$9:$A$1008,$I663-8)))</x:f>
      </x:c>
      <x:c r="B663" s="50" t="str">
        <x:f>IF(655&gt;$H$4,"",IF(INDEX('Fleet dates'!$B$9:$B$1008,$I663-8)="","",INDEX('Fleet dates'!$B$9:$B$1008,$I663-8)))</x:f>
      </x:c>
      <x:c r="C663" s="51" t="str">
        <x:f>IF(655&gt;$H$4,"",IF(INDEX('Fleet dates'!$C$9:$C$1008,$I663-8)="","",INDEX('Fleet dates'!$C$9:$C$1008,$I663-8)))</x:f>
      </x:c>
      <x:c r="D663" s="51" t="str">
        <x:f>IF(655&gt;$H$4,"",IF(INDEX('Fleet dates'!$D$9:$D$1008,$I663-8)="","",INDEX('Fleet dates'!$D$9:$D$1008,$I663-8)))</x:f>
      </x:c>
      <x:c r="E663" s="51" t="str">
        <x:f>IF(655&gt;$H$4,"",IF(INDEX('Fleet dates'!$E$9:$E$1008,$I663-8)="","",INDEX('Fleet dates'!$E$9:$E$1008,$I663-8)))</x:f>
      </x:c>
      <x:c r="F663" s="51" t="str">
        <x:f>IF(655&gt;$H$4,"",IF(INDEX('Fleet dates'!$F$9:$F$1008,$I663-8)="","",INDEX('Fleet dates'!$F$9:$F$1008,$I663-8)))</x:f>
      </x:c>
      <x:c r="G663" s="50" t="str">
        <x:f>IF(655&gt;$H$4,"",IF(INDEX('Fleet dates'!$G$9:$G$1008,$I663-8)="","",INDEX('Fleet dates'!$G$9:$G$1008,$I663-8)))</x:f>
      </x:c>
      <x:c r="H663" s="50" t="str">
        <x:f>IF(655&gt;$H$4,"",IF(INDEX('Fleet dates'!$I$9:$I$1008,$I663-8)="","",INDEX('Fleet dates'!$I$9:$I$1008,$I663-8)))</x:f>
      </x:c>
      <x:c r="I663" t="str">
        <x:f>IF(655&gt;$H$4,"",MATCH(655,'Fleet dates'!$J$9:$J$1008,0)+8)</x:f>
      </x:c>
    </x:row>
    <x:row r="664" ht="36" customHeight="1">
      <x:c r="A664" s="50" t="str">
        <x:f>IF(656&gt;$H$4,"",IF(INDEX('Fleet dates'!$A$9:$A$1008,$I664-8)="","",INDEX('Fleet dates'!$A$9:$A$1008,$I664-8)))</x:f>
      </x:c>
      <x:c r="B664" s="50" t="str">
        <x:f>IF(656&gt;$H$4,"",IF(INDEX('Fleet dates'!$B$9:$B$1008,$I664-8)="","",INDEX('Fleet dates'!$B$9:$B$1008,$I664-8)))</x:f>
      </x:c>
      <x:c r="C664" s="51" t="str">
        <x:f>IF(656&gt;$H$4,"",IF(INDEX('Fleet dates'!$C$9:$C$1008,$I664-8)="","",INDEX('Fleet dates'!$C$9:$C$1008,$I664-8)))</x:f>
      </x:c>
      <x:c r="D664" s="51" t="str">
        <x:f>IF(656&gt;$H$4,"",IF(INDEX('Fleet dates'!$D$9:$D$1008,$I664-8)="","",INDEX('Fleet dates'!$D$9:$D$1008,$I664-8)))</x:f>
      </x:c>
      <x:c r="E664" s="51" t="str">
        <x:f>IF(656&gt;$H$4,"",IF(INDEX('Fleet dates'!$E$9:$E$1008,$I664-8)="","",INDEX('Fleet dates'!$E$9:$E$1008,$I664-8)))</x:f>
      </x:c>
      <x:c r="F664" s="51" t="str">
        <x:f>IF(656&gt;$H$4,"",IF(INDEX('Fleet dates'!$F$9:$F$1008,$I664-8)="","",INDEX('Fleet dates'!$F$9:$F$1008,$I664-8)))</x:f>
      </x:c>
      <x:c r="G664" s="50" t="str">
        <x:f>IF(656&gt;$H$4,"",IF(INDEX('Fleet dates'!$G$9:$G$1008,$I664-8)="","",INDEX('Fleet dates'!$G$9:$G$1008,$I664-8)))</x:f>
      </x:c>
      <x:c r="H664" s="50" t="str">
        <x:f>IF(656&gt;$H$4,"",IF(INDEX('Fleet dates'!$I$9:$I$1008,$I664-8)="","",INDEX('Fleet dates'!$I$9:$I$1008,$I664-8)))</x:f>
      </x:c>
      <x:c r="I664" t="str">
        <x:f>IF(656&gt;$H$4,"",MATCH(656,'Fleet dates'!$J$9:$J$1008,0)+8)</x:f>
      </x:c>
    </x:row>
    <x:row r="665" ht="36" customHeight="1">
      <x:c r="A665" s="50" t="str">
        <x:f>IF(657&gt;$H$4,"",IF(INDEX('Fleet dates'!$A$9:$A$1008,$I665-8)="","",INDEX('Fleet dates'!$A$9:$A$1008,$I665-8)))</x:f>
      </x:c>
      <x:c r="B665" s="50" t="str">
        <x:f>IF(657&gt;$H$4,"",IF(INDEX('Fleet dates'!$B$9:$B$1008,$I665-8)="","",INDEX('Fleet dates'!$B$9:$B$1008,$I665-8)))</x:f>
      </x:c>
      <x:c r="C665" s="51" t="str">
        <x:f>IF(657&gt;$H$4,"",IF(INDEX('Fleet dates'!$C$9:$C$1008,$I665-8)="","",INDEX('Fleet dates'!$C$9:$C$1008,$I665-8)))</x:f>
      </x:c>
      <x:c r="D665" s="51" t="str">
        <x:f>IF(657&gt;$H$4,"",IF(INDEX('Fleet dates'!$D$9:$D$1008,$I665-8)="","",INDEX('Fleet dates'!$D$9:$D$1008,$I665-8)))</x:f>
      </x:c>
      <x:c r="E665" s="51" t="str">
        <x:f>IF(657&gt;$H$4,"",IF(INDEX('Fleet dates'!$E$9:$E$1008,$I665-8)="","",INDEX('Fleet dates'!$E$9:$E$1008,$I665-8)))</x:f>
      </x:c>
      <x:c r="F665" s="51" t="str">
        <x:f>IF(657&gt;$H$4,"",IF(INDEX('Fleet dates'!$F$9:$F$1008,$I665-8)="","",INDEX('Fleet dates'!$F$9:$F$1008,$I665-8)))</x:f>
      </x:c>
      <x:c r="G665" s="50" t="str">
        <x:f>IF(657&gt;$H$4,"",IF(INDEX('Fleet dates'!$G$9:$G$1008,$I665-8)="","",INDEX('Fleet dates'!$G$9:$G$1008,$I665-8)))</x:f>
      </x:c>
      <x:c r="H665" s="50" t="str">
        <x:f>IF(657&gt;$H$4,"",IF(INDEX('Fleet dates'!$I$9:$I$1008,$I665-8)="","",INDEX('Fleet dates'!$I$9:$I$1008,$I665-8)))</x:f>
      </x:c>
      <x:c r="I665" t="str">
        <x:f>IF(657&gt;$H$4,"",MATCH(657,'Fleet dates'!$J$9:$J$1008,0)+8)</x:f>
      </x:c>
    </x:row>
    <x:row r="666" ht="36" customHeight="1">
      <x:c r="A666" s="50" t="str">
        <x:f>IF(658&gt;$H$4,"",IF(INDEX('Fleet dates'!$A$9:$A$1008,$I666-8)="","",INDEX('Fleet dates'!$A$9:$A$1008,$I666-8)))</x:f>
      </x:c>
      <x:c r="B666" s="50" t="str">
        <x:f>IF(658&gt;$H$4,"",IF(INDEX('Fleet dates'!$B$9:$B$1008,$I666-8)="","",INDEX('Fleet dates'!$B$9:$B$1008,$I666-8)))</x:f>
      </x:c>
      <x:c r="C666" s="51" t="str">
        <x:f>IF(658&gt;$H$4,"",IF(INDEX('Fleet dates'!$C$9:$C$1008,$I666-8)="","",INDEX('Fleet dates'!$C$9:$C$1008,$I666-8)))</x:f>
      </x:c>
      <x:c r="D666" s="51" t="str">
        <x:f>IF(658&gt;$H$4,"",IF(INDEX('Fleet dates'!$D$9:$D$1008,$I666-8)="","",INDEX('Fleet dates'!$D$9:$D$1008,$I666-8)))</x:f>
      </x:c>
      <x:c r="E666" s="51" t="str">
        <x:f>IF(658&gt;$H$4,"",IF(INDEX('Fleet dates'!$E$9:$E$1008,$I666-8)="","",INDEX('Fleet dates'!$E$9:$E$1008,$I666-8)))</x:f>
      </x:c>
      <x:c r="F666" s="51" t="str">
        <x:f>IF(658&gt;$H$4,"",IF(INDEX('Fleet dates'!$F$9:$F$1008,$I666-8)="","",INDEX('Fleet dates'!$F$9:$F$1008,$I666-8)))</x:f>
      </x:c>
      <x:c r="G666" s="50" t="str">
        <x:f>IF(658&gt;$H$4,"",IF(INDEX('Fleet dates'!$G$9:$G$1008,$I666-8)="","",INDEX('Fleet dates'!$G$9:$G$1008,$I666-8)))</x:f>
      </x:c>
      <x:c r="H666" s="50" t="str">
        <x:f>IF(658&gt;$H$4,"",IF(INDEX('Fleet dates'!$I$9:$I$1008,$I666-8)="","",INDEX('Fleet dates'!$I$9:$I$1008,$I666-8)))</x:f>
      </x:c>
      <x:c r="I666" t="str">
        <x:f>IF(658&gt;$H$4,"",MATCH(658,'Fleet dates'!$J$9:$J$1008,0)+8)</x:f>
      </x:c>
    </x:row>
    <x:row r="667" ht="36" customHeight="1">
      <x:c r="A667" s="50" t="str">
        <x:f>IF(659&gt;$H$4,"",IF(INDEX('Fleet dates'!$A$9:$A$1008,$I667-8)="","",INDEX('Fleet dates'!$A$9:$A$1008,$I667-8)))</x:f>
      </x:c>
      <x:c r="B667" s="50" t="str">
        <x:f>IF(659&gt;$H$4,"",IF(INDEX('Fleet dates'!$B$9:$B$1008,$I667-8)="","",INDEX('Fleet dates'!$B$9:$B$1008,$I667-8)))</x:f>
      </x:c>
      <x:c r="C667" s="51" t="str">
        <x:f>IF(659&gt;$H$4,"",IF(INDEX('Fleet dates'!$C$9:$C$1008,$I667-8)="","",INDEX('Fleet dates'!$C$9:$C$1008,$I667-8)))</x:f>
      </x:c>
      <x:c r="D667" s="51" t="str">
        <x:f>IF(659&gt;$H$4,"",IF(INDEX('Fleet dates'!$D$9:$D$1008,$I667-8)="","",INDEX('Fleet dates'!$D$9:$D$1008,$I667-8)))</x:f>
      </x:c>
      <x:c r="E667" s="51" t="str">
        <x:f>IF(659&gt;$H$4,"",IF(INDEX('Fleet dates'!$E$9:$E$1008,$I667-8)="","",INDEX('Fleet dates'!$E$9:$E$1008,$I667-8)))</x:f>
      </x:c>
      <x:c r="F667" s="51" t="str">
        <x:f>IF(659&gt;$H$4,"",IF(INDEX('Fleet dates'!$F$9:$F$1008,$I667-8)="","",INDEX('Fleet dates'!$F$9:$F$1008,$I667-8)))</x:f>
      </x:c>
      <x:c r="G667" s="50" t="str">
        <x:f>IF(659&gt;$H$4,"",IF(INDEX('Fleet dates'!$G$9:$G$1008,$I667-8)="","",INDEX('Fleet dates'!$G$9:$G$1008,$I667-8)))</x:f>
      </x:c>
      <x:c r="H667" s="50" t="str">
        <x:f>IF(659&gt;$H$4,"",IF(INDEX('Fleet dates'!$I$9:$I$1008,$I667-8)="","",INDEX('Fleet dates'!$I$9:$I$1008,$I667-8)))</x:f>
      </x:c>
      <x:c r="I667" t="str">
        <x:f>IF(659&gt;$H$4,"",MATCH(659,'Fleet dates'!$J$9:$J$1008,0)+8)</x:f>
      </x:c>
    </x:row>
    <x:row r="668" ht="36" customHeight="1">
      <x:c r="A668" s="50" t="str">
        <x:f>IF(660&gt;$H$4,"",IF(INDEX('Fleet dates'!$A$9:$A$1008,$I668-8)="","",INDEX('Fleet dates'!$A$9:$A$1008,$I668-8)))</x:f>
      </x:c>
      <x:c r="B668" s="50" t="str">
        <x:f>IF(660&gt;$H$4,"",IF(INDEX('Fleet dates'!$B$9:$B$1008,$I668-8)="","",INDEX('Fleet dates'!$B$9:$B$1008,$I668-8)))</x:f>
      </x:c>
      <x:c r="C668" s="51" t="str">
        <x:f>IF(660&gt;$H$4,"",IF(INDEX('Fleet dates'!$C$9:$C$1008,$I668-8)="","",INDEX('Fleet dates'!$C$9:$C$1008,$I668-8)))</x:f>
      </x:c>
      <x:c r="D668" s="51" t="str">
        <x:f>IF(660&gt;$H$4,"",IF(INDEX('Fleet dates'!$D$9:$D$1008,$I668-8)="","",INDEX('Fleet dates'!$D$9:$D$1008,$I668-8)))</x:f>
      </x:c>
      <x:c r="E668" s="51" t="str">
        <x:f>IF(660&gt;$H$4,"",IF(INDEX('Fleet dates'!$E$9:$E$1008,$I668-8)="","",INDEX('Fleet dates'!$E$9:$E$1008,$I668-8)))</x:f>
      </x:c>
      <x:c r="F668" s="51" t="str">
        <x:f>IF(660&gt;$H$4,"",IF(INDEX('Fleet dates'!$F$9:$F$1008,$I668-8)="","",INDEX('Fleet dates'!$F$9:$F$1008,$I668-8)))</x:f>
      </x:c>
      <x:c r="G668" s="50" t="str">
        <x:f>IF(660&gt;$H$4,"",IF(INDEX('Fleet dates'!$G$9:$G$1008,$I668-8)="","",INDEX('Fleet dates'!$G$9:$G$1008,$I668-8)))</x:f>
      </x:c>
      <x:c r="H668" s="50" t="str">
        <x:f>IF(660&gt;$H$4,"",IF(INDEX('Fleet dates'!$I$9:$I$1008,$I668-8)="","",INDEX('Fleet dates'!$I$9:$I$1008,$I668-8)))</x:f>
      </x:c>
      <x:c r="I668" t="str">
        <x:f>IF(660&gt;$H$4,"",MATCH(660,'Fleet dates'!$J$9:$J$1008,0)+8)</x:f>
      </x:c>
    </x:row>
    <x:row r="669" ht="36" customHeight="1">
      <x:c r="A669" s="50" t="str">
        <x:f>IF(661&gt;$H$4,"",IF(INDEX('Fleet dates'!$A$9:$A$1008,$I669-8)="","",INDEX('Fleet dates'!$A$9:$A$1008,$I669-8)))</x:f>
      </x:c>
      <x:c r="B669" s="50" t="str">
        <x:f>IF(661&gt;$H$4,"",IF(INDEX('Fleet dates'!$B$9:$B$1008,$I669-8)="","",INDEX('Fleet dates'!$B$9:$B$1008,$I669-8)))</x:f>
      </x:c>
      <x:c r="C669" s="51" t="str">
        <x:f>IF(661&gt;$H$4,"",IF(INDEX('Fleet dates'!$C$9:$C$1008,$I669-8)="","",INDEX('Fleet dates'!$C$9:$C$1008,$I669-8)))</x:f>
      </x:c>
      <x:c r="D669" s="51" t="str">
        <x:f>IF(661&gt;$H$4,"",IF(INDEX('Fleet dates'!$D$9:$D$1008,$I669-8)="","",INDEX('Fleet dates'!$D$9:$D$1008,$I669-8)))</x:f>
      </x:c>
      <x:c r="E669" s="51" t="str">
        <x:f>IF(661&gt;$H$4,"",IF(INDEX('Fleet dates'!$E$9:$E$1008,$I669-8)="","",INDEX('Fleet dates'!$E$9:$E$1008,$I669-8)))</x:f>
      </x:c>
      <x:c r="F669" s="51" t="str">
        <x:f>IF(661&gt;$H$4,"",IF(INDEX('Fleet dates'!$F$9:$F$1008,$I669-8)="","",INDEX('Fleet dates'!$F$9:$F$1008,$I669-8)))</x:f>
      </x:c>
      <x:c r="G669" s="50" t="str">
        <x:f>IF(661&gt;$H$4,"",IF(INDEX('Fleet dates'!$G$9:$G$1008,$I669-8)="","",INDEX('Fleet dates'!$G$9:$G$1008,$I669-8)))</x:f>
      </x:c>
      <x:c r="H669" s="50" t="str">
        <x:f>IF(661&gt;$H$4,"",IF(INDEX('Fleet dates'!$I$9:$I$1008,$I669-8)="","",INDEX('Fleet dates'!$I$9:$I$1008,$I669-8)))</x:f>
      </x:c>
      <x:c r="I669" t="str">
        <x:f>IF(661&gt;$H$4,"",MATCH(661,'Fleet dates'!$J$9:$J$1008,0)+8)</x:f>
      </x:c>
    </x:row>
    <x:row r="670" ht="36" customHeight="1">
      <x:c r="A670" s="50" t="str">
        <x:f>IF(662&gt;$H$4,"",IF(INDEX('Fleet dates'!$A$9:$A$1008,$I670-8)="","",INDEX('Fleet dates'!$A$9:$A$1008,$I670-8)))</x:f>
      </x:c>
      <x:c r="B670" s="50" t="str">
        <x:f>IF(662&gt;$H$4,"",IF(INDEX('Fleet dates'!$B$9:$B$1008,$I670-8)="","",INDEX('Fleet dates'!$B$9:$B$1008,$I670-8)))</x:f>
      </x:c>
      <x:c r="C670" s="51" t="str">
        <x:f>IF(662&gt;$H$4,"",IF(INDEX('Fleet dates'!$C$9:$C$1008,$I670-8)="","",INDEX('Fleet dates'!$C$9:$C$1008,$I670-8)))</x:f>
      </x:c>
      <x:c r="D670" s="51" t="str">
        <x:f>IF(662&gt;$H$4,"",IF(INDEX('Fleet dates'!$D$9:$D$1008,$I670-8)="","",INDEX('Fleet dates'!$D$9:$D$1008,$I670-8)))</x:f>
      </x:c>
      <x:c r="E670" s="51" t="str">
        <x:f>IF(662&gt;$H$4,"",IF(INDEX('Fleet dates'!$E$9:$E$1008,$I670-8)="","",INDEX('Fleet dates'!$E$9:$E$1008,$I670-8)))</x:f>
      </x:c>
      <x:c r="F670" s="51" t="str">
        <x:f>IF(662&gt;$H$4,"",IF(INDEX('Fleet dates'!$F$9:$F$1008,$I670-8)="","",INDEX('Fleet dates'!$F$9:$F$1008,$I670-8)))</x:f>
      </x:c>
      <x:c r="G670" s="50" t="str">
        <x:f>IF(662&gt;$H$4,"",IF(INDEX('Fleet dates'!$G$9:$G$1008,$I670-8)="","",INDEX('Fleet dates'!$G$9:$G$1008,$I670-8)))</x:f>
      </x:c>
      <x:c r="H670" s="50" t="str">
        <x:f>IF(662&gt;$H$4,"",IF(INDEX('Fleet dates'!$I$9:$I$1008,$I670-8)="","",INDEX('Fleet dates'!$I$9:$I$1008,$I670-8)))</x:f>
      </x:c>
      <x:c r="I670" t="str">
        <x:f>IF(662&gt;$H$4,"",MATCH(662,'Fleet dates'!$J$9:$J$1008,0)+8)</x:f>
      </x:c>
    </x:row>
    <x:row r="671" ht="36" customHeight="1">
      <x:c r="A671" s="50" t="str">
        <x:f>IF(663&gt;$H$4,"",IF(INDEX('Fleet dates'!$A$9:$A$1008,$I671-8)="","",INDEX('Fleet dates'!$A$9:$A$1008,$I671-8)))</x:f>
      </x:c>
      <x:c r="B671" s="50" t="str">
        <x:f>IF(663&gt;$H$4,"",IF(INDEX('Fleet dates'!$B$9:$B$1008,$I671-8)="","",INDEX('Fleet dates'!$B$9:$B$1008,$I671-8)))</x:f>
      </x:c>
      <x:c r="C671" s="51" t="str">
        <x:f>IF(663&gt;$H$4,"",IF(INDEX('Fleet dates'!$C$9:$C$1008,$I671-8)="","",INDEX('Fleet dates'!$C$9:$C$1008,$I671-8)))</x:f>
      </x:c>
      <x:c r="D671" s="51" t="str">
        <x:f>IF(663&gt;$H$4,"",IF(INDEX('Fleet dates'!$D$9:$D$1008,$I671-8)="","",INDEX('Fleet dates'!$D$9:$D$1008,$I671-8)))</x:f>
      </x:c>
      <x:c r="E671" s="51" t="str">
        <x:f>IF(663&gt;$H$4,"",IF(INDEX('Fleet dates'!$E$9:$E$1008,$I671-8)="","",INDEX('Fleet dates'!$E$9:$E$1008,$I671-8)))</x:f>
      </x:c>
      <x:c r="F671" s="51" t="str">
        <x:f>IF(663&gt;$H$4,"",IF(INDEX('Fleet dates'!$F$9:$F$1008,$I671-8)="","",INDEX('Fleet dates'!$F$9:$F$1008,$I671-8)))</x:f>
      </x:c>
      <x:c r="G671" s="50" t="str">
        <x:f>IF(663&gt;$H$4,"",IF(INDEX('Fleet dates'!$G$9:$G$1008,$I671-8)="","",INDEX('Fleet dates'!$G$9:$G$1008,$I671-8)))</x:f>
      </x:c>
      <x:c r="H671" s="50" t="str">
        <x:f>IF(663&gt;$H$4,"",IF(INDEX('Fleet dates'!$I$9:$I$1008,$I671-8)="","",INDEX('Fleet dates'!$I$9:$I$1008,$I671-8)))</x:f>
      </x:c>
      <x:c r="I671" t="str">
        <x:f>IF(663&gt;$H$4,"",MATCH(663,'Fleet dates'!$J$9:$J$1008,0)+8)</x:f>
      </x:c>
    </x:row>
    <x:row r="672" ht="36" customHeight="1">
      <x:c r="A672" s="50" t="str">
        <x:f>IF(664&gt;$H$4,"",IF(INDEX('Fleet dates'!$A$9:$A$1008,$I672-8)="","",INDEX('Fleet dates'!$A$9:$A$1008,$I672-8)))</x:f>
      </x:c>
      <x:c r="B672" s="50" t="str">
        <x:f>IF(664&gt;$H$4,"",IF(INDEX('Fleet dates'!$B$9:$B$1008,$I672-8)="","",INDEX('Fleet dates'!$B$9:$B$1008,$I672-8)))</x:f>
      </x:c>
      <x:c r="C672" s="51" t="str">
        <x:f>IF(664&gt;$H$4,"",IF(INDEX('Fleet dates'!$C$9:$C$1008,$I672-8)="","",INDEX('Fleet dates'!$C$9:$C$1008,$I672-8)))</x:f>
      </x:c>
      <x:c r="D672" s="51" t="str">
        <x:f>IF(664&gt;$H$4,"",IF(INDEX('Fleet dates'!$D$9:$D$1008,$I672-8)="","",INDEX('Fleet dates'!$D$9:$D$1008,$I672-8)))</x:f>
      </x:c>
      <x:c r="E672" s="51" t="str">
        <x:f>IF(664&gt;$H$4,"",IF(INDEX('Fleet dates'!$E$9:$E$1008,$I672-8)="","",INDEX('Fleet dates'!$E$9:$E$1008,$I672-8)))</x:f>
      </x:c>
      <x:c r="F672" s="51" t="str">
        <x:f>IF(664&gt;$H$4,"",IF(INDEX('Fleet dates'!$F$9:$F$1008,$I672-8)="","",INDEX('Fleet dates'!$F$9:$F$1008,$I672-8)))</x:f>
      </x:c>
      <x:c r="G672" s="50" t="str">
        <x:f>IF(664&gt;$H$4,"",IF(INDEX('Fleet dates'!$G$9:$G$1008,$I672-8)="","",INDEX('Fleet dates'!$G$9:$G$1008,$I672-8)))</x:f>
      </x:c>
      <x:c r="H672" s="50" t="str">
        <x:f>IF(664&gt;$H$4,"",IF(INDEX('Fleet dates'!$I$9:$I$1008,$I672-8)="","",INDEX('Fleet dates'!$I$9:$I$1008,$I672-8)))</x:f>
      </x:c>
      <x:c r="I672" t="str">
        <x:f>IF(664&gt;$H$4,"",MATCH(664,'Fleet dates'!$J$9:$J$1008,0)+8)</x:f>
      </x:c>
    </x:row>
    <x:row r="673" ht="36" customHeight="1">
      <x:c r="A673" s="50" t="str">
        <x:f>IF(665&gt;$H$4,"",IF(INDEX('Fleet dates'!$A$9:$A$1008,$I673-8)="","",INDEX('Fleet dates'!$A$9:$A$1008,$I673-8)))</x:f>
      </x:c>
      <x:c r="B673" s="50" t="str">
        <x:f>IF(665&gt;$H$4,"",IF(INDEX('Fleet dates'!$B$9:$B$1008,$I673-8)="","",INDEX('Fleet dates'!$B$9:$B$1008,$I673-8)))</x:f>
      </x:c>
      <x:c r="C673" s="51" t="str">
        <x:f>IF(665&gt;$H$4,"",IF(INDEX('Fleet dates'!$C$9:$C$1008,$I673-8)="","",INDEX('Fleet dates'!$C$9:$C$1008,$I673-8)))</x:f>
      </x:c>
      <x:c r="D673" s="51" t="str">
        <x:f>IF(665&gt;$H$4,"",IF(INDEX('Fleet dates'!$D$9:$D$1008,$I673-8)="","",INDEX('Fleet dates'!$D$9:$D$1008,$I673-8)))</x:f>
      </x:c>
      <x:c r="E673" s="51" t="str">
        <x:f>IF(665&gt;$H$4,"",IF(INDEX('Fleet dates'!$E$9:$E$1008,$I673-8)="","",INDEX('Fleet dates'!$E$9:$E$1008,$I673-8)))</x:f>
      </x:c>
      <x:c r="F673" s="51" t="str">
        <x:f>IF(665&gt;$H$4,"",IF(INDEX('Fleet dates'!$F$9:$F$1008,$I673-8)="","",INDEX('Fleet dates'!$F$9:$F$1008,$I673-8)))</x:f>
      </x:c>
      <x:c r="G673" s="50" t="str">
        <x:f>IF(665&gt;$H$4,"",IF(INDEX('Fleet dates'!$G$9:$G$1008,$I673-8)="","",INDEX('Fleet dates'!$G$9:$G$1008,$I673-8)))</x:f>
      </x:c>
      <x:c r="H673" s="50" t="str">
        <x:f>IF(665&gt;$H$4,"",IF(INDEX('Fleet dates'!$I$9:$I$1008,$I673-8)="","",INDEX('Fleet dates'!$I$9:$I$1008,$I673-8)))</x:f>
      </x:c>
      <x:c r="I673" t="str">
        <x:f>IF(665&gt;$H$4,"",MATCH(665,'Fleet dates'!$J$9:$J$1008,0)+8)</x:f>
      </x:c>
    </x:row>
    <x:row r="674" ht="36" customHeight="1">
      <x:c r="A674" s="50" t="str">
        <x:f>IF(666&gt;$H$4,"",IF(INDEX('Fleet dates'!$A$9:$A$1008,$I674-8)="","",INDEX('Fleet dates'!$A$9:$A$1008,$I674-8)))</x:f>
      </x:c>
      <x:c r="B674" s="50" t="str">
        <x:f>IF(666&gt;$H$4,"",IF(INDEX('Fleet dates'!$B$9:$B$1008,$I674-8)="","",INDEX('Fleet dates'!$B$9:$B$1008,$I674-8)))</x:f>
      </x:c>
      <x:c r="C674" s="51" t="str">
        <x:f>IF(666&gt;$H$4,"",IF(INDEX('Fleet dates'!$C$9:$C$1008,$I674-8)="","",INDEX('Fleet dates'!$C$9:$C$1008,$I674-8)))</x:f>
      </x:c>
      <x:c r="D674" s="51" t="str">
        <x:f>IF(666&gt;$H$4,"",IF(INDEX('Fleet dates'!$D$9:$D$1008,$I674-8)="","",INDEX('Fleet dates'!$D$9:$D$1008,$I674-8)))</x:f>
      </x:c>
      <x:c r="E674" s="51" t="str">
        <x:f>IF(666&gt;$H$4,"",IF(INDEX('Fleet dates'!$E$9:$E$1008,$I674-8)="","",INDEX('Fleet dates'!$E$9:$E$1008,$I674-8)))</x:f>
      </x:c>
      <x:c r="F674" s="51" t="str">
        <x:f>IF(666&gt;$H$4,"",IF(INDEX('Fleet dates'!$F$9:$F$1008,$I674-8)="","",INDEX('Fleet dates'!$F$9:$F$1008,$I674-8)))</x:f>
      </x:c>
      <x:c r="G674" s="50" t="str">
        <x:f>IF(666&gt;$H$4,"",IF(INDEX('Fleet dates'!$G$9:$G$1008,$I674-8)="","",INDEX('Fleet dates'!$G$9:$G$1008,$I674-8)))</x:f>
      </x:c>
      <x:c r="H674" s="50" t="str">
        <x:f>IF(666&gt;$H$4,"",IF(INDEX('Fleet dates'!$I$9:$I$1008,$I674-8)="","",INDEX('Fleet dates'!$I$9:$I$1008,$I674-8)))</x:f>
      </x:c>
      <x:c r="I674" t="str">
        <x:f>IF(666&gt;$H$4,"",MATCH(666,'Fleet dates'!$J$9:$J$1008,0)+8)</x:f>
      </x:c>
    </x:row>
    <x:row r="675" ht="36" customHeight="1">
      <x:c r="A675" s="50" t="str">
        <x:f>IF(667&gt;$H$4,"",IF(INDEX('Fleet dates'!$A$9:$A$1008,$I675-8)="","",INDEX('Fleet dates'!$A$9:$A$1008,$I675-8)))</x:f>
      </x:c>
      <x:c r="B675" s="50" t="str">
        <x:f>IF(667&gt;$H$4,"",IF(INDEX('Fleet dates'!$B$9:$B$1008,$I675-8)="","",INDEX('Fleet dates'!$B$9:$B$1008,$I675-8)))</x:f>
      </x:c>
      <x:c r="C675" s="51" t="str">
        <x:f>IF(667&gt;$H$4,"",IF(INDEX('Fleet dates'!$C$9:$C$1008,$I675-8)="","",INDEX('Fleet dates'!$C$9:$C$1008,$I675-8)))</x:f>
      </x:c>
      <x:c r="D675" s="51" t="str">
        <x:f>IF(667&gt;$H$4,"",IF(INDEX('Fleet dates'!$D$9:$D$1008,$I675-8)="","",INDEX('Fleet dates'!$D$9:$D$1008,$I675-8)))</x:f>
      </x:c>
      <x:c r="E675" s="51" t="str">
        <x:f>IF(667&gt;$H$4,"",IF(INDEX('Fleet dates'!$E$9:$E$1008,$I675-8)="","",INDEX('Fleet dates'!$E$9:$E$1008,$I675-8)))</x:f>
      </x:c>
      <x:c r="F675" s="51" t="str">
        <x:f>IF(667&gt;$H$4,"",IF(INDEX('Fleet dates'!$F$9:$F$1008,$I675-8)="","",INDEX('Fleet dates'!$F$9:$F$1008,$I675-8)))</x:f>
      </x:c>
      <x:c r="G675" s="50" t="str">
        <x:f>IF(667&gt;$H$4,"",IF(INDEX('Fleet dates'!$G$9:$G$1008,$I675-8)="","",INDEX('Fleet dates'!$G$9:$G$1008,$I675-8)))</x:f>
      </x:c>
      <x:c r="H675" s="50" t="str">
        <x:f>IF(667&gt;$H$4,"",IF(INDEX('Fleet dates'!$I$9:$I$1008,$I675-8)="","",INDEX('Fleet dates'!$I$9:$I$1008,$I675-8)))</x:f>
      </x:c>
      <x:c r="I675" t="str">
        <x:f>IF(667&gt;$H$4,"",MATCH(667,'Fleet dates'!$J$9:$J$1008,0)+8)</x:f>
      </x:c>
    </x:row>
    <x:row r="676" ht="36" customHeight="1">
      <x:c r="A676" s="50" t="str">
        <x:f>IF(668&gt;$H$4,"",IF(INDEX('Fleet dates'!$A$9:$A$1008,$I676-8)="","",INDEX('Fleet dates'!$A$9:$A$1008,$I676-8)))</x:f>
      </x:c>
      <x:c r="B676" s="50" t="str">
        <x:f>IF(668&gt;$H$4,"",IF(INDEX('Fleet dates'!$B$9:$B$1008,$I676-8)="","",INDEX('Fleet dates'!$B$9:$B$1008,$I676-8)))</x:f>
      </x:c>
      <x:c r="C676" s="51" t="str">
        <x:f>IF(668&gt;$H$4,"",IF(INDEX('Fleet dates'!$C$9:$C$1008,$I676-8)="","",INDEX('Fleet dates'!$C$9:$C$1008,$I676-8)))</x:f>
      </x:c>
      <x:c r="D676" s="51" t="str">
        <x:f>IF(668&gt;$H$4,"",IF(INDEX('Fleet dates'!$D$9:$D$1008,$I676-8)="","",INDEX('Fleet dates'!$D$9:$D$1008,$I676-8)))</x:f>
      </x:c>
      <x:c r="E676" s="51" t="str">
        <x:f>IF(668&gt;$H$4,"",IF(INDEX('Fleet dates'!$E$9:$E$1008,$I676-8)="","",INDEX('Fleet dates'!$E$9:$E$1008,$I676-8)))</x:f>
      </x:c>
      <x:c r="F676" s="51" t="str">
        <x:f>IF(668&gt;$H$4,"",IF(INDEX('Fleet dates'!$F$9:$F$1008,$I676-8)="","",INDEX('Fleet dates'!$F$9:$F$1008,$I676-8)))</x:f>
      </x:c>
      <x:c r="G676" s="50" t="str">
        <x:f>IF(668&gt;$H$4,"",IF(INDEX('Fleet dates'!$G$9:$G$1008,$I676-8)="","",INDEX('Fleet dates'!$G$9:$G$1008,$I676-8)))</x:f>
      </x:c>
      <x:c r="H676" s="50" t="str">
        <x:f>IF(668&gt;$H$4,"",IF(INDEX('Fleet dates'!$I$9:$I$1008,$I676-8)="","",INDEX('Fleet dates'!$I$9:$I$1008,$I676-8)))</x:f>
      </x:c>
      <x:c r="I676" t="str">
        <x:f>IF(668&gt;$H$4,"",MATCH(668,'Fleet dates'!$J$9:$J$1008,0)+8)</x:f>
      </x:c>
    </x:row>
    <x:row r="677" ht="36" customHeight="1">
      <x:c r="A677" s="50" t="str">
        <x:f>IF(669&gt;$H$4,"",IF(INDEX('Fleet dates'!$A$9:$A$1008,$I677-8)="","",INDEX('Fleet dates'!$A$9:$A$1008,$I677-8)))</x:f>
      </x:c>
      <x:c r="B677" s="50" t="str">
        <x:f>IF(669&gt;$H$4,"",IF(INDEX('Fleet dates'!$B$9:$B$1008,$I677-8)="","",INDEX('Fleet dates'!$B$9:$B$1008,$I677-8)))</x:f>
      </x:c>
      <x:c r="C677" s="51" t="str">
        <x:f>IF(669&gt;$H$4,"",IF(INDEX('Fleet dates'!$C$9:$C$1008,$I677-8)="","",INDEX('Fleet dates'!$C$9:$C$1008,$I677-8)))</x:f>
      </x:c>
      <x:c r="D677" s="51" t="str">
        <x:f>IF(669&gt;$H$4,"",IF(INDEX('Fleet dates'!$D$9:$D$1008,$I677-8)="","",INDEX('Fleet dates'!$D$9:$D$1008,$I677-8)))</x:f>
      </x:c>
      <x:c r="E677" s="51" t="str">
        <x:f>IF(669&gt;$H$4,"",IF(INDEX('Fleet dates'!$E$9:$E$1008,$I677-8)="","",INDEX('Fleet dates'!$E$9:$E$1008,$I677-8)))</x:f>
      </x:c>
      <x:c r="F677" s="51" t="str">
        <x:f>IF(669&gt;$H$4,"",IF(INDEX('Fleet dates'!$F$9:$F$1008,$I677-8)="","",INDEX('Fleet dates'!$F$9:$F$1008,$I677-8)))</x:f>
      </x:c>
      <x:c r="G677" s="50" t="str">
        <x:f>IF(669&gt;$H$4,"",IF(INDEX('Fleet dates'!$G$9:$G$1008,$I677-8)="","",INDEX('Fleet dates'!$G$9:$G$1008,$I677-8)))</x:f>
      </x:c>
      <x:c r="H677" s="50" t="str">
        <x:f>IF(669&gt;$H$4,"",IF(INDEX('Fleet dates'!$I$9:$I$1008,$I677-8)="","",INDEX('Fleet dates'!$I$9:$I$1008,$I677-8)))</x:f>
      </x:c>
      <x:c r="I677" t="str">
        <x:f>IF(669&gt;$H$4,"",MATCH(669,'Fleet dates'!$J$9:$J$1008,0)+8)</x:f>
      </x:c>
    </x:row>
    <x:row r="678" ht="36" customHeight="1">
      <x:c r="A678" s="50" t="str">
        <x:f>IF(670&gt;$H$4,"",IF(INDEX('Fleet dates'!$A$9:$A$1008,$I678-8)="","",INDEX('Fleet dates'!$A$9:$A$1008,$I678-8)))</x:f>
      </x:c>
      <x:c r="B678" s="50" t="str">
        <x:f>IF(670&gt;$H$4,"",IF(INDEX('Fleet dates'!$B$9:$B$1008,$I678-8)="","",INDEX('Fleet dates'!$B$9:$B$1008,$I678-8)))</x:f>
      </x:c>
      <x:c r="C678" s="51" t="str">
        <x:f>IF(670&gt;$H$4,"",IF(INDEX('Fleet dates'!$C$9:$C$1008,$I678-8)="","",INDEX('Fleet dates'!$C$9:$C$1008,$I678-8)))</x:f>
      </x:c>
      <x:c r="D678" s="51" t="str">
        <x:f>IF(670&gt;$H$4,"",IF(INDEX('Fleet dates'!$D$9:$D$1008,$I678-8)="","",INDEX('Fleet dates'!$D$9:$D$1008,$I678-8)))</x:f>
      </x:c>
      <x:c r="E678" s="51" t="str">
        <x:f>IF(670&gt;$H$4,"",IF(INDEX('Fleet dates'!$E$9:$E$1008,$I678-8)="","",INDEX('Fleet dates'!$E$9:$E$1008,$I678-8)))</x:f>
      </x:c>
      <x:c r="F678" s="51" t="str">
        <x:f>IF(670&gt;$H$4,"",IF(INDEX('Fleet dates'!$F$9:$F$1008,$I678-8)="","",INDEX('Fleet dates'!$F$9:$F$1008,$I678-8)))</x:f>
      </x:c>
      <x:c r="G678" s="50" t="str">
        <x:f>IF(670&gt;$H$4,"",IF(INDEX('Fleet dates'!$G$9:$G$1008,$I678-8)="","",INDEX('Fleet dates'!$G$9:$G$1008,$I678-8)))</x:f>
      </x:c>
      <x:c r="H678" s="50" t="str">
        <x:f>IF(670&gt;$H$4,"",IF(INDEX('Fleet dates'!$I$9:$I$1008,$I678-8)="","",INDEX('Fleet dates'!$I$9:$I$1008,$I678-8)))</x:f>
      </x:c>
      <x:c r="I678" t="str">
        <x:f>IF(670&gt;$H$4,"",MATCH(670,'Fleet dates'!$J$9:$J$1008,0)+8)</x:f>
      </x:c>
    </x:row>
    <x:row r="679" ht="36" customHeight="1">
      <x:c r="A679" s="50" t="str">
        <x:f>IF(671&gt;$H$4,"",IF(INDEX('Fleet dates'!$A$9:$A$1008,$I679-8)="","",INDEX('Fleet dates'!$A$9:$A$1008,$I679-8)))</x:f>
      </x:c>
      <x:c r="B679" s="50" t="str">
        <x:f>IF(671&gt;$H$4,"",IF(INDEX('Fleet dates'!$B$9:$B$1008,$I679-8)="","",INDEX('Fleet dates'!$B$9:$B$1008,$I679-8)))</x:f>
      </x:c>
      <x:c r="C679" s="51" t="str">
        <x:f>IF(671&gt;$H$4,"",IF(INDEX('Fleet dates'!$C$9:$C$1008,$I679-8)="","",INDEX('Fleet dates'!$C$9:$C$1008,$I679-8)))</x:f>
      </x:c>
      <x:c r="D679" s="51" t="str">
        <x:f>IF(671&gt;$H$4,"",IF(INDEX('Fleet dates'!$D$9:$D$1008,$I679-8)="","",INDEX('Fleet dates'!$D$9:$D$1008,$I679-8)))</x:f>
      </x:c>
      <x:c r="E679" s="51" t="str">
        <x:f>IF(671&gt;$H$4,"",IF(INDEX('Fleet dates'!$E$9:$E$1008,$I679-8)="","",INDEX('Fleet dates'!$E$9:$E$1008,$I679-8)))</x:f>
      </x:c>
      <x:c r="F679" s="51" t="str">
        <x:f>IF(671&gt;$H$4,"",IF(INDEX('Fleet dates'!$F$9:$F$1008,$I679-8)="","",INDEX('Fleet dates'!$F$9:$F$1008,$I679-8)))</x:f>
      </x:c>
      <x:c r="G679" s="50" t="str">
        <x:f>IF(671&gt;$H$4,"",IF(INDEX('Fleet dates'!$G$9:$G$1008,$I679-8)="","",INDEX('Fleet dates'!$G$9:$G$1008,$I679-8)))</x:f>
      </x:c>
      <x:c r="H679" s="50" t="str">
        <x:f>IF(671&gt;$H$4,"",IF(INDEX('Fleet dates'!$I$9:$I$1008,$I679-8)="","",INDEX('Fleet dates'!$I$9:$I$1008,$I679-8)))</x:f>
      </x:c>
      <x:c r="I679" t="str">
        <x:f>IF(671&gt;$H$4,"",MATCH(671,'Fleet dates'!$J$9:$J$1008,0)+8)</x:f>
      </x:c>
    </x:row>
    <x:row r="680" ht="36" customHeight="1">
      <x:c r="A680" s="50" t="str">
        <x:f>IF(672&gt;$H$4,"",IF(INDEX('Fleet dates'!$A$9:$A$1008,$I680-8)="","",INDEX('Fleet dates'!$A$9:$A$1008,$I680-8)))</x:f>
      </x:c>
      <x:c r="B680" s="50" t="str">
        <x:f>IF(672&gt;$H$4,"",IF(INDEX('Fleet dates'!$B$9:$B$1008,$I680-8)="","",INDEX('Fleet dates'!$B$9:$B$1008,$I680-8)))</x:f>
      </x:c>
      <x:c r="C680" s="51" t="str">
        <x:f>IF(672&gt;$H$4,"",IF(INDEX('Fleet dates'!$C$9:$C$1008,$I680-8)="","",INDEX('Fleet dates'!$C$9:$C$1008,$I680-8)))</x:f>
      </x:c>
      <x:c r="D680" s="51" t="str">
        <x:f>IF(672&gt;$H$4,"",IF(INDEX('Fleet dates'!$D$9:$D$1008,$I680-8)="","",INDEX('Fleet dates'!$D$9:$D$1008,$I680-8)))</x:f>
      </x:c>
      <x:c r="E680" s="51" t="str">
        <x:f>IF(672&gt;$H$4,"",IF(INDEX('Fleet dates'!$E$9:$E$1008,$I680-8)="","",INDEX('Fleet dates'!$E$9:$E$1008,$I680-8)))</x:f>
      </x:c>
      <x:c r="F680" s="51" t="str">
        <x:f>IF(672&gt;$H$4,"",IF(INDEX('Fleet dates'!$F$9:$F$1008,$I680-8)="","",INDEX('Fleet dates'!$F$9:$F$1008,$I680-8)))</x:f>
      </x:c>
      <x:c r="G680" s="50" t="str">
        <x:f>IF(672&gt;$H$4,"",IF(INDEX('Fleet dates'!$G$9:$G$1008,$I680-8)="","",INDEX('Fleet dates'!$G$9:$G$1008,$I680-8)))</x:f>
      </x:c>
      <x:c r="H680" s="50" t="str">
        <x:f>IF(672&gt;$H$4,"",IF(INDEX('Fleet dates'!$I$9:$I$1008,$I680-8)="","",INDEX('Fleet dates'!$I$9:$I$1008,$I680-8)))</x:f>
      </x:c>
      <x:c r="I680" t="str">
        <x:f>IF(672&gt;$H$4,"",MATCH(672,'Fleet dates'!$J$9:$J$1008,0)+8)</x:f>
      </x:c>
    </x:row>
    <x:row r="681" ht="36" customHeight="1">
      <x:c r="A681" s="50" t="str">
        <x:f>IF(673&gt;$H$4,"",IF(INDEX('Fleet dates'!$A$9:$A$1008,$I681-8)="","",INDEX('Fleet dates'!$A$9:$A$1008,$I681-8)))</x:f>
      </x:c>
      <x:c r="B681" s="50" t="str">
        <x:f>IF(673&gt;$H$4,"",IF(INDEX('Fleet dates'!$B$9:$B$1008,$I681-8)="","",INDEX('Fleet dates'!$B$9:$B$1008,$I681-8)))</x:f>
      </x:c>
      <x:c r="C681" s="51" t="str">
        <x:f>IF(673&gt;$H$4,"",IF(INDEX('Fleet dates'!$C$9:$C$1008,$I681-8)="","",INDEX('Fleet dates'!$C$9:$C$1008,$I681-8)))</x:f>
      </x:c>
      <x:c r="D681" s="51" t="str">
        <x:f>IF(673&gt;$H$4,"",IF(INDEX('Fleet dates'!$D$9:$D$1008,$I681-8)="","",INDEX('Fleet dates'!$D$9:$D$1008,$I681-8)))</x:f>
      </x:c>
      <x:c r="E681" s="51" t="str">
        <x:f>IF(673&gt;$H$4,"",IF(INDEX('Fleet dates'!$E$9:$E$1008,$I681-8)="","",INDEX('Fleet dates'!$E$9:$E$1008,$I681-8)))</x:f>
      </x:c>
      <x:c r="F681" s="51" t="str">
        <x:f>IF(673&gt;$H$4,"",IF(INDEX('Fleet dates'!$F$9:$F$1008,$I681-8)="","",INDEX('Fleet dates'!$F$9:$F$1008,$I681-8)))</x:f>
      </x:c>
      <x:c r="G681" s="50" t="str">
        <x:f>IF(673&gt;$H$4,"",IF(INDEX('Fleet dates'!$G$9:$G$1008,$I681-8)="","",INDEX('Fleet dates'!$G$9:$G$1008,$I681-8)))</x:f>
      </x:c>
      <x:c r="H681" s="50" t="str">
        <x:f>IF(673&gt;$H$4,"",IF(INDEX('Fleet dates'!$I$9:$I$1008,$I681-8)="","",INDEX('Fleet dates'!$I$9:$I$1008,$I681-8)))</x:f>
      </x:c>
      <x:c r="I681" t="str">
        <x:f>IF(673&gt;$H$4,"",MATCH(673,'Fleet dates'!$J$9:$J$1008,0)+8)</x:f>
      </x:c>
    </x:row>
    <x:row r="682" ht="36" customHeight="1">
      <x:c r="A682" s="50" t="str">
        <x:f>IF(674&gt;$H$4,"",IF(INDEX('Fleet dates'!$A$9:$A$1008,$I682-8)="","",INDEX('Fleet dates'!$A$9:$A$1008,$I682-8)))</x:f>
      </x:c>
      <x:c r="B682" s="50" t="str">
        <x:f>IF(674&gt;$H$4,"",IF(INDEX('Fleet dates'!$B$9:$B$1008,$I682-8)="","",INDEX('Fleet dates'!$B$9:$B$1008,$I682-8)))</x:f>
      </x:c>
      <x:c r="C682" s="51" t="str">
        <x:f>IF(674&gt;$H$4,"",IF(INDEX('Fleet dates'!$C$9:$C$1008,$I682-8)="","",INDEX('Fleet dates'!$C$9:$C$1008,$I682-8)))</x:f>
      </x:c>
      <x:c r="D682" s="51" t="str">
        <x:f>IF(674&gt;$H$4,"",IF(INDEX('Fleet dates'!$D$9:$D$1008,$I682-8)="","",INDEX('Fleet dates'!$D$9:$D$1008,$I682-8)))</x:f>
      </x:c>
      <x:c r="E682" s="51" t="str">
        <x:f>IF(674&gt;$H$4,"",IF(INDEX('Fleet dates'!$E$9:$E$1008,$I682-8)="","",INDEX('Fleet dates'!$E$9:$E$1008,$I682-8)))</x:f>
      </x:c>
      <x:c r="F682" s="51" t="str">
        <x:f>IF(674&gt;$H$4,"",IF(INDEX('Fleet dates'!$F$9:$F$1008,$I682-8)="","",INDEX('Fleet dates'!$F$9:$F$1008,$I682-8)))</x:f>
      </x:c>
      <x:c r="G682" s="50" t="str">
        <x:f>IF(674&gt;$H$4,"",IF(INDEX('Fleet dates'!$G$9:$G$1008,$I682-8)="","",INDEX('Fleet dates'!$G$9:$G$1008,$I682-8)))</x:f>
      </x:c>
      <x:c r="H682" s="50" t="str">
        <x:f>IF(674&gt;$H$4,"",IF(INDEX('Fleet dates'!$I$9:$I$1008,$I682-8)="","",INDEX('Fleet dates'!$I$9:$I$1008,$I682-8)))</x:f>
      </x:c>
      <x:c r="I682" t="str">
        <x:f>IF(674&gt;$H$4,"",MATCH(674,'Fleet dates'!$J$9:$J$1008,0)+8)</x:f>
      </x:c>
    </x:row>
    <x:row r="683" ht="36" customHeight="1">
      <x:c r="A683" s="50" t="str">
        <x:f>IF(675&gt;$H$4,"",IF(INDEX('Fleet dates'!$A$9:$A$1008,$I683-8)="","",INDEX('Fleet dates'!$A$9:$A$1008,$I683-8)))</x:f>
      </x:c>
      <x:c r="B683" s="50" t="str">
        <x:f>IF(675&gt;$H$4,"",IF(INDEX('Fleet dates'!$B$9:$B$1008,$I683-8)="","",INDEX('Fleet dates'!$B$9:$B$1008,$I683-8)))</x:f>
      </x:c>
      <x:c r="C683" s="51" t="str">
        <x:f>IF(675&gt;$H$4,"",IF(INDEX('Fleet dates'!$C$9:$C$1008,$I683-8)="","",INDEX('Fleet dates'!$C$9:$C$1008,$I683-8)))</x:f>
      </x:c>
      <x:c r="D683" s="51" t="str">
        <x:f>IF(675&gt;$H$4,"",IF(INDEX('Fleet dates'!$D$9:$D$1008,$I683-8)="","",INDEX('Fleet dates'!$D$9:$D$1008,$I683-8)))</x:f>
      </x:c>
      <x:c r="E683" s="51" t="str">
        <x:f>IF(675&gt;$H$4,"",IF(INDEX('Fleet dates'!$E$9:$E$1008,$I683-8)="","",INDEX('Fleet dates'!$E$9:$E$1008,$I683-8)))</x:f>
      </x:c>
      <x:c r="F683" s="51" t="str">
        <x:f>IF(675&gt;$H$4,"",IF(INDEX('Fleet dates'!$F$9:$F$1008,$I683-8)="","",INDEX('Fleet dates'!$F$9:$F$1008,$I683-8)))</x:f>
      </x:c>
      <x:c r="G683" s="50" t="str">
        <x:f>IF(675&gt;$H$4,"",IF(INDEX('Fleet dates'!$G$9:$G$1008,$I683-8)="","",INDEX('Fleet dates'!$G$9:$G$1008,$I683-8)))</x:f>
      </x:c>
      <x:c r="H683" s="50" t="str">
        <x:f>IF(675&gt;$H$4,"",IF(INDEX('Fleet dates'!$I$9:$I$1008,$I683-8)="","",INDEX('Fleet dates'!$I$9:$I$1008,$I683-8)))</x:f>
      </x:c>
      <x:c r="I683" t="str">
        <x:f>IF(675&gt;$H$4,"",MATCH(675,'Fleet dates'!$J$9:$J$1008,0)+8)</x:f>
      </x:c>
    </x:row>
    <x:row r="684" ht="36" customHeight="1">
      <x:c r="A684" s="50" t="str">
        <x:f>IF(676&gt;$H$4,"",IF(INDEX('Fleet dates'!$A$9:$A$1008,$I684-8)="","",INDEX('Fleet dates'!$A$9:$A$1008,$I684-8)))</x:f>
      </x:c>
      <x:c r="B684" s="50" t="str">
        <x:f>IF(676&gt;$H$4,"",IF(INDEX('Fleet dates'!$B$9:$B$1008,$I684-8)="","",INDEX('Fleet dates'!$B$9:$B$1008,$I684-8)))</x:f>
      </x:c>
      <x:c r="C684" s="51" t="str">
        <x:f>IF(676&gt;$H$4,"",IF(INDEX('Fleet dates'!$C$9:$C$1008,$I684-8)="","",INDEX('Fleet dates'!$C$9:$C$1008,$I684-8)))</x:f>
      </x:c>
      <x:c r="D684" s="51" t="str">
        <x:f>IF(676&gt;$H$4,"",IF(INDEX('Fleet dates'!$D$9:$D$1008,$I684-8)="","",INDEX('Fleet dates'!$D$9:$D$1008,$I684-8)))</x:f>
      </x:c>
      <x:c r="E684" s="51" t="str">
        <x:f>IF(676&gt;$H$4,"",IF(INDEX('Fleet dates'!$E$9:$E$1008,$I684-8)="","",INDEX('Fleet dates'!$E$9:$E$1008,$I684-8)))</x:f>
      </x:c>
      <x:c r="F684" s="51" t="str">
        <x:f>IF(676&gt;$H$4,"",IF(INDEX('Fleet dates'!$F$9:$F$1008,$I684-8)="","",INDEX('Fleet dates'!$F$9:$F$1008,$I684-8)))</x:f>
      </x:c>
      <x:c r="G684" s="50" t="str">
        <x:f>IF(676&gt;$H$4,"",IF(INDEX('Fleet dates'!$G$9:$G$1008,$I684-8)="","",INDEX('Fleet dates'!$G$9:$G$1008,$I684-8)))</x:f>
      </x:c>
      <x:c r="H684" s="50" t="str">
        <x:f>IF(676&gt;$H$4,"",IF(INDEX('Fleet dates'!$I$9:$I$1008,$I684-8)="","",INDEX('Fleet dates'!$I$9:$I$1008,$I684-8)))</x:f>
      </x:c>
      <x:c r="I684" t="str">
        <x:f>IF(676&gt;$H$4,"",MATCH(676,'Fleet dates'!$J$9:$J$1008,0)+8)</x:f>
      </x:c>
    </x:row>
    <x:row r="685" ht="36" customHeight="1">
      <x:c r="A685" s="50" t="str">
        <x:f>IF(677&gt;$H$4,"",IF(INDEX('Fleet dates'!$A$9:$A$1008,$I685-8)="","",INDEX('Fleet dates'!$A$9:$A$1008,$I685-8)))</x:f>
      </x:c>
      <x:c r="B685" s="50" t="str">
        <x:f>IF(677&gt;$H$4,"",IF(INDEX('Fleet dates'!$B$9:$B$1008,$I685-8)="","",INDEX('Fleet dates'!$B$9:$B$1008,$I685-8)))</x:f>
      </x:c>
      <x:c r="C685" s="51" t="str">
        <x:f>IF(677&gt;$H$4,"",IF(INDEX('Fleet dates'!$C$9:$C$1008,$I685-8)="","",INDEX('Fleet dates'!$C$9:$C$1008,$I685-8)))</x:f>
      </x:c>
      <x:c r="D685" s="51" t="str">
        <x:f>IF(677&gt;$H$4,"",IF(INDEX('Fleet dates'!$D$9:$D$1008,$I685-8)="","",INDEX('Fleet dates'!$D$9:$D$1008,$I685-8)))</x:f>
      </x:c>
      <x:c r="E685" s="51" t="str">
        <x:f>IF(677&gt;$H$4,"",IF(INDEX('Fleet dates'!$E$9:$E$1008,$I685-8)="","",INDEX('Fleet dates'!$E$9:$E$1008,$I685-8)))</x:f>
      </x:c>
      <x:c r="F685" s="51" t="str">
        <x:f>IF(677&gt;$H$4,"",IF(INDEX('Fleet dates'!$F$9:$F$1008,$I685-8)="","",INDEX('Fleet dates'!$F$9:$F$1008,$I685-8)))</x:f>
      </x:c>
      <x:c r="G685" s="50" t="str">
        <x:f>IF(677&gt;$H$4,"",IF(INDEX('Fleet dates'!$G$9:$G$1008,$I685-8)="","",INDEX('Fleet dates'!$G$9:$G$1008,$I685-8)))</x:f>
      </x:c>
      <x:c r="H685" s="50" t="str">
        <x:f>IF(677&gt;$H$4,"",IF(INDEX('Fleet dates'!$I$9:$I$1008,$I685-8)="","",INDEX('Fleet dates'!$I$9:$I$1008,$I685-8)))</x:f>
      </x:c>
      <x:c r="I685" t="str">
        <x:f>IF(677&gt;$H$4,"",MATCH(677,'Fleet dates'!$J$9:$J$1008,0)+8)</x:f>
      </x:c>
    </x:row>
    <x:row r="686" ht="36" customHeight="1">
      <x:c r="A686" s="50" t="str">
        <x:f>IF(678&gt;$H$4,"",IF(INDEX('Fleet dates'!$A$9:$A$1008,$I686-8)="","",INDEX('Fleet dates'!$A$9:$A$1008,$I686-8)))</x:f>
      </x:c>
      <x:c r="B686" s="50" t="str">
        <x:f>IF(678&gt;$H$4,"",IF(INDEX('Fleet dates'!$B$9:$B$1008,$I686-8)="","",INDEX('Fleet dates'!$B$9:$B$1008,$I686-8)))</x:f>
      </x:c>
      <x:c r="C686" s="51" t="str">
        <x:f>IF(678&gt;$H$4,"",IF(INDEX('Fleet dates'!$C$9:$C$1008,$I686-8)="","",INDEX('Fleet dates'!$C$9:$C$1008,$I686-8)))</x:f>
      </x:c>
      <x:c r="D686" s="51" t="str">
        <x:f>IF(678&gt;$H$4,"",IF(INDEX('Fleet dates'!$D$9:$D$1008,$I686-8)="","",INDEX('Fleet dates'!$D$9:$D$1008,$I686-8)))</x:f>
      </x:c>
      <x:c r="E686" s="51" t="str">
        <x:f>IF(678&gt;$H$4,"",IF(INDEX('Fleet dates'!$E$9:$E$1008,$I686-8)="","",INDEX('Fleet dates'!$E$9:$E$1008,$I686-8)))</x:f>
      </x:c>
      <x:c r="F686" s="51" t="str">
        <x:f>IF(678&gt;$H$4,"",IF(INDEX('Fleet dates'!$F$9:$F$1008,$I686-8)="","",INDEX('Fleet dates'!$F$9:$F$1008,$I686-8)))</x:f>
      </x:c>
      <x:c r="G686" s="50" t="str">
        <x:f>IF(678&gt;$H$4,"",IF(INDEX('Fleet dates'!$G$9:$G$1008,$I686-8)="","",INDEX('Fleet dates'!$G$9:$G$1008,$I686-8)))</x:f>
      </x:c>
      <x:c r="H686" s="50" t="str">
        <x:f>IF(678&gt;$H$4,"",IF(INDEX('Fleet dates'!$I$9:$I$1008,$I686-8)="","",INDEX('Fleet dates'!$I$9:$I$1008,$I686-8)))</x:f>
      </x:c>
      <x:c r="I686" t="str">
        <x:f>IF(678&gt;$H$4,"",MATCH(678,'Fleet dates'!$J$9:$J$1008,0)+8)</x:f>
      </x:c>
    </x:row>
    <x:row r="687" ht="36" customHeight="1">
      <x:c r="A687" s="50" t="str">
        <x:f>IF(679&gt;$H$4,"",IF(INDEX('Fleet dates'!$A$9:$A$1008,$I687-8)="","",INDEX('Fleet dates'!$A$9:$A$1008,$I687-8)))</x:f>
      </x:c>
      <x:c r="B687" s="50" t="str">
        <x:f>IF(679&gt;$H$4,"",IF(INDEX('Fleet dates'!$B$9:$B$1008,$I687-8)="","",INDEX('Fleet dates'!$B$9:$B$1008,$I687-8)))</x:f>
      </x:c>
      <x:c r="C687" s="51" t="str">
        <x:f>IF(679&gt;$H$4,"",IF(INDEX('Fleet dates'!$C$9:$C$1008,$I687-8)="","",INDEX('Fleet dates'!$C$9:$C$1008,$I687-8)))</x:f>
      </x:c>
      <x:c r="D687" s="51" t="str">
        <x:f>IF(679&gt;$H$4,"",IF(INDEX('Fleet dates'!$D$9:$D$1008,$I687-8)="","",INDEX('Fleet dates'!$D$9:$D$1008,$I687-8)))</x:f>
      </x:c>
      <x:c r="E687" s="51" t="str">
        <x:f>IF(679&gt;$H$4,"",IF(INDEX('Fleet dates'!$E$9:$E$1008,$I687-8)="","",INDEX('Fleet dates'!$E$9:$E$1008,$I687-8)))</x:f>
      </x:c>
      <x:c r="F687" s="51" t="str">
        <x:f>IF(679&gt;$H$4,"",IF(INDEX('Fleet dates'!$F$9:$F$1008,$I687-8)="","",INDEX('Fleet dates'!$F$9:$F$1008,$I687-8)))</x:f>
      </x:c>
      <x:c r="G687" s="50" t="str">
        <x:f>IF(679&gt;$H$4,"",IF(INDEX('Fleet dates'!$G$9:$G$1008,$I687-8)="","",INDEX('Fleet dates'!$G$9:$G$1008,$I687-8)))</x:f>
      </x:c>
      <x:c r="H687" s="50" t="str">
        <x:f>IF(679&gt;$H$4,"",IF(INDEX('Fleet dates'!$I$9:$I$1008,$I687-8)="","",INDEX('Fleet dates'!$I$9:$I$1008,$I687-8)))</x:f>
      </x:c>
      <x:c r="I687" t="str">
        <x:f>IF(679&gt;$H$4,"",MATCH(679,'Fleet dates'!$J$9:$J$1008,0)+8)</x:f>
      </x:c>
    </x:row>
    <x:row r="688" ht="36" customHeight="1">
      <x:c r="A688" s="50" t="str">
        <x:f>IF(680&gt;$H$4,"",IF(INDEX('Fleet dates'!$A$9:$A$1008,$I688-8)="","",INDEX('Fleet dates'!$A$9:$A$1008,$I688-8)))</x:f>
      </x:c>
      <x:c r="B688" s="50" t="str">
        <x:f>IF(680&gt;$H$4,"",IF(INDEX('Fleet dates'!$B$9:$B$1008,$I688-8)="","",INDEX('Fleet dates'!$B$9:$B$1008,$I688-8)))</x:f>
      </x:c>
      <x:c r="C688" s="51" t="str">
        <x:f>IF(680&gt;$H$4,"",IF(INDEX('Fleet dates'!$C$9:$C$1008,$I688-8)="","",INDEX('Fleet dates'!$C$9:$C$1008,$I688-8)))</x:f>
      </x:c>
      <x:c r="D688" s="51" t="str">
        <x:f>IF(680&gt;$H$4,"",IF(INDEX('Fleet dates'!$D$9:$D$1008,$I688-8)="","",INDEX('Fleet dates'!$D$9:$D$1008,$I688-8)))</x:f>
      </x:c>
      <x:c r="E688" s="51" t="str">
        <x:f>IF(680&gt;$H$4,"",IF(INDEX('Fleet dates'!$E$9:$E$1008,$I688-8)="","",INDEX('Fleet dates'!$E$9:$E$1008,$I688-8)))</x:f>
      </x:c>
      <x:c r="F688" s="51" t="str">
        <x:f>IF(680&gt;$H$4,"",IF(INDEX('Fleet dates'!$F$9:$F$1008,$I688-8)="","",INDEX('Fleet dates'!$F$9:$F$1008,$I688-8)))</x:f>
      </x:c>
      <x:c r="G688" s="50" t="str">
        <x:f>IF(680&gt;$H$4,"",IF(INDEX('Fleet dates'!$G$9:$G$1008,$I688-8)="","",INDEX('Fleet dates'!$G$9:$G$1008,$I688-8)))</x:f>
      </x:c>
      <x:c r="H688" s="50" t="str">
        <x:f>IF(680&gt;$H$4,"",IF(INDEX('Fleet dates'!$I$9:$I$1008,$I688-8)="","",INDEX('Fleet dates'!$I$9:$I$1008,$I688-8)))</x:f>
      </x:c>
      <x:c r="I688" t="str">
        <x:f>IF(680&gt;$H$4,"",MATCH(680,'Fleet dates'!$J$9:$J$1008,0)+8)</x:f>
      </x:c>
    </x:row>
    <x:row r="689" ht="36" customHeight="1">
      <x:c r="A689" s="50" t="str">
        <x:f>IF(681&gt;$H$4,"",IF(INDEX('Fleet dates'!$A$9:$A$1008,$I689-8)="","",INDEX('Fleet dates'!$A$9:$A$1008,$I689-8)))</x:f>
      </x:c>
      <x:c r="B689" s="50" t="str">
        <x:f>IF(681&gt;$H$4,"",IF(INDEX('Fleet dates'!$B$9:$B$1008,$I689-8)="","",INDEX('Fleet dates'!$B$9:$B$1008,$I689-8)))</x:f>
      </x:c>
      <x:c r="C689" s="51" t="str">
        <x:f>IF(681&gt;$H$4,"",IF(INDEX('Fleet dates'!$C$9:$C$1008,$I689-8)="","",INDEX('Fleet dates'!$C$9:$C$1008,$I689-8)))</x:f>
      </x:c>
      <x:c r="D689" s="51" t="str">
        <x:f>IF(681&gt;$H$4,"",IF(INDEX('Fleet dates'!$D$9:$D$1008,$I689-8)="","",INDEX('Fleet dates'!$D$9:$D$1008,$I689-8)))</x:f>
      </x:c>
      <x:c r="E689" s="51" t="str">
        <x:f>IF(681&gt;$H$4,"",IF(INDEX('Fleet dates'!$E$9:$E$1008,$I689-8)="","",INDEX('Fleet dates'!$E$9:$E$1008,$I689-8)))</x:f>
      </x:c>
      <x:c r="F689" s="51" t="str">
        <x:f>IF(681&gt;$H$4,"",IF(INDEX('Fleet dates'!$F$9:$F$1008,$I689-8)="","",INDEX('Fleet dates'!$F$9:$F$1008,$I689-8)))</x:f>
      </x:c>
      <x:c r="G689" s="50" t="str">
        <x:f>IF(681&gt;$H$4,"",IF(INDEX('Fleet dates'!$G$9:$G$1008,$I689-8)="","",INDEX('Fleet dates'!$G$9:$G$1008,$I689-8)))</x:f>
      </x:c>
      <x:c r="H689" s="50" t="str">
        <x:f>IF(681&gt;$H$4,"",IF(INDEX('Fleet dates'!$I$9:$I$1008,$I689-8)="","",INDEX('Fleet dates'!$I$9:$I$1008,$I689-8)))</x:f>
      </x:c>
      <x:c r="I689" t="str">
        <x:f>IF(681&gt;$H$4,"",MATCH(681,'Fleet dates'!$J$9:$J$1008,0)+8)</x:f>
      </x:c>
    </x:row>
    <x:row r="690" ht="36" customHeight="1">
      <x:c r="A690" s="50" t="str">
        <x:f>IF(682&gt;$H$4,"",IF(INDEX('Fleet dates'!$A$9:$A$1008,$I690-8)="","",INDEX('Fleet dates'!$A$9:$A$1008,$I690-8)))</x:f>
      </x:c>
      <x:c r="B690" s="50" t="str">
        <x:f>IF(682&gt;$H$4,"",IF(INDEX('Fleet dates'!$B$9:$B$1008,$I690-8)="","",INDEX('Fleet dates'!$B$9:$B$1008,$I690-8)))</x:f>
      </x:c>
      <x:c r="C690" s="51" t="str">
        <x:f>IF(682&gt;$H$4,"",IF(INDEX('Fleet dates'!$C$9:$C$1008,$I690-8)="","",INDEX('Fleet dates'!$C$9:$C$1008,$I690-8)))</x:f>
      </x:c>
      <x:c r="D690" s="51" t="str">
        <x:f>IF(682&gt;$H$4,"",IF(INDEX('Fleet dates'!$D$9:$D$1008,$I690-8)="","",INDEX('Fleet dates'!$D$9:$D$1008,$I690-8)))</x:f>
      </x:c>
      <x:c r="E690" s="51" t="str">
        <x:f>IF(682&gt;$H$4,"",IF(INDEX('Fleet dates'!$E$9:$E$1008,$I690-8)="","",INDEX('Fleet dates'!$E$9:$E$1008,$I690-8)))</x:f>
      </x:c>
      <x:c r="F690" s="51" t="str">
        <x:f>IF(682&gt;$H$4,"",IF(INDEX('Fleet dates'!$F$9:$F$1008,$I690-8)="","",INDEX('Fleet dates'!$F$9:$F$1008,$I690-8)))</x:f>
      </x:c>
      <x:c r="G690" s="50" t="str">
        <x:f>IF(682&gt;$H$4,"",IF(INDEX('Fleet dates'!$G$9:$G$1008,$I690-8)="","",INDEX('Fleet dates'!$G$9:$G$1008,$I690-8)))</x:f>
      </x:c>
      <x:c r="H690" s="50" t="str">
        <x:f>IF(682&gt;$H$4,"",IF(INDEX('Fleet dates'!$I$9:$I$1008,$I690-8)="","",INDEX('Fleet dates'!$I$9:$I$1008,$I690-8)))</x:f>
      </x:c>
      <x:c r="I690" t="str">
        <x:f>IF(682&gt;$H$4,"",MATCH(682,'Fleet dates'!$J$9:$J$1008,0)+8)</x:f>
      </x:c>
    </x:row>
    <x:row r="691" ht="36" customHeight="1">
      <x:c r="A691" s="50" t="str">
        <x:f>IF(683&gt;$H$4,"",IF(INDEX('Fleet dates'!$A$9:$A$1008,$I691-8)="","",INDEX('Fleet dates'!$A$9:$A$1008,$I691-8)))</x:f>
      </x:c>
      <x:c r="B691" s="50" t="str">
        <x:f>IF(683&gt;$H$4,"",IF(INDEX('Fleet dates'!$B$9:$B$1008,$I691-8)="","",INDEX('Fleet dates'!$B$9:$B$1008,$I691-8)))</x:f>
      </x:c>
      <x:c r="C691" s="51" t="str">
        <x:f>IF(683&gt;$H$4,"",IF(INDEX('Fleet dates'!$C$9:$C$1008,$I691-8)="","",INDEX('Fleet dates'!$C$9:$C$1008,$I691-8)))</x:f>
      </x:c>
      <x:c r="D691" s="51" t="str">
        <x:f>IF(683&gt;$H$4,"",IF(INDEX('Fleet dates'!$D$9:$D$1008,$I691-8)="","",INDEX('Fleet dates'!$D$9:$D$1008,$I691-8)))</x:f>
      </x:c>
      <x:c r="E691" s="51" t="str">
        <x:f>IF(683&gt;$H$4,"",IF(INDEX('Fleet dates'!$E$9:$E$1008,$I691-8)="","",INDEX('Fleet dates'!$E$9:$E$1008,$I691-8)))</x:f>
      </x:c>
      <x:c r="F691" s="51" t="str">
        <x:f>IF(683&gt;$H$4,"",IF(INDEX('Fleet dates'!$F$9:$F$1008,$I691-8)="","",INDEX('Fleet dates'!$F$9:$F$1008,$I691-8)))</x:f>
      </x:c>
      <x:c r="G691" s="50" t="str">
        <x:f>IF(683&gt;$H$4,"",IF(INDEX('Fleet dates'!$G$9:$G$1008,$I691-8)="","",INDEX('Fleet dates'!$G$9:$G$1008,$I691-8)))</x:f>
      </x:c>
      <x:c r="H691" s="50" t="str">
        <x:f>IF(683&gt;$H$4,"",IF(INDEX('Fleet dates'!$I$9:$I$1008,$I691-8)="","",INDEX('Fleet dates'!$I$9:$I$1008,$I691-8)))</x:f>
      </x:c>
      <x:c r="I691" t="str">
        <x:f>IF(683&gt;$H$4,"",MATCH(683,'Fleet dates'!$J$9:$J$1008,0)+8)</x:f>
      </x:c>
    </x:row>
    <x:row r="692" ht="36" customHeight="1">
      <x:c r="A692" s="50" t="str">
        <x:f>IF(684&gt;$H$4,"",IF(INDEX('Fleet dates'!$A$9:$A$1008,$I692-8)="","",INDEX('Fleet dates'!$A$9:$A$1008,$I692-8)))</x:f>
      </x:c>
      <x:c r="B692" s="50" t="str">
        <x:f>IF(684&gt;$H$4,"",IF(INDEX('Fleet dates'!$B$9:$B$1008,$I692-8)="","",INDEX('Fleet dates'!$B$9:$B$1008,$I692-8)))</x:f>
      </x:c>
      <x:c r="C692" s="51" t="str">
        <x:f>IF(684&gt;$H$4,"",IF(INDEX('Fleet dates'!$C$9:$C$1008,$I692-8)="","",INDEX('Fleet dates'!$C$9:$C$1008,$I692-8)))</x:f>
      </x:c>
      <x:c r="D692" s="51" t="str">
        <x:f>IF(684&gt;$H$4,"",IF(INDEX('Fleet dates'!$D$9:$D$1008,$I692-8)="","",INDEX('Fleet dates'!$D$9:$D$1008,$I692-8)))</x:f>
      </x:c>
      <x:c r="E692" s="51" t="str">
        <x:f>IF(684&gt;$H$4,"",IF(INDEX('Fleet dates'!$E$9:$E$1008,$I692-8)="","",INDEX('Fleet dates'!$E$9:$E$1008,$I692-8)))</x:f>
      </x:c>
      <x:c r="F692" s="51" t="str">
        <x:f>IF(684&gt;$H$4,"",IF(INDEX('Fleet dates'!$F$9:$F$1008,$I692-8)="","",INDEX('Fleet dates'!$F$9:$F$1008,$I692-8)))</x:f>
      </x:c>
      <x:c r="G692" s="50" t="str">
        <x:f>IF(684&gt;$H$4,"",IF(INDEX('Fleet dates'!$G$9:$G$1008,$I692-8)="","",INDEX('Fleet dates'!$G$9:$G$1008,$I692-8)))</x:f>
      </x:c>
      <x:c r="H692" s="50" t="str">
        <x:f>IF(684&gt;$H$4,"",IF(INDEX('Fleet dates'!$I$9:$I$1008,$I692-8)="","",INDEX('Fleet dates'!$I$9:$I$1008,$I692-8)))</x:f>
      </x:c>
      <x:c r="I692" t="str">
        <x:f>IF(684&gt;$H$4,"",MATCH(684,'Fleet dates'!$J$9:$J$1008,0)+8)</x:f>
      </x:c>
    </x:row>
    <x:row r="693" ht="36" customHeight="1">
      <x:c r="A693" s="50" t="str">
        <x:f>IF(685&gt;$H$4,"",IF(INDEX('Fleet dates'!$A$9:$A$1008,$I693-8)="","",INDEX('Fleet dates'!$A$9:$A$1008,$I693-8)))</x:f>
      </x:c>
      <x:c r="B693" s="50" t="str">
        <x:f>IF(685&gt;$H$4,"",IF(INDEX('Fleet dates'!$B$9:$B$1008,$I693-8)="","",INDEX('Fleet dates'!$B$9:$B$1008,$I693-8)))</x:f>
      </x:c>
      <x:c r="C693" s="51" t="str">
        <x:f>IF(685&gt;$H$4,"",IF(INDEX('Fleet dates'!$C$9:$C$1008,$I693-8)="","",INDEX('Fleet dates'!$C$9:$C$1008,$I693-8)))</x:f>
      </x:c>
      <x:c r="D693" s="51" t="str">
        <x:f>IF(685&gt;$H$4,"",IF(INDEX('Fleet dates'!$D$9:$D$1008,$I693-8)="","",INDEX('Fleet dates'!$D$9:$D$1008,$I693-8)))</x:f>
      </x:c>
      <x:c r="E693" s="51" t="str">
        <x:f>IF(685&gt;$H$4,"",IF(INDEX('Fleet dates'!$E$9:$E$1008,$I693-8)="","",INDEX('Fleet dates'!$E$9:$E$1008,$I693-8)))</x:f>
      </x:c>
      <x:c r="F693" s="51" t="str">
        <x:f>IF(685&gt;$H$4,"",IF(INDEX('Fleet dates'!$F$9:$F$1008,$I693-8)="","",INDEX('Fleet dates'!$F$9:$F$1008,$I693-8)))</x:f>
      </x:c>
      <x:c r="G693" s="50" t="str">
        <x:f>IF(685&gt;$H$4,"",IF(INDEX('Fleet dates'!$G$9:$G$1008,$I693-8)="","",INDEX('Fleet dates'!$G$9:$G$1008,$I693-8)))</x:f>
      </x:c>
      <x:c r="H693" s="50" t="str">
        <x:f>IF(685&gt;$H$4,"",IF(INDEX('Fleet dates'!$I$9:$I$1008,$I693-8)="","",INDEX('Fleet dates'!$I$9:$I$1008,$I693-8)))</x:f>
      </x:c>
      <x:c r="I693" t="str">
        <x:f>IF(685&gt;$H$4,"",MATCH(685,'Fleet dates'!$J$9:$J$1008,0)+8)</x:f>
      </x:c>
    </x:row>
    <x:row r="694" ht="36" customHeight="1">
      <x:c r="A694" s="50" t="str">
        <x:f>IF(686&gt;$H$4,"",IF(INDEX('Fleet dates'!$A$9:$A$1008,$I694-8)="","",INDEX('Fleet dates'!$A$9:$A$1008,$I694-8)))</x:f>
      </x:c>
      <x:c r="B694" s="50" t="str">
        <x:f>IF(686&gt;$H$4,"",IF(INDEX('Fleet dates'!$B$9:$B$1008,$I694-8)="","",INDEX('Fleet dates'!$B$9:$B$1008,$I694-8)))</x:f>
      </x:c>
      <x:c r="C694" s="51" t="str">
        <x:f>IF(686&gt;$H$4,"",IF(INDEX('Fleet dates'!$C$9:$C$1008,$I694-8)="","",INDEX('Fleet dates'!$C$9:$C$1008,$I694-8)))</x:f>
      </x:c>
      <x:c r="D694" s="51" t="str">
        <x:f>IF(686&gt;$H$4,"",IF(INDEX('Fleet dates'!$D$9:$D$1008,$I694-8)="","",INDEX('Fleet dates'!$D$9:$D$1008,$I694-8)))</x:f>
      </x:c>
      <x:c r="E694" s="51" t="str">
        <x:f>IF(686&gt;$H$4,"",IF(INDEX('Fleet dates'!$E$9:$E$1008,$I694-8)="","",INDEX('Fleet dates'!$E$9:$E$1008,$I694-8)))</x:f>
      </x:c>
      <x:c r="F694" s="51" t="str">
        <x:f>IF(686&gt;$H$4,"",IF(INDEX('Fleet dates'!$F$9:$F$1008,$I694-8)="","",INDEX('Fleet dates'!$F$9:$F$1008,$I694-8)))</x:f>
      </x:c>
      <x:c r="G694" s="50" t="str">
        <x:f>IF(686&gt;$H$4,"",IF(INDEX('Fleet dates'!$G$9:$G$1008,$I694-8)="","",INDEX('Fleet dates'!$G$9:$G$1008,$I694-8)))</x:f>
      </x:c>
      <x:c r="H694" s="50" t="str">
        <x:f>IF(686&gt;$H$4,"",IF(INDEX('Fleet dates'!$I$9:$I$1008,$I694-8)="","",INDEX('Fleet dates'!$I$9:$I$1008,$I694-8)))</x:f>
      </x:c>
      <x:c r="I694" t="str">
        <x:f>IF(686&gt;$H$4,"",MATCH(686,'Fleet dates'!$J$9:$J$1008,0)+8)</x:f>
      </x:c>
    </x:row>
    <x:row r="695" ht="36" customHeight="1">
      <x:c r="A695" s="50" t="str">
        <x:f>IF(687&gt;$H$4,"",IF(INDEX('Fleet dates'!$A$9:$A$1008,$I695-8)="","",INDEX('Fleet dates'!$A$9:$A$1008,$I695-8)))</x:f>
      </x:c>
      <x:c r="B695" s="50" t="str">
        <x:f>IF(687&gt;$H$4,"",IF(INDEX('Fleet dates'!$B$9:$B$1008,$I695-8)="","",INDEX('Fleet dates'!$B$9:$B$1008,$I695-8)))</x:f>
      </x:c>
      <x:c r="C695" s="51" t="str">
        <x:f>IF(687&gt;$H$4,"",IF(INDEX('Fleet dates'!$C$9:$C$1008,$I695-8)="","",INDEX('Fleet dates'!$C$9:$C$1008,$I695-8)))</x:f>
      </x:c>
      <x:c r="D695" s="51" t="str">
        <x:f>IF(687&gt;$H$4,"",IF(INDEX('Fleet dates'!$D$9:$D$1008,$I695-8)="","",INDEX('Fleet dates'!$D$9:$D$1008,$I695-8)))</x:f>
      </x:c>
      <x:c r="E695" s="51" t="str">
        <x:f>IF(687&gt;$H$4,"",IF(INDEX('Fleet dates'!$E$9:$E$1008,$I695-8)="","",INDEX('Fleet dates'!$E$9:$E$1008,$I695-8)))</x:f>
      </x:c>
      <x:c r="F695" s="51" t="str">
        <x:f>IF(687&gt;$H$4,"",IF(INDEX('Fleet dates'!$F$9:$F$1008,$I695-8)="","",INDEX('Fleet dates'!$F$9:$F$1008,$I695-8)))</x:f>
      </x:c>
      <x:c r="G695" s="50" t="str">
        <x:f>IF(687&gt;$H$4,"",IF(INDEX('Fleet dates'!$G$9:$G$1008,$I695-8)="","",INDEX('Fleet dates'!$G$9:$G$1008,$I695-8)))</x:f>
      </x:c>
      <x:c r="H695" s="50" t="str">
        <x:f>IF(687&gt;$H$4,"",IF(INDEX('Fleet dates'!$I$9:$I$1008,$I695-8)="","",INDEX('Fleet dates'!$I$9:$I$1008,$I695-8)))</x:f>
      </x:c>
      <x:c r="I695" t="str">
        <x:f>IF(687&gt;$H$4,"",MATCH(687,'Fleet dates'!$J$9:$J$1008,0)+8)</x:f>
      </x:c>
    </x:row>
    <x:row r="696" ht="36" customHeight="1">
      <x:c r="A696" s="50" t="str">
        <x:f>IF(688&gt;$H$4,"",IF(INDEX('Fleet dates'!$A$9:$A$1008,$I696-8)="","",INDEX('Fleet dates'!$A$9:$A$1008,$I696-8)))</x:f>
      </x:c>
      <x:c r="B696" s="50" t="str">
        <x:f>IF(688&gt;$H$4,"",IF(INDEX('Fleet dates'!$B$9:$B$1008,$I696-8)="","",INDEX('Fleet dates'!$B$9:$B$1008,$I696-8)))</x:f>
      </x:c>
      <x:c r="C696" s="51" t="str">
        <x:f>IF(688&gt;$H$4,"",IF(INDEX('Fleet dates'!$C$9:$C$1008,$I696-8)="","",INDEX('Fleet dates'!$C$9:$C$1008,$I696-8)))</x:f>
      </x:c>
      <x:c r="D696" s="51" t="str">
        <x:f>IF(688&gt;$H$4,"",IF(INDEX('Fleet dates'!$D$9:$D$1008,$I696-8)="","",INDEX('Fleet dates'!$D$9:$D$1008,$I696-8)))</x:f>
      </x:c>
      <x:c r="E696" s="51" t="str">
        <x:f>IF(688&gt;$H$4,"",IF(INDEX('Fleet dates'!$E$9:$E$1008,$I696-8)="","",INDEX('Fleet dates'!$E$9:$E$1008,$I696-8)))</x:f>
      </x:c>
      <x:c r="F696" s="51" t="str">
        <x:f>IF(688&gt;$H$4,"",IF(INDEX('Fleet dates'!$F$9:$F$1008,$I696-8)="","",INDEX('Fleet dates'!$F$9:$F$1008,$I696-8)))</x:f>
      </x:c>
      <x:c r="G696" s="50" t="str">
        <x:f>IF(688&gt;$H$4,"",IF(INDEX('Fleet dates'!$G$9:$G$1008,$I696-8)="","",INDEX('Fleet dates'!$G$9:$G$1008,$I696-8)))</x:f>
      </x:c>
      <x:c r="H696" s="50" t="str">
        <x:f>IF(688&gt;$H$4,"",IF(INDEX('Fleet dates'!$I$9:$I$1008,$I696-8)="","",INDEX('Fleet dates'!$I$9:$I$1008,$I696-8)))</x:f>
      </x:c>
      <x:c r="I696" t="str">
        <x:f>IF(688&gt;$H$4,"",MATCH(688,'Fleet dates'!$J$9:$J$1008,0)+8)</x:f>
      </x:c>
    </x:row>
    <x:row r="697" ht="36" customHeight="1">
      <x:c r="A697" s="50" t="str">
        <x:f>IF(689&gt;$H$4,"",IF(INDEX('Fleet dates'!$A$9:$A$1008,$I697-8)="","",INDEX('Fleet dates'!$A$9:$A$1008,$I697-8)))</x:f>
      </x:c>
      <x:c r="B697" s="50" t="str">
        <x:f>IF(689&gt;$H$4,"",IF(INDEX('Fleet dates'!$B$9:$B$1008,$I697-8)="","",INDEX('Fleet dates'!$B$9:$B$1008,$I697-8)))</x:f>
      </x:c>
      <x:c r="C697" s="51" t="str">
        <x:f>IF(689&gt;$H$4,"",IF(INDEX('Fleet dates'!$C$9:$C$1008,$I697-8)="","",INDEX('Fleet dates'!$C$9:$C$1008,$I697-8)))</x:f>
      </x:c>
      <x:c r="D697" s="51" t="str">
        <x:f>IF(689&gt;$H$4,"",IF(INDEX('Fleet dates'!$D$9:$D$1008,$I697-8)="","",INDEX('Fleet dates'!$D$9:$D$1008,$I697-8)))</x:f>
      </x:c>
      <x:c r="E697" s="51" t="str">
        <x:f>IF(689&gt;$H$4,"",IF(INDEX('Fleet dates'!$E$9:$E$1008,$I697-8)="","",INDEX('Fleet dates'!$E$9:$E$1008,$I697-8)))</x:f>
      </x:c>
      <x:c r="F697" s="51" t="str">
        <x:f>IF(689&gt;$H$4,"",IF(INDEX('Fleet dates'!$F$9:$F$1008,$I697-8)="","",INDEX('Fleet dates'!$F$9:$F$1008,$I697-8)))</x:f>
      </x:c>
      <x:c r="G697" s="50" t="str">
        <x:f>IF(689&gt;$H$4,"",IF(INDEX('Fleet dates'!$G$9:$G$1008,$I697-8)="","",INDEX('Fleet dates'!$G$9:$G$1008,$I697-8)))</x:f>
      </x:c>
      <x:c r="H697" s="50" t="str">
        <x:f>IF(689&gt;$H$4,"",IF(INDEX('Fleet dates'!$I$9:$I$1008,$I697-8)="","",INDEX('Fleet dates'!$I$9:$I$1008,$I697-8)))</x:f>
      </x:c>
      <x:c r="I697" t="str">
        <x:f>IF(689&gt;$H$4,"",MATCH(689,'Fleet dates'!$J$9:$J$1008,0)+8)</x:f>
      </x:c>
    </x:row>
    <x:row r="698" ht="36" customHeight="1">
      <x:c r="A698" s="50" t="str">
        <x:f>IF(690&gt;$H$4,"",IF(INDEX('Fleet dates'!$A$9:$A$1008,$I698-8)="","",INDEX('Fleet dates'!$A$9:$A$1008,$I698-8)))</x:f>
      </x:c>
      <x:c r="B698" s="50" t="str">
        <x:f>IF(690&gt;$H$4,"",IF(INDEX('Fleet dates'!$B$9:$B$1008,$I698-8)="","",INDEX('Fleet dates'!$B$9:$B$1008,$I698-8)))</x:f>
      </x:c>
      <x:c r="C698" s="51" t="str">
        <x:f>IF(690&gt;$H$4,"",IF(INDEX('Fleet dates'!$C$9:$C$1008,$I698-8)="","",INDEX('Fleet dates'!$C$9:$C$1008,$I698-8)))</x:f>
      </x:c>
      <x:c r="D698" s="51" t="str">
        <x:f>IF(690&gt;$H$4,"",IF(INDEX('Fleet dates'!$D$9:$D$1008,$I698-8)="","",INDEX('Fleet dates'!$D$9:$D$1008,$I698-8)))</x:f>
      </x:c>
      <x:c r="E698" s="51" t="str">
        <x:f>IF(690&gt;$H$4,"",IF(INDEX('Fleet dates'!$E$9:$E$1008,$I698-8)="","",INDEX('Fleet dates'!$E$9:$E$1008,$I698-8)))</x:f>
      </x:c>
      <x:c r="F698" s="51" t="str">
        <x:f>IF(690&gt;$H$4,"",IF(INDEX('Fleet dates'!$F$9:$F$1008,$I698-8)="","",INDEX('Fleet dates'!$F$9:$F$1008,$I698-8)))</x:f>
      </x:c>
      <x:c r="G698" s="50" t="str">
        <x:f>IF(690&gt;$H$4,"",IF(INDEX('Fleet dates'!$G$9:$G$1008,$I698-8)="","",INDEX('Fleet dates'!$G$9:$G$1008,$I698-8)))</x:f>
      </x:c>
      <x:c r="H698" s="50" t="str">
        <x:f>IF(690&gt;$H$4,"",IF(INDEX('Fleet dates'!$I$9:$I$1008,$I698-8)="","",INDEX('Fleet dates'!$I$9:$I$1008,$I698-8)))</x:f>
      </x:c>
      <x:c r="I698" t="str">
        <x:f>IF(690&gt;$H$4,"",MATCH(690,'Fleet dates'!$J$9:$J$1008,0)+8)</x:f>
      </x:c>
    </x:row>
    <x:row r="699" ht="36" customHeight="1">
      <x:c r="A699" s="50" t="str">
        <x:f>IF(691&gt;$H$4,"",IF(INDEX('Fleet dates'!$A$9:$A$1008,$I699-8)="","",INDEX('Fleet dates'!$A$9:$A$1008,$I699-8)))</x:f>
      </x:c>
      <x:c r="B699" s="50" t="str">
        <x:f>IF(691&gt;$H$4,"",IF(INDEX('Fleet dates'!$B$9:$B$1008,$I699-8)="","",INDEX('Fleet dates'!$B$9:$B$1008,$I699-8)))</x:f>
      </x:c>
      <x:c r="C699" s="51" t="str">
        <x:f>IF(691&gt;$H$4,"",IF(INDEX('Fleet dates'!$C$9:$C$1008,$I699-8)="","",INDEX('Fleet dates'!$C$9:$C$1008,$I699-8)))</x:f>
      </x:c>
      <x:c r="D699" s="51" t="str">
        <x:f>IF(691&gt;$H$4,"",IF(INDEX('Fleet dates'!$D$9:$D$1008,$I699-8)="","",INDEX('Fleet dates'!$D$9:$D$1008,$I699-8)))</x:f>
      </x:c>
      <x:c r="E699" s="51" t="str">
        <x:f>IF(691&gt;$H$4,"",IF(INDEX('Fleet dates'!$E$9:$E$1008,$I699-8)="","",INDEX('Fleet dates'!$E$9:$E$1008,$I699-8)))</x:f>
      </x:c>
      <x:c r="F699" s="51" t="str">
        <x:f>IF(691&gt;$H$4,"",IF(INDEX('Fleet dates'!$F$9:$F$1008,$I699-8)="","",INDEX('Fleet dates'!$F$9:$F$1008,$I699-8)))</x:f>
      </x:c>
      <x:c r="G699" s="50" t="str">
        <x:f>IF(691&gt;$H$4,"",IF(INDEX('Fleet dates'!$G$9:$G$1008,$I699-8)="","",INDEX('Fleet dates'!$G$9:$G$1008,$I699-8)))</x:f>
      </x:c>
      <x:c r="H699" s="50" t="str">
        <x:f>IF(691&gt;$H$4,"",IF(INDEX('Fleet dates'!$I$9:$I$1008,$I699-8)="","",INDEX('Fleet dates'!$I$9:$I$1008,$I699-8)))</x:f>
      </x:c>
      <x:c r="I699" t="str">
        <x:f>IF(691&gt;$H$4,"",MATCH(691,'Fleet dates'!$J$9:$J$1008,0)+8)</x:f>
      </x:c>
    </x:row>
    <x:row r="700" ht="36" customHeight="1">
      <x:c r="A700" s="50" t="str">
        <x:f>IF(692&gt;$H$4,"",IF(INDEX('Fleet dates'!$A$9:$A$1008,$I700-8)="","",INDEX('Fleet dates'!$A$9:$A$1008,$I700-8)))</x:f>
      </x:c>
      <x:c r="B700" s="50" t="str">
        <x:f>IF(692&gt;$H$4,"",IF(INDEX('Fleet dates'!$B$9:$B$1008,$I700-8)="","",INDEX('Fleet dates'!$B$9:$B$1008,$I700-8)))</x:f>
      </x:c>
      <x:c r="C700" s="51" t="str">
        <x:f>IF(692&gt;$H$4,"",IF(INDEX('Fleet dates'!$C$9:$C$1008,$I700-8)="","",INDEX('Fleet dates'!$C$9:$C$1008,$I700-8)))</x:f>
      </x:c>
      <x:c r="D700" s="51" t="str">
        <x:f>IF(692&gt;$H$4,"",IF(INDEX('Fleet dates'!$D$9:$D$1008,$I700-8)="","",INDEX('Fleet dates'!$D$9:$D$1008,$I700-8)))</x:f>
      </x:c>
      <x:c r="E700" s="51" t="str">
        <x:f>IF(692&gt;$H$4,"",IF(INDEX('Fleet dates'!$E$9:$E$1008,$I700-8)="","",INDEX('Fleet dates'!$E$9:$E$1008,$I700-8)))</x:f>
      </x:c>
      <x:c r="F700" s="51" t="str">
        <x:f>IF(692&gt;$H$4,"",IF(INDEX('Fleet dates'!$F$9:$F$1008,$I700-8)="","",INDEX('Fleet dates'!$F$9:$F$1008,$I700-8)))</x:f>
      </x:c>
      <x:c r="G700" s="50" t="str">
        <x:f>IF(692&gt;$H$4,"",IF(INDEX('Fleet dates'!$G$9:$G$1008,$I700-8)="","",INDEX('Fleet dates'!$G$9:$G$1008,$I700-8)))</x:f>
      </x:c>
      <x:c r="H700" s="50" t="str">
        <x:f>IF(692&gt;$H$4,"",IF(INDEX('Fleet dates'!$I$9:$I$1008,$I700-8)="","",INDEX('Fleet dates'!$I$9:$I$1008,$I700-8)))</x:f>
      </x:c>
      <x:c r="I700" t="str">
        <x:f>IF(692&gt;$H$4,"",MATCH(692,'Fleet dates'!$J$9:$J$1008,0)+8)</x:f>
      </x:c>
    </x:row>
    <x:row r="701" ht="36" customHeight="1">
      <x:c r="A701" s="50" t="str">
        <x:f>IF(693&gt;$H$4,"",IF(INDEX('Fleet dates'!$A$9:$A$1008,$I701-8)="","",INDEX('Fleet dates'!$A$9:$A$1008,$I701-8)))</x:f>
      </x:c>
      <x:c r="B701" s="50" t="str">
        <x:f>IF(693&gt;$H$4,"",IF(INDEX('Fleet dates'!$B$9:$B$1008,$I701-8)="","",INDEX('Fleet dates'!$B$9:$B$1008,$I701-8)))</x:f>
      </x:c>
      <x:c r="C701" s="51" t="str">
        <x:f>IF(693&gt;$H$4,"",IF(INDEX('Fleet dates'!$C$9:$C$1008,$I701-8)="","",INDEX('Fleet dates'!$C$9:$C$1008,$I701-8)))</x:f>
      </x:c>
      <x:c r="D701" s="51" t="str">
        <x:f>IF(693&gt;$H$4,"",IF(INDEX('Fleet dates'!$D$9:$D$1008,$I701-8)="","",INDEX('Fleet dates'!$D$9:$D$1008,$I701-8)))</x:f>
      </x:c>
      <x:c r="E701" s="51" t="str">
        <x:f>IF(693&gt;$H$4,"",IF(INDEX('Fleet dates'!$E$9:$E$1008,$I701-8)="","",INDEX('Fleet dates'!$E$9:$E$1008,$I701-8)))</x:f>
      </x:c>
      <x:c r="F701" s="51" t="str">
        <x:f>IF(693&gt;$H$4,"",IF(INDEX('Fleet dates'!$F$9:$F$1008,$I701-8)="","",INDEX('Fleet dates'!$F$9:$F$1008,$I701-8)))</x:f>
      </x:c>
      <x:c r="G701" s="50" t="str">
        <x:f>IF(693&gt;$H$4,"",IF(INDEX('Fleet dates'!$G$9:$G$1008,$I701-8)="","",INDEX('Fleet dates'!$G$9:$G$1008,$I701-8)))</x:f>
      </x:c>
      <x:c r="H701" s="50" t="str">
        <x:f>IF(693&gt;$H$4,"",IF(INDEX('Fleet dates'!$I$9:$I$1008,$I701-8)="","",INDEX('Fleet dates'!$I$9:$I$1008,$I701-8)))</x:f>
      </x:c>
      <x:c r="I701" t="str">
        <x:f>IF(693&gt;$H$4,"",MATCH(693,'Fleet dates'!$J$9:$J$1008,0)+8)</x:f>
      </x:c>
    </x:row>
    <x:row r="702" ht="36" customHeight="1">
      <x:c r="A702" s="50" t="str">
        <x:f>IF(694&gt;$H$4,"",IF(INDEX('Fleet dates'!$A$9:$A$1008,$I702-8)="","",INDEX('Fleet dates'!$A$9:$A$1008,$I702-8)))</x:f>
      </x:c>
      <x:c r="B702" s="50" t="str">
        <x:f>IF(694&gt;$H$4,"",IF(INDEX('Fleet dates'!$B$9:$B$1008,$I702-8)="","",INDEX('Fleet dates'!$B$9:$B$1008,$I702-8)))</x:f>
      </x:c>
      <x:c r="C702" s="51" t="str">
        <x:f>IF(694&gt;$H$4,"",IF(INDEX('Fleet dates'!$C$9:$C$1008,$I702-8)="","",INDEX('Fleet dates'!$C$9:$C$1008,$I702-8)))</x:f>
      </x:c>
      <x:c r="D702" s="51" t="str">
        <x:f>IF(694&gt;$H$4,"",IF(INDEX('Fleet dates'!$D$9:$D$1008,$I702-8)="","",INDEX('Fleet dates'!$D$9:$D$1008,$I702-8)))</x:f>
      </x:c>
      <x:c r="E702" s="51" t="str">
        <x:f>IF(694&gt;$H$4,"",IF(INDEX('Fleet dates'!$E$9:$E$1008,$I702-8)="","",INDEX('Fleet dates'!$E$9:$E$1008,$I702-8)))</x:f>
      </x:c>
      <x:c r="F702" s="51" t="str">
        <x:f>IF(694&gt;$H$4,"",IF(INDEX('Fleet dates'!$F$9:$F$1008,$I702-8)="","",INDEX('Fleet dates'!$F$9:$F$1008,$I702-8)))</x:f>
      </x:c>
      <x:c r="G702" s="50" t="str">
        <x:f>IF(694&gt;$H$4,"",IF(INDEX('Fleet dates'!$G$9:$G$1008,$I702-8)="","",INDEX('Fleet dates'!$G$9:$G$1008,$I702-8)))</x:f>
      </x:c>
      <x:c r="H702" s="50" t="str">
        <x:f>IF(694&gt;$H$4,"",IF(INDEX('Fleet dates'!$I$9:$I$1008,$I702-8)="","",INDEX('Fleet dates'!$I$9:$I$1008,$I702-8)))</x:f>
      </x:c>
      <x:c r="I702" t="str">
        <x:f>IF(694&gt;$H$4,"",MATCH(694,'Fleet dates'!$J$9:$J$1008,0)+8)</x:f>
      </x:c>
    </x:row>
    <x:row r="703" ht="36" customHeight="1">
      <x:c r="A703" s="50" t="str">
        <x:f>IF(695&gt;$H$4,"",IF(INDEX('Fleet dates'!$A$9:$A$1008,$I703-8)="","",INDEX('Fleet dates'!$A$9:$A$1008,$I703-8)))</x:f>
      </x:c>
      <x:c r="B703" s="50" t="str">
        <x:f>IF(695&gt;$H$4,"",IF(INDEX('Fleet dates'!$B$9:$B$1008,$I703-8)="","",INDEX('Fleet dates'!$B$9:$B$1008,$I703-8)))</x:f>
      </x:c>
      <x:c r="C703" s="51" t="str">
        <x:f>IF(695&gt;$H$4,"",IF(INDEX('Fleet dates'!$C$9:$C$1008,$I703-8)="","",INDEX('Fleet dates'!$C$9:$C$1008,$I703-8)))</x:f>
      </x:c>
      <x:c r="D703" s="51" t="str">
        <x:f>IF(695&gt;$H$4,"",IF(INDEX('Fleet dates'!$D$9:$D$1008,$I703-8)="","",INDEX('Fleet dates'!$D$9:$D$1008,$I703-8)))</x:f>
      </x:c>
      <x:c r="E703" s="51" t="str">
        <x:f>IF(695&gt;$H$4,"",IF(INDEX('Fleet dates'!$E$9:$E$1008,$I703-8)="","",INDEX('Fleet dates'!$E$9:$E$1008,$I703-8)))</x:f>
      </x:c>
      <x:c r="F703" s="51" t="str">
        <x:f>IF(695&gt;$H$4,"",IF(INDEX('Fleet dates'!$F$9:$F$1008,$I703-8)="","",INDEX('Fleet dates'!$F$9:$F$1008,$I703-8)))</x:f>
      </x:c>
      <x:c r="G703" s="50" t="str">
        <x:f>IF(695&gt;$H$4,"",IF(INDEX('Fleet dates'!$G$9:$G$1008,$I703-8)="","",INDEX('Fleet dates'!$G$9:$G$1008,$I703-8)))</x:f>
      </x:c>
      <x:c r="H703" s="50" t="str">
        <x:f>IF(695&gt;$H$4,"",IF(INDEX('Fleet dates'!$I$9:$I$1008,$I703-8)="","",INDEX('Fleet dates'!$I$9:$I$1008,$I703-8)))</x:f>
      </x:c>
      <x:c r="I703" t="str">
        <x:f>IF(695&gt;$H$4,"",MATCH(695,'Fleet dates'!$J$9:$J$1008,0)+8)</x:f>
      </x:c>
    </x:row>
    <x:row r="704" ht="36" customHeight="1">
      <x:c r="A704" s="50" t="str">
        <x:f>IF(696&gt;$H$4,"",IF(INDEX('Fleet dates'!$A$9:$A$1008,$I704-8)="","",INDEX('Fleet dates'!$A$9:$A$1008,$I704-8)))</x:f>
      </x:c>
      <x:c r="B704" s="50" t="str">
        <x:f>IF(696&gt;$H$4,"",IF(INDEX('Fleet dates'!$B$9:$B$1008,$I704-8)="","",INDEX('Fleet dates'!$B$9:$B$1008,$I704-8)))</x:f>
      </x:c>
      <x:c r="C704" s="51" t="str">
        <x:f>IF(696&gt;$H$4,"",IF(INDEX('Fleet dates'!$C$9:$C$1008,$I704-8)="","",INDEX('Fleet dates'!$C$9:$C$1008,$I704-8)))</x:f>
      </x:c>
      <x:c r="D704" s="51" t="str">
        <x:f>IF(696&gt;$H$4,"",IF(INDEX('Fleet dates'!$D$9:$D$1008,$I704-8)="","",INDEX('Fleet dates'!$D$9:$D$1008,$I704-8)))</x:f>
      </x:c>
      <x:c r="E704" s="51" t="str">
        <x:f>IF(696&gt;$H$4,"",IF(INDEX('Fleet dates'!$E$9:$E$1008,$I704-8)="","",INDEX('Fleet dates'!$E$9:$E$1008,$I704-8)))</x:f>
      </x:c>
      <x:c r="F704" s="51" t="str">
        <x:f>IF(696&gt;$H$4,"",IF(INDEX('Fleet dates'!$F$9:$F$1008,$I704-8)="","",INDEX('Fleet dates'!$F$9:$F$1008,$I704-8)))</x:f>
      </x:c>
      <x:c r="G704" s="50" t="str">
        <x:f>IF(696&gt;$H$4,"",IF(INDEX('Fleet dates'!$G$9:$G$1008,$I704-8)="","",INDEX('Fleet dates'!$G$9:$G$1008,$I704-8)))</x:f>
      </x:c>
      <x:c r="H704" s="50" t="str">
        <x:f>IF(696&gt;$H$4,"",IF(INDEX('Fleet dates'!$I$9:$I$1008,$I704-8)="","",INDEX('Fleet dates'!$I$9:$I$1008,$I704-8)))</x:f>
      </x:c>
      <x:c r="I704" t="str">
        <x:f>IF(696&gt;$H$4,"",MATCH(696,'Fleet dates'!$J$9:$J$1008,0)+8)</x:f>
      </x:c>
    </x:row>
    <x:row r="705" ht="36" customHeight="1">
      <x:c r="A705" s="50" t="str">
        <x:f>IF(697&gt;$H$4,"",IF(INDEX('Fleet dates'!$A$9:$A$1008,$I705-8)="","",INDEX('Fleet dates'!$A$9:$A$1008,$I705-8)))</x:f>
      </x:c>
      <x:c r="B705" s="50" t="str">
        <x:f>IF(697&gt;$H$4,"",IF(INDEX('Fleet dates'!$B$9:$B$1008,$I705-8)="","",INDEX('Fleet dates'!$B$9:$B$1008,$I705-8)))</x:f>
      </x:c>
      <x:c r="C705" s="51" t="str">
        <x:f>IF(697&gt;$H$4,"",IF(INDEX('Fleet dates'!$C$9:$C$1008,$I705-8)="","",INDEX('Fleet dates'!$C$9:$C$1008,$I705-8)))</x:f>
      </x:c>
      <x:c r="D705" s="51" t="str">
        <x:f>IF(697&gt;$H$4,"",IF(INDEX('Fleet dates'!$D$9:$D$1008,$I705-8)="","",INDEX('Fleet dates'!$D$9:$D$1008,$I705-8)))</x:f>
      </x:c>
      <x:c r="E705" s="51" t="str">
        <x:f>IF(697&gt;$H$4,"",IF(INDEX('Fleet dates'!$E$9:$E$1008,$I705-8)="","",INDEX('Fleet dates'!$E$9:$E$1008,$I705-8)))</x:f>
      </x:c>
      <x:c r="F705" s="51" t="str">
        <x:f>IF(697&gt;$H$4,"",IF(INDEX('Fleet dates'!$F$9:$F$1008,$I705-8)="","",INDEX('Fleet dates'!$F$9:$F$1008,$I705-8)))</x:f>
      </x:c>
      <x:c r="G705" s="50" t="str">
        <x:f>IF(697&gt;$H$4,"",IF(INDEX('Fleet dates'!$G$9:$G$1008,$I705-8)="","",INDEX('Fleet dates'!$G$9:$G$1008,$I705-8)))</x:f>
      </x:c>
      <x:c r="H705" s="50" t="str">
        <x:f>IF(697&gt;$H$4,"",IF(INDEX('Fleet dates'!$I$9:$I$1008,$I705-8)="","",INDEX('Fleet dates'!$I$9:$I$1008,$I705-8)))</x:f>
      </x:c>
      <x:c r="I705" t="str">
        <x:f>IF(697&gt;$H$4,"",MATCH(697,'Fleet dates'!$J$9:$J$1008,0)+8)</x:f>
      </x:c>
    </x:row>
    <x:row r="706" ht="36" customHeight="1">
      <x:c r="A706" s="50" t="str">
        <x:f>IF(698&gt;$H$4,"",IF(INDEX('Fleet dates'!$A$9:$A$1008,$I706-8)="","",INDEX('Fleet dates'!$A$9:$A$1008,$I706-8)))</x:f>
      </x:c>
      <x:c r="B706" s="50" t="str">
        <x:f>IF(698&gt;$H$4,"",IF(INDEX('Fleet dates'!$B$9:$B$1008,$I706-8)="","",INDEX('Fleet dates'!$B$9:$B$1008,$I706-8)))</x:f>
      </x:c>
      <x:c r="C706" s="51" t="str">
        <x:f>IF(698&gt;$H$4,"",IF(INDEX('Fleet dates'!$C$9:$C$1008,$I706-8)="","",INDEX('Fleet dates'!$C$9:$C$1008,$I706-8)))</x:f>
      </x:c>
      <x:c r="D706" s="51" t="str">
        <x:f>IF(698&gt;$H$4,"",IF(INDEX('Fleet dates'!$D$9:$D$1008,$I706-8)="","",INDEX('Fleet dates'!$D$9:$D$1008,$I706-8)))</x:f>
      </x:c>
      <x:c r="E706" s="51" t="str">
        <x:f>IF(698&gt;$H$4,"",IF(INDEX('Fleet dates'!$E$9:$E$1008,$I706-8)="","",INDEX('Fleet dates'!$E$9:$E$1008,$I706-8)))</x:f>
      </x:c>
      <x:c r="F706" s="51" t="str">
        <x:f>IF(698&gt;$H$4,"",IF(INDEX('Fleet dates'!$F$9:$F$1008,$I706-8)="","",INDEX('Fleet dates'!$F$9:$F$1008,$I706-8)))</x:f>
      </x:c>
      <x:c r="G706" s="50" t="str">
        <x:f>IF(698&gt;$H$4,"",IF(INDEX('Fleet dates'!$G$9:$G$1008,$I706-8)="","",INDEX('Fleet dates'!$G$9:$G$1008,$I706-8)))</x:f>
      </x:c>
      <x:c r="H706" s="50" t="str">
        <x:f>IF(698&gt;$H$4,"",IF(INDEX('Fleet dates'!$I$9:$I$1008,$I706-8)="","",INDEX('Fleet dates'!$I$9:$I$1008,$I706-8)))</x:f>
      </x:c>
      <x:c r="I706" t="str">
        <x:f>IF(698&gt;$H$4,"",MATCH(698,'Fleet dates'!$J$9:$J$1008,0)+8)</x:f>
      </x:c>
    </x:row>
    <x:row r="707" ht="36" customHeight="1">
      <x:c r="A707" s="50" t="str">
        <x:f>IF(699&gt;$H$4,"",IF(INDEX('Fleet dates'!$A$9:$A$1008,$I707-8)="","",INDEX('Fleet dates'!$A$9:$A$1008,$I707-8)))</x:f>
      </x:c>
      <x:c r="B707" s="50" t="str">
        <x:f>IF(699&gt;$H$4,"",IF(INDEX('Fleet dates'!$B$9:$B$1008,$I707-8)="","",INDEX('Fleet dates'!$B$9:$B$1008,$I707-8)))</x:f>
      </x:c>
      <x:c r="C707" s="51" t="str">
        <x:f>IF(699&gt;$H$4,"",IF(INDEX('Fleet dates'!$C$9:$C$1008,$I707-8)="","",INDEX('Fleet dates'!$C$9:$C$1008,$I707-8)))</x:f>
      </x:c>
      <x:c r="D707" s="51" t="str">
        <x:f>IF(699&gt;$H$4,"",IF(INDEX('Fleet dates'!$D$9:$D$1008,$I707-8)="","",INDEX('Fleet dates'!$D$9:$D$1008,$I707-8)))</x:f>
      </x:c>
      <x:c r="E707" s="51" t="str">
        <x:f>IF(699&gt;$H$4,"",IF(INDEX('Fleet dates'!$E$9:$E$1008,$I707-8)="","",INDEX('Fleet dates'!$E$9:$E$1008,$I707-8)))</x:f>
      </x:c>
      <x:c r="F707" s="51" t="str">
        <x:f>IF(699&gt;$H$4,"",IF(INDEX('Fleet dates'!$F$9:$F$1008,$I707-8)="","",INDEX('Fleet dates'!$F$9:$F$1008,$I707-8)))</x:f>
      </x:c>
      <x:c r="G707" s="50" t="str">
        <x:f>IF(699&gt;$H$4,"",IF(INDEX('Fleet dates'!$G$9:$G$1008,$I707-8)="","",INDEX('Fleet dates'!$G$9:$G$1008,$I707-8)))</x:f>
      </x:c>
      <x:c r="H707" s="50" t="str">
        <x:f>IF(699&gt;$H$4,"",IF(INDEX('Fleet dates'!$I$9:$I$1008,$I707-8)="","",INDEX('Fleet dates'!$I$9:$I$1008,$I707-8)))</x:f>
      </x:c>
      <x:c r="I707" t="str">
        <x:f>IF(699&gt;$H$4,"",MATCH(699,'Fleet dates'!$J$9:$J$1008,0)+8)</x:f>
      </x:c>
    </x:row>
    <x:row r="708" ht="36" customHeight="1">
      <x:c r="A708" s="50" t="str">
        <x:f>IF(700&gt;$H$4,"",IF(INDEX('Fleet dates'!$A$9:$A$1008,$I708-8)="","",INDEX('Fleet dates'!$A$9:$A$1008,$I708-8)))</x:f>
      </x:c>
      <x:c r="B708" s="50" t="str">
        <x:f>IF(700&gt;$H$4,"",IF(INDEX('Fleet dates'!$B$9:$B$1008,$I708-8)="","",INDEX('Fleet dates'!$B$9:$B$1008,$I708-8)))</x:f>
      </x:c>
      <x:c r="C708" s="51" t="str">
        <x:f>IF(700&gt;$H$4,"",IF(INDEX('Fleet dates'!$C$9:$C$1008,$I708-8)="","",INDEX('Fleet dates'!$C$9:$C$1008,$I708-8)))</x:f>
      </x:c>
      <x:c r="D708" s="51" t="str">
        <x:f>IF(700&gt;$H$4,"",IF(INDEX('Fleet dates'!$D$9:$D$1008,$I708-8)="","",INDEX('Fleet dates'!$D$9:$D$1008,$I708-8)))</x:f>
      </x:c>
      <x:c r="E708" s="51" t="str">
        <x:f>IF(700&gt;$H$4,"",IF(INDEX('Fleet dates'!$E$9:$E$1008,$I708-8)="","",INDEX('Fleet dates'!$E$9:$E$1008,$I708-8)))</x:f>
      </x:c>
      <x:c r="F708" s="51" t="str">
        <x:f>IF(700&gt;$H$4,"",IF(INDEX('Fleet dates'!$F$9:$F$1008,$I708-8)="","",INDEX('Fleet dates'!$F$9:$F$1008,$I708-8)))</x:f>
      </x:c>
      <x:c r="G708" s="50" t="str">
        <x:f>IF(700&gt;$H$4,"",IF(INDEX('Fleet dates'!$G$9:$G$1008,$I708-8)="","",INDEX('Fleet dates'!$G$9:$G$1008,$I708-8)))</x:f>
      </x:c>
      <x:c r="H708" s="50" t="str">
        <x:f>IF(700&gt;$H$4,"",IF(INDEX('Fleet dates'!$I$9:$I$1008,$I708-8)="","",INDEX('Fleet dates'!$I$9:$I$1008,$I708-8)))</x:f>
      </x:c>
      <x:c r="I708" t="str">
        <x:f>IF(700&gt;$H$4,"",MATCH(700,'Fleet dates'!$J$9:$J$1008,0)+8)</x:f>
      </x:c>
    </x:row>
    <x:row r="709" ht="36" customHeight="1">
      <x:c r="A709" s="50" t="str">
        <x:f>IF(701&gt;$H$4,"",IF(INDEX('Fleet dates'!$A$9:$A$1008,$I709-8)="","",INDEX('Fleet dates'!$A$9:$A$1008,$I709-8)))</x:f>
      </x:c>
      <x:c r="B709" s="50" t="str">
        <x:f>IF(701&gt;$H$4,"",IF(INDEX('Fleet dates'!$B$9:$B$1008,$I709-8)="","",INDEX('Fleet dates'!$B$9:$B$1008,$I709-8)))</x:f>
      </x:c>
      <x:c r="C709" s="51" t="str">
        <x:f>IF(701&gt;$H$4,"",IF(INDEX('Fleet dates'!$C$9:$C$1008,$I709-8)="","",INDEX('Fleet dates'!$C$9:$C$1008,$I709-8)))</x:f>
      </x:c>
      <x:c r="D709" s="51" t="str">
        <x:f>IF(701&gt;$H$4,"",IF(INDEX('Fleet dates'!$D$9:$D$1008,$I709-8)="","",INDEX('Fleet dates'!$D$9:$D$1008,$I709-8)))</x:f>
      </x:c>
      <x:c r="E709" s="51" t="str">
        <x:f>IF(701&gt;$H$4,"",IF(INDEX('Fleet dates'!$E$9:$E$1008,$I709-8)="","",INDEX('Fleet dates'!$E$9:$E$1008,$I709-8)))</x:f>
      </x:c>
      <x:c r="F709" s="51" t="str">
        <x:f>IF(701&gt;$H$4,"",IF(INDEX('Fleet dates'!$F$9:$F$1008,$I709-8)="","",INDEX('Fleet dates'!$F$9:$F$1008,$I709-8)))</x:f>
      </x:c>
      <x:c r="G709" s="50" t="str">
        <x:f>IF(701&gt;$H$4,"",IF(INDEX('Fleet dates'!$G$9:$G$1008,$I709-8)="","",INDEX('Fleet dates'!$G$9:$G$1008,$I709-8)))</x:f>
      </x:c>
      <x:c r="H709" s="50" t="str">
        <x:f>IF(701&gt;$H$4,"",IF(INDEX('Fleet dates'!$I$9:$I$1008,$I709-8)="","",INDEX('Fleet dates'!$I$9:$I$1008,$I709-8)))</x:f>
      </x:c>
      <x:c r="I709" t="str">
        <x:f>IF(701&gt;$H$4,"",MATCH(701,'Fleet dates'!$J$9:$J$1008,0)+8)</x:f>
      </x:c>
    </x:row>
    <x:row r="710" ht="36" customHeight="1">
      <x:c r="A710" s="50" t="str">
        <x:f>IF(702&gt;$H$4,"",IF(INDEX('Fleet dates'!$A$9:$A$1008,$I710-8)="","",INDEX('Fleet dates'!$A$9:$A$1008,$I710-8)))</x:f>
      </x:c>
      <x:c r="B710" s="50" t="str">
        <x:f>IF(702&gt;$H$4,"",IF(INDEX('Fleet dates'!$B$9:$B$1008,$I710-8)="","",INDEX('Fleet dates'!$B$9:$B$1008,$I710-8)))</x:f>
      </x:c>
      <x:c r="C710" s="51" t="str">
        <x:f>IF(702&gt;$H$4,"",IF(INDEX('Fleet dates'!$C$9:$C$1008,$I710-8)="","",INDEX('Fleet dates'!$C$9:$C$1008,$I710-8)))</x:f>
      </x:c>
      <x:c r="D710" s="51" t="str">
        <x:f>IF(702&gt;$H$4,"",IF(INDEX('Fleet dates'!$D$9:$D$1008,$I710-8)="","",INDEX('Fleet dates'!$D$9:$D$1008,$I710-8)))</x:f>
      </x:c>
      <x:c r="E710" s="51" t="str">
        <x:f>IF(702&gt;$H$4,"",IF(INDEX('Fleet dates'!$E$9:$E$1008,$I710-8)="","",INDEX('Fleet dates'!$E$9:$E$1008,$I710-8)))</x:f>
      </x:c>
      <x:c r="F710" s="51" t="str">
        <x:f>IF(702&gt;$H$4,"",IF(INDEX('Fleet dates'!$F$9:$F$1008,$I710-8)="","",INDEX('Fleet dates'!$F$9:$F$1008,$I710-8)))</x:f>
      </x:c>
      <x:c r="G710" s="50" t="str">
        <x:f>IF(702&gt;$H$4,"",IF(INDEX('Fleet dates'!$G$9:$G$1008,$I710-8)="","",INDEX('Fleet dates'!$G$9:$G$1008,$I710-8)))</x:f>
      </x:c>
      <x:c r="H710" s="50" t="str">
        <x:f>IF(702&gt;$H$4,"",IF(INDEX('Fleet dates'!$I$9:$I$1008,$I710-8)="","",INDEX('Fleet dates'!$I$9:$I$1008,$I710-8)))</x:f>
      </x:c>
      <x:c r="I710" t="str">
        <x:f>IF(702&gt;$H$4,"",MATCH(702,'Fleet dates'!$J$9:$J$1008,0)+8)</x:f>
      </x:c>
    </x:row>
    <x:row r="711" ht="36" customHeight="1">
      <x:c r="A711" s="50" t="str">
        <x:f>IF(703&gt;$H$4,"",IF(INDEX('Fleet dates'!$A$9:$A$1008,$I711-8)="","",INDEX('Fleet dates'!$A$9:$A$1008,$I711-8)))</x:f>
      </x:c>
      <x:c r="B711" s="50" t="str">
        <x:f>IF(703&gt;$H$4,"",IF(INDEX('Fleet dates'!$B$9:$B$1008,$I711-8)="","",INDEX('Fleet dates'!$B$9:$B$1008,$I711-8)))</x:f>
      </x:c>
      <x:c r="C711" s="51" t="str">
        <x:f>IF(703&gt;$H$4,"",IF(INDEX('Fleet dates'!$C$9:$C$1008,$I711-8)="","",INDEX('Fleet dates'!$C$9:$C$1008,$I711-8)))</x:f>
      </x:c>
      <x:c r="D711" s="51" t="str">
        <x:f>IF(703&gt;$H$4,"",IF(INDEX('Fleet dates'!$D$9:$D$1008,$I711-8)="","",INDEX('Fleet dates'!$D$9:$D$1008,$I711-8)))</x:f>
      </x:c>
      <x:c r="E711" s="51" t="str">
        <x:f>IF(703&gt;$H$4,"",IF(INDEX('Fleet dates'!$E$9:$E$1008,$I711-8)="","",INDEX('Fleet dates'!$E$9:$E$1008,$I711-8)))</x:f>
      </x:c>
      <x:c r="F711" s="51" t="str">
        <x:f>IF(703&gt;$H$4,"",IF(INDEX('Fleet dates'!$F$9:$F$1008,$I711-8)="","",INDEX('Fleet dates'!$F$9:$F$1008,$I711-8)))</x:f>
      </x:c>
      <x:c r="G711" s="50" t="str">
        <x:f>IF(703&gt;$H$4,"",IF(INDEX('Fleet dates'!$G$9:$G$1008,$I711-8)="","",INDEX('Fleet dates'!$G$9:$G$1008,$I711-8)))</x:f>
      </x:c>
      <x:c r="H711" s="50" t="str">
        <x:f>IF(703&gt;$H$4,"",IF(INDEX('Fleet dates'!$I$9:$I$1008,$I711-8)="","",INDEX('Fleet dates'!$I$9:$I$1008,$I711-8)))</x:f>
      </x:c>
      <x:c r="I711" t="str">
        <x:f>IF(703&gt;$H$4,"",MATCH(703,'Fleet dates'!$J$9:$J$1008,0)+8)</x:f>
      </x:c>
    </x:row>
    <x:row r="712" ht="36" customHeight="1">
      <x:c r="A712" s="50" t="str">
        <x:f>IF(704&gt;$H$4,"",IF(INDEX('Fleet dates'!$A$9:$A$1008,$I712-8)="","",INDEX('Fleet dates'!$A$9:$A$1008,$I712-8)))</x:f>
      </x:c>
      <x:c r="B712" s="50" t="str">
        <x:f>IF(704&gt;$H$4,"",IF(INDEX('Fleet dates'!$B$9:$B$1008,$I712-8)="","",INDEX('Fleet dates'!$B$9:$B$1008,$I712-8)))</x:f>
      </x:c>
      <x:c r="C712" s="51" t="str">
        <x:f>IF(704&gt;$H$4,"",IF(INDEX('Fleet dates'!$C$9:$C$1008,$I712-8)="","",INDEX('Fleet dates'!$C$9:$C$1008,$I712-8)))</x:f>
      </x:c>
      <x:c r="D712" s="51" t="str">
        <x:f>IF(704&gt;$H$4,"",IF(INDEX('Fleet dates'!$D$9:$D$1008,$I712-8)="","",INDEX('Fleet dates'!$D$9:$D$1008,$I712-8)))</x:f>
      </x:c>
      <x:c r="E712" s="51" t="str">
        <x:f>IF(704&gt;$H$4,"",IF(INDEX('Fleet dates'!$E$9:$E$1008,$I712-8)="","",INDEX('Fleet dates'!$E$9:$E$1008,$I712-8)))</x:f>
      </x:c>
      <x:c r="F712" s="51" t="str">
        <x:f>IF(704&gt;$H$4,"",IF(INDEX('Fleet dates'!$F$9:$F$1008,$I712-8)="","",INDEX('Fleet dates'!$F$9:$F$1008,$I712-8)))</x:f>
      </x:c>
      <x:c r="G712" s="50" t="str">
        <x:f>IF(704&gt;$H$4,"",IF(INDEX('Fleet dates'!$G$9:$G$1008,$I712-8)="","",INDEX('Fleet dates'!$G$9:$G$1008,$I712-8)))</x:f>
      </x:c>
      <x:c r="H712" s="50" t="str">
        <x:f>IF(704&gt;$H$4,"",IF(INDEX('Fleet dates'!$I$9:$I$1008,$I712-8)="","",INDEX('Fleet dates'!$I$9:$I$1008,$I712-8)))</x:f>
      </x:c>
      <x:c r="I712" t="str">
        <x:f>IF(704&gt;$H$4,"",MATCH(704,'Fleet dates'!$J$9:$J$1008,0)+8)</x:f>
      </x:c>
    </x:row>
    <x:row r="713" ht="36" customHeight="1">
      <x:c r="A713" s="50" t="str">
        <x:f>IF(705&gt;$H$4,"",IF(INDEX('Fleet dates'!$A$9:$A$1008,$I713-8)="","",INDEX('Fleet dates'!$A$9:$A$1008,$I713-8)))</x:f>
      </x:c>
      <x:c r="B713" s="50" t="str">
        <x:f>IF(705&gt;$H$4,"",IF(INDEX('Fleet dates'!$B$9:$B$1008,$I713-8)="","",INDEX('Fleet dates'!$B$9:$B$1008,$I713-8)))</x:f>
      </x:c>
      <x:c r="C713" s="51" t="str">
        <x:f>IF(705&gt;$H$4,"",IF(INDEX('Fleet dates'!$C$9:$C$1008,$I713-8)="","",INDEX('Fleet dates'!$C$9:$C$1008,$I713-8)))</x:f>
      </x:c>
      <x:c r="D713" s="51" t="str">
        <x:f>IF(705&gt;$H$4,"",IF(INDEX('Fleet dates'!$D$9:$D$1008,$I713-8)="","",INDEX('Fleet dates'!$D$9:$D$1008,$I713-8)))</x:f>
      </x:c>
      <x:c r="E713" s="51" t="str">
        <x:f>IF(705&gt;$H$4,"",IF(INDEX('Fleet dates'!$E$9:$E$1008,$I713-8)="","",INDEX('Fleet dates'!$E$9:$E$1008,$I713-8)))</x:f>
      </x:c>
      <x:c r="F713" s="51" t="str">
        <x:f>IF(705&gt;$H$4,"",IF(INDEX('Fleet dates'!$F$9:$F$1008,$I713-8)="","",INDEX('Fleet dates'!$F$9:$F$1008,$I713-8)))</x:f>
      </x:c>
      <x:c r="G713" s="50" t="str">
        <x:f>IF(705&gt;$H$4,"",IF(INDEX('Fleet dates'!$G$9:$G$1008,$I713-8)="","",INDEX('Fleet dates'!$G$9:$G$1008,$I713-8)))</x:f>
      </x:c>
      <x:c r="H713" s="50" t="str">
        <x:f>IF(705&gt;$H$4,"",IF(INDEX('Fleet dates'!$I$9:$I$1008,$I713-8)="","",INDEX('Fleet dates'!$I$9:$I$1008,$I713-8)))</x:f>
      </x:c>
      <x:c r="I713" t="str">
        <x:f>IF(705&gt;$H$4,"",MATCH(705,'Fleet dates'!$J$9:$J$1008,0)+8)</x:f>
      </x:c>
    </x:row>
    <x:row r="714" ht="36" customHeight="1">
      <x:c r="A714" s="50" t="str">
        <x:f>IF(706&gt;$H$4,"",IF(INDEX('Fleet dates'!$A$9:$A$1008,$I714-8)="","",INDEX('Fleet dates'!$A$9:$A$1008,$I714-8)))</x:f>
      </x:c>
      <x:c r="B714" s="50" t="str">
        <x:f>IF(706&gt;$H$4,"",IF(INDEX('Fleet dates'!$B$9:$B$1008,$I714-8)="","",INDEX('Fleet dates'!$B$9:$B$1008,$I714-8)))</x:f>
      </x:c>
      <x:c r="C714" s="51" t="str">
        <x:f>IF(706&gt;$H$4,"",IF(INDEX('Fleet dates'!$C$9:$C$1008,$I714-8)="","",INDEX('Fleet dates'!$C$9:$C$1008,$I714-8)))</x:f>
      </x:c>
      <x:c r="D714" s="51" t="str">
        <x:f>IF(706&gt;$H$4,"",IF(INDEX('Fleet dates'!$D$9:$D$1008,$I714-8)="","",INDEX('Fleet dates'!$D$9:$D$1008,$I714-8)))</x:f>
      </x:c>
      <x:c r="E714" s="51" t="str">
        <x:f>IF(706&gt;$H$4,"",IF(INDEX('Fleet dates'!$E$9:$E$1008,$I714-8)="","",INDEX('Fleet dates'!$E$9:$E$1008,$I714-8)))</x:f>
      </x:c>
      <x:c r="F714" s="51" t="str">
        <x:f>IF(706&gt;$H$4,"",IF(INDEX('Fleet dates'!$F$9:$F$1008,$I714-8)="","",INDEX('Fleet dates'!$F$9:$F$1008,$I714-8)))</x:f>
      </x:c>
      <x:c r="G714" s="50" t="str">
        <x:f>IF(706&gt;$H$4,"",IF(INDEX('Fleet dates'!$G$9:$G$1008,$I714-8)="","",INDEX('Fleet dates'!$G$9:$G$1008,$I714-8)))</x:f>
      </x:c>
      <x:c r="H714" s="50" t="str">
        <x:f>IF(706&gt;$H$4,"",IF(INDEX('Fleet dates'!$I$9:$I$1008,$I714-8)="","",INDEX('Fleet dates'!$I$9:$I$1008,$I714-8)))</x:f>
      </x:c>
      <x:c r="I714" t="str">
        <x:f>IF(706&gt;$H$4,"",MATCH(706,'Fleet dates'!$J$9:$J$1008,0)+8)</x:f>
      </x:c>
    </x:row>
    <x:row r="715" ht="36" customHeight="1">
      <x:c r="A715" s="50" t="str">
        <x:f>IF(707&gt;$H$4,"",IF(INDEX('Fleet dates'!$A$9:$A$1008,$I715-8)="","",INDEX('Fleet dates'!$A$9:$A$1008,$I715-8)))</x:f>
      </x:c>
      <x:c r="B715" s="50" t="str">
        <x:f>IF(707&gt;$H$4,"",IF(INDEX('Fleet dates'!$B$9:$B$1008,$I715-8)="","",INDEX('Fleet dates'!$B$9:$B$1008,$I715-8)))</x:f>
      </x:c>
      <x:c r="C715" s="51" t="str">
        <x:f>IF(707&gt;$H$4,"",IF(INDEX('Fleet dates'!$C$9:$C$1008,$I715-8)="","",INDEX('Fleet dates'!$C$9:$C$1008,$I715-8)))</x:f>
      </x:c>
      <x:c r="D715" s="51" t="str">
        <x:f>IF(707&gt;$H$4,"",IF(INDEX('Fleet dates'!$D$9:$D$1008,$I715-8)="","",INDEX('Fleet dates'!$D$9:$D$1008,$I715-8)))</x:f>
      </x:c>
      <x:c r="E715" s="51" t="str">
        <x:f>IF(707&gt;$H$4,"",IF(INDEX('Fleet dates'!$E$9:$E$1008,$I715-8)="","",INDEX('Fleet dates'!$E$9:$E$1008,$I715-8)))</x:f>
      </x:c>
      <x:c r="F715" s="51" t="str">
        <x:f>IF(707&gt;$H$4,"",IF(INDEX('Fleet dates'!$F$9:$F$1008,$I715-8)="","",INDEX('Fleet dates'!$F$9:$F$1008,$I715-8)))</x:f>
      </x:c>
      <x:c r="G715" s="50" t="str">
        <x:f>IF(707&gt;$H$4,"",IF(INDEX('Fleet dates'!$G$9:$G$1008,$I715-8)="","",INDEX('Fleet dates'!$G$9:$G$1008,$I715-8)))</x:f>
      </x:c>
      <x:c r="H715" s="50" t="str">
        <x:f>IF(707&gt;$H$4,"",IF(INDEX('Fleet dates'!$I$9:$I$1008,$I715-8)="","",INDEX('Fleet dates'!$I$9:$I$1008,$I715-8)))</x:f>
      </x:c>
      <x:c r="I715" t="str">
        <x:f>IF(707&gt;$H$4,"",MATCH(707,'Fleet dates'!$J$9:$J$1008,0)+8)</x:f>
      </x:c>
    </x:row>
    <x:row r="716" ht="36" customHeight="1">
      <x:c r="A716" s="50" t="str">
        <x:f>IF(708&gt;$H$4,"",IF(INDEX('Fleet dates'!$A$9:$A$1008,$I716-8)="","",INDEX('Fleet dates'!$A$9:$A$1008,$I716-8)))</x:f>
      </x:c>
      <x:c r="B716" s="50" t="str">
        <x:f>IF(708&gt;$H$4,"",IF(INDEX('Fleet dates'!$B$9:$B$1008,$I716-8)="","",INDEX('Fleet dates'!$B$9:$B$1008,$I716-8)))</x:f>
      </x:c>
      <x:c r="C716" s="51" t="str">
        <x:f>IF(708&gt;$H$4,"",IF(INDEX('Fleet dates'!$C$9:$C$1008,$I716-8)="","",INDEX('Fleet dates'!$C$9:$C$1008,$I716-8)))</x:f>
      </x:c>
      <x:c r="D716" s="51" t="str">
        <x:f>IF(708&gt;$H$4,"",IF(INDEX('Fleet dates'!$D$9:$D$1008,$I716-8)="","",INDEX('Fleet dates'!$D$9:$D$1008,$I716-8)))</x:f>
      </x:c>
      <x:c r="E716" s="51" t="str">
        <x:f>IF(708&gt;$H$4,"",IF(INDEX('Fleet dates'!$E$9:$E$1008,$I716-8)="","",INDEX('Fleet dates'!$E$9:$E$1008,$I716-8)))</x:f>
      </x:c>
      <x:c r="F716" s="51" t="str">
        <x:f>IF(708&gt;$H$4,"",IF(INDEX('Fleet dates'!$F$9:$F$1008,$I716-8)="","",INDEX('Fleet dates'!$F$9:$F$1008,$I716-8)))</x:f>
      </x:c>
      <x:c r="G716" s="50" t="str">
        <x:f>IF(708&gt;$H$4,"",IF(INDEX('Fleet dates'!$G$9:$G$1008,$I716-8)="","",INDEX('Fleet dates'!$G$9:$G$1008,$I716-8)))</x:f>
      </x:c>
      <x:c r="H716" s="50" t="str">
        <x:f>IF(708&gt;$H$4,"",IF(INDEX('Fleet dates'!$I$9:$I$1008,$I716-8)="","",INDEX('Fleet dates'!$I$9:$I$1008,$I716-8)))</x:f>
      </x:c>
      <x:c r="I716" t="str">
        <x:f>IF(708&gt;$H$4,"",MATCH(708,'Fleet dates'!$J$9:$J$1008,0)+8)</x:f>
      </x:c>
    </x:row>
    <x:row r="717" ht="36" customHeight="1">
      <x:c r="A717" s="50" t="str">
        <x:f>IF(709&gt;$H$4,"",IF(INDEX('Fleet dates'!$A$9:$A$1008,$I717-8)="","",INDEX('Fleet dates'!$A$9:$A$1008,$I717-8)))</x:f>
      </x:c>
      <x:c r="B717" s="50" t="str">
        <x:f>IF(709&gt;$H$4,"",IF(INDEX('Fleet dates'!$B$9:$B$1008,$I717-8)="","",INDEX('Fleet dates'!$B$9:$B$1008,$I717-8)))</x:f>
      </x:c>
      <x:c r="C717" s="51" t="str">
        <x:f>IF(709&gt;$H$4,"",IF(INDEX('Fleet dates'!$C$9:$C$1008,$I717-8)="","",INDEX('Fleet dates'!$C$9:$C$1008,$I717-8)))</x:f>
      </x:c>
      <x:c r="D717" s="51" t="str">
        <x:f>IF(709&gt;$H$4,"",IF(INDEX('Fleet dates'!$D$9:$D$1008,$I717-8)="","",INDEX('Fleet dates'!$D$9:$D$1008,$I717-8)))</x:f>
      </x:c>
      <x:c r="E717" s="51" t="str">
        <x:f>IF(709&gt;$H$4,"",IF(INDEX('Fleet dates'!$E$9:$E$1008,$I717-8)="","",INDEX('Fleet dates'!$E$9:$E$1008,$I717-8)))</x:f>
      </x:c>
      <x:c r="F717" s="51" t="str">
        <x:f>IF(709&gt;$H$4,"",IF(INDEX('Fleet dates'!$F$9:$F$1008,$I717-8)="","",INDEX('Fleet dates'!$F$9:$F$1008,$I717-8)))</x:f>
      </x:c>
      <x:c r="G717" s="50" t="str">
        <x:f>IF(709&gt;$H$4,"",IF(INDEX('Fleet dates'!$G$9:$G$1008,$I717-8)="","",INDEX('Fleet dates'!$G$9:$G$1008,$I717-8)))</x:f>
      </x:c>
      <x:c r="H717" s="50" t="str">
        <x:f>IF(709&gt;$H$4,"",IF(INDEX('Fleet dates'!$I$9:$I$1008,$I717-8)="","",INDEX('Fleet dates'!$I$9:$I$1008,$I717-8)))</x:f>
      </x:c>
      <x:c r="I717" t="str">
        <x:f>IF(709&gt;$H$4,"",MATCH(709,'Fleet dates'!$J$9:$J$1008,0)+8)</x:f>
      </x:c>
    </x:row>
    <x:row r="718" ht="36" customHeight="1">
      <x:c r="A718" s="50" t="str">
        <x:f>IF(710&gt;$H$4,"",IF(INDEX('Fleet dates'!$A$9:$A$1008,$I718-8)="","",INDEX('Fleet dates'!$A$9:$A$1008,$I718-8)))</x:f>
      </x:c>
      <x:c r="B718" s="50" t="str">
        <x:f>IF(710&gt;$H$4,"",IF(INDEX('Fleet dates'!$B$9:$B$1008,$I718-8)="","",INDEX('Fleet dates'!$B$9:$B$1008,$I718-8)))</x:f>
      </x:c>
      <x:c r="C718" s="51" t="str">
        <x:f>IF(710&gt;$H$4,"",IF(INDEX('Fleet dates'!$C$9:$C$1008,$I718-8)="","",INDEX('Fleet dates'!$C$9:$C$1008,$I718-8)))</x:f>
      </x:c>
      <x:c r="D718" s="51" t="str">
        <x:f>IF(710&gt;$H$4,"",IF(INDEX('Fleet dates'!$D$9:$D$1008,$I718-8)="","",INDEX('Fleet dates'!$D$9:$D$1008,$I718-8)))</x:f>
      </x:c>
      <x:c r="E718" s="51" t="str">
        <x:f>IF(710&gt;$H$4,"",IF(INDEX('Fleet dates'!$E$9:$E$1008,$I718-8)="","",INDEX('Fleet dates'!$E$9:$E$1008,$I718-8)))</x:f>
      </x:c>
      <x:c r="F718" s="51" t="str">
        <x:f>IF(710&gt;$H$4,"",IF(INDEX('Fleet dates'!$F$9:$F$1008,$I718-8)="","",INDEX('Fleet dates'!$F$9:$F$1008,$I718-8)))</x:f>
      </x:c>
      <x:c r="G718" s="50" t="str">
        <x:f>IF(710&gt;$H$4,"",IF(INDEX('Fleet dates'!$G$9:$G$1008,$I718-8)="","",INDEX('Fleet dates'!$G$9:$G$1008,$I718-8)))</x:f>
      </x:c>
      <x:c r="H718" s="50" t="str">
        <x:f>IF(710&gt;$H$4,"",IF(INDEX('Fleet dates'!$I$9:$I$1008,$I718-8)="","",INDEX('Fleet dates'!$I$9:$I$1008,$I718-8)))</x:f>
      </x:c>
      <x:c r="I718" t="str">
        <x:f>IF(710&gt;$H$4,"",MATCH(710,'Fleet dates'!$J$9:$J$1008,0)+8)</x:f>
      </x:c>
    </x:row>
    <x:row r="719" ht="36" customHeight="1">
      <x:c r="A719" s="50" t="str">
        <x:f>IF(711&gt;$H$4,"",IF(INDEX('Fleet dates'!$A$9:$A$1008,$I719-8)="","",INDEX('Fleet dates'!$A$9:$A$1008,$I719-8)))</x:f>
      </x:c>
      <x:c r="B719" s="50" t="str">
        <x:f>IF(711&gt;$H$4,"",IF(INDEX('Fleet dates'!$B$9:$B$1008,$I719-8)="","",INDEX('Fleet dates'!$B$9:$B$1008,$I719-8)))</x:f>
      </x:c>
      <x:c r="C719" s="51" t="str">
        <x:f>IF(711&gt;$H$4,"",IF(INDEX('Fleet dates'!$C$9:$C$1008,$I719-8)="","",INDEX('Fleet dates'!$C$9:$C$1008,$I719-8)))</x:f>
      </x:c>
      <x:c r="D719" s="51" t="str">
        <x:f>IF(711&gt;$H$4,"",IF(INDEX('Fleet dates'!$D$9:$D$1008,$I719-8)="","",INDEX('Fleet dates'!$D$9:$D$1008,$I719-8)))</x:f>
      </x:c>
      <x:c r="E719" s="51" t="str">
        <x:f>IF(711&gt;$H$4,"",IF(INDEX('Fleet dates'!$E$9:$E$1008,$I719-8)="","",INDEX('Fleet dates'!$E$9:$E$1008,$I719-8)))</x:f>
      </x:c>
      <x:c r="F719" s="51" t="str">
        <x:f>IF(711&gt;$H$4,"",IF(INDEX('Fleet dates'!$F$9:$F$1008,$I719-8)="","",INDEX('Fleet dates'!$F$9:$F$1008,$I719-8)))</x:f>
      </x:c>
      <x:c r="G719" s="50" t="str">
        <x:f>IF(711&gt;$H$4,"",IF(INDEX('Fleet dates'!$G$9:$G$1008,$I719-8)="","",INDEX('Fleet dates'!$G$9:$G$1008,$I719-8)))</x:f>
      </x:c>
      <x:c r="H719" s="50" t="str">
        <x:f>IF(711&gt;$H$4,"",IF(INDEX('Fleet dates'!$I$9:$I$1008,$I719-8)="","",INDEX('Fleet dates'!$I$9:$I$1008,$I719-8)))</x:f>
      </x:c>
      <x:c r="I719" t="str">
        <x:f>IF(711&gt;$H$4,"",MATCH(711,'Fleet dates'!$J$9:$J$1008,0)+8)</x:f>
      </x:c>
    </x:row>
    <x:row r="720" ht="36" customHeight="1">
      <x:c r="A720" s="50" t="str">
        <x:f>IF(712&gt;$H$4,"",IF(INDEX('Fleet dates'!$A$9:$A$1008,$I720-8)="","",INDEX('Fleet dates'!$A$9:$A$1008,$I720-8)))</x:f>
      </x:c>
      <x:c r="B720" s="50" t="str">
        <x:f>IF(712&gt;$H$4,"",IF(INDEX('Fleet dates'!$B$9:$B$1008,$I720-8)="","",INDEX('Fleet dates'!$B$9:$B$1008,$I720-8)))</x:f>
      </x:c>
      <x:c r="C720" s="51" t="str">
        <x:f>IF(712&gt;$H$4,"",IF(INDEX('Fleet dates'!$C$9:$C$1008,$I720-8)="","",INDEX('Fleet dates'!$C$9:$C$1008,$I720-8)))</x:f>
      </x:c>
      <x:c r="D720" s="51" t="str">
        <x:f>IF(712&gt;$H$4,"",IF(INDEX('Fleet dates'!$D$9:$D$1008,$I720-8)="","",INDEX('Fleet dates'!$D$9:$D$1008,$I720-8)))</x:f>
      </x:c>
      <x:c r="E720" s="51" t="str">
        <x:f>IF(712&gt;$H$4,"",IF(INDEX('Fleet dates'!$E$9:$E$1008,$I720-8)="","",INDEX('Fleet dates'!$E$9:$E$1008,$I720-8)))</x:f>
      </x:c>
      <x:c r="F720" s="51" t="str">
        <x:f>IF(712&gt;$H$4,"",IF(INDEX('Fleet dates'!$F$9:$F$1008,$I720-8)="","",INDEX('Fleet dates'!$F$9:$F$1008,$I720-8)))</x:f>
      </x:c>
      <x:c r="G720" s="50" t="str">
        <x:f>IF(712&gt;$H$4,"",IF(INDEX('Fleet dates'!$G$9:$G$1008,$I720-8)="","",INDEX('Fleet dates'!$G$9:$G$1008,$I720-8)))</x:f>
      </x:c>
      <x:c r="H720" s="50" t="str">
        <x:f>IF(712&gt;$H$4,"",IF(INDEX('Fleet dates'!$I$9:$I$1008,$I720-8)="","",INDEX('Fleet dates'!$I$9:$I$1008,$I720-8)))</x:f>
      </x:c>
      <x:c r="I720" t="str">
        <x:f>IF(712&gt;$H$4,"",MATCH(712,'Fleet dates'!$J$9:$J$1008,0)+8)</x:f>
      </x:c>
    </x:row>
    <x:row r="721" ht="36" customHeight="1">
      <x:c r="A721" s="50" t="str">
        <x:f>IF(713&gt;$H$4,"",IF(INDEX('Fleet dates'!$A$9:$A$1008,$I721-8)="","",INDEX('Fleet dates'!$A$9:$A$1008,$I721-8)))</x:f>
      </x:c>
      <x:c r="B721" s="50" t="str">
        <x:f>IF(713&gt;$H$4,"",IF(INDEX('Fleet dates'!$B$9:$B$1008,$I721-8)="","",INDEX('Fleet dates'!$B$9:$B$1008,$I721-8)))</x:f>
      </x:c>
      <x:c r="C721" s="51" t="str">
        <x:f>IF(713&gt;$H$4,"",IF(INDEX('Fleet dates'!$C$9:$C$1008,$I721-8)="","",INDEX('Fleet dates'!$C$9:$C$1008,$I721-8)))</x:f>
      </x:c>
      <x:c r="D721" s="51" t="str">
        <x:f>IF(713&gt;$H$4,"",IF(INDEX('Fleet dates'!$D$9:$D$1008,$I721-8)="","",INDEX('Fleet dates'!$D$9:$D$1008,$I721-8)))</x:f>
      </x:c>
      <x:c r="E721" s="51" t="str">
        <x:f>IF(713&gt;$H$4,"",IF(INDEX('Fleet dates'!$E$9:$E$1008,$I721-8)="","",INDEX('Fleet dates'!$E$9:$E$1008,$I721-8)))</x:f>
      </x:c>
      <x:c r="F721" s="51" t="str">
        <x:f>IF(713&gt;$H$4,"",IF(INDEX('Fleet dates'!$F$9:$F$1008,$I721-8)="","",INDEX('Fleet dates'!$F$9:$F$1008,$I721-8)))</x:f>
      </x:c>
      <x:c r="G721" s="50" t="str">
        <x:f>IF(713&gt;$H$4,"",IF(INDEX('Fleet dates'!$G$9:$G$1008,$I721-8)="","",INDEX('Fleet dates'!$G$9:$G$1008,$I721-8)))</x:f>
      </x:c>
      <x:c r="H721" s="50" t="str">
        <x:f>IF(713&gt;$H$4,"",IF(INDEX('Fleet dates'!$I$9:$I$1008,$I721-8)="","",INDEX('Fleet dates'!$I$9:$I$1008,$I721-8)))</x:f>
      </x:c>
      <x:c r="I721" t="str">
        <x:f>IF(713&gt;$H$4,"",MATCH(713,'Fleet dates'!$J$9:$J$1008,0)+8)</x:f>
      </x:c>
    </x:row>
    <x:row r="722" ht="36" customHeight="1">
      <x:c r="A722" s="50" t="str">
        <x:f>IF(714&gt;$H$4,"",IF(INDEX('Fleet dates'!$A$9:$A$1008,$I722-8)="","",INDEX('Fleet dates'!$A$9:$A$1008,$I722-8)))</x:f>
      </x:c>
      <x:c r="B722" s="50" t="str">
        <x:f>IF(714&gt;$H$4,"",IF(INDEX('Fleet dates'!$B$9:$B$1008,$I722-8)="","",INDEX('Fleet dates'!$B$9:$B$1008,$I722-8)))</x:f>
      </x:c>
      <x:c r="C722" s="51" t="str">
        <x:f>IF(714&gt;$H$4,"",IF(INDEX('Fleet dates'!$C$9:$C$1008,$I722-8)="","",INDEX('Fleet dates'!$C$9:$C$1008,$I722-8)))</x:f>
      </x:c>
      <x:c r="D722" s="51" t="str">
        <x:f>IF(714&gt;$H$4,"",IF(INDEX('Fleet dates'!$D$9:$D$1008,$I722-8)="","",INDEX('Fleet dates'!$D$9:$D$1008,$I722-8)))</x:f>
      </x:c>
      <x:c r="E722" s="51" t="str">
        <x:f>IF(714&gt;$H$4,"",IF(INDEX('Fleet dates'!$E$9:$E$1008,$I722-8)="","",INDEX('Fleet dates'!$E$9:$E$1008,$I722-8)))</x:f>
      </x:c>
      <x:c r="F722" s="51" t="str">
        <x:f>IF(714&gt;$H$4,"",IF(INDEX('Fleet dates'!$F$9:$F$1008,$I722-8)="","",INDEX('Fleet dates'!$F$9:$F$1008,$I722-8)))</x:f>
      </x:c>
      <x:c r="G722" s="50" t="str">
        <x:f>IF(714&gt;$H$4,"",IF(INDEX('Fleet dates'!$G$9:$G$1008,$I722-8)="","",INDEX('Fleet dates'!$G$9:$G$1008,$I722-8)))</x:f>
      </x:c>
      <x:c r="H722" s="50" t="str">
        <x:f>IF(714&gt;$H$4,"",IF(INDEX('Fleet dates'!$I$9:$I$1008,$I722-8)="","",INDEX('Fleet dates'!$I$9:$I$1008,$I722-8)))</x:f>
      </x:c>
      <x:c r="I722" t="str">
        <x:f>IF(714&gt;$H$4,"",MATCH(714,'Fleet dates'!$J$9:$J$1008,0)+8)</x:f>
      </x:c>
    </x:row>
    <x:row r="723" ht="36" customHeight="1">
      <x:c r="A723" s="50" t="str">
        <x:f>IF(715&gt;$H$4,"",IF(INDEX('Fleet dates'!$A$9:$A$1008,$I723-8)="","",INDEX('Fleet dates'!$A$9:$A$1008,$I723-8)))</x:f>
      </x:c>
      <x:c r="B723" s="50" t="str">
        <x:f>IF(715&gt;$H$4,"",IF(INDEX('Fleet dates'!$B$9:$B$1008,$I723-8)="","",INDEX('Fleet dates'!$B$9:$B$1008,$I723-8)))</x:f>
      </x:c>
      <x:c r="C723" s="51" t="str">
        <x:f>IF(715&gt;$H$4,"",IF(INDEX('Fleet dates'!$C$9:$C$1008,$I723-8)="","",INDEX('Fleet dates'!$C$9:$C$1008,$I723-8)))</x:f>
      </x:c>
      <x:c r="D723" s="51" t="str">
        <x:f>IF(715&gt;$H$4,"",IF(INDEX('Fleet dates'!$D$9:$D$1008,$I723-8)="","",INDEX('Fleet dates'!$D$9:$D$1008,$I723-8)))</x:f>
      </x:c>
      <x:c r="E723" s="51" t="str">
        <x:f>IF(715&gt;$H$4,"",IF(INDEX('Fleet dates'!$E$9:$E$1008,$I723-8)="","",INDEX('Fleet dates'!$E$9:$E$1008,$I723-8)))</x:f>
      </x:c>
      <x:c r="F723" s="51" t="str">
        <x:f>IF(715&gt;$H$4,"",IF(INDEX('Fleet dates'!$F$9:$F$1008,$I723-8)="","",INDEX('Fleet dates'!$F$9:$F$1008,$I723-8)))</x:f>
      </x:c>
      <x:c r="G723" s="50" t="str">
        <x:f>IF(715&gt;$H$4,"",IF(INDEX('Fleet dates'!$G$9:$G$1008,$I723-8)="","",INDEX('Fleet dates'!$G$9:$G$1008,$I723-8)))</x:f>
      </x:c>
      <x:c r="H723" s="50" t="str">
        <x:f>IF(715&gt;$H$4,"",IF(INDEX('Fleet dates'!$I$9:$I$1008,$I723-8)="","",INDEX('Fleet dates'!$I$9:$I$1008,$I723-8)))</x:f>
      </x:c>
      <x:c r="I723" t="str">
        <x:f>IF(715&gt;$H$4,"",MATCH(715,'Fleet dates'!$J$9:$J$1008,0)+8)</x:f>
      </x:c>
    </x:row>
    <x:row r="724" ht="36" customHeight="1">
      <x:c r="A724" s="50" t="str">
        <x:f>IF(716&gt;$H$4,"",IF(INDEX('Fleet dates'!$A$9:$A$1008,$I724-8)="","",INDEX('Fleet dates'!$A$9:$A$1008,$I724-8)))</x:f>
      </x:c>
      <x:c r="B724" s="50" t="str">
        <x:f>IF(716&gt;$H$4,"",IF(INDEX('Fleet dates'!$B$9:$B$1008,$I724-8)="","",INDEX('Fleet dates'!$B$9:$B$1008,$I724-8)))</x:f>
      </x:c>
      <x:c r="C724" s="51" t="str">
        <x:f>IF(716&gt;$H$4,"",IF(INDEX('Fleet dates'!$C$9:$C$1008,$I724-8)="","",INDEX('Fleet dates'!$C$9:$C$1008,$I724-8)))</x:f>
      </x:c>
      <x:c r="D724" s="51" t="str">
        <x:f>IF(716&gt;$H$4,"",IF(INDEX('Fleet dates'!$D$9:$D$1008,$I724-8)="","",INDEX('Fleet dates'!$D$9:$D$1008,$I724-8)))</x:f>
      </x:c>
      <x:c r="E724" s="51" t="str">
        <x:f>IF(716&gt;$H$4,"",IF(INDEX('Fleet dates'!$E$9:$E$1008,$I724-8)="","",INDEX('Fleet dates'!$E$9:$E$1008,$I724-8)))</x:f>
      </x:c>
      <x:c r="F724" s="51" t="str">
        <x:f>IF(716&gt;$H$4,"",IF(INDEX('Fleet dates'!$F$9:$F$1008,$I724-8)="","",INDEX('Fleet dates'!$F$9:$F$1008,$I724-8)))</x:f>
      </x:c>
      <x:c r="G724" s="50" t="str">
        <x:f>IF(716&gt;$H$4,"",IF(INDEX('Fleet dates'!$G$9:$G$1008,$I724-8)="","",INDEX('Fleet dates'!$G$9:$G$1008,$I724-8)))</x:f>
      </x:c>
      <x:c r="H724" s="50" t="str">
        <x:f>IF(716&gt;$H$4,"",IF(INDEX('Fleet dates'!$I$9:$I$1008,$I724-8)="","",INDEX('Fleet dates'!$I$9:$I$1008,$I724-8)))</x:f>
      </x:c>
      <x:c r="I724" t="str">
        <x:f>IF(716&gt;$H$4,"",MATCH(716,'Fleet dates'!$J$9:$J$1008,0)+8)</x:f>
      </x:c>
    </x:row>
    <x:row r="725" ht="36" customHeight="1">
      <x:c r="A725" s="50" t="str">
        <x:f>IF(717&gt;$H$4,"",IF(INDEX('Fleet dates'!$A$9:$A$1008,$I725-8)="","",INDEX('Fleet dates'!$A$9:$A$1008,$I725-8)))</x:f>
      </x:c>
      <x:c r="B725" s="50" t="str">
        <x:f>IF(717&gt;$H$4,"",IF(INDEX('Fleet dates'!$B$9:$B$1008,$I725-8)="","",INDEX('Fleet dates'!$B$9:$B$1008,$I725-8)))</x:f>
      </x:c>
      <x:c r="C725" s="51" t="str">
        <x:f>IF(717&gt;$H$4,"",IF(INDEX('Fleet dates'!$C$9:$C$1008,$I725-8)="","",INDEX('Fleet dates'!$C$9:$C$1008,$I725-8)))</x:f>
      </x:c>
      <x:c r="D725" s="51" t="str">
        <x:f>IF(717&gt;$H$4,"",IF(INDEX('Fleet dates'!$D$9:$D$1008,$I725-8)="","",INDEX('Fleet dates'!$D$9:$D$1008,$I725-8)))</x:f>
      </x:c>
      <x:c r="E725" s="51" t="str">
        <x:f>IF(717&gt;$H$4,"",IF(INDEX('Fleet dates'!$E$9:$E$1008,$I725-8)="","",INDEX('Fleet dates'!$E$9:$E$1008,$I725-8)))</x:f>
      </x:c>
      <x:c r="F725" s="51" t="str">
        <x:f>IF(717&gt;$H$4,"",IF(INDEX('Fleet dates'!$F$9:$F$1008,$I725-8)="","",INDEX('Fleet dates'!$F$9:$F$1008,$I725-8)))</x:f>
      </x:c>
      <x:c r="G725" s="50" t="str">
        <x:f>IF(717&gt;$H$4,"",IF(INDEX('Fleet dates'!$G$9:$G$1008,$I725-8)="","",INDEX('Fleet dates'!$G$9:$G$1008,$I725-8)))</x:f>
      </x:c>
      <x:c r="H725" s="50" t="str">
        <x:f>IF(717&gt;$H$4,"",IF(INDEX('Fleet dates'!$I$9:$I$1008,$I725-8)="","",INDEX('Fleet dates'!$I$9:$I$1008,$I725-8)))</x:f>
      </x:c>
      <x:c r="I725" t="str">
        <x:f>IF(717&gt;$H$4,"",MATCH(717,'Fleet dates'!$J$9:$J$1008,0)+8)</x:f>
      </x:c>
    </x:row>
    <x:row r="726" ht="36" customHeight="1">
      <x:c r="A726" s="50" t="str">
        <x:f>IF(718&gt;$H$4,"",IF(INDEX('Fleet dates'!$A$9:$A$1008,$I726-8)="","",INDEX('Fleet dates'!$A$9:$A$1008,$I726-8)))</x:f>
      </x:c>
      <x:c r="B726" s="50" t="str">
        <x:f>IF(718&gt;$H$4,"",IF(INDEX('Fleet dates'!$B$9:$B$1008,$I726-8)="","",INDEX('Fleet dates'!$B$9:$B$1008,$I726-8)))</x:f>
      </x:c>
      <x:c r="C726" s="51" t="str">
        <x:f>IF(718&gt;$H$4,"",IF(INDEX('Fleet dates'!$C$9:$C$1008,$I726-8)="","",INDEX('Fleet dates'!$C$9:$C$1008,$I726-8)))</x:f>
      </x:c>
      <x:c r="D726" s="51" t="str">
        <x:f>IF(718&gt;$H$4,"",IF(INDEX('Fleet dates'!$D$9:$D$1008,$I726-8)="","",INDEX('Fleet dates'!$D$9:$D$1008,$I726-8)))</x:f>
      </x:c>
      <x:c r="E726" s="51" t="str">
        <x:f>IF(718&gt;$H$4,"",IF(INDEX('Fleet dates'!$E$9:$E$1008,$I726-8)="","",INDEX('Fleet dates'!$E$9:$E$1008,$I726-8)))</x:f>
      </x:c>
      <x:c r="F726" s="51" t="str">
        <x:f>IF(718&gt;$H$4,"",IF(INDEX('Fleet dates'!$F$9:$F$1008,$I726-8)="","",INDEX('Fleet dates'!$F$9:$F$1008,$I726-8)))</x:f>
      </x:c>
      <x:c r="G726" s="50" t="str">
        <x:f>IF(718&gt;$H$4,"",IF(INDEX('Fleet dates'!$G$9:$G$1008,$I726-8)="","",INDEX('Fleet dates'!$G$9:$G$1008,$I726-8)))</x:f>
      </x:c>
      <x:c r="H726" s="50" t="str">
        <x:f>IF(718&gt;$H$4,"",IF(INDEX('Fleet dates'!$I$9:$I$1008,$I726-8)="","",INDEX('Fleet dates'!$I$9:$I$1008,$I726-8)))</x:f>
      </x:c>
      <x:c r="I726" t="str">
        <x:f>IF(718&gt;$H$4,"",MATCH(718,'Fleet dates'!$J$9:$J$1008,0)+8)</x:f>
      </x:c>
    </x:row>
    <x:row r="727" ht="36" customHeight="1">
      <x:c r="A727" s="50" t="str">
        <x:f>IF(719&gt;$H$4,"",IF(INDEX('Fleet dates'!$A$9:$A$1008,$I727-8)="","",INDEX('Fleet dates'!$A$9:$A$1008,$I727-8)))</x:f>
      </x:c>
      <x:c r="B727" s="50" t="str">
        <x:f>IF(719&gt;$H$4,"",IF(INDEX('Fleet dates'!$B$9:$B$1008,$I727-8)="","",INDEX('Fleet dates'!$B$9:$B$1008,$I727-8)))</x:f>
      </x:c>
      <x:c r="C727" s="51" t="str">
        <x:f>IF(719&gt;$H$4,"",IF(INDEX('Fleet dates'!$C$9:$C$1008,$I727-8)="","",INDEX('Fleet dates'!$C$9:$C$1008,$I727-8)))</x:f>
      </x:c>
      <x:c r="D727" s="51" t="str">
        <x:f>IF(719&gt;$H$4,"",IF(INDEX('Fleet dates'!$D$9:$D$1008,$I727-8)="","",INDEX('Fleet dates'!$D$9:$D$1008,$I727-8)))</x:f>
      </x:c>
      <x:c r="E727" s="51" t="str">
        <x:f>IF(719&gt;$H$4,"",IF(INDEX('Fleet dates'!$E$9:$E$1008,$I727-8)="","",INDEX('Fleet dates'!$E$9:$E$1008,$I727-8)))</x:f>
      </x:c>
      <x:c r="F727" s="51" t="str">
        <x:f>IF(719&gt;$H$4,"",IF(INDEX('Fleet dates'!$F$9:$F$1008,$I727-8)="","",INDEX('Fleet dates'!$F$9:$F$1008,$I727-8)))</x:f>
      </x:c>
      <x:c r="G727" s="50" t="str">
        <x:f>IF(719&gt;$H$4,"",IF(INDEX('Fleet dates'!$G$9:$G$1008,$I727-8)="","",INDEX('Fleet dates'!$G$9:$G$1008,$I727-8)))</x:f>
      </x:c>
      <x:c r="H727" s="50" t="str">
        <x:f>IF(719&gt;$H$4,"",IF(INDEX('Fleet dates'!$I$9:$I$1008,$I727-8)="","",INDEX('Fleet dates'!$I$9:$I$1008,$I727-8)))</x:f>
      </x:c>
      <x:c r="I727" t="str">
        <x:f>IF(719&gt;$H$4,"",MATCH(719,'Fleet dates'!$J$9:$J$1008,0)+8)</x:f>
      </x:c>
    </x:row>
    <x:row r="728" ht="36" customHeight="1">
      <x:c r="A728" s="50" t="str">
        <x:f>IF(720&gt;$H$4,"",IF(INDEX('Fleet dates'!$A$9:$A$1008,$I728-8)="","",INDEX('Fleet dates'!$A$9:$A$1008,$I728-8)))</x:f>
      </x:c>
      <x:c r="B728" s="50" t="str">
        <x:f>IF(720&gt;$H$4,"",IF(INDEX('Fleet dates'!$B$9:$B$1008,$I728-8)="","",INDEX('Fleet dates'!$B$9:$B$1008,$I728-8)))</x:f>
      </x:c>
      <x:c r="C728" s="51" t="str">
        <x:f>IF(720&gt;$H$4,"",IF(INDEX('Fleet dates'!$C$9:$C$1008,$I728-8)="","",INDEX('Fleet dates'!$C$9:$C$1008,$I728-8)))</x:f>
      </x:c>
      <x:c r="D728" s="51" t="str">
        <x:f>IF(720&gt;$H$4,"",IF(INDEX('Fleet dates'!$D$9:$D$1008,$I728-8)="","",INDEX('Fleet dates'!$D$9:$D$1008,$I728-8)))</x:f>
      </x:c>
      <x:c r="E728" s="51" t="str">
        <x:f>IF(720&gt;$H$4,"",IF(INDEX('Fleet dates'!$E$9:$E$1008,$I728-8)="","",INDEX('Fleet dates'!$E$9:$E$1008,$I728-8)))</x:f>
      </x:c>
      <x:c r="F728" s="51" t="str">
        <x:f>IF(720&gt;$H$4,"",IF(INDEX('Fleet dates'!$F$9:$F$1008,$I728-8)="","",INDEX('Fleet dates'!$F$9:$F$1008,$I728-8)))</x:f>
      </x:c>
      <x:c r="G728" s="50" t="str">
        <x:f>IF(720&gt;$H$4,"",IF(INDEX('Fleet dates'!$G$9:$G$1008,$I728-8)="","",INDEX('Fleet dates'!$G$9:$G$1008,$I728-8)))</x:f>
      </x:c>
      <x:c r="H728" s="50" t="str">
        <x:f>IF(720&gt;$H$4,"",IF(INDEX('Fleet dates'!$I$9:$I$1008,$I728-8)="","",INDEX('Fleet dates'!$I$9:$I$1008,$I728-8)))</x:f>
      </x:c>
      <x:c r="I728" t="str">
        <x:f>IF(720&gt;$H$4,"",MATCH(720,'Fleet dates'!$J$9:$J$1008,0)+8)</x:f>
      </x:c>
    </x:row>
    <x:row r="729" ht="36" customHeight="1">
      <x:c r="A729" s="50" t="str">
        <x:f>IF(721&gt;$H$4,"",IF(INDEX('Fleet dates'!$A$9:$A$1008,$I729-8)="","",INDEX('Fleet dates'!$A$9:$A$1008,$I729-8)))</x:f>
      </x:c>
      <x:c r="B729" s="50" t="str">
        <x:f>IF(721&gt;$H$4,"",IF(INDEX('Fleet dates'!$B$9:$B$1008,$I729-8)="","",INDEX('Fleet dates'!$B$9:$B$1008,$I729-8)))</x:f>
      </x:c>
      <x:c r="C729" s="51" t="str">
        <x:f>IF(721&gt;$H$4,"",IF(INDEX('Fleet dates'!$C$9:$C$1008,$I729-8)="","",INDEX('Fleet dates'!$C$9:$C$1008,$I729-8)))</x:f>
      </x:c>
      <x:c r="D729" s="51" t="str">
        <x:f>IF(721&gt;$H$4,"",IF(INDEX('Fleet dates'!$D$9:$D$1008,$I729-8)="","",INDEX('Fleet dates'!$D$9:$D$1008,$I729-8)))</x:f>
      </x:c>
      <x:c r="E729" s="51" t="str">
        <x:f>IF(721&gt;$H$4,"",IF(INDEX('Fleet dates'!$E$9:$E$1008,$I729-8)="","",INDEX('Fleet dates'!$E$9:$E$1008,$I729-8)))</x:f>
      </x:c>
      <x:c r="F729" s="51" t="str">
        <x:f>IF(721&gt;$H$4,"",IF(INDEX('Fleet dates'!$F$9:$F$1008,$I729-8)="","",INDEX('Fleet dates'!$F$9:$F$1008,$I729-8)))</x:f>
      </x:c>
      <x:c r="G729" s="50" t="str">
        <x:f>IF(721&gt;$H$4,"",IF(INDEX('Fleet dates'!$G$9:$G$1008,$I729-8)="","",INDEX('Fleet dates'!$G$9:$G$1008,$I729-8)))</x:f>
      </x:c>
      <x:c r="H729" s="50" t="str">
        <x:f>IF(721&gt;$H$4,"",IF(INDEX('Fleet dates'!$I$9:$I$1008,$I729-8)="","",INDEX('Fleet dates'!$I$9:$I$1008,$I729-8)))</x:f>
      </x:c>
      <x:c r="I729" t="str">
        <x:f>IF(721&gt;$H$4,"",MATCH(721,'Fleet dates'!$J$9:$J$1008,0)+8)</x:f>
      </x:c>
    </x:row>
    <x:row r="730" ht="36" customHeight="1">
      <x:c r="A730" s="50" t="str">
        <x:f>IF(722&gt;$H$4,"",IF(INDEX('Fleet dates'!$A$9:$A$1008,$I730-8)="","",INDEX('Fleet dates'!$A$9:$A$1008,$I730-8)))</x:f>
      </x:c>
      <x:c r="B730" s="50" t="str">
        <x:f>IF(722&gt;$H$4,"",IF(INDEX('Fleet dates'!$B$9:$B$1008,$I730-8)="","",INDEX('Fleet dates'!$B$9:$B$1008,$I730-8)))</x:f>
      </x:c>
      <x:c r="C730" s="51" t="str">
        <x:f>IF(722&gt;$H$4,"",IF(INDEX('Fleet dates'!$C$9:$C$1008,$I730-8)="","",INDEX('Fleet dates'!$C$9:$C$1008,$I730-8)))</x:f>
      </x:c>
      <x:c r="D730" s="51" t="str">
        <x:f>IF(722&gt;$H$4,"",IF(INDEX('Fleet dates'!$D$9:$D$1008,$I730-8)="","",INDEX('Fleet dates'!$D$9:$D$1008,$I730-8)))</x:f>
      </x:c>
      <x:c r="E730" s="51" t="str">
        <x:f>IF(722&gt;$H$4,"",IF(INDEX('Fleet dates'!$E$9:$E$1008,$I730-8)="","",INDEX('Fleet dates'!$E$9:$E$1008,$I730-8)))</x:f>
      </x:c>
      <x:c r="F730" s="51" t="str">
        <x:f>IF(722&gt;$H$4,"",IF(INDEX('Fleet dates'!$F$9:$F$1008,$I730-8)="","",INDEX('Fleet dates'!$F$9:$F$1008,$I730-8)))</x:f>
      </x:c>
      <x:c r="G730" s="50" t="str">
        <x:f>IF(722&gt;$H$4,"",IF(INDEX('Fleet dates'!$G$9:$G$1008,$I730-8)="","",INDEX('Fleet dates'!$G$9:$G$1008,$I730-8)))</x:f>
      </x:c>
      <x:c r="H730" s="50" t="str">
        <x:f>IF(722&gt;$H$4,"",IF(INDEX('Fleet dates'!$I$9:$I$1008,$I730-8)="","",INDEX('Fleet dates'!$I$9:$I$1008,$I730-8)))</x:f>
      </x:c>
      <x:c r="I730" t="str">
        <x:f>IF(722&gt;$H$4,"",MATCH(722,'Fleet dates'!$J$9:$J$1008,0)+8)</x:f>
      </x:c>
    </x:row>
    <x:row r="731" ht="36" customHeight="1">
      <x:c r="A731" s="50" t="str">
        <x:f>IF(723&gt;$H$4,"",IF(INDEX('Fleet dates'!$A$9:$A$1008,$I731-8)="","",INDEX('Fleet dates'!$A$9:$A$1008,$I731-8)))</x:f>
      </x:c>
      <x:c r="B731" s="50" t="str">
        <x:f>IF(723&gt;$H$4,"",IF(INDEX('Fleet dates'!$B$9:$B$1008,$I731-8)="","",INDEX('Fleet dates'!$B$9:$B$1008,$I731-8)))</x:f>
      </x:c>
      <x:c r="C731" s="51" t="str">
        <x:f>IF(723&gt;$H$4,"",IF(INDEX('Fleet dates'!$C$9:$C$1008,$I731-8)="","",INDEX('Fleet dates'!$C$9:$C$1008,$I731-8)))</x:f>
      </x:c>
      <x:c r="D731" s="51" t="str">
        <x:f>IF(723&gt;$H$4,"",IF(INDEX('Fleet dates'!$D$9:$D$1008,$I731-8)="","",INDEX('Fleet dates'!$D$9:$D$1008,$I731-8)))</x:f>
      </x:c>
      <x:c r="E731" s="51" t="str">
        <x:f>IF(723&gt;$H$4,"",IF(INDEX('Fleet dates'!$E$9:$E$1008,$I731-8)="","",INDEX('Fleet dates'!$E$9:$E$1008,$I731-8)))</x:f>
      </x:c>
      <x:c r="F731" s="51" t="str">
        <x:f>IF(723&gt;$H$4,"",IF(INDEX('Fleet dates'!$F$9:$F$1008,$I731-8)="","",INDEX('Fleet dates'!$F$9:$F$1008,$I731-8)))</x:f>
      </x:c>
      <x:c r="G731" s="50" t="str">
        <x:f>IF(723&gt;$H$4,"",IF(INDEX('Fleet dates'!$G$9:$G$1008,$I731-8)="","",INDEX('Fleet dates'!$G$9:$G$1008,$I731-8)))</x:f>
      </x:c>
      <x:c r="H731" s="50" t="str">
        <x:f>IF(723&gt;$H$4,"",IF(INDEX('Fleet dates'!$I$9:$I$1008,$I731-8)="","",INDEX('Fleet dates'!$I$9:$I$1008,$I731-8)))</x:f>
      </x:c>
      <x:c r="I731" t="str">
        <x:f>IF(723&gt;$H$4,"",MATCH(723,'Fleet dates'!$J$9:$J$1008,0)+8)</x:f>
      </x:c>
    </x:row>
    <x:row r="732" ht="36" customHeight="1">
      <x:c r="A732" s="50" t="str">
        <x:f>IF(724&gt;$H$4,"",IF(INDEX('Fleet dates'!$A$9:$A$1008,$I732-8)="","",INDEX('Fleet dates'!$A$9:$A$1008,$I732-8)))</x:f>
      </x:c>
      <x:c r="B732" s="50" t="str">
        <x:f>IF(724&gt;$H$4,"",IF(INDEX('Fleet dates'!$B$9:$B$1008,$I732-8)="","",INDEX('Fleet dates'!$B$9:$B$1008,$I732-8)))</x:f>
      </x:c>
      <x:c r="C732" s="51" t="str">
        <x:f>IF(724&gt;$H$4,"",IF(INDEX('Fleet dates'!$C$9:$C$1008,$I732-8)="","",INDEX('Fleet dates'!$C$9:$C$1008,$I732-8)))</x:f>
      </x:c>
      <x:c r="D732" s="51" t="str">
        <x:f>IF(724&gt;$H$4,"",IF(INDEX('Fleet dates'!$D$9:$D$1008,$I732-8)="","",INDEX('Fleet dates'!$D$9:$D$1008,$I732-8)))</x:f>
      </x:c>
      <x:c r="E732" s="51" t="str">
        <x:f>IF(724&gt;$H$4,"",IF(INDEX('Fleet dates'!$E$9:$E$1008,$I732-8)="","",INDEX('Fleet dates'!$E$9:$E$1008,$I732-8)))</x:f>
      </x:c>
      <x:c r="F732" s="51" t="str">
        <x:f>IF(724&gt;$H$4,"",IF(INDEX('Fleet dates'!$F$9:$F$1008,$I732-8)="","",INDEX('Fleet dates'!$F$9:$F$1008,$I732-8)))</x:f>
      </x:c>
      <x:c r="G732" s="50" t="str">
        <x:f>IF(724&gt;$H$4,"",IF(INDEX('Fleet dates'!$G$9:$G$1008,$I732-8)="","",INDEX('Fleet dates'!$G$9:$G$1008,$I732-8)))</x:f>
      </x:c>
      <x:c r="H732" s="50" t="str">
        <x:f>IF(724&gt;$H$4,"",IF(INDEX('Fleet dates'!$I$9:$I$1008,$I732-8)="","",INDEX('Fleet dates'!$I$9:$I$1008,$I732-8)))</x:f>
      </x:c>
      <x:c r="I732" t="str">
        <x:f>IF(724&gt;$H$4,"",MATCH(724,'Fleet dates'!$J$9:$J$1008,0)+8)</x:f>
      </x:c>
    </x:row>
    <x:row r="733" ht="36" customHeight="1">
      <x:c r="A733" s="50" t="str">
        <x:f>IF(725&gt;$H$4,"",IF(INDEX('Fleet dates'!$A$9:$A$1008,$I733-8)="","",INDEX('Fleet dates'!$A$9:$A$1008,$I733-8)))</x:f>
      </x:c>
      <x:c r="B733" s="50" t="str">
        <x:f>IF(725&gt;$H$4,"",IF(INDEX('Fleet dates'!$B$9:$B$1008,$I733-8)="","",INDEX('Fleet dates'!$B$9:$B$1008,$I733-8)))</x:f>
      </x:c>
      <x:c r="C733" s="51" t="str">
        <x:f>IF(725&gt;$H$4,"",IF(INDEX('Fleet dates'!$C$9:$C$1008,$I733-8)="","",INDEX('Fleet dates'!$C$9:$C$1008,$I733-8)))</x:f>
      </x:c>
      <x:c r="D733" s="51" t="str">
        <x:f>IF(725&gt;$H$4,"",IF(INDEX('Fleet dates'!$D$9:$D$1008,$I733-8)="","",INDEX('Fleet dates'!$D$9:$D$1008,$I733-8)))</x:f>
      </x:c>
      <x:c r="E733" s="51" t="str">
        <x:f>IF(725&gt;$H$4,"",IF(INDEX('Fleet dates'!$E$9:$E$1008,$I733-8)="","",INDEX('Fleet dates'!$E$9:$E$1008,$I733-8)))</x:f>
      </x:c>
      <x:c r="F733" s="51" t="str">
        <x:f>IF(725&gt;$H$4,"",IF(INDEX('Fleet dates'!$F$9:$F$1008,$I733-8)="","",INDEX('Fleet dates'!$F$9:$F$1008,$I733-8)))</x:f>
      </x:c>
      <x:c r="G733" s="50" t="str">
        <x:f>IF(725&gt;$H$4,"",IF(INDEX('Fleet dates'!$G$9:$G$1008,$I733-8)="","",INDEX('Fleet dates'!$G$9:$G$1008,$I733-8)))</x:f>
      </x:c>
      <x:c r="H733" s="50" t="str">
        <x:f>IF(725&gt;$H$4,"",IF(INDEX('Fleet dates'!$I$9:$I$1008,$I733-8)="","",INDEX('Fleet dates'!$I$9:$I$1008,$I733-8)))</x:f>
      </x:c>
      <x:c r="I733" t="str">
        <x:f>IF(725&gt;$H$4,"",MATCH(725,'Fleet dates'!$J$9:$J$1008,0)+8)</x:f>
      </x:c>
    </x:row>
    <x:row r="734" ht="36" customHeight="1">
      <x:c r="A734" s="50" t="str">
        <x:f>IF(726&gt;$H$4,"",IF(INDEX('Fleet dates'!$A$9:$A$1008,$I734-8)="","",INDEX('Fleet dates'!$A$9:$A$1008,$I734-8)))</x:f>
      </x:c>
      <x:c r="B734" s="50" t="str">
        <x:f>IF(726&gt;$H$4,"",IF(INDEX('Fleet dates'!$B$9:$B$1008,$I734-8)="","",INDEX('Fleet dates'!$B$9:$B$1008,$I734-8)))</x:f>
      </x:c>
      <x:c r="C734" s="51" t="str">
        <x:f>IF(726&gt;$H$4,"",IF(INDEX('Fleet dates'!$C$9:$C$1008,$I734-8)="","",INDEX('Fleet dates'!$C$9:$C$1008,$I734-8)))</x:f>
      </x:c>
      <x:c r="D734" s="51" t="str">
        <x:f>IF(726&gt;$H$4,"",IF(INDEX('Fleet dates'!$D$9:$D$1008,$I734-8)="","",INDEX('Fleet dates'!$D$9:$D$1008,$I734-8)))</x:f>
      </x:c>
      <x:c r="E734" s="51" t="str">
        <x:f>IF(726&gt;$H$4,"",IF(INDEX('Fleet dates'!$E$9:$E$1008,$I734-8)="","",INDEX('Fleet dates'!$E$9:$E$1008,$I734-8)))</x:f>
      </x:c>
      <x:c r="F734" s="51" t="str">
        <x:f>IF(726&gt;$H$4,"",IF(INDEX('Fleet dates'!$F$9:$F$1008,$I734-8)="","",INDEX('Fleet dates'!$F$9:$F$1008,$I734-8)))</x:f>
      </x:c>
      <x:c r="G734" s="50" t="str">
        <x:f>IF(726&gt;$H$4,"",IF(INDEX('Fleet dates'!$G$9:$G$1008,$I734-8)="","",INDEX('Fleet dates'!$G$9:$G$1008,$I734-8)))</x:f>
      </x:c>
      <x:c r="H734" s="50" t="str">
        <x:f>IF(726&gt;$H$4,"",IF(INDEX('Fleet dates'!$I$9:$I$1008,$I734-8)="","",INDEX('Fleet dates'!$I$9:$I$1008,$I734-8)))</x:f>
      </x:c>
      <x:c r="I734" t="str">
        <x:f>IF(726&gt;$H$4,"",MATCH(726,'Fleet dates'!$J$9:$J$1008,0)+8)</x:f>
      </x:c>
    </x:row>
    <x:row r="735" ht="36" customHeight="1">
      <x:c r="A735" s="50" t="str">
        <x:f>IF(727&gt;$H$4,"",IF(INDEX('Fleet dates'!$A$9:$A$1008,$I735-8)="","",INDEX('Fleet dates'!$A$9:$A$1008,$I735-8)))</x:f>
      </x:c>
      <x:c r="B735" s="50" t="str">
        <x:f>IF(727&gt;$H$4,"",IF(INDEX('Fleet dates'!$B$9:$B$1008,$I735-8)="","",INDEX('Fleet dates'!$B$9:$B$1008,$I735-8)))</x:f>
      </x:c>
      <x:c r="C735" s="51" t="str">
        <x:f>IF(727&gt;$H$4,"",IF(INDEX('Fleet dates'!$C$9:$C$1008,$I735-8)="","",INDEX('Fleet dates'!$C$9:$C$1008,$I735-8)))</x:f>
      </x:c>
      <x:c r="D735" s="51" t="str">
        <x:f>IF(727&gt;$H$4,"",IF(INDEX('Fleet dates'!$D$9:$D$1008,$I735-8)="","",INDEX('Fleet dates'!$D$9:$D$1008,$I735-8)))</x:f>
      </x:c>
      <x:c r="E735" s="51" t="str">
        <x:f>IF(727&gt;$H$4,"",IF(INDEX('Fleet dates'!$E$9:$E$1008,$I735-8)="","",INDEX('Fleet dates'!$E$9:$E$1008,$I735-8)))</x:f>
      </x:c>
      <x:c r="F735" s="51" t="str">
        <x:f>IF(727&gt;$H$4,"",IF(INDEX('Fleet dates'!$F$9:$F$1008,$I735-8)="","",INDEX('Fleet dates'!$F$9:$F$1008,$I735-8)))</x:f>
      </x:c>
      <x:c r="G735" s="50" t="str">
        <x:f>IF(727&gt;$H$4,"",IF(INDEX('Fleet dates'!$G$9:$G$1008,$I735-8)="","",INDEX('Fleet dates'!$G$9:$G$1008,$I735-8)))</x:f>
      </x:c>
      <x:c r="H735" s="50" t="str">
        <x:f>IF(727&gt;$H$4,"",IF(INDEX('Fleet dates'!$I$9:$I$1008,$I735-8)="","",INDEX('Fleet dates'!$I$9:$I$1008,$I735-8)))</x:f>
      </x:c>
      <x:c r="I735" t="str">
        <x:f>IF(727&gt;$H$4,"",MATCH(727,'Fleet dates'!$J$9:$J$1008,0)+8)</x:f>
      </x:c>
    </x:row>
    <x:row r="736" ht="36" customHeight="1">
      <x:c r="A736" s="50" t="str">
        <x:f>IF(728&gt;$H$4,"",IF(INDEX('Fleet dates'!$A$9:$A$1008,$I736-8)="","",INDEX('Fleet dates'!$A$9:$A$1008,$I736-8)))</x:f>
      </x:c>
      <x:c r="B736" s="50" t="str">
        <x:f>IF(728&gt;$H$4,"",IF(INDEX('Fleet dates'!$B$9:$B$1008,$I736-8)="","",INDEX('Fleet dates'!$B$9:$B$1008,$I736-8)))</x:f>
      </x:c>
      <x:c r="C736" s="51" t="str">
        <x:f>IF(728&gt;$H$4,"",IF(INDEX('Fleet dates'!$C$9:$C$1008,$I736-8)="","",INDEX('Fleet dates'!$C$9:$C$1008,$I736-8)))</x:f>
      </x:c>
      <x:c r="D736" s="51" t="str">
        <x:f>IF(728&gt;$H$4,"",IF(INDEX('Fleet dates'!$D$9:$D$1008,$I736-8)="","",INDEX('Fleet dates'!$D$9:$D$1008,$I736-8)))</x:f>
      </x:c>
      <x:c r="E736" s="51" t="str">
        <x:f>IF(728&gt;$H$4,"",IF(INDEX('Fleet dates'!$E$9:$E$1008,$I736-8)="","",INDEX('Fleet dates'!$E$9:$E$1008,$I736-8)))</x:f>
      </x:c>
      <x:c r="F736" s="51" t="str">
        <x:f>IF(728&gt;$H$4,"",IF(INDEX('Fleet dates'!$F$9:$F$1008,$I736-8)="","",INDEX('Fleet dates'!$F$9:$F$1008,$I736-8)))</x:f>
      </x:c>
      <x:c r="G736" s="50" t="str">
        <x:f>IF(728&gt;$H$4,"",IF(INDEX('Fleet dates'!$G$9:$G$1008,$I736-8)="","",INDEX('Fleet dates'!$G$9:$G$1008,$I736-8)))</x:f>
      </x:c>
      <x:c r="H736" s="50" t="str">
        <x:f>IF(728&gt;$H$4,"",IF(INDEX('Fleet dates'!$I$9:$I$1008,$I736-8)="","",INDEX('Fleet dates'!$I$9:$I$1008,$I736-8)))</x:f>
      </x:c>
      <x:c r="I736" t="str">
        <x:f>IF(728&gt;$H$4,"",MATCH(728,'Fleet dates'!$J$9:$J$1008,0)+8)</x:f>
      </x:c>
    </x:row>
    <x:row r="737" ht="36" customHeight="1">
      <x:c r="A737" s="50" t="str">
        <x:f>IF(729&gt;$H$4,"",IF(INDEX('Fleet dates'!$A$9:$A$1008,$I737-8)="","",INDEX('Fleet dates'!$A$9:$A$1008,$I737-8)))</x:f>
      </x:c>
      <x:c r="B737" s="50" t="str">
        <x:f>IF(729&gt;$H$4,"",IF(INDEX('Fleet dates'!$B$9:$B$1008,$I737-8)="","",INDEX('Fleet dates'!$B$9:$B$1008,$I737-8)))</x:f>
      </x:c>
      <x:c r="C737" s="51" t="str">
        <x:f>IF(729&gt;$H$4,"",IF(INDEX('Fleet dates'!$C$9:$C$1008,$I737-8)="","",INDEX('Fleet dates'!$C$9:$C$1008,$I737-8)))</x:f>
      </x:c>
      <x:c r="D737" s="51" t="str">
        <x:f>IF(729&gt;$H$4,"",IF(INDEX('Fleet dates'!$D$9:$D$1008,$I737-8)="","",INDEX('Fleet dates'!$D$9:$D$1008,$I737-8)))</x:f>
      </x:c>
      <x:c r="E737" s="51" t="str">
        <x:f>IF(729&gt;$H$4,"",IF(INDEX('Fleet dates'!$E$9:$E$1008,$I737-8)="","",INDEX('Fleet dates'!$E$9:$E$1008,$I737-8)))</x:f>
      </x:c>
      <x:c r="F737" s="51" t="str">
        <x:f>IF(729&gt;$H$4,"",IF(INDEX('Fleet dates'!$F$9:$F$1008,$I737-8)="","",INDEX('Fleet dates'!$F$9:$F$1008,$I737-8)))</x:f>
      </x:c>
      <x:c r="G737" s="50" t="str">
        <x:f>IF(729&gt;$H$4,"",IF(INDEX('Fleet dates'!$G$9:$G$1008,$I737-8)="","",INDEX('Fleet dates'!$G$9:$G$1008,$I737-8)))</x:f>
      </x:c>
      <x:c r="H737" s="50" t="str">
        <x:f>IF(729&gt;$H$4,"",IF(INDEX('Fleet dates'!$I$9:$I$1008,$I737-8)="","",INDEX('Fleet dates'!$I$9:$I$1008,$I737-8)))</x:f>
      </x:c>
      <x:c r="I737" t="str">
        <x:f>IF(729&gt;$H$4,"",MATCH(729,'Fleet dates'!$J$9:$J$1008,0)+8)</x:f>
      </x:c>
    </x:row>
    <x:row r="738" ht="36" customHeight="1">
      <x:c r="A738" s="50" t="str">
        <x:f>IF(730&gt;$H$4,"",IF(INDEX('Fleet dates'!$A$9:$A$1008,$I738-8)="","",INDEX('Fleet dates'!$A$9:$A$1008,$I738-8)))</x:f>
      </x:c>
      <x:c r="B738" s="50" t="str">
        <x:f>IF(730&gt;$H$4,"",IF(INDEX('Fleet dates'!$B$9:$B$1008,$I738-8)="","",INDEX('Fleet dates'!$B$9:$B$1008,$I738-8)))</x:f>
      </x:c>
      <x:c r="C738" s="51" t="str">
        <x:f>IF(730&gt;$H$4,"",IF(INDEX('Fleet dates'!$C$9:$C$1008,$I738-8)="","",INDEX('Fleet dates'!$C$9:$C$1008,$I738-8)))</x:f>
      </x:c>
      <x:c r="D738" s="51" t="str">
        <x:f>IF(730&gt;$H$4,"",IF(INDEX('Fleet dates'!$D$9:$D$1008,$I738-8)="","",INDEX('Fleet dates'!$D$9:$D$1008,$I738-8)))</x:f>
      </x:c>
      <x:c r="E738" s="51" t="str">
        <x:f>IF(730&gt;$H$4,"",IF(INDEX('Fleet dates'!$E$9:$E$1008,$I738-8)="","",INDEX('Fleet dates'!$E$9:$E$1008,$I738-8)))</x:f>
      </x:c>
      <x:c r="F738" s="51" t="str">
        <x:f>IF(730&gt;$H$4,"",IF(INDEX('Fleet dates'!$F$9:$F$1008,$I738-8)="","",INDEX('Fleet dates'!$F$9:$F$1008,$I738-8)))</x:f>
      </x:c>
      <x:c r="G738" s="50" t="str">
        <x:f>IF(730&gt;$H$4,"",IF(INDEX('Fleet dates'!$G$9:$G$1008,$I738-8)="","",INDEX('Fleet dates'!$G$9:$G$1008,$I738-8)))</x:f>
      </x:c>
      <x:c r="H738" s="50" t="str">
        <x:f>IF(730&gt;$H$4,"",IF(INDEX('Fleet dates'!$I$9:$I$1008,$I738-8)="","",INDEX('Fleet dates'!$I$9:$I$1008,$I738-8)))</x:f>
      </x:c>
      <x:c r="I738" t="str">
        <x:f>IF(730&gt;$H$4,"",MATCH(730,'Fleet dates'!$J$9:$J$1008,0)+8)</x:f>
      </x:c>
    </x:row>
    <x:row r="739" ht="36" customHeight="1">
      <x:c r="A739" s="50" t="str">
        <x:f>IF(731&gt;$H$4,"",IF(INDEX('Fleet dates'!$A$9:$A$1008,$I739-8)="","",INDEX('Fleet dates'!$A$9:$A$1008,$I739-8)))</x:f>
      </x:c>
      <x:c r="B739" s="50" t="str">
        <x:f>IF(731&gt;$H$4,"",IF(INDEX('Fleet dates'!$B$9:$B$1008,$I739-8)="","",INDEX('Fleet dates'!$B$9:$B$1008,$I739-8)))</x:f>
      </x:c>
      <x:c r="C739" s="51" t="str">
        <x:f>IF(731&gt;$H$4,"",IF(INDEX('Fleet dates'!$C$9:$C$1008,$I739-8)="","",INDEX('Fleet dates'!$C$9:$C$1008,$I739-8)))</x:f>
      </x:c>
      <x:c r="D739" s="51" t="str">
        <x:f>IF(731&gt;$H$4,"",IF(INDEX('Fleet dates'!$D$9:$D$1008,$I739-8)="","",INDEX('Fleet dates'!$D$9:$D$1008,$I739-8)))</x:f>
      </x:c>
      <x:c r="E739" s="51" t="str">
        <x:f>IF(731&gt;$H$4,"",IF(INDEX('Fleet dates'!$E$9:$E$1008,$I739-8)="","",INDEX('Fleet dates'!$E$9:$E$1008,$I739-8)))</x:f>
      </x:c>
      <x:c r="F739" s="51" t="str">
        <x:f>IF(731&gt;$H$4,"",IF(INDEX('Fleet dates'!$F$9:$F$1008,$I739-8)="","",INDEX('Fleet dates'!$F$9:$F$1008,$I739-8)))</x:f>
      </x:c>
      <x:c r="G739" s="50" t="str">
        <x:f>IF(731&gt;$H$4,"",IF(INDEX('Fleet dates'!$G$9:$G$1008,$I739-8)="","",INDEX('Fleet dates'!$G$9:$G$1008,$I739-8)))</x:f>
      </x:c>
      <x:c r="H739" s="50" t="str">
        <x:f>IF(731&gt;$H$4,"",IF(INDEX('Fleet dates'!$I$9:$I$1008,$I739-8)="","",INDEX('Fleet dates'!$I$9:$I$1008,$I739-8)))</x:f>
      </x:c>
      <x:c r="I739" t="str">
        <x:f>IF(731&gt;$H$4,"",MATCH(731,'Fleet dates'!$J$9:$J$1008,0)+8)</x:f>
      </x:c>
    </x:row>
    <x:row r="740" ht="36" customHeight="1">
      <x:c r="A740" s="50" t="str">
        <x:f>IF(732&gt;$H$4,"",IF(INDEX('Fleet dates'!$A$9:$A$1008,$I740-8)="","",INDEX('Fleet dates'!$A$9:$A$1008,$I740-8)))</x:f>
      </x:c>
      <x:c r="B740" s="50" t="str">
        <x:f>IF(732&gt;$H$4,"",IF(INDEX('Fleet dates'!$B$9:$B$1008,$I740-8)="","",INDEX('Fleet dates'!$B$9:$B$1008,$I740-8)))</x:f>
      </x:c>
      <x:c r="C740" s="51" t="str">
        <x:f>IF(732&gt;$H$4,"",IF(INDEX('Fleet dates'!$C$9:$C$1008,$I740-8)="","",INDEX('Fleet dates'!$C$9:$C$1008,$I740-8)))</x:f>
      </x:c>
      <x:c r="D740" s="51" t="str">
        <x:f>IF(732&gt;$H$4,"",IF(INDEX('Fleet dates'!$D$9:$D$1008,$I740-8)="","",INDEX('Fleet dates'!$D$9:$D$1008,$I740-8)))</x:f>
      </x:c>
      <x:c r="E740" s="51" t="str">
        <x:f>IF(732&gt;$H$4,"",IF(INDEX('Fleet dates'!$E$9:$E$1008,$I740-8)="","",INDEX('Fleet dates'!$E$9:$E$1008,$I740-8)))</x:f>
      </x:c>
      <x:c r="F740" s="51" t="str">
        <x:f>IF(732&gt;$H$4,"",IF(INDEX('Fleet dates'!$F$9:$F$1008,$I740-8)="","",INDEX('Fleet dates'!$F$9:$F$1008,$I740-8)))</x:f>
      </x:c>
      <x:c r="G740" s="50" t="str">
        <x:f>IF(732&gt;$H$4,"",IF(INDEX('Fleet dates'!$G$9:$G$1008,$I740-8)="","",INDEX('Fleet dates'!$G$9:$G$1008,$I740-8)))</x:f>
      </x:c>
      <x:c r="H740" s="50" t="str">
        <x:f>IF(732&gt;$H$4,"",IF(INDEX('Fleet dates'!$I$9:$I$1008,$I740-8)="","",INDEX('Fleet dates'!$I$9:$I$1008,$I740-8)))</x:f>
      </x:c>
      <x:c r="I740" t="str">
        <x:f>IF(732&gt;$H$4,"",MATCH(732,'Fleet dates'!$J$9:$J$1008,0)+8)</x:f>
      </x:c>
    </x:row>
    <x:row r="741" ht="36" customHeight="1">
      <x:c r="A741" s="50" t="str">
        <x:f>IF(733&gt;$H$4,"",IF(INDEX('Fleet dates'!$A$9:$A$1008,$I741-8)="","",INDEX('Fleet dates'!$A$9:$A$1008,$I741-8)))</x:f>
      </x:c>
      <x:c r="B741" s="50" t="str">
        <x:f>IF(733&gt;$H$4,"",IF(INDEX('Fleet dates'!$B$9:$B$1008,$I741-8)="","",INDEX('Fleet dates'!$B$9:$B$1008,$I741-8)))</x:f>
      </x:c>
      <x:c r="C741" s="51" t="str">
        <x:f>IF(733&gt;$H$4,"",IF(INDEX('Fleet dates'!$C$9:$C$1008,$I741-8)="","",INDEX('Fleet dates'!$C$9:$C$1008,$I741-8)))</x:f>
      </x:c>
      <x:c r="D741" s="51" t="str">
        <x:f>IF(733&gt;$H$4,"",IF(INDEX('Fleet dates'!$D$9:$D$1008,$I741-8)="","",INDEX('Fleet dates'!$D$9:$D$1008,$I741-8)))</x:f>
      </x:c>
      <x:c r="E741" s="51" t="str">
        <x:f>IF(733&gt;$H$4,"",IF(INDEX('Fleet dates'!$E$9:$E$1008,$I741-8)="","",INDEX('Fleet dates'!$E$9:$E$1008,$I741-8)))</x:f>
      </x:c>
      <x:c r="F741" s="51" t="str">
        <x:f>IF(733&gt;$H$4,"",IF(INDEX('Fleet dates'!$F$9:$F$1008,$I741-8)="","",INDEX('Fleet dates'!$F$9:$F$1008,$I741-8)))</x:f>
      </x:c>
      <x:c r="G741" s="50" t="str">
        <x:f>IF(733&gt;$H$4,"",IF(INDEX('Fleet dates'!$G$9:$G$1008,$I741-8)="","",INDEX('Fleet dates'!$G$9:$G$1008,$I741-8)))</x:f>
      </x:c>
      <x:c r="H741" s="50" t="str">
        <x:f>IF(733&gt;$H$4,"",IF(INDEX('Fleet dates'!$I$9:$I$1008,$I741-8)="","",INDEX('Fleet dates'!$I$9:$I$1008,$I741-8)))</x:f>
      </x:c>
      <x:c r="I741" t="str">
        <x:f>IF(733&gt;$H$4,"",MATCH(733,'Fleet dates'!$J$9:$J$1008,0)+8)</x:f>
      </x:c>
    </x:row>
    <x:row r="742" ht="36" customHeight="1">
      <x:c r="A742" s="50" t="str">
        <x:f>IF(734&gt;$H$4,"",IF(INDEX('Fleet dates'!$A$9:$A$1008,$I742-8)="","",INDEX('Fleet dates'!$A$9:$A$1008,$I742-8)))</x:f>
      </x:c>
      <x:c r="B742" s="50" t="str">
        <x:f>IF(734&gt;$H$4,"",IF(INDEX('Fleet dates'!$B$9:$B$1008,$I742-8)="","",INDEX('Fleet dates'!$B$9:$B$1008,$I742-8)))</x:f>
      </x:c>
      <x:c r="C742" s="51" t="str">
        <x:f>IF(734&gt;$H$4,"",IF(INDEX('Fleet dates'!$C$9:$C$1008,$I742-8)="","",INDEX('Fleet dates'!$C$9:$C$1008,$I742-8)))</x:f>
      </x:c>
      <x:c r="D742" s="51" t="str">
        <x:f>IF(734&gt;$H$4,"",IF(INDEX('Fleet dates'!$D$9:$D$1008,$I742-8)="","",INDEX('Fleet dates'!$D$9:$D$1008,$I742-8)))</x:f>
      </x:c>
      <x:c r="E742" s="51" t="str">
        <x:f>IF(734&gt;$H$4,"",IF(INDEX('Fleet dates'!$E$9:$E$1008,$I742-8)="","",INDEX('Fleet dates'!$E$9:$E$1008,$I742-8)))</x:f>
      </x:c>
      <x:c r="F742" s="51" t="str">
        <x:f>IF(734&gt;$H$4,"",IF(INDEX('Fleet dates'!$F$9:$F$1008,$I742-8)="","",INDEX('Fleet dates'!$F$9:$F$1008,$I742-8)))</x:f>
      </x:c>
      <x:c r="G742" s="50" t="str">
        <x:f>IF(734&gt;$H$4,"",IF(INDEX('Fleet dates'!$G$9:$G$1008,$I742-8)="","",INDEX('Fleet dates'!$G$9:$G$1008,$I742-8)))</x:f>
      </x:c>
      <x:c r="H742" s="50" t="str">
        <x:f>IF(734&gt;$H$4,"",IF(INDEX('Fleet dates'!$I$9:$I$1008,$I742-8)="","",INDEX('Fleet dates'!$I$9:$I$1008,$I742-8)))</x:f>
      </x:c>
      <x:c r="I742" t="str">
        <x:f>IF(734&gt;$H$4,"",MATCH(734,'Fleet dates'!$J$9:$J$1008,0)+8)</x:f>
      </x:c>
    </x:row>
    <x:row r="743" ht="36" customHeight="1">
      <x:c r="A743" s="50" t="str">
        <x:f>IF(735&gt;$H$4,"",IF(INDEX('Fleet dates'!$A$9:$A$1008,$I743-8)="","",INDEX('Fleet dates'!$A$9:$A$1008,$I743-8)))</x:f>
      </x:c>
      <x:c r="B743" s="50" t="str">
        <x:f>IF(735&gt;$H$4,"",IF(INDEX('Fleet dates'!$B$9:$B$1008,$I743-8)="","",INDEX('Fleet dates'!$B$9:$B$1008,$I743-8)))</x:f>
      </x:c>
      <x:c r="C743" s="51" t="str">
        <x:f>IF(735&gt;$H$4,"",IF(INDEX('Fleet dates'!$C$9:$C$1008,$I743-8)="","",INDEX('Fleet dates'!$C$9:$C$1008,$I743-8)))</x:f>
      </x:c>
      <x:c r="D743" s="51" t="str">
        <x:f>IF(735&gt;$H$4,"",IF(INDEX('Fleet dates'!$D$9:$D$1008,$I743-8)="","",INDEX('Fleet dates'!$D$9:$D$1008,$I743-8)))</x:f>
      </x:c>
      <x:c r="E743" s="51" t="str">
        <x:f>IF(735&gt;$H$4,"",IF(INDEX('Fleet dates'!$E$9:$E$1008,$I743-8)="","",INDEX('Fleet dates'!$E$9:$E$1008,$I743-8)))</x:f>
      </x:c>
      <x:c r="F743" s="51" t="str">
        <x:f>IF(735&gt;$H$4,"",IF(INDEX('Fleet dates'!$F$9:$F$1008,$I743-8)="","",INDEX('Fleet dates'!$F$9:$F$1008,$I743-8)))</x:f>
      </x:c>
      <x:c r="G743" s="50" t="str">
        <x:f>IF(735&gt;$H$4,"",IF(INDEX('Fleet dates'!$G$9:$G$1008,$I743-8)="","",INDEX('Fleet dates'!$G$9:$G$1008,$I743-8)))</x:f>
      </x:c>
      <x:c r="H743" s="50" t="str">
        <x:f>IF(735&gt;$H$4,"",IF(INDEX('Fleet dates'!$I$9:$I$1008,$I743-8)="","",INDEX('Fleet dates'!$I$9:$I$1008,$I743-8)))</x:f>
      </x:c>
      <x:c r="I743" t="str">
        <x:f>IF(735&gt;$H$4,"",MATCH(735,'Fleet dates'!$J$9:$J$1008,0)+8)</x:f>
      </x:c>
    </x:row>
    <x:row r="744" ht="36" customHeight="1">
      <x:c r="A744" s="50" t="str">
        <x:f>IF(736&gt;$H$4,"",IF(INDEX('Fleet dates'!$A$9:$A$1008,$I744-8)="","",INDEX('Fleet dates'!$A$9:$A$1008,$I744-8)))</x:f>
      </x:c>
      <x:c r="B744" s="50" t="str">
        <x:f>IF(736&gt;$H$4,"",IF(INDEX('Fleet dates'!$B$9:$B$1008,$I744-8)="","",INDEX('Fleet dates'!$B$9:$B$1008,$I744-8)))</x:f>
      </x:c>
      <x:c r="C744" s="51" t="str">
        <x:f>IF(736&gt;$H$4,"",IF(INDEX('Fleet dates'!$C$9:$C$1008,$I744-8)="","",INDEX('Fleet dates'!$C$9:$C$1008,$I744-8)))</x:f>
      </x:c>
      <x:c r="D744" s="51" t="str">
        <x:f>IF(736&gt;$H$4,"",IF(INDEX('Fleet dates'!$D$9:$D$1008,$I744-8)="","",INDEX('Fleet dates'!$D$9:$D$1008,$I744-8)))</x:f>
      </x:c>
      <x:c r="E744" s="51" t="str">
        <x:f>IF(736&gt;$H$4,"",IF(INDEX('Fleet dates'!$E$9:$E$1008,$I744-8)="","",INDEX('Fleet dates'!$E$9:$E$1008,$I744-8)))</x:f>
      </x:c>
      <x:c r="F744" s="51" t="str">
        <x:f>IF(736&gt;$H$4,"",IF(INDEX('Fleet dates'!$F$9:$F$1008,$I744-8)="","",INDEX('Fleet dates'!$F$9:$F$1008,$I744-8)))</x:f>
      </x:c>
      <x:c r="G744" s="50" t="str">
        <x:f>IF(736&gt;$H$4,"",IF(INDEX('Fleet dates'!$G$9:$G$1008,$I744-8)="","",INDEX('Fleet dates'!$G$9:$G$1008,$I744-8)))</x:f>
      </x:c>
      <x:c r="H744" s="50" t="str">
        <x:f>IF(736&gt;$H$4,"",IF(INDEX('Fleet dates'!$I$9:$I$1008,$I744-8)="","",INDEX('Fleet dates'!$I$9:$I$1008,$I744-8)))</x:f>
      </x:c>
      <x:c r="I744" t="str">
        <x:f>IF(736&gt;$H$4,"",MATCH(736,'Fleet dates'!$J$9:$J$1008,0)+8)</x:f>
      </x:c>
    </x:row>
    <x:row r="745" ht="36" customHeight="1">
      <x:c r="A745" s="50" t="str">
        <x:f>IF(737&gt;$H$4,"",IF(INDEX('Fleet dates'!$A$9:$A$1008,$I745-8)="","",INDEX('Fleet dates'!$A$9:$A$1008,$I745-8)))</x:f>
      </x:c>
      <x:c r="B745" s="50" t="str">
        <x:f>IF(737&gt;$H$4,"",IF(INDEX('Fleet dates'!$B$9:$B$1008,$I745-8)="","",INDEX('Fleet dates'!$B$9:$B$1008,$I745-8)))</x:f>
      </x:c>
      <x:c r="C745" s="51" t="str">
        <x:f>IF(737&gt;$H$4,"",IF(INDEX('Fleet dates'!$C$9:$C$1008,$I745-8)="","",INDEX('Fleet dates'!$C$9:$C$1008,$I745-8)))</x:f>
      </x:c>
      <x:c r="D745" s="51" t="str">
        <x:f>IF(737&gt;$H$4,"",IF(INDEX('Fleet dates'!$D$9:$D$1008,$I745-8)="","",INDEX('Fleet dates'!$D$9:$D$1008,$I745-8)))</x:f>
      </x:c>
      <x:c r="E745" s="51" t="str">
        <x:f>IF(737&gt;$H$4,"",IF(INDEX('Fleet dates'!$E$9:$E$1008,$I745-8)="","",INDEX('Fleet dates'!$E$9:$E$1008,$I745-8)))</x:f>
      </x:c>
      <x:c r="F745" s="51" t="str">
        <x:f>IF(737&gt;$H$4,"",IF(INDEX('Fleet dates'!$F$9:$F$1008,$I745-8)="","",INDEX('Fleet dates'!$F$9:$F$1008,$I745-8)))</x:f>
      </x:c>
      <x:c r="G745" s="50" t="str">
        <x:f>IF(737&gt;$H$4,"",IF(INDEX('Fleet dates'!$G$9:$G$1008,$I745-8)="","",INDEX('Fleet dates'!$G$9:$G$1008,$I745-8)))</x:f>
      </x:c>
      <x:c r="H745" s="50" t="str">
        <x:f>IF(737&gt;$H$4,"",IF(INDEX('Fleet dates'!$I$9:$I$1008,$I745-8)="","",INDEX('Fleet dates'!$I$9:$I$1008,$I745-8)))</x:f>
      </x:c>
      <x:c r="I745" t="str">
        <x:f>IF(737&gt;$H$4,"",MATCH(737,'Fleet dates'!$J$9:$J$1008,0)+8)</x:f>
      </x:c>
    </x:row>
    <x:row r="746" ht="36" customHeight="1">
      <x:c r="A746" s="50" t="str">
        <x:f>IF(738&gt;$H$4,"",IF(INDEX('Fleet dates'!$A$9:$A$1008,$I746-8)="","",INDEX('Fleet dates'!$A$9:$A$1008,$I746-8)))</x:f>
      </x:c>
      <x:c r="B746" s="50" t="str">
        <x:f>IF(738&gt;$H$4,"",IF(INDEX('Fleet dates'!$B$9:$B$1008,$I746-8)="","",INDEX('Fleet dates'!$B$9:$B$1008,$I746-8)))</x:f>
      </x:c>
      <x:c r="C746" s="51" t="str">
        <x:f>IF(738&gt;$H$4,"",IF(INDEX('Fleet dates'!$C$9:$C$1008,$I746-8)="","",INDEX('Fleet dates'!$C$9:$C$1008,$I746-8)))</x:f>
      </x:c>
      <x:c r="D746" s="51" t="str">
        <x:f>IF(738&gt;$H$4,"",IF(INDEX('Fleet dates'!$D$9:$D$1008,$I746-8)="","",INDEX('Fleet dates'!$D$9:$D$1008,$I746-8)))</x:f>
      </x:c>
      <x:c r="E746" s="51" t="str">
        <x:f>IF(738&gt;$H$4,"",IF(INDEX('Fleet dates'!$E$9:$E$1008,$I746-8)="","",INDEX('Fleet dates'!$E$9:$E$1008,$I746-8)))</x:f>
      </x:c>
      <x:c r="F746" s="51" t="str">
        <x:f>IF(738&gt;$H$4,"",IF(INDEX('Fleet dates'!$F$9:$F$1008,$I746-8)="","",INDEX('Fleet dates'!$F$9:$F$1008,$I746-8)))</x:f>
      </x:c>
      <x:c r="G746" s="50" t="str">
        <x:f>IF(738&gt;$H$4,"",IF(INDEX('Fleet dates'!$G$9:$G$1008,$I746-8)="","",INDEX('Fleet dates'!$G$9:$G$1008,$I746-8)))</x:f>
      </x:c>
      <x:c r="H746" s="50" t="str">
        <x:f>IF(738&gt;$H$4,"",IF(INDEX('Fleet dates'!$I$9:$I$1008,$I746-8)="","",INDEX('Fleet dates'!$I$9:$I$1008,$I746-8)))</x:f>
      </x:c>
      <x:c r="I746" t="str">
        <x:f>IF(738&gt;$H$4,"",MATCH(738,'Fleet dates'!$J$9:$J$1008,0)+8)</x:f>
      </x:c>
    </x:row>
    <x:row r="747" ht="36" customHeight="1">
      <x:c r="A747" s="50" t="str">
        <x:f>IF(739&gt;$H$4,"",IF(INDEX('Fleet dates'!$A$9:$A$1008,$I747-8)="","",INDEX('Fleet dates'!$A$9:$A$1008,$I747-8)))</x:f>
      </x:c>
      <x:c r="B747" s="50" t="str">
        <x:f>IF(739&gt;$H$4,"",IF(INDEX('Fleet dates'!$B$9:$B$1008,$I747-8)="","",INDEX('Fleet dates'!$B$9:$B$1008,$I747-8)))</x:f>
      </x:c>
      <x:c r="C747" s="51" t="str">
        <x:f>IF(739&gt;$H$4,"",IF(INDEX('Fleet dates'!$C$9:$C$1008,$I747-8)="","",INDEX('Fleet dates'!$C$9:$C$1008,$I747-8)))</x:f>
      </x:c>
      <x:c r="D747" s="51" t="str">
        <x:f>IF(739&gt;$H$4,"",IF(INDEX('Fleet dates'!$D$9:$D$1008,$I747-8)="","",INDEX('Fleet dates'!$D$9:$D$1008,$I747-8)))</x:f>
      </x:c>
      <x:c r="E747" s="51" t="str">
        <x:f>IF(739&gt;$H$4,"",IF(INDEX('Fleet dates'!$E$9:$E$1008,$I747-8)="","",INDEX('Fleet dates'!$E$9:$E$1008,$I747-8)))</x:f>
      </x:c>
      <x:c r="F747" s="51" t="str">
        <x:f>IF(739&gt;$H$4,"",IF(INDEX('Fleet dates'!$F$9:$F$1008,$I747-8)="","",INDEX('Fleet dates'!$F$9:$F$1008,$I747-8)))</x:f>
      </x:c>
      <x:c r="G747" s="50" t="str">
        <x:f>IF(739&gt;$H$4,"",IF(INDEX('Fleet dates'!$G$9:$G$1008,$I747-8)="","",INDEX('Fleet dates'!$G$9:$G$1008,$I747-8)))</x:f>
      </x:c>
      <x:c r="H747" s="50" t="str">
        <x:f>IF(739&gt;$H$4,"",IF(INDEX('Fleet dates'!$I$9:$I$1008,$I747-8)="","",INDEX('Fleet dates'!$I$9:$I$1008,$I747-8)))</x:f>
      </x:c>
      <x:c r="I747" t="str">
        <x:f>IF(739&gt;$H$4,"",MATCH(739,'Fleet dates'!$J$9:$J$1008,0)+8)</x:f>
      </x:c>
    </x:row>
    <x:row r="748" ht="36" customHeight="1">
      <x:c r="A748" s="50" t="str">
        <x:f>IF(740&gt;$H$4,"",IF(INDEX('Fleet dates'!$A$9:$A$1008,$I748-8)="","",INDEX('Fleet dates'!$A$9:$A$1008,$I748-8)))</x:f>
      </x:c>
      <x:c r="B748" s="50" t="str">
        <x:f>IF(740&gt;$H$4,"",IF(INDEX('Fleet dates'!$B$9:$B$1008,$I748-8)="","",INDEX('Fleet dates'!$B$9:$B$1008,$I748-8)))</x:f>
      </x:c>
      <x:c r="C748" s="51" t="str">
        <x:f>IF(740&gt;$H$4,"",IF(INDEX('Fleet dates'!$C$9:$C$1008,$I748-8)="","",INDEX('Fleet dates'!$C$9:$C$1008,$I748-8)))</x:f>
      </x:c>
      <x:c r="D748" s="51" t="str">
        <x:f>IF(740&gt;$H$4,"",IF(INDEX('Fleet dates'!$D$9:$D$1008,$I748-8)="","",INDEX('Fleet dates'!$D$9:$D$1008,$I748-8)))</x:f>
      </x:c>
      <x:c r="E748" s="51" t="str">
        <x:f>IF(740&gt;$H$4,"",IF(INDEX('Fleet dates'!$E$9:$E$1008,$I748-8)="","",INDEX('Fleet dates'!$E$9:$E$1008,$I748-8)))</x:f>
      </x:c>
      <x:c r="F748" s="51" t="str">
        <x:f>IF(740&gt;$H$4,"",IF(INDEX('Fleet dates'!$F$9:$F$1008,$I748-8)="","",INDEX('Fleet dates'!$F$9:$F$1008,$I748-8)))</x:f>
      </x:c>
      <x:c r="G748" s="50" t="str">
        <x:f>IF(740&gt;$H$4,"",IF(INDEX('Fleet dates'!$G$9:$G$1008,$I748-8)="","",INDEX('Fleet dates'!$G$9:$G$1008,$I748-8)))</x:f>
      </x:c>
      <x:c r="H748" s="50" t="str">
        <x:f>IF(740&gt;$H$4,"",IF(INDEX('Fleet dates'!$I$9:$I$1008,$I748-8)="","",INDEX('Fleet dates'!$I$9:$I$1008,$I748-8)))</x:f>
      </x:c>
      <x:c r="I748" t="str">
        <x:f>IF(740&gt;$H$4,"",MATCH(740,'Fleet dates'!$J$9:$J$1008,0)+8)</x:f>
      </x:c>
    </x:row>
    <x:row r="749" ht="36" customHeight="1">
      <x:c r="A749" s="50" t="str">
        <x:f>IF(741&gt;$H$4,"",IF(INDEX('Fleet dates'!$A$9:$A$1008,$I749-8)="","",INDEX('Fleet dates'!$A$9:$A$1008,$I749-8)))</x:f>
      </x:c>
      <x:c r="B749" s="50" t="str">
        <x:f>IF(741&gt;$H$4,"",IF(INDEX('Fleet dates'!$B$9:$B$1008,$I749-8)="","",INDEX('Fleet dates'!$B$9:$B$1008,$I749-8)))</x:f>
      </x:c>
      <x:c r="C749" s="51" t="str">
        <x:f>IF(741&gt;$H$4,"",IF(INDEX('Fleet dates'!$C$9:$C$1008,$I749-8)="","",INDEX('Fleet dates'!$C$9:$C$1008,$I749-8)))</x:f>
      </x:c>
      <x:c r="D749" s="51" t="str">
        <x:f>IF(741&gt;$H$4,"",IF(INDEX('Fleet dates'!$D$9:$D$1008,$I749-8)="","",INDEX('Fleet dates'!$D$9:$D$1008,$I749-8)))</x:f>
      </x:c>
      <x:c r="E749" s="51" t="str">
        <x:f>IF(741&gt;$H$4,"",IF(INDEX('Fleet dates'!$E$9:$E$1008,$I749-8)="","",INDEX('Fleet dates'!$E$9:$E$1008,$I749-8)))</x:f>
      </x:c>
      <x:c r="F749" s="51" t="str">
        <x:f>IF(741&gt;$H$4,"",IF(INDEX('Fleet dates'!$F$9:$F$1008,$I749-8)="","",INDEX('Fleet dates'!$F$9:$F$1008,$I749-8)))</x:f>
      </x:c>
      <x:c r="G749" s="50" t="str">
        <x:f>IF(741&gt;$H$4,"",IF(INDEX('Fleet dates'!$G$9:$G$1008,$I749-8)="","",INDEX('Fleet dates'!$G$9:$G$1008,$I749-8)))</x:f>
      </x:c>
      <x:c r="H749" s="50" t="str">
        <x:f>IF(741&gt;$H$4,"",IF(INDEX('Fleet dates'!$I$9:$I$1008,$I749-8)="","",INDEX('Fleet dates'!$I$9:$I$1008,$I749-8)))</x:f>
      </x:c>
      <x:c r="I749" t="str">
        <x:f>IF(741&gt;$H$4,"",MATCH(741,'Fleet dates'!$J$9:$J$1008,0)+8)</x:f>
      </x:c>
    </x:row>
    <x:row r="750" ht="36" customHeight="1">
      <x:c r="A750" s="50" t="str">
        <x:f>IF(742&gt;$H$4,"",IF(INDEX('Fleet dates'!$A$9:$A$1008,$I750-8)="","",INDEX('Fleet dates'!$A$9:$A$1008,$I750-8)))</x:f>
      </x:c>
      <x:c r="B750" s="50" t="str">
        <x:f>IF(742&gt;$H$4,"",IF(INDEX('Fleet dates'!$B$9:$B$1008,$I750-8)="","",INDEX('Fleet dates'!$B$9:$B$1008,$I750-8)))</x:f>
      </x:c>
      <x:c r="C750" s="51" t="str">
        <x:f>IF(742&gt;$H$4,"",IF(INDEX('Fleet dates'!$C$9:$C$1008,$I750-8)="","",INDEX('Fleet dates'!$C$9:$C$1008,$I750-8)))</x:f>
      </x:c>
      <x:c r="D750" s="51" t="str">
        <x:f>IF(742&gt;$H$4,"",IF(INDEX('Fleet dates'!$D$9:$D$1008,$I750-8)="","",INDEX('Fleet dates'!$D$9:$D$1008,$I750-8)))</x:f>
      </x:c>
      <x:c r="E750" s="51" t="str">
        <x:f>IF(742&gt;$H$4,"",IF(INDEX('Fleet dates'!$E$9:$E$1008,$I750-8)="","",INDEX('Fleet dates'!$E$9:$E$1008,$I750-8)))</x:f>
      </x:c>
      <x:c r="F750" s="51" t="str">
        <x:f>IF(742&gt;$H$4,"",IF(INDEX('Fleet dates'!$F$9:$F$1008,$I750-8)="","",INDEX('Fleet dates'!$F$9:$F$1008,$I750-8)))</x:f>
      </x:c>
      <x:c r="G750" s="50" t="str">
        <x:f>IF(742&gt;$H$4,"",IF(INDEX('Fleet dates'!$G$9:$G$1008,$I750-8)="","",INDEX('Fleet dates'!$G$9:$G$1008,$I750-8)))</x:f>
      </x:c>
      <x:c r="H750" s="50" t="str">
        <x:f>IF(742&gt;$H$4,"",IF(INDEX('Fleet dates'!$I$9:$I$1008,$I750-8)="","",INDEX('Fleet dates'!$I$9:$I$1008,$I750-8)))</x:f>
      </x:c>
      <x:c r="I750" t="str">
        <x:f>IF(742&gt;$H$4,"",MATCH(742,'Fleet dates'!$J$9:$J$1008,0)+8)</x:f>
      </x:c>
    </x:row>
    <x:row r="751" ht="36" customHeight="1">
      <x:c r="A751" s="50" t="str">
        <x:f>IF(743&gt;$H$4,"",IF(INDEX('Fleet dates'!$A$9:$A$1008,$I751-8)="","",INDEX('Fleet dates'!$A$9:$A$1008,$I751-8)))</x:f>
      </x:c>
      <x:c r="B751" s="50" t="str">
        <x:f>IF(743&gt;$H$4,"",IF(INDEX('Fleet dates'!$B$9:$B$1008,$I751-8)="","",INDEX('Fleet dates'!$B$9:$B$1008,$I751-8)))</x:f>
      </x:c>
      <x:c r="C751" s="51" t="str">
        <x:f>IF(743&gt;$H$4,"",IF(INDEX('Fleet dates'!$C$9:$C$1008,$I751-8)="","",INDEX('Fleet dates'!$C$9:$C$1008,$I751-8)))</x:f>
      </x:c>
      <x:c r="D751" s="51" t="str">
        <x:f>IF(743&gt;$H$4,"",IF(INDEX('Fleet dates'!$D$9:$D$1008,$I751-8)="","",INDEX('Fleet dates'!$D$9:$D$1008,$I751-8)))</x:f>
      </x:c>
      <x:c r="E751" s="51" t="str">
        <x:f>IF(743&gt;$H$4,"",IF(INDEX('Fleet dates'!$E$9:$E$1008,$I751-8)="","",INDEX('Fleet dates'!$E$9:$E$1008,$I751-8)))</x:f>
      </x:c>
      <x:c r="F751" s="51" t="str">
        <x:f>IF(743&gt;$H$4,"",IF(INDEX('Fleet dates'!$F$9:$F$1008,$I751-8)="","",INDEX('Fleet dates'!$F$9:$F$1008,$I751-8)))</x:f>
      </x:c>
      <x:c r="G751" s="50" t="str">
        <x:f>IF(743&gt;$H$4,"",IF(INDEX('Fleet dates'!$G$9:$G$1008,$I751-8)="","",INDEX('Fleet dates'!$G$9:$G$1008,$I751-8)))</x:f>
      </x:c>
      <x:c r="H751" s="50" t="str">
        <x:f>IF(743&gt;$H$4,"",IF(INDEX('Fleet dates'!$I$9:$I$1008,$I751-8)="","",INDEX('Fleet dates'!$I$9:$I$1008,$I751-8)))</x:f>
      </x:c>
      <x:c r="I751" t="str">
        <x:f>IF(743&gt;$H$4,"",MATCH(743,'Fleet dates'!$J$9:$J$1008,0)+8)</x:f>
      </x:c>
    </x:row>
    <x:row r="752" ht="36" customHeight="1">
      <x:c r="A752" s="50" t="str">
        <x:f>IF(744&gt;$H$4,"",IF(INDEX('Fleet dates'!$A$9:$A$1008,$I752-8)="","",INDEX('Fleet dates'!$A$9:$A$1008,$I752-8)))</x:f>
      </x:c>
      <x:c r="B752" s="50" t="str">
        <x:f>IF(744&gt;$H$4,"",IF(INDEX('Fleet dates'!$B$9:$B$1008,$I752-8)="","",INDEX('Fleet dates'!$B$9:$B$1008,$I752-8)))</x:f>
      </x:c>
      <x:c r="C752" s="51" t="str">
        <x:f>IF(744&gt;$H$4,"",IF(INDEX('Fleet dates'!$C$9:$C$1008,$I752-8)="","",INDEX('Fleet dates'!$C$9:$C$1008,$I752-8)))</x:f>
      </x:c>
      <x:c r="D752" s="51" t="str">
        <x:f>IF(744&gt;$H$4,"",IF(INDEX('Fleet dates'!$D$9:$D$1008,$I752-8)="","",INDEX('Fleet dates'!$D$9:$D$1008,$I752-8)))</x:f>
      </x:c>
      <x:c r="E752" s="51" t="str">
        <x:f>IF(744&gt;$H$4,"",IF(INDEX('Fleet dates'!$E$9:$E$1008,$I752-8)="","",INDEX('Fleet dates'!$E$9:$E$1008,$I752-8)))</x:f>
      </x:c>
      <x:c r="F752" s="51" t="str">
        <x:f>IF(744&gt;$H$4,"",IF(INDEX('Fleet dates'!$F$9:$F$1008,$I752-8)="","",INDEX('Fleet dates'!$F$9:$F$1008,$I752-8)))</x:f>
      </x:c>
      <x:c r="G752" s="50" t="str">
        <x:f>IF(744&gt;$H$4,"",IF(INDEX('Fleet dates'!$G$9:$G$1008,$I752-8)="","",INDEX('Fleet dates'!$G$9:$G$1008,$I752-8)))</x:f>
      </x:c>
      <x:c r="H752" s="50" t="str">
        <x:f>IF(744&gt;$H$4,"",IF(INDEX('Fleet dates'!$I$9:$I$1008,$I752-8)="","",INDEX('Fleet dates'!$I$9:$I$1008,$I752-8)))</x:f>
      </x:c>
      <x:c r="I752" t="str">
        <x:f>IF(744&gt;$H$4,"",MATCH(744,'Fleet dates'!$J$9:$J$1008,0)+8)</x:f>
      </x:c>
    </x:row>
    <x:row r="753" ht="36" customHeight="1">
      <x:c r="A753" s="50" t="str">
        <x:f>IF(745&gt;$H$4,"",IF(INDEX('Fleet dates'!$A$9:$A$1008,$I753-8)="","",INDEX('Fleet dates'!$A$9:$A$1008,$I753-8)))</x:f>
      </x:c>
      <x:c r="B753" s="50" t="str">
        <x:f>IF(745&gt;$H$4,"",IF(INDEX('Fleet dates'!$B$9:$B$1008,$I753-8)="","",INDEX('Fleet dates'!$B$9:$B$1008,$I753-8)))</x:f>
      </x:c>
      <x:c r="C753" s="51" t="str">
        <x:f>IF(745&gt;$H$4,"",IF(INDEX('Fleet dates'!$C$9:$C$1008,$I753-8)="","",INDEX('Fleet dates'!$C$9:$C$1008,$I753-8)))</x:f>
      </x:c>
      <x:c r="D753" s="51" t="str">
        <x:f>IF(745&gt;$H$4,"",IF(INDEX('Fleet dates'!$D$9:$D$1008,$I753-8)="","",INDEX('Fleet dates'!$D$9:$D$1008,$I753-8)))</x:f>
      </x:c>
      <x:c r="E753" s="51" t="str">
        <x:f>IF(745&gt;$H$4,"",IF(INDEX('Fleet dates'!$E$9:$E$1008,$I753-8)="","",INDEX('Fleet dates'!$E$9:$E$1008,$I753-8)))</x:f>
      </x:c>
      <x:c r="F753" s="51" t="str">
        <x:f>IF(745&gt;$H$4,"",IF(INDEX('Fleet dates'!$F$9:$F$1008,$I753-8)="","",INDEX('Fleet dates'!$F$9:$F$1008,$I753-8)))</x:f>
      </x:c>
      <x:c r="G753" s="50" t="str">
        <x:f>IF(745&gt;$H$4,"",IF(INDEX('Fleet dates'!$G$9:$G$1008,$I753-8)="","",INDEX('Fleet dates'!$G$9:$G$1008,$I753-8)))</x:f>
      </x:c>
      <x:c r="H753" s="50" t="str">
        <x:f>IF(745&gt;$H$4,"",IF(INDEX('Fleet dates'!$I$9:$I$1008,$I753-8)="","",INDEX('Fleet dates'!$I$9:$I$1008,$I753-8)))</x:f>
      </x:c>
      <x:c r="I753" t="str">
        <x:f>IF(745&gt;$H$4,"",MATCH(745,'Fleet dates'!$J$9:$J$1008,0)+8)</x:f>
      </x:c>
    </x:row>
    <x:row r="754" ht="36" customHeight="1">
      <x:c r="A754" s="50" t="str">
        <x:f>IF(746&gt;$H$4,"",IF(INDEX('Fleet dates'!$A$9:$A$1008,$I754-8)="","",INDEX('Fleet dates'!$A$9:$A$1008,$I754-8)))</x:f>
      </x:c>
      <x:c r="B754" s="50" t="str">
        <x:f>IF(746&gt;$H$4,"",IF(INDEX('Fleet dates'!$B$9:$B$1008,$I754-8)="","",INDEX('Fleet dates'!$B$9:$B$1008,$I754-8)))</x:f>
      </x:c>
      <x:c r="C754" s="51" t="str">
        <x:f>IF(746&gt;$H$4,"",IF(INDEX('Fleet dates'!$C$9:$C$1008,$I754-8)="","",INDEX('Fleet dates'!$C$9:$C$1008,$I754-8)))</x:f>
      </x:c>
      <x:c r="D754" s="51" t="str">
        <x:f>IF(746&gt;$H$4,"",IF(INDEX('Fleet dates'!$D$9:$D$1008,$I754-8)="","",INDEX('Fleet dates'!$D$9:$D$1008,$I754-8)))</x:f>
      </x:c>
      <x:c r="E754" s="51" t="str">
        <x:f>IF(746&gt;$H$4,"",IF(INDEX('Fleet dates'!$E$9:$E$1008,$I754-8)="","",INDEX('Fleet dates'!$E$9:$E$1008,$I754-8)))</x:f>
      </x:c>
      <x:c r="F754" s="51" t="str">
        <x:f>IF(746&gt;$H$4,"",IF(INDEX('Fleet dates'!$F$9:$F$1008,$I754-8)="","",INDEX('Fleet dates'!$F$9:$F$1008,$I754-8)))</x:f>
      </x:c>
      <x:c r="G754" s="50" t="str">
        <x:f>IF(746&gt;$H$4,"",IF(INDEX('Fleet dates'!$G$9:$G$1008,$I754-8)="","",INDEX('Fleet dates'!$G$9:$G$1008,$I754-8)))</x:f>
      </x:c>
      <x:c r="H754" s="50" t="str">
        <x:f>IF(746&gt;$H$4,"",IF(INDEX('Fleet dates'!$I$9:$I$1008,$I754-8)="","",INDEX('Fleet dates'!$I$9:$I$1008,$I754-8)))</x:f>
      </x:c>
      <x:c r="I754" t="str">
        <x:f>IF(746&gt;$H$4,"",MATCH(746,'Fleet dates'!$J$9:$J$1008,0)+8)</x:f>
      </x:c>
    </x:row>
    <x:row r="755" ht="36" customHeight="1">
      <x:c r="A755" s="50" t="str">
        <x:f>IF(747&gt;$H$4,"",IF(INDEX('Fleet dates'!$A$9:$A$1008,$I755-8)="","",INDEX('Fleet dates'!$A$9:$A$1008,$I755-8)))</x:f>
      </x:c>
      <x:c r="B755" s="50" t="str">
        <x:f>IF(747&gt;$H$4,"",IF(INDEX('Fleet dates'!$B$9:$B$1008,$I755-8)="","",INDEX('Fleet dates'!$B$9:$B$1008,$I755-8)))</x:f>
      </x:c>
      <x:c r="C755" s="51" t="str">
        <x:f>IF(747&gt;$H$4,"",IF(INDEX('Fleet dates'!$C$9:$C$1008,$I755-8)="","",INDEX('Fleet dates'!$C$9:$C$1008,$I755-8)))</x:f>
      </x:c>
      <x:c r="D755" s="51" t="str">
        <x:f>IF(747&gt;$H$4,"",IF(INDEX('Fleet dates'!$D$9:$D$1008,$I755-8)="","",INDEX('Fleet dates'!$D$9:$D$1008,$I755-8)))</x:f>
      </x:c>
      <x:c r="E755" s="51" t="str">
        <x:f>IF(747&gt;$H$4,"",IF(INDEX('Fleet dates'!$E$9:$E$1008,$I755-8)="","",INDEX('Fleet dates'!$E$9:$E$1008,$I755-8)))</x:f>
      </x:c>
      <x:c r="F755" s="51" t="str">
        <x:f>IF(747&gt;$H$4,"",IF(INDEX('Fleet dates'!$F$9:$F$1008,$I755-8)="","",INDEX('Fleet dates'!$F$9:$F$1008,$I755-8)))</x:f>
      </x:c>
      <x:c r="G755" s="50" t="str">
        <x:f>IF(747&gt;$H$4,"",IF(INDEX('Fleet dates'!$G$9:$G$1008,$I755-8)="","",INDEX('Fleet dates'!$G$9:$G$1008,$I755-8)))</x:f>
      </x:c>
      <x:c r="H755" s="50" t="str">
        <x:f>IF(747&gt;$H$4,"",IF(INDEX('Fleet dates'!$I$9:$I$1008,$I755-8)="","",INDEX('Fleet dates'!$I$9:$I$1008,$I755-8)))</x:f>
      </x:c>
      <x:c r="I755" t="str">
        <x:f>IF(747&gt;$H$4,"",MATCH(747,'Fleet dates'!$J$9:$J$1008,0)+8)</x:f>
      </x:c>
    </x:row>
    <x:row r="756" ht="36" customHeight="1">
      <x:c r="A756" s="50" t="str">
        <x:f>IF(748&gt;$H$4,"",IF(INDEX('Fleet dates'!$A$9:$A$1008,$I756-8)="","",INDEX('Fleet dates'!$A$9:$A$1008,$I756-8)))</x:f>
      </x:c>
      <x:c r="B756" s="50" t="str">
        <x:f>IF(748&gt;$H$4,"",IF(INDEX('Fleet dates'!$B$9:$B$1008,$I756-8)="","",INDEX('Fleet dates'!$B$9:$B$1008,$I756-8)))</x:f>
      </x:c>
      <x:c r="C756" s="51" t="str">
        <x:f>IF(748&gt;$H$4,"",IF(INDEX('Fleet dates'!$C$9:$C$1008,$I756-8)="","",INDEX('Fleet dates'!$C$9:$C$1008,$I756-8)))</x:f>
      </x:c>
      <x:c r="D756" s="51" t="str">
        <x:f>IF(748&gt;$H$4,"",IF(INDEX('Fleet dates'!$D$9:$D$1008,$I756-8)="","",INDEX('Fleet dates'!$D$9:$D$1008,$I756-8)))</x:f>
      </x:c>
      <x:c r="E756" s="51" t="str">
        <x:f>IF(748&gt;$H$4,"",IF(INDEX('Fleet dates'!$E$9:$E$1008,$I756-8)="","",INDEX('Fleet dates'!$E$9:$E$1008,$I756-8)))</x:f>
      </x:c>
      <x:c r="F756" s="51" t="str">
        <x:f>IF(748&gt;$H$4,"",IF(INDEX('Fleet dates'!$F$9:$F$1008,$I756-8)="","",INDEX('Fleet dates'!$F$9:$F$1008,$I756-8)))</x:f>
      </x:c>
      <x:c r="G756" s="50" t="str">
        <x:f>IF(748&gt;$H$4,"",IF(INDEX('Fleet dates'!$G$9:$G$1008,$I756-8)="","",INDEX('Fleet dates'!$G$9:$G$1008,$I756-8)))</x:f>
      </x:c>
      <x:c r="H756" s="50" t="str">
        <x:f>IF(748&gt;$H$4,"",IF(INDEX('Fleet dates'!$I$9:$I$1008,$I756-8)="","",INDEX('Fleet dates'!$I$9:$I$1008,$I756-8)))</x:f>
      </x:c>
      <x:c r="I756" t="str">
        <x:f>IF(748&gt;$H$4,"",MATCH(748,'Fleet dates'!$J$9:$J$1008,0)+8)</x:f>
      </x:c>
    </x:row>
    <x:row r="757" ht="36" customHeight="1">
      <x:c r="A757" s="50" t="str">
        <x:f>IF(749&gt;$H$4,"",IF(INDEX('Fleet dates'!$A$9:$A$1008,$I757-8)="","",INDEX('Fleet dates'!$A$9:$A$1008,$I757-8)))</x:f>
      </x:c>
      <x:c r="B757" s="50" t="str">
        <x:f>IF(749&gt;$H$4,"",IF(INDEX('Fleet dates'!$B$9:$B$1008,$I757-8)="","",INDEX('Fleet dates'!$B$9:$B$1008,$I757-8)))</x:f>
      </x:c>
      <x:c r="C757" s="51" t="str">
        <x:f>IF(749&gt;$H$4,"",IF(INDEX('Fleet dates'!$C$9:$C$1008,$I757-8)="","",INDEX('Fleet dates'!$C$9:$C$1008,$I757-8)))</x:f>
      </x:c>
      <x:c r="D757" s="51" t="str">
        <x:f>IF(749&gt;$H$4,"",IF(INDEX('Fleet dates'!$D$9:$D$1008,$I757-8)="","",INDEX('Fleet dates'!$D$9:$D$1008,$I757-8)))</x:f>
      </x:c>
      <x:c r="E757" s="51" t="str">
        <x:f>IF(749&gt;$H$4,"",IF(INDEX('Fleet dates'!$E$9:$E$1008,$I757-8)="","",INDEX('Fleet dates'!$E$9:$E$1008,$I757-8)))</x:f>
      </x:c>
      <x:c r="F757" s="51" t="str">
        <x:f>IF(749&gt;$H$4,"",IF(INDEX('Fleet dates'!$F$9:$F$1008,$I757-8)="","",INDEX('Fleet dates'!$F$9:$F$1008,$I757-8)))</x:f>
      </x:c>
      <x:c r="G757" s="50" t="str">
        <x:f>IF(749&gt;$H$4,"",IF(INDEX('Fleet dates'!$G$9:$G$1008,$I757-8)="","",INDEX('Fleet dates'!$G$9:$G$1008,$I757-8)))</x:f>
      </x:c>
      <x:c r="H757" s="50" t="str">
        <x:f>IF(749&gt;$H$4,"",IF(INDEX('Fleet dates'!$I$9:$I$1008,$I757-8)="","",INDEX('Fleet dates'!$I$9:$I$1008,$I757-8)))</x:f>
      </x:c>
      <x:c r="I757" t="str">
        <x:f>IF(749&gt;$H$4,"",MATCH(749,'Fleet dates'!$J$9:$J$1008,0)+8)</x:f>
      </x:c>
    </x:row>
    <x:row r="758" ht="36" customHeight="1">
      <x:c r="A758" s="50" t="str">
        <x:f>IF(750&gt;$H$4,"",IF(INDEX('Fleet dates'!$A$9:$A$1008,$I758-8)="","",INDEX('Fleet dates'!$A$9:$A$1008,$I758-8)))</x:f>
      </x:c>
      <x:c r="B758" s="50" t="str">
        <x:f>IF(750&gt;$H$4,"",IF(INDEX('Fleet dates'!$B$9:$B$1008,$I758-8)="","",INDEX('Fleet dates'!$B$9:$B$1008,$I758-8)))</x:f>
      </x:c>
      <x:c r="C758" s="51" t="str">
        <x:f>IF(750&gt;$H$4,"",IF(INDEX('Fleet dates'!$C$9:$C$1008,$I758-8)="","",INDEX('Fleet dates'!$C$9:$C$1008,$I758-8)))</x:f>
      </x:c>
      <x:c r="D758" s="51" t="str">
        <x:f>IF(750&gt;$H$4,"",IF(INDEX('Fleet dates'!$D$9:$D$1008,$I758-8)="","",INDEX('Fleet dates'!$D$9:$D$1008,$I758-8)))</x:f>
      </x:c>
      <x:c r="E758" s="51" t="str">
        <x:f>IF(750&gt;$H$4,"",IF(INDEX('Fleet dates'!$E$9:$E$1008,$I758-8)="","",INDEX('Fleet dates'!$E$9:$E$1008,$I758-8)))</x:f>
      </x:c>
      <x:c r="F758" s="51" t="str">
        <x:f>IF(750&gt;$H$4,"",IF(INDEX('Fleet dates'!$F$9:$F$1008,$I758-8)="","",INDEX('Fleet dates'!$F$9:$F$1008,$I758-8)))</x:f>
      </x:c>
      <x:c r="G758" s="50" t="str">
        <x:f>IF(750&gt;$H$4,"",IF(INDEX('Fleet dates'!$G$9:$G$1008,$I758-8)="","",INDEX('Fleet dates'!$G$9:$G$1008,$I758-8)))</x:f>
      </x:c>
      <x:c r="H758" s="50" t="str">
        <x:f>IF(750&gt;$H$4,"",IF(INDEX('Fleet dates'!$I$9:$I$1008,$I758-8)="","",INDEX('Fleet dates'!$I$9:$I$1008,$I758-8)))</x:f>
      </x:c>
      <x:c r="I758" t="str">
        <x:f>IF(750&gt;$H$4,"",MATCH(750,'Fleet dates'!$J$9:$J$1008,0)+8)</x:f>
      </x:c>
    </x:row>
    <x:row r="759" ht="36" customHeight="1">
      <x:c r="A759" s="50" t="str">
        <x:f>IF(751&gt;$H$4,"",IF(INDEX('Fleet dates'!$A$9:$A$1008,$I759-8)="","",INDEX('Fleet dates'!$A$9:$A$1008,$I759-8)))</x:f>
      </x:c>
      <x:c r="B759" s="50" t="str">
        <x:f>IF(751&gt;$H$4,"",IF(INDEX('Fleet dates'!$B$9:$B$1008,$I759-8)="","",INDEX('Fleet dates'!$B$9:$B$1008,$I759-8)))</x:f>
      </x:c>
      <x:c r="C759" s="51" t="str">
        <x:f>IF(751&gt;$H$4,"",IF(INDEX('Fleet dates'!$C$9:$C$1008,$I759-8)="","",INDEX('Fleet dates'!$C$9:$C$1008,$I759-8)))</x:f>
      </x:c>
      <x:c r="D759" s="51" t="str">
        <x:f>IF(751&gt;$H$4,"",IF(INDEX('Fleet dates'!$D$9:$D$1008,$I759-8)="","",INDEX('Fleet dates'!$D$9:$D$1008,$I759-8)))</x:f>
      </x:c>
      <x:c r="E759" s="51" t="str">
        <x:f>IF(751&gt;$H$4,"",IF(INDEX('Fleet dates'!$E$9:$E$1008,$I759-8)="","",INDEX('Fleet dates'!$E$9:$E$1008,$I759-8)))</x:f>
      </x:c>
      <x:c r="F759" s="51" t="str">
        <x:f>IF(751&gt;$H$4,"",IF(INDEX('Fleet dates'!$F$9:$F$1008,$I759-8)="","",INDEX('Fleet dates'!$F$9:$F$1008,$I759-8)))</x:f>
      </x:c>
      <x:c r="G759" s="50" t="str">
        <x:f>IF(751&gt;$H$4,"",IF(INDEX('Fleet dates'!$G$9:$G$1008,$I759-8)="","",INDEX('Fleet dates'!$G$9:$G$1008,$I759-8)))</x:f>
      </x:c>
      <x:c r="H759" s="50" t="str">
        <x:f>IF(751&gt;$H$4,"",IF(INDEX('Fleet dates'!$I$9:$I$1008,$I759-8)="","",INDEX('Fleet dates'!$I$9:$I$1008,$I759-8)))</x:f>
      </x:c>
      <x:c r="I759" t="str">
        <x:f>IF(751&gt;$H$4,"",MATCH(751,'Fleet dates'!$J$9:$J$1008,0)+8)</x:f>
      </x:c>
    </x:row>
    <x:row r="760" ht="36" customHeight="1">
      <x:c r="A760" s="50" t="str">
        <x:f>IF(752&gt;$H$4,"",IF(INDEX('Fleet dates'!$A$9:$A$1008,$I760-8)="","",INDEX('Fleet dates'!$A$9:$A$1008,$I760-8)))</x:f>
      </x:c>
      <x:c r="B760" s="50" t="str">
        <x:f>IF(752&gt;$H$4,"",IF(INDEX('Fleet dates'!$B$9:$B$1008,$I760-8)="","",INDEX('Fleet dates'!$B$9:$B$1008,$I760-8)))</x:f>
      </x:c>
      <x:c r="C760" s="51" t="str">
        <x:f>IF(752&gt;$H$4,"",IF(INDEX('Fleet dates'!$C$9:$C$1008,$I760-8)="","",INDEX('Fleet dates'!$C$9:$C$1008,$I760-8)))</x:f>
      </x:c>
      <x:c r="D760" s="51" t="str">
        <x:f>IF(752&gt;$H$4,"",IF(INDEX('Fleet dates'!$D$9:$D$1008,$I760-8)="","",INDEX('Fleet dates'!$D$9:$D$1008,$I760-8)))</x:f>
      </x:c>
      <x:c r="E760" s="51" t="str">
        <x:f>IF(752&gt;$H$4,"",IF(INDEX('Fleet dates'!$E$9:$E$1008,$I760-8)="","",INDEX('Fleet dates'!$E$9:$E$1008,$I760-8)))</x:f>
      </x:c>
      <x:c r="F760" s="51" t="str">
        <x:f>IF(752&gt;$H$4,"",IF(INDEX('Fleet dates'!$F$9:$F$1008,$I760-8)="","",INDEX('Fleet dates'!$F$9:$F$1008,$I760-8)))</x:f>
      </x:c>
      <x:c r="G760" s="50" t="str">
        <x:f>IF(752&gt;$H$4,"",IF(INDEX('Fleet dates'!$G$9:$G$1008,$I760-8)="","",INDEX('Fleet dates'!$G$9:$G$1008,$I760-8)))</x:f>
      </x:c>
      <x:c r="H760" s="50" t="str">
        <x:f>IF(752&gt;$H$4,"",IF(INDEX('Fleet dates'!$I$9:$I$1008,$I760-8)="","",INDEX('Fleet dates'!$I$9:$I$1008,$I760-8)))</x:f>
      </x:c>
      <x:c r="I760" t="str">
        <x:f>IF(752&gt;$H$4,"",MATCH(752,'Fleet dates'!$J$9:$J$1008,0)+8)</x:f>
      </x:c>
    </x:row>
    <x:row r="761" ht="36" customHeight="1">
      <x:c r="A761" s="50" t="str">
        <x:f>IF(753&gt;$H$4,"",IF(INDEX('Fleet dates'!$A$9:$A$1008,$I761-8)="","",INDEX('Fleet dates'!$A$9:$A$1008,$I761-8)))</x:f>
      </x:c>
      <x:c r="B761" s="50" t="str">
        <x:f>IF(753&gt;$H$4,"",IF(INDEX('Fleet dates'!$B$9:$B$1008,$I761-8)="","",INDEX('Fleet dates'!$B$9:$B$1008,$I761-8)))</x:f>
      </x:c>
      <x:c r="C761" s="51" t="str">
        <x:f>IF(753&gt;$H$4,"",IF(INDEX('Fleet dates'!$C$9:$C$1008,$I761-8)="","",INDEX('Fleet dates'!$C$9:$C$1008,$I761-8)))</x:f>
      </x:c>
      <x:c r="D761" s="51" t="str">
        <x:f>IF(753&gt;$H$4,"",IF(INDEX('Fleet dates'!$D$9:$D$1008,$I761-8)="","",INDEX('Fleet dates'!$D$9:$D$1008,$I761-8)))</x:f>
      </x:c>
      <x:c r="E761" s="51" t="str">
        <x:f>IF(753&gt;$H$4,"",IF(INDEX('Fleet dates'!$E$9:$E$1008,$I761-8)="","",INDEX('Fleet dates'!$E$9:$E$1008,$I761-8)))</x:f>
      </x:c>
      <x:c r="F761" s="51" t="str">
        <x:f>IF(753&gt;$H$4,"",IF(INDEX('Fleet dates'!$F$9:$F$1008,$I761-8)="","",INDEX('Fleet dates'!$F$9:$F$1008,$I761-8)))</x:f>
      </x:c>
      <x:c r="G761" s="50" t="str">
        <x:f>IF(753&gt;$H$4,"",IF(INDEX('Fleet dates'!$G$9:$G$1008,$I761-8)="","",INDEX('Fleet dates'!$G$9:$G$1008,$I761-8)))</x:f>
      </x:c>
      <x:c r="H761" s="50" t="str">
        <x:f>IF(753&gt;$H$4,"",IF(INDEX('Fleet dates'!$I$9:$I$1008,$I761-8)="","",INDEX('Fleet dates'!$I$9:$I$1008,$I761-8)))</x:f>
      </x:c>
      <x:c r="I761" t="str">
        <x:f>IF(753&gt;$H$4,"",MATCH(753,'Fleet dates'!$J$9:$J$1008,0)+8)</x:f>
      </x:c>
    </x:row>
    <x:row r="762" ht="36" customHeight="1">
      <x:c r="A762" s="50" t="str">
        <x:f>IF(754&gt;$H$4,"",IF(INDEX('Fleet dates'!$A$9:$A$1008,$I762-8)="","",INDEX('Fleet dates'!$A$9:$A$1008,$I762-8)))</x:f>
      </x:c>
      <x:c r="B762" s="50" t="str">
        <x:f>IF(754&gt;$H$4,"",IF(INDEX('Fleet dates'!$B$9:$B$1008,$I762-8)="","",INDEX('Fleet dates'!$B$9:$B$1008,$I762-8)))</x:f>
      </x:c>
      <x:c r="C762" s="51" t="str">
        <x:f>IF(754&gt;$H$4,"",IF(INDEX('Fleet dates'!$C$9:$C$1008,$I762-8)="","",INDEX('Fleet dates'!$C$9:$C$1008,$I762-8)))</x:f>
      </x:c>
      <x:c r="D762" s="51" t="str">
        <x:f>IF(754&gt;$H$4,"",IF(INDEX('Fleet dates'!$D$9:$D$1008,$I762-8)="","",INDEX('Fleet dates'!$D$9:$D$1008,$I762-8)))</x:f>
      </x:c>
      <x:c r="E762" s="51" t="str">
        <x:f>IF(754&gt;$H$4,"",IF(INDEX('Fleet dates'!$E$9:$E$1008,$I762-8)="","",INDEX('Fleet dates'!$E$9:$E$1008,$I762-8)))</x:f>
      </x:c>
      <x:c r="F762" s="51" t="str">
        <x:f>IF(754&gt;$H$4,"",IF(INDEX('Fleet dates'!$F$9:$F$1008,$I762-8)="","",INDEX('Fleet dates'!$F$9:$F$1008,$I762-8)))</x:f>
      </x:c>
      <x:c r="G762" s="50" t="str">
        <x:f>IF(754&gt;$H$4,"",IF(INDEX('Fleet dates'!$G$9:$G$1008,$I762-8)="","",INDEX('Fleet dates'!$G$9:$G$1008,$I762-8)))</x:f>
      </x:c>
      <x:c r="H762" s="50" t="str">
        <x:f>IF(754&gt;$H$4,"",IF(INDEX('Fleet dates'!$I$9:$I$1008,$I762-8)="","",INDEX('Fleet dates'!$I$9:$I$1008,$I762-8)))</x:f>
      </x:c>
      <x:c r="I762" t="str">
        <x:f>IF(754&gt;$H$4,"",MATCH(754,'Fleet dates'!$J$9:$J$1008,0)+8)</x:f>
      </x:c>
    </x:row>
    <x:row r="763" ht="36" customHeight="1">
      <x:c r="A763" s="50" t="str">
        <x:f>IF(755&gt;$H$4,"",IF(INDEX('Fleet dates'!$A$9:$A$1008,$I763-8)="","",INDEX('Fleet dates'!$A$9:$A$1008,$I763-8)))</x:f>
      </x:c>
      <x:c r="B763" s="50" t="str">
        <x:f>IF(755&gt;$H$4,"",IF(INDEX('Fleet dates'!$B$9:$B$1008,$I763-8)="","",INDEX('Fleet dates'!$B$9:$B$1008,$I763-8)))</x:f>
      </x:c>
      <x:c r="C763" s="51" t="str">
        <x:f>IF(755&gt;$H$4,"",IF(INDEX('Fleet dates'!$C$9:$C$1008,$I763-8)="","",INDEX('Fleet dates'!$C$9:$C$1008,$I763-8)))</x:f>
      </x:c>
      <x:c r="D763" s="51" t="str">
        <x:f>IF(755&gt;$H$4,"",IF(INDEX('Fleet dates'!$D$9:$D$1008,$I763-8)="","",INDEX('Fleet dates'!$D$9:$D$1008,$I763-8)))</x:f>
      </x:c>
      <x:c r="E763" s="51" t="str">
        <x:f>IF(755&gt;$H$4,"",IF(INDEX('Fleet dates'!$E$9:$E$1008,$I763-8)="","",INDEX('Fleet dates'!$E$9:$E$1008,$I763-8)))</x:f>
      </x:c>
      <x:c r="F763" s="51" t="str">
        <x:f>IF(755&gt;$H$4,"",IF(INDEX('Fleet dates'!$F$9:$F$1008,$I763-8)="","",INDEX('Fleet dates'!$F$9:$F$1008,$I763-8)))</x:f>
      </x:c>
      <x:c r="G763" s="50" t="str">
        <x:f>IF(755&gt;$H$4,"",IF(INDEX('Fleet dates'!$G$9:$G$1008,$I763-8)="","",INDEX('Fleet dates'!$G$9:$G$1008,$I763-8)))</x:f>
      </x:c>
      <x:c r="H763" s="50" t="str">
        <x:f>IF(755&gt;$H$4,"",IF(INDEX('Fleet dates'!$I$9:$I$1008,$I763-8)="","",INDEX('Fleet dates'!$I$9:$I$1008,$I763-8)))</x:f>
      </x:c>
      <x:c r="I763" t="str">
        <x:f>IF(755&gt;$H$4,"",MATCH(755,'Fleet dates'!$J$9:$J$1008,0)+8)</x:f>
      </x:c>
    </x:row>
    <x:row r="764" ht="36" customHeight="1">
      <x:c r="A764" s="50" t="str">
        <x:f>IF(756&gt;$H$4,"",IF(INDEX('Fleet dates'!$A$9:$A$1008,$I764-8)="","",INDEX('Fleet dates'!$A$9:$A$1008,$I764-8)))</x:f>
      </x:c>
      <x:c r="B764" s="50" t="str">
        <x:f>IF(756&gt;$H$4,"",IF(INDEX('Fleet dates'!$B$9:$B$1008,$I764-8)="","",INDEX('Fleet dates'!$B$9:$B$1008,$I764-8)))</x:f>
      </x:c>
      <x:c r="C764" s="51" t="str">
        <x:f>IF(756&gt;$H$4,"",IF(INDEX('Fleet dates'!$C$9:$C$1008,$I764-8)="","",INDEX('Fleet dates'!$C$9:$C$1008,$I764-8)))</x:f>
      </x:c>
      <x:c r="D764" s="51" t="str">
        <x:f>IF(756&gt;$H$4,"",IF(INDEX('Fleet dates'!$D$9:$D$1008,$I764-8)="","",INDEX('Fleet dates'!$D$9:$D$1008,$I764-8)))</x:f>
      </x:c>
      <x:c r="E764" s="51" t="str">
        <x:f>IF(756&gt;$H$4,"",IF(INDEX('Fleet dates'!$E$9:$E$1008,$I764-8)="","",INDEX('Fleet dates'!$E$9:$E$1008,$I764-8)))</x:f>
      </x:c>
      <x:c r="F764" s="51" t="str">
        <x:f>IF(756&gt;$H$4,"",IF(INDEX('Fleet dates'!$F$9:$F$1008,$I764-8)="","",INDEX('Fleet dates'!$F$9:$F$1008,$I764-8)))</x:f>
      </x:c>
      <x:c r="G764" s="50" t="str">
        <x:f>IF(756&gt;$H$4,"",IF(INDEX('Fleet dates'!$G$9:$G$1008,$I764-8)="","",INDEX('Fleet dates'!$G$9:$G$1008,$I764-8)))</x:f>
      </x:c>
      <x:c r="H764" s="50" t="str">
        <x:f>IF(756&gt;$H$4,"",IF(INDEX('Fleet dates'!$I$9:$I$1008,$I764-8)="","",INDEX('Fleet dates'!$I$9:$I$1008,$I764-8)))</x:f>
      </x:c>
      <x:c r="I764" t="str">
        <x:f>IF(756&gt;$H$4,"",MATCH(756,'Fleet dates'!$J$9:$J$1008,0)+8)</x:f>
      </x:c>
    </x:row>
    <x:row r="765" ht="36" customHeight="1">
      <x:c r="A765" s="50" t="str">
        <x:f>IF(757&gt;$H$4,"",IF(INDEX('Fleet dates'!$A$9:$A$1008,$I765-8)="","",INDEX('Fleet dates'!$A$9:$A$1008,$I765-8)))</x:f>
      </x:c>
      <x:c r="B765" s="50" t="str">
        <x:f>IF(757&gt;$H$4,"",IF(INDEX('Fleet dates'!$B$9:$B$1008,$I765-8)="","",INDEX('Fleet dates'!$B$9:$B$1008,$I765-8)))</x:f>
      </x:c>
      <x:c r="C765" s="51" t="str">
        <x:f>IF(757&gt;$H$4,"",IF(INDEX('Fleet dates'!$C$9:$C$1008,$I765-8)="","",INDEX('Fleet dates'!$C$9:$C$1008,$I765-8)))</x:f>
      </x:c>
      <x:c r="D765" s="51" t="str">
        <x:f>IF(757&gt;$H$4,"",IF(INDEX('Fleet dates'!$D$9:$D$1008,$I765-8)="","",INDEX('Fleet dates'!$D$9:$D$1008,$I765-8)))</x:f>
      </x:c>
      <x:c r="E765" s="51" t="str">
        <x:f>IF(757&gt;$H$4,"",IF(INDEX('Fleet dates'!$E$9:$E$1008,$I765-8)="","",INDEX('Fleet dates'!$E$9:$E$1008,$I765-8)))</x:f>
      </x:c>
      <x:c r="F765" s="51" t="str">
        <x:f>IF(757&gt;$H$4,"",IF(INDEX('Fleet dates'!$F$9:$F$1008,$I765-8)="","",INDEX('Fleet dates'!$F$9:$F$1008,$I765-8)))</x:f>
      </x:c>
      <x:c r="G765" s="50" t="str">
        <x:f>IF(757&gt;$H$4,"",IF(INDEX('Fleet dates'!$G$9:$G$1008,$I765-8)="","",INDEX('Fleet dates'!$G$9:$G$1008,$I765-8)))</x:f>
      </x:c>
      <x:c r="H765" s="50" t="str">
        <x:f>IF(757&gt;$H$4,"",IF(INDEX('Fleet dates'!$I$9:$I$1008,$I765-8)="","",INDEX('Fleet dates'!$I$9:$I$1008,$I765-8)))</x:f>
      </x:c>
      <x:c r="I765" t="str">
        <x:f>IF(757&gt;$H$4,"",MATCH(757,'Fleet dates'!$J$9:$J$1008,0)+8)</x:f>
      </x:c>
    </x:row>
    <x:row r="766" ht="36" customHeight="1">
      <x:c r="A766" s="50" t="str">
        <x:f>IF(758&gt;$H$4,"",IF(INDEX('Fleet dates'!$A$9:$A$1008,$I766-8)="","",INDEX('Fleet dates'!$A$9:$A$1008,$I766-8)))</x:f>
      </x:c>
      <x:c r="B766" s="50" t="str">
        <x:f>IF(758&gt;$H$4,"",IF(INDEX('Fleet dates'!$B$9:$B$1008,$I766-8)="","",INDEX('Fleet dates'!$B$9:$B$1008,$I766-8)))</x:f>
      </x:c>
      <x:c r="C766" s="51" t="str">
        <x:f>IF(758&gt;$H$4,"",IF(INDEX('Fleet dates'!$C$9:$C$1008,$I766-8)="","",INDEX('Fleet dates'!$C$9:$C$1008,$I766-8)))</x:f>
      </x:c>
      <x:c r="D766" s="51" t="str">
        <x:f>IF(758&gt;$H$4,"",IF(INDEX('Fleet dates'!$D$9:$D$1008,$I766-8)="","",INDEX('Fleet dates'!$D$9:$D$1008,$I766-8)))</x:f>
      </x:c>
      <x:c r="E766" s="51" t="str">
        <x:f>IF(758&gt;$H$4,"",IF(INDEX('Fleet dates'!$E$9:$E$1008,$I766-8)="","",INDEX('Fleet dates'!$E$9:$E$1008,$I766-8)))</x:f>
      </x:c>
      <x:c r="F766" s="51" t="str">
        <x:f>IF(758&gt;$H$4,"",IF(INDEX('Fleet dates'!$F$9:$F$1008,$I766-8)="","",INDEX('Fleet dates'!$F$9:$F$1008,$I766-8)))</x:f>
      </x:c>
      <x:c r="G766" s="50" t="str">
        <x:f>IF(758&gt;$H$4,"",IF(INDEX('Fleet dates'!$G$9:$G$1008,$I766-8)="","",INDEX('Fleet dates'!$G$9:$G$1008,$I766-8)))</x:f>
      </x:c>
      <x:c r="H766" s="50" t="str">
        <x:f>IF(758&gt;$H$4,"",IF(INDEX('Fleet dates'!$I$9:$I$1008,$I766-8)="","",INDEX('Fleet dates'!$I$9:$I$1008,$I766-8)))</x:f>
      </x:c>
      <x:c r="I766" t="str">
        <x:f>IF(758&gt;$H$4,"",MATCH(758,'Fleet dates'!$J$9:$J$1008,0)+8)</x:f>
      </x:c>
    </x:row>
    <x:row r="767" ht="36" customHeight="1">
      <x:c r="A767" s="50" t="str">
        <x:f>IF(759&gt;$H$4,"",IF(INDEX('Fleet dates'!$A$9:$A$1008,$I767-8)="","",INDEX('Fleet dates'!$A$9:$A$1008,$I767-8)))</x:f>
      </x:c>
      <x:c r="B767" s="50" t="str">
        <x:f>IF(759&gt;$H$4,"",IF(INDEX('Fleet dates'!$B$9:$B$1008,$I767-8)="","",INDEX('Fleet dates'!$B$9:$B$1008,$I767-8)))</x:f>
      </x:c>
      <x:c r="C767" s="51" t="str">
        <x:f>IF(759&gt;$H$4,"",IF(INDEX('Fleet dates'!$C$9:$C$1008,$I767-8)="","",INDEX('Fleet dates'!$C$9:$C$1008,$I767-8)))</x:f>
      </x:c>
      <x:c r="D767" s="51" t="str">
        <x:f>IF(759&gt;$H$4,"",IF(INDEX('Fleet dates'!$D$9:$D$1008,$I767-8)="","",INDEX('Fleet dates'!$D$9:$D$1008,$I767-8)))</x:f>
      </x:c>
      <x:c r="E767" s="51" t="str">
        <x:f>IF(759&gt;$H$4,"",IF(INDEX('Fleet dates'!$E$9:$E$1008,$I767-8)="","",INDEX('Fleet dates'!$E$9:$E$1008,$I767-8)))</x:f>
      </x:c>
      <x:c r="F767" s="51" t="str">
        <x:f>IF(759&gt;$H$4,"",IF(INDEX('Fleet dates'!$F$9:$F$1008,$I767-8)="","",INDEX('Fleet dates'!$F$9:$F$1008,$I767-8)))</x:f>
      </x:c>
      <x:c r="G767" s="50" t="str">
        <x:f>IF(759&gt;$H$4,"",IF(INDEX('Fleet dates'!$G$9:$G$1008,$I767-8)="","",INDEX('Fleet dates'!$G$9:$G$1008,$I767-8)))</x:f>
      </x:c>
      <x:c r="H767" s="50" t="str">
        <x:f>IF(759&gt;$H$4,"",IF(INDEX('Fleet dates'!$I$9:$I$1008,$I767-8)="","",INDEX('Fleet dates'!$I$9:$I$1008,$I767-8)))</x:f>
      </x:c>
      <x:c r="I767" t="str">
        <x:f>IF(759&gt;$H$4,"",MATCH(759,'Fleet dates'!$J$9:$J$1008,0)+8)</x:f>
      </x:c>
    </x:row>
    <x:row r="768" ht="36" customHeight="1">
      <x:c r="A768" s="50" t="str">
        <x:f>IF(760&gt;$H$4,"",IF(INDEX('Fleet dates'!$A$9:$A$1008,$I768-8)="","",INDEX('Fleet dates'!$A$9:$A$1008,$I768-8)))</x:f>
      </x:c>
      <x:c r="B768" s="50" t="str">
        <x:f>IF(760&gt;$H$4,"",IF(INDEX('Fleet dates'!$B$9:$B$1008,$I768-8)="","",INDEX('Fleet dates'!$B$9:$B$1008,$I768-8)))</x:f>
      </x:c>
      <x:c r="C768" s="51" t="str">
        <x:f>IF(760&gt;$H$4,"",IF(INDEX('Fleet dates'!$C$9:$C$1008,$I768-8)="","",INDEX('Fleet dates'!$C$9:$C$1008,$I768-8)))</x:f>
      </x:c>
      <x:c r="D768" s="51" t="str">
        <x:f>IF(760&gt;$H$4,"",IF(INDEX('Fleet dates'!$D$9:$D$1008,$I768-8)="","",INDEX('Fleet dates'!$D$9:$D$1008,$I768-8)))</x:f>
      </x:c>
      <x:c r="E768" s="51" t="str">
        <x:f>IF(760&gt;$H$4,"",IF(INDEX('Fleet dates'!$E$9:$E$1008,$I768-8)="","",INDEX('Fleet dates'!$E$9:$E$1008,$I768-8)))</x:f>
      </x:c>
      <x:c r="F768" s="51" t="str">
        <x:f>IF(760&gt;$H$4,"",IF(INDEX('Fleet dates'!$F$9:$F$1008,$I768-8)="","",INDEX('Fleet dates'!$F$9:$F$1008,$I768-8)))</x:f>
      </x:c>
      <x:c r="G768" s="50" t="str">
        <x:f>IF(760&gt;$H$4,"",IF(INDEX('Fleet dates'!$G$9:$G$1008,$I768-8)="","",INDEX('Fleet dates'!$G$9:$G$1008,$I768-8)))</x:f>
      </x:c>
      <x:c r="H768" s="50" t="str">
        <x:f>IF(760&gt;$H$4,"",IF(INDEX('Fleet dates'!$I$9:$I$1008,$I768-8)="","",INDEX('Fleet dates'!$I$9:$I$1008,$I768-8)))</x:f>
      </x:c>
      <x:c r="I768" t="str">
        <x:f>IF(760&gt;$H$4,"",MATCH(760,'Fleet dates'!$J$9:$J$1008,0)+8)</x:f>
      </x:c>
    </x:row>
    <x:row r="769" ht="36" customHeight="1">
      <x:c r="A769" s="50" t="str">
        <x:f>IF(761&gt;$H$4,"",IF(INDEX('Fleet dates'!$A$9:$A$1008,$I769-8)="","",INDEX('Fleet dates'!$A$9:$A$1008,$I769-8)))</x:f>
      </x:c>
      <x:c r="B769" s="50" t="str">
        <x:f>IF(761&gt;$H$4,"",IF(INDEX('Fleet dates'!$B$9:$B$1008,$I769-8)="","",INDEX('Fleet dates'!$B$9:$B$1008,$I769-8)))</x:f>
      </x:c>
      <x:c r="C769" s="51" t="str">
        <x:f>IF(761&gt;$H$4,"",IF(INDEX('Fleet dates'!$C$9:$C$1008,$I769-8)="","",INDEX('Fleet dates'!$C$9:$C$1008,$I769-8)))</x:f>
      </x:c>
      <x:c r="D769" s="51" t="str">
        <x:f>IF(761&gt;$H$4,"",IF(INDEX('Fleet dates'!$D$9:$D$1008,$I769-8)="","",INDEX('Fleet dates'!$D$9:$D$1008,$I769-8)))</x:f>
      </x:c>
      <x:c r="E769" s="51" t="str">
        <x:f>IF(761&gt;$H$4,"",IF(INDEX('Fleet dates'!$E$9:$E$1008,$I769-8)="","",INDEX('Fleet dates'!$E$9:$E$1008,$I769-8)))</x:f>
      </x:c>
      <x:c r="F769" s="51" t="str">
        <x:f>IF(761&gt;$H$4,"",IF(INDEX('Fleet dates'!$F$9:$F$1008,$I769-8)="","",INDEX('Fleet dates'!$F$9:$F$1008,$I769-8)))</x:f>
      </x:c>
      <x:c r="G769" s="50" t="str">
        <x:f>IF(761&gt;$H$4,"",IF(INDEX('Fleet dates'!$G$9:$G$1008,$I769-8)="","",INDEX('Fleet dates'!$G$9:$G$1008,$I769-8)))</x:f>
      </x:c>
      <x:c r="H769" s="50" t="str">
        <x:f>IF(761&gt;$H$4,"",IF(INDEX('Fleet dates'!$I$9:$I$1008,$I769-8)="","",INDEX('Fleet dates'!$I$9:$I$1008,$I769-8)))</x:f>
      </x:c>
      <x:c r="I769" t="str">
        <x:f>IF(761&gt;$H$4,"",MATCH(761,'Fleet dates'!$J$9:$J$1008,0)+8)</x:f>
      </x:c>
    </x:row>
    <x:row r="770" ht="36" customHeight="1">
      <x:c r="A770" s="50" t="str">
        <x:f>IF(762&gt;$H$4,"",IF(INDEX('Fleet dates'!$A$9:$A$1008,$I770-8)="","",INDEX('Fleet dates'!$A$9:$A$1008,$I770-8)))</x:f>
      </x:c>
      <x:c r="B770" s="50" t="str">
        <x:f>IF(762&gt;$H$4,"",IF(INDEX('Fleet dates'!$B$9:$B$1008,$I770-8)="","",INDEX('Fleet dates'!$B$9:$B$1008,$I770-8)))</x:f>
      </x:c>
      <x:c r="C770" s="51" t="str">
        <x:f>IF(762&gt;$H$4,"",IF(INDEX('Fleet dates'!$C$9:$C$1008,$I770-8)="","",INDEX('Fleet dates'!$C$9:$C$1008,$I770-8)))</x:f>
      </x:c>
      <x:c r="D770" s="51" t="str">
        <x:f>IF(762&gt;$H$4,"",IF(INDEX('Fleet dates'!$D$9:$D$1008,$I770-8)="","",INDEX('Fleet dates'!$D$9:$D$1008,$I770-8)))</x:f>
      </x:c>
      <x:c r="E770" s="51" t="str">
        <x:f>IF(762&gt;$H$4,"",IF(INDEX('Fleet dates'!$E$9:$E$1008,$I770-8)="","",INDEX('Fleet dates'!$E$9:$E$1008,$I770-8)))</x:f>
      </x:c>
      <x:c r="F770" s="51" t="str">
        <x:f>IF(762&gt;$H$4,"",IF(INDEX('Fleet dates'!$F$9:$F$1008,$I770-8)="","",INDEX('Fleet dates'!$F$9:$F$1008,$I770-8)))</x:f>
      </x:c>
      <x:c r="G770" s="50" t="str">
        <x:f>IF(762&gt;$H$4,"",IF(INDEX('Fleet dates'!$G$9:$G$1008,$I770-8)="","",INDEX('Fleet dates'!$G$9:$G$1008,$I770-8)))</x:f>
      </x:c>
      <x:c r="H770" s="50" t="str">
        <x:f>IF(762&gt;$H$4,"",IF(INDEX('Fleet dates'!$I$9:$I$1008,$I770-8)="","",INDEX('Fleet dates'!$I$9:$I$1008,$I770-8)))</x:f>
      </x:c>
      <x:c r="I770" t="str">
        <x:f>IF(762&gt;$H$4,"",MATCH(762,'Fleet dates'!$J$9:$J$1008,0)+8)</x:f>
      </x:c>
    </x:row>
    <x:row r="771" ht="36" customHeight="1">
      <x:c r="A771" s="50" t="str">
        <x:f>IF(763&gt;$H$4,"",IF(INDEX('Fleet dates'!$A$9:$A$1008,$I771-8)="","",INDEX('Fleet dates'!$A$9:$A$1008,$I771-8)))</x:f>
      </x:c>
      <x:c r="B771" s="50" t="str">
        <x:f>IF(763&gt;$H$4,"",IF(INDEX('Fleet dates'!$B$9:$B$1008,$I771-8)="","",INDEX('Fleet dates'!$B$9:$B$1008,$I771-8)))</x:f>
      </x:c>
      <x:c r="C771" s="51" t="str">
        <x:f>IF(763&gt;$H$4,"",IF(INDEX('Fleet dates'!$C$9:$C$1008,$I771-8)="","",INDEX('Fleet dates'!$C$9:$C$1008,$I771-8)))</x:f>
      </x:c>
      <x:c r="D771" s="51" t="str">
        <x:f>IF(763&gt;$H$4,"",IF(INDEX('Fleet dates'!$D$9:$D$1008,$I771-8)="","",INDEX('Fleet dates'!$D$9:$D$1008,$I771-8)))</x:f>
      </x:c>
      <x:c r="E771" s="51" t="str">
        <x:f>IF(763&gt;$H$4,"",IF(INDEX('Fleet dates'!$E$9:$E$1008,$I771-8)="","",INDEX('Fleet dates'!$E$9:$E$1008,$I771-8)))</x:f>
      </x:c>
      <x:c r="F771" s="51" t="str">
        <x:f>IF(763&gt;$H$4,"",IF(INDEX('Fleet dates'!$F$9:$F$1008,$I771-8)="","",INDEX('Fleet dates'!$F$9:$F$1008,$I771-8)))</x:f>
      </x:c>
      <x:c r="G771" s="50" t="str">
        <x:f>IF(763&gt;$H$4,"",IF(INDEX('Fleet dates'!$G$9:$G$1008,$I771-8)="","",INDEX('Fleet dates'!$G$9:$G$1008,$I771-8)))</x:f>
      </x:c>
      <x:c r="H771" s="50" t="str">
        <x:f>IF(763&gt;$H$4,"",IF(INDEX('Fleet dates'!$I$9:$I$1008,$I771-8)="","",INDEX('Fleet dates'!$I$9:$I$1008,$I771-8)))</x:f>
      </x:c>
      <x:c r="I771" t="str">
        <x:f>IF(763&gt;$H$4,"",MATCH(763,'Fleet dates'!$J$9:$J$1008,0)+8)</x:f>
      </x:c>
    </x:row>
    <x:row r="772" ht="36" customHeight="1">
      <x:c r="A772" s="50" t="str">
        <x:f>IF(764&gt;$H$4,"",IF(INDEX('Fleet dates'!$A$9:$A$1008,$I772-8)="","",INDEX('Fleet dates'!$A$9:$A$1008,$I772-8)))</x:f>
      </x:c>
      <x:c r="B772" s="50" t="str">
        <x:f>IF(764&gt;$H$4,"",IF(INDEX('Fleet dates'!$B$9:$B$1008,$I772-8)="","",INDEX('Fleet dates'!$B$9:$B$1008,$I772-8)))</x:f>
      </x:c>
      <x:c r="C772" s="51" t="str">
        <x:f>IF(764&gt;$H$4,"",IF(INDEX('Fleet dates'!$C$9:$C$1008,$I772-8)="","",INDEX('Fleet dates'!$C$9:$C$1008,$I772-8)))</x:f>
      </x:c>
      <x:c r="D772" s="51" t="str">
        <x:f>IF(764&gt;$H$4,"",IF(INDEX('Fleet dates'!$D$9:$D$1008,$I772-8)="","",INDEX('Fleet dates'!$D$9:$D$1008,$I772-8)))</x:f>
      </x:c>
      <x:c r="E772" s="51" t="str">
        <x:f>IF(764&gt;$H$4,"",IF(INDEX('Fleet dates'!$E$9:$E$1008,$I772-8)="","",INDEX('Fleet dates'!$E$9:$E$1008,$I772-8)))</x:f>
      </x:c>
      <x:c r="F772" s="51" t="str">
        <x:f>IF(764&gt;$H$4,"",IF(INDEX('Fleet dates'!$F$9:$F$1008,$I772-8)="","",INDEX('Fleet dates'!$F$9:$F$1008,$I772-8)))</x:f>
      </x:c>
      <x:c r="G772" s="50" t="str">
        <x:f>IF(764&gt;$H$4,"",IF(INDEX('Fleet dates'!$G$9:$G$1008,$I772-8)="","",INDEX('Fleet dates'!$G$9:$G$1008,$I772-8)))</x:f>
      </x:c>
      <x:c r="H772" s="50" t="str">
        <x:f>IF(764&gt;$H$4,"",IF(INDEX('Fleet dates'!$I$9:$I$1008,$I772-8)="","",INDEX('Fleet dates'!$I$9:$I$1008,$I772-8)))</x:f>
      </x:c>
      <x:c r="I772" t="str">
        <x:f>IF(764&gt;$H$4,"",MATCH(764,'Fleet dates'!$J$9:$J$1008,0)+8)</x:f>
      </x:c>
    </x:row>
    <x:row r="773" ht="36" customHeight="1">
      <x:c r="A773" s="50" t="str">
        <x:f>IF(765&gt;$H$4,"",IF(INDEX('Fleet dates'!$A$9:$A$1008,$I773-8)="","",INDEX('Fleet dates'!$A$9:$A$1008,$I773-8)))</x:f>
      </x:c>
      <x:c r="B773" s="50" t="str">
        <x:f>IF(765&gt;$H$4,"",IF(INDEX('Fleet dates'!$B$9:$B$1008,$I773-8)="","",INDEX('Fleet dates'!$B$9:$B$1008,$I773-8)))</x:f>
      </x:c>
      <x:c r="C773" s="51" t="str">
        <x:f>IF(765&gt;$H$4,"",IF(INDEX('Fleet dates'!$C$9:$C$1008,$I773-8)="","",INDEX('Fleet dates'!$C$9:$C$1008,$I773-8)))</x:f>
      </x:c>
      <x:c r="D773" s="51" t="str">
        <x:f>IF(765&gt;$H$4,"",IF(INDEX('Fleet dates'!$D$9:$D$1008,$I773-8)="","",INDEX('Fleet dates'!$D$9:$D$1008,$I773-8)))</x:f>
      </x:c>
      <x:c r="E773" s="51" t="str">
        <x:f>IF(765&gt;$H$4,"",IF(INDEX('Fleet dates'!$E$9:$E$1008,$I773-8)="","",INDEX('Fleet dates'!$E$9:$E$1008,$I773-8)))</x:f>
      </x:c>
      <x:c r="F773" s="51" t="str">
        <x:f>IF(765&gt;$H$4,"",IF(INDEX('Fleet dates'!$F$9:$F$1008,$I773-8)="","",INDEX('Fleet dates'!$F$9:$F$1008,$I773-8)))</x:f>
      </x:c>
      <x:c r="G773" s="50" t="str">
        <x:f>IF(765&gt;$H$4,"",IF(INDEX('Fleet dates'!$G$9:$G$1008,$I773-8)="","",INDEX('Fleet dates'!$G$9:$G$1008,$I773-8)))</x:f>
      </x:c>
      <x:c r="H773" s="50" t="str">
        <x:f>IF(765&gt;$H$4,"",IF(INDEX('Fleet dates'!$I$9:$I$1008,$I773-8)="","",INDEX('Fleet dates'!$I$9:$I$1008,$I773-8)))</x:f>
      </x:c>
      <x:c r="I773" t="str">
        <x:f>IF(765&gt;$H$4,"",MATCH(765,'Fleet dates'!$J$9:$J$1008,0)+8)</x:f>
      </x:c>
    </x:row>
    <x:row r="774" ht="36" customHeight="1">
      <x:c r="A774" s="50" t="str">
        <x:f>IF(766&gt;$H$4,"",IF(INDEX('Fleet dates'!$A$9:$A$1008,$I774-8)="","",INDEX('Fleet dates'!$A$9:$A$1008,$I774-8)))</x:f>
      </x:c>
      <x:c r="B774" s="50" t="str">
        <x:f>IF(766&gt;$H$4,"",IF(INDEX('Fleet dates'!$B$9:$B$1008,$I774-8)="","",INDEX('Fleet dates'!$B$9:$B$1008,$I774-8)))</x:f>
      </x:c>
      <x:c r="C774" s="51" t="str">
        <x:f>IF(766&gt;$H$4,"",IF(INDEX('Fleet dates'!$C$9:$C$1008,$I774-8)="","",INDEX('Fleet dates'!$C$9:$C$1008,$I774-8)))</x:f>
      </x:c>
      <x:c r="D774" s="51" t="str">
        <x:f>IF(766&gt;$H$4,"",IF(INDEX('Fleet dates'!$D$9:$D$1008,$I774-8)="","",INDEX('Fleet dates'!$D$9:$D$1008,$I774-8)))</x:f>
      </x:c>
      <x:c r="E774" s="51" t="str">
        <x:f>IF(766&gt;$H$4,"",IF(INDEX('Fleet dates'!$E$9:$E$1008,$I774-8)="","",INDEX('Fleet dates'!$E$9:$E$1008,$I774-8)))</x:f>
      </x:c>
      <x:c r="F774" s="51" t="str">
        <x:f>IF(766&gt;$H$4,"",IF(INDEX('Fleet dates'!$F$9:$F$1008,$I774-8)="","",INDEX('Fleet dates'!$F$9:$F$1008,$I774-8)))</x:f>
      </x:c>
      <x:c r="G774" s="50" t="str">
        <x:f>IF(766&gt;$H$4,"",IF(INDEX('Fleet dates'!$G$9:$G$1008,$I774-8)="","",INDEX('Fleet dates'!$G$9:$G$1008,$I774-8)))</x:f>
      </x:c>
      <x:c r="H774" s="50" t="str">
        <x:f>IF(766&gt;$H$4,"",IF(INDEX('Fleet dates'!$I$9:$I$1008,$I774-8)="","",INDEX('Fleet dates'!$I$9:$I$1008,$I774-8)))</x:f>
      </x:c>
      <x:c r="I774" t="str">
        <x:f>IF(766&gt;$H$4,"",MATCH(766,'Fleet dates'!$J$9:$J$1008,0)+8)</x:f>
      </x:c>
    </x:row>
    <x:row r="775" ht="36" customHeight="1">
      <x:c r="A775" s="50" t="str">
        <x:f>IF(767&gt;$H$4,"",IF(INDEX('Fleet dates'!$A$9:$A$1008,$I775-8)="","",INDEX('Fleet dates'!$A$9:$A$1008,$I775-8)))</x:f>
      </x:c>
      <x:c r="B775" s="50" t="str">
        <x:f>IF(767&gt;$H$4,"",IF(INDEX('Fleet dates'!$B$9:$B$1008,$I775-8)="","",INDEX('Fleet dates'!$B$9:$B$1008,$I775-8)))</x:f>
      </x:c>
      <x:c r="C775" s="51" t="str">
        <x:f>IF(767&gt;$H$4,"",IF(INDEX('Fleet dates'!$C$9:$C$1008,$I775-8)="","",INDEX('Fleet dates'!$C$9:$C$1008,$I775-8)))</x:f>
      </x:c>
      <x:c r="D775" s="51" t="str">
        <x:f>IF(767&gt;$H$4,"",IF(INDEX('Fleet dates'!$D$9:$D$1008,$I775-8)="","",INDEX('Fleet dates'!$D$9:$D$1008,$I775-8)))</x:f>
      </x:c>
      <x:c r="E775" s="51" t="str">
        <x:f>IF(767&gt;$H$4,"",IF(INDEX('Fleet dates'!$E$9:$E$1008,$I775-8)="","",INDEX('Fleet dates'!$E$9:$E$1008,$I775-8)))</x:f>
      </x:c>
      <x:c r="F775" s="51" t="str">
        <x:f>IF(767&gt;$H$4,"",IF(INDEX('Fleet dates'!$F$9:$F$1008,$I775-8)="","",INDEX('Fleet dates'!$F$9:$F$1008,$I775-8)))</x:f>
      </x:c>
      <x:c r="G775" s="50" t="str">
        <x:f>IF(767&gt;$H$4,"",IF(INDEX('Fleet dates'!$G$9:$G$1008,$I775-8)="","",INDEX('Fleet dates'!$G$9:$G$1008,$I775-8)))</x:f>
      </x:c>
      <x:c r="H775" s="50" t="str">
        <x:f>IF(767&gt;$H$4,"",IF(INDEX('Fleet dates'!$I$9:$I$1008,$I775-8)="","",INDEX('Fleet dates'!$I$9:$I$1008,$I775-8)))</x:f>
      </x:c>
      <x:c r="I775" t="str">
        <x:f>IF(767&gt;$H$4,"",MATCH(767,'Fleet dates'!$J$9:$J$1008,0)+8)</x:f>
      </x:c>
    </x:row>
    <x:row r="776" ht="36" customHeight="1">
      <x:c r="A776" s="50" t="str">
        <x:f>IF(768&gt;$H$4,"",IF(INDEX('Fleet dates'!$A$9:$A$1008,$I776-8)="","",INDEX('Fleet dates'!$A$9:$A$1008,$I776-8)))</x:f>
      </x:c>
      <x:c r="B776" s="50" t="str">
        <x:f>IF(768&gt;$H$4,"",IF(INDEX('Fleet dates'!$B$9:$B$1008,$I776-8)="","",INDEX('Fleet dates'!$B$9:$B$1008,$I776-8)))</x:f>
      </x:c>
      <x:c r="C776" s="51" t="str">
        <x:f>IF(768&gt;$H$4,"",IF(INDEX('Fleet dates'!$C$9:$C$1008,$I776-8)="","",INDEX('Fleet dates'!$C$9:$C$1008,$I776-8)))</x:f>
      </x:c>
      <x:c r="D776" s="51" t="str">
        <x:f>IF(768&gt;$H$4,"",IF(INDEX('Fleet dates'!$D$9:$D$1008,$I776-8)="","",INDEX('Fleet dates'!$D$9:$D$1008,$I776-8)))</x:f>
      </x:c>
      <x:c r="E776" s="51" t="str">
        <x:f>IF(768&gt;$H$4,"",IF(INDEX('Fleet dates'!$E$9:$E$1008,$I776-8)="","",INDEX('Fleet dates'!$E$9:$E$1008,$I776-8)))</x:f>
      </x:c>
      <x:c r="F776" s="51" t="str">
        <x:f>IF(768&gt;$H$4,"",IF(INDEX('Fleet dates'!$F$9:$F$1008,$I776-8)="","",INDEX('Fleet dates'!$F$9:$F$1008,$I776-8)))</x:f>
      </x:c>
      <x:c r="G776" s="50" t="str">
        <x:f>IF(768&gt;$H$4,"",IF(INDEX('Fleet dates'!$G$9:$G$1008,$I776-8)="","",INDEX('Fleet dates'!$G$9:$G$1008,$I776-8)))</x:f>
      </x:c>
      <x:c r="H776" s="50" t="str">
        <x:f>IF(768&gt;$H$4,"",IF(INDEX('Fleet dates'!$I$9:$I$1008,$I776-8)="","",INDEX('Fleet dates'!$I$9:$I$1008,$I776-8)))</x:f>
      </x:c>
      <x:c r="I776" t="str">
        <x:f>IF(768&gt;$H$4,"",MATCH(768,'Fleet dates'!$J$9:$J$1008,0)+8)</x:f>
      </x:c>
    </x:row>
    <x:row r="777" ht="36" customHeight="1">
      <x:c r="A777" s="50" t="str">
        <x:f>IF(769&gt;$H$4,"",IF(INDEX('Fleet dates'!$A$9:$A$1008,$I777-8)="","",INDEX('Fleet dates'!$A$9:$A$1008,$I777-8)))</x:f>
      </x:c>
      <x:c r="B777" s="50" t="str">
        <x:f>IF(769&gt;$H$4,"",IF(INDEX('Fleet dates'!$B$9:$B$1008,$I777-8)="","",INDEX('Fleet dates'!$B$9:$B$1008,$I777-8)))</x:f>
      </x:c>
      <x:c r="C777" s="51" t="str">
        <x:f>IF(769&gt;$H$4,"",IF(INDEX('Fleet dates'!$C$9:$C$1008,$I777-8)="","",INDEX('Fleet dates'!$C$9:$C$1008,$I777-8)))</x:f>
      </x:c>
      <x:c r="D777" s="51" t="str">
        <x:f>IF(769&gt;$H$4,"",IF(INDEX('Fleet dates'!$D$9:$D$1008,$I777-8)="","",INDEX('Fleet dates'!$D$9:$D$1008,$I777-8)))</x:f>
      </x:c>
      <x:c r="E777" s="51" t="str">
        <x:f>IF(769&gt;$H$4,"",IF(INDEX('Fleet dates'!$E$9:$E$1008,$I777-8)="","",INDEX('Fleet dates'!$E$9:$E$1008,$I777-8)))</x:f>
      </x:c>
      <x:c r="F777" s="51" t="str">
        <x:f>IF(769&gt;$H$4,"",IF(INDEX('Fleet dates'!$F$9:$F$1008,$I777-8)="","",INDEX('Fleet dates'!$F$9:$F$1008,$I777-8)))</x:f>
      </x:c>
      <x:c r="G777" s="50" t="str">
        <x:f>IF(769&gt;$H$4,"",IF(INDEX('Fleet dates'!$G$9:$G$1008,$I777-8)="","",INDEX('Fleet dates'!$G$9:$G$1008,$I777-8)))</x:f>
      </x:c>
      <x:c r="H777" s="50" t="str">
        <x:f>IF(769&gt;$H$4,"",IF(INDEX('Fleet dates'!$I$9:$I$1008,$I777-8)="","",INDEX('Fleet dates'!$I$9:$I$1008,$I777-8)))</x:f>
      </x:c>
      <x:c r="I777" t="str">
        <x:f>IF(769&gt;$H$4,"",MATCH(769,'Fleet dates'!$J$9:$J$1008,0)+8)</x:f>
      </x:c>
    </x:row>
    <x:row r="778" ht="36" customHeight="1">
      <x:c r="A778" s="50" t="str">
        <x:f>IF(770&gt;$H$4,"",IF(INDEX('Fleet dates'!$A$9:$A$1008,$I778-8)="","",INDEX('Fleet dates'!$A$9:$A$1008,$I778-8)))</x:f>
      </x:c>
      <x:c r="B778" s="50" t="str">
        <x:f>IF(770&gt;$H$4,"",IF(INDEX('Fleet dates'!$B$9:$B$1008,$I778-8)="","",INDEX('Fleet dates'!$B$9:$B$1008,$I778-8)))</x:f>
      </x:c>
      <x:c r="C778" s="51" t="str">
        <x:f>IF(770&gt;$H$4,"",IF(INDEX('Fleet dates'!$C$9:$C$1008,$I778-8)="","",INDEX('Fleet dates'!$C$9:$C$1008,$I778-8)))</x:f>
      </x:c>
      <x:c r="D778" s="51" t="str">
        <x:f>IF(770&gt;$H$4,"",IF(INDEX('Fleet dates'!$D$9:$D$1008,$I778-8)="","",INDEX('Fleet dates'!$D$9:$D$1008,$I778-8)))</x:f>
      </x:c>
      <x:c r="E778" s="51" t="str">
        <x:f>IF(770&gt;$H$4,"",IF(INDEX('Fleet dates'!$E$9:$E$1008,$I778-8)="","",INDEX('Fleet dates'!$E$9:$E$1008,$I778-8)))</x:f>
      </x:c>
      <x:c r="F778" s="51" t="str">
        <x:f>IF(770&gt;$H$4,"",IF(INDEX('Fleet dates'!$F$9:$F$1008,$I778-8)="","",INDEX('Fleet dates'!$F$9:$F$1008,$I778-8)))</x:f>
      </x:c>
      <x:c r="G778" s="50" t="str">
        <x:f>IF(770&gt;$H$4,"",IF(INDEX('Fleet dates'!$G$9:$G$1008,$I778-8)="","",INDEX('Fleet dates'!$G$9:$G$1008,$I778-8)))</x:f>
      </x:c>
      <x:c r="H778" s="50" t="str">
        <x:f>IF(770&gt;$H$4,"",IF(INDEX('Fleet dates'!$I$9:$I$1008,$I778-8)="","",INDEX('Fleet dates'!$I$9:$I$1008,$I778-8)))</x:f>
      </x:c>
      <x:c r="I778" t="str">
        <x:f>IF(770&gt;$H$4,"",MATCH(770,'Fleet dates'!$J$9:$J$1008,0)+8)</x:f>
      </x:c>
    </x:row>
    <x:row r="779" ht="36" customHeight="1">
      <x:c r="A779" s="50" t="str">
        <x:f>IF(771&gt;$H$4,"",IF(INDEX('Fleet dates'!$A$9:$A$1008,$I779-8)="","",INDEX('Fleet dates'!$A$9:$A$1008,$I779-8)))</x:f>
      </x:c>
      <x:c r="B779" s="50" t="str">
        <x:f>IF(771&gt;$H$4,"",IF(INDEX('Fleet dates'!$B$9:$B$1008,$I779-8)="","",INDEX('Fleet dates'!$B$9:$B$1008,$I779-8)))</x:f>
      </x:c>
      <x:c r="C779" s="51" t="str">
        <x:f>IF(771&gt;$H$4,"",IF(INDEX('Fleet dates'!$C$9:$C$1008,$I779-8)="","",INDEX('Fleet dates'!$C$9:$C$1008,$I779-8)))</x:f>
      </x:c>
      <x:c r="D779" s="51" t="str">
        <x:f>IF(771&gt;$H$4,"",IF(INDEX('Fleet dates'!$D$9:$D$1008,$I779-8)="","",INDEX('Fleet dates'!$D$9:$D$1008,$I779-8)))</x:f>
      </x:c>
      <x:c r="E779" s="51" t="str">
        <x:f>IF(771&gt;$H$4,"",IF(INDEX('Fleet dates'!$E$9:$E$1008,$I779-8)="","",INDEX('Fleet dates'!$E$9:$E$1008,$I779-8)))</x:f>
      </x:c>
      <x:c r="F779" s="51" t="str">
        <x:f>IF(771&gt;$H$4,"",IF(INDEX('Fleet dates'!$F$9:$F$1008,$I779-8)="","",INDEX('Fleet dates'!$F$9:$F$1008,$I779-8)))</x:f>
      </x:c>
      <x:c r="G779" s="50" t="str">
        <x:f>IF(771&gt;$H$4,"",IF(INDEX('Fleet dates'!$G$9:$G$1008,$I779-8)="","",INDEX('Fleet dates'!$G$9:$G$1008,$I779-8)))</x:f>
      </x:c>
      <x:c r="H779" s="50" t="str">
        <x:f>IF(771&gt;$H$4,"",IF(INDEX('Fleet dates'!$I$9:$I$1008,$I779-8)="","",INDEX('Fleet dates'!$I$9:$I$1008,$I779-8)))</x:f>
      </x:c>
      <x:c r="I779" t="str">
        <x:f>IF(771&gt;$H$4,"",MATCH(771,'Fleet dates'!$J$9:$J$1008,0)+8)</x:f>
      </x:c>
    </x:row>
    <x:row r="780" ht="36" customHeight="1">
      <x:c r="A780" s="50" t="str">
        <x:f>IF(772&gt;$H$4,"",IF(INDEX('Fleet dates'!$A$9:$A$1008,$I780-8)="","",INDEX('Fleet dates'!$A$9:$A$1008,$I780-8)))</x:f>
      </x:c>
      <x:c r="B780" s="50" t="str">
        <x:f>IF(772&gt;$H$4,"",IF(INDEX('Fleet dates'!$B$9:$B$1008,$I780-8)="","",INDEX('Fleet dates'!$B$9:$B$1008,$I780-8)))</x:f>
      </x:c>
      <x:c r="C780" s="51" t="str">
        <x:f>IF(772&gt;$H$4,"",IF(INDEX('Fleet dates'!$C$9:$C$1008,$I780-8)="","",INDEX('Fleet dates'!$C$9:$C$1008,$I780-8)))</x:f>
      </x:c>
      <x:c r="D780" s="51" t="str">
        <x:f>IF(772&gt;$H$4,"",IF(INDEX('Fleet dates'!$D$9:$D$1008,$I780-8)="","",INDEX('Fleet dates'!$D$9:$D$1008,$I780-8)))</x:f>
      </x:c>
      <x:c r="E780" s="51" t="str">
        <x:f>IF(772&gt;$H$4,"",IF(INDEX('Fleet dates'!$E$9:$E$1008,$I780-8)="","",INDEX('Fleet dates'!$E$9:$E$1008,$I780-8)))</x:f>
      </x:c>
      <x:c r="F780" s="51" t="str">
        <x:f>IF(772&gt;$H$4,"",IF(INDEX('Fleet dates'!$F$9:$F$1008,$I780-8)="","",INDEX('Fleet dates'!$F$9:$F$1008,$I780-8)))</x:f>
      </x:c>
      <x:c r="G780" s="50" t="str">
        <x:f>IF(772&gt;$H$4,"",IF(INDEX('Fleet dates'!$G$9:$G$1008,$I780-8)="","",INDEX('Fleet dates'!$G$9:$G$1008,$I780-8)))</x:f>
      </x:c>
      <x:c r="H780" s="50" t="str">
        <x:f>IF(772&gt;$H$4,"",IF(INDEX('Fleet dates'!$I$9:$I$1008,$I780-8)="","",INDEX('Fleet dates'!$I$9:$I$1008,$I780-8)))</x:f>
      </x:c>
      <x:c r="I780" t="str">
        <x:f>IF(772&gt;$H$4,"",MATCH(772,'Fleet dates'!$J$9:$J$1008,0)+8)</x:f>
      </x:c>
    </x:row>
    <x:row r="781" ht="36" customHeight="1">
      <x:c r="A781" s="50" t="str">
        <x:f>IF(773&gt;$H$4,"",IF(INDEX('Fleet dates'!$A$9:$A$1008,$I781-8)="","",INDEX('Fleet dates'!$A$9:$A$1008,$I781-8)))</x:f>
      </x:c>
      <x:c r="B781" s="50" t="str">
        <x:f>IF(773&gt;$H$4,"",IF(INDEX('Fleet dates'!$B$9:$B$1008,$I781-8)="","",INDEX('Fleet dates'!$B$9:$B$1008,$I781-8)))</x:f>
      </x:c>
      <x:c r="C781" s="51" t="str">
        <x:f>IF(773&gt;$H$4,"",IF(INDEX('Fleet dates'!$C$9:$C$1008,$I781-8)="","",INDEX('Fleet dates'!$C$9:$C$1008,$I781-8)))</x:f>
      </x:c>
      <x:c r="D781" s="51" t="str">
        <x:f>IF(773&gt;$H$4,"",IF(INDEX('Fleet dates'!$D$9:$D$1008,$I781-8)="","",INDEX('Fleet dates'!$D$9:$D$1008,$I781-8)))</x:f>
      </x:c>
      <x:c r="E781" s="51" t="str">
        <x:f>IF(773&gt;$H$4,"",IF(INDEX('Fleet dates'!$E$9:$E$1008,$I781-8)="","",INDEX('Fleet dates'!$E$9:$E$1008,$I781-8)))</x:f>
      </x:c>
      <x:c r="F781" s="51" t="str">
        <x:f>IF(773&gt;$H$4,"",IF(INDEX('Fleet dates'!$F$9:$F$1008,$I781-8)="","",INDEX('Fleet dates'!$F$9:$F$1008,$I781-8)))</x:f>
      </x:c>
      <x:c r="G781" s="50" t="str">
        <x:f>IF(773&gt;$H$4,"",IF(INDEX('Fleet dates'!$G$9:$G$1008,$I781-8)="","",INDEX('Fleet dates'!$G$9:$G$1008,$I781-8)))</x:f>
      </x:c>
      <x:c r="H781" s="50" t="str">
        <x:f>IF(773&gt;$H$4,"",IF(INDEX('Fleet dates'!$I$9:$I$1008,$I781-8)="","",INDEX('Fleet dates'!$I$9:$I$1008,$I781-8)))</x:f>
      </x:c>
      <x:c r="I781" t="str">
        <x:f>IF(773&gt;$H$4,"",MATCH(773,'Fleet dates'!$J$9:$J$1008,0)+8)</x:f>
      </x:c>
    </x:row>
    <x:row r="782" ht="36" customHeight="1">
      <x:c r="A782" s="50" t="str">
        <x:f>IF(774&gt;$H$4,"",IF(INDEX('Fleet dates'!$A$9:$A$1008,$I782-8)="","",INDEX('Fleet dates'!$A$9:$A$1008,$I782-8)))</x:f>
      </x:c>
      <x:c r="B782" s="50" t="str">
        <x:f>IF(774&gt;$H$4,"",IF(INDEX('Fleet dates'!$B$9:$B$1008,$I782-8)="","",INDEX('Fleet dates'!$B$9:$B$1008,$I782-8)))</x:f>
      </x:c>
      <x:c r="C782" s="51" t="str">
        <x:f>IF(774&gt;$H$4,"",IF(INDEX('Fleet dates'!$C$9:$C$1008,$I782-8)="","",INDEX('Fleet dates'!$C$9:$C$1008,$I782-8)))</x:f>
      </x:c>
      <x:c r="D782" s="51" t="str">
        <x:f>IF(774&gt;$H$4,"",IF(INDEX('Fleet dates'!$D$9:$D$1008,$I782-8)="","",INDEX('Fleet dates'!$D$9:$D$1008,$I782-8)))</x:f>
      </x:c>
      <x:c r="E782" s="51" t="str">
        <x:f>IF(774&gt;$H$4,"",IF(INDEX('Fleet dates'!$E$9:$E$1008,$I782-8)="","",INDEX('Fleet dates'!$E$9:$E$1008,$I782-8)))</x:f>
      </x:c>
      <x:c r="F782" s="51" t="str">
        <x:f>IF(774&gt;$H$4,"",IF(INDEX('Fleet dates'!$F$9:$F$1008,$I782-8)="","",INDEX('Fleet dates'!$F$9:$F$1008,$I782-8)))</x:f>
      </x:c>
      <x:c r="G782" s="50" t="str">
        <x:f>IF(774&gt;$H$4,"",IF(INDEX('Fleet dates'!$G$9:$G$1008,$I782-8)="","",INDEX('Fleet dates'!$G$9:$G$1008,$I782-8)))</x:f>
      </x:c>
      <x:c r="H782" s="50" t="str">
        <x:f>IF(774&gt;$H$4,"",IF(INDEX('Fleet dates'!$I$9:$I$1008,$I782-8)="","",INDEX('Fleet dates'!$I$9:$I$1008,$I782-8)))</x:f>
      </x:c>
      <x:c r="I782" t="str">
        <x:f>IF(774&gt;$H$4,"",MATCH(774,'Fleet dates'!$J$9:$J$1008,0)+8)</x:f>
      </x:c>
    </x:row>
    <x:row r="783" ht="36" customHeight="1">
      <x:c r="A783" s="50" t="str">
        <x:f>IF(775&gt;$H$4,"",IF(INDEX('Fleet dates'!$A$9:$A$1008,$I783-8)="","",INDEX('Fleet dates'!$A$9:$A$1008,$I783-8)))</x:f>
      </x:c>
      <x:c r="B783" s="50" t="str">
        <x:f>IF(775&gt;$H$4,"",IF(INDEX('Fleet dates'!$B$9:$B$1008,$I783-8)="","",INDEX('Fleet dates'!$B$9:$B$1008,$I783-8)))</x:f>
      </x:c>
      <x:c r="C783" s="51" t="str">
        <x:f>IF(775&gt;$H$4,"",IF(INDEX('Fleet dates'!$C$9:$C$1008,$I783-8)="","",INDEX('Fleet dates'!$C$9:$C$1008,$I783-8)))</x:f>
      </x:c>
      <x:c r="D783" s="51" t="str">
        <x:f>IF(775&gt;$H$4,"",IF(INDEX('Fleet dates'!$D$9:$D$1008,$I783-8)="","",INDEX('Fleet dates'!$D$9:$D$1008,$I783-8)))</x:f>
      </x:c>
      <x:c r="E783" s="51" t="str">
        <x:f>IF(775&gt;$H$4,"",IF(INDEX('Fleet dates'!$E$9:$E$1008,$I783-8)="","",INDEX('Fleet dates'!$E$9:$E$1008,$I783-8)))</x:f>
      </x:c>
      <x:c r="F783" s="51" t="str">
        <x:f>IF(775&gt;$H$4,"",IF(INDEX('Fleet dates'!$F$9:$F$1008,$I783-8)="","",INDEX('Fleet dates'!$F$9:$F$1008,$I783-8)))</x:f>
      </x:c>
      <x:c r="G783" s="50" t="str">
        <x:f>IF(775&gt;$H$4,"",IF(INDEX('Fleet dates'!$G$9:$G$1008,$I783-8)="","",INDEX('Fleet dates'!$G$9:$G$1008,$I783-8)))</x:f>
      </x:c>
      <x:c r="H783" s="50" t="str">
        <x:f>IF(775&gt;$H$4,"",IF(INDEX('Fleet dates'!$I$9:$I$1008,$I783-8)="","",INDEX('Fleet dates'!$I$9:$I$1008,$I783-8)))</x:f>
      </x:c>
      <x:c r="I783" t="str">
        <x:f>IF(775&gt;$H$4,"",MATCH(775,'Fleet dates'!$J$9:$J$1008,0)+8)</x:f>
      </x:c>
    </x:row>
    <x:row r="784" ht="36" customHeight="1">
      <x:c r="A784" s="50" t="str">
        <x:f>IF(776&gt;$H$4,"",IF(INDEX('Fleet dates'!$A$9:$A$1008,$I784-8)="","",INDEX('Fleet dates'!$A$9:$A$1008,$I784-8)))</x:f>
      </x:c>
      <x:c r="B784" s="50" t="str">
        <x:f>IF(776&gt;$H$4,"",IF(INDEX('Fleet dates'!$B$9:$B$1008,$I784-8)="","",INDEX('Fleet dates'!$B$9:$B$1008,$I784-8)))</x:f>
      </x:c>
      <x:c r="C784" s="51" t="str">
        <x:f>IF(776&gt;$H$4,"",IF(INDEX('Fleet dates'!$C$9:$C$1008,$I784-8)="","",INDEX('Fleet dates'!$C$9:$C$1008,$I784-8)))</x:f>
      </x:c>
      <x:c r="D784" s="51" t="str">
        <x:f>IF(776&gt;$H$4,"",IF(INDEX('Fleet dates'!$D$9:$D$1008,$I784-8)="","",INDEX('Fleet dates'!$D$9:$D$1008,$I784-8)))</x:f>
      </x:c>
      <x:c r="E784" s="51" t="str">
        <x:f>IF(776&gt;$H$4,"",IF(INDEX('Fleet dates'!$E$9:$E$1008,$I784-8)="","",INDEX('Fleet dates'!$E$9:$E$1008,$I784-8)))</x:f>
      </x:c>
      <x:c r="F784" s="51" t="str">
        <x:f>IF(776&gt;$H$4,"",IF(INDEX('Fleet dates'!$F$9:$F$1008,$I784-8)="","",INDEX('Fleet dates'!$F$9:$F$1008,$I784-8)))</x:f>
      </x:c>
      <x:c r="G784" s="50" t="str">
        <x:f>IF(776&gt;$H$4,"",IF(INDEX('Fleet dates'!$G$9:$G$1008,$I784-8)="","",INDEX('Fleet dates'!$G$9:$G$1008,$I784-8)))</x:f>
      </x:c>
      <x:c r="H784" s="50" t="str">
        <x:f>IF(776&gt;$H$4,"",IF(INDEX('Fleet dates'!$I$9:$I$1008,$I784-8)="","",INDEX('Fleet dates'!$I$9:$I$1008,$I784-8)))</x:f>
      </x:c>
      <x:c r="I784" t="str">
        <x:f>IF(776&gt;$H$4,"",MATCH(776,'Fleet dates'!$J$9:$J$1008,0)+8)</x:f>
      </x:c>
    </x:row>
    <x:row r="785" ht="36" customHeight="1">
      <x:c r="A785" s="50" t="str">
        <x:f>IF(777&gt;$H$4,"",IF(INDEX('Fleet dates'!$A$9:$A$1008,$I785-8)="","",INDEX('Fleet dates'!$A$9:$A$1008,$I785-8)))</x:f>
      </x:c>
      <x:c r="B785" s="50" t="str">
        <x:f>IF(777&gt;$H$4,"",IF(INDEX('Fleet dates'!$B$9:$B$1008,$I785-8)="","",INDEX('Fleet dates'!$B$9:$B$1008,$I785-8)))</x:f>
      </x:c>
      <x:c r="C785" s="51" t="str">
        <x:f>IF(777&gt;$H$4,"",IF(INDEX('Fleet dates'!$C$9:$C$1008,$I785-8)="","",INDEX('Fleet dates'!$C$9:$C$1008,$I785-8)))</x:f>
      </x:c>
      <x:c r="D785" s="51" t="str">
        <x:f>IF(777&gt;$H$4,"",IF(INDEX('Fleet dates'!$D$9:$D$1008,$I785-8)="","",INDEX('Fleet dates'!$D$9:$D$1008,$I785-8)))</x:f>
      </x:c>
      <x:c r="E785" s="51" t="str">
        <x:f>IF(777&gt;$H$4,"",IF(INDEX('Fleet dates'!$E$9:$E$1008,$I785-8)="","",INDEX('Fleet dates'!$E$9:$E$1008,$I785-8)))</x:f>
      </x:c>
      <x:c r="F785" s="51" t="str">
        <x:f>IF(777&gt;$H$4,"",IF(INDEX('Fleet dates'!$F$9:$F$1008,$I785-8)="","",INDEX('Fleet dates'!$F$9:$F$1008,$I785-8)))</x:f>
      </x:c>
      <x:c r="G785" s="50" t="str">
        <x:f>IF(777&gt;$H$4,"",IF(INDEX('Fleet dates'!$G$9:$G$1008,$I785-8)="","",INDEX('Fleet dates'!$G$9:$G$1008,$I785-8)))</x:f>
      </x:c>
      <x:c r="H785" s="50" t="str">
        <x:f>IF(777&gt;$H$4,"",IF(INDEX('Fleet dates'!$I$9:$I$1008,$I785-8)="","",INDEX('Fleet dates'!$I$9:$I$1008,$I785-8)))</x:f>
      </x:c>
      <x:c r="I785" t="str">
        <x:f>IF(777&gt;$H$4,"",MATCH(777,'Fleet dates'!$J$9:$J$1008,0)+8)</x:f>
      </x:c>
    </x:row>
    <x:row r="786" ht="36" customHeight="1">
      <x:c r="A786" s="50" t="str">
        <x:f>IF(778&gt;$H$4,"",IF(INDEX('Fleet dates'!$A$9:$A$1008,$I786-8)="","",INDEX('Fleet dates'!$A$9:$A$1008,$I786-8)))</x:f>
      </x:c>
      <x:c r="B786" s="50" t="str">
        <x:f>IF(778&gt;$H$4,"",IF(INDEX('Fleet dates'!$B$9:$B$1008,$I786-8)="","",INDEX('Fleet dates'!$B$9:$B$1008,$I786-8)))</x:f>
      </x:c>
      <x:c r="C786" s="51" t="str">
        <x:f>IF(778&gt;$H$4,"",IF(INDEX('Fleet dates'!$C$9:$C$1008,$I786-8)="","",INDEX('Fleet dates'!$C$9:$C$1008,$I786-8)))</x:f>
      </x:c>
      <x:c r="D786" s="51" t="str">
        <x:f>IF(778&gt;$H$4,"",IF(INDEX('Fleet dates'!$D$9:$D$1008,$I786-8)="","",INDEX('Fleet dates'!$D$9:$D$1008,$I786-8)))</x:f>
      </x:c>
      <x:c r="E786" s="51" t="str">
        <x:f>IF(778&gt;$H$4,"",IF(INDEX('Fleet dates'!$E$9:$E$1008,$I786-8)="","",INDEX('Fleet dates'!$E$9:$E$1008,$I786-8)))</x:f>
      </x:c>
      <x:c r="F786" s="51" t="str">
        <x:f>IF(778&gt;$H$4,"",IF(INDEX('Fleet dates'!$F$9:$F$1008,$I786-8)="","",INDEX('Fleet dates'!$F$9:$F$1008,$I786-8)))</x:f>
      </x:c>
      <x:c r="G786" s="50" t="str">
        <x:f>IF(778&gt;$H$4,"",IF(INDEX('Fleet dates'!$G$9:$G$1008,$I786-8)="","",INDEX('Fleet dates'!$G$9:$G$1008,$I786-8)))</x:f>
      </x:c>
      <x:c r="H786" s="50" t="str">
        <x:f>IF(778&gt;$H$4,"",IF(INDEX('Fleet dates'!$I$9:$I$1008,$I786-8)="","",INDEX('Fleet dates'!$I$9:$I$1008,$I786-8)))</x:f>
      </x:c>
      <x:c r="I786" t="str">
        <x:f>IF(778&gt;$H$4,"",MATCH(778,'Fleet dates'!$J$9:$J$1008,0)+8)</x:f>
      </x:c>
    </x:row>
    <x:row r="787" ht="36" customHeight="1">
      <x:c r="A787" s="50" t="str">
        <x:f>IF(779&gt;$H$4,"",IF(INDEX('Fleet dates'!$A$9:$A$1008,$I787-8)="","",INDEX('Fleet dates'!$A$9:$A$1008,$I787-8)))</x:f>
      </x:c>
      <x:c r="B787" s="50" t="str">
        <x:f>IF(779&gt;$H$4,"",IF(INDEX('Fleet dates'!$B$9:$B$1008,$I787-8)="","",INDEX('Fleet dates'!$B$9:$B$1008,$I787-8)))</x:f>
      </x:c>
      <x:c r="C787" s="51" t="str">
        <x:f>IF(779&gt;$H$4,"",IF(INDEX('Fleet dates'!$C$9:$C$1008,$I787-8)="","",INDEX('Fleet dates'!$C$9:$C$1008,$I787-8)))</x:f>
      </x:c>
      <x:c r="D787" s="51" t="str">
        <x:f>IF(779&gt;$H$4,"",IF(INDEX('Fleet dates'!$D$9:$D$1008,$I787-8)="","",INDEX('Fleet dates'!$D$9:$D$1008,$I787-8)))</x:f>
      </x:c>
      <x:c r="E787" s="51" t="str">
        <x:f>IF(779&gt;$H$4,"",IF(INDEX('Fleet dates'!$E$9:$E$1008,$I787-8)="","",INDEX('Fleet dates'!$E$9:$E$1008,$I787-8)))</x:f>
      </x:c>
      <x:c r="F787" s="51" t="str">
        <x:f>IF(779&gt;$H$4,"",IF(INDEX('Fleet dates'!$F$9:$F$1008,$I787-8)="","",INDEX('Fleet dates'!$F$9:$F$1008,$I787-8)))</x:f>
      </x:c>
      <x:c r="G787" s="50" t="str">
        <x:f>IF(779&gt;$H$4,"",IF(INDEX('Fleet dates'!$G$9:$G$1008,$I787-8)="","",INDEX('Fleet dates'!$G$9:$G$1008,$I787-8)))</x:f>
      </x:c>
      <x:c r="H787" s="50" t="str">
        <x:f>IF(779&gt;$H$4,"",IF(INDEX('Fleet dates'!$I$9:$I$1008,$I787-8)="","",INDEX('Fleet dates'!$I$9:$I$1008,$I787-8)))</x:f>
      </x:c>
      <x:c r="I787" t="str">
        <x:f>IF(779&gt;$H$4,"",MATCH(779,'Fleet dates'!$J$9:$J$1008,0)+8)</x:f>
      </x:c>
    </x:row>
    <x:row r="788" ht="36" customHeight="1">
      <x:c r="A788" s="50" t="str">
        <x:f>IF(780&gt;$H$4,"",IF(INDEX('Fleet dates'!$A$9:$A$1008,$I788-8)="","",INDEX('Fleet dates'!$A$9:$A$1008,$I788-8)))</x:f>
      </x:c>
      <x:c r="B788" s="50" t="str">
        <x:f>IF(780&gt;$H$4,"",IF(INDEX('Fleet dates'!$B$9:$B$1008,$I788-8)="","",INDEX('Fleet dates'!$B$9:$B$1008,$I788-8)))</x:f>
      </x:c>
      <x:c r="C788" s="51" t="str">
        <x:f>IF(780&gt;$H$4,"",IF(INDEX('Fleet dates'!$C$9:$C$1008,$I788-8)="","",INDEX('Fleet dates'!$C$9:$C$1008,$I788-8)))</x:f>
      </x:c>
      <x:c r="D788" s="51" t="str">
        <x:f>IF(780&gt;$H$4,"",IF(INDEX('Fleet dates'!$D$9:$D$1008,$I788-8)="","",INDEX('Fleet dates'!$D$9:$D$1008,$I788-8)))</x:f>
      </x:c>
      <x:c r="E788" s="51" t="str">
        <x:f>IF(780&gt;$H$4,"",IF(INDEX('Fleet dates'!$E$9:$E$1008,$I788-8)="","",INDEX('Fleet dates'!$E$9:$E$1008,$I788-8)))</x:f>
      </x:c>
      <x:c r="F788" s="51" t="str">
        <x:f>IF(780&gt;$H$4,"",IF(INDEX('Fleet dates'!$F$9:$F$1008,$I788-8)="","",INDEX('Fleet dates'!$F$9:$F$1008,$I788-8)))</x:f>
      </x:c>
      <x:c r="G788" s="50" t="str">
        <x:f>IF(780&gt;$H$4,"",IF(INDEX('Fleet dates'!$G$9:$G$1008,$I788-8)="","",INDEX('Fleet dates'!$G$9:$G$1008,$I788-8)))</x:f>
      </x:c>
      <x:c r="H788" s="50" t="str">
        <x:f>IF(780&gt;$H$4,"",IF(INDEX('Fleet dates'!$I$9:$I$1008,$I788-8)="","",INDEX('Fleet dates'!$I$9:$I$1008,$I788-8)))</x:f>
      </x:c>
      <x:c r="I788" t="str">
        <x:f>IF(780&gt;$H$4,"",MATCH(780,'Fleet dates'!$J$9:$J$1008,0)+8)</x:f>
      </x:c>
    </x:row>
    <x:row r="789" ht="36" customHeight="1">
      <x:c r="A789" s="50" t="str">
        <x:f>IF(781&gt;$H$4,"",IF(INDEX('Fleet dates'!$A$9:$A$1008,$I789-8)="","",INDEX('Fleet dates'!$A$9:$A$1008,$I789-8)))</x:f>
      </x:c>
      <x:c r="B789" s="50" t="str">
        <x:f>IF(781&gt;$H$4,"",IF(INDEX('Fleet dates'!$B$9:$B$1008,$I789-8)="","",INDEX('Fleet dates'!$B$9:$B$1008,$I789-8)))</x:f>
      </x:c>
      <x:c r="C789" s="51" t="str">
        <x:f>IF(781&gt;$H$4,"",IF(INDEX('Fleet dates'!$C$9:$C$1008,$I789-8)="","",INDEX('Fleet dates'!$C$9:$C$1008,$I789-8)))</x:f>
      </x:c>
      <x:c r="D789" s="51" t="str">
        <x:f>IF(781&gt;$H$4,"",IF(INDEX('Fleet dates'!$D$9:$D$1008,$I789-8)="","",INDEX('Fleet dates'!$D$9:$D$1008,$I789-8)))</x:f>
      </x:c>
      <x:c r="E789" s="51" t="str">
        <x:f>IF(781&gt;$H$4,"",IF(INDEX('Fleet dates'!$E$9:$E$1008,$I789-8)="","",INDEX('Fleet dates'!$E$9:$E$1008,$I789-8)))</x:f>
      </x:c>
      <x:c r="F789" s="51" t="str">
        <x:f>IF(781&gt;$H$4,"",IF(INDEX('Fleet dates'!$F$9:$F$1008,$I789-8)="","",INDEX('Fleet dates'!$F$9:$F$1008,$I789-8)))</x:f>
      </x:c>
      <x:c r="G789" s="50" t="str">
        <x:f>IF(781&gt;$H$4,"",IF(INDEX('Fleet dates'!$G$9:$G$1008,$I789-8)="","",INDEX('Fleet dates'!$G$9:$G$1008,$I789-8)))</x:f>
      </x:c>
      <x:c r="H789" s="50" t="str">
        <x:f>IF(781&gt;$H$4,"",IF(INDEX('Fleet dates'!$I$9:$I$1008,$I789-8)="","",INDEX('Fleet dates'!$I$9:$I$1008,$I789-8)))</x:f>
      </x:c>
      <x:c r="I789" t="str">
        <x:f>IF(781&gt;$H$4,"",MATCH(781,'Fleet dates'!$J$9:$J$1008,0)+8)</x:f>
      </x:c>
    </x:row>
    <x:row r="790" ht="36" customHeight="1">
      <x:c r="A790" s="50" t="str">
        <x:f>IF(782&gt;$H$4,"",IF(INDEX('Fleet dates'!$A$9:$A$1008,$I790-8)="","",INDEX('Fleet dates'!$A$9:$A$1008,$I790-8)))</x:f>
      </x:c>
      <x:c r="B790" s="50" t="str">
        <x:f>IF(782&gt;$H$4,"",IF(INDEX('Fleet dates'!$B$9:$B$1008,$I790-8)="","",INDEX('Fleet dates'!$B$9:$B$1008,$I790-8)))</x:f>
      </x:c>
      <x:c r="C790" s="51" t="str">
        <x:f>IF(782&gt;$H$4,"",IF(INDEX('Fleet dates'!$C$9:$C$1008,$I790-8)="","",INDEX('Fleet dates'!$C$9:$C$1008,$I790-8)))</x:f>
      </x:c>
      <x:c r="D790" s="51" t="str">
        <x:f>IF(782&gt;$H$4,"",IF(INDEX('Fleet dates'!$D$9:$D$1008,$I790-8)="","",INDEX('Fleet dates'!$D$9:$D$1008,$I790-8)))</x:f>
      </x:c>
      <x:c r="E790" s="51" t="str">
        <x:f>IF(782&gt;$H$4,"",IF(INDEX('Fleet dates'!$E$9:$E$1008,$I790-8)="","",INDEX('Fleet dates'!$E$9:$E$1008,$I790-8)))</x:f>
      </x:c>
      <x:c r="F790" s="51" t="str">
        <x:f>IF(782&gt;$H$4,"",IF(INDEX('Fleet dates'!$F$9:$F$1008,$I790-8)="","",INDEX('Fleet dates'!$F$9:$F$1008,$I790-8)))</x:f>
      </x:c>
      <x:c r="G790" s="50" t="str">
        <x:f>IF(782&gt;$H$4,"",IF(INDEX('Fleet dates'!$G$9:$G$1008,$I790-8)="","",INDEX('Fleet dates'!$G$9:$G$1008,$I790-8)))</x:f>
      </x:c>
      <x:c r="H790" s="50" t="str">
        <x:f>IF(782&gt;$H$4,"",IF(INDEX('Fleet dates'!$I$9:$I$1008,$I790-8)="","",INDEX('Fleet dates'!$I$9:$I$1008,$I790-8)))</x:f>
      </x:c>
      <x:c r="I790" t="str">
        <x:f>IF(782&gt;$H$4,"",MATCH(782,'Fleet dates'!$J$9:$J$1008,0)+8)</x:f>
      </x:c>
    </x:row>
    <x:row r="791" ht="36" customHeight="1">
      <x:c r="A791" s="50" t="str">
        <x:f>IF(783&gt;$H$4,"",IF(INDEX('Fleet dates'!$A$9:$A$1008,$I791-8)="","",INDEX('Fleet dates'!$A$9:$A$1008,$I791-8)))</x:f>
      </x:c>
      <x:c r="B791" s="50" t="str">
        <x:f>IF(783&gt;$H$4,"",IF(INDEX('Fleet dates'!$B$9:$B$1008,$I791-8)="","",INDEX('Fleet dates'!$B$9:$B$1008,$I791-8)))</x:f>
      </x:c>
      <x:c r="C791" s="51" t="str">
        <x:f>IF(783&gt;$H$4,"",IF(INDEX('Fleet dates'!$C$9:$C$1008,$I791-8)="","",INDEX('Fleet dates'!$C$9:$C$1008,$I791-8)))</x:f>
      </x:c>
      <x:c r="D791" s="51" t="str">
        <x:f>IF(783&gt;$H$4,"",IF(INDEX('Fleet dates'!$D$9:$D$1008,$I791-8)="","",INDEX('Fleet dates'!$D$9:$D$1008,$I791-8)))</x:f>
      </x:c>
      <x:c r="E791" s="51" t="str">
        <x:f>IF(783&gt;$H$4,"",IF(INDEX('Fleet dates'!$E$9:$E$1008,$I791-8)="","",INDEX('Fleet dates'!$E$9:$E$1008,$I791-8)))</x:f>
      </x:c>
      <x:c r="F791" s="51" t="str">
        <x:f>IF(783&gt;$H$4,"",IF(INDEX('Fleet dates'!$F$9:$F$1008,$I791-8)="","",INDEX('Fleet dates'!$F$9:$F$1008,$I791-8)))</x:f>
      </x:c>
      <x:c r="G791" s="50" t="str">
        <x:f>IF(783&gt;$H$4,"",IF(INDEX('Fleet dates'!$G$9:$G$1008,$I791-8)="","",INDEX('Fleet dates'!$G$9:$G$1008,$I791-8)))</x:f>
      </x:c>
      <x:c r="H791" s="50" t="str">
        <x:f>IF(783&gt;$H$4,"",IF(INDEX('Fleet dates'!$I$9:$I$1008,$I791-8)="","",INDEX('Fleet dates'!$I$9:$I$1008,$I791-8)))</x:f>
      </x:c>
      <x:c r="I791" t="str">
        <x:f>IF(783&gt;$H$4,"",MATCH(783,'Fleet dates'!$J$9:$J$1008,0)+8)</x:f>
      </x:c>
    </x:row>
    <x:row r="792" ht="36" customHeight="1">
      <x:c r="A792" s="50" t="str">
        <x:f>IF(784&gt;$H$4,"",IF(INDEX('Fleet dates'!$A$9:$A$1008,$I792-8)="","",INDEX('Fleet dates'!$A$9:$A$1008,$I792-8)))</x:f>
      </x:c>
      <x:c r="B792" s="50" t="str">
        <x:f>IF(784&gt;$H$4,"",IF(INDEX('Fleet dates'!$B$9:$B$1008,$I792-8)="","",INDEX('Fleet dates'!$B$9:$B$1008,$I792-8)))</x:f>
      </x:c>
      <x:c r="C792" s="51" t="str">
        <x:f>IF(784&gt;$H$4,"",IF(INDEX('Fleet dates'!$C$9:$C$1008,$I792-8)="","",INDEX('Fleet dates'!$C$9:$C$1008,$I792-8)))</x:f>
      </x:c>
      <x:c r="D792" s="51" t="str">
        <x:f>IF(784&gt;$H$4,"",IF(INDEX('Fleet dates'!$D$9:$D$1008,$I792-8)="","",INDEX('Fleet dates'!$D$9:$D$1008,$I792-8)))</x:f>
      </x:c>
      <x:c r="E792" s="51" t="str">
        <x:f>IF(784&gt;$H$4,"",IF(INDEX('Fleet dates'!$E$9:$E$1008,$I792-8)="","",INDEX('Fleet dates'!$E$9:$E$1008,$I792-8)))</x:f>
      </x:c>
      <x:c r="F792" s="51" t="str">
        <x:f>IF(784&gt;$H$4,"",IF(INDEX('Fleet dates'!$F$9:$F$1008,$I792-8)="","",INDEX('Fleet dates'!$F$9:$F$1008,$I792-8)))</x:f>
      </x:c>
      <x:c r="G792" s="50" t="str">
        <x:f>IF(784&gt;$H$4,"",IF(INDEX('Fleet dates'!$G$9:$G$1008,$I792-8)="","",INDEX('Fleet dates'!$G$9:$G$1008,$I792-8)))</x:f>
      </x:c>
      <x:c r="H792" s="50" t="str">
        <x:f>IF(784&gt;$H$4,"",IF(INDEX('Fleet dates'!$I$9:$I$1008,$I792-8)="","",INDEX('Fleet dates'!$I$9:$I$1008,$I792-8)))</x:f>
      </x:c>
      <x:c r="I792" t="str">
        <x:f>IF(784&gt;$H$4,"",MATCH(784,'Fleet dates'!$J$9:$J$1008,0)+8)</x:f>
      </x:c>
    </x:row>
    <x:row r="793" ht="36" customHeight="1">
      <x:c r="A793" s="50" t="str">
        <x:f>IF(785&gt;$H$4,"",IF(INDEX('Fleet dates'!$A$9:$A$1008,$I793-8)="","",INDEX('Fleet dates'!$A$9:$A$1008,$I793-8)))</x:f>
      </x:c>
      <x:c r="B793" s="50" t="str">
        <x:f>IF(785&gt;$H$4,"",IF(INDEX('Fleet dates'!$B$9:$B$1008,$I793-8)="","",INDEX('Fleet dates'!$B$9:$B$1008,$I793-8)))</x:f>
      </x:c>
      <x:c r="C793" s="51" t="str">
        <x:f>IF(785&gt;$H$4,"",IF(INDEX('Fleet dates'!$C$9:$C$1008,$I793-8)="","",INDEX('Fleet dates'!$C$9:$C$1008,$I793-8)))</x:f>
      </x:c>
      <x:c r="D793" s="51" t="str">
        <x:f>IF(785&gt;$H$4,"",IF(INDEX('Fleet dates'!$D$9:$D$1008,$I793-8)="","",INDEX('Fleet dates'!$D$9:$D$1008,$I793-8)))</x:f>
      </x:c>
      <x:c r="E793" s="51" t="str">
        <x:f>IF(785&gt;$H$4,"",IF(INDEX('Fleet dates'!$E$9:$E$1008,$I793-8)="","",INDEX('Fleet dates'!$E$9:$E$1008,$I793-8)))</x:f>
      </x:c>
      <x:c r="F793" s="51" t="str">
        <x:f>IF(785&gt;$H$4,"",IF(INDEX('Fleet dates'!$F$9:$F$1008,$I793-8)="","",INDEX('Fleet dates'!$F$9:$F$1008,$I793-8)))</x:f>
      </x:c>
      <x:c r="G793" s="50" t="str">
        <x:f>IF(785&gt;$H$4,"",IF(INDEX('Fleet dates'!$G$9:$G$1008,$I793-8)="","",INDEX('Fleet dates'!$G$9:$G$1008,$I793-8)))</x:f>
      </x:c>
      <x:c r="H793" s="50" t="str">
        <x:f>IF(785&gt;$H$4,"",IF(INDEX('Fleet dates'!$I$9:$I$1008,$I793-8)="","",INDEX('Fleet dates'!$I$9:$I$1008,$I793-8)))</x:f>
      </x:c>
      <x:c r="I793" t="str">
        <x:f>IF(785&gt;$H$4,"",MATCH(785,'Fleet dates'!$J$9:$J$1008,0)+8)</x:f>
      </x:c>
    </x:row>
    <x:row r="794" ht="36" customHeight="1">
      <x:c r="A794" s="50" t="str">
        <x:f>IF(786&gt;$H$4,"",IF(INDEX('Fleet dates'!$A$9:$A$1008,$I794-8)="","",INDEX('Fleet dates'!$A$9:$A$1008,$I794-8)))</x:f>
      </x:c>
      <x:c r="B794" s="50" t="str">
        <x:f>IF(786&gt;$H$4,"",IF(INDEX('Fleet dates'!$B$9:$B$1008,$I794-8)="","",INDEX('Fleet dates'!$B$9:$B$1008,$I794-8)))</x:f>
      </x:c>
      <x:c r="C794" s="51" t="str">
        <x:f>IF(786&gt;$H$4,"",IF(INDEX('Fleet dates'!$C$9:$C$1008,$I794-8)="","",INDEX('Fleet dates'!$C$9:$C$1008,$I794-8)))</x:f>
      </x:c>
      <x:c r="D794" s="51" t="str">
        <x:f>IF(786&gt;$H$4,"",IF(INDEX('Fleet dates'!$D$9:$D$1008,$I794-8)="","",INDEX('Fleet dates'!$D$9:$D$1008,$I794-8)))</x:f>
      </x:c>
      <x:c r="E794" s="51" t="str">
        <x:f>IF(786&gt;$H$4,"",IF(INDEX('Fleet dates'!$E$9:$E$1008,$I794-8)="","",INDEX('Fleet dates'!$E$9:$E$1008,$I794-8)))</x:f>
      </x:c>
      <x:c r="F794" s="51" t="str">
        <x:f>IF(786&gt;$H$4,"",IF(INDEX('Fleet dates'!$F$9:$F$1008,$I794-8)="","",INDEX('Fleet dates'!$F$9:$F$1008,$I794-8)))</x:f>
      </x:c>
      <x:c r="G794" s="50" t="str">
        <x:f>IF(786&gt;$H$4,"",IF(INDEX('Fleet dates'!$G$9:$G$1008,$I794-8)="","",INDEX('Fleet dates'!$G$9:$G$1008,$I794-8)))</x:f>
      </x:c>
      <x:c r="H794" s="50" t="str">
        <x:f>IF(786&gt;$H$4,"",IF(INDEX('Fleet dates'!$I$9:$I$1008,$I794-8)="","",INDEX('Fleet dates'!$I$9:$I$1008,$I794-8)))</x:f>
      </x:c>
      <x:c r="I794" t="str">
        <x:f>IF(786&gt;$H$4,"",MATCH(786,'Fleet dates'!$J$9:$J$1008,0)+8)</x:f>
      </x:c>
    </x:row>
    <x:row r="795" ht="36" customHeight="1">
      <x:c r="A795" s="50" t="str">
        <x:f>IF(787&gt;$H$4,"",IF(INDEX('Fleet dates'!$A$9:$A$1008,$I795-8)="","",INDEX('Fleet dates'!$A$9:$A$1008,$I795-8)))</x:f>
      </x:c>
      <x:c r="B795" s="50" t="str">
        <x:f>IF(787&gt;$H$4,"",IF(INDEX('Fleet dates'!$B$9:$B$1008,$I795-8)="","",INDEX('Fleet dates'!$B$9:$B$1008,$I795-8)))</x:f>
      </x:c>
      <x:c r="C795" s="51" t="str">
        <x:f>IF(787&gt;$H$4,"",IF(INDEX('Fleet dates'!$C$9:$C$1008,$I795-8)="","",INDEX('Fleet dates'!$C$9:$C$1008,$I795-8)))</x:f>
      </x:c>
      <x:c r="D795" s="51" t="str">
        <x:f>IF(787&gt;$H$4,"",IF(INDEX('Fleet dates'!$D$9:$D$1008,$I795-8)="","",INDEX('Fleet dates'!$D$9:$D$1008,$I795-8)))</x:f>
      </x:c>
      <x:c r="E795" s="51" t="str">
        <x:f>IF(787&gt;$H$4,"",IF(INDEX('Fleet dates'!$E$9:$E$1008,$I795-8)="","",INDEX('Fleet dates'!$E$9:$E$1008,$I795-8)))</x:f>
      </x:c>
      <x:c r="F795" s="51" t="str">
        <x:f>IF(787&gt;$H$4,"",IF(INDEX('Fleet dates'!$F$9:$F$1008,$I795-8)="","",INDEX('Fleet dates'!$F$9:$F$1008,$I795-8)))</x:f>
      </x:c>
      <x:c r="G795" s="50" t="str">
        <x:f>IF(787&gt;$H$4,"",IF(INDEX('Fleet dates'!$G$9:$G$1008,$I795-8)="","",INDEX('Fleet dates'!$G$9:$G$1008,$I795-8)))</x:f>
      </x:c>
      <x:c r="H795" s="50" t="str">
        <x:f>IF(787&gt;$H$4,"",IF(INDEX('Fleet dates'!$I$9:$I$1008,$I795-8)="","",INDEX('Fleet dates'!$I$9:$I$1008,$I795-8)))</x:f>
      </x:c>
      <x:c r="I795" t="str">
        <x:f>IF(787&gt;$H$4,"",MATCH(787,'Fleet dates'!$J$9:$J$1008,0)+8)</x:f>
      </x:c>
    </x:row>
    <x:row r="796" ht="36" customHeight="1">
      <x:c r="A796" s="50" t="str">
        <x:f>IF(788&gt;$H$4,"",IF(INDEX('Fleet dates'!$A$9:$A$1008,$I796-8)="","",INDEX('Fleet dates'!$A$9:$A$1008,$I796-8)))</x:f>
      </x:c>
      <x:c r="B796" s="50" t="str">
        <x:f>IF(788&gt;$H$4,"",IF(INDEX('Fleet dates'!$B$9:$B$1008,$I796-8)="","",INDEX('Fleet dates'!$B$9:$B$1008,$I796-8)))</x:f>
      </x:c>
      <x:c r="C796" s="51" t="str">
        <x:f>IF(788&gt;$H$4,"",IF(INDEX('Fleet dates'!$C$9:$C$1008,$I796-8)="","",INDEX('Fleet dates'!$C$9:$C$1008,$I796-8)))</x:f>
      </x:c>
      <x:c r="D796" s="51" t="str">
        <x:f>IF(788&gt;$H$4,"",IF(INDEX('Fleet dates'!$D$9:$D$1008,$I796-8)="","",INDEX('Fleet dates'!$D$9:$D$1008,$I796-8)))</x:f>
      </x:c>
      <x:c r="E796" s="51" t="str">
        <x:f>IF(788&gt;$H$4,"",IF(INDEX('Fleet dates'!$E$9:$E$1008,$I796-8)="","",INDEX('Fleet dates'!$E$9:$E$1008,$I796-8)))</x:f>
      </x:c>
      <x:c r="F796" s="51" t="str">
        <x:f>IF(788&gt;$H$4,"",IF(INDEX('Fleet dates'!$F$9:$F$1008,$I796-8)="","",INDEX('Fleet dates'!$F$9:$F$1008,$I796-8)))</x:f>
      </x:c>
      <x:c r="G796" s="50" t="str">
        <x:f>IF(788&gt;$H$4,"",IF(INDEX('Fleet dates'!$G$9:$G$1008,$I796-8)="","",INDEX('Fleet dates'!$G$9:$G$1008,$I796-8)))</x:f>
      </x:c>
      <x:c r="H796" s="50" t="str">
        <x:f>IF(788&gt;$H$4,"",IF(INDEX('Fleet dates'!$I$9:$I$1008,$I796-8)="","",INDEX('Fleet dates'!$I$9:$I$1008,$I796-8)))</x:f>
      </x:c>
      <x:c r="I796" t="str">
        <x:f>IF(788&gt;$H$4,"",MATCH(788,'Fleet dates'!$J$9:$J$1008,0)+8)</x:f>
      </x:c>
    </x:row>
    <x:row r="797" ht="36" customHeight="1">
      <x:c r="A797" s="50" t="str">
        <x:f>IF(789&gt;$H$4,"",IF(INDEX('Fleet dates'!$A$9:$A$1008,$I797-8)="","",INDEX('Fleet dates'!$A$9:$A$1008,$I797-8)))</x:f>
      </x:c>
      <x:c r="B797" s="50" t="str">
        <x:f>IF(789&gt;$H$4,"",IF(INDEX('Fleet dates'!$B$9:$B$1008,$I797-8)="","",INDEX('Fleet dates'!$B$9:$B$1008,$I797-8)))</x:f>
      </x:c>
      <x:c r="C797" s="51" t="str">
        <x:f>IF(789&gt;$H$4,"",IF(INDEX('Fleet dates'!$C$9:$C$1008,$I797-8)="","",INDEX('Fleet dates'!$C$9:$C$1008,$I797-8)))</x:f>
      </x:c>
      <x:c r="D797" s="51" t="str">
        <x:f>IF(789&gt;$H$4,"",IF(INDEX('Fleet dates'!$D$9:$D$1008,$I797-8)="","",INDEX('Fleet dates'!$D$9:$D$1008,$I797-8)))</x:f>
      </x:c>
      <x:c r="E797" s="51" t="str">
        <x:f>IF(789&gt;$H$4,"",IF(INDEX('Fleet dates'!$E$9:$E$1008,$I797-8)="","",INDEX('Fleet dates'!$E$9:$E$1008,$I797-8)))</x:f>
      </x:c>
      <x:c r="F797" s="51" t="str">
        <x:f>IF(789&gt;$H$4,"",IF(INDEX('Fleet dates'!$F$9:$F$1008,$I797-8)="","",INDEX('Fleet dates'!$F$9:$F$1008,$I797-8)))</x:f>
      </x:c>
      <x:c r="G797" s="50" t="str">
        <x:f>IF(789&gt;$H$4,"",IF(INDEX('Fleet dates'!$G$9:$G$1008,$I797-8)="","",INDEX('Fleet dates'!$G$9:$G$1008,$I797-8)))</x:f>
      </x:c>
      <x:c r="H797" s="50" t="str">
        <x:f>IF(789&gt;$H$4,"",IF(INDEX('Fleet dates'!$I$9:$I$1008,$I797-8)="","",INDEX('Fleet dates'!$I$9:$I$1008,$I797-8)))</x:f>
      </x:c>
      <x:c r="I797" t="str">
        <x:f>IF(789&gt;$H$4,"",MATCH(789,'Fleet dates'!$J$9:$J$1008,0)+8)</x:f>
      </x:c>
    </x:row>
    <x:row r="798" ht="36" customHeight="1">
      <x:c r="A798" s="50" t="str">
        <x:f>IF(790&gt;$H$4,"",IF(INDEX('Fleet dates'!$A$9:$A$1008,$I798-8)="","",INDEX('Fleet dates'!$A$9:$A$1008,$I798-8)))</x:f>
      </x:c>
      <x:c r="B798" s="50" t="str">
        <x:f>IF(790&gt;$H$4,"",IF(INDEX('Fleet dates'!$B$9:$B$1008,$I798-8)="","",INDEX('Fleet dates'!$B$9:$B$1008,$I798-8)))</x:f>
      </x:c>
      <x:c r="C798" s="51" t="str">
        <x:f>IF(790&gt;$H$4,"",IF(INDEX('Fleet dates'!$C$9:$C$1008,$I798-8)="","",INDEX('Fleet dates'!$C$9:$C$1008,$I798-8)))</x:f>
      </x:c>
      <x:c r="D798" s="51" t="str">
        <x:f>IF(790&gt;$H$4,"",IF(INDEX('Fleet dates'!$D$9:$D$1008,$I798-8)="","",INDEX('Fleet dates'!$D$9:$D$1008,$I798-8)))</x:f>
      </x:c>
      <x:c r="E798" s="51" t="str">
        <x:f>IF(790&gt;$H$4,"",IF(INDEX('Fleet dates'!$E$9:$E$1008,$I798-8)="","",INDEX('Fleet dates'!$E$9:$E$1008,$I798-8)))</x:f>
      </x:c>
      <x:c r="F798" s="51" t="str">
        <x:f>IF(790&gt;$H$4,"",IF(INDEX('Fleet dates'!$F$9:$F$1008,$I798-8)="","",INDEX('Fleet dates'!$F$9:$F$1008,$I798-8)))</x:f>
      </x:c>
      <x:c r="G798" s="50" t="str">
        <x:f>IF(790&gt;$H$4,"",IF(INDEX('Fleet dates'!$G$9:$G$1008,$I798-8)="","",INDEX('Fleet dates'!$G$9:$G$1008,$I798-8)))</x:f>
      </x:c>
      <x:c r="H798" s="50" t="str">
        <x:f>IF(790&gt;$H$4,"",IF(INDEX('Fleet dates'!$I$9:$I$1008,$I798-8)="","",INDEX('Fleet dates'!$I$9:$I$1008,$I798-8)))</x:f>
      </x:c>
      <x:c r="I798" t="str">
        <x:f>IF(790&gt;$H$4,"",MATCH(790,'Fleet dates'!$J$9:$J$1008,0)+8)</x:f>
      </x:c>
    </x:row>
    <x:row r="799" ht="36" customHeight="1">
      <x:c r="A799" s="50" t="str">
        <x:f>IF(791&gt;$H$4,"",IF(INDEX('Fleet dates'!$A$9:$A$1008,$I799-8)="","",INDEX('Fleet dates'!$A$9:$A$1008,$I799-8)))</x:f>
      </x:c>
      <x:c r="B799" s="50" t="str">
        <x:f>IF(791&gt;$H$4,"",IF(INDEX('Fleet dates'!$B$9:$B$1008,$I799-8)="","",INDEX('Fleet dates'!$B$9:$B$1008,$I799-8)))</x:f>
      </x:c>
      <x:c r="C799" s="51" t="str">
        <x:f>IF(791&gt;$H$4,"",IF(INDEX('Fleet dates'!$C$9:$C$1008,$I799-8)="","",INDEX('Fleet dates'!$C$9:$C$1008,$I799-8)))</x:f>
      </x:c>
      <x:c r="D799" s="51" t="str">
        <x:f>IF(791&gt;$H$4,"",IF(INDEX('Fleet dates'!$D$9:$D$1008,$I799-8)="","",INDEX('Fleet dates'!$D$9:$D$1008,$I799-8)))</x:f>
      </x:c>
      <x:c r="E799" s="51" t="str">
        <x:f>IF(791&gt;$H$4,"",IF(INDEX('Fleet dates'!$E$9:$E$1008,$I799-8)="","",INDEX('Fleet dates'!$E$9:$E$1008,$I799-8)))</x:f>
      </x:c>
      <x:c r="F799" s="51" t="str">
        <x:f>IF(791&gt;$H$4,"",IF(INDEX('Fleet dates'!$F$9:$F$1008,$I799-8)="","",INDEX('Fleet dates'!$F$9:$F$1008,$I799-8)))</x:f>
      </x:c>
      <x:c r="G799" s="50" t="str">
        <x:f>IF(791&gt;$H$4,"",IF(INDEX('Fleet dates'!$G$9:$G$1008,$I799-8)="","",INDEX('Fleet dates'!$G$9:$G$1008,$I799-8)))</x:f>
      </x:c>
      <x:c r="H799" s="50" t="str">
        <x:f>IF(791&gt;$H$4,"",IF(INDEX('Fleet dates'!$I$9:$I$1008,$I799-8)="","",INDEX('Fleet dates'!$I$9:$I$1008,$I799-8)))</x:f>
      </x:c>
      <x:c r="I799" t="str">
        <x:f>IF(791&gt;$H$4,"",MATCH(791,'Fleet dates'!$J$9:$J$1008,0)+8)</x:f>
      </x:c>
    </x:row>
    <x:row r="800" ht="36" customHeight="1">
      <x:c r="A800" s="50" t="str">
        <x:f>IF(792&gt;$H$4,"",IF(INDEX('Fleet dates'!$A$9:$A$1008,$I800-8)="","",INDEX('Fleet dates'!$A$9:$A$1008,$I800-8)))</x:f>
      </x:c>
      <x:c r="B800" s="50" t="str">
        <x:f>IF(792&gt;$H$4,"",IF(INDEX('Fleet dates'!$B$9:$B$1008,$I800-8)="","",INDEX('Fleet dates'!$B$9:$B$1008,$I800-8)))</x:f>
      </x:c>
      <x:c r="C800" s="51" t="str">
        <x:f>IF(792&gt;$H$4,"",IF(INDEX('Fleet dates'!$C$9:$C$1008,$I800-8)="","",INDEX('Fleet dates'!$C$9:$C$1008,$I800-8)))</x:f>
      </x:c>
      <x:c r="D800" s="51" t="str">
        <x:f>IF(792&gt;$H$4,"",IF(INDEX('Fleet dates'!$D$9:$D$1008,$I800-8)="","",INDEX('Fleet dates'!$D$9:$D$1008,$I800-8)))</x:f>
      </x:c>
      <x:c r="E800" s="51" t="str">
        <x:f>IF(792&gt;$H$4,"",IF(INDEX('Fleet dates'!$E$9:$E$1008,$I800-8)="","",INDEX('Fleet dates'!$E$9:$E$1008,$I800-8)))</x:f>
      </x:c>
      <x:c r="F800" s="51" t="str">
        <x:f>IF(792&gt;$H$4,"",IF(INDEX('Fleet dates'!$F$9:$F$1008,$I800-8)="","",INDEX('Fleet dates'!$F$9:$F$1008,$I800-8)))</x:f>
      </x:c>
      <x:c r="G800" s="50" t="str">
        <x:f>IF(792&gt;$H$4,"",IF(INDEX('Fleet dates'!$G$9:$G$1008,$I800-8)="","",INDEX('Fleet dates'!$G$9:$G$1008,$I800-8)))</x:f>
      </x:c>
      <x:c r="H800" s="50" t="str">
        <x:f>IF(792&gt;$H$4,"",IF(INDEX('Fleet dates'!$I$9:$I$1008,$I800-8)="","",INDEX('Fleet dates'!$I$9:$I$1008,$I800-8)))</x:f>
      </x:c>
      <x:c r="I800" t="str">
        <x:f>IF(792&gt;$H$4,"",MATCH(792,'Fleet dates'!$J$9:$J$1008,0)+8)</x:f>
      </x:c>
    </x:row>
    <x:row r="801" ht="36" customHeight="1">
      <x:c r="A801" s="50" t="str">
        <x:f>IF(793&gt;$H$4,"",IF(INDEX('Fleet dates'!$A$9:$A$1008,$I801-8)="","",INDEX('Fleet dates'!$A$9:$A$1008,$I801-8)))</x:f>
      </x:c>
      <x:c r="B801" s="50" t="str">
        <x:f>IF(793&gt;$H$4,"",IF(INDEX('Fleet dates'!$B$9:$B$1008,$I801-8)="","",INDEX('Fleet dates'!$B$9:$B$1008,$I801-8)))</x:f>
      </x:c>
      <x:c r="C801" s="51" t="str">
        <x:f>IF(793&gt;$H$4,"",IF(INDEX('Fleet dates'!$C$9:$C$1008,$I801-8)="","",INDEX('Fleet dates'!$C$9:$C$1008,$I801-8)))</x:f>
      </x:c>
      <x:c r="D801" s="51" t="str">
        <x:f>IF(793&gt;$H$4,"",IF(INDEX('Fleet dates'!$D$9:$D$1008,$I801-8)="","",INDEX('Fleet dates'!$D$9:$D$1008,$I801-8)))</x:f>
      </x:c>
      <x:c r="E801" s="51" t="str">
        <x:f>IF(793&gt;$H$4,"",IF(INDEX('Fleet dates'!$E$9:$E$1008,$I801-8)="","",INDEX('Fleet dates'!$E$9:$E$1008,$I801-8)))</x:f>
      </x:c>
      <x:c r="F801" s="51" t="str">
        <x:f>IF(793&gt;$H$4,"",IF(INDEX('Fleet dates'!$F$9:$F$1008,$I801-8)="","",INDEX('Fleet dates'!$F$9:$F$1008,$I801-8)))</x:f>
      </x:c>
      <x:c r="G801" s="50" t="str">
        <x:f>IF(793&gt;$H$4,"",IF(INDEX('Fleet dates'!$G$9:$G$1008,$I801-8)="","",INDEX('Fleet dates'!$G$9:$G$1008,$I801-8)))</x:f>
      </x:c>
      <x:c r="H801" s="50" t="str">
        <x:f>IF(793&gt;$H$4,"",IF(INDEX('Fleet dates'!$I$9:$I$1008,$I801-8)="","",INDEX('Fleet dates'!$I$9:$I$1008,$I801-8)))</x:f>
      </x:c>
      <x:c r="I801" t="str">
        <x:f>IF(793&gt;$H$4,"",MATCH(793,'Fleet dates'!$J$9:$J$1008,0)+8)</x:f>
      </x:c>
    </x:row>
    <x:row r="802" ht="36" customHeight="1">
      <x:c r="A802" s="50" t="str">
        <x:f>IF(794&gt;$H$4,"",IF(INDEX('Fleet dates'!$A$9:$A$1008,$I802-8)="","",INDEX('Fleet dates'!$A$9:$A$1008,$I802-8)))</x:f>
      </x:c>
      <x:c r="B802" s="50" t="str">
        <x:f>IF(794&gt;$H$4,"",IF(INDEX('Fleet dates'!$B$9:$B$1008,$I802-8)="","",INDEX('Fleet dates'!$B$9:$B$1008,$I802-8)))</x:f>
      </x:c>
      <x:c r="C802" s="51" t="str">
        <x:f>IF(794&gt;$H$4,"",IF(INDEX('Fleet dates'!$C$9:$C$1008,$I802-8)="","",INDEX('Fleet dates'!$C$9:$C$1008,$I802-8)))</x:f>
      </x:c>
      <x:c r="D802" s="51" t="str">
        <x:f>IF(794&gt;$H$4,"",IF(INDEX('Fleet dates'!$D$9:$D$1008,$I802-8)="","",INDEX('Fleet dates'!$D$9:$D$1008,$I802-8)))</x:f>
      </x:c>
      <x:c r="E802" s="51" t="str">
        <x:f>IF(794&gt;$H$4,"",IF(INDEX('Fleet dates'!$E$9:$E$1008,$I802-8)="","",INDEX('Fleet dates'!$E$9:$E$1008,$I802-8)))</x:f>
      </x:c>
      <x:c r="F802" s="51" t="str">
        <x:f>IF(794&gt;$H$4,"",IF(INDEX('Fleet dates'!$F$9:$F$1008,$I802-8)="","",INDEX('Fleet dates'!$F$9:$F$1008,$I802-8)))</x:f>
      </x:c>
      <x:c r="G802" s="50" t="str">
        <x:f>IF(794&gt;$H$4,"",IF(INDEX('Fleet dates'!$G$9:$G$1008,$I802-8)="","",INDEX('Fleet dates'!$G$9:$G$1008,$I802-8)))</x:f>
      </x:c>
      <x:c r="H802" s="50" t="str">
        <x:f>IF(794&gt;$H$4,"",IF(INDEX('Fleet dates'!$I$9:$I$1008,$I802-8)="","",INDEX('Fleet dates'!$I$9:$I$1008,$I802-8)))</x:f>
      </x:c>
      <x:c r="I802" t="str">
        <x:f>IF(794&gt;$H$4,"",MATCH(794,'Fleet dates'!$J$9:$J$1008,0)+8)</x:f>
      </x:c>
    </x:row>
    <x:row r="803" ht="36" customHeight="1">
      <x:c r="A803" s="50" t="str">
        <x:f>IF(795&gt;$H$4,"",IF(INDEX('Fleet dates'!$A$9:$A$1008,$I803-8)="","",INDEX('Fleet dates'!$A$9:$A$1008,$I803-8)))</x:f>
      </x:c>
      <x:c r="B803" s="50" t="str">
        <x:f>IF(795&gt;$H$4,"",IF(INDEX('Fleet dates'!$B$9:$B$1008,$I803-8)="","",INDEX('Fleet dates'!$B$9:$B$1008,$I803-8)))</x:f>
      </x:c>
      <x:c r="C803" s="51" t="str">
        <x:f>IF(795&gt;$H$4,"",IF(INDEX('Fleet dates'!$C$9:$C$1008,$I803-8)="","",INDEX('Fleet dates'!$C$9:$C$1008,$I803-8)))</x:f>
      </x:c>
      <x:c r="D803" s="51" t="str">
        <x:f>IF(795&gt;$H$4,"",IF(INDEX('Fleet dates'!$D$9:$D$1008,$I803-8)="","",INDEX('Fleet dates'!$D$9:$D$1008,$I803-8)))</x:f>
      </x:c>
      <x:c r="E803" s="51" t="str">
        <x:f>IF(795&gt;$H$4,"",IF(INDEX('Fleet dates'!$E$9:$E$1008,$I803-8)="","",INDEX('Fleet dates'!$E$9:$E$1008,$I803-8)))</x:f>
      </x:c>
      <x:c r="F803" s="51" t="str">
        <x:f>IF(795&gt;$H$4,"",IF(INDEX('Fleet dates'!$F$9:$F$1008,$I803-8)="","",INDEX('Fleet dates'!$F$9:$F$1008,$I803-8)))</x:f>
      </x:c>
      <x:c r="G803" s="50" t="str">
        <x:f>IF(795&gt;$H$4,"",IF(INDEX('Fleet dates'!$G$9:$G$1008,$I803-8)="","",INDEX('Fleet dates'!$G$9:$G$1008,$I803-8)))</x:f>
      </x:c>
      <x:c r="H803" s="50" t="str">
        <x:f>IF(795&gt;$H$4,"",IF(INDEX('Fleet dates'!$I$9:$I$1008,$I803-8)="","",INDEX('Fleet dates'!$I$9:$I$1008,$I803-8)))</x:f>
      </x:c>
      <x:c r="I803" t="str">
        <x:f>IF(795&gt;$H$4,"",MATCH(795,'Fleet dates'!$J$9:$J$1008,0)+8)</x:f>
      </x:c>
    </x:row>
    <x:row r="804" ht="36" customHeight="1">
      <x:c r="A804" s="50" t="str">
        <x:f>IF(796&gt;$H$4,"",IF(INDEX('Fleet dates'!$A$9:$A$1008,$I804-8)="","",INDEX('Fleet dates'!$A$9:$A$1008,$I804-8)))</x:f>
      </x:c>
      <x:c r="B804" s="50" t="str">
        <x:f>IF(796&gt;$H$4,"",IF(INDEX('Fleet dates'!$B$9:$B$1008,$I804-8)="","",INDEX('Fleet dates'!$B$9:$B$1008,$I804-8)))</x:f>
      </x:c>
      <x:c r="C804" s="51" t="str">
        <x:f>IF(796&gt;$H$4,"",IF(INDEX('Fleet dates'!$C$9:$C$1008,$I804-8)="","",INDEX('Fleet dates'!$C$9:$C$1008,$I804-8)))</x:f>
      </x:c>
      <x:c r="D804" s="51" t="str">
        <x:f>IF(796&gt;$H$4,"",IF(INDEX('Fleet dates'!$D$9:$D$1008,$I804-8)="","",INDEX('Fleet dates'!$D$9:$D$1008,$I804-8)))</x:f>
      </x:c>
      <x:c r="E804" s="51" t="str">
        <x:f>IF(796&gt;$H$4,"",IF(INDEX('Fleet dates'!$E$9:$E$1008,$I804-8)="","",INDEX('Fleet dates'!$E$9:$E$1008,$I804-8)))</x:f>
      </x:c>
      <x:c r="F804" s="51" t="str">
        <x:f>IF(796&gt;$H$4,"",IF(INDEX('Fleet dates'!$F$9:$F$1008,$I804-8)="","",INDEX('Fleet dates'!$F$9:$F$1008,$I804-8)))</x:f>
      </x:c>
      <x:c r="G804" s="50" t="str">
        <x:f>IF(796&gt;$H$4,"",IF(INDEX('Fleet dates'!$G$9:$G$1008,$I804-8)="","",INDEX('Fleet dates'!$G$9:$G$1008,$I804-8)))</x:f>
      </x:c>
      <x:c r="H804" s="50" t="str">
        <x:f>IF(796&gt;$H$4,"",IF(INDEX('Fleet dates'!$I$9:$I$1008,$I804-8)="","",INDEX('Fleet dates'!$I$9:$I$1008,$I804-8)))</x:f>
      </x:c>
      <x:c r="I804" t="str">
        <x:f>IF(796&gt;$H$4,"",MATCH(796,'Fleet dates'!$J$9:$J$1008,0)+8)</x:f>
      </x:c>
    </x:row>
    <x:row r="805" ht="36" customHeight="1">
      <x:c r="A805" s="50" t="str">
        <x:f>IF(797&gt;$H$4,"",IF(INDEX('Fleet dates'!$A$9:$A$1008,$I805-8)="","",INDEX('Fleet dates'!$A$9:$A$1008,$I805-8)))</x:f>
      </x:c>
      <x:c r="B805" s="50" t="str">
        <x:f>IF(797&gt;$H$4,"",IF(INDEX('Fleet dates'!$B$9:$B$1008,$I805-8)="","",INDEX('Fleet dates'!$B$9:$B$1008,$I805-8)))</x:f>
      </x:c>
      <x:c r="C805" s="51" t="str">
        <x:f>IF(797&gt;$H$4,"",IF(INDEX('Fleet dates'!$C$9:$C$1008,$I805-8)="","",INDEX('Fleet dates'!$C$9:$C$1008,$I805-8)))</x:f>
      </x:c>
      <x:c r="D805" s="51" t="str">
        <x:f>IF(797&gt;$H$4,"",IF(INDEX('Fleet dates'!$D$9:$D$1008,$I805-8)="","",INDEX('Fleet dates'!$D$9:$D$1008,$I805-8)))</x:f>
      </x:c>
      <x:c r="E805" s="51" t="str">
        <x:f>IF(797&gt;$H$4,"",IF(INDEX('Fleet dates'!$E$9:$E$1008,$I805-8)="","",INDEX('Fleet dates'!$E$9:$E$1008,$I805-8)))</x:f>
      </x:c>
      <x:c r="F805" s="51" t="str">
        <x:f>IF(797&gt;$H$4,"",IF(INDEX('Fleet dates'!$F$9:$F$1008,$I805-8)="","",INDEX('Fleet dates'!$F$9:$F$1008,$I805-8)))</x:f>
      </x:c>
      <x:c r="G805" s="50" t="str">
        <x:f>IF(797&gt;$H$4,"",IF(INDEX('Fleet dates'!$G$9:$G$1008,$I805-8)="","",INDEX('Fleet dates'!$G$9:$G$1008,$I805-8)))</x:f>
      </x:c>
      <x:c r="H805" s="50" t="str">
        <x:f>IF(797&gt;$H$4,"",IF(INDEX('Fleet dates'!$I$9:$I$1008,$I805-8)="","",INDEX('Fleet dates'!$I$9:$I$1008,$I805-8)))</x:f>
      </x:c>
      <x:c r="I805" t="str">
        <x:f>IF(797&gt;$H$4,"",MATCH(797,'Fleet dates'!$J$9:$J$1008,0)+8)</x:f>
      </x:c>
    </x:row>
    <x:row r="806" ht="36" customHeight="1">
      <x:c r="A806" s="50" t="str">
        <x:f>IF(798&gt;$H$4,"",IF(INDEX('Fleet dates'!$A$9:$A$1008,$I806-8)="","",INDEX('Fleet dates'!$A$9:$A$1008,$I806-8)))</x:f>
      </x:c>
      <x:c r="B806" s="50" t="str">
        <x:f>IF(798&gt;$H$4,"",IF(INDEX('Fleet dates'!$B$9:$B$1008,$I806-8)="","",INDEX('Fleet dates'!$B$9:$B$1008,$I806-8)))</x:f>
      </x:c>
      <x:c r="C806" s="51" t="str">
        <x:f>IF(798&gt;$H$4,"",IF(INDEX('Fleet dates'!$C$9:$C$1008,$I806-8)="","",INDEX('Fleet dates'!$C$9:$C$1008,$I806-8)))</x:f>
      </x:c>
      <x:c r="D806" s="51" t="str">
        <x:f>IF(798&gt;$H$4,"",IF(INDEX('Fleet dates'!$D$9:$D$1008,$I806-8)="","",INDEX('Fleet dates'!$D$9:$D$1008,$I806-8)))</x:f>
      </x:c>
      <x:c r="E806" s="51" t="str">
        <x:f>IF(798&gt;$H$4,"",IF(INDEX('Fleet dates'!$E$9:$E$1008,$I806-8)="","",INDEX('Fleet dates'!$E$9:$E$1008,$I806-8)))</x:f>
      </x:c>
      <x:c r="F806" s="51" t="str">
        <x:f>IF(798&gt;$H$4,"",IF(INDEX('Fleet dates'!$F$9:$F$1008,$I806-8)="","",INDEX('Fleet dates'!$F$9:$F$1008,$I806-8)))</x:f>
      </x:c>
      <x:c r="G806" s="50" t="str">
        <x:f>IF(798&gt;$H$4,"",IF(INDEX('Fleet dates'!$G$9:$G$1008,$I806-8)="","",INDEX('Fleet dates'!$G$9:$G$1008,$I806-8)))</x:f>
      </x:c>
      <x:c r="H806" s="50" t="str">
        <x:f>IF(798&gt;$H$4,"",IF(INDEX('Fleet dates'!$I$9:$I$1008,$I806-8)="","",INDEX('Fleet dates'!$I$9:$I$1008,$I806-8)))</x:f>
      </x:c>
      <x:c r="I806" t="str">
        <x:f>IF(798&gt;$H$4,"",MATCH(798,'Fleet dates'!$J$9:$J$1008,0)+8)</x:f>
      </x:c>
    </x:row>
    <x:row r="807" ht="36" customHeight="1">
      <x:c r="A807" s="50" t="str">
        <x:f>IF(799&gt;$H$4,"",IF(INDEX('Fleet dates'!$A$9:$A$1008,$I807-8)="","",INDEX('Fleet dates'!$A$9:$A$1008,$I807-8)))</x:f>
      </x:c>
      <x:c r="B807" s="50" t="str">
        <x:f>IF(799&gt;$H$4,"",IF(INDEX('Fleet dates'!$B$9:$B$1008,$I807-8)="","",INDEX('Fleet dates'!$B$9:$B$1008,$I807-8)))</x:f>
      </x:c>
      <x:c r="C807" s="51" t="str">
        <x:f>IF(799&gt;$H$4,"",IF(INDEX('Fleet dates'!$C$9:$C$1008,$I807-8)="","",INDEX('Fleet dates'!$C$9:$C$1008,$I807-8)))</x:f>
      </x:c>
      <x:c r="D807" s="51" t="str">
        <x:f>IF(799&gt;$H$4,"",IF(INDEX('Fleet dates'!$D$9:$D$1008,$I807-8)="","",INDEX('Fleet dates'!$D$9:$D$1008,$I807-8)))</x:f>
      </x:c>
      <x:c r="E807" s="51" t="str">
        <x:f>IF(799&gt;$H$4,"",IF(INDEX('Fleet dates'!$E$9:$E$1008,$I807-8)="","",INDEX('Fleet dates'!$E$9:$E$1008,$I807-8)))</x:f>
      </x:c>
      <x:c r="F807" s="51" t="str">
        <x:f>IF(799&gt;$H$4,"",IF(INDEX('Fleet dates'!$F$9:$F$1008,$I807-8)="","",INDEX('Fleet dates'!$F$9:$F$1008,$I807-8)))</x:f>
      </x:c>
      <x:c r="G807" s="50" t="str">
        <x:f>IF(799&gt;$H$4,"",IF(INDEX('Fleet dates'!$G$9:$G$1008,$I807-8)="","",INDEX('Fleet dates'!$G$9:$G$1008,$I807-8)))</x:f>
      </x:c>
      <x:c r="H807" s="50" t="str">
        <x:f>IF(799&gt;$H$4,"",IF(INDEX('Fleet dates'!$I$9:$I$1008,$I807-8)="","",INDEX('Fleet dates'!$I$9:$I$1008,$I807-8)))</x:f>
      </x:c>
      <x:c r="I807" t="str">
        <x:f>IF(799&gt;$H$4,"",MATCH(799,'Fleet dates'!$J$9:$J$1008,0)+8)</x:f>
      </x:c>
    </x:row>
    <x:row r="808" ht="36" customHeight="1">
      <x:c r="A808" s="50" t="str">
        <x:f>IF(800&gt;$H$4,"",IF(INDEX('Fleet dates'!$A$9:$A$1008,$I808-8)="","",INDEX('Fleet dates'!$A$9:$A$1008,$I808-8)))</x:f>
      </x:c>
      <x:c r="B808" s="50" t="str">
        <x:f>IF(800&gt;$H$4,"",IF(INDEX('Fleet dates'!$B$9:$B$1008,$I808-8)="","",INDEX('Fleet dates'!$B$9:$B$1008,$I808-8)))</x:f>
      </x:c>
      <x:c r="C808" s="51" t="str">
        <x:f>IF(800&gt;$H$4,"",IF(INDEX('Fleet dates'!$C$9:$C$1008,$I808-8)="","",INDEX('Fleet dates'!$C$9:$C$1008,$I808-8)))</x:f>
      </x:c>
      <x:c r="D808" s="51" t="str">
        <x:f>IF(800&gt;$H$4,"",IF(INDEX('Fleet dates'!$D$9:$D$1008,$I808-8)="","",INDEX('Fleet dates'!$D$9:$D$1008,$I808-8)))</x:f>
      </x:c>
      <x:c r="E808" s="51" t="str">
        <x:f>IF(800&gt;$H$4,"",IF(INDEX('Fleet dates'!$E$9:$E$1008,$I808-8)="","",INDEX('Fleet dates'!$E$9:$E$1008,$I808-8)))</x:f>
      </x:c>
      <x:c r="F808" s="51" t="str">
        <x:f>IF(800&gt;$H$4,"",IF(INDEX('Fleet dates'!$F$9:$F$1008,$I808-8)="","",INDEX('Fleet dates'!$F$9:$F$1008,$I808-8)))</x:f>
      </x:c>
      <x:c r="G808" s="50" t="str">
        <x:f>IF(800&gt;$H$4,"",IF(INDEX('Fleet dates'!$G$9:$G$1008,$I808-8)="","",INDEX('Fleet dates'!$G$9:$G$1008,$I808-8)))</x:f>
      </x:c>
      <x:c r="H808" s="50" t="str">
        <x:f>IF(800&gt;$H$4,"",IF(INDEX('Fleet dates'!$I$9:$I$1008,$I808-8)="","",INDEX('Fleet dates'!$I$9:$I$1008,$I808-8)))</x:f>
      </x:c>
      <x:c r="I808" t="str">
        <x:f>IF(800&gt;$H$4,"",MATCH(800,'Fleet dates'!$J$9:$J$1008,0)+8)</x:f>
      </x:c>
    </x:row>
    <x:row r="809" ht="36" customHeight="1">
      <x:c r="A809" s="50" t="str">
        <x:f>IF(801&gt;$H$4,"",IF(INDEX('Fleet dates'!$A$9:$A$1008,$I809-8)="","",INDEX('Fleet dates'!$A$9:$A$1008,$I809-8)))</x:f>
      </x:c>
      <x:c r="B809" s="50" t="str">
        <x:f>IF(801&gt;$H$4,"",IF(INDEX('Fleet dates'!$B$9:$B$1008,$I809-8)="","",INDEX('Fleet dates'!$B$9:$B$1008,$I809-8)))</x:f>
      </x:c>
      <x:c r="C809" s="51" t="str">
        <x:f>IF(801&gt;$H$4,"",IF(INDEX('Fleet dates'!$C$9:$C$1008,$I809-8)="","",INDEX('Fleet dates'!$C$9:$C$1008,$I809-8)))</x:f>
      </x:c>
      <x:c r="D809" s="51" t="str">
        <x:f>IF(801&gt;$H$4,"",IF(INDEX('Fleet dates'!$D$9:$D$1008,$I809-8)="","",INDEX('Fleet dates'!$D$9:$D$1008,$I809-8)))</x:f>
      </x:c>
      <x:c r="E809" s="51" t="str">
        <x:f>IF(801&gt;$H$4,"",IF(INDEX('Fleet dates'!$E$9:$E$1008,$I809-8)="","",INDEX('Fleet dates'!$E$9:$E$1008,$I809-8)))</x:f>
      </x:c>
      <x:c r="F809" s="51" t="str">
        <x:f>IF(801&gt;$H$4,"",IF(INDEX('Fleet dates'!$F$9:$F$1008,$I809-8)="","",INDEX('Fleet dates'!$F$9:$F$1008,$I809-8)))</x:f>
      </x:c>
      <x:c r="G809" s="50" t="str">
        <x:f>IF(801&gt;$H$4,"",IF(INDEX('Fleet dates'!$G$9:$G$1008,$I809-8)="","",INDEX('Fleet dates'!$G$9:$G$1008,$I809-8)))</x:f>
      </x:c>
      <x:c r="H809" s="50" t="str">
        <x:f>IF(801&gt;$H$4,"",IF(INDEX('Fleet dates'!$I$9:$I$1008,$I809-8)="","",INDEX('Fleet dates'!$I$9:$I$1008,$I809-8)))</x:f>
      </x:c>
      <x:c r="I809" t="str">
        <x:f>IF(801&gt;$H$4,"",MATCH(801,'Fleet dates'!$J$9:$J$1008,0)+8)</x:f>
      </x:c>
    </x:row>
    <x:row r="810" ht="36" customHeight="1">
      <x:c r="A810" s="50" t="str">
        <x:f>IF(802&gt;$H$4,"",IF(INDEX('Fleet dates'!$A$9:$A$1008,$I810-8)="","",INDEX('Fleet dates'!$A$9:$A$1008,$I810-8)))</x:f>
      </x:c>
      <x:c r="B810" s="50" t="str">
        <x:f>IF(802&gt;$H$4,"",IF(INDEX('Fleet dates'!$B$9:$B$1008,$I810-8)="","",INDEX('Fleet dates'!$B$9:$B$1008,$I810-8)))</x:f>
      </x:c>
      <x:c r="C810" s="51" t="str">
        <x:f>IF(802&gt;$H$4,"",IF(INDEX('Fleet dates'!$C$9:$C$1008,$I810-8)="","",INDEX('Fleet dates'!$C$9:$C$1008,$I810-8)))</x:f>
      </x:c>
      <x:c r="D810" s="51" t="str">
        <x:f>IF(802&gt;$H$4,"",IF(INDEX('Fleet dates'!$D$9:$D$1008,$I810-8)="","",INDEX('Fleet dates'!$D$9:$D$1008,$I810-8)))</x:f>
      </x:c>
      <x:c r="E810" s="51" t="str">
        <x:f>IF(802&gt;$H$4,"",IF(INDEX('Fleet dates'!$E$9:$E$1008,$I810-8)="","",INDEX('Fleet dates'!$E$9:$E$1008,$I810-8)))</x:f>
      </x:c>
      <x:c r="F810" s="51" t="str">
        <x:f>IF(802&gt;$H$4,"",IF(INDEX('Fleet dates'!$F$9:$F$1008,$I810-8)="","",INDEX('Fleet dates'!$F$9:$F$1008,$I810-8)))</x:f>
      </x:c>
      <x:c r="G810" s="50" t="str">
        <x:f>IF(802&gt;$H$4,"",IF(INDEX('Fleet dates'!$G$9:$G$1008,$I810-8)="","",INDEX('Fleet dates'!$G$9:$G$1008,$I810-8)))</x:f>
      </x:c>
      <x:c r="H810" s="50" t="str">
        <x:f>IF(802&gt;$H$4,"",IF(INDEX('Fleet dates'!$I$9:$I$1008,$I810-8)="","",INDEX('Fleet dates'!$I$9:$I$1008,$I810-8)))</x:f>
      </x:c>
      <x:c r="I810" t="str">
        <x:f>IF(802&gt;$H$4,"",MATCH(802,'Fleet dates'!$J$9:$J$1008,0)+8)</x:f>
      </x:c>
    </x:row>
    <x:row r="811" ht="36" customHeight="1">
      <x:c r="A811" s="50" t="str">
        <x:f>IF(803&gt;$H$4,"",IF(INDEX('Fleet dates'!$A$9:$A$1008,$I811-8)="","",INDEX('Fleet dates'!$A$9:$A$1008,$I811-8)))</x:f>
      </x:c>
      <x:c r="B811" s="50" t="str">
        <x:f>IF(803&gt;$H$4,"",IF(INDEX('Fleet dates'!$B$9:$B$1008,$I811-8)="","",INDEX('Fleet dates'!$B$9:$B$1008,$I811-8)))</x:f>
      </x:c>
      <x:c r="C811" s="51" t="str">
        <x:f>IF(803&gt;$H$4,"",IF(INDEX('Fleet dates'!$C$9:$C$1008,$I811-8)="","",INDEX('Fleet dates'!$C$9:$C$1008,$I811-8)))</x:f>
      </x:c>
      <x:c r="D811" s="51" t="str">
        <x:f>IF(803&gt;$H$4,"",IF(INDEX('Fleet dates'!$D$9:$D$1008,$I811-8)="","",INDEX('Fleet dates'!$D$9:$D$1008,$I811-8)))</x:f>
      </x:c>
      <x:c r="E811" s="51" t="str">
        <x:f>IF(803&gt;$H$4,"",IF(INDEX('Fleet dates'!$E$9:$E$1008,$I811-8)="","",INDEX('Fleet dates'!$E$9:$E$1008,$I811-8)))</x:f>
      </x:c>
      <x:c r="F811" s="51" t="str">
        <x:f>IF(803&gt;$H$4,"",IF(INDEX('Fleet dates'!$F$9:$F$1008,$I811-8)="","",INDEX('Fleet dates'!$F$9:$F$1008,$I811-8)))</x:f>
      </x:c>
      <x:c r="G811" s="50" t="str">
        <x:f>IF(803&gt;$H$4,"",IF(INDEX('Fleet dates'!$G$9:$G$1008,$I811-8)="","",INDEX('Fleet dates'!$G$9:$G$1008,$I811-8)))</x:f>
      </x:c>
      <x:c r="H811" s="50" t="str">
        <x:f>IF(803&gt;$H$4,"",IF(INDEX('Fleet dates'!$I$9:$I$1008,$I811-8)="","",INDEX('Fleet dates'!$I$9:$I$1008,$I811-8)))</x:f>
      </x:c>
      <x:c r="I811" t="str">
        <x:f>IF(803&gt;$H$4,"",MATCH(803,'Fleet dates'!$J$9:$J$1008,0)+8)</x:f>
      </x:c>
    </x:row>
    <x:row r="812" ht="36" customHeight="1">
      <x:c r="A812" s="50" t="str">
        <x:f>IF(804&gt;$H$4,"",IF(INDEX('Fleet dates'!$A$9:$A$1008,$I812-8)="","",INDEX('Fleet dates'!$A$9:$A$1008,$I812-8)))</x:f>
      </x:c>
      <x:c r="B812" s="50" t="str">
        <x:f>IF(804&gt;$H$4,"",IF(INDEX('Fleet dates'!$B$9:$B$1008,$I812-8)="","",INDEX('Fleet dates'!$B$9:$B$1008,$I812-8)))</x:f>
      </x:c>
      <x:c r="C812" s="51" t="str">
        <x:f>IF(804&gt;$H$4,"",IF(INDEX('Fleet dates'!$C$9:$C$1008,$I812-8)="","",INDEX('Fleet dates'!$C$9:$C$1008,$I812-8)))</x:f>
      </x:c>
      <x:c r="D812" s="51" t="str">
        <x:f>IF(804&gt;$H$4,"",IF(INDEX('Fleet dates'!$D$9:$D$1008,$I812-8)="","",INDEX('Fleet dates'!$D$9:$D$1008,$I812-8)))</x:f>
      </x:c>
      <x:c r="E812" s="51" t="str">
        <x:f>IF(804&gt;$H$4,"",IF(INDEX('Fleet dates'!$E$9:$E$1008,$I812-8)="","",INDEX('Fleet dates'!$E$9:$E$1008,$I812-8)))</x:f>
      </x:c>
      <x:c r="F812" s="51" t="str">
        <x:f>IF(804&gt;$H$4,"",IF(INDEX('Fleet dates'!$F$9:$F$1008,$I812-8)="","",INDEX('Fleet dates'!$F$9:$F$1008,$I812-8)))</x:f>
      </x:c>
      <x:c r="G812" s="50" t="str">
        <x:f>IF(804&gt;$H$4,"",IF(INDEX('Fleet dates'!$G$9:$G$1008,$I812-8)="","",INDEX('Fleet dates'!$G$9:$G$1008,$I812-8)))</x:f>
      </x:c>
      <x:c r="H812" s="50" t="str">
        <x:f>IF(804&gt;$H$4,"",IF(INDEX('Fleet dates'!$I$9:$I$1008,$I812-8)="","",INDEX('Fleet dates'!$I$9:$I$1008,$I812-8)))</x:f>
      </x:c>
      <x:c r="I812" t="str">
        <x:f>IF(804&gt;$H$4,"",MATCH(804,'Fleet dates'!$J$9:$J$1008,0)+8)</x:f>
      </x:c>
    </x:row>
    <x:row r="813" ht="36" customHeight="1">
      <x:c r="A813" s="50" t="str">
        <x:f>IF(805&gt;$H$4,"",IF(INDEX('Fleet dates'!$A$9:$A$1008,$I813-8)="","",INDEX('Fleet dates'!$A$9:$A$1008,$I813-8)))</x:f>
      </x:c>
      <x:c r="B813" s="50" t="str">
        <x:f>IF(805&gt;$H$4,"",IF(INDEX('Fleet dates'!$B$9:$B$1008,$I813-8)="","",INDEX('Fleet dates'!$B$9:$B$1008,$I813-8)))</x:f>
      </x:c>
      <x:c r="C813" s="51" t="str">
        <x:f>IF(805&gt;$H$4,"",IF(INDEX('Fleet dates'!$C$9:$C$1008,$I813-8)="","",INDEX('Fleet dates'!$C$9:$C$1008,$I813-8)))</x:f>
      </x:c>
      <x:c r="D813" s="51" t="str">
        <x:f>IF(805&gt;$H$4,"",IF(INDEX('Fleet dates'!$D$9:$D$1008,$I813-8)="","",INDEX('Fleet dates'!$D$9:$D$1008,$I813-8)))</x:f>
      </x:c>
      <x:c r="E813" s="51" t="str">
        <x:f>IF(805&gt;$H$4,"",IF(INDEX('Fleet dates'!$E$9:$E$1008,$I813-8)="","",INDEX('Fleet dates'!$E$9:$E$1008,$I813-8)))</x:f>
      </x:c>
      <x:c r="F813" s="51" t="str">
        <x:f>IF(805&gt;$H$4,"",IF(INDEX('Fleet dates'!$F$9:$F$1008,$I813-8)="","",INDEX('Fleet dates'!$F$9:$F$1008,$I813-8)))</x:f>
      </x:c>
      <x:c r="G813" s="50" t="str">
        <x:f>IF(805&gt;$H$4,"",IF(INDEX('Fleet dates'!$G$9:$G$1008,$I813-8)="","",INDEX('Fleet dates'!$G$9:$G$1008,$I813-8)))</x:f>
      </x:c>
      <x:c r="H813" s="50" t="str">
        <x:f>IF(805&gt;$H$4,"",IF(INDEX('Fleet dates'!$I$9:$I$1008,$I813-8)="","",INDEX('Fleet dates'!$I$9:$I$1008,$I813-8)))</x:f>
      </x:c>
      <x:c r="I813" t="str">
        <x:f>IF(805&gt;$H$4,"",MATCH(805,'Fleet dates'!$J$9:$J$1008,0)+8)</x:f>
      </x:c>
    </x:row>
    <x:row r="814" ht="36" customHeight="1">
      <x:c r="A814" s="50" t="str">
        <x:f>IF(806&gt;$H$4,"",IF(INDEX('Fleet dates'!$A$9:$A$1008,$I814-8)="","",INDEX('Fleet dates'!$A$9:$A$1008,$I814-8)))</x:f>
      </x:c>
      <x:c r="B814" s="50" t="str">
        <x:f>IF(806&gt;$H$4,"",IF(INDEX('Fleet dates'!$B$9:$B$1008,$I814-8)="","",INDEX('Fleet dates'!$B$9:$B$1008,$I814-8)))</x:f>
      </x:c>
      <x:c r="C814" s="51" t="str">
        <x:f>IF(806&gt;$H$4,"",IF(INDEX('Fleet dates'!$C$9:$C$1008,$I814-8)="","",INDEX('Fleet dates'!$C$9:$C$1008,$I814-8)))</x:f>
      </x:c>
      <x:c r="D814" s="51" t="str">
        <x:f>IF(806&gt;$H$4,"",IF(INDEX('Fleet dates'!$D$9:$D$1008,$I814-8)="","",INDEX('Fleet dates'!$D$9:$D$1008,$I814-8)))</x:f>
      </x:c>
      <x:c r="E814" s="51" t="str">
        <x:f>IF(806&gt;$H$4,"",IF(INDEX('Fleet dates'!$E$9:$E$1008,$I814-8)="","",INDEX('Fleet dates'!$E$9:$E$1008,$I814-8)))</x:f>
      </x:c>
      <x:c r="F814" s="51" t="str">
        <x:f>IF(806&gt;$H$4,"",IF(INDEX('Fleet dates'!$F$9:$F$1008,$I814-8)="","",INDEX('Fleet dates'!$F$9:$F$1008,$I814-8)))</x:f>
      </x:c>
      <x:c r="G814" s="50" t="str">
        <x:f>IF(806&gt;$H$4,"",IF(INDEX('Fleet dates'!$G$9:$G$1008,$I814-8)="","",INDEX('Fleet dates'!$G$9:$G$1008,$I814-8)))</x:f>
      </x:c>
      <x:c r="H814" s="50" t="str">
        <x:f>IF(806&gt;$H$4,"",IF(INDEX('Fleet dates'!$I$9:$I$1008,$I814-8)="","",INDEX('Fleet dates'!$I$9:$I$1008,$I814-8)))</x:f>
      </x:c>
      <x:c r="I814" t="str">
        <x:f>IF(806&gt;$H$4,"",MATCH(806,'Fleet dates'!$J$9:$J$1008,0)+8)</x:f>
      </x:c>
    </x:row>
    <x:row r="815" ht="36" customHeight="1">
      <x:c r="A815" s="50" t="str">
        <x:f>IF(807&gt;$H$4,"",IF(INDEX('Fleet dates'!$A$9:$A$1008,$I815-8)="","",INDEX('Fleet dates'!$A$9:$A$1008,$I815-8)))</x:f>
      </x:c>
      <x:c r="B815" s="50" t="str">
        <x:f>IF(807&gt;$H$4,"",IF(INDEX('Fleet dates'!$B$9:$B$1008,$I815-8)="","",INDEX('Fleet dates'!$B$9:$B$1008,$I815-8)))</x:f>
      </x:c>
      <x:c r="C815" s="51" t="str">
        <x:f>IF(807&gt;$H$4,"",IF(INDEX('Fleet dates'!$C$9:$C$1008,$I815-8)="","",INDEX('Fleet dates'!$C$9:$C$1008,$I815-8)))</x:f>
      </x:c>
      <x:c r="D815" s="51" t="str">
        <x:f>IF(807&gt;$H$4,"",IF(INDEX('Fleet dates'!$D$9:$D$1008,$I815-8)="","",INDEX('Fleet dates'!$D$9:$D$1008,$I815-8)))</x:f>
      </x:c>
      <x:c r="E815" s="51" t="str">
        <x:f>IF(807&gt;$H$4,"",IF(INDEX('Fleet dates'!$E$9:$E$1008,$I815-8)="","",INDEX('Fleet dates'!$E$9:$E$1008,$I815-8)))</x:f>
      </x:c>
      <x:c r="F815" s="51" t="str">
        <x:f>IF(807&gt;$H$4,"",IF(INDEX('Fleet dates'!$F$9:$F$1008,$I815-8)="","",INDEX('Fleet dates'!$F$9:$F$1008,$I815-8)))</x:f>
      </x:c>
      <x:c r="G815" s="50" t="str">
        <x:f>IF(807&gt;$H$4,"",IF(INDEX('Fleet dates'!$G$9:$G$1008,$I815-8)="","",INDEX('Fleet dates'!$G$9:$G$1008,$I815-8)))</x:f>
      </x:c>
      <x:c r="H815" s="50" t="str">
        <x:f>IF(807&gt;$H$4,"",IF(INDEX('Fleet dates'!$I$9:$I$1008,$I815-8)="","",INDEX('Fleet dates'!$I$9:$I$1008,$I815-8)))</x:f>
      </x:c>
      <x:c r="I815" t="str">
        <x:f>IF(807&gt;$H$4,"",MATCH(807,'Fleet dates'!$J$9:$J$1008,0)+8)</x:f>
      </x:c>
    </x:row>
    <x:row r="816" ht="36" customHeight="1">
      <x:c r="A816" s="50" t="str">
        <x:f>IF(808&gt;$H$4,"",IF(INDEX('Fleet dates'!$A$9:$A$1008,$I816-8)="","",INDEX('Fleet dates'!$A$9:$A$1008,$I816-8)))</x:f>
      </x:c>
      <x:c r="B816" s="50" t="str">
        <x:f>IF(808&gt;$H$4,"",IF(INDEX('Fleet dates'!$B$9:$B$1008,$I816-8)="","",INDEX('Fleet dates'!$B$9:$B$1008,$I816-8)))</x:f>
      </x:c>
      <x:c r="C816" s="51" t="str">
        <x:f>IF(808&gt;$H$4,"",IF(INDEX('Fleet dates'!$C$9:$C$1008,$I816-8)="","",INDEX('Fleet dates'!$C$9:$C$1008,$I816-8)))</x:f>
      </x:c>
      <x:c r="D816" s="51" t="str">
        <x:f>IF(808&gt;$H$4,"",IF(INDEX('Fleet dates'!$D$9:$D$1008,$I816-8)="","",INDEX('Fleet dates'!$D$9:$D$1008,$I816-8)))</x:f>
      </x:c>
      <x:c r="E816" s="51" t="str">
        <x:f>IF(808&gt;$H$4,"",IF(INDEX('Fleet dates'!$E$9:$E$1008,$I816-8)="","",INDEX('Fleet dates'!$E$9:$E$1008,$I816-8)))</x:f>
      </x:c>
      <x:c r="F816" s="51" t="str">
        <x:f>IF(808&gt;$H$4,"",IF(INDEX('Fleet dates'!$F$9:$F$1008,$I816-8)="","",INDEX('Fleet dates'!$F$9:$F$1008,$I816-8)))</x:f>
      </x:c>
      <x:c r="G816" s="50" t="str">
        <x:f>IF(808&gt;$H$4,"",IF(INDEX('Fleet dates'!$G$9:$G$1008,$I816-8)="","",INDEX('Fleet dates'!$G$9:$G$1008,$I816-8)))</x:f>
      </x:c>
      <x:c r="H816" s="50" t="str">
        <x:f>IF(808&gt;$H$4,"",IF(INDEX('Fleet dates'!$I$9:$I$1008,$I816-8)="","",INDEX('Fleet dates'!$I$9:$I$1008,$I816-8)))</x:f>
      </x:c>
      <x:c r="I816" t="str">
        <x:f>IF(808&gt;$H$4,"",MATCH(808,'Fleet dates'!$J$9:$J$1008,0)+8)</x:f>
      </x:c>
    </x:row>
    <x:row r="817" ht="36" customHeight="1">
      <x:c r="A817" s="50" t="str">
        <x:f>IF(809&gt;$H$4,"",IF(INDEX('Fleet dates'!$A$9:$A$1008,$I817-8)="","",INDEX('Fleet dates'!$A$9:$A$1008,$I817-8)))</x:f>
      </x:c>
      <x:c r="B817" s="50" t="str">
        <x:f>IF(809&gt;$H$4,"",IF(INDEX('Fleet dates'!$B$9:$B$1008,$I817-8)="","",INDEX('Fleet dates'!$B$9:$B$1008,$I817-8)))</x:f>
      </x:c>
      <x:c r="C817" s="51" t="str">
        <x:f>IF(809&gt;$H$4,"",IF(INDEX('Fleet dates'!$C$9:$C$1008,$I817-8)="","",INDEX('Fleet dates'!$C$9:$C$1008,$I817-8)))</x:f>
      </x:c>
      <x:c r="D817" s="51" t="str">
        <x:f>IF(809&gt;$H$4,"",IF(INDEX('Fleet dates'!$D$9:$D$1008,$I817-8)="","",INDEX('Fleet dates'!$D$9:$D$1008,$I817-8)))</x:f>
      </x:c>
      <x:c r="E817" s="51" t="str">
        <x:f>IF(809&gt;$H$4,"",IF(INDEX('Fleet dates'!$E$9:$E$1008,$I817-8)="","",INDEX('Fleet dates'!$E$9:$E$1008,$I817-8)))</x:f>
      </x:c>
      <x:c r="F817" s="51" t="str">
        <x:f>IF(809&gt;$H$4,"",IF(INDEX('Fleet dates'!$F$9:$F$1008,$I817-8)="","",INDEX('Fleet dates'!$F$9:$F$1008,$I817-8)))</x:f>
      </x:c>
      <x:c r="G817" s="50" t="str">
        <x:f>IF(809&gt;$H$4,"",IF(INDEX('Fleet dates'!$G$9:$G$1008,$I817-8)="","",INDEX('Fleet dates'!$G$9:$G$1008,$I817-8)))</x:f>
      </x:c>
      <x:c r="H817" s="50" t="str">
        <x:f>IF(809&gt;$H$4,"",IF(INDEX('Fleet dates'!$I$9:$I$1008,$I817-8)="","",INDEX('Fleet dates'!$I$9:$I$1008,$I817-8)))</x:f>
      </x:c>
      <x:c r="I817" t="str">
        <x:f>IF(809&gt;$H$4,"",MATCH(809,'Fleet dates'!$J$9:$J$1008,0)+8)</x:f>
      </x:c>
    </x:row>
    <x:row r="818" ht="36" customHeight="1">
      <x:c r="A818" s="50" t="str">
        <x:f>IF(810&gt;$H$4,"",IF(INDEX('Fleet dates'!$A$9:$A$1008,$I818-8)="","",INDEX('Fleet dates'!$A$9:$A$1008,$I818-8)))</x:f>
      </x:c>
      <x:c r="B818" s="50" t="str">
        <x:f>IF(810&gt;$H$4,"",IF(INDEX('Fleet dates'!$B$9:$B$1008,$I818-8)="","",INDEX('Fleet dates'!$B$9:$B$1008,$I818-8)))</x:f>
      </x:c>
      <x:c r="C818" s="51" t="str">
        <x:f>IF(810&gt;$H$4,"",IF(INDEX('Fleet dates'!$C$9:$C$1008,$I818-8)="","",INDEX('Fleet dates'!$C$9:$C$1008,$I818-8)))</x:f>
      </x:c>
      <x:c r="D818" s="51" t="str">
        <x:f>IF(810&gt;$H$4,"",IF(INDEX('Fleet dates'!$D$9:$D$1008,$I818-8)="","",INDEX('Fleet dates'!$D$9:$D$1008,$I818-8)))</x:f>
      </x:c>
      <x:c r="E818" s="51" t="str">
        <x:f>IF(810&gt;$H$4,"",IF(INDEX('Fleet dates'!$E$9:$E$1008,$I818-8)="","",INDEX('Fleet dates'!$E$9:$E$1008,$I818-8)))</x:f>
      </x:c>
      <x:c r="F818" s="51" t="str">
        <x:f>IF(810&gt;$H$4,"",IF(INDEX('Fleet dates'!$F$9:$F$1008,$I818-8)="","",INDEX('Fleet dates'!$F$9:$F$1008,$I818-8)))</x:f>
      </x:c>
      <x:c r="G818" s="50" t="str">
        <x:f>IF(810&gt;$H$4,"",IF(INDEX('Fleet dates'!$G$9:$G$1008,$I818-8)="","",INDEX('Fleet dates'!$G$9:$G$1008,$I818-8)))</x:f>
      </x:c>
      <x:c r="H818" s="50" t="str">
        <x:f>IF(810&gt;$H$4,"",IF(INDEX('Fleet dates'!$I$9:$I$1008,$I818-8)="","",INDEX('Fleet dates'!$I$9:$I$1008,$I818-8)))</x:f>
      </x:c>
      <x:c r="I818" t="str">
        <x:f>IF(810&gt;$H$4,"",MATCH(810,'Fleet dates'!$J$9:$J$1008,0)+8)</x:f>
      </x:c>
    </x:row>
    <x:row r="819" ht="36" customHeight="1">
      <x:c r="A819" s="50" t="str">
        <x:f>IF(811&gt;$H$4,"",IF(INDEX('Fleet dates'!$A$9:$A$1008,$I819-8)="","",INDEX('Fleet dates'!$A$9:$A$1008,$I819-8)))</x:f>
      </x:c>
      <x:c r="B819" s="50" t="str">
        <x:f>IF(811&gt;$H$4,"",IF(INDEX('Fleet dates'!$B$9:$B$1008,$I819-8)="","",INDEX('Fleet dates'!$B$9:$B$1008,$I819-8)))</x:f>
      </x:c>
      <x:c r="C819" s="51" t="str">
        <x:f>IF(811&gt;$H$4,"",IF(INDEX('Fleet dates'!$C$9:$C$1008,$I819-8)="","",INDEX('Fleet dates'!$C$9:$C$1008,$I819-8)))</x:f>
      </x:c>
      <x:c r="D819" s="51" t="str">
        <x:f>IF(811&gt;$H$4,"",IF(INDEX('Fleet dates'!$D$9:$D$1008,$I819-8)="","",INDEX('Fleet dates'!$D$9:$D$1008,$I819-8)))</x:f>
      </x:c>
      <x:c r="E819" s="51" t="str">
        <x:f>IF(811&gt;$H$4,"",IF(INDEX('Fleet dates'!$E$9:$E$1008,$I819-8)="","",INDEX('Fleet dates'!$E$9:$E$1008,$I819-8)))</x:f>
      </x:c>
      <x:c r="F819" s="51" t="str">
        <x:f>IF(811&gt;$H$4,"",IF(INDEX('Fleet dates'!$F$9:$F$1008,$I819-8)="","",INDEX('Fleet dates'!$F$9:$F$1008,$I819-8)))</x:f>
      </x:c>
      <x:c r="G819" s="50" t="str">
        <x:f>IF(811&gt;$H$4,"",IF(INDEX('Fleet dates'!$G$9:$G$1008,$I819-8)="","",INDEX('Fleet dates'!$G$9:$G$1008,$I819-8)))</x:f>
      </x:c>
      <x:c r="H819" s="50" t="str">
        <x:f>IF(811&gt;$H$4,"",IF(INDEX('Fleet dates'!$I$9:$I$1008,$I819-8)="","",INDEX('Fleet dates'!$I$9:$I$1008,$I819-8)))</x:f>
      </x:c>
      <x:c r="I819" t="str">
        <x:f>IF(811&gt;$H$4,"",MATCH(811,'Fleet dates'!$J$9:$J$1008,0)+8)</x:f>
      </x:c>
    </x:row>
    <x:row r="820" ht="36" customHeight="1">
      <x:c r="A820" s="50" t="str">
        <x:f>IF(812&gt;$H$4,"",IF(INDEX('Fleet dates'!$A$9:$A$1008,$I820-8)="","",INDEX('Fleet dates'!$A$9:$A$1008,$I820-8)))</x:f>
      </x:c>
      <x:c r="B820" s="50" t="str">
        <x:f>IF(812&gt;$H$4,"",IF(INDEX('Fleet dates'!$B$9:$B$1008,$I820-8)="","",INDEX('Fleet dates'!$B$9:$B$1008,$I820-8)))</x:f>
      </x:c>
      <x:c r="C820" s="51" t="str">
        <x:f>IF(812&gt;$H$4,"",IF(INDEX('Fleet dates'!$C$9:$C$1008,$I820-8)="","",INDEX('Fleet dates'!$C$9:$C$1008,$I820-8)))</x:f>
      </x:c>
      <x:c r="D820" s="51" t="str">
        <x:f>IF(812&gt;$H$4,"",IF(INDEX('Fleet dates'!$D$9:$D$1008,$I820-8)="","",INDEX('Fleet dates'!$D$9:$D$1008,$I820-8)))</x:f>
      </x:c>
      <x:c r="E820" s="51" t="str">
        <x:f>IF(812&gt;$H$4,"",IF(INDEX('Fleet dates'!$E$9:$E$1008,$I820-8)="","",INDEX('Fleet dates'!$E$9:$E$1008,$I820-8)))</x:f>
      </x:c>
      <x:c r="F820" s="51" t="str">
        <x:f>IF(812&gt;$H$4,"",IF(INDEX('Fleet dates'!$F$9:$F$1008,$I820-8)="","",INDEX('Fleet dates'!$F$9:$F$1008,$I820-8)))</x:f>
      </x:c>
      <x:c r="G820" s="50" t="str">
        <x:f>IF(812&gt;$H$4,"",IF(INDEX('Fleet dates'!$G$9:$G$1008,$I820-8)="","",INDEX('Fleet dates'!$G$9:$G$1008,$I820-8)))</x:f>
      </x:c>
      <x:c r="H820" s="50" t="str">
        <x:f>IF(812&gt;$H$4,"",IF(INDEX('Fleet dates'!$I$9:$I$1008,$I820-8)="","",INDEX('Fleet dates'!$I$9:$I$1008,$I820-8)))</x:f>
      </x:c>
      <x:c r="I820" t="str">
        <x:f>IF(812&gt;$H$4,"",MATCH(812,'Fleet dates'!$J$9:$J$1008,0)+8)</x:f>
      </x:c>
    </x:row>
    <x:row r="821" ht="36" customHeight="1">
      <x:c r="A821" s="50" t="str">
        <x:f>IF(813&gt;$H$4,"",IF(INDEX('Fleet dates'!$A$9:$A$1008,$I821-8)="","",INDEX('Fleet dates'!$A$9:$A$1008,$I821-8)))</x:f>
      </x:c>
      <x:c r="B821" s="50" t="str">
        <x:f>IF(813&gt;$H$4,"",IF(INDEX('Fleet dates'!$B$9:$B$1008,$I821-8)="","",INDEX('Fleet dates'!$B$9:$B$1008,$I821-8)))</x:f>
      </x:c>
      <x:c r="C821" s="51" t="str">
        <x:f>IF(813&gt;$H$4,"",IF(INDEX('Fleet dates'!$C$9:$C$1008,$I821-8)="","",INDEX('Fleet dates'!$C$9:$C$1008,$I821-8)))</x:f>
      </x:c>
      <x:c r="D821" s="51" t="str">
        <x:f>IF(813&gt;$H$4,"",IF(INDEX('Fleet dates'!$D$9:$D$1008,$I821-8)="","",INDEX('Fleet dates'!$D$9:$D$1008,$I821-8)))</x:f>
      </x:c>
      <x:c r="E821" s="51" t="str">
        <x:f>IF(813&gt;$H$4,"",IF(INDEX('Fleet dates'!$E$9:$E$1008,$I821-8)="","",INDEX('Fleet dates'!$E$9:$E$1008,$I821-8)))</x:f>
      </x:c>
      <x:c r="F821" s="51" t="str">
        <x:f>IF(813&gt;$H$4,"",IF(INDEX('Fleet dates'!$F$9:$F$1008,$I821-8)="","",INDEX('Fleet dates'!$F$9:$F$1008,$I821-8)))</x:f>
      </x:c>
      <x:c r="G821" s="50" t="str">
        <x:f>IF(813&gt;$H$4,"",IF(INDEX('Fleet dates'!$G$9:$G$1008,$I821-8)="","",INDEX('Fleet dates'!$G$9:$G$1008,$I821-8)))</x:f>
      </x:c>
      <x:c r="H821" s="50" t="str">
        <x:f>IF(813&gt;$H$4,"",IF(INDEX('Fleet dates'!$I$9:$I$1008,$I821-8)="","",INDEX('Fleet dates'!$I$9:$I$1008,$I821-8)))</x:f>
      </x:c>
      <x:c r="I821" t="str">
        <x:f>IF(813&gt;$H$4,"",MATCH(813,'Fleet dates'!$J$9:$J$1008,0)+8)</x:f>
      </x:c>
    </x:row>
    <x:row r="822" ht="36" customHeight="1">
      <x:c r="A822" s="50" t="str">
        <x:f>IF(814&gt;$H$4,"",IF(INDEX('Fleet dates'!$A$9:$A$1008,$I822-8)="","",INDEX('Fleet dates'!$A$9:$A$1008,$I822-8)))</x:f>
      </x:c>
      <x:c r="B822" s="50" t="str">
        <x:f>IF(814&gt;$H$4,"",IF(INDEX('Fleet dates'!$B$9:$B$1008,$I822-8)="","",INDEX('Fleet dates'!$B$9:$B$1008,$I822-8)))</x:f>
      </x:c>
      <x:c r="C822" s="51" t="str">
        <x:f>IF(814&gt;$H$4,"",IF(INDEX('Fleet dates'!$C$9:$C$1008,$I822-8)="","",INDEX('Fleet dates'!$C$9:$C$1008,$I822-8)))</x:f>
      </x:c>
      <x:c r="D822" s="51" t="str">
        <x:f>IF(814&gt;$H$4,"",IF(INDEX('Fleet dates'!$D$9:$D$1008,$I822-8)="","",INDEX('Fleet dates'!$D$9:$D$1008,$I822-8)))</x:f>
      </x:c>
      <x:c r="E822" s="51" t="str">
        <x:f>IF(814&gt;$H$4,"",IF(INDEX('Fleet dates'!$E$9:$E$1008,$I822-8)="","",INDEX('Fleet dates'!$E$9:$E$1008,$I822-8)))</x:f>
      </x:c>
      <x:c r="F822" s="51" t="str">
        <x:f>IF(814&gt;$H$4,"",IF(INDEX('Fleet dates'!$F$9:$F$1008,$I822-8)="","",INDEX('Fleet dates'!$F$9:$F$1008,$I822-8)))</x:f>
      </x:c>
      <x:c r="G822" s="50" t="str">
        <x:f>IF(814&gt;$H$4,"",IF(INDEX('Fleet dates'!$G$9:$G$1008,$I822-8)="","",INDEX('Fleet dates'!$G$9:$G$1008,$I822-8)))</x:f>
      </x:c>
      <x:c r="H822" s="50" t="str">
        <x:f>IF(814&gt;$H$4,"",IF(INDEX('Fleet dates'!$I$9:$I$1008,$I822-8)="","",INDEX('Fleet dates'!$I$9:$I$1008,$I822-8)))</x:f>
      </x:c>
      <x:c r="I822" t="str">
        <x:f>IF(814&gt;$H$4,"",MATCH(814,'Fleet dates'!$J$9:$J$1008,0)+8)</x:f>
      </x:c>
    </x:row>
    <x:row r="823" ht="36" customHeight="1">
      <x:c r="A823" s="50" t="str">
        <x:f>IF(815&gt;$H$4,"",IF(INDEX('Fleet dates'!$A$9:$A$1008,$I823-8)="","",INDEX('Fleet dates'!$A$9:$A$1008,$I823-8)))</x:f>
      </x:c>
      <x:c r="B823" s="50" t="str">
        <x:f>IF(815&gt;$H$4,"",IF(INDEX('Fleet dates'!$B$9:$B$1008,$I823-8)="","",INDEX('Fleet dates'!$B$9:$B$1008,$I823-8)))</x:f>
      </x:c>
      <x:c r="C823" s="51" t="str">
        <x:f>IF(815&gt;$H$4,"",IF(INDEX('Fleet dates'!$C$9:$C$1008,$I823-8)="","",INDEX('Fleet dates'!$C$9:$C$1008,$I823-8)))</x:f>
      </x:c>
      <x:c r="D823" s="51" t="str">
        <x:f>IF(815&gt;$H$4,"",IF(INDEX('Fleet dates'!$D$9:$D$1008,$I823-8)="","",INDEX('Fleet dates'!$D$9:$D$1008,$I823-8)))</x:f>
      </x:c>
      <x:c r="E823" s="51" t="str">
        <x:f>IF(815&gt;$H$4,"",IF(INDEX('Fleet dates'!$E$9:$E$1008,$I823-8)="","",INDEX('Fleet dates'!$E$9:$E$1008,$I823-8)))</x:f>
      </x:c>
      <x:c r="F823" s="51" t="str">
        <x:f>IF(815&gt;$H$4,"",IF(INDEX('Fleet dates'!$F$9:$F$1008,$I823-8)="","",INDEX('Fleet dates'!$F$9:$F$1008,$I823-8)))</x:f>
      </x:c>
      <x:c r="G823" s="50" t="str">
        <x:f>IF(815&gt;$H$4,"",IF(INDEX('Fleet dates'!$G$9:$G$1008,$I823-8)="","",INDEX('Fleet dates'!$G$9:$G$1008,$I823-8)))</x:f>
      </x:c>
      <x:c r="H823" s="50" t="str">
        <x:f>IF(815&gt;$H$4,"",IF(INDEX('Fleet dates'!$I$9:$I$1008,$I823-8)="","",INDEX('Fleet dates'!$I$9:$I$1008,$I823-8)))</x:f>
      </x:c>
      <x:c r="I823" t="str">
        <x:f>IF(815&gt;$H$4,"",MATCH(815,'Fleet dates'!$J$9:$J$1008,0)+8)</x:f>
      </x:c>
    </x:row>
    <x:row r="824" ht="36" customHeight="1">
      <x:c r="A824" s="50" t="str">
        <x:f>IF(816&gt;$H$4,"",IF(INDEX('Fleet dates'!$A$9:$A$1008,$I824-8)="","",INDEX('Fleet dates'!$A$9:$A$1008,$I824-8)))</x:f>
      </x:c>
      <x:c r="B824" s="50" t="str">
        <x:f>IF(816&gt;$H$4,"",IF(INDEX('Fleet dates'!$B$9:$B$1008,$I824-8)="","",INDEX('Fleet dates'!$B$9:$B$1008,$I824-8)))</x:f>
      </x:c>
      <x:c r="C824" s="51" t="str">
        <x:f>IF(816&gt;$H$4,"",IF(INDEX('Fleet dates'!$C$9:$C$1008,$I824-8)="","",INDEX('Fleet dates'!$C$9:$C$1008,$I824-8)))</x:f>
      </x:c>
      <x:c r="D824" s="51" t="str">
        <x:f>IF(816&gt;$H$4,"",IF(INDEX('Fleet dates'!$D$9:$D$1008,$I824-8)="","",INDEX('Fleet dates'!$D$9:$D$1008,$I824-8)))</x:f>
      </x:c>
      <x:c r="E824" s="51" t="str">
        <x:f>IF(816&gt;$H$4,"",IF(INDEX('Fleet dates'!$E$9:$E$1008,$I824-8)="","",INDEX('Fleet dates'!$E$9:$E$1008,$I824-8)))</x:f>
      </x:c>
      <x:c r="F824" s="51" t="str">
        <x:f>IF(816&gt;$H$4,"",IF(INDEX('Fleet dates'!$F$9:$F$1008,$I824-8)="","",INDEX('Fleet dates'!$F$9:$F$1008,$I824-8)))</x:f>
      </x:c>
      <x:c r="G824" s="50" t="str">
        <x:f>IF(816&gt;$H$4,"",IF(INDEX('Fleet dates'!$G$9:$G$1008,$I824-8)="","",INDEX('Fleet dates'!$G$9:$G$1008,$I824-8)))</x:f>
      </x:c>
      <x:c r="H824" s="50" t="str">
        <x:f>IF(816&gt;$H$4,"",IF(INDEX('Fleet dates'!$I$9:$I$1008,$I824-8)="","",INDEX('Fleet dates'!$I$9:$I$1008,$I824-8)))</x:f>
      </x:c>
      <x:c r="I824" t="str">
        <x:f>IF(816&gt;$H$4,"",MATCH(816,'Fleet dates'!$J$9:$J$1008,0)+8)</x:f>
      </x:c>
    </x:row>
    <x:row r="825" ht="36" customHeight="1">
      <x:c r="A825" s="50" t="str">
        <x:f>IF(817&gt;$H$4,"",IF(INDEX('Fleet dates'!$A$9:$A$1008,$I825-8)="","",INDEX('Fleet dates'!$A$9:$A$1008,$I825-8)))</x:f>
      </x:c>
      <x:c r="B825" s="50" t="str">
        <x:f>IF(817&gt;$H$4,"",IF(INDEX('Fleet dates'!$B$9:$B$1008,$I825-8)="","",INDEX('Fleet dates'!$B$9:$B$1008,$I825-8)))</x:f>
      </x:c>
      <x:c r="C825" s="51" t="str">
        <x:f>IF(817&gt;$H$4,"",IF(INDEX('Fleet dates'!$C$9:$C$1008,$I825-8)="","",INDEX('Fleet dates'!$C$9:$C$1008,$I825-8)))</x:f>
      </x:c>
      <x:c r="D825" s="51" t="str">
        <x:f>IF(817&gt;$H$4,"",IF(INDEX('Fleet dates'!$D$9:$D$1008,$I825-8)="","",INDEX('Fleet dates'!$D$9:$D$1008,$I825-8)))</x:f>
      </x:c>
      <x:c r="E825" s="51" t="str">
        <x:f>IF(817&gt;$H$4,"",IF(INDEX('Fleet dates'!$E$9:$E$1008,$I825-8)="","",INDEX('Fleet dates'!$E$9:$E$1008,$I825-8)))</x:f>
      </x:c>
      <x:c r="F825" s="51" t="str">
        <x:f>IF(817&gt;$H$4,"",IF(INDEX('Fleet dates'!$F$9:$F$1008,$I825-8)="","",INDEX('Fleet dates'!$F$9:$F$1008,$I825-8)))</x:f>
      </x:c>
      <x:c r="G825" s="50" t="str">
        <x:f>IF(817&gt;$H$4,"",IF(INDEX('Fleet dates'!$G$9:$G$1008,$I825-8)="","",INDEX('Fleet dates'!$G$9:$G$1008,$I825-8)))</x:f>
      </x:c>
      <x:c r="H825" s="50" t="str">
        <x:f>IF(817&gt;$H$4,"",IF(INDEX('Fleet dates'!$I$9:$I$1008,$I825-8)="","",INDEX('Fleet dates'!$I$9:$I$1008,$I825-8)))</x:f>
      </x:c>
      <x:c r="I825" t="str">
        <x:f>IF(817&gt;$H$4,"",MATCH(817,'Fleet dates'!$J$9:$J$1008,0)+8)</x:f>
      </x:c>
    </x:row>
    <x:row r="826" ht="36" customHeight="1">
      <x:c r="A826" s="50" t="str">
        <x:f>IF(818&gt;$H$4,"",IF(INDEX('Fleet dates'!$A$9:$A$1008,$I826-8)="","",INDEX('Fleet dates'!$A$9:$A$1008,$I826-8)))</x:f>
      </x:c>
      <x:c r="B826" s="50" t="str">
        <x:f>IF(818&gt;$H$4,"",IF(INDEX('Fleet dates'!$B$9:$B$1008,$I826-8)="","",INDEX('Fleet dates'!$B$9:$B$1008,$I826-8)))</x:f>
      </x:c>
      <x:c r="C826" s="51" t="str">
        <x:f>IF(818&gt;$H$4,"",IF(INDEX('Fleet dates'!$C$9:$C$1008,$I826-8)="","",INDEX('Fleet dates'!$C$9:$C$1008,$I826-8)))</x:f>
      </x:c>
      <x:c r="D826" s="51" t="str">
        <x:f>IF(818&gt;$H$4,"",IF(INDEX('Fleet dates'!$D$9:$D$1008,$I826-8)="","",INDEX('Fleet dates'!$D$9:$D$1008,$I826-8)))</x:f>
      </x:c>
      <x:c r="E826" s="51" t="str">
        <x:f>IF(818&gt;$H$4,"",IF(INDEX('Fleet dates'!$E$9:$E$1008,$I826-8)="","",INDEX('Fleet dates'!$E$9:$E$1008,$I826-8)))</x:f>
      </x:c>
      <x:c r="F826" s="51" t="str">
        <x:f>IF(818&gt;$H$4,"",IF(INDEX('Fleet dates'!$F$9:$F$1008,$I826-8)="","",INDEX('Fleet dates'!$F$9:$F$1008,$I826-8)))</x:f>
      </x:c>
      <x:c r="G826" s="50" t="str">
        <x:f>IF(818&gt;$H$4,"",IF(INDEX('Fleet dates'!$G$9:$G$1008,$I826-8)="","",INDEX('Fleet dates'!$G$9:$G$1008,$I826-8)))</x:f>
      </x:c>
      <x:c r="H826" s="50" t="str">
        <x:f>IF(818&gt;$H$4,"",IF(INDEX('Fleet dates'!$I$9:$I$1008,$I826-8)="","",INDEX('Fleet dates'!$I$9:$I$1008,$I826-8)))</x:f>
      </x:c>
      <x:c r="I826" t="str">
        <x:f>IF(818&gt;$H$4,"",MATCH(818,'Fleet dates'!$J$9:$J$1008,0)+8)</x:f>
      </x:c>
    </x:row>
    <x:row r="827" ht="36" customHeight="1">
      <x:c r="A827" s="50" t="str">
        <x:f>IF(819&gt;$H$4,"",IF(INDEX('Fleet dates'!$A$9:$A$1008,$I827-8)="","",INDEX('Fleet dates'!$A$9:$A$1008,$I827-8)))</x:f>
      </x:c>
      <x:c r="B827" s="50" t="str">
        <x:f>IF(819&gt;$H$4,"",IF(INDEX('Fleet dates'!$B$9:$B$1008,$I827-8)="","",INDEX('Fleet dates'!$B$9:$B$1008,$I827-8)))</x:f>
      </x:c>
      <x:c r="C827" s="51" t="str">
        <x:f>IF(819&gt;$H$4,"",IF(INDEX('Fleet dates'!$C$9:$C$1008,$I827-8)="","",INDEX('Fleet dates'!$C$9:$C$1008,$I827-8)))</x:f>
      </x:c>
      <x:c r="D827" s="51" t="str">
        <x:f>IF(819&gt;$H$4,"",IF(INDEX('Fleet dates'!$D$9:$D$1008,$I827-8)="","",INDEX('Fleet dates'!$D$9:$D$1008,$I827-8)))</x:f>
      </x:c>
      <x:c r="E827" s="51" t="str">
        <x:f>IF(819&gt;$H$4,"",IF(INDEX('Fleet dates'!$E$9:$E$1008,$I827-8)="","",INDEX('Fleet dates'!$E$9:$E$1008,$I827-8)))</x:f>
      </x:c>
      <x:c r="F827" s="51" t="str">
        <x:f>IF(819&gt;$H$4,"",IF(INDEX('Fleet dates'!$F$9:$F$1008,$I827-8)="","",INDEX('Fleet dates'!$F$9:$F$1008,$I827-8)))</x:f>
      </x:c>
      <x:c r="G827" s="50" t="str">
        <x:f>IF(819&gt;$H$4,"",IF(INDEX('Fleet dates'!$G$9:$G$1008,$I827-8)="","",INDEX('Fleet dates'!$G$9:$G$1008,$I827-8)))</x:f>
      </x:c>
      <x:c r="H827" s="50" t="str">
        <x:f>IF(819&gt;$H$4,"",IF(INDEX('Fleet dates'!$I$9:$I$1008,$I827-8)="","",INDEX('Fleet dates'!$I$9:$I$1008,$I827-8)))</x:f>
      </x:c>
      <x:c r="I827" t="str">
        <x:f>IF(819&gt;$H$4,"",MATCH(819,'Fleet dates'!$J$9:$J$1008,0)+8)</x:f>
      </x:c>
    </x:row>
    <x:row r="828" ht="36" customHeight="1">
      <x:c r="A828" s="50" t="str">
        <x:f>IF(820&gt;$H$4,"",IF(INDEX('Fleet dates'!$A$9:$A$1008,$I828-8)="","",INDEX('Fleet dates'!$A$9:$A$1008,$I828-8)))</x:f>
      </x:c>
      <x:c r="B828" s="50" t="str">
        <x:f>IF(820&gt;$H$4,"",IF(INDEX('Fleet dates'!$B$9:$B$1008,$I828-8)="","",INDEX('Fleet dates'!$B$9:$B$1008,$I828-8)))</x:f>
      </x:c>
      <x:c r="C828" s="51" t="str">
        <x:f>IF(820&gt;$H$4,"",IF(INDEX('Fleet dates'!$C$9:$C$1008,$I828-8)="","",INDEX('Fleet dates'!$C$9:$C$1008,$I828-8)))</x:f>
      </x:c>
      <x:c r="D828" s="51" t="str">
        <x:f>IF(820&gt;$H$4,"",IF(INDEX('Fleet dates'!$D$9:$D$1008,$I828-8)="","",INDEX('Fleet dates'!$D$9:$D$1008,$I828-8)))</x:f>
      </x:c>
      <x:c r="E828" s="51" t="str">
        <x:f>IF(820&gt;$H$4,"",IF(INDEX('Fleet dates'!$E$9:$E$1008,$I828-8)="","",INDEX('Fleet dates'!$E$9:$E$1008,$I828-8)))</x:f>
      </x:c>
      <x:c r="F828" s="51" t="str">
        <x:f>IF(820&gt;$H$4,"",IF(INDEX('Fleet dates'!$F$9:$F$1008,$I828-8)="","",INDEX('Fleet dates'!$F$9:$F$1008,$I828-8)))</x:f>
      </x:c>
      <x:c r="G828" s="50" t="str">
        <x:f>IF(820&gt;$H$4,"",IF(INDEX('Fleet dates'!$G$9:$G$1008,$I828-8)="","",INDEX('Fleet dates'!$G$9:$G$1008,$I828-8)))</x:f>
      </x:c>
      <x:c r="H828" s="50" t="str">
        <x:f>IF(820&gt;$H$4,"",IF(INDEX('Fleet dates'!$I$9:$I$1008,$I828-8)="","",INDEX('Fleet dates'!$I$9:$I$1008,$I828-8)))</x:f>
      </x:c>
      <x:c r="I828" t="str">
        <x:f>IF(820&gt;$H$4,"",MATCH(820,'Fleet dates'!$J$9:$J$1008,0)+8)</x:f>
      </x:c>
    </x:row>
    <x:row r="829" ht="36" customHeight="1">
      <x:c r="A829" s="50" t="str">
        <x:f>IF(821&gt;$H$4,"",IF(INDEX('Fleet dates'!$A$9:$A$1008,$I829-8)="","",INDEX('Fleet dates'!$A$9:$A$1008,$I829-8)))</x:f>
      </x:c>
      <x:c r="B829" s="50" t="str">
        <x:f>IF(821&gt;$H$4,"",IF(INDEX('Fleet dates'!$B$9:$B$1008,$I829-8)="","",INDEX('Fleet dates'!$B$9:$B$1008,$I829-8)))</x:f>
      </x:c>
      <x:c r="C829" s="51" t="str">
        <x:f>IF(821&gt;$H$4,"",IF(INDEX('Fleet dates'!$C$9:$C$1008,$I829-8)="","",INDEX('Fleet dates'!$C$9:$C$1008,$I829-8)))</x:f>
      </x:c>
      <x:c r="D829" s="51" t="str">
        <x:f>IF(821&gt;$H$4,"",IF(INDEX('Fleet dates'!$D$9:$D$1008,$I829-8)="","",INDEX('Fleet dates'!$D$9:$D$1008,$I829-8)))</x:f>
      </x:c>
      <x:c r="E829" s="51" t="str">
        <x:f>IF(821&gt;$H$4,"",IF(INDEX('Fleet dates'!$E$9:$E$1008,$I829-8)="","",INDEX('Fleet dates'!$E$9:$E$1008,$I829-8)))</x:f>
      </x:c>
      <x:c r="F829" s="51" t="str">
        <x:f>IF(821&gt;$H$4,"",IF(INDEX('Fleet dates'!$F$9:$F$1008,$I829-8)="","",INDEX('Fleet dates'!$F$9:$F$1008,$I829-8)))</x:f>
      </x:c>
      <x:c r="G829" s="50" t="str">
        <x:f>IF(821&gt;$H$4,"",IF(INDEX('Fleet dates'!$G$9:$G$1008,$I829-8)="","",INDEX('Fleet dates'!$G$9:$G$1008,$I829-8)))</x:f>
      </x:c>
      <x:c r="H829" s="50" t="str">
        <x:f>IF(821&gt;$H$4,"",IF(INDEX('Fleet dates'!$I$9:$I$1008,$I829-8)="","",INDEX('Fleet dates'!$I$9:$I$1008,$I829-8)))</x:f>
      </x:c>
      <x:c r="I829" t="str">
        <x:f>IF(821&gt;$H$4,"",MATCH(821,'Fleet dates'!$J$9:$J$1008,0)+8)</x:f>
      </x:c>
    </x:row>
    <x:row r="830" ht="36" customHeight="1">
      <x:c r="A830" s="50" t="str">
        <x:f>IF(822&gt;$H$4,"",IF(INDEX('Fleet dates'!$A$9:$A$1008,$I830-8)="","",INDEX('Fleet dates'!$A$9:$A$1008,$I830-8)))</x:f>
      </x:c>
      <x:c r="B830" s="50" t="str">
        <x:f>IF(822&gt;$H$4,"",IF(INDEX('Fleet dates'!$B$9:$B$1008,$I830-8)="","",INDEX('Fleet dates'!$B$9:$B$1008,$I830-8)))</x:f>
      </x:c>
      <x:c r="C830" s="51" t="str">
        <x:f>IF(822&gt;$H$4,"",IF(INDEX('Fleet dates'!$C$9:$C$1008,$I830-8)="","",INDEX('Fleet dates'!$C$9:$C$1008,$I830-8)))</x:f>
      </x:c>
      <x:c r="D830" s="51" t="str">
        <x:f>IF(822&gt;$H$4,"",IF(INDEX('Fleet dates'!$D$9:$D$1008,$I830-8)="","",INDEX('Fleet dates'!$D$9:$D$1008,$I830-8)))</x:f>
      </x:c>
      <x:c r="E830" s="51" t="str">
        <x:f>IF(822&gt;$H$4,"",IF(INDEX('Fleet dates'!$E$9:$E$1008,$I830-8)="","",INDEX('Fleet dates'!$E$9:$E$1008,$I830-8)))</x:f>
      </x:c>
      <x:c r="F830" s="51" t="str">
        <x:f>IF(822&gt;$H$4,"",IF(INDEX('Fleet dates'!$F$9:$F$1008,$I830-8)="","",INDEX('Fleet dates'!$F$9:$F$1008,$I830-8)))</x:f>
      </x:c>
      <x:c r="G830" s="50" t="str">
        <x:f>IF(822&gt;$H$4,"",IF(INDEX('Fleet dates'!$G$9:$G$1008,$I830-8)="","",INDEX('Fleet dates'!$G$9:$G$1008,$I830-8)))</x:f>
      </x:c>
      <x:c r="H830" s="50" t="str">
        <x:f>IF(822&gt;$H$4,"",IF(INDEX('Fleet dates'!$I$9:$I$1008,$I830-8)="","",INDEX('Fleet dates'!$I$9:$I$1008,$I830-8)))</x:f>
      </x:c>
      <x:c r="I830" t="str">
        <x:f>IF(822&gt;$H$4,"",MATCH(822,'Fleet dates'!$J$9:$J$1008,0)+8)</x:f>
      </x:c>
    </x:row>
    <x:row r="831" ht="36" customHeight="1">
      <x:c r="A831" s="50" t="str">
        <x:f>IF(823&gt;$H$4,"",IF(INDEX('Fleet dates'!$A$9:$A$1008,$I831-8)="","",INDEX('Fleet dates'!$A$9:$A$1008,$I831-8)))</x:f>
      </x:c>
      <x:c r="B831" s="50" t="str">
        <x:f>IF(823&gt;$H$4,"",IF(INDEX('Fleet dates'!$B$9:$B$1008,$I831-8)="","",INDEX('Fleet dates'!$B$9:$B$1008,$I831-8)))</x:f>
      </x:c>
      <x:c r="C831" s="51" t="str">
        <x:f>IF(823&gt;$H$4,"",IF(INDEX('Fleet dates'!$C$9:$C$1008,$I831-8)="","",INDEX('Fleet dates'!$C$9:$C$1008,$I831-8)))</x:f>
      </x:c>
      <x:c r="D831" s="51" t="str">
        <x:f>IF(823&gt;$H$4,"",IF(INDEX('Fleet dates'!$D$9:$D$1008,$I831-8)="","",INDEX('Fleet dates'!$D$9:$D$1008,$I831-8)))</x:f>
      </x:c>
      <x:c r="E831" s="51" t="str">
        <x:f>IF(823&gt;$H$4,"",IF(INDEX('Fleet dates'!$E$9:$E$1008,$I831-8)="","",INDEX('Fleet dates'!$E$9:$E$1008,$I831-8)))</x:f>
      </x:c>
      <x:c r="F831" s="51" t="str">
        <x:f>IF(823&gt;$H$4,"",IF(INDEX('Fleet dates'!$F$9:$F$1008,$I831-8)="","",INDEX('Fleet dates'!$F$9:$F$1008,$I831-8)))</x:f>
      </x:c>
      <x:c r="G831" s="50" t="str">
        <x:f>IF(823&gt;$H$4,"",IF(INDEX('Fleet dates'!$G$9:$G$1008,$I831-8)="","",INDEX('Fleet dates'!$G$9:$G$1008,$I831-8)))</x:f>
      </x:c>
      <x:c r="H831" s="50" t="str">
        <x:f>IF(823&gt;$H$4,"",IF(INDEX('Fleet dates'!$I$9:$I$1008,$I831-8)="","",INDEX('Fleet dates'!$I$9:$I$1008,$I831-8)))</x:f>
      </x:c>
      <x:c r="I831" t="str">
        <x:f>IF(823&gt;$H$4,"",MATCH(823,'Fleet dates'!$J$9:$J$1008,0)+8)</x:f>
      </x:c>
    </x:row>
    <x:row r="832" ht="36" customHeight="1">
      <x:c r="A832" s="50" t="str">
        <x:f>IF(824&gt;$H$4,"",IF(INDEX('Fleet dates'!$A$9:$A$1008,$I832-8)="","",INDEX('Fleet dates'!$A$9:$A$1008,$I832-8)))</x:f>
      </x:c>
      <x:c r="B832" s="50" t="str">
        <x:f>IF(824&gt;$H$4,"",IF(INDEX('Fleet dates'!$B$9:$B$1008,$I832-8)="","",INDEX('Fleet dates'!$B$9:$B$1008,$I832-8)))</x:f>
      </x:c>
      <x:c r="C832" s="51" t="str">
        <x:f>IF(824&gt;$H$4,"",IF(INDEX('Fleet dates'!$C$9:$C$1008,$I832-8)="","",INDEX('Fleet dates'!$C$9:$C$1008,$I832-8)))</x:f>
      </x:c>
      <x:c r="D832" s="51" t="str">
        <x:f>IF(824&gt;$H$4,"",IF(INDEX('Fleet dates'!$D$9:$D$1008,$I832-8)="","",INDEX('Fleet dates'!$D$9:$D$1008,$I832-8)))</x:f>
      </x:c>
      <x:c r="E832" s="51" t="str">
        <x:f>IF(824&gt;$H$4,"",IF(INDEX('Fleet dates'!$E$9:$E$1008,$I832-8)="","",INDEX('Fleet dates'!$E$9:$E$1008,$I832-8)))</x:f>
      </x:c>
      <x:c r="F832" s="51" t="str">
        <x:f>IF(824&gt;$H$4,"",IF(INDEX('Fleet dates'!$F$9:$F$1008,$I832-8)="","",INDEX('Fleet dates'!$F$9:$F$1008,$I832-8)))</x:f>
      </x:c>
      <x:c r="G832" s="50" t="str">
        <x:f>IF(824&gt;$H$4,"",IF(INDEX('Fleet dates'!$G$9:$G$1008,$I832-8)="","",INDEX('Fleet dates'!$G$9:$G$1008,$I832-8)))</x:f>
      </x:c>
      <x:c r="H832" s="50" t="str">
        <x:f>IF(824&gt;$H$4,"",IF(INDEX('Fleet dates'!$I$9:$I$1008,$I832-8)="","",INDEX('Fleet dates'!$I$9:$I$1008,$I832-8)))</x:f>
      </x:c>
      <x:c r="I832" t="str">
        <x:f>IF(824&gt;$H$4,"",MATCH(824,'Fleet dates'!$J$9:$J$1008,0)+8)</x:f>
      </x:c>
    </x:row>
    <x:row r="833" ht="36" customHeight="1">
      <x:c r="A833" s="50" t="str">
        <x:f>IF(825&gt;$H$4,"",IF(INDEX('Fleet dates'!$A$9:$A$1008,$I833-8)="","",INDEX('Fleet dates'!$A$9:$A$1008,$I833-8)))</x:f>
      </x:c>
      <x:c r="B833" s="50" t="str">
        <x:f>IF(825&gt;$H$4,"",IF(INDEX('Fleet dates'!$B$9:$B$1008,$I833-8)="","",INDEX('Fleet dates'!$B$9:$B$1008,$I833-8)))</x:f>
      </x:c>
      <x:c r="C833" s="51" t="str">
        <x:f>IF(825&gt;$H$4,"",IF(INDEX('Fleet dates'!$C$9:$C$1008,$I833-8)="","",INDEX('Fleet dates'!$C$9:$C$1008,$I833-8)))</x:f>
      </x:c>
      <x:c r="D833" s="51" t="str">
        <x:f>IF(825&gt;$H$4,"",IF(INDEX('Fleet dates'!$D$9:$D$1008,$I833-8)="","",INDEX('Fleet dates'!$D$9:$D$1008,$I833-8)))</x:f>
      </x:c>
      <x:c r="E833" s="51" t="str">
        <x:f>IF(825&gt;$H$4,"",IF(INDEX('Fleet dates'!$E$9:$E$1008,$I833-8)="","",INDEX('Fleet dates'!$E$9:$E$1008,$I833-8)))</x:f>
      </x:c>
      <x:c r="F833" s="51" t="str">
        <x:f>IF(825&gt;$H$4,"",IF(INDEX('Fleet dates'!$F$9:$F$1008,$I833-8)="","",INDEX('Fleet dates'!$F$9:$F$1008,$I833-8)))</x:f>
      </x:c>
      <x:c r="G833" s="50" t="str">
        <x:f>IF(825&gt;$H$4,"",IF(INDEX('Fleet dates'!$G$9:$G$1008,$I833-8)="","",INDEX('Fleet dates'!$G$9:$G$1008,$I833-8)))</x:f>
      </x:c>
      <x:c r="H833" s="50" t="str">
        <x:f>IF(825&gt;$H$4,"",IF(INDEX('Fleet dates'!$I$9:$I$1008,$I833-8)="","",INDEX('Fleet dates'!$I$9:$I$1008,$I833-8)))</x:f>
      </x:c>
      <x:c r="I833" t="str">
        <x:f>IF(825&gt;$H$4,"",MATCH(825,'Fleet dates'!$J$9:$J$1008,0)+8)</x:f>
      </x:c>
    </x:row>
    <x:row r="834" ht="36" customHeight="1">
      <x:c r="A834" s="50" t="str">
        <x:f>IF(826&gt;$H$4,"",IF(INDEX('Fleet dates'!$A$9:$A$1008,$I834-8)="","",INDEX('Fleet dates'!$A$9:$A$1008,$I834-8)))</x:f>
      </x:c>
      <x:c r="B834" s="50" t="str">
        <x:f>IF(826&gt;$H$4,"",IF(INDEX('Fleet dates'!$B$9:$B$1008,$I834-8)="","",INDEX('Fleet dates'!$B$9:$B$1008,$I834-8)))</x:f>
      </x:c>
      <x:c r="C834" s="51" t="str">
        <x:f>IF(826&gt;$H$4,"",IF(INDEX('Fleet dates'!$C$9:$C$1008,$I834-8)="","",INDEX('Fleet dates'!$C$9:$C$1008,$I834-8)))</x:f>
      </x:c>
      <x:c r="D834" s="51" t="str">
        <x:f>IF(826&gt;$H$4,"",IF(INDEX('Fleet dates'!$D$9:$D$1008,$I834-8)="","",INDEX('Fleet dates'!$D$9:$D$1008,$I834-8)))</x:f>
      </x:c>
      <x:c r="E834" s="51" t="str">
        <x:f>IF(826&gt;$H$4,"",IF(INDEX('Fleet dates'!$E$9:$E$1008,$I834-8)="","",INDEX('Fleet dates'!$E$9:$E$1008,$I834-8)))</x:f>
      </x:c>
      <x:c r="F834" s="51" t="str">
        <x:f>IF(826&gt;$H$4,"",IF(INDEX('Fleet dates'!$F$9:$F$1008,$I834-8)="","",INDEX('Fleet dates'!$F$9:$F$1008,$I834-8)))</x:f>
      </x:c>
      <x:c r="G834" s="50" t="str">
        <x:f>IF(826&gt;$H$4,"",IF(INDEX('Fleet dates'!$G$9:$G$1008,$I834-8)="","",INDEX('Fleet dates'!$G$9:$G$1008,$I834-8)))</x:f>
      </x:c>
      <x:c r="H834" s="50" t="str">
        <x:f>IF(826&gt;$H$4,"",IF(INDEX('Fleet dates'!$I$9:$I$1008,$I834-8)="","",INDEX('Fleet dates'!$I$9:$I$1008,$I834-8)))</x:f>
      </x:c>
      <x:c r="I834" t="str">
        <x:f>IF(826&gt;$H$4,"",MATCH(826,'Fleet dates'!$J$9:$J$1008,0)+8)</x:f>
      </x:c>
    </x:row>
    <x:row r="835" ht="36" customHeight="1">
      <x:c r="A835" s="50" t="str">
        <x:f>IF(827&gt;$H$4,"",IF(INDEX('Fleet dates'!$A$9:$A$1008,$I835-8)="","",INDEX('Fleet dates'!$A$9:$A$1008,$I835-8)))</x:f>
      </x:c>
      <x:c r="B835" s="50" t="str">
        <x:f>IF(827&gt;$H$4,"",IF(INDEX('Fleet dates'!$B$9:$B$1008,$I835-8)="","",INDEX('Fleet dates'!$B$9:$B$1008,$I835-8)))</x:f>
      </x:c>
      <x:c r="C835" s="51" t="str">
        <x:f>IF(827&gt;$H$4,"",IF(INDEX('Fleet dates'!$C$9:$C$1008,$I835-8)="","",INDEX('Fleet dates'!$C$9:$C$1008,$I835-8)))</x:f>
      </x:c>
      <x:c r="D835" s="51" t="str">
        <x:f>IF(827&gt;$H$4,"",IF(INDEX('Fleet dates'!$D$9:$D$1008,$I835-8)="","",INDEX('Fleet dates'!$D$9:$D$1008,$I835-8)))</x:f>
      </x:c>
      <x:c r="E835" s="51" t="str">
        <x:f>IF(827&gt;$H$4,"",IF(INDEX('Fleet dates'!$E$9:$E$1008,$I835-8)="","",INDEX('Fleet dates'!$E$9:$E$1008,$I835-8)))</x:f>
      </x:c>
      <x:c r="F835" s="51" t="str">
        <x:f>IF(827&gt;$H$4,"",IF(INDEX('Fleet dates'!$F$9:$F$1008,$I835-8)="","",INDEX('Fleet dates'!$F$9:$F$1008,$I835-8)))</x:f>
      </x:c>
      <x:c r="G835" s="50" t="str">
        <x:f>IF(827&gt;$H$4,"",IF(INDEX('Fleet dates'!$G$9:$G$1008,$I835-8)="","",INDEX('Fleet dates'!$G$9:$G$1008,$I835-8)))</x:f>
      </x:c>
      <x:c r="H835" s="50" t="str">
        <x:f>IF(827&gt;$H$4,"",IF(INDEX('Fleet dates'!$I$9:$I$1008,$I835-8)="","",INDEX('Fleet dates'!$I$9:$I$1008,$I835-8)))</x:f>
      </x:c>
      <x:c r="I835" t="str">
        <x:f>IF(827&gt;$H$4,"",MATCH(827,'Fleet dates'!$J$9:$J$1008,0)+8)</x:f>
      </x:c>
    </x:row>
    <x:row r="836" ht="36" customHeight="1">
      <x:c r="A836" s="50" t="str">
        <x:f>IF(828&gt;$H$4,"",IF(INDEX('Fleet dates'!$A$9:$A$1008,$I836-8)="","",INDEX('Fleet dates'!$A$9:$A$1008,$I836-8)))</x:f>
      </x:c>
      <x:c r="B836" s="50" t="str">
        <x:f>IF(828&gt;$H$4,"",IF(INDEX('Fleet dates'!$B$9:$B$1008,$I836-8)="","",INDEX('Fleet dates'!$B$9:$B$1008,$I836-8)))</x:f>
      </x:c>
      <x:c r="C836" s="51" t="str">
        <x:f>IF(828&gt;$H$4,"",IF(INDEX('Fleet dates'!$C$9:$C$1008,$I836-8)="","",INDEX('Fleet dates'!$C$9:$C$1008,$I836-8)))</x:f>
      </x:c>
      <x:c r="D836" s="51" t="str">
        <x:f>IF(828&gt;$H$4,"",IF(INDEX('Fleet dates'!$D$9:$D$1008,$I836-8)="","",INDEX('Fleet dates'!$D$9:$D$1008,$I836-8)))</x:f>
      </x:c>
      <x:c r="E836" s="51" t="str">
        <x:f>IF(828&gt;$H$4,"",IF(INDEX('Fleet dates'!$E$9:$E$1008,$I836-8)="","",INDEX('Fleet dates'!$E$9:$E$1008,$I836-8)))</x:f>
      </x:c>
      <x:c r="F836" s="51" t="str">
        <x:f>IF(828&gt;$H$4,"",IF(INDEX('Fleet dates'!$F$9:$F$1008,$I836-8)="","",INDEX('Fleet dates'!$F$9:$F$1008,$I836-8)))</x:f>
      </x:c>
      <x:c r="G836" s="50" t="str">
        <x:f>IF(828&gt;$H$4,"",IF(INDEX('Fleet dates'!$G$9:$G$1008,$I836-8)="","",INDEX('Fleet dates'!$G$9:$G$1008,$I836-8)))</x:f>
      </x:c>
      <x:c r="H836" s="50" t="str">
        <x:f>IF(828&gt;$H$4,"",IF(INDEX('Fleet dates'!$I$9:$I$1008,$I836-8)="","",INDEX('Fleet dates'!$I$9:$I$1008,$I836-8)))</x:f>
      </x:c>
      <x:c r="I836" t="str">
        <x:f>IF(828&gt;$H$4,"",MATCH(828,'Fleet dates'!$J$9:$J$1008,0)+8)</x:f>
      </x:c>
    </x:row>
    <x:row r="837" ht="36" customHeight="1">
      <x:c r="A837" s="50" t="str">
        <x:f>IF(829&gt;$H$4,"",IF(INDEX('Fleet dates'!$A$9:$A$1008,$I837-8)="","",INDEX('Fleet dates'!$A$9:$A$1008,$I837-8)))</x:f>
      </x:c>
      <x:c r="B837" s="50" t="str">
        <x:f>IF(829&gt;$H$4,"",IF(INDEX('Fleet dates'!$B$9:$B$1008,$I837-8)="","",INDEX('Fleet dates'!$B$9:$B$1008,$I837-8)))</x:f>
      </x:c>
      <x:c r="C837" s="51" t="str">
        <x:f>IF(829&gt;$H$4,"",IF(INDEX('Fleet dates'!$C$9:$C$1008,$I837-8)="","",INDEX('Fleet dates'!$C$9:$C$1008,$I837-8)))</x:f>
      </x:c>
      <x:c r="D837" s="51" t="str">
        <x:f>IF(829&gt;$H$4,"",IF(INDEX('Fleet dates'!$D$9:$D$1008,$I837-8)="","",INDEX('Fleet dates'!$D$9:$D$1008,$I837-8)))</x:f>
      </x:c>
      <x:c r="E837" s="51" t="str">
        <x:f>IF(829&gt;$H$4,"",IF(INDEX('Fleet dates'!$E$9:$E$1008,$I837-8)="","",INDEX('Fleet dates'!$E$9:$E$1008,$I837-8)))</x:f>
      </x:c>
      <x:c r="F837" s="51" t="str">
        <x:f>IF(829&gt;$H$4,"",IF(INDEX('Fleet dates'!$F$9:$F$1008,$I837-8)="","",INDEX('Fleet dates'!$F$9:$F$1008,$I837-8)))</x:f>
      </x:c>
      <x:c r="G837" s="50" t="str">
        <x:f>IF(829&gt;$H$4,"",IF(INDEX('Fleet dates'!$G$9:$G$1008,$I837-8)="","",INDEX('Fleet dates'!$G$9:$G$1008,$I837-8)))</x:f>
      </x:c>
      <x:c r="H837" s="50" t="str">
        <x:f>IF(829&gt;$H$4,"",IF(INDEX('Fleet dates'!$I$9:$I$1008,$I837-8)="","",INDEX('Fleet dates'!$I$9:$I$1008,$I837-8)))</x:f>
      </x:c>
      <x:c r="I837" t="str">
        <x:f>IF(829&gt;$H$4,"",MATCH(829,'Fleet dates'!$J$9:$J$1008,0)+8)</x:f>
      </x:c>
    </x:row>
    <x:row r="838" ht="36" customHeight="1">
      <x:c r="A838" s="50" t="str">
        <x:f>IF(830&gt;$H$4,"",IF(INDEX('Fleet dates'!$A$9:$A$1008,$I838-8)="","",INDEX('Fleet dates'!$A$9:$A$1008,$I838-8)))</x:f>
      </x:c>
      <x:c r="B838" s="50" t="str">
        <x:f>IF(830&gt;$H$4,"",IF(INDEX('Fleet dates'!$B$9:$B$1008,$I838-8)="","",INDEX('Fleet dates'!$B$9:$B$1008,$I838-8)))</x:f>
      </x:c>
      <x:c r="C838" s="51" t="str">
        <x:f>IF(830&gt;$H$4,"",IF(INDEX('Fleet dates'!$C$9:$C$1008,$I838-8)="","",INDEX('Fleet dates'!$C$9:$C$1008,$I838-8)))</x:f>
      </x:c>
      <x:c r="D838" s="51" t="str">
        <x:f>IF(830&gt;$H$4,"",IF(INDEX('Fleet dates'!$D$9:$D$1008,$I838-8)="","",INDEX('Fleet dates'!$D$9:$D$1008,$I838-8)))</x:f>
      </x:c>
      <x:c r="E838" s="51" t="str">
        <x:f>IF(830&gt;$H$4,"",IF(INDEX('Fleet dates'!$E$9:$E$1008,$I838-8)="","",INDEX('Fleet dates'!$E$9:$E$1008,$I838-8)))</x:f>
      </x:c>
      <x:c r="F838" s="51" t="str">
        <x:f>IF(830&gt;$H$4,"",IF(INDEX('Fleet dates'!$F$9:$F$1008,$I838-8)="","",INDEX('Fleet dates'!$F$9:$F$1008,$I838-8)))</x:f>
      </x:c>
      <x:c r="G838" s="50" t="str">
        <x:f>IF(830&gt;$H$4,"",IF(INDEX('Fleet dates'!$G$9:$G$1008,$I838-8)="","",INDEX('Fleet dates'!$G$9:$G$1008,$I838-8)))</x:f>
      </x:c>
      <x:c r="H838" s="50" t="str">
        <x:f>IF(830&gt;$H$4,"",IF(INDEX('Fleet dates'!$I$9:$I$1008,$I838-8)="","",INDEX('Fleet dates'!$I$9:$I$1008,$I838-8)))</x:f>
      </x:c>
      <x:c r="I838" t="str">
        <x:f>IF(830&gt;$H$4,"",MATCH(830,'Fleet dates'!$J$9:$J$1008,0)+8)</x:f>
      </x:c>
    </x:row>
    <x:row r="839" ht="36" customHeight="1">
      <x:c r="A839" s="50" t="str">
        <x:f>IF(831&gt;$H$4,"",IF(INDEX('Fleet dates'!$A$9:$A$1008,$I839-8)="","",INDEX('Fleet dates'!$A$9:$A$1008,$I839-8)))</x:f>
      </x:c>
      <x:c r="B839" s="50" t="str">
        <x:f>IF(831&gt;$H$4,"",IF(INDEX('Fleet dates'!$B$9:$B$1008,$I839-8)="","",INDEX('Fleet dates'!$B$9:$B$1008,$I839-8)))</x:f>
      </x:c>
      <x:c r="C839" s="51" t="str">
        <x:f>IF(831&gt;$H$4,"",IF(INDEX('Fleet dates'!$C$9:$C$1008,$I839-8)="","",INDEX('Fleet dates'!$C$9:$C$1008,$I839-8)))</x:f>
      </x:c>
      <x:c r="D839" s="51" t="str">
        <x:f>IF(831&gt;$H$4,"",IF(INDEX('Fleet dates'!$D$9:$D$1008,$I839-8)="","",INDEX('Fleet dates'!$D$9:$D$1008,$I839-8)))</x:f>
      </x:c>
      <x:c r="E839" s="51" t="str">
        <x:f>IF(831&gt;$H$4,"",IF(INDEX('Fleet dates'!$E$9:$E$1008,$I839-8)="","",INDEX('Fleet dates'!$E$9:$E$1008,$I839-8)))</x:f>
      </x:c>
      <x:c r="F839" s="51" t="str">
        <x:f>IF(831&gt;$H$4,"",IF(INDEX('Fleet dates'!$F$9:$F$1008,$I839-8)="","",INDEX('Fleet dates'!$F$9:$F$1008,$I839-8)))</x:f>
      </x:c>
      <x:c r="G839" s="50" t="str">
        <x:f>IF(831&gt;$H$4,"",IF(INDEX('Fleet dates'!$G$9:$G$1008,$I839-8)="","",INDEX('Fleet dates'!$G$9:$G$1008,$I839-8)))</x:f>
      </x:c>
      <x:c r="H839" s="50" t="str">
        <x:f>IF(831&gt;$H$4,"",IF(INDEX('Fleet dates'!$I$9:$I$1008,$I839-8)="","",INDEX('Fleet dates'!$I$9:$I$1008,$I839-8)))</x:f>
      </x:c>
      <x:c r="I839" t="str">
        <x:f>IF(831&gt;$H$4,"",MATCH(831,'Fleet dates'!$J$9:$J$1008,0)+8)</x:f>
      </x:c>
    </x:row>
    <x:row r="840" ht="36" customHeight="1">
      <x:c r="A840" s="50" t="str">
        <x:f>IF(832&gt;$H$4,"",IF(INDEX('Fleet dates'!$A$9:$A$1008,$I840-8)="","",INDEX('Fleet dates'!$A$9:$A$1008,$I840-8)))</x:f>
      </x:c>
      <x:c r="B840" s="50" t="str">
        <x:f>IF(832&gt;$H$4,"",IF(INDEX('Fleet dates'!$B$9:$B$1008,$I840-8)="","",INDEX('Fleet dates'!$B$9:$B$1008,$I840-8)))</x:f>
      </x:c>
      <x:c r="C840" s="51" t="str">
        <x:f>IF(832&gt;$H$4,"",IF(INDEX('Fleet dates'!$C$9:$C$1008,$I840-8)="","",INDEX('Fleet dates'!$C$9:$C$1008,$I840-8)))</x:f>
      </x:c>
      <x:c r="D840" s="51" t="str">
        <x:f>IF(832&gt;$H$4,"",IF(INDEX('Fleet dates'!$D$9:$D$1008,$I840-8)="","",INDEX('Fleet dates'!$D$9:$D$1008,$I840-8)))</x:f>
      </x:c>
      <x:c r="E840" s="51" t="str">
        <x:f>IF(832&gt;$H$4,"",IF(INDEX('Fleet dates'!$E$9:$E$1008,$I840-8)="","",INDEX('Fleet dates'!$E$9:$E$1008,$I840-8)))</x:f>
      </x:c>
      <x:c r="F840" s="51" t="str">
        <x:f>IF(832&gt;$H$4,"",IF(INDEX('Fleet dates'!$F$9:$F$1008,$I840-8)="","",INDEX('Fleet dates'!$F$9:$F$1008,$I840-8)))</x:f>
      </x:c>
      <x:c r="G840" s="50" t="str">
        <x:f>IF(832&gt;$H$4,"",IF(INDEX('Fleet dates'!$G$9:$G$1008,$I840-8)="","",INDEX('Fleet dates'!$G$9:$G$1008,$I840-8)))</x:f>
      </x:c>
      <x:c r="H840" s="50" t="str">
        <x:f>IF(832&gt;$H$4,"",IF(INDEX('Fleet dates'!$I$9:$I$1008,$I840-8)="","",INDEX('Fleet dates'!$I$9:$I$1008,$I840-8)))</x:f>
      </x:c>
      <x:c r="I840" t="str">
        <x:f>IF(832&gt;$H$4,"",MATCH(832,'Fleet dates'!$J$9:$J$1008,0)+8)</x:f>
      </x:c>
    </x:row>
    <x:row r="841" ht="36" customHeight="1">
      <x:c r="A841" s="50" t="str">
        <x:f>IF(833&gt;$H$4,"",IF(INDEX('Fleet dates'!$A$9:$A$1008,$I841-8)="","",INDEX('Fleet dates'!$A$9:$A$1008,$I841-8)))</x:f>
      </x:c>
      <x:c r="B841" s="50" t="str">
        <x:f>IF(833&gt;$H$4,"",IF(INDEX('Fleet dates'!$B$9:$B$1008,$I841-8)="","",INDEX('Fleet dates'!$B$9:$B$1008,$I841-8)))</x:f>
      </x:c>
      <x:c r="C841" s="51" t="str">
        <x:f>IF(833&gt;$H$4,"",IF(INDEX('Fleet dates'!$C$9:$C$1008,$I841-8)="","",INDEX('Fleet dates'!$C$9:$C$1008,$I841-8)))</x:f>
      </x:c>
      <x:c r="D841" s="51" t="str">
        <x:f>IF(833&gt;$H$4,"",IF(INDEX('Fleet dates'!$D$9:$D$1008,$I841-8)="","",INDEX('Fleet dates'!$D$9:$D$1008,$I841-8)))</x:f>
      </x:c>
      <x:c r="E841" s="51" t="str">
        <x:f>IF(833&gt;$H$4,"",IF(INDEX('Fleet dates'!$E$9:$E$1008,$I841-8)="","",INDEX('Fleet dates'!$E$9:$E$1008,$I841-8)))</x:f>
      </x:c>
      <x:c r="F841" s="51" t="str">
        <x:f>IF(833&gt;$H$4,"",IF(INDEX('Fleet dates'!$F$9:$F$1008,$I841-8)="","",INDEX('Fleet dates'!$F$9:$F$1008,$I841-8)))</x:f>
      </x:c>
      <x:c r="G841" s="50" t="str">
        <x:f>IF(833&gt;$H$4,"",IF(INDEX('Fleet dates'!$G$9:$G$1008,$I841-8)="","",INDEX('Fleet dates'!$G$9:$G$1008,$I841-8)))</x:f>
      </x:c>
      <x:c r="H841" s="50" t="str">
        <x:f>IF(833&gt;$H$4,"",IF(INDEX('Fleet dates'!$I$9:$I$1008,$I841-8)="","",INDEX('Fleet dates'!$I$9:$I$1008,$I841-8)))</x:f>
      </x:c>
      <x:c r="I841" t="str">
        <x:f>IF(833&gt;$H$4,"",MATCH(833,'Fleet dates'!$J$9:$J$1008,0)+8)</x:f>
      </x:c>
    </x:row>
    <x:row r="842" ht="36" customHeight="1">
      <x:c r="A842" s="50" t="str">
        <x:f>IF(834&gt;$H$4,"",IF(INDEX('Fleet dates'!$A$9:$A$1008,$I842-8)="","",INDEX('Fleet dates'!$A$9:$A$1008,$I842-8)))</x:f>
      </x:c>
      <x:c r="B842" s="50" t="str">
        <x:f>IF(834&gt;$H$4,"",IF(INDEX('Fleet dates'!$B$9:$B$1008,$I842-8)="","",INDEX('Fleet dates'!$B$9:$B$1008,$I842-8)))</x:f>
      </x:c>
      <x:c r="C842" s="51" t="str">
        <x:f>IF(834&gt;$H$4,"",IF(INDEX('Fleet dates'!$C$9:$C$1008,$I842-8)="","",INDEX('Fleet dates'!$C$9:$C$1008,$I842-8)))</x:f>
      </x:c>
      <x:c r="D842" s="51" t="str">
        <x:f>IF(834&gt;$H$4,"",IF(INDEX('Fleet dates'!$D$9:$D$1008,$I842-8)="","",INDEX('Fleet dates'!$D$9:$D$1008,$I842-8)))</x:f>
      </x:c>
      <x:c r="E842" s="51" t="str">
        <x:f>IF(834&gt;$H$4,"",IF(INDEX('Fleet dates'!$E$9:$E$1008,$I842-8)="","",INDEX('Fleet dates'!$E$9:$E$1008,$I842-8)))</x:f>
      </x:c>
      <x:c r="F842" s="51" t="str">
        <x:f>IF(834&gt;$H$4,"",IF(INDEX('Fleet dates'!$F$9:$F$1008,$I842-8)="","",INDEX('Fleet dates'!$F$9:$F$1008,$I842-8)))</x:f>
      </x:c>
      <x:c r="G842" s="50" t="str">
        <x:f>IF(834&gt;$H$4,"",IF(INDEX('Fleet dates'!$G$9:$G$1008,$I842-8)="","",INDEX('Fleet dates'!$G$9:$G$1008,$I842-8)))</x:f>
      </x:c>
      <x:c r="H842" s="50" t="str">
        <x:f>IF(834&gt;$H$4,"",IF(INDEX('Fleet dates'!$I$9:$I$1008,$I842-8)="","",INDEX('Fleet dates'!$I$9:$I$1008,$I842-8)))</x:f>
      </x:c>
      <x:c r="I842" t="str">
        <x:f>IF(834&gt;$H$4,"",MATCH(834,'Fleet dates'!$J$9:$J$1008,0)+8)</x:f>
      </x:c>
    </x:row>
    <x:row r="843" ht="36" customHeight="1">
      <x:c r="A843" s="50" t="str">
        <x:f>IF(835&gt;$H$4,"",IF(INDEX('Fleet dates'!$A$9:$A$1008,$I843-8)="","",INDEX('Fleet dates'!$A$9:$A$1008,$I843-8)))</x:f>
      </x:c>
      <x:c r="B843" s="50" t="str">
        <x:f>IF(835&gt;$H$4,"",IF(INDEX('Fleet dates'!$B$9:$B$1008,$I843-8)="","",INDEX('Fleet dates'!$B$9:$B$1008,$I843-8)))</x:f>
      </x:c>
      <x:c r="C843" s="51" t="str">
        <x:f>IF(835&gt;$H$4,"",IF(INDEX('Fleet dates'!$C$9:$C$1008,$I843-8)="","",INDEX('Fleet dates'!$C$9:$C$1008,$I843-8)))</x:f>
      </x:c>
      <x:c r="D843" s="51" t="str">
        <x:f>IF(835&gt;$H$4,"",IF(INDEX('Fleet dates'!$D$9:$D$1008,$I843-8)="","",INDEX('Fleet dates'!$D$9:$D$1008,$I843-8)))</x:f>
      </x:c>
      <x:c r="E843" s="51" t="str">
        <x:f>IF(835&gt;$H$4,"",IF(INDEX('Fleet dates'!$E$9:$E$1008,$I843-8)="","",INDEX('Fleet dates'!$E$9:$E$1008,$I843-8)))</x:f>
      </x:c>
      <x:c r="F843" s="51" t="str">
        <x:f>IF(835&gt;$H$4,"",IF(INDEX('Fleet dates'!$F$9:$F$1008,$I843-8)="","",INDEX('Fleet dates'!$F$9:$F$1008,$I843-8)))</x:f>
      </x:c>
      <x:c r="G843" s="50" t="str">
        <x:f>IF(835&gt;$H$4,"",IF(INDEX('Fleet dates'!$G$9:$G$1008,$I843-8)="","",INDEX('Fleet dates'!$G$9:$G$1008,$I843-8)))</x:f>
      </x:c>
      <x:c r="H843" s="50" t="str">
        <x:f>IF(835&gt;$H$4,"",IF(INDEX('Fleet dates'!$I$9:$I$1008,$I843-8)="","",INDEX('Fleet dates'!$I$9:$I$1008,$I843-8)))</x:f>
      </x:c>
      <x:c r="I843" t="str">
        <x:f>IF(835&gt;$H$4,"",MATCH(835,'Fleet dates'!$J$9:$J$1008,0)+8)</x:f>
      </x:c>
    </x:row>
    <x:row r="844" ht="36" customHeight="1">
      <x:c r="A844" s="50" t="str">
        <x:f>IF(836&gt;$H$4,"",IF(INDEX('Fleet dates'!$A$9:$A$1008,$I844-8)="","",INDEX('Fleet dates'!$A$9:$A$1008,$I844-8)))</x:f>
      </x:c>
      <x:c r="B844" s="50" t="str">
        <x:f>IF(836&gt;$H$4,"",IF(INDEX('Fleet dates'!$B$9:$B$1008,$I844-8)="","",INDEX('Fleet dates'!$B$9:$B$1008,$I844-8)))</x:f>
      </x:c>
      <x:c r="C844" s="51" t="str">
        <x:f>IF(836&gt;$H$4,"",IF(INDEX('Fleet dates'!$C$9:$C$1008,$I844-8)="","",INDEX('Fleet dates'!$C$9:$C$1008,$I844-8)))</x:f>
      </x:c>
      <x:c r="D844" s="51" t="str">
        <x:f>IF(836&gt;$H$4,"",IF(INDEX('Fleet dates'!$D$9:$D$1008,$I844-8)="","",INDEX('Fleet dates'!$D$9:$D$1008,$I844-8)))</x:f>
      </x:c>
      <x:c r="E844" s="51" t="str">
        <x:f>IF(836&gt;$H$4,"",IF(INDEX('Fleet dates'!$E$9:$E$1008,$I844-8)="","",INDEX('Fleet dates'!$E$9:$E$1008,$I844-8)))</x:f>
      </x:c>
      <x:c r="F844" s="51" t="str">
        <x:f>IF(836&gt;$H$4,"",IF(INDEX('Fleet dates'!$F$9:$F$1008,$I844-8)="","",INDEX('Fleet dates'!$F$9:$F$1008,$I844-8)))</x:f>
      </x:c>
      <x:c r="G844" s="50" t="str">
        <x:f>IF(836&gt;$H$4,"",IF(INDEX('Fleet dates'!$G$9:$G$1008,$I844-8)="","",INDEX('Fleet dates'!$G$9:$G$1008,$I844-8)))</x:f>
      </x:c>
      <x:c r="H844" s="50" t="str">
        <x:f>IF(836&gt;$H$4,"",IF(INDEX('Fleet dates'!$I$9:$I$1008,$I844-8)="","",INDEX('Fleet dates'!$I$9:$I$1008,$I844-8)))</x:f>
      </x:c>
      <x:c r="I844" t="str">
        <x:f>IF(836&gt;$H$4,"",MATCH(836,'Fleet dates'!$J$9:$J$1008,0)+8)</x:f>
      </x:c>
    </x:row>
    <x:row r="845" ht="36" customHeight="1">
      <x:c r="A845" s="50" t="str">
        <x:f>IF(837&gt;$H$4,"",IF(INDEX('Fleet dates'!$A$9:$A$1008,$I845-8)="","",INDEX('Fleet dates'!$A$9:$A$1008,$I845-8)))</x:f>
      </x:c>
      <x:c r="B845" s="50" t="str">
        <x:f>IF(837&gt;$H$4,"",IF(INDEX('Fleet dates'!$B$9:$B$1008,$I845-8)="","",INDEX('Fleet dates'!$B$9:$B$1008,$I845-8)))</x:f>
      </x:c>
      <x:c r="C845" s="51" t="str">
        <x:f>IF(837&gt;$H$4,"",IF(INDEX('Fleet dates'!$C$9:$C$1008,$I845-8)="","",INDEX('Fleet dates'!$C$9:$C$1008,$I845-8)))</x:f>
      </x:c>
      <x:c r="D845" s="51" t="str">
        <x:f>IF(837&gt;$H$4,"",IF(INDEX('Fleet dates'!$D$9:$D$1008,$I845-8)="","",INDEX('Fleet dates'!$D$9:$D$1008,$I845-8)))</x:f>
      </x:c>
      <x:c r="E845" s="51" t="str">
        <x:f>IF(837&gt;$H$4,"",IF(INDEX('Fleet dates'!$E$9:$E$1008,$I845-8)="","",INDEX('Fleet dates'!$E$9:$E$1008,$I845-8)))</x:f>
      </x:c>
      <x:c r="F845" s="51" t="str">
        <x:f>IF(837&gt;$H$4,"",IF(INDEX('Fleet dates'!$F$9:$F$1008,$I845-8)="","",INDEX('Fleet dates'!$F$9:$F$1008,$I845-8)))</x:f>
      </x:c>
      <x:c r="G845" s="50" t="str">
        <x:f>IF(837&gt;$H$4,"",IF(INDEX('Fleet dates'!$G$9:$G$1008,$I845-8)="","",INDEX('Fleet dates'!$G$9:$G$1008,$I845-8)))</x:f>
      </x:c>
      <x:c r="H845" s="50" t="str">
        <x:f>IF(837&gt;$H$4,"",IF(INDEX('Fleet dates'!$I$9:$I$1008,$I845-8)="","",INDEX('Fleet dates'!$I$9:$I$1008,$I845-8)))</x:f>
      </x:c>
      <x:c r="I845" t="str">
        <x:f>IF(837&gt;$H$4,"",MATCH(837,'Fleet dates'!$J$9:$J$1008,0)+8)</x:f>
      </x:c>
    </x:row>
    <x:row r="846" ht="36" customHeight="1">
      <x:c r="A846" s="50" t="str">
        <x:f>IF(838&gt;$H$4,"",IF(INDEX('Fleet dates'!$A$9:$A$1008,$I846-8)="","",INDEX('Fleet dates'!$A$9:$A$1008,$I846-8)))</x:f>
      </x:c>
      <x:c r="B846" s="50" t="str">
        <x:f>IF(838&gt;$H$4,"",IF(INDEX('Fleet dates'!$B$9:$B$1008,$I846-8)="","",INDEX('Fleet dates'!$B$9:$B$1008,$I846-8)))</x:f>
      </x:c>
      <x:c r="C846" s="51" t="str">
        <x:f>IF(838&gt;$H$4,"",IF(INDEX('Fleet dates'!$C$9:$C$1008,$I846-8)="","",INDEX('Fleet dates'!$C$9:$C$1008,$I846-8)))</x:f>
      </x:c>
      <x:c r="D846" s="51" t="str">
        <x:f>IF(838&gt;$H$4,"",IF(INDEX('Fleet dates'!$D$9:$D$1008,$I846-8)="","",INDEX('Fleet dates'!$D$9:$D$1008,$I846-8)))</x:f>
      </x:c>
      <x:c r="E846" s="51" t="str">
        <x:f>IF(838&gt;$H$4,"",IF(INDEX('Fleet dates'!$E$9:$E$1008,$I846-8)="","",INDEX('Fleet dates'!$E$9:$E$1008,$I846-8)))</x:f>
      </x:c>
      <x:c r="F846" s="51" t="str">
        <x:f>IF(838&gt;$H$4,"",IF(INDEX('Fleet dates'!$F$9:$F$1008,$I846-8)="","",INDEX('Fleet dates'!$F$9:$F$1008,$I846-8)))</x:f>
      </x:c>
      <x:c r="G846" s="50" t="str">
        <x:f>IF(838&gt;$H$4,"",IF(INDEX('Fleet dates'!$G$9:$G$1008,$I846-8)="","",INDEX('Fleet dates'!$G$9:$G$1008,$I846-8)))</x:f>
      </x:c>
      <x:c r="H846" s="50" t="str">
        <x:f>IF(838&gt;$H$4,"",IF(INDEX('Fleet dates'!$I$9:$I$1008,$I846-8)="","",INDEX('Fleet dates'!$I$9:$I$1008,$I846-8)))</x:f>
      </x:c>
      <x:c r="I846" t="str">
        <x:f>IF(838&gt;$H$4,"",MATCH(838,'Fleet dates'!$J$9:$J$1008,0)+8)</x:f>
      </x:c>
    </x:row>
    <x:row r="847" ht="36" customHeight="1">
      <x:c r="A847" s="50" t="str">
        <x:f>IF(839&gt;$H$4,"",IF(INDEX('Fleet dates'!$A$9:$A$1008,$I847-8)="","",INDEX('Fleet dates'!$A$9:$A$1008,$I847-8)))</x:f>
      </x:c>
      <x:c r="B847" s="50" t="str">
        <x:f>IF(839&gt;$H$4,"",IF(INDEX('Fleet dates'!$B$9:$B$1008,$I847-8)="","",INDEX('Fleet dates'!$B$9:$B$1008,$I847-8)))</x:f>
      </x:c>
      <x:c r="C847" s="51" t="str">
        <x:f>IF(839&gt;$H$4,"",IF(INDEX('Fleet dates'!$C$9:$C$1008,$I847-8)="","",INDEX('Fleet dates'!$C$9:$C$1008,$I847-8)))</x:f>
      </x:c>
      <x:c r="D847" s="51" t="str">
        <x:f>IF(839&gt;$H$4,"",IF(INDEX('Fleet dates'!$D$9:$D$1008,$I847-8)="","",INDEX('Fleet dates'!$D$9:$D$1008,$I847-8)))</x:f>
      </x:c>
      <x:c r="E847" s="51" t="str">
        <x:f>IF(839&gt;$H$4,"",IF(INDEX('Fleet dates'!$E$9:$E$1008,$I847-8)="","",INDEX('Fleet dates'!$E$9:$E$1008,$I847-8)))</x:f>
      </x:c>
      <x:c r="F847" s="51" t="str">
        <x:f>IF(839&gt;$H$4,"",IF(INDEX('Fleet dates'!$F$9:$F$1008,$I847-8)="","",INDEX('Fleet dates'!$F$9:$F$1008,$I847-8)))</x:f>
      </x:c>
      <x:c r="G847" s="50" t="str">
        <x:f>IF(839&gt;$H$4,"",IF(INDEX('Fleet dates'!$G$9:$G$1008,$I847-8)="","",INDEX('Fleet dates'!$G$9:$G$1008,$I847-8)))</x:f>
      </x:c>
      <x:c r="H847" s="50" t="str">
        <x:f>IF(839&gt;$H$4,"",IF(INDEX('Fleet dates'!$I$9:$I$1008,$I847-8)="","",INDEX('Fleet dates'!$I$9:$I$1008,$I847-8)))</x:f>
      </x:c>
      <x:c r="I847" t="str">
        <x:f>IF(839&gt;$H$4,"",MATCH(839,'Fleet dates'!$J$9:$J$1008,0)+8)</x:f>
      </x:c>
    </x:row>
    <x:row r="848" ht="36" customHeight="1">
      <x:c r="A848" s="50" t="str">
        <x:f>IF(840&gt;$H$4,"",IF(INDEX('Fleet dates'!$A$9:$A$1008,$I848-8)="","",INDEX('Fleet dates'!$A$9:$A$1008,$I848-8)))</x:f>
      </x:c>
      <x:c r="B848" s="50" t="str">
        <x:f>IF(840&gt;$H$4,"",IF(INDEX('Fleet dates'!$B$9:$B$1008,$I848-8)="","",INDEX('Fleet dates'!$B$9:$B$1008,$I848-8)))</x:f>
      </x:c>
      <x:c r="C848" s="51" t="str">
        <x:f>IF(840&gt;$H$4,"",IF(INDEX('Fleet dates'!$C$9:$C$1008,$I848-8)="","",INDEX('Fleet dates'!$C$9:$C$1008,$I848-8)))</x:f>
      </x:c>
      <x:c r="D848" s="51" t="str">
        <x:f>IF(840&gt;$H$4,"",IF(INDEX('Fleet dates'!$D$9:$D$1008,$I848-8)="","",INDEX('Fleet dates'!$D$9:$D$1008,$I848-8)))</x:f>
      </x:c>
      <x:c r="E848" s="51" t="str">
        <x:f>IF(840&gt;$H$4,"",IF(INDEX('Fleet dates'!$E$9:$E$1008,$I848-8)="","",INDEX('Fleet dates'!$E$9:$E$1008,$I848-8)))</x:f>
      </x:c>
      <x:c r="F848" s="51" t="str">
        <x:f>IF(840&gt;$H$4,"",IF(INDEX('Fleet dates'!$F$9:$F$1008,$I848-8)="","",INDEX('Fleet dates'!$F$9:$F$1008,$I848-8)))</x:f>
      </x:c>
      <x:c r="G848" s="50" t="str">
        <x:f>IF(840&gt;$H$4,"",IF(INDEX('Fleet dates'!$G$9:$G$1008,$I848-8)="","",INDEX('Fleet dates'!$G$9:$G$1008,$I848-8)))</x:f>
      </x:c>
      <x:c r="H848" s="50" t="str">
        <x:f>IF(840&gt;$H$4,"",IF(INDEX('Fleet dates'!$I$9:$I$1008,$I848-8)="","",INDEX('Fleet dates'!$I$9:$I$1008,$I848-8)))</x:f>
      </x:c>
      <x:c r="I848" t="str">
        <x:f>IF(840&gt;$H$4,"",MATCH(840,'Fleet dates'!$J$9:$J$1008,0)+8)</x:f>
      </x:c>
    </x:row>
    <x:row r="849" ht="36" customHeight="1">
      <x:c r="A849" s="50" t="str">
        <x:f>IF(841&gt;$H$4,"",IF(INDEX('Fleet dates'!$A$9:$A$1008,$I849-8)="","",INDEX('Fleet dates'!$A$9:$A$1008,$I849-8)))</x:f>
      </x:c>
      <x:c r="B849" s="50" t="str">
        <x:f>IF(841&gt;$H$4,"",IF(INDEX('Fleet dates'!$B$9:$B$1008,$I849-8)="","",INDEX('Fleet dates'!$B$9:$B$1008,$I849-8)))</x:f>
      </x:c>
      <x:c r="C849" s="51" t="str">
        <x:f>IF(841&gt;$H$4,"",IF(INDEX('Fleet dates'!$C$9:$C$1008,$I849-8)="","",INDEX('Fleet dates'!$C$9:$C$1008,$I849-8)))</x:f>
      </x:c>
      <x:c r="D849" s="51" t="str">
        <x:f>IF(841&gt;$H$4,"",IF(INDEX('Fleet dates'!$D$9:$D$1008,$I849-8)="","",INDEX('Fleet dates'!$D$9:$D$1008,$I849-8)))</x:f>
      </x:c>
      <x:c r="E849" s="51" t="str">
        <x:f>IF(841&gt;$H$4,"",IF(INDEX('Fleet dates'!$E$9:$E$1008,$I849-8)="","",INDEX('Fleet dates'!$E$9:$E$1008,$I849-8)))</x:f>
      </x:c>
      <x:c r="F849" s="51" t="str">
        <x:f>IF(841&gt;$H$4,"",IF(INDEX('Fleet dates'!$F$9:$F$1008,$I849-8)="","",INDEX('Fleet dates'!$F$9:$F$1008,$I849-8)))</x:f>
      </x:c>
      <x:c r="G849" s="50" t="str">
        <x:f>IF(841&gt;$H$4,"",IF(INDEX('Fleet dates'!$G$9:$G$1008,$I849-8)="","",INDEX('Fleet dates'!$G$9:$G$1008,$I849-8)))</x:f>
      </x:c>
      <x:c r="H849" s="50" t="str">
        <x:f>IF(841&gt;$H$4,"",IF(INDEX('Fleet dates'!$I$9:$I$1008,$I849-8)="","",INDEX('Fleet dates'!$I$9:$I$1008,$I849-8)))</x:f>
      </x:c>
      <x:c r="I849" t="str">
        <x:f>IF(841&gt;$H$4,"",MATCH(841,'Fleet dates'!$J$9:$J$1008,0)+8)</x:f>
      </x:c>
    </x:row>
    <x:row r="850" ht="36" customHeight="1">
      <x:c r="A850" s="50" t="str">
        <x:f>IF(842&gt;$H$4,"",IF(INDEX('Fleet dates'!$A$9:$A$1008,$I850-8)="","",INDEX('Fleet dates'!$A$9:$A$1008,$I850-8)))</x:f>
      </x:c>
      <x:c r="B850" s="50" t="str">
        <x:f>IF(842&gt;$H$4,"",IF(INDEX('Fleet dates'!$B$9:$B$1008,$I850-8)="","",INDEX('Fleet dates'!$B$9:$B$1008,$I850-8)))</x:f>
      </x:c>
      <x:c r="C850" s="51" t="str">
        <x:f>IF(842&gt;$H$4,"",IF(INDEX('Fleet dates'!$C$9:$C$1008,$I850-8)="","",INDEX('Fleet dates'!$C$9:$C$1008,$I850-8)))</x:f>
      </x:c>
      <x:c r="D850" s="51" t="str">
        <x:f>IF(842&gt;$H$4,"",IF(INDEX('Fleet dates'!$D$9:$D$1008,$I850-8)="","",INDEX('Fleet dates'!$D$9:$D$1008,$I850-8)))</x:f>
      </x:c>
      <x:c r="E850" s="51" t="str">
        <x:f>IF(842&gt;$H$4,"",IF(INDEX('Fleet dates'!$E$9:$E$1008,$I850-8)="","",INDEX('Fleet dates'!$E$9:$E$1008,$I850-8)))</x:f>
      </x:c>
      <x:c r="F850" s="51" t="str">
        <x:f>IF(842&gt;$H$4,"",IF(INDEX('Fleet dates'!$F$9:$F$1008,$I850-8)="","",INDEX('Fleet dates'!$F$9:$F$1008,$I850-8)))</x:f>
      </x:c>
      <x:c r="G850" s="50" t="str">
        <x:f>IF(842&gt;$H$4,"",IF(INDEX('Fleet dates'!$G$9:$G$1008,$I850-8)="","",INDEX('Fleet dates'!$G$9:$G$1008,$I850-8)))</x:f>
      </x:c>
      <x:c r="H850" s="50" t="str">
        <x:f>IF(842&gt;$H$4,"",IF(INDEX('Fleet dates'!$I$9:$I$1008,$I850-8)="","",INDEX('Fleet dates'!$I$9:$I$1008,$I850-8)))</x:f>
      </x:c>
      <x:c r="I850" t="str">
        <x:f>IF(842&gt;$H$4,"",MATCH(842,'Fleet dates'!$J$9:$J$1008,0)+8)</x:f>
      </x:c>
    </x:row>
    <x:row r="851" ht="36" customHeight="1">
      <x:c r="A851" s="50" t="str">
        <x:f>IF(843&gt;$H$4,"",IF(INDEX('Fleet dates'!$A$9:$A$1008,$I851-8)="","",INDEX('Fleet dates'!$A$9:$A$1008,$I851-8)))</x:f>
      </x:c>
      <x:c r="B851" s="50" t="str">
        <x:f>IF(843&gt;$H$4,"",IF(INDEX('Fleet dates'!$B$9:$B$1008,$I851-8)="","",INDEX('Fleet dates'!$B$9:$B$1008,$I851-8)))</x:f>
      </x:c>
      <x:c r="C851" s="51" t="str">
        <x:f>IF(843&gt;$H$4,"",IF(INDEX('Fleet dates'!$C$9:$C$1008,$I851-8)="","",INDEX('Fleet dates'!$C$9:$C$1008,$I851-8)))</x:f>
      </x:c>
      <x:c r="D851" s="51" t="str">
        <x:f>IF(843&gt;$H$4,"",IF(INDEX('Fleet dates'!$D$9:$D$1008,$I851-8)="","",INDEX('Fleet dates'!$D$9:$D$1008,$I851-8)))</x:f>
      </x:c>
      <x:c r="E851" s="51" t="str">
        <x:f>IF(843&gt;$H$4,"",IF(INDEX('Fleet dates'!$E$9:$E$1008,$I851-8)="","",INDEX('Fleet dates'!$E$9:$E$1008,$I851-8)))</x:f>
      </x:c>
      <x:c r="F851" s="51" t="str">
        <x:f>IF(843&gt;$H$4,"",IF(INDEX('Fleet dates'!$F$9:$F$1008,$I851-8)="","",INDEX('Fleet dates'!$F$9:$F$1008,$I851-8)))</x:f>
      </x:c>
      <x:c r="G851" s="50" t="str">
        <x:f>IF(843&gt;$H$4,"",IF(INDEX('Fleet dates'!$G$9:$G$1008,$I851-8)="","",INDEX('Fleet dates'!$G$9:$G$1008,$I851-8)))</x:f>
      </x:c>
      <x:c r="H851" s="50" t="str">
        <x:f>IF(843&gt;$H$4,"",IF(INDEX('Fleet dates'!$I$9:$I$1008,$I851-8)="","",INDEX('Fleet dates'!$I$9:$I$1008,$I851-8)))</x:f>
      </x:c>
      <x:c r="I851" t="str">
        <x:f>IF(843&gt;$H$4,"",MATCH(843,'Fleet dates'!$J$9:$J$1008,0)+8)</x:f>
      </x:c>
    </x:row>
    <x:row r="852" ht="36" customHeight="1">
      <x:c r="A852" s="50" t="str">
        <x:f>IF(844&gt;$H$4,"",IF(INDEX('Fleet dates'!$A$9:$A$1008,$I852-8)="","",INDEX('Fleet dates'!$A$9:$A$1008,$I852-8)))</x:f>
      </x:c>
      <x:c r="B852" s="50" t="str">
        <x:f>IF(844&gt;$H$4,"",IF(INDEX('Fleet dates'!$B$9:$B$1008,$I852-8)="","",INDEX('Fleet dates'!$B$9:$B$1008,$I852-8)))</x:f>
      </x:c>
      <x:c r="C852" s="51" t="str">
        <x:f>IF(844&gt;$H$4,"",IF(INDEX('Fleet dates'!$C$9:$C$1008,$I852-8)="","",INDEX('Fleet dates'!$C$9:$C$1008,$I852-8)))</x:f>
      </x:c>
      <x:c r="D852" s="51" t="str">
        <x:f>IF(844&gt;$H$4,"",IF(INDEX('Fleet dates'!$D$9:$D$1008,$I852-8)="","",INDEX('Fleet dates'!$D$9:$D$1008,$I852-8)))</x:f>
      </x:c>
      <x:c r="E852" s="51" t="str">
        <x:f>IF(844&gt;$H$4,"",IF(INDEX('Fleet dates'!$E$9:$E$1008,$I852-8)="","",INDEX('Fleet dates'!$E$9:$E$1008,$I852-8)))</x:f>
      </x:c>
      <x:c r="F852" s="51" t="str">
        <x:f>IF(844&gt;$H$4,"",IF(INDEX('Fleet dates'!$F$9:$F$1008,$I852-8)="","",INDEX('Fleet dates'!$F$9:$F$1008,$I852-8)))</x:f>
      </x:c>
      <x:c r="G852" s="50" t="str">
        <x:f>IF(844&gt;$H$4,"",IF(INDEX('Fleet dates'!$G$9:$G$1008,$I852-8)="","",INDEX('Fleet dates'!$G$9:$G$1008,$I852-8)))</x:f>
      </x:c>
      <x:c r="H852" s="50" t="str">
        <x:f>IF(844&gt;$H$4,"",IF(INDEX('Fleet dates'!$I$9:$I$1008,$I852-8)="","",INDEX('Fleet dates'!$I$9:$I$1008,$I852-8)))</x:f>
      </x:c>
      <x:c r="I852" t="str">
        <x:f>IF(844&gt;$H$4,"",MATCH(844,'Fleet dates'!$J$9:$J$1008,0)+8)</x:f>
      </x:c>
    </x:row>
    <x:row r="853" ht="36" customHeight="1">
      <x:c r="A853" s="50" t="str">
        <x:f>IF(845&gt;$H$4,"",IF(INDEX('Fleet dates'!$A$9:$A$1008,$I853-8)="","",INDEX('Fleet dates'!$A$9:$A$1008,$I853-8)))</x:f>
      </x:c>
      <x:c r="B853" s="50" t="str">
        <x:f>IF(845&gt;$H$4,"",IF(INDEX('Fleet dates'!$B$9:$B$1008,$I853-8)="","",INDEX('Fleet dates'!$B$9:$B$1008,$I853-8)))</x:f>
      </x:c>
      <x:c r="C853" s="51" t="str">
        <x:f>IF(845&gt;$H$4,"",IF(INDEX('Fleet dates'!$C$9:$C$1008,$I853-8)="","",INDEX('Fleet dates'!$C$9:$C$1008,$I853-8)))</x:f>
      </x:c>
      <x:c r="D853" s="51" t="str">
        <x:f>IF(845&gt;$H$4,"",IF(INDEX('Fleet dates'!$D$9:$D$1008,$I853-8)="","",INDEX('Fleet dates'!$D$9:$D$1008,$I853-8)))</x:f>
      </x:c>
      <x:c r="E853" s="51" t="str">
        <x:f>IF(845&gt;$H$4,"",IF(INDEX('Fleet dates'!$E$9:$E$1008,$I853-8)="","",INDEX('Fleet dates'!$E$9:$E$1008,$I853-8)))</x:f>
      </x:c>
      <x:c r="F853" s="51" t="str">
        <x:f>IF(845&gt;$H$4,"",IF(INDEX('Fleet dates'!$F$9:$F$1008,$I853-8)="","",INDEX('Fleet dates'!$F$9:$F$1008,$I853-8)))</x:f>
      </x:c>
      <x:c r="G853" s="50" t="str">
        <x:f>IF(845&gt;$H$4,"",IF(INDEX('Fleet dates'!$G$9:$G$1008,$I853-8)="","",INDEX('Fleet dates'!$G$9:$G$1008,$I853-8)))</x:f>
      </x:c>
      <x:c r="H853" s="50" t="str">
        <x:f>IF(845&gt;$H$4,"",IF(INDEX('Fleet dates'!$I$9:$I$1008,$I853-8)="","",INDEX('Fleet dates'!$I$9:$I$1008,$I853-8)))</x:f>
      </x:c>
      <x:c r="I853" t="str">
        <x:f>IF(845&gt;$H$4,"",MATCH(845,'Fleet dates'!$J$9:$J$1008,0)+8)</x:f>
      </x:c>
    </x:row>
    <x:row r="854" ht="36" customHeight="1">
      <x:c r="A854" s="50" t="str">
        <x:f>IF(846&gt;$H$4,"",IF(INDEX('Fleet dates'!$A$9:$A$1008,$I854-8)="","",INDEX('Fleet dates'!$A$9:$A$1008,$I854-8)))</x:f>
      </x:c>
      <x:c r="B854" s="50" t="str">
        <x:f>IF(846&gt;$H$4,"",IF(INDEX('Fleet dates'!$B$9:$B$1008,$I854-8)="","",INDEX('Fleet dates'!$B$9:$B$1008,$I854-8)))</x:f>
      </x:c>
      <x:c r="C854" s="51" t="str">
        <x:f>IF(846&gt;$H$4,"",IF(INDEX('Fleet dates'!$C$9:$C$1008,$I854-8)="","",INDEX('Fleet dates'!$C$9:$C$1008,$I854-8)))</x:f>
      </x:c>
      <x:c r="D854" s="51" t="str">
        <x:f>IF(846&gt;$H$4,"",IF(INDEX('Fleet dates'!$D$9:$D$1008,$I854-8)="","",INDEX('Fleet dates'!$D$9:$D$1008,$I854-8)))</x:f>
      </x:c>
      <x:c r="E854" s="51" t="str">
        <x:f>IF(846&gt;$H$4,"",IF(INDEX('Fleet dates'!$E$9:$E$1008,$I854-8)="","",INDEX('Fleet dates'!$E$9:$E$1008,$I854-8)))</x:f>
      </x:c>
      <x:c r="F854" s="51" t="str">
        <x:f>IF(846&gt;$H$4,"",IF(INDEX('Fleet dates'!$F$9:$F$1008,$I854-8)="","",INDEX('Fleet dates'!$F$9:$F$1008,$I854-8)))</x:f>
      </x:c>
      <x:c r="G854" s="50" t="str">
        <x:f>IF(846&gt;$H$4,"",IF(INDEX('Fleet dates'!$G$9:$G$1008,$I854-8)="","",INDEX('Fleet dates'!$G$9:$G$1008,$I854-8)))</x:f>
      </x:c>
      <x:c r="H854" s="50" t="str">
        <x:f>IF(846&gt;$H$4,"",IF(INDEX('Fleet dates'!$I$9:$I$1008,$I854-8)="","",INDEX('Fleet dates'!$I$9:$I$1008,$I854-8)))</x:f>
      </x:c>
      <x:c r="I854" t="str">
        <x:f>IF(846&gt;$H$4,"",MATCH(846,'Fleet dates'!$J$9:$J$1008,0)+8)</x:f>
      </x:c>
    </x:row>
    <x:row r="855" ht="36" customHeight="1">
      <x:c r="A855" s="50" t="str">
        <x:f>IF(847&gt;$H$4,"",IF(INDEX('Fleet dates'!$A$9:$A$1008,$I855-8)="","",INDEX('Fleet dates'!$A$9:$A$1008,$I855-8)))</x:f>
      </x:c>
      <x:c r="B855" s="50" t="str">
        <x:f>IF(847&gt;$H$4,"",IF(INDEX('Fleet dates'!$B$9:$B$1008,$I855-8)="","",INDEX('Fleet dates'!$B$9:$B$1008,$I855-8)))</x:f>
      </x:c>
      <x:c r="C855" s="51" t="str">
        <x:f>IF(847&gt;$H$4,"",IF(INDEX('Fleet dates'!$C$9:$C$1008,$I855-8)="","",INDEX('Fleet dates'!$C$9:$C$1008,$I855-8)))</x:f>
      </x:c>
      <x:c r="D855" s="51" t="str">
        <x:f>IF(847&gt;$H$4,"",IF(INDEX('Fleet dates'!$D$9:$D$1008,$I855-8)="","",INDEX('Fleet dates'!$D$9:$D$1008,$I855-8)))</x:f>
      </x:c>
      <x:c r="E855" s="51" t="str">
        <x:f>IF(847&gt;$H$4,"",IF(INDEX('Fleet dates'!$E$9:$E$1008,$I855-8)="","",INDEX('Fleet dates'!$E$9:$E$1008,$I855-8)))</x:f>
      </x:c>
      <x:c r="F855" s="51" t="str">
        <x:f>IF(847&gt;$H$4,"",IF(INDEX('Fleet dates'!$F$9:$F$1008,$I855-8)="","",INDEX('Fleet dates'!$F$9:$F$1008,$I855-8)))</x:f>
      </x:c>
      <x:c r="G855" s="50" t="str">
        <x:f>IF(847&gt;$H$4,"",IF(INDEX('Fleet dates'!$G$9:$G$1008,$I855-8)="","",INDEX('Fleet dates'!$G$9:$G$1008,$I855-8)))</x:f>
      </x:c>
      <x:c r="H855" s="50" t="str">
        <x:f>IF(847&gt;$H$4,"",IF(INDEX('Fleet dates'!$I$9:$I$1008,$I855-8)="","",INDEX('Fleet dates'!$I$9:$I$1008,$I855-8)))</x:f>
      </x:c>
      <x:c r="I855" t="str">
        <x:f>IF(847&gt;$H$4,"",MATCH(847,'Fleet dates'!$J$9:$J$1008,0)+8)</x:f>
      </x:c>
    </x:row>
    <x:row r="856" ht="36" customHeight="1">
      <x:c r="A856" s="50" t="str">
        <x:f>IF(848&gt;$H$4,"",IF(INDEX('Fleet dates'!$A$9:$A$1008,$I856-8)="","",INDEX('Fleet dates'!$A$9:$A$1008,$I856-8)))</x:f>
      </x:c>
      <x:c r="B856" s="50" t="str">
        <x:f>IF(848&gt;$H$4,"",IF(INDEX('Fleet dates'!$B$9:$B$1008,$I856-8)="","",INDEX('Fleet dates'!$B$9:$B$1008,$I856-8)))</x:f>
      </x:c>
      <x:c r="C856" s="51" t="str">
        <x:f>IF(848&gt;$H$4,"",IF(INDEX('Fleet dates'!$C$9:$C$1008,$I856-8)="","",INDEX('Fleet dates'!$C$9:$C$1008,$I856-8)))</x:f>
      </x:c>
      <x:c r="D856" s="51" t="str">
        <x:f>IF(848&gt;$H$4,"",IF(INDEX('Fleet dates'!$D$9:$D$1008,$I856-8)="","",INDEX('Fleet dates'!$D$9:$D$1008,$I856-8)))</x:f>
      </x:c>
      <x:c r="E856" s="51" t="str">
        <x:f>IF(848&gt;$H$4,"",IF(INDEX('Fleet dates'!$E$9:$E$1008,$I856-8)="","",INDEX('Fleet dates'!$E$9:$E$1008,$I856-8)))</x:f>
      </x:c>
      <x:c r="F856" s="51" t="str">
        <x:f>IF(848&gt;$H$4,"",IF(INDEX('Fleet dates'!$F$9:$F$1008,$I856-8)="","",INDEX('Fleet dates'!$F$9:$F$1008,$I856-8)))</x:f>
      </x:c>
      <x:c r="G856" s="50" t="str">
        <x:f>IF(848&gt;$H$4,"",IF(INDEX('Fleet dates'!$G$9:$G$1008,$I856-8)="","",INDEX('Fleet dates'!$G$9:$G$1008,$I856-8)))</x:f>
      </x:c>
      <x:c r="H856" s="50" t="str">
        <x:f>IF(848&gt;$H$4,"",IF(INDEX('Fleet dates'!$I$9:$I$1008,$I856-8)="","",INDEX('Fleet dates'!$I$9:$I$1008,$I856-8)))</x:f>
      </x:c>
      <x:c r="I856" t="str">
        <x:f>IF(848&gt;$H$4,"",MATCH(848,'Fleet dates'!$J$9:$J$1008,0)+8)</x:f>
      </x:c>
    </x:row>
    <x:row r="857" ht="36" customHeight="1">
      <x:c r="A857" s="50" t="str">
        <x:f>IF(849&gt;$H$4,"",IF(INDEX('Fleet dates'!$A$9:$A$1008,$I857-8)="","",INDEX('Fleet dates'!$A$9:$A$1008,$I857-8)))</x:f>
      </x:c>
      <x:c r="B857" s="50" t="str">
        <x:f>IF(849&gt;$H$4,"",IF(INDEX('Fleet dates'!$B$9:$B$1008,$I857-8)="","",INDEX('Fleet dates'!$B$9:$B$1008,$I857-8)))</x:f>
      </x:c>
      <x:c r="C857" s="51" t="str">
        <x:f>IF(849&gt;$H$4,"",IF(INDEX('Fleet dates'!$C$9:$C$1008,$I857-8)="","",INDEX('Fleet dates'!$C$9:$C$1008,$I857-8)))</x:f>
      </x:c>
      <x:c r="D857" s="51" t="str">
        <x:f>IF(849&gt;$H$4,"",IF(INDEX('Fleet dates'!$D$9:$D$1008,$I857-8)="","",INDEX('Fleet dates'!$D$9:$D$1008,$I857-8)))</x:f>
      </x:c>
      <x:c r="E857" s="51" t="str">
        <x:f>IF(849&gt;$H$4,"",IF(INDEX('Fleet dates'!$E$9:$E$1008,$I857-8)="","",INDEX('Fleet dates'!$E$9:$E$1008,$I857-8)))</x:f>
      </x:c>
      <x:c r="F857" s="51" t="str">
        <x:f>IF(849&gt;$H$4,"",IF(INDEX('Fleet dates'!$F$9:$F$1008,$I857-8)="","",INDEX('Fleet dates'!$F$9:$F$1008,$I857-8)))</x:f>
      </x:c>
      <x:c r="G857" s="50" t="str">
        <x:f>IF(849&gt;$H$4,"",IF(INDEX('Fleet dates'!$G$9:$G$1008,$I857-8)="","",INDEX('Fleet dates'!$G$9:$G$1008,$I857-8)))</x:f>
      </x:c>
      <x:c r="H857" s="50" t="str">
        <x:f>IF(849&gt;$H$4,"",IF(INDEX('Fleet dates'!$I$9:$I$1008,$I857-8)="","",INDEX('Fleet dates'!$I$9:$I$1008,$I857-8)))</x:f>
      </x:c>
      <x:c r="I857" t="str">
        <x:f>IF(849&gt;$H$4,"",MATCH(849,'Fleet dates'!$J$9:$J$1008,0)+8)</x:f>
      </x:c>
    </x:row>
    <x:row r="858" ht="36" customHeight="1">
      <x:c r="A858" s="50" t="str">
        <x:f>IF(850&gt;$H$4,"",IF(INDEX('Fleet dates'!$A$9:$A$1008,$I858-8)="","",INDEX('Fleet dates'!$A$9:$A$1008,$I858-8)))</x:f>
      </x:c>
      <x:c r="B858" s="50" t="str">
        <x:f>IF(850&gt;$H$4,"",IF(INDEX('Fleet dates'!$B$9:$B$1008,$I858-8)="","",INDEX('Fleet dates'!$B$9:$B$1008,$I858-8)))</x:f>
      </x:c>
      <x:c r="C858" s="51" t="str">
        <x:f>IF(850&gt;$H$4,"",IF(INDEX('Fleet dates'!$C$9:$C$1008,$I858-8)="","",INDEX('Fleet dates'!$C$9:$C$1008,$I858-8)))</x:f>
      </x:c>
      <x:c r="D858" s="51" t="str">
        <x:f>IF(850&gt;$H$4,"",IF(INDEX('Fleet dates'!$D$9:$D$1008,$I858-8)="","",INDEX('Fleet dates'!$D$9:$D$1008,$I858-8)))</x:f>
      </x:c>
      <x:c r="E858" s="51" t="str">
        <x:f>IF(850&gt;$H$4,"",IF(INDEX('Fleet dates'!$E$9:$E$1008,$I858-8)="","",INDEX('Fleet dates'!$E$9:$E$1008,$I858-8)))</x:f>
      </x:c>
      <x:c r="F858" s="51" t="str">
        <x:f>IF(850&gt;$H$4,"",IF(INDEX('Fleet dates'!$F$9:$F$1008,$I858-8)="","",INDEX('Fleet dates'!$F$9:$F$1008,$I858-8)))</x:f>
      </x:c>
      <x:c r="G858" s="50" t="str">
        <x:f>IF(850&gt;$H$4,"",IF(INDEX('Fleet dates'!$G$9:$G$1008,$I858-8)="","",INDEX('Fleet dates'!$G$9:$G$1008,$I858-8)))</x:f>
      </x:c>
      <x:c r="H858" s="50" t="str">
        <x:f>IF(850&gt;$H$4,"",IF(INDEX('Fleet dates'!$I$9:$I$1008,$I858-8)="","",INDEX('Fleet dates'!$I$9:$I$1008,$I858-8)))</x:f>
      </x:c>
      <x:c r="I858" t="str">
        <x:f>IF(850&gt;$H$4,"",MATCH(850,'Fleet dates'!$J$9:$J$1008,0)+8)</x:f>
      </x:c>
    </x:row>
    <x:row r="859" ht="36" customHeight="1">
      <x:c r="A859" s="50" t="str">
        <x:f>IF(851&gt;$H$4,"",IF(INDEX('Fleet dates'!$A$9:$A$1008,$I859-8)="","",INDEX('Fleet dates'!$A$9:$A$1008,$I859-8)))</x:f>
      </x:c>
      <x:c r="B859" s="50" t="str">
        <x:f>IF(851&gt;$H$4,"",IF(INDEX('Fleet dates'!$B$9:$B$1008,$I859-8)="","",INDEX('Fleet dates'!$B$9:$B$1008,$I859-8)))</x:f>
      </x:c>
      <x:c r="C859" s="51" t="str">
        <x:f>IF(851&gt;$H$4,"",IF(INDEX('Fleet dates'!$C$9:$C$1008,$I859-8)="","",INDEX('Fleet dates'!$C$9:$C$1008,$I859-8)))</x:f>
      </x:c>
      <x:c r="D859" s="51" t="str">
        <x:f>IF(851&gt;$H$4,"",IF(INDEX('Fleet dates'!$D$9:$D$1008,$I859-8)="","",INDEX('Fleet dates'!$D$9:$D$1008,$I859-8)))</x:f>
      </x:c>
      <x:c r="E859" s="51" t="str">
        <x:f>IF(851&gt;$H$4,"",IF(INDEX('Fleet dates'!$E$9:$E$1008,$I859-8)="","",INDEX('Fleet dates'!$E$9:$E$1008,$I859-8)))</x:f>
      </x:c>
      <x:c r="F859" s="51" t="str">
        <x:f>IF(851&gt;$H$4,"",IF(INDEX('Fleet dates'!$F$9:$F$1008,$I859-8)="","",INDEX('Fleet dates'!$F$9:$F$1008,$I859-8)))</x:f>
      </x:c>
      <x:c r="G859" s="50" t="str">
        <x:f>IF(851&gt;$H$4,"",IF(INDEX('Fleet dates'!$G$9:$G$1008,$I859-8)="","",INDEX('Fleet dates'!$G$9:$G$1008,$I859-8)))</x:f>
      </x:c>
      <x:c r="H859" s="50" t="str">
        <x:f>IF(851&gt;$H$4,"",IF(INDEX('Fleet dates'!$I$9:$I$1008,$I859-8)="","",INDEX('Fleet dates'!$I$9:$I$1008,$I859-8)))</x:f>
      </x:c>
      <x:c r="I859" t="str">
        <x:f>IF(851&gt;$H$4,"",MATCH(851,'Fleet dates'!$J$9:$J$1008,0)+8)</x:f>
      </x:c>
    </x:row>
    <x:row r="860" ht="36" customHeight="1">
      <x:c r="A860" s="50" t="str">
        <x:f>IF(852&gt;$H$4,"",IF(INDEX('Fleet dates'!$A$9:$A$1008,$I860-8)="","",INDEX('Fleet dates'!$A$9:$A$1008,$I860-8)))</x:f>
      </x:c>
      <x:c r="B860" s="50" t="str">
        <x:f>IF(852&gt;$H$4,"",IF(INDEX('Fleet dates'!$B$9:$B$1008,$I860-8)="","",INDEX('Fleet dates'!$B$9:$B$1008,$I860-8)))</x:f>
      </x:c>
      <x:c r="C860" s="51" t="str">
        <x:f>IF(852&gt;$H$4,"",IF(INDEX('Fleet dates'!$C$9:$C$1008,$I860-8)="","",INDEX('Fleet dates'!$C$9:$C$1008,$I860-8)))</x:f>
      </x:c>
      <x:c r="D860" s="51" t="str">
        <x:f>IF(852&gt;$H$4,"",IF(INDEX('Fleet dates'!$D$9:$D$1008,$I860-8)="","",INDEX('Fleet dates'!$D$9:$D$1008,$I860-8)))</x:f>
      </x:c>
      <x:c r="E860" s="51" t="str">
        <x:f>IF(852&gt;$H$4,"",IF(INDEX('Fleet dates'!$E$9:$E$1008,$I860-8)="","",INDEX('Fleet dates'!$E$9:$E$1008,$I860-8)))</x:f>
      </x:c>
      <x:c r="F860" s="51" t="str">
        <x:f>IF(852&gt;$H$4,"",IF(INDEX('Fleet dates'!$F$9:$F$1008,$I860-8)="","",INDEX('Fleet dates'!$F$9:$F$1008,$I860-8)))</x:f>
      </x:c>
      <x:c r="G860" s="50" t="str">
        <x:f>IF(852&gt;$H$4,"",IF(INDEX('Fleet dates'!$G$9:$G$1008,$I860-8)="","",INDEX('Fleet dates'!$G$9:$G$1008,$I860-8)))</x:f>
      </x:c>
      <x:c r="H860" s="50" t="str">
        <x:f>IF(852&gt;$H$4,"",IF(INDEX('Fleet dates'!$I$9:$I$1008,$I860-8)="","",INDEX('Fleet dates'!$I$9:$I$1008,$I860-8)))</x:f>
      </x:c>
      <x:c r="I860" t="str">
        <x:f>IF(852&gt;$H$4,"",MATCH(852,'Fleet dates'!$J$9:$J$1008,0)+8)</x:f>
      </x:c>
    </x:row>
    <x:row r="861" ht="36" customHeight="1">
      <x:c r="A861" s="50" t="str">
        <x:f>IF(853&gt;$H$4,"",IF(INDEX('Fleet dates'!$A$9:$A$1008,$I861-8)="","",INDEX('Fleet dates'!$A$9:$A$1008,$I861-8)))</x:f>
      </x:c>
      <x:c r="B861" s="50" t="str">
        <x:f>IF(853&gt;$H$4,"",IF(INDEX('Fleet dates'!$B$9:$B$1008,$I861-8)="","",INDEX('Fleet dates'!$B$9:$B$1008,$I861-8)))</x:f>
      </x:c>
      <x:c r="C861" s="51" t="str">
        <x:f>IF(853&gt;$H$4,"",IF(INDEX('Fleet dates'!$C$9:$C$1008,$I861-8)="","",INDEX('Fleet dates'!$C$9:$C$1008,$I861-8)))</x:f>
      </x:c>
      <x:c r="D861" s="51" t="str">
        <x:f>IF(853&gt;$H$4,"",IF(INDEX('Fleet dates'!$D$9:$D$1008,$I861-8)="","",INDEX('Fleet dates'!$D$9:$D$1008,$I861-8)))</x:f>
      </x:c>
      <x:c r="E861" s="51" t="str">
        <x:f>IF(853&gt;$H$4,"",IF(INDEX('Fleet dates'!$E$9:$E$1008,$I861-8)="","",INDEX('Fleet dates'!$E$9:$E$1008,$I861-8)))</x:f>
      </x:c>
      <x:c r="F861" s="51" t="str">
        <x:f>IF(853&gt;$H$4,"",IF(INDEX('Fleet dates'!$F$9:$F$1008,$I861-8)="","",INDEX('Fleet dates'!$F$9:$F$1008,$I861-8)))</x:f>
      </x:c>
      <x:c r="G861" s="50" t="str">
        <x:f>IF(853&gt;$H$4,"",IF(INDEX('Fleet dates'!$G$9:$G$1008,$I861-8)="","",INDEX('Fleet dates'!$G$9:$G$1008,$I861-8)))</x:f>
      </x:c>
      <x:c r="H861" s="50" t="str">
        <x:f>IF(853&gt;$H$4,"",IF(INDEX('Fleet dates'!$I$9:$I$1008,$I861-8)="","",INDEX('Fleet dates'!$I$9:$I$1008,$I861-8)))</x:f>
      </x:c>
      <x:c r="I861" t="str">
        <x:f>IF(853&gt;$H$4,"",MATCH(853,'Fleet dates'!$J$9:$J$1008,0)+8)</x:f>
      </x:c>
    </x:row>
    <x:row r="862" ht="36" customHeight="1">
      <x:c r="A862" s="50" t="str">
        <x:f>IF(854&gt;$H$4,"",IF(INDEX('Fleet dates'!$A$9:$A$1008,$I862-8)="","",INDEX('Fleet dates'!$A$9:$A$1008,$I862-8)))</x:f>
      </x:c>
      <x:c r="B862" s="50" t="str">
        <x:f>IF(854&gt;$H$4,"",IF(INDEX('Fleet dates'!$B$9:$B$1008,$I862-8)="","",INDEX('Fleet dates'!$B$9:$B$1008,$I862-8)))</x:f>
      </x:c>
      <x:c r="C862" s="51" t="str">
        <x:f>IF(854&gt;$H$4,"",IF(INDEX('Fleet dates'!$C$9:$C$1008,$I862-8)="","",INDEX('Fleet dates'!$C$9:$C$1008,$I862-8)))</x:f>
      </x:c>
      <x:c r="D862" s="51" t="str">
        <x:f>IF(854&gt;$H$4,"",IF(INDEX('Fleet dates'!$D$9:$D$1008,$I862-8)="","",INDEX('Fleet dates'!$D$9:$D$1008,$I862-8)))</x:f>
      </x:c>
      <x:c r="E862" s="51" t="str">
        <x:f>IF(854&gt;$H$4,"",IF(INDEX('Fleet dates'!$E$9:$E$1008,$I862-8)="","",INDEX('Fleet dates'!$E$9:$E$1008,$I862-8)))</x:f>
      </x:c>
      <x:c r="F862" s="51" t="str">
        <x:f>IF(854&gt;$H$4,"",IF(INDEX('Fleet dates'!$F$9:$F$1008,$I862-8)="","",INDEX('Fleet dates'!$F$9:$F$1008,$I862-8)))</x:f>
      </x:c>
      <x:c r="G862" s="50" t="str">
        <x:f>IF(854&gt;$H$4,"",IF(INDEX('Fleet dates'!$G$9:$G$1008,$I862-8)="","",INDEX('Fleet dates'!$G$9:$G$1008,$I862-8)))</x:f>
      </x:c>
      <x:c r="H862" s="50" t="str">
        <x:f>IF(854&gt;$H$4,"",IF(INDEX('Fleet dates'!$I$9:$I$1008,$I862-8)="","",INDEX('Fleet dates'!$I$9:$I$1008,$I862-8)))</x:f>
      </x:c>
      <x:c r="I862" t="str">
        <x:f>IF(854&gt;$H$4,"",MATCH(854,'Fleet dates'!$J$9:$J$1008,0)+8)</x:f>
      </x:c>
    </x:row>
    <x:row r="863" ht="36" customHeight="1">
      <x:c r="A863" s="50" t="str">
        <x:f>IF(855&gt;$H$4,"",IF(INDEX('Fleet dates'!$A$9:$A$1008,$I863-8)="","",INDEX('Fleet dates'!$A$9:$A$1008,$I863-8)))</x:f>
      </x:c>
      <x:c r="B863" s="50" t="str">
        <x:f>IF(855&gt;$H$4,"",IF(INDEX('Fleet dates'!$B$9:$B$1008,$I863-8)="","",INDEX('Fleet dates'!$B$9:$B$1008,$I863-8)))</x:f>
      </x:c>
      <x:c r="C863" s="51" t="str">
        <x:f>IF(855&gt;$H$4,"",IF(INDEX('Fleet dates'!$C$9:$C$1008,$I863-8)="","",INDEX('Fleet dates'!$C$9:$C$1008,$I863-8)))</x:f>
      </x:c>
      <x:c r="D863" s="51" t="str">
        <x:f>IF(855&gt;$H$4,"",IF(INDEX('Fleet dates'!$D$9:$D$1008,$I863-8)="","",INDEX('Fleet dates'!$D$9:$D$1008,$I863-8)))</x:f>
      </x:c>
      <x:c r="E863" s="51" t="str">
        <x:f>IF(855&gt;$H$4,"",IF(INDEX('Fleet dates'!$E$9:$E$1008,$I863-8)="","",INDEX('Fleet dates'!$E$9:$E$1008,$I863-8)))</x:f>
      </x:c>
      <x:c r="F863" s="51" t="str">
        <x:f>IF(855&gt;$H$4,"",IF(INDEX('Fleet dates'!$F$9:$F$1008,$I863-8)="","",INDEX('Fleet dates'!$F$9:$F$1008,$I863-8)))</x:f>
      </x:c>
      <x:c r="G863" s="50" t="str">
        <x:f>IF(855&gt;$H$4,"",IF(INDEX('Fleet dates'!$G$9:$G$1008,$I863-8)="","",INDEX('Fleet dates'!$G$9:$G$1008,$I863-8)))</x:f>
      </x:c>
      <x:c r="H863" s="50" t="str">
        <x:f>IF(855&gt;$H$4,"",IF(INDEX('Fleet dates'!$I$9:$I$1008,$I863-8)="","",INDEX('Fleet dates'!$I$9:$I$1008,$I863-8)))</x:f>
      </x:c>
      <x:c r="I863" t="str">
        <x:f>IF(855&gt;$H$4,"",MATCH(855,'Fleet dates'!$J$9:$J$1008,0)+8)</x:f>
      </x:c>
    </x:row>
    <x:row r="864" ht="36" customHeight="1">
      <x:c r="A864" s="50" t="str">
        <x:f>IF(856&gt;$H$4,"",IF(INDEX('Fleet dates'!$A$9:$A$1008,$I864-8)="","",INDEX('Fleet dates'!$A$9:$A$1008,$I864-8)))</x:f>
      </x:c>
      <x:c r="B864" s="50" t="str">
        <x:f>IF(856&gt;$H$4,"",IF(INDEX('Fleet dates'!$B$9:$B$1008,$I864-8)="","",INDEX('Fleet dates'!$B$9:$B$1008,$I864-8)))</x:f>
      </x:c>
      <x:c r="C864" s="51" t="str">
        <x:f>IF(856&gt;$H$4,"",IF(INDEX('Fleet dates'!$C$9:$C$1008,$I864-8)="","",INDEX('Fleet dates'!$C$9:$C$1008,$I864-8)))</x:f>
      </x:c>
      <x:c r="D864" s="51" t="str">
        <x:f>IF(856&gt;$H$4,"",IF(INDEX('Fleet dates'!$D$9:$D$1008,$I864-8)="","",INDEX('Fleet dates'!$D$9:$D$1008,$I864-8)))</x:f>
      </x:c>
      <x:c r="E864" s="51" t="str">
        <x:f>IF(856&gt;$H$4,"",IF(INDEX('Fleet dates'!$E$9:$E$1008,$I864-8)="","",INDEX('Fleet dates'!$E$9:$E$1008,$I864-8)))</x:f>
      </x:c>
      <x:c r="F864" s="51" t="str">
        <x:f>IF(856&gt;$H$4,"",IF(INDEX('Fleet dates'!$F$9:$F$1008,$I864-8)="","",INDEX('Fleet dates'!$F$9:$F$1008,$I864-8)))</x:f>
      </x:c>
      <x:c r="G864" s="50" t="str">
        <x:f>IF(856&gt;$H$4,"",IF(INDEX('Fleet dates'!$G$9:$G$1008,$I864-8)="","",INDEX('Fleet dates'!$G$9:$G$1008,$I864-8)))</x:f>
      </x:c>
      <x:c r="H864" s="50" t="str">
        <x:f>IF(856&gt;$H$4,"",IF(INDEX('Fleet dates'!$I$9:$I$1008,$I864-8)="","",INDEX('Fleet dates'!$I$9:$I$1008,$I864-8)))</x:f>
      </x:c>
      <x:c r="I864" t="str">
        <x:f>IF(856&gt;$H$4,"",MATCH(856,'Fleet dates'!$J$9:$J$1008,0)+8)</x:f>
      </x:c>
    </x:row>
    <x:row r="865" ht="36" customHeight="1">
      <x:c r="A865" s="50" t="str">
        <x:f>IF(857&gt;$H$4,"",IF(INDEX('Fleet dates'!$A$9:$A$1008,$I865-8)="","",INDEX('Fleet dates'!$A$9:$A$1008,$I865-8)))</x:f>
      </x:c>
      <x:c r="B865" s="50" t="str">
        <x:f>IF(857&gt;$H$4,"",IF(INDEX('Fleet dates'!$B$9:$B$1008,$I865-8)="","",INDEX('Fleet dates'!$B$9:$B$1008,$I865-8)))</x:f>
      </x:c>
      <x:c r="C865" s="51" t="str">
        <x:f>IF(857&gt;$H$4,"",IF(INDEX('Fleet dates'!$C$9:$C$1008,$I865-8)="","",INDEX('Fleet dates'!$C$9:$C$1008,$I865-8)))</x:f>
      </x:c>
      <x:c r="D865" s="51" t="str">
        <x:f>IF(857&gt;$H$4,"",IF(INDEX('Fleet dates'!$D$9:$D$1008,$I865-8)="","",INDEX('Fleet dates'!$D$9:$D$1008,$I865-8)))</x:f>
      </x:c>
      <x:c r="E865" s="51" t="str">
        <x:f>IF(857&gt;$H$4,"",IF(INDEX('Fleet dates'!$E$9:$E$1008,$I865-8)="","",INDEX('Fleet dates'!$E$9:$E$1008,$I865-8)))</x:f>
      </x:c>
      <x:c r="F865" s="51" t="str">
        <x:f>IF(857&gt;$H$4,"",IF(INDEX('Fleet dates'!$F$9:$F$1008,$I865-8)="","",INDEX('Fleet dates'!$F$9:$F$1008,$I865-8)))</x:f>
      </x:c>
      <x:c r="G865" s="50" t="str">
        <x:f>IF(857&gt;$H$4,"",IF(INDEX('Fleet dates'!$G$9:$G$1008,$I865-8)="","",INDEX('Fleet dates'!$G$9:$G$1008,$I865-8)))</x:f>
      </x:c>
      <x:c r="H865" s="50" t="str">
        <x:f>IF(857&gt;$H$4,"",IF(INDEX('Fleet dates'!$I$9:$I$1008,$I865-8)="","",INDEX('Fleet dates'!$I$9:$I$1008,$I865-8)))</x:f>
      </x:c>
      <x:c r="I865" t="str">
        <x:f>IF(857&gt;$H$4,"",MATCH(857,'Fleet dates'!$J$9:$J$1008,0)+8)</x:f>
      </x:c>
    </x:row>
    <x:row r="866" ht="36" customHeight="1">
      <x:c r="A866" s="50" t="str">
        <x:f>IF(858&gt;$H$4,"",IF(INDEX('Fleet dates'!$A$9:$A$1008,$I866-8)="","",INDEX('Fleet dates'!$A$9:$A$1008,$I866-8)))</x:f>
      </x:c>
      <x:c r="B866" s="50" t="str">
        <x:f>IF(858&gt;$H$4,"",IF(INDEX('Fleet dates'!$B$9:$B$1008,$I866-8)="","",INDEX('Fleet dates'!$B$9:$B$1008,$I866-8)))</x:f>
      </x:c>
      <x:c r="C866" s="51" t="str">
        <x:f>IF(858&gt;$H$4,"",IF(INDEX('Fleet dates'!$C$9:$C$1008,$I866-8)="","",INDEX('Fleet dates'!$C$9:$C$1008,$I866-8)))</x:f>
      </x:c>
      <x:c r="D866" s="51" t="str">
        <x:f>IF(858&gt;$H$4,"",IF(INDEX('Fleet dates'!$D$9:$D$1008,$I866-8)="","",INDEX('Fleet dates'!$D$9:$D$1008,$I866-8)))</x:f>
      </x:c>
      <x:c r="E866" s="51" t="str">
        <x:f>IF(858&gt;$H$4,"",IF(INDEX('Fleet dates'!$E$9:$E$1008,$I866-8)="","",INDEX('Fleet dates'!$E$9:$E$1008,$I866-8)))</x:f>
      </x:c>
      <x:c r="F866" s="51" t="str">
        <x:f>IF(858&gt;$H$4,"",IF(INDEX('Fleet dates'!$F$9:$F$1008,$I866-8)="","",INDEX('Fleet dates'!$F$9:$F$1008,$I866-8)))</x:f>
      </x:c>
      <x:c r="G866" s="50" t="str">
        <x:f>IF(858&gt;$H$4,"",IF(INDEX('Fleet dates'!$G$9:$G$1008,$I866-8)="","",INDEX('Fleet dates'!$G$9:$G$1008,$I866-8)))</x:f>
      </x:c>
      <x:c r="H866" s="50" t="str">
        <x:f>IF(858&gt;$H$4,"",IF(INDEX('Fleet dates'!$I$9:$I$1008,$I866-8)="","",INDEX('Fleet dates'!$I$9:$I$1008,$I866-8)))</x:f>
      </x:c>
      <x:c r="I866" t="str">
        <x:f>IF(858&gt;$H$4,"",MATCH(858,'Fleet dates'!$J$9:$J$1008,0)+8)</x:f>
      </x:c>
    </x:row>
    <x:row r="867" ht="36" customHeight="1">
      <x:c r="A867" s="50" t="str">
        <x:f>IF(859&gt;$H$4,"",IF(INDEX('Fleet dates'!$A$9:$A$1008,$I867-8)="","",INDEX('Fleet dates'!$A$9:$A$1008,$I867-8)))</x:f>
      </x:c>
      <x:c r="B867" s="50" t="str">
        <x:f>IF(859&gt;$H$4,"",IF(INDEX('Fleet dates'!$B$9:$B$1008,$I867-8)="","",INDEX('Fleet dates'!$B$9:$B$1008,$I867-8)))</x:f>
      </x:c>
      <x:c r="C867" s="51" t="str">
        <x:f>IF(859&gt;$H$4,"",IF(INDEX('Fleet dates'!$C$9:$C$1008,$I867-8)="","",INDEX('Fleet dates'!$C$9:$C$1008,$I867-8)))</x:f>
      </x:c>
      <x:c r="D867" s="51" t="str">
        <x:f>IF(859&gt;$H$4,"",IF(INDEX('Fleet dates'!$D$9:$D$1008,$I867-8)="","",INDEX('Fleet dates'!$D$9:$D$1008,$I867-8)))</x:f>
      </x:c>
      <x:c r="E867" s="51" t="str">
        <x:f>IF(859&gt;$H$4,"",IF(INDEX('Fleet dates'!$E$9:$E$1008,$I867-8)="","",INDEX('Fleet dates'!$E$9:$E$1008,$I867-8)))</x:f>
      </x:c>
      <x:c r="F867" s="51" t="str">
        <x:f>IF(859&gt;$H$4,"",IF(INDEX('Fleet dates'!$F$9:$F$1008,$I867-8)="","",INDEX('Fleet dates'!$F$9:$F$1008,$I867-8)))</x:f>
      </x:c>
      <x:c r="G867" s="50" t="str">
        <x:f>IF(859&gt;$H$4,"",IF(INDEX('Fleet dates'!$G$9:$G$1008,$I867-8)="","",INDEX('Fleet dates'!$G$9:$G$1008,$I867-8)))</x:f>
      </x:c>
      <x:c r="H867" s="50" t="str">
        <x:f>IF(859&gt;$H$4,"",IF(INDEX('Fleet dates'!$I$9:$I$1008,$I867-8)="","",INDEX('Fleet dates'!$I$9:$I$1008,$I867-8)))</x:f>
      </x:c>
      <x:c r="I867" t="str">
        <x:f>IF(859&gt;$H$4,"",MATCH(859,'Fleet dates'!$J$9:$J$1008,0)+8)</x:f>
      </x:c>
    </x:row>
    <x:row r="868" ht="36" customHeight="1">
      <x:c r="A868" s="50" t="str">
        <x:f>IF(860&gt;$H$4,"",IF(INDEX('Fleet dates'!$A$9:$A$1008,$I868-8)="","",INDEX('Fleet dates'!$A$9:$A$1008,$I868-8)))</x:f>
      </x:c>
      <x:c r="B868" s="50" t="str">
        <x:f>IF(860&gt;$H$4,"",IF(INDEX('Fleet dates'!$B$9:$B$1008,$I868-8)="","",INDEX('Fleet dates'!$B$9:$B$1008,$I868-8)))</x:f>
      </x:c>
      <x:c r="C868" s="51" t="str">
        <x:f>IF(860&gt;$H$4,"",IF(INDEX('Fleet dates'!$C$9:$C$1008,$I868-8)="","",INDEX('Fleet dates'!$C$9:$C$1008,$I868-8)))</x:f>
      </x:c>
      <x:c r="D868" s="51" t="str">
        <x:f>IF(860&gt;$H$4,"",IF(INDEX('Fleet dates'!$D$9:$D$1008,$I868-8)="","",INDEX('Fleet dates'!$D$9:$D$1008,$I868-8)))</x:f>
      </x:c>
      <x:c r="E868" s="51" t="str">
        <x:f>IF(860&gt;$H$4,"",IF(INDEX('Fleet dates'!$E$9:$E$1008,$I868-8)="","",INDEX('Fleet dates'!$E$9:$E$1008,$I868-8)))</x:f>
      </x:c>
      <x:c r="F868" s="51" t="str">
        <x:f>IF(860&gt;$H$4,"",IF(INDEX('Fleet dates'!$F$9:$F$1008,$I868-8)="","",INDEX('Fleet dates'!$F$9:$F$1008,$I868-8)))</x:f>
      </x:c>
      <x:c r="G868" s="50" t="str">
        <x:f>IF(860&gt;$H$4,"",IF(INDEX('Fleet dates'!$G$9:$G$1008,$I868-8)="","",INDEX('Fleet dates'!$G$9:$G$1008,$I868-8)))</x:f>
      </x:c>
      <x:c r="H868" s="50" t="str">
        <x:f>IF(860&gt;$H$4,"",IF(INDEX('Fleet dates'!$I$9:$I$1008,$I868-8)="","",INDEX('Fleet dates'!$I$9:$I$1008,$I868-8)))</x:f>
      </x:c>
      <x:c r="I868" t="str">
        <x:f>IF(860&gt;$H$4,"",MATCH(860,'Fleet dates'!$J$9:$J$1008,0)+8)</x:f>
      </x:c>
    </x:row>
    <x:row r="869" ht="36" customHeight="1">
      <x:c r="A869" s="50" t="str">
        <x:f>IF(861&gt;$H$4,"",IF(INDEX('Fleet dates'!$A$9:$A$1008,$I869-8)="","",INDEX('Fleet dates'!$A$9:$A$1008,$I869-8)))</x:f>
      </x:c>
      <x:c r="B869" s="50" t="str">
        <x:f>IF(861&gt;$H$4,"",IF(INDEX('Fleet dates'!$B$9:$B$1008,$I869-8)="","",INDEX('Fleet dates'!$B$9:$B$1008,$I869-8)))</x:f>
      </x:c>
      <x:c r="C869" s="51" t="str">
        <x:f>IF(861&gt;$H$4,"",IF(INDEX('Fleet dates'!$C$9:$C$1008,$I869-8)="","",INDEX('Fleet dates'!$C$9:$C$1008,$I869-8)))</x:f>
      </x:c>
      <x:c r="D869" s="51" t="str">
        <x:f>IF(861&gt;$H$4,"",IF(INDEX('Fleet dates'!$D$9:$D$1008,$I869-8)="","",INDEX('Fleet dates'!$D$9:$D$1008,$I869-8)))</x:f>
      </x:c>
      <x:c r="E869" s="51" t="str">
        <x:f>IF(861&gt;$H$4,"",IF(INDEX('Fleet dates'!$E$9:$E$1008,$I869-8)="","",INDEX('Fleet dates'!$E$9:$E$1008,$I869-8)))</x:f>
      </x:c>
      <x:c r="F869" s="51" t="str">
        <x:f>IF(861&gt;$H$4,"",IF(INDEX('Fleet dates'!$F$9:$F$1008,$I869-8)="","",INDEX('Fleet dates'!$F$9:$F$1008,$I869-8)))</x:f>
      </x:c>
      <x:c r="G869" s="50" t="str">
        <x:f>IF(861&gt;$H$4,"",IF(INDEX('Fleet dates'!$G$9:$G$1008,$I869-8)="","",INDEX('Fleet dates'!$G$9:$G$1008,$I869-8)))</x:f>
      </x:c>
      <x:c r="H869" s="50" t="str">
        <x:f>IF(861&gt;$H$4,"",IF(INDEX('Fleet dates'!$I$9:$I$1008,$I869-8)="","",INDEX('Fleet dates'!$I$9:$I$1008,$I869-8)))</x:f>
      </x:c>
      <x:c r="I869" t="str">
        <x:f>IF(861&gt;$H$4,"",MATCH(861,'Fleet dates'!$J$9:$J$1008,0)+8)</x:f>
      </x:c>
    </x:row>
    <x:row r="870" ht="36" customHeight="1">
      <x:c r="A870" s="50" t="str">
        <x:f>IF(862&gt;$H$4,"",IF(INDEX('Fleet dates'!$A$9:$A$1008,$I870-8)="","",INDEX('Fleet dates'!$A$9:$A$1008,$I870-8)))</x:f>
      </x:c>
      <x:c r="B870" s="50" t="str">
        <x:f>IF(862&gt;$H$4,"",IF(INDEX('Fleet dates'!$B$9:$B$1008,$I870-8)="","",INDEX('Fleet dates'!$B$9:$B$1008,$I870-8)))</x:f>
      </x:c>
      <x:c r="C870" s="51" t="str">
        <x:f>IF(862&gt;$H$4,"",IF(INDEX('Fleet dates'!$C$9:$C$1008,$I870-8)="","",INDEX('Fleet dates'!$C$9:$C$1008,$I870-8)))</x:f>
      </x:c>
      <x:c r="D870" s="51" t="str">
        <x:f>IF(862&gt;$H$4,"",IF(INDEX('Fleet dates'!$D$9:$D$1008,$I870-8)="","",INDEX('Fleet dates'!$D$9:$D$1008,$I870-8)))</x:f>
      </x:c>
      <x:c r="E870" s="51" t="str">
        <x:f>IF(862&gt;$H$4,"",IF(INDEX('Fleet dates'!$E$9:$E$1008,$I870-8)="","",INDEX('Fleet dates'!$E$9:$E$1008,$I870-8)))</x:f>
      </x:c>
      <x:c r="F870" s="51" t="str">
        <x:f>IF(862&gt;$H$4,"",IF(INDEX('Fleet dates'!$F$9:$F$1008,$I870-8)="","",INDEX('Fleet dates'!$F$9:$F$1008,$I870-8)))</x:f>
      </x:c>
      <x:c r="G870" s="50" t="str">
        <x:f>IF(862&gt;$H$4,"",IF(INDEX('Fleet dates'!$G$9:$G$1008,$I870-8)="","",INDEX('Fleet dates'!$G$9:$G$1008,$I870-8)))</x:f>
      </x:c>
      <x:c r="H870" s="50" t="str">
        <x:f>IF(862&gt;$H$4,"",IF(INDEX('Fleet dates'!$I$9:$I$1008,$I870-8)="","",INDEX('Fleet dates'!$I$9:$I$1008,$I870-8)))</x:f>
      </x:c>
      <x:c r="I870" t="str">
        <x:f>IF(862&gt;$H$4,"",MATCH(862,'Fleet dates'!$J$9:$J$1008,0)+8)</x:f>
      </x:c>
    </x:row>
    <x:row r="871" ht="36" customHeight="1">
      <x:c r="A871" s="50" t="str">
        <x:f>IF(863&gt;$H$4,"",IF(INDEX('Fleet dates'!$A$9:$A$1008,$I871-8)="","",INDEX('Fleet dates'!$A$9:$A$1008,$I871-8)))</x:f>
      </x:c>
      <x:c r="B871" s="50" t="str">
        <x:f>IF(863&gt;$H$4,"",IF(INDEX('Fleet dates'!$B$9:$B$1008,$I871-8)="","",INDEX('Fleet dates'!$B$9:$B$1008,$I871-8)))</x:f>
      </x:c>
      <x:c r="C871" s="51" t="str">
        <x:f>IF(863&gt;$H$4,"",IF(INDEX('Fleet dates'!$C$9:$C$1008,$I871-8)="","",INDEX('Fleet dates'!$C$9:$C$1008,$I871-8)))</x:f>
      </x:c>
      <x:c r="D871" s="51" t="str">
        <x:f>IF(863&gt;$H$4,"",IF(INDEX('Fleet dates'!$D$9:$D$1008,$I871-8)="","",INDEX('Fleet dates'!$D$9:$D$1008,$I871-8)))</x:f>
      </x:c>
      <x:c r="E871" s="51" t="str">
        <x:f>IF(863&gt;$H$4,"",IF(INDEX('Fleet dates'!$E$9:$E$1008,$I871-8)="","",INDEX('Fleet dates'!$E$9:$E$1008,$I871-8)))</x:f>
      </x:c>
      <x:c r="F871" s="51" t="str">
        <x:f>IF(863&gt;$H$4,"",IF(INDEX('Fleet dates'!$F$9:$F$1008,$I871-8)="","",INDEX('Fleet dates'!$F$9:$F$1008,$I871-8)))</x:f>
      </x:c>
      <x:c r="G871" s="50" t="str">
        <x:f>IF(863&gt;$H$4,"",IF(INDEX('Fleet dates'!$G$9:$G$1008,$I871-8)="","",INDEX('Fleet dates'!$G$9:$G$1008,$I871-8)))</x:f>
      </x:c>
      <x:c r="H871" s="50" t="str">
        <x:f>IF(863&gt;$H$4,"",IF(INDEX('Fleet dates'!$I$9:$I$1008,$I871-8)="","",INDEX('Fleet dates'!$I$9:$I$1008,$I871-8)))</x:f>
      </x:c>
      <x:c r="I871" t="str">
        <x:f>IF(863&gt;$H$4,"",MATCH(863,'Fleet dates'!$J$9:$J$1008,0)+8)</x:f>
      </x:c>
    </x:row>
    <x:row r="872" ht="36" customHeight="1">
      <x:c r="A872" s="50" t="str">
        <x:f>IF(864&gt;$H$4,"",IF(INDEX('Fleet dates'!$A$9:$A$1008,$I872-8)="","",INDEX('Fleet dates'!$A$9:$A$1008,$I872-8)))</x:f>
      </x:c>
      <x:c r="B872" s="50" t="str">
        <x:f>IF(864&gt;$H$4,"",IF(INDEX('Fleet dates'!$B$9:$B$1008,$I872-8)="","",INDEX('Fleet dates'!$B$9:$B$1008,$I872-8)))</x:f>
      </x:c>
      <x:c r="C872" s="51" t="str">
        <x:f>IF(864&gt;$H$4,"",IF(INDEX('Fleet dates'!$C$9:$C$1008,$I872-8)="","",INDEX('Fleet dates'!$C$9:$C$1008,$I872-8)))</x:f>
      </x:c>
      <x:c r="D872" s="51" t="str">
        <x:f>IF(864&gt;$H$4,"",IF(INDEX('Fleet dates'!$D$9:$D$1008,$I872-8)="","",INDEX('Fleet dates'!$D$9:$D$1008,$I872-8)))</x:f>
      </x:c>
      <x:c r="E872" s="51" t="str">
        <x:f>IF(864&gt;$H$4,"",IF(INDEX('Fleet dates'!$E$9:$E$1008,$I872-8)="","",INDEX('Fleet dates'!$E$9:$E$1008,$I872-8)))</x:f>
      </x:c>
      <x:c r="F872" s="51" t="str">
        <x:f>IF(864&gt;$H$4,"",IF(INDEX('Fleet dates'!$F$9:$F$1008,$I872-8)="","",INDEX('Fleet dates'!$F$9:$F$1008,$I872-8)))</x:f>
      </x:c>
      <x:c r="G872" s="50" t="str">
        <x:f>IF(864&gt;$H$4,"",IF(INDEX('Fleet dates'!$G$9:$G$1008,$I872-8)="","",INDEX('Fleet dates'!$G$9:$G$1008,$I872-8)))</x:f>
      </x:c>
      <x:c r="H872" s="50" t="str">
        <x:f>IF(864&gt;$H$4,"",IF(INDEX('Fleet dates'!$I$9:$I$1008,$I872-8)="","",INDEX('Fleet dates'!$I$9:$I$1008,$I872-8)))</x:f>
      </x:c>
      <x:c r="I872" t="str">
        <x:f>IF(864&gt;$H$4,"",MATCH(864,'Fleet dates'!$J$9:$J$1008,0)+8)</x:f>
      </x:c>
    </x:row>
    <x:row r="873" ht="36" customHeight="1">
      <x:c r="A873" s="50" t="str">
        <x:f>IF(865&gt;$H$4,"",IF(INDEX('Fleet dates'!$A$9:$A$1008,$I873-8)="","",INDEX('Fleet dates'!$A$9:$A$1008,$I873-8)))</x:f>
      </x:c>
      <x:c r="B873" s="50" t="str">
        <x:f>IF(865&gt;$H$4,"",IF(INDEX('Fleet dates'!$B$9:$B$1008,$I873-8)="","",INDEX('Fleet dates'!$B$9:$B$1008,$I873-8)))</x:f>
      </x:c>
      <x:c r="C873" s="51" t="str">
        <x:f>IF(865&gt;$H$4,"",IF(INDEX('Fleet dates'!$C$9:$C$1008,$I873-8)="","",INDEX('Fleet dates'!$C$9:$C$1008,$I873-8)))</x:f>
      </x:c>
      <x:c r="D873" s="51" t="str">
        <x:f>IF(865&gt;$H$4,"",IF(INDEX('Fleet dates'!$D$9:$D$1008,$I873-8)="","",INDEX('Fleet dates'!$D$9:$D$1008,$I873-8)))</x:f>
      </x:c>
      <x:c r="E873" s="51" t="str">
        <x:f>IF(865&gt;$H$4,"",IF(INDEX('Fleet dates'!$E$9:$E$1008,$I873-8)="","",INDEX('Fleet dates'!$E$9:$E$1008,$I873-8)))</x:f>
      </x:c>
      <x:c r="F873" s="51" t="str">
        <x:f>IF(865&gt;$H$4,"",IF(INDEX('Fleet dates'!$F$9:$F$1008,$I873-8)="","",INDEX('Fleet dates'!$F$9:$F$1008,$I873-8)))</x:f>
      </x:c>
      <x:c r="G873" s="50" t="str">
        <x:f>IF(865&gt;$H$4,"",IF(INDEX('Fleet dates'!$G$9:$G$1008,$I873-8)="","",INDEX('Fleet dates'!$G$9:$G$1008,$I873-8)))</x:f>
      </x:c>
      <x:c r="H873" s="50" t="str">
        <x:f>IF(865&gt;$H$4,"",IF(INDEX('Fleet dates'!$I$9:$I$1008,$I873-8)="","",INDEX('Fleet dates'!$I$9:$I$1008,$I873-8)))</x:f>
      </x:c>
      <x:c r="I873" t="str">
        <x:f>IF(865&gt;$H$4,"",MATCH(865,'Fleet dates'!$J$9:$J$1008,0)+8)</x:f>
      </x:c>
    </x:row>
    <x:row r="874" ht="36" customHeight="1">
      <x:c r="A874" s="50" t="str">
        <x:f>IF(866&gt;$H$4,"",IF(INDEX('Fleet dates'!$A$9:$A$1008,$I874-8)="","",INDEX('Fleet dates'!$A$9:$A$1008,$I874-8)))</x:f>
      </x:c>
      <x:c r="B874" s="50" t="str">
        <x:f>IF(866&gt;$H$4,"",IF(INDEX('Fleet dates'!$B$9:$B$1008,$I874-8)="","",INDEX('Fleet dates'!$B$9:$B$1008,$I874-8)))</x:f>
      </x:c>
      <x:c r="C874" s="51" t="str">
        <x:f>IF(866&gt;$H$4,"",IF(INDEX('Fleet dates'!$C$9:$C$1008,$I874-8)="","",INDEX('Fleet dates'!$C$9:$C$1008,$I874-8)))</x:f>
      </x:c>
      <x:c r="D874" s="51" t="str">
        <x:f>IF(866&gt;$H$4,"",IF(INDEX('Fleet dates'!$D$9:$D$1008,$I874-8)="","",INDEX('Fleet dates'!$D$9:$D$1008,$I874-8)))</x:f>
      </x:c>
      <x:c r="E874" s="51" t="str">
        <x:f>IF(866&gt;$H$4,"",IF(INDEX('Fleet dates'!$E$9:$E$1008,$I874-8)="","",INDEX('Fleet dates'!$E$9:$E$1008,$I874-8)))</x:f>
      </x:c>
      <x:c r="F874" s="51" t="str">
        <x:f>IF(866&gt;$H$4,"",IF(INDEX('Fleet dates'!$F$9:$F$1008,$I874-8)="","",INDEX('Fleet dates'!$F$9:$F$1008,$I874-8)))</x:f>
      </x:c>
      <x:c r="G874" s="50" t="str">
        <x:f>IF(866&gt;$H$4,"",IF(INDEX('Fleet dates'!$G$9:$G$1008,$I874-8)="","",INDEX('Fleet dates'!$G$9:$G$1008,$I874-8)))</x:f>
      </x:c>
      <x:c r="H874" s="50" t="str">
        <x:f>IF(866&gt;$H$4,"",IF(INDEX('Fleet dates'!$I$9:$I$1008,$I874-8)="","",INDEX('Fleet dates'!$I$9:$I$1008,$I874-8)))</x:f>
      </x:c>
      <x:c r="I874" t="str">
        <x:f>IF(866&gt;$H$4,"",MATCH(866,'Fleet dates'!$J$9:$J$1008,0)+8)</x:f>
      </x:c>
    </x:row>
    <x:row r="875" ht="36" customHeight="1">
      <x:c r="A875" s="50" t="str">
        <x:f>IF(867&gt;$H$4,"",IF(INDEX('Fleet dates'!$A$9:$A$1008,$I875-8)="","",INDEX('Fleet dates'!$A$9:$A$1008,$I875-8)))</x:f>
      </x:c>
      <x:c r="B875" s="50" t="str">
        <x:f>IF(867&gt;$H$4,"",IF(INDEX('Fleet dates'!$B$9:$B$1008,$I875-8)="","",INDEX('Fleet dates'!$B$9:$B$1008,$I875-8)))</x:f>
      </x:c>
      <x:c r="C875" s="51" t="str">
        <x:f>IF(867&gt;$H$4,"",IF(INDEX('Fleet dates'!$C$9:$C$1008,$I875-8)="","",INDEX('Fleet dates'!$C$9:$C$1008,$I875-8)))</x:f>
      </x:c>
      <x:c r="D875" s="51" t="str">
        <x:f>IF(867&gt;$H$4,"",IF(INDEX('Fleet dates'!$D$9:$D$1008,$I875-8)="","",INDEX('Fleet dates'!$D$9:$D$1008,$I875-8)))</x:f>
      </x:c>
      <x:c r="E875" s="51" t="str">
        <x:f>IF(867&gt;$H$4,"",IF(INDEX('Fleet dates'!$E$9:$E$1008,$I875-8)="","",INDEX('Fleet dates'!$E$9:$E$1008,$I875-8)))</x:f>
      </x:c>
      <x:c r="F875" s="51" t="str">
        <x:f>IF(867&gt;$H$4,"",IF(INDEX('Fleet dates'!$F$9:$F$1008,$I875-8)="","",INDEX('Fleet dates'!$F$9:$F$1008,$I875-8)))</x:f>
      </x:c>
      <x:c r="G875" s="50" t="str">
        <x:f>IF(867&gt;$H$4,"",IF(INDEX('Fleet dates'!$G$9:$G$1008,$I875-8)="","",INDEX('Fleet dates'!$G$9:$G$1008,$I875-8)))</x:f>
      </x:c>
      <x:c r="H875" s="50" t="str">
        <x:f>IF(867&gt;$H$4,"",IF(INDEX('Fleet dates'!$I$9:$I$1008,$I875-8)="","",INDEX('Fleet dates'!$I$9:$I$1008,$I875-8)))</x:f>
      </x:c>
      <x:c r="I875" t="str">
        <x:f>IF(867&gt;$H$4,"",MATCH(867,'Fleet dates'!$J$9:$J$1008,0)+8)</x:f>
      </x:c>
    </x:row>
    <x:row r="876" ht="36" customHeight="1">
      <x:c r="A876" s="50" t="str">
        <x:f>IF(868&gt;$H$4,"",IF(INDEX('Fleet dates'!$A$9:$A$1008,$I876-8)="","",INDEX('Fleet dates'!$A$9:$A$1008,$I876-8)))</x:f>
      </x:c>
      <x:c r="B876" s="50" t="str">
        <x:f>IF(868&gt;$H$4,"",IF(INDEX('Fleet dates'!$B$9:$B$1008,$I876-8)="","",INDEX('Fleet dates'!$B$9:$B$1008,$I876-8)))</x:f>
      </x:c>
      <x:c r="C876" s="51" t="str">
        <x:f>IF(868&gt;$H$4,"",IF(INDEX('Fleet dates'!$C$9:$C$1008,$I876-8)="","",INDEX('Fleet dates'!$C$9:$C$1008,$I876-8)))</x:f>
      </x:c>
      <x:c r="D876" s="51" t="str">
        <x:f>IF(868&gt;$H$4,"",IF(INDEX('Fleet dates'!$D$9:$D$1008,$I876-8)="","",INDEX('Fleet dates'!$D$9:$D$1008,$I876-8)))</x:f>
      </x:c>
      <x:c r="E876" s="51" t="str">
        <x:f>IF(868&gt;$H$4,"",IF(INDEX('Fleet dates'!$E$9:$E$1008,$I876-8)="","",INDEX('Fleet dates'!$E$9:$E$1008,$I876-8)))</x:f>
      </x:c>
      <x:c r="F876" s="51" t="str">
        <x:f>IF(868&gt;$H$4,"",IF(INDEX('Fleet dates'!$F$9:$F$1008,$I876-8)="","",INDEX('Fleet dates'!$F$9:$F$1008,$I876-8)))</x:f>
      </x:c>
      <x:c r="G876" s="50" t="str">
        <x:f>IF(868&gt;$H$4,"",IF(INDEX('Fleet dates'!$G$9:$G$1008,$I876-8)="","",INDEX('Fleet dates'!$G$9:$G$1008,$I876-8)))</x:f>
      </x:c>
      <x:c r="H876" s="50" t="str">
        <x:f>IF(868&gt;$H$4,"",IF(INDEX('Fleet dates'!$I$9:$I$1008,$I876-8)="","",INDEX('Fleet dates'!$I$9:$I$1008,$I876-8)))</x:f>
      </x:c>
      <x:c r="I876" t="str">
        <x:f>IF(868&gt;$H$4,"",MATCH(868,'Fleet dates'!$J$9:$J$1008,0)+8)</x:f>
      </x:c>
    </x:row>
    <x:row r="877" ht="36" customHeight="1">
      <x:c r="A877" s="50" t="str">
        <x:f>IF(869&gt;$H$4,"",IF(INDEX('Fleet dates'!$A$9:$A$1008,$I877-8)="","",INDEX('Fleet dates'!$A$9:$A$1008,$I877-8)))</x:f>
      </x:c>
      <x:c r="B877" s="50" t="str">
        <x:f>IF(869&gt;$H$4,"",IF(INDEX('Fleet dates'!$B$9:$B$1008,$I877-8)="","",INDEX('Fleet dates'!$B$9:$B$1008,$I877-8)))</x:f>
      </x:c>
      <x:c r="C877" s="51" t="str">
        <x:f>IF(869&gt;$H$4,"",IF(INDEX('Fleet dates'!$C$9:$C$1008,$I877-8)="","",INDEX('Fleet dates'!$C$9:$C$1008,$I877-8)))</x:f>
      </x:c>
      <x:c r="D877" s="51" t="str">
        <x:f>IF(869&gt;$H$4,"",IF(INDEX('Fleet dates'!$D$9:$D$1008,$I877-8)="","",INDEX('Fleet dates'!$D$9:$D$1008,$I877-8)))</x:f>
      </x:c>
      <x:c r="E877" s="51" t="str">
        <x:f>IF(869&gt;$H$4,"",IF(INDEX('Fleet dates'!$E$9:$E$1008,$I877-8)="","",INDEX('Fleet dates'!$E$9:$E$1008,$I877-8)))</x:f>
      </x:c>
      <x:c r="F877" s="51" t="str">
        <x:f>IF(869&gt;$H$4,"",IF(INDEX('Fleet dates'!$F$9:$F$1008,$I877-8)="","",INDEX('Fleet dates'!$F$9:$F$1008,$I877-8)))</x:f>
      </x:c>
      <x:c r="G877" s="50" t="str">
        <x:f>IF(869&gt;$H$4,"",IF(INDEX('Fleet dates'!$G$9:$G$1008,$I877-8)="","",INDEX('Fleet dates'!$G$9:$G$1008,$I877-8)))</x:f>
      </x:c>
      <x:c r="H877" s="50" t="str">
        <x:f>IF(869&gt;$H$4,"",IF(INDEX('Fleet dates'!$I$9:$I$1008,$I877-8)="","",INDEX('Fleet dates'!$I$9:$I$1008,$I877-8)))</x:f>
      </x:c>
      <x:c r="I877" t="str">
        <x:f>IF(869&gt;$H$4,"",MATCH(869,'Fleet dates'!$J$9:$J$1008,0)+8)</x:f>
      </x:c>
    </x:row>
    <x:row r="878" ht="36" customHeight="1">
      <x:c r="A878" s="50" t="str">
        <x:f>IF(870&gt;$H$4,"",IF(INDEX('Fleet dates'!$A$9:$A$1008,$I878-8)="","",INDEX('Fleet dates'!$A$9:$A$1008,$I878-8)))</x:f>
      </x:c>
      <x:c r="B878" s="50" t="str">
        <x:f>IF(870&gt;$H$4,"",IF(INDEX('Fleet dates'!$B$9:$B$1008,$I878-8)="","",INDEX('Fleet dates'!$B$9:$B$1008,$I878-8)))</x:f>
      </x:c>
      <x:c r="C878" s="51" t="str">
        <x:f>IF(870&gt;$H$4,"",IF(INDEX('Fleet dates'!$C$9:$C$1008,$I878-8)="","",INDEX('Fleet dates'!$C$9:$C$1008,$I878-8)))</x:f>
      </x:c>
      <x:c r="D878" s="51" t="str">
        <x:f>IF(870&gt;$H$4,"",IF(INDEX('Fleet dates'!$D$9:$D$1008,$I878-8)="","",INDEX('Fleet dates'!$D$9:$D$1008,$I878-8)))</x:f>
      </x:c>
      <x:c r="E878" s="51" t="str">
        <x:f>IF(870&gt;$H$4,"",IF(INDEX('Fleet dates'!$E$9:$E$1008,$I878-8)="","",INDEX('Fleet dates'!$E$9:$E$1008,$I878-8)))</x:f>
      </x:c>
      <x:c r="F878" s="51" t="str">
        <x:f>IF(870&gt;$H$4,"",IF(INDEX('Fleet dates'!$F$9:$F$1008,$I878-8)="","",INDEX('Fleet dates'!$F$9:$F$1008,$I878-8)))</x:f>
      </x:c>
      <x:c r="G878" s="50" t="str">
        <x:f>IF(870&gt;$H$4,"",IF(INDEX('Fleet dates'!$G$9:$G$1008,$I878-8)="","",INDEX('Fleet dates'!$G$9:$G$1008,$I878-8)))</x:f>
      </x:c>
      <x:c r="H878" s="50" t="str">
        <x:f>IF(870&gt;$H$4,"",IF(INDEX('Fleet dates'!$I$9:$I$1008,$I878-8)="","",INDEX('Fleet dates'!$I$9:$I$1008,$I878-8)))</x:f>
      </x:c>
      <x:c r="I878" t="str">
        <x:f>IF(870&gt;$H$4,"",MATCH(870,'Fleet dates'!$J$9:$J$1008,0)+8)</x:f>
      </x:c>
    </x:row>
    <x:row r="879" ht="36" customHeight="1">
      <x:c r="A879" s="50" t="str">
        <x:f>IF(871&gt;$H$4,"",IF(INDEX('Fleet dates'!$A$9:$A$1008,$I879-8)="","",INDEX('Fleet dates'!$A$9:$A$1008,$I879-8)))</x:f>
      </x:c>
      <x:c r="B879" s="50" t="str">
        <x:f>IF(871&gt;$H$4,"",IF(INDEX('Fleet dates'!$B$9:$B$1008,$I879-8)="","",INDEX('Fleet dates'!$B$9:$B$1008,$I879-8)))</x:f>
      </x:c>
      <x:c r="C879" s="51" t="str">
        <x:f>IF(871&gt;$H$4,"",IF(INDEX('Fleet dates'!$C$9:$C$1008,$I879-8)="","",INDEX('Fleet dates'!$C$9:$C$1008,$I879-8)))</x:f>
      </x:c>
      <x:c r="D879" s="51" t="str">
        <x:f>IF(871&gt;$H$4,"",IF(INDEX('Fleet dates'!$D$9:$D$1008,$I879-8)="","",INDEX('Fleet dates'!$D$9:$D$1008,$I879-8)))</x:f>
      </x:c>
      <x:c r="E879" s="51" t="str">
        <x:f>IF(871&gt;$H$4,"",IF(INDEX('Fleet dates'!$E$9:$E$1008,$I879-8)="","",INDEX('Fleet dates'!$E$9:$E$1008,$I879-8)))</x:f>
      </x:c>
      <x:c r="F879" s="51" t="str">
        <x:f>IF(871&gt;$H$4,"",IF(INDEX('Fleet dates'!$F$9:$F$1008,$I879-8)="","",INDEX('Fleet dates'!$F$9:$F$1008,$I879-8)))</x:f>
      </x:c>
      <x:c r="G879" s="50" t="str">
        <x:f>IF(871&gt;$H$4,"",IF(INDEX('Fleet dates'!$G$9:$G$1008,$I879-8)="","",INDEX('Fleet dates'!$G$9:$G$1008,$I879-8)))</x:f>
      </x:c>
      <x:c r="H879" s="50" t="str">
        <x:f>IF(871&gt;$H$4,"",IF(INDEX('Fleet dates'!$I$9:$I$1008,$I879-8)="","",INDEX('Fleet dates'!$I$9:$I$1008,$I879-8)))</x:f>
      </x:c>
      <x:c r="I879" t="str">
        <x:f>IF(871&gt;$H$4,"",MATCH(871,'Fleet dates'!$J$9:$J$1008,0)+8)</x:f>
      </x:c>
    </x:row>
    <x:row r="880" ht="36" customHeight="1">
      <x:c r="A880" s="50" t="str">
        <x:f>IF(872&gt;$H$4,"",IF(INDEX('Fleet dates'!$A$9:$A$1008,$I880-8)="","",INDEX('Fleet dates'!$A$9:$A$1008,$I880-8)))</x:f>
      </x:c>
      <x:c r="B880" s="50" t="str">
        <x:f>IF(872&gt;$H$4,"",IF(INDEX('Fleet dates'!$B$9:$B$1008,$I880-8)="","",INDEX('Fleet dates'!$B$9:$B$1008,$I880-8)))</x:f>
      </x:c>
      <x:c r="C880" s="51" t="str">
        <x:f>IF(872&gt;$H$4,"",IF(INDEX('Fleet dates'!$C$9:$C$1008,$I880-8)="","",INDEX('Fleet dates'!$C$9:$C$1008,$I880-8)))</x:f>
      </x:c>
      <x:c r="D880" s="51" t="str">
        <x:f>IF(872&gt;$H$4,"",IF(INDEX('Fleet dates'!$D$9:$D$1008,$I880-8)="","",INDEX('Fleet dates'!$D$9:$D$1008,$I880-8)))</x:f>
      </x:c>
      <x:c r="E880" s="51" t="str">
        <x:f>IF(872&gt;$H$4,"",IF(INDEX('Fleet dates'!$E$9:$E$1008,$I880-8)="","",INDEX('Fleet dates'!$E$9:$E$1008,$I880-8)))</x:f>
      </x:c>
      <x:c r="F880" s="51" t="str">
        <x:f>IF(872&gt;$H$4,"",IF(INDEX('Fleet dates'!$F$9:$F$1008,$I880-8)="","",INDEX('Fleet dates'!$F$9:$F$1008,$I880-8)))</x:f>
      </x:c>
      <x:c r="G880" s="50" t="str">
        <x:f>IF(872&gt;$H$4,"",IF(INDEX('Fleet dates'!$G$9:$G$1008,$I880-8)="","",INDEX('Fleet dates'!$G$9:$G$1008,$I880-8)))</x:f>
      </x:c>
      <x:c r="H880" s="50" t="str">
        <x:f>IF(872&gt;$H$4,"",IF(INDEX('Fleet dates'!$I$9:$I$1008,$I880-8)="","",INDEX('Fleet dates'!$I$9:$I$1008,$I880-8)))</x:f>
      </x:c>
      <x:c r="I880" t="str">
        <x:f>IF(872&gt;$H$4,"",MATCH(872,'Fleet dates'!$J$9:$J$1008,0)+8)</x:f>
      </x:c>
    </x:row>
    <x:row r="881" ht="36" customHeight="1">
      <x:c r="A881" s="50" t="str">
        <x:f>IF(873&gt;$H$4,"",IF(INDEX('Fleet dates'!$A$9:$A$1008,$I881-8)="","",INDEX('Fleet dates'!$A$9:$A$1008,$I881-8)))</x:f>
      </x:c>
      <x:c r="B881" s="50" t="str">
        <x:f>IF(873&gt;$H$4,"",IF(INDEX('Fleet dates'!$B$9:$B$1008,$I881-8)="","",INDEX('Fleet dates'!$B$9:$B$1008,$I881-8)))</x:f>
      </x:c>
      <x:c r="C881" s="51" t="str">
        <x:f>IF(873&gt;$H$4,"",IF(INDEX('Fleet dates'!$C$9:$C$1008,$I881-8)="","",INDEX('Fleet dates'!$C$9:$C$1008,$I881-8)))</x:f>
      </x:c>
      <x:c r="D881" s="51" t="str">
        <x:f>IF(873&gt;$H$4,"",IF(INDEX('Fleet dates'!$D$9:$D$1008,$I881-8)="","",INDEX('Fleet dates'!$D$9:$D$1008,$I881-8)))</x:f>
      </x:c>
      <x:c r="E881" s="51" t="str">
        <x:f>IF(873&gt;$H$4,"",IF(INDEX('Fleet dates'!$E$9:$E$1008,$I881-8)="","",INDEX('Fleet dates'!$E$9:$E$1008,$I881-8)))</x:f>
      </x:c>
      <x:c r="F881" s="51" t="str">
        <x:f>IF(873&gt;$H$4,"",IF(INDEX('Fleet dates'!$F$9:$F$1008,$I881-8)="","",INDEX('Fleet dates'!$F$9:$F$1008,$I881-8)))</x:f>
      </x:c>
      <x:c r="G881" s="50" t="str">
        <x:f>IF(873&gt;$H$4,"",IF(INDEX('Fleet dates'!$G$9:$G$1008,$I881-8)="","",INDEX('Fleet dates'!$G$9:$G$1008,$I881-8)))</x:f>
      </x:c>
      <x:c r="H881" s="50" t="str">
        <x:f>IF(873&gt;$H$4,"",IF(INDEX('Fleet dates'!$I$9:$I$1008,$I881-8)="","",INDEX('Fleet dates'!$I$9:$I$1008,$I881-8)))</x:f>
      </x:c>
      <x:c r="I881" t="str">
        <x:f>IF(873&gt;$H$4,"",MATCH(873,'Fleet dates'!$J$9:$J$1008,0)+8)</x:f>
      </x:c>
    </x:row>
    <x:row r="882" ht="36" customHeight="1">
      <x:c r="A882" s="50" t="str">
        <x:f>IF(874&gt;$H$4,"",IF(INDEX('Fleet dates'!$A$9:$A$1008,$I882-8)="","",INDEX('Fleet dates'!$A$9:$A$1008,$I882-8)))</x:f>
      </x:c>
      <x:c r="B882" s="50" t="str">
        <x:f>IF(874&gt;$H$4,"",IF(INDEX('Fleet dates'!$B$9:$B$1008,$I882-8)="","",INDEX('Fleet dates'!$B$9:$B$1008,$I882-8)))</x:f>
      </x:c>
      <x:c r="C882" s="51" t="str">
        <x:f>IF(874&gt;$H$4,"",IF(INDEX('Fleet dates'!$C$9:$C$1008,$I882-8)="","",INDEX('Fleet dates'!$C$9:$C$1008,$I882-8)))</x:f>
      </x:c>
      <x:c r="D882" s="51" t="str">
        <x:f>IF(874&gt;$H$4,"",IF(INDEX('Fleet dates'!$D$9:$D$1008,$I882-8)="","",INDEX('Fleet dates'!$D$9:$D$1008,$I882-8)))</x:f>
      </x:c>
      <x:c r="E882" s="51" t="str">
        <x:f>IF(874&gt;$H$4,"",IF(INDEX('Fleet dates'!$E$9:$E$1008,$I882-8)="","",INDEX('Fleet dates'!$E$9:$E$1008,$I882-8)))</x:f>
      </x:c>
      <x:c r="F882" s="51" t="str">
        <x:f>IF(874&gt;$H$4,"",IF(INDEX('Fleet dates'!$F$9:$F$1008,$I882-8)="","",INDEX('Fleet dates'!$F$9:$F$1008,$I882-8)))</x:f>
      </x:c>
      <x:c r="G882" s="50" t="str">
        <x:f>IF(874&gt;$H$4,"",IF(INDEX('Fleet dates'!$G$9:$G$1008,$I882-8)="","",INDEX('Fleet dates'!$G$9:$G$1008,$I882-8)))</x:f>
      </x:c>
      <x:c r="H882" s="50" t="str">
        <x:f>IF(874&gt;$H$4,"",IF(INDEX('Fleet dates'!$I$9:$I$1008,$I882-8)="","",INDEX('Fleet dates'!$I$9:$I$1008,$I882-8)))</x:f>
      </x:c>
      <x:c r="I882" t="str">
        <x:f>IF(874&gt;$H$4,"",MATCH(874,'Fleet dates'!$J$9:$J$1008,0)+8)</x:f>
      </x:c>
    </x:row>
    <x:row r="883" ht="36" customHeight="1">
      <x:c r="A883" s="50" t="str">
        <x:f>IF(875&gt;$H$4,"",IF(INDEX('Fleet dates'!$A$9:$A$1008,$I883-8)="","",INDEX('Fleet dates'!$A$9:$A$1008,$I883-8)))</x:f>
      </x:c>
      <x:c r="B883" s="50" t="str">
        <x:f>IF(875&gt;$H$4,"",IF(INDEX('Fleet dates'!$B$9:$B$1008,$I883-8)="","",INDEX('Fleet dates'!$B$9:$B$1008,$I883-8)))</x:f>
      </x:c>
      <x:c r="C883" s="51" t="str">
        <x:f>IF(875&gt;$H$4,"",IF(INDEX('Fleet dates'!$C$9:$C$1008,$I883-8)="","",INDEX('Fleet dates'!$C$9:$C$1008,$I883-8)))</x:f>
      </x:c>
      <x:c r="D883" s="51" t="str">
        <x:f>IF(875&gt;$H$4,"",IF(INDEX('Fleet dates'!$D$9:$D$1008,$I883-8)="","",INDEX('Fleet dates'!$D$9:$D$1008,$I883-8)))</x:f>
      </x:c>
      <x:c r="E883" s="51" t="str">
        <x:f>IF(875&gt;$H$4,"",IF(INDEX('Fleet dates'!$E$9:$E$1008,$I883-8)="","",INDEX('Fleet dates'!$E$9:$E$1008,$I883-8)))</x:f>
      </x:c>
      <x:c r="F883" s="51" t="str">
        <x:f>IF(875&gt;$H$4,"",IF(INDEX('Fleet dates'!$F$9:$F$1008,$I883-8)="","",INDEX('Fleet dates'!$F$9:$F$1008,$I883-8)))</x:f>
      </x:c>
      <x:c r="G883" s="50" t="str">
        <x:f>IF(875&gt;$H$4,"",IF(INDEX('Fleet dates'!$G$9:$G$1008,$I883-8)="","",INDEX('Fleet dates'!$G$9:$G$1008,$I883-8)))</x:f>
      </x:c>
      <x:c r="H883" s="50" t="str">
        <x:f>IF(875&gt;$H$4,"",IF(INDEX('Fleet dates'!$I$9:$I$1008,$I883-8)="","",INDEX('Fleet dates'!$I$9:$I$1008,$I883-8)))</x:f>
      </x:c>
      <x:c r="I883" t="str">
        <x:f>IF(875&gt;$H$4,"",MATCH(875,'Fleet dates'!$J$9:$J$1008,0)+8)</x:f>
      </x:c>
    </x:row>
    <x:row r="884" ht="36" customHeight="1">
      <x:c r="A884" s="50" t="str">
        <x:f>IF(876&gt;$H$4,"",IF(INDEX('Fleet dates'!$A$9:$A$1008,$I884-8)="","",INDEX('Fleet dates'!$A$9:$A$1008,$I884-8)))</x:f>
      </x:c>
      <x:c r="B884" s="50" t="str">
        <x:f>IF(876&gt;$H$4,"",IF(INDEX('Fleet dates'!$B$9:$B$1008,$I884-8)="","",INDEX('Fleet dates'!$B$9:$B$1008,$I884-8)))</x:f>
      </x:c>
      <x:c r="C884" s="51" t="str">
        <x:f>IF(876&gt;$H$4,"",IF(INDEX('Fleet dates'!$C$9:$C$1008,$I884-8)="","",INDEX('Fleet dates'!$C$9:$C$1008,$I884-8)))</x:f>
      </x:c>
      <x:c r="D884" s="51" t="str">
        <x:f>IF(876&gt;$H$4,"",IF(INDEX('Fleet dates'!$D$9:$D$1008,$I884-8)="","",INDEX('Fleet dates'!$D$9:$D$1008,$I884-8)))</x:f>
      </x:c>
      <x:c r="E884" s="51" t="str">
        <x:f>IF(876&gt;$H$4,"",IF(INDEX('Fleet dates'!$E$9:$E$1008,$I884-8)="","",INDEX('Fleet dates'!$E$9:$E$1008,$I884-8)))</x:f>
      </x:c>
      <x:c r="F884" s="51" t="str">
        <x:f>IF(876&gt;$H$4,"",IF(INDEX('Fleet dates'!$F$9:$F$1008,$I884-8)="","",INDEX('Fleet dates'!$F$9:$F$1008,$I884-8)))</x:f>
      </x:c>
      <x:c r="G884" s="50" t="str">
        <x:f>IF(876&gt;$H$4,"",IF(INDEX('Fleet dates'!$G$9:$G$1008,$I884-8)="","",INDEX('Fleet dates'!$G$9:$G$1008,$I884-8)))</x:f>
      </x:c>
      <x:c r="H884" s="50" t="str">
        <x:f>IF(876&gt;$H$4,"",IF(INDEX('Fleet dates'!$I$9:$I$1008,$I884-8)="","",INDEX('Fleet dates'!$I$9:$I$1008,$I884-8)))</x:f>
      </x:c>
      <x:c r="I884" t="str">
        <x:f>IF(876&gt;$H$4,"",MATCH(876,'Fleet dates'!$J$9:$J$1008,0)+8)</x:f>
      </x:c>
    </x:row>
    <x:row r="885" ht="36" customHeight="1">
      <x:c r="A885" s="50" t="str">
        <x:f>IF(877&gt;$H$4,"",IF(INDEX('Fleet dates'!$A$9:$A$1008,$I885-8)="","",INDEX('Fleet dates'!$A$9:$A$1008,$I885-8)))</x:f>
      </x:c>
      <x:c r="B885" s="50" t="str">
        <x:f>IF(877&gt;$H$4,"",IF(INDEX('Fleet dates'!$B$9:$B$1008,$I885-8)="","",INDEX('Fleet dates'!$B$9:$B$1008,$I885-8)))</x:f>
      </x:c>
      <x:c r="C885" s="51" t="str">
        <x:f>IF(877&gt;$H$4,"",IF(INDEX('Fleet dates'!$C$9:$C$1008,$I885-8)="","",INDEX('Fleet dates'!$C$9:$C$1008,$I885-8)))</x:f>
      </x:c>
      <x:c r="D885" s="51" t="str">
        <x:f>IF(877&gt;$H$4,"",IF(INDEX('Fleet dates'!$D$9:$D$1008,$I885-8)="","",INDEX('Fleet dates'!$D$9:$D$1008,$I885-8)))</x:f>
      </x:c>
      <x:c r="E885" s="51" t="str">
        <x:f>IF(877&gt;$H$4,"",IF(INDEX('Fleet dates'!$E$9:$E$1008,$I885-8)="","",INDEX('Fleet dates'!$E$9:$E$1008,$I885-8)))</x:f>
      </x:c>
      <x:c r="F885" s="51" t="str">
        <x:f>IF(877&gt;$H$4,"",IF(INDEX('Fleet dates'!$F$9:$F$1008,$I885-8)="","",INDEX('Fleet dates'!$F$9:$F$1008,$I885-8)))</x:f>
      </x:c>
      <x:c r="G885" s="50" t="str">
        <x:f>IF(877&gt;$H$4,"",IF(INDEX('Fleet dates'!$G$9:$G$1008,$I885-8)="","",INDEX('Fleet dates'!$G$9:$G$1008,$I885-8)))</x:f>
      </x:c>
      <x:c r="H885" s="50" t="str">
        <x:f>IF(877&gt;$H$4,"",IF(INDEX('Fleet dates'!$I$9:$I$1008,$I885-8)="","",INDEX('Fleet dates'!$I$9:$I$1008,$I885-8)))</x:f>
      </x:c>
      <x:c r="I885" t="str">
        <x:f>IF(877&gt;$H$4,"",MATCH(877,'Fleet dates'!$J$9:$J$1008,0)+8)</x:f>
      </x:c>
    </x:row>
    <x:row r="886" ht="36" customHeight="1">
      <x:c r="A886" s="50" t="str">
        <x:f>IF(878&gt;$H$4,"",IF(INDEX('Fleet dates'!$A$9:$A$1008,$I886-8)="","",INDEX('Fleet dates'!$A$9:$A$1008,$I886-8)))</x:f>
      </x:c>
      <x:c r="B886" s="50" t="str">
        <x:f>IF(878&gt;$H$4,"",IF(INDEX('Fleet dates'!$B$9:$B$1008,$I886-8)="","",INDEX('Fleet dates'!$B$9:$B$1008,$I886-8)))</x:f>
      </x:c>
      <x:c r="C886" s="51" t="str">
        <x:f>IF(878&gt;$H$4,"",IF(INDEX('Fleet dates'!$C$9:$C$1008,$I886-8)="","",INDEX('Fleet dates'!$C$9:$C$1008,$I886-8)))</x:f>
      </x:c>
      <x:c r="D886" s="51" t="str">
        <x:f>IF(878&gt;$H$4,"",IF(INDEX('Fleet dates'!$D$9:$D$1008,$I886-8)="","",INDEX('Fleet dates'!$D$9:$D$1008,$I886-8)))</x:f>
      </x:c>
      <x:c r="E886" s="51" t="str">
        <x:f>IF(878&gt;$H$4,"",IF(INDEX('Fleet dates'!$E$9:$E$1008,$I886-8)="","",INDEX('Fleet dates'!$E$9:$E$1008,$I886-8)))</x:f>
      </x:c>
      <x:c r="F886" s="51" t="str">
        <x:f>IF(878&gt;$H$4,"",IF(INDEX('Fleet dates'!$F$9:$F$1008,$I886-8)="","",INDEX('Fleet dates'!$F$9:$F$1008,$I886-8)))</x:f>
      </x:c>
      <x:c r="G886" s="50" t="str">
        <x:f>IF(878&gt;$H$4,"",IF(INDEX('Fleet dates'!$G$9:$G$1008,$I886-8)="","",INDEX('Fleet dates'!$G$9:$G$1008,$I886-8)))</x:f>
      </x:c>
      <x:c r="H886" s="50" t="str">
        <x:f>IF(878&gt;$H$4,"",IF(INDEX('Fleet dates'!$I$9:$I$1008,$I886-8)="","",INDEX('Fleet dates'!$I$9:$I$1008,$I886-8)))</x:f>
      </x:c>
      <x:c r="I886" t="str">
        <x:f>IF(878&gt;$H$4,"",MATCH(878,'Fleet dates'!$J$9:$J$1008,0)+8)</x:f>
      </x:c>
    </x:row>
    <x:row r="887" ht="36" customHeight="1">
      <x:c r="A887" s="50" t="str">
        <x:f>IF(879&gt;$H$4,"",IF(INDEX('Fleet dates'!$A$9:$A$1008,$I887-8)="","",INDEX('Fleet dates'!$A$9:$A$1008,$I887-8)))</x:f>
      </x:c>
      <x:c r="B887" s="50" t="str">
        <x:f>IF(879&gt;$H$4,"",IF(INDEX('Fleet dates'!$B$9:$B$1008,$I887-8)="","",INDEX('Fleet dates'!$B$9:$B$1008,$I887-8)))</x:f>
      </x:c>
      <x:c r="C887" s="51" t="str">
        <x:f>IF(879&gt;$H$4,"",IF(INDEX('Fleet dates'!$C$9:$C$1008,$I887-8)="","",INDEX('Fleet dates'!$C$9:$C$1008,$I887-8)))</x:f>
      </x:c>
      <x:c r="D887" s="51" t="str">
        <x:f>IF(879&gt;$H$4,"",IF(INDEX('Fleet dates'!$D$9:$D$1008,$I887-8)="","",INDEX('Fleet dates'!$D$9:$D$1008,$I887-8)))</x:f>
      </x:c>
      <x:c r="E887" s="51" t="str">
        <x:f>IF(879&gt;$H$4,"",IF(INDEX('Fleet dates'!$E$9:$E$1008,$I887-8)="","",INDEX('Fleet dates'!$E$9:$E$1008,$I887-8)))</x:f>
      </x:c>
      <x:c r="F887" s="51" t="str">
        <x:f>IF(879&gt;$H$4,"",IF(INDEX('Fleet dates'!$F$9:$F$1008,$I887-8)="","",INDEX('Fleet dates'!$F$9:$F$1008,$I887-8)))</x:f>
      </x:c>
      <x:c r="G887" s="50" t="str">
        <x:f>IF(879&gt;$H$4,"",IF(INDEX('Fleet dates'!$G$9:$G$1008,$I887-8)="","",INDEX('Fleet dates'!$G$9:$G$1008,$I887-8)))</x:f>
      </x:c>
      <x:c r="H887" s="50" t="str">
        <x:f>IF(879&gt;$H$4,"",IF(INDEX('Fleet dates'!$I$9:$I$1008,$I887-8)="","",INDEX('Fleet dates'!$I$9:$I$1008,$I887-8)))</x:f>
      </x:c>
      <x:c r="I887" t="str">
        <x:f>IF(879&gt;$H$4,"",MATCH(879,'Fleet dates'!$J$9:$J$1008,0)+8)</x:f>
      </x:c>
    </x:row>
    <x:row r="888" ht="36" customHeight="1">
      <x:c r="A888" s="50" t="str">
        <x:f>IF(880&gt;$H$4,"",IF(INDEX('Fleet dates'!$A$9:$A$1008,$I888-8)="","",INDEX('Fleet dates'!$A$9:$A$1008,$I888-8)))</x:f>
      </x:c>
      <x:c r="B888" s="50" t="str">
        <x:f>IF(880&gt;$H$4,"",IF(INDEX('Fleet dates'!$B$9:$B$1008,$I888-8)="","",INDEX('Fleet dates'!$B$9:$B$1008,$I888-8)))</x:f>
      </x:c>
      <x:c r="C888" s="51" t="str">
        <x:f>IF(880&gt;$H$4,"",IF(INDEX('Fleet dates'!$C$9:$C$1008,$I888-8)="","",INDEX('Fleet dates'!$C$9:$C$1008,$I888-8)))</x:f>
      </x:c>
      <x:c r="D888" s="51" t="str">
        <x:f>IF(880&gt;$H$4,"",IF(INDEX('Fleet dates'!$D$9:$D$1008,$I888-8)="","",INDEX('Fleet dates'!$D$9:$D$1008,$I888-8)))</x:f>
      </x:c>
      <x:c r="E888" s="51" t="str">
        <x:f>IF(880&gt;$H$4,"",IF(INDEX('Fleet dates'!$E$9:$E$1008,$I888-8)="","",INDEX('Fleet dates'!$E$9:$E$1008,$I888-8)))</x:f>
      </x:c>
      <x:c r="F888" s="51" t="str">
        <x:f>IF(880&gt;$H$4,"",IF(INDEX('Fleet dates'!$F$9:$F$1008,$I888-8)="","",INDEX('Fleet dates'!$F$9:$F$1008,$I888-8)))</x:f>
      </x:c>
      <x:c r="G888" s="50" t="str">
        <x:f>IF(880&gt;$H$4,"",IF(INDEX('Fleet dates'!$G$9:$G$1008,$I888-8)="","",INDEX('Fleet dates'!$G$9:$G$1008,$I888-8)))</x:f>
      </x:c>
      <x:c r="H888" s="50" t="str">
        <x:f>IF(880&gt;$H$4,"",IF(INDEX('Fleet dates'!$I$9:$I$1008,$I888-8)="","",INDEX('Fleet dates'!$I$9:$I$1008,$I888-8)))</x:f>
      </x:c>
      <x:c r="I888" t="str">
        <x:f>IF(880&gt;$H$4,"",MATCH(880,'Fleet dates'!$J$9:$J$1008,0)+8)</x:f>
      </x:c>
    </x:row>
    <x:row r="889" ht="36" customHeight="1">
      <x:c r="A889" s="50" t="str">
        <x:f>IF(881&gt;$H$4,"",IF(INDEX('Fleet dates'!$A$9:$A$1008,$I889-8)="","",INDEX('Fleet dates'!$A$9:$A$1008,$I889-8)))</x:f>
      </x:c>
      <x:c r="B889" s="50" t="str">
        <x:f>IF(881&gt;$H$4,"",IF(INDEX('Fleet dates'!$B$9:$B$1008,$I889-8)="","",INDEX('Fleet dates'!$B$9:$B$1008,$I889-8)))</x:f>
      </x:c>
      <x:c r="C889" s="51" t="str">
        <x:f>IF(881&gt;$H$4,"",IF(INDEX('Fleet dates'!$C$9:$C$1008,$I889-8)="","",INDEX('Fleet dates'!$C$9:$C$1008,$I889-8)))</x:f>
      </x:c>
      <x:c r="D889" s="51" t="str">
        <x:f>IF(881&gt;$H$4,"",IF(INDEX('Fleet dates'!$D$9:$D$1008,$I889-8)="","",INDEX('Fleet dates'!$D$9:$D$1008,$I889-8)))</x:f>
      </x:c>
      <x:c r="E889" s="51" t="str">
        <x:f>IF(881&gt;$H$4,"",IF(INDEX('Fleet dates'!$E$9:$E$1008,$I889-8)="","",INDEX('Fleet dates'!$E$9:$E$1008,$I889-8)))</x:f>
      </x:c>
      <x:c r="F889" s="51" t="str">
        <x:f>IF(881&gt;$H$4,"",IF(INDEX('Fleet dates'!$F$9:$F$1008,$I889-8)="","",INDEX('Fleet dates'!$F$9:$F$1008,$I889-8)))</x:f>
      </x:c>
      <x:c r="G889" s="50" t="str">
        <x:f>IF(881&gt;$H$4,"",IF(INDEX('Fleet dates'!$G$9:$G$1008,$I889-8)="","",INDEX('Fleet dates'!$G$9:$G$1008,$I889-8)))</x:f>
      </x:c>
      <x:c r="H889" s="50" t="str">
        <x:f>IF(881&gt;$H$4,"",IF(INDEX('Fleet dates'!$I$9:$I$1008,$I889-8)="","",INDEX('Fleet dates'!$I$9:$I$1008,$I889-8)))</x:f>
      </x:c>
      <x:c r="I889" t="str">
        <x:f>IF(881&gt;$H$4,"",MATCH(881,'Fleet dates'!$J$9:$J$1008,0)+8)</x:f>
      </x:c>
    </x:row>
    <x:row r="890" ht="36" customHeight="1">
      <x:c r="A890" s="50" t="str">
        <x:f>IF(882&gt;$H$4,"",IF(INDEX('Fleet dates'!$A$9:$A$1008,$I890-8)="","",INDEX('Fleet dates'!$A$9:$A$1008,$I890-8)))</x:f>
      </x:c>
      <x:c r="B890" s="50" t="str">
        <x:f>IF(882&gt;$H$4,"",IF(INDEX('Fleet dates'!$B$9:$B$1008,$I890-8)="","",INDEX('Fleet dates'!$B$9:$B$1008,$I890-8)))</x:f>
      </x:c>
      <x:c r="C890" s="51" t="str">
        <x:f>IF(882&gt;$H$4,"",IF(INDEX('Fleet dates'!$C$9:$C$1008,$I890-8)="","",INDEX('Fleet dates'!$C$9:$C$1008,$I890-8)))</x:f>
      </x:c>
      <x:c r="D890" s="51" t="str">
        <x:f>IF(882&gt;$H$4,"",IF(INDEX('Fleet dates'!$D$9:$D$1008,$I890-8)="","",INDEX('Fleet dates'!$D$9:$D$1008,$I890-8)))</x:f>
      </x:c>
      <x:c r="E890" s="51" t="str">
        <x:f>IF(882&gt;$H$4,"",IF(INDEX('Fleet dates'!$E$9:$E$1008,$I890-8)="","",INDEX('Fleet dates'!$E$9:$E$1008,$I890-8)))</x:f>
      </x:c>
      <x:c r="F890" s="51" t="str">
        <x:f>IF(882&gt;$H$4,"",IF(INDEX('Fleet dates'!$F$9:$F$1008,$I890-8)="","",INDEX('Fleet dates'!$F$9:$F$1008,$I890-8)))</x:f>
      </x:c>
      <x:c r="G890" s="50" t="str">
        <x:f>IF(882&gt;$H$4,"",IF(INDEX('Fleet dates'!$G$9:$G$1008,$I890-8)="","",INDEX('Fleet dates'!$G$9:$G$1008,$I890-8)))</x:f>
      </x:c>
      <x:c r="H890" s="50" t="str">
        <x:f>IF(882&gt;$H$4,"",IF(INDEX('Fleet dates'!$I$9:$I$1008,$I890-8)="","",INDEX('Fleet dates'!$I$9:$I$1008,$I890-8)))</x:f>
      </x:c>
      <x:c r="I890" t="str">
        <x:f>IF(882&gt;$H$4,"",MATCH(882,'Fleet dates'!$J$9:$J$1008,0)+8)</x:f>
      </x:c>
    </x:row>
    <x:row r="891" ht="36" customHeight="1">
      <x:c r="A891" s="50" t="str">
        <x:f>IF(883&gt;$H$4,"",IF(INDEX('Fleet dates'!$A$9:$A$1008,$I891-8)="","",INDEX('Fleet dates'!$A$9:$A$1008,$I891-8)))</x:f>
      </x:c>
      <x:c r="B891" s="50" t="str">
        <x:f>IF(883&gt;$H$4,"",IF(INDEX('Fleet dates'!$B$9:$B$1008,$I891-8)="","",INDEX('Fleet dates'!$B$9:$B$1008,$I891-8)))</x:f>
      </x:c>
      <x:c r="C891" s="51" t="str">
        <x:f>IF(883&gt;$H$4,"",IF(INDEX('Fleet dates'!$C$9:$C$1008,$I891-8)="","",INDEX('Fleet dates'!$C$9:$C$1008,$I891-8)))</x:f>
      </x:c>
      <x:c r="D891" s="51" t="str">
        <x:f>IF(883&gt;$H$4,"",IF(INDEX('Fleet dates'!$D$9:$D$1008,$I891-8)="","",INDEX('Fleet dates'!$D$9:$D$1008,$I891-8)))</x:f>
      </x:c>
      <x:c r="E891" s="51" t="str">
        <x:f>IF(883&gt;$H$4,"",IF(INDEX('Fleet dates'!$E$9:$E$1008,$I891-8)="","",INDEX('Fleet dates'!$E$9:$E$1008,$I891-8)))</x:f>
      </x:c>
      <x:c r="F891" s="51" t="str">
        <x:f>IF(883&gt;$H$4,"",IF(INDEX('Fleet dates'!$F$9:$F$1008,$I891-8)="","",INDEX('Fleet dates'!$F$9:$F$1008,$I891-8)))</x:f>
      </x:c>
      <x:c r="G891" s="50" t="str">
        <x:f>IF(883&gt;$H$4,"",IF(INDEX('Fleet dates'!$G$9:$G$1008,$I891-8)="","",INDEX('Fleet dates'!$G$9:$G$1008,$I891-8)))</x:f>
      </x:c>
      <x:c r="H891" s="50" t="str">
        <x:f>IF(883&gt;$H$4,"",IF(INDEX('Fleet dates'!$I$9:$I$1008,$I891-8)="","",INDEX('Fleet dates'!$I$9:$I$1008,$I891-8)))</x:f>
      </x:c>
      <x:c r="I891" t="str">
        <x:f>IF(883&gt;$H$4,"",MATCH(883,'Fleet dates'!$J$9:$J$1008,0)+8)</x:f>
      </x:c>
    </x:row>
    <x:row r="892" ht="36" customHeight="1">
      <x:c r="A892" s="50" t="str">
        <x:f>IF(884&gt;$H$4,"",IF(INDEX('Fleet dates'!$A$9:$A$1008,$I892-8)="","",INDEX('Fleet dates'!$A$9:$A$1008,$I892-8)))</x:f>
      </x:c>
      <x:c r="B892" s="50" t="str">
        <x:f>IF(884&gt;$H$4,"",IF(INDEX('Fleet dates'!$B$9:$B$1008,$I892-8)="","",INDEX('Fleet dates'!$B$9:$B$1008,$I892-8)))</x:f>
      </x:c>
      <x:c r="C892" s="51" t="str">
        <x:f>IF(884&gt;$H$4,"",IF(INDEX('Fleet dates'!$C$9:$C$1008,$I892-8)="","",INDEX('Fleet dates'!$C$9:$C$1008,$I892-8)))</x:f>
      </x:c>
      <x:c r="D892" s="51" t="str">
        <x:f>IF(884&gt;$H$4,"",IF(INDEX('Fleet dates'!$D$9:$D$1008,$I892-8)="","",INDEX('Fleet dates'!$D$9:$D$1008,$I892-8)))</x:f>
      </x:c>
      <x:c r="E892" s="51" t="str">
        <x:f>IF(884&gt;$H$4,"",IF(INDEX('Fleet dates'!$E$9:$E$1008,$I892-8)="","",INDEX('Fleet dates'!$E$9:$E$1008,$I892-8)))</x:f>
      </x:c>
      <x:c r="F892" s="51" t="str">
        <x:f>IF(884&gt;$H$4,"",IF(INDEX('Fleet dates'!$F$9:$F$1008,$I892-8)="","",INDEX('Fleet dates'!$F$9:$F$1008,$I892-8)))</x:f>
      </x:c>
      <x:c r="G892" s="50" t="str">
        <x:f>IF(884&gt;$H$4,"",IF(INDEX('Fleet dates'!$G$9:$G$1008,$I892-8)="","",INDEX('Fleet dates'!$G$9:$G$1008,$I892-8)))</x:f>
      </x:c>
      <x:c r="H892" s="50" t="str">
        <x:f>IF(884&gt;$H$4,"",IF(INDEX('Fleet dates'!$I$9:$I$1008,$I892-8)="","",INDEX('Fleet dates'!$I$9:$I$1008,$I892-8)))</x:f>
      </x:c>
      <x:c r="I892" t="str">
        <x:f>IF(884&gt;$H$4,"",MATCH(884,'Fleet dates'!$J$9:$J$1008,0)+8)</x:f>
      </x:c>
    </x:row>
    <x:row r="893" ht="36" customHeight="1">
      <x:c r="A893" s="50" t="str">
        <x:f>IF(885&gt;$H$4,"",IF(INDEX('Fleet dates'!$A$9:$A$1008,$I893-8)="","",INDEX('Fleet dates'!$A$9:$A$1008,$I893-8)))</x:f>
      </x:c>
      <x:c r="B893" s="50" t="str">
        <x:f>IF(885&gt;$H$4,"",IF(INDEX('Fleet dates'!$B$9:$B$1008,$I893-8)="","",INDEX('Fleet dates'!$B$9:$B$1008,$I893-8)))</x:f>
      </x:c>
      <x:c r="C893" s="51" t="str">
        <x:f>IF(885&gt;$H$4,"",IF(INDEX('Fleet dates'!$C$9:$C$1008,$I893-8)="","",INDEX('Fleet dates'!$C$9:$C$1008,$I893-8)))</x:f>
      </x:c>
      <x:c r="D893" s="51" t="str">
        <x:f>IF(885&gt;$H$4,"",IF(INDEX('Fleet dates'!$D$9:$D$1008,$I893-8)="","",INDEX('Fleet dates'!$D$9:$D$1008,$I893-8)))</x:f>
      </x:c>
      <x:c r="E893" s="51" t="str">
        <x:f>IF(885&gt;$H$4,"",IF(INDEX('Fleet dates'!$E$9:$E$1008,$I893-8)="","",INDEX('Fleet dates'!$E$9:$E$1008,$I893-8)))</x:f>
      </x:c>
      <x:c r="F893" s="51" t="str">
        <x:f>IF(885&gt;$H$4,"",IF(INDEX('Fleet dates'!$F$9:$F$1008,$I893-8)="","",INDEX('Fleet dates'!$F$9:$F$1008,$I893-8)))</x:f>
      </x:c>
      <x:c r="G893" s="50" t="str">
        <x:f>IF(885&gt;$H$4,"",IF(INDEX('Fleet dates'!$G$9:$G$1008,$I893-8)="","",INDEX('Fleet dates'!$G$9:$G$1008,$I893-8)))</x:f>
      </x:c>
      <x:c r="H893" s="50" t="str">
        <x:f>IF(885&gt;$H$4,"",IF(INDEX('Fleet dates'!$I$9:$I$1008,$I893-8)="","",INDEX('Fleet dates'!$I$9:$I$1008,$I893-8)))</x:f>
      </x:c>
      <x:c r="I893" t="str">
        <x:f>IF(885&gt;$H$4,"",MATCH(885,'Fleet dates'!$J$9:$J$1008,0)+8)</x:f>
      </x:c>
    </x:row>
    <x:row r="894" ht="36" customHeight="1">
      <x:c r="A894" s="50" t="str">
        <x:f>IF(886&gt;$H$4,"",IF(INDEX('Fleet dates'!$A$9:$A$1008,$I894-8)="","",INDEX('Fleet dates'!$A$9:$A$1008,$I894-8)))</x:f>
      </x:c>
      <x:c r="B894" s="50" t="str">
        <x:f>IF(886&gt;$H$4,"",IF(INDEX('Fleet dates'!$B$9:$B$1008,$I894-8)="","",INDEX('Fleet dates'!$B$9:$B$1008,$I894-8)))</x:f>
      </x:c>
      <x:c r="C894" s="51" t="str">
        <x:f>IF(886&gt;$H$4,"",IF(INDEX('Fleet dates'!$C$9:$C$1008,$I894-8)="","",INDEX('Fleet dates'!$C$9:$C$1008,$I894-8)))</x:f>
      </x:c>
      <x:c r="D894" s="51" t="str">
        <x:f>IF(886&gt;$H$4,"",IF(INDEX('Fleet dates'!$D$9:$D$1008,$I894-8)="","",INDEX('Fleet dates'!$D$9:$D$1008,$I894-8)))</x:f>
      </x:c>
      <x:c r="E894" s="51" t="str">
        <x:f>IF(886&gt;$H$4,"",IF(INDEX('Fleet dates'!$E$9:$E$1008,$I894-8)="","",INDEX('Fleet dates'!$E$9:$E$1008,$I894-8)))</x:f>
      </x:c>
      <x:c r="F894" s="51" t="str">
        <x:f>IF(886&gt;$H$4,"",IF(INDEX('Fleet dates'!$F$9:$F$1008,$I894-8)="","",INDEX('Fleet dates'!$F$9:$F$1008,$I894-8)))</x:f>
      </x:c>
      <x:c r="G894" s="50" t="str">
        <x:f>IF(886&gt;$H$4,"",IF(INDEX('Fleet dates'!$G$9:$G$1008,$I894-8)="","",INDEX('Fleet dates'!$G$9:$G$1008,$I894-8)))</x:f>
      </x:c>
      <x:c r="H894" s="50" t="str">
        <x:f>IF(886&gt;$H$4,"",IF(INDEX('Fleet dates'!$I$9:$I$1008,$I894-8)="","",INDEX('Fleet dates'!$I$9:$I$1008,$I894-8)))</x:f>
      </x:c>
      <x:c r="I894" t="str">
        <x:f>IF(886&gt;$H$4,"",MATCH(886,'Fleet dates'!$J$9:$J$1008,0)+8)</x:f>
      </x:c>
    </x:row>
    <x:row r="895" ht="36" customHeight="1">
      <x:c r="A895" s="50" t="str">
        <x:f>IF(887&gt;$H$4,"",IF(INDEX('Fleet dates'!$A$9:$A$1008,$I895-8)="","",INDEX('Fleet dates'!$A$9:$A$1008,$I895-8)))</x:f>
      </x:c>
      <x:c r="B895" s="50" t="str">
        <x:f>IF(887&gt;$H$4,"",IF(INDEX('Fleet dates'!$B$9:$B$1008,$I895-8)="","",INDEX('Fleet dates'!$B$9:$B$1008,$I895-8)))</x:f>
      </x:c>
      <x:c r="C895" s="51" t="str">
        <x:f>IF(887&gt;$H$4,"",IF(INDEX('Fleet dates'!$C$9:$C$1008,$I895-8)="","",INDEX('Fleet dates'!$C$9:$C$1008,$I895-8)))</x:f>
      </x:c>
      <x:c r="D895" s="51" t="str">
        <x:f>IF(887&gt;$H$4,"",IF(INDEX('Fleet dates'!$D$9:$D$1008,$I895-8)="","",INDEX('Fleet dates'!$D$9:$D$1008,$I895-8)))</x:f>
      </x:c>
      <x:c r="E895" s="51" t="str">
        <x:f>IF(887&gt;$H$4,"",IF(INDEX('Fleet dates'!$E$9:$E$1008,$I895-8)="","",INDEX('Fleet dates'!$E$9:$E$1008,$I895-8)))</x:f>
      </x:c>
      <x:c r="F895" s="51" t="str">
        <x:f>IF(887&gt;$H$4,"",IF(INDEX('Fleet dates'!$F$9:$F$1008,$I895-8)="","",INDEX('Fleet dates'!$F$9:$F$1008,$I895-8)))</x:f>
      </x:c>
      <x:c r="G895" s="50" t="str">
        <x:f>IF(887&gt;$H$4,"",IF(INDEX('Fleet dates'!$G$9:$G$1008,$I895-8)="","",INDEX('Fleet dates'!$G$9:$G$1008,$I895-8)))</x:f>
      </x:c>
      <x:c r="H895" s="50" t="str">
        <x:f>IF(887&gt;$H$4,"",IF(INDEX('Fleet dates'!$I$9:$I$1008,$I895-8)="","",INDEX('Fleet dates'!$I$9:$I$1008,$I895-8)))</x:f>
      </x:c>
      <x:c r="I895" t="str">
        <x:f>IF(887&gt;$H$4,"",MATCH(887,'Fleet dates'!$J$9:$J$1008,0)+8)</x:f>
      </x:c>
    </x:row>
    <x:row r="896" ht="36" customHeight="1">
      <x:c r="A896" s="50" t="str">
        <x:f>IF(888&gt;$H$4,"",IF(INDEX('Fleet dates'!$A$9:$A$1008,$I896-8)="","",INDEX('Fleet dates'!$A$9:$A$1008,$I896-8)))</x:f>
      </x:c>
      <x:c r="B896" s="50" t="str">
        <x:f>IF(888&gt;$H$4,"",IF(INDEX('Fleet dates'!$B$9:$B$1008,$I896-8)="","",INDEX('Fleet dates'!$B$9:$B$1008,$I896-8)))</x:f>
      </x:c>
      <x:c r="C896" s="51" t="str">
        <x:f>IF(888&gt;$H$4,"",IF(INDEX('Fleet dates'!$C$9:$C$1008,$I896-8)="","",INDEX('Fleet dates'!$C$9:$C$1008,$I896-8)))</x:f>
      </x:c>
      <x:c r="D896" s="51" t="str">
        <x:f>IF(888&gt;$H$4,"",IF(INDEX('Fleet dates'!$D$9:$D$1008,$I896-8)="","",INDEX('Fleet dates'!$D$9:$D$1008,$I896-8)))</x:f>
      </x:c>
      <x:c r="E896" s="51" t="str">
        <x:f>IF(888&gt;$H$4,"",IF(INDEX('Fleet dates'!$E$9:$E$1008,$I896-8)="","",INDEX('Fleet dates'!$E$9:$E$1008,$I896-8)))</x:f>
      </x:c>
      <x:c r="F896" s="51" t="str">
        <x:f>IF(888&gt;$H$4,"",IF(INDEX('Fleet dates'!$F$9:$F$1008,$I896-8)="","",INDEX('Fleet dates'!$F$9:$F$1008,$I896-8)))</x:f>
      </x:c>
      <x:c r="G896" s="50" t="str">
        <x:f>IF(888&gt;$H$4,"",IF(INDEX('Fleet dates'!$G$9:$G$1008,$I896-8)="","",INDEX('Fleet dates'!$G$9:$G$1008,$I896-8)))</x:f>
      </x:c>
      <x:c r="H896" s="50" t="str">
        <x:f>IF(888&gt;$H$4,"",IF(INDEX('Fleet dates'!$I$9:$I$1008,$I896-8)="","",INDEX('Fleet dates'!$I$9:$I$1008,$I896-8)))</x:f>
      </x:c>
      <x:c r="I896" t="str">
        <x:f>IF(888&gt;$H$4,"",MATCH(888,'Fleet dates'!$J$9:$J$1008,0)+8)</x:f>
      </x:c>
    </x:row>
    <x:row r="897" ht="36" customHeight="1">
      <x:c r="A897" s="50" t="str">
        <x:f>IF(889&gt;$H$4,"",IF(INDEX('Fleet dates'!$A$9:$A$1008,$I897-8)="","",INDEX('Fleet dates'!$A$9:$A$1008,$I897-8)))</x:f>
      </x:c>
      <x:c r="B897" s="50" t="str">
        <x:f>IF(889&gt;$H$4,"",IF(INDEX('Fleet dates'!$B$9:$B$1008,$I897-8)="","",INDEX('Fleet dates'!$B$9:$B$1008,$I897-8)))</x:f>
      </x:c>
      <x:c r="C897" s="51" t="str">
        <x:f>IF(889&gt;$H$4,"",IF(INDEX('Fleet dates'!$C$9:$C$1008,$I897-8)="","",INDEX('Fleet dates'!$C$9:$C$1008,$I897-8)))</x:f>
      </x:c>
      <x:c r="D897" s="51" t="str">
        <x:f>IF(889&gt;$H$4,"",IF(INDEX('Fleet dates'!$D$9:$D$1008,$I897-8)="","",INDEX('Fleet dates'!$D$9:$D$1008,$I897-8)))</x:f>
      </x:c>
      <x:c r="E897" s="51" t="str">
        <x:f>IF(889&gt;$H$4,"",IF(INDEX('Fleet dates'!$E$9:$E$1008,$I897-8)="","",INDEX('Fleet dates'!$E$9:$E$1008,$I897-8)))</x:f>
      </x:c>
      <x:c r="F897" s="51" t="str">
        <x:f>IF(889&gt;$H$4,"",IF(INDEX('Fleet dates'!$F$9:$F$1008,$I897-8)="","",INDEX('Fleet dates'!$F$9:$F$1008,$I897-8)))</x:f>
      </x:c>
      <x:c r="G897" s="50" t="str">
        <x:f>IF(889&gt;$H$4,"",IF(INDEX('Fleet dates'!$G$9:$G$1008,$I897-8)="","",INDEX('Fleet dates'!$G$9:$G$1008,$I897-8)))</x:f>
      </x:c>
      <x:c r="H897" s="50" t="str">
        <x:f>IF(889&gt;$H$4,"",IF(INDEX('Fleet dates'!$I$9:$I$1008,$I897-8)="","",INDEX('Fleet dates'!$I$9:$I$1008,$I897-8)))</x:f>
      </x:c>
      <x:c r="I897" t="str">
        <x:f>IF(889&gt;$H$4,"",MATCH(889,'Fleet dates'!$J$9:$J$1008,0)+8)</x:f>
      </x:c>
    </x:row>
    <x:row r="898" ht="36" customHeight="1">
      <x:c r="A898" s="50" t="str">
        <x:f>IF(890&gt;$H$4,"",IF(INDEX('Fleet dates'!$A$9:$A$1008,$I898-8)="","",INDEX('Fleet dates'!$A$9:$A$1008,$I898-8)))</x:f>
      </x:c>
      <x:c r="B898" s="50" t="str">
        <x:f>IF(890&gt;$H$4,"",IF(INDEX('Fleet dates'!$B$9:$B$1008,$I898-8)="","",INDEX('Fleet dates'!$B$9:$B$1008,$I898-8)))</x:f>
      </x:c>
      <x:c r="C898" s="51" t="str">
        <x:f>IF(890&gt;$H$4,"",IF(INDEX('Fleet dates'!$C$9:$C$1008,$I898-8)="","",INDEX('Fleet dates'!$C$9:$C$1008,$I898-8)))</x:f>
      </x:c>
      <x:c r="D898" s="51" t="str">
        <x:f>IF(890&gt;$H$4,"",IF(INDEX('Fleet dates'!$D$9:$D$1008,$I898-8)="","",INDEX('Fleet dates'!$D$9:$D$1008,$I898-8)))</x:f>
      </x:c>
      <x:c r="E898" s="51" t="str">
        <x:f>IF(890&gt;$H$4,"",IF(INDEX('Fleet dates'!$E$9:$E$1008,$I898-8)="","",INDEX('Fleet dates'!$E$9:$E$1008,$I898-8)))</x:f>
      </x:c>
      <x:c r="F898" s="51" t="str">
        <x:f>IF(890&gt;$H$4,"",IF(INDEX('Fleet dates'!$F$9:$F$1008,$I898-8)="","",INDEX('Fleet dates'!$F$9:$F$1008,$I898-8)))</x:f>
      </x:c>
      <x:c r="G898" s="50" t="str">
        <x:f>IF(890&gt;$H$4,"",IF(INDEX('Fleet dates'!$G$9:$G$1008,$I898-8)="","",INDEX('Fleet dates'!$G$9:$G$1008,$I898-8)))</x:f>
      </x:c>
      <x:c r="H898" s="50" t="str">
        <x:f>IF(890&gt;$H$4,"",IF(INDEX('Fleet dates'!$I$9:$I$1008,$I898-8)="","",INDEX('Fleet dates'!$I$9:$I$1008,$I898-8)))</x:f>
      </x:c>
      <x:c r="I898" t="str">
        <x:f>IF(890&gt;$H$4,"",MATCH(890,'Fleet dates'!$J$9:$J$1008,0)+8)</x:f>
      </x:c>
    </x:row>
    <x:row r="899" ht="36" customHeight="1">
      <x:c r="A899" s="50" t="str">
        <x:f>IF(891&gt;$H$4,"",IF(INDEX('Fleet dates'!$A$9:$A$1008,$I899-8)="","",INDEX('Fleet dates'!$A$9:$A$1008,$I899-8)))</x:f>
      </x:c>
      <x:c r="B899" s="50" t="str">
        <x:f>IF(891&gt;$H$4,"",IF(INDEX('Fleet dates'!$B$9:$B$1008,$I899-8)="","",INDEX('Fleet dates'!$B$9:$B$1008,$I899-8)))</x:f>
      </x:c>
      <x:c r="C899" s="51" t="str">
        <x:f>IF(891&gt;$H$4,"",IF(INDEX('Fleet dates'!$C$9:$C$1008,$I899-8)="","",INDEX('Fleet dates'!$C$9:$C$1008,$I899-8)))</x:f>
      </x:c>
      <x:c r="D899" s="51" t="str">
        <x:f>IF(891&gt;$H$4,"",IF(INDEX('Fleet dates'!$D$9:$D$1008,$I899-8)="","",INDEX('Fleet dates'!$D$9:$D$1008,$I899-8)))</x:f>
      </x:c>
      <x:c r="E899" s="51" t="str">
        <x:f>IF(891&gt;$H$4,"",IF(INDEX('Fleet dates'!$E$9:$E$1008,$I899-8)="","",INDEX('Fleet dates'!$E$9:$E$1008,$I899-8)))</x:f>
      </x:c>
      <x:c r="F899" s="51" t="str">
        <x:f>IF(891&gt;$H$4,"",IF(INDEX('Fleet dates'!$F$9:$F$1008,$I899-8)="","",INDEX('Fleet dates'!$F$9:$F$1008,$I899-8)))</x:f>
      </x:c>
      <x:c r="G899" s="50" t="str">
        <x:f>IF(891&gt;$H$4,"",IF(INDEX('Fleet dates'!$G$9:$G$1008,$I899-8)="","",INDEX('Fleet dates'!$G$9:$G$1008,$I899-8)))</x:f>
      </x:c>
      <x:c r="H899" s="50" t="str">
        <x:f>IF(891&gt;$H$4,"",IF(INDEX('Fleet dates'!$I$9:$I$1008,$I899-8)="","",INDEX('Fleet dates'!$I$9:$I$1008,$I899-8)))</x:f>
      </x:c>
      <x:c r="I899" t="str">
        <x:f>IF(891&gt;$H$4,"",MATCH(891,'Fleet dates'!$J$9:$J$1008,0)+8)</x:f>
      </x:c>
    </x:row>
    <x:row r="900" ht="36" customHeight="1">
      <x:c r="A900" s="50" t="str">
        <x:f>IF(892&gt;$H$4,"",IF(INDEX('Fleet dates'!$A$9:$A$1008,$I900-8)="","",INDEX('Fleet dates'!$A$9:$A$1008,$I900-8)))</x:f>
      </x:c>
      <x:c r="B900" s="50" t="str">
        <x:f>IF(892&gt;$H$4,"",IF(INDEX('Fleet dates'!$B$9:$B$1008,$I900-8)="","",INDEX('Fleet dates'!$B$9:$B$1008,$I900-8)))</x:f>
      </x:c>
      <x:c r="C900" s="51" t="str">
        <x:f>IF(892&gt;$H$4,"",IF(INDEX('Fleet dates'!$C$9:$C$1008,$I900-8)="","",INDEX('Fleet dates'!$C$9:$C$1008,$I900-8)))</x:f>
      </x:c>
      <x:c r="D900" s="51" t="str">
        <x:f>IF(892&gt;$H$4,"",IF(INDEX('Fleet dates'!$D$9:$D$1008,$I900-8)="","",INDEX('Fleet dates'!$D$9:$D$1008,$I900-8)))</x:f>
      </x:c>
      <x:c r="E900" s="51" t="str">
        <x:f>IF(892&gt;$H$4,"",IF(INDEX('Fleet dates'!$E$9:$E$1008,$I900-8)="","",INDEX('Fleet dates'!$E$9:$E$1008,$I900-8)))</x:f>
      </x:c>
      <x:c r="F900" s="51" t="str">
        <x:f>IF(892&gt;$H$4,"",IF(INDEX('Fleet dates'!$F$9:$F$1008,$I900-8)="","",INDEX('Fleet dates'!$F$9:$F$1008,$I900-8)))</x:f>
      </x:c>
      <x:c r="G900" s="50" t="str">
        <x:f>IF(892&gt;$H$4,"",IF(INDEX('Fleet dates'!$G$9:$G$1008,$I900-8)="","",INDEX('Fleet dates'!$G$9:$G$1008,$I900-8)))</x:f>
      </x:c>
      <x:c r="H900" s="50" t="str">
        <x:f>IF(892&gt;$H$4,"",IF(INDEX('Fleet dates'!$I$9:$I$1008,$I900-8)="","",INDEX('Fleet dates'!$I$9:$I$1008,$I900-8)))</x:f>
      </x:c>
      <x:c r="I900" t="str">
        <x:f>IF(892&gt;$H$4,"",MATCH(892,'Fleet dates'!$J$9:$J$1008,0)+8)</x:f>
      </x:c>
    </x:row>
    <x:row r="901" ht="36" customHeight="1">
      <x:c r="A901" s="50" t="str">
        <x:f>IF(893&gt;$H$4,"",IF(INDEX('Fleet dates'!$A$9:$A$1008,$I901-8)="","",INDEX('Fleet dates'!$A$9:$A$1008,$I901-8)))</x:f>
      </x:c>
      <x:c r="B901" s="50" t="str">
        <x:f>IF(893&gt;$H$4,"",IF(INDEX('Fleet dates'!$B$9:$B$1008,$I901-8)="","",INDEX('Fleet dates'!$B$9:$B$1008,$I901-8)))</x:f>
      </x:c>
      <x:c r="C901" s="51" t="str">
        <x:f>IF(893&gt;$H$4,"",IF(INDEX('Fleet dates'!$C$9:$C$1008,$I901-8)="","",INDEX('Fleet dates'!$C$9:$C$1008,$I901-8)))</x:f>
      </x:c>
      <x:c r="D901" s="51" t="str">
        <x:f>IF(893&gt;$H$4,"",IF(INDEX('Fleet dates'!$D$9:$D$1008,$I901-8)="","",INDEX('Fleet dates'!$D$9:$D$1008,$I901-8)))</x:f>
      </x:c>
      <x:c r="E901" s="51" t="str">
        <x:f>IF(893&gt;$H$4,"",IF(INDEX('Fleet dates'!$E$9:$E$1008,$I901-8)="","",INDEX('Fleet dates'!$E$9:$E$1008,$I901-8)))</x:f>
      </x:c>
      <x:c r="F901" s="51" t="str">
        <x:f>IF(893&gt;$H$4,"",IF(INDEX('Fleet dates'!$F$9:$F$1008,$I901-8)="","",INDEX('Fleet dates'!$F$9:$F$1008,$I901-8)))</x:f>
      </x:c>
      <x:c r="G901" s="50" t="str">
        <x:f>IF(893&gt;$H$4,"",IF(INDEX('Fleet dates'!$G$9:$G$1008,$I901-8)="","",INDEX('Fleet dates'!$G$9:$G$1008,$I901-8)))</x:f>
      </x:c>
      <x:c r="H901" s="50" t="str">
        <x:f>IF(893&gt;$H$4,"",IF(INDEX('Fleet dates'!$I$9:$I$1008,$I901-8)="","",INDEX('Fleet dates'!$I$9:$I$1008,$I901-8)))</x:f>
      </x:c>
      <x:c r="I901" t="str">
        <x:f>IF(893&gt;$H$4,"",MATCH(893,'Fleet dates'!$J$9:$J$1008,0)+8)</x:f>
      </x:c>
    </x:row>
    <x:row r="902" ht="36" customHeight="1">
      <x:c r="A902" s="50" t="str">
        <x:f>IF(894&gt;$H$4,"",IF(INDEX('Fleet dates'!$A$9:$A$1008,$I902-8)="","",INDEX('Fleet dates'!$A$9:$A$1008,$I902-8)))</x:f>
      </x:c>
      <x:c r="B902" s="50" t="str">
        <x:f>IF(894&gt;$H$4,"",IF(INDEX('Fleet dates'!$B$9:$B$1008,$I902-8)="","",INDEX('Fleet dates'!$B$9:$B$1008,$I902-8)))</x:f>
      </x:c>
      <x:c r="C902" s="51" t="str">
        <x:f>IF(894&gt;$H$4,"",IF(INDEX('Fleet dates'!$C$9:$C$1008,$I902-8)="","",INDEX('Fleet dates'!$C$9:$C$1008,$I902-8)))</x:f>
      </x:c>
      <x:c r="D902" s="51" t="str">
        <x:f>IF(894&gt;$H$4,"",IF(INDEX('Fleet dates'!$D$9:$D$1008,$I902-8)="","",INDEX('Fleet dates'!$D$9:$D$1008,$I902-8)))</x:f>
      </x:c>
      <x:c r="E902" s="51" t="str">
        <x:f>IF(894&gt;$H$4,"",IF(INDEX('Fleet dates'!$E$9:$E$1008,$I902-8)="","",INDEX('Fleet dates'!$E$9:$E$1008,$I902-8)))</x:f>
      </x:c>
      <x:c r="F902" s="51" t="str">
        <x:f>IF(894&gt;$H$4,"",IF(INDEX('Fleet dates'!$F$9:$F$1008,$I902-8)="","",INDEX('Fleet dates'!$F$9:$F$1008,$I902-8)))</x:f>
      </x:c>
      <x:c r="G902" s="50" t="str">
        <x:f>IF(894&gt;$H$4,"",IF(INDEX('Fleet dates'!$G$9:$G$1008,$I902-8)="","",INDEX('Fleet dates'!$G$9:$G$1008,$I902-8)))</x:f>
      </x:c>
      <x:c r="H902" s="50" t="str">
        <x:f>IF(894&gt;$H$4,"",IF(INDEX('Fleet dates'!$I$9:$I$1008,$I902-8)="","",INDEX('Fleet dates'!$I$9:$I$1008,$I902-8)))</x:f>
      </x:c>
      <x:c r="I902" t="str">
        <x:f>IF(894&gt;$H$4,"",MATCH(894,'Fleet dates'!$J$9:$J$1008,0)+8)</x:f>
      </x:c>
    </x:row>
    <x:row r="903" ht="36" customHeight="1">
      <x:c r="A903" s="50" t="str">
        <x:f>IF(895&gt;$H$4,"",IF(INDEX('Fleet dates'!$A$9:$A$1008,$I903-8)="","",INDEX('Fleet dates'!$A$9:$A$1008,$I903-8)))</x:f>
      </x:c>
      <x:c r="B903" s="50" t="str">
        <x:f>IF(895&gt;$H$4,"",IF(INDEX('Fleet dates'!$B$9:$B$1008,$I903-8)="","",INDEX('Fleet dates'!$B$9:$B$1008,$I903-8)))</x:f>
      </x:c>
      <x:c r="C903" s="51" t="str">
        <x:f>IF(895&gt;$H$4,"",IF(INDEX('Fleet dates'!$C$9:$C$1008,$I903-8)="","",INDEX('Fleet dates'!$C$9:$C$1008,$I903-8)))</x:f>
      </x:c>
      <x:c r="D903" s="51" t="str">
        <x:f>IF(895&gt;$H$4,"",IF(INDEX('Fleet dates'!$D$9:$D$1008,$I903-8)="","",INDEX('Fleet dates'!$D$9:$D$1008,$I903-8)))</x:f>
      </x:c>
      <x:c r="E903" s="51" t="str">
        <x:f>IF(895&gt;$H$4,"",IF(INDEX('Fleet dates'!$E$9:$E$1008,$I903-8)="","",INDEX('Fleet dates'!$E$9:$E$1008,$I903-8)))</x:f>
      </x:c>
      <x:c r="F903" s="51" t="str">
        <x:f>IF(895&gt;$H$4,"",IF(INDEX('Fleet dates'!$F$9:$F$1008,$I903-8)="","",INDEX('Fleet dates'!$F$9:$F$1008,$I903-8)))</x:f>
      </x:c>
      <x:c r="G903" s="50" t="str">
        <x:f>IF(895&gt;$H$4,"",IF(INDEX('Fleet dates'!$G$9:$G$1008,$I903-8)="","",INDEX('Fleet dates'!$G$9:$G$1008,$I903-8)))</x:f>
      </x:c>
      <x:c r="H903" s="50" t="str">
        <x:f>IF(895&gt;$H$4,"",IF(INDEX('Fleet dates'!$I$9:$I$1008,$I903-8)="","",INDEX('Fleet dates'!$I$9:$I$1008,$I903-8)))</x:f>
      </x:c>
      <x:c r="I903" t="str">
        <x:f>IF(895&gt;$H$4,"",MATCH(895,'Fleet dates'!$J$9:$J$1008,0)+8)</x:f>
      </x:c>
    </x:row>
    <x:row r="904" ht="36" customHeight="1">
      <x:c r="A904" s="50" t="str">
        <x:f>IF(896&gt;$H$4,"",IF(INDEX('Fleet dates'!$A$9:$A$1008,$I904-8)="","",INDEX('Fleet dates'!$A$9:$A$1008,$I904-8)))</x:f>
      </x:c>
      <x:c r="B904" s="50" t="str">
        <x:f>IF(896&gt;$H$4,"",IF(INDEX('Fleet dates'!$B$9:$B$1008,$I904-8)="","",INDEX('Fleet dates'!$B$9:$B$1008,$I904-8)))</x:f>
      </x:c>
      <x:c r="C904" s="51" t="str">
        <x:f>IF(896&gt;$H$4,"",IF(INDEX('Fleet dates'!$C$9:$C$1008,$I904-8)="","",INDEX('Fleet dates'!$C$9:$C$1008,$I904-8)))</x:f>
      </x:c>
      <x:c r="D904" s="51" t="str">
        <x:f>IF(896&gt;$H$4,"",IF(INDEX('Fleet dates'!$D$9:$D$1008,$I904-8)="","",INDEX('Fleet dates'!$D$9:$D$1008,$I904-8)))</x:f>
      </x:c>
      <x:c r="E904" s="51" t="str">
        <x:f>IF(896&gt;$H$4,"",IF(INDEX('Fleet dates'!$E$9:$E$1008,$I904-8)="","",INDEX('Fleet dates'!$E$9:$E$1008,$I904-8)))</x:f>
      </x:c>
      <x:c r="F904" s="51" t="str">
        <x:f>IF(896&gt;$H$4,"",IF(INDEX('Fleet dates'!$F$9:$F$1008,$I904-8)="","",INDEX('Fleet dates'!$F$9:$F$1008,$I904-8)))</x:f>
      </x:c>
      <x:c r="G904" s="50" t="str">
        <x:f>IF(896&gt;$H$4,"",IF(INDEX('Fleet dates'!$G$9:$G$1008,$I904-8)="","",INDEX('Fleet dates'!$G$9:$G$1008,$I904-8)))</x:f>
      </x:c>
      <x:c r="H904" s="50" t="str">
        <x:f>IF(896&gt;$H$4,"",IF(INDEX('Fleet dates'!$I$9:$I$1008,$I904-8)="","",INDEX('Fleet dates'!$I$9:$I$1008,$I904-8)))</x:f>
      </x:c>
      <x:c r="I904" t="str">
        <x:f>IF(896&gt;$H$4,"",MATCH(896,'Fleet dates'!$J$9:$J$1008,0)+8)</x:f>
      </x:c>
    </x:row>
    <x:row r="905" ht="36" customHeight="1">
      <x:c r="A905" s="50" t="str">
        <x:f>IF(897&gt;$H$4,"",IF(INDEX('Fleet dates'!$A$9:$A$1008,$I905-8)="","",INDEX('Fleet dates'!$A$9:$A$1008,$I905-8)))</x:f>
      </x:c>
      <x:c r="B905" s="50" t="str">
        <x:f>IF(897&gt;$H$4,"",IF(INDEX('Fleet dates'!$B$9:$B$1008,$I905-8)="","",INDEX('Fleet dates'!$B$9:$B$1008,$I905-8)))</x:f>
      </x:c>
      <x:c r="C905" s="51" t="str">
        <x:f>IF(897&gt;$H$4,"",IF(INDEX('Fleet dates'!$C$9:$C$1008,$I905-8)="","",INDEX('Fleet dates'!$C$9:$C$1008,$I905-8)))</x:f>
      </x:c>
      <x:c r="D905" s="51" t="str">
        <x:f>IF(897&gt;$H$4,"",IF(INDEX('Fleet dates'!$D$9:$D$1008,$I905-8)="","",INDEX('Fleet dates'!$D$9:$D$1008,$I905-8)))</x:f>
      </x:c>
      <x:c r="E905" s="51" t="str">
        <x:f>IF(897&gt;$H$4,"",IF(INDEX('Fleet dates'!$E$9:$E$1008,$I905-8)="","",INDEX('Fleet dates'!$E$9:$E$1008,$I905-8)))</x:f>
      </x:c>
      <x:c r="F905" s="51" t="str">
        <x:f>IF(897&gt;$H$4,"",IF(INDEX('Fleet dates'!$F$9:$F$1008,$I905-8)="","",INDEX('Fleet dates'!$F$9:$F$1008,$I905-8)))</x:f>
      </x:c>
      <x:c r="G905" s="50" t="str">
        <x:f>IF(897&gt;$H$4,"",IF(INDEX('Fleet dates'!$G$9:$G$1008,$I905-8)="","",INDEX('Fleet dates'!$G$9:$G$1008,$I905-8)))</x:f>
      </x:c>
      <x:c r="H905" s="50" t="str">
        <x:f>IF(897&gt;$H$4,"",IF(INDEX('Fleet dates'!$I$9:$I$1008,$I905-8)="","",INDEX('Fleet dates'!$I$9:$I$1008,$I905-8)))</x:f>
      </x:c>
      <x:c r="I905" t="str">
        <x:f>IF(897&gt;$H$4,"",MATCH(897,'Fleet dates'!$J$9:$J$1008,0)+8)</x:f>
      </x:c>
    </x:row>
    <x:row r="906" ht="36" customHeight="1">
      <x:c r="A906" s="50" t="str">
        <x:f>IF(898&gt;$H$4,"",IF(INDEX('Fleet dates'!$A$9:$A$1008,$I906-8)="","",INDEX('Fleet dates'!$A$9:$A$1008,$I906-8)))</x:f>
      </x:c>
      <x:c r="B906" s="50" t="str">
        <x:f>IF(898&gt;$H$4,"",IF(INDEX('Fleet dates'!$B$9:$B$1008,$I906-8)="","",INDEX('Fleet dates'!$B$9:$B$1008,$I906-8)))</x:f>
      </x:c>
      <x:c r="C906" s="51" t="str">
        <x:f>IF(898&gt;$H$4,"",IF(INDEX('Fleet dates'!$C$9:$C$1008,$I906-8)="","",INDEX('Fleet dates'!$C$9:$C$1008,$I906-8)))</x:f>
      </x:c>
      <x:c r="D906" s="51" t="str">
        <x:f>IF(898&gt;$H$4,"",IF(INDEX('Fleet dates'!$D$9:$D$1008,$I906-8)="","",INDEX('Fleet dates'!$D$9:$D$1008,$I906-8)))</x:f>
      </x:c>
      <x:c r="E906" s="51" t="str">
        <x:f>IF(898&gt;$H$4,"",IF(INDEX('Fleet dates'!$E$9:$E$1008,$I906-8)="","",INDEX('Fleet dates'!$E$9:$E$1008,$I906-8)))</x:f>
      </x:c>
      <x:c r="F906" s="51" t="str">
        <x:f>IF(898&gt;$H$4,"",IF(INDEX('Fleet dates'!$F$9:$F$1008,$I906-8)="","",INDEX('Fleet dates'!$F$9:$F$1008,$I906-8)))</x:f>
      </x:c>
      <x:c r="G906" s="50" t="str">
        <x:f>IF(898&gt;$H$4,"",IF(INDEX('Fleet dates'!$G$9:$G$1008,$I906-8)="","",INDEX('Fleet dates'!$G$9:$G$1008,$I906-8)))</x:f>
      </x:c>
      <x:c r="H906" s="50" t="str">
        <x:f>IF(898&gt;$H$4,"",IF(INDEX('Fleet dates'!$I$9:$I$1008,$I906-8)="","",INDEX('Fleet dates'!$I$9:$I$1008,$I906-8)))</x:f>
      </x:c>
      <x:c r="I906" t="str">
        <x:f>IF(898&gt;$H$4,"",MATCH(898,'Fleet dates'!$J$9:$J$1008,0)+8)</x:f>
      </x:c>
    </x:row>
    <x:row r="907" ht="36" customHeight="1">
      <x:c r="A907" s="50" t="str">
        <x:f>IF(899&gt;$H$4,"",IF(INDEX('Fleet dates'!$A$9:$A$1008,$I907-8)="","",INDEX('Fleet dates'!$A$9:$A$1008,$I907-8)))</x:f>
      </x:c>
      <x:c r="B907" s="50" t="str">
        <x:f>IF(899&gt;$H$4,"",IF(INDEX('Fleet dates'!$B$9:$B$1008,$I907-8)="","",INDEX('Fleet dates'!$B$9:$B$1008,$I907-8)))</x:f>
      </x:c>
      <x:c r="C907" s="51" t="str">
        <x:f>IF(899&gt;$H$4,"",IF(INDEX('Fleet dates'!$C$9:$C$1008,$I907-8)="","",INDEX('Fleet dates'!$C$9:$C$1008,$I907-8)))</x:f>
      </x:c>
      <x:c r="D907" s="51" t="str">
        <x:f>IF(899&gt;$H$4,"",IF(INDEX('Fleet dates'!$D$9:$D$1008,$I907-8)="","",INDEX('Fleet dates'!$D$9:$D$1008,$I907-8)))</x:f>
      </x:c>
      <x:c r="E907" s="51" t="str">
        <x:f>IF(899&gt;$H$4,"",IF(INDEX('Fleet dates'!$E$9:$E$1008,$I907-8)="","",INDEX('Fleet dates'!$E$9:$E$1008,$I907-8)))</x:f>
      </x:c>
      <x:c r="F907" s="51" t="str">
        <x:f>IF(899&gt;$H$4,"",IF(INDEX('Fleet dates'!$F$9:$F$1008,$I907-8)="","",INDEX('Fleet dates'!$F$9:$F$1008,$I907-8)))</x:f>
      </x:c>
      <x:c r="G907" s="50" t="str">
        <x:f>IF(899&gt;$H$4,"",IF(INDEX('Fleet dates'!$G$9:$G$1008,$I907-8)="","",INDEX('Fleet dates'!$G$9:$G$1008,$I907-8)))</x:f>
      </x:c>
      <x:c r="H907" s="50" t="str">
        <x:f>IF(899&gt;$H$4,"",IF(INDEX('Fleet dates'!$I$9:$I$1008,$I907-8)="","",INDEX('Fleet dates'!$I$9:$I$1008,$I907-8)))</x:f>
      </x:c>
      <x:c r="I907" t="str">
        <x:f>IF(899&gt;$H$4,"",MATCH(899,'Fleet dates'!$J$9:$J$1008,0)+8)</x:f>
      </x:c>
    </x:row>
    <x:row r="908" ht="36" customHeight="1">
      <x:c r="A908" s="50" t="str">
        <x:f>IF(900&gt;$H$4,"",IF(INDEX('Fleet dates'!$A$9:$A$1008,$I908-8)="","",INDEX('Fleet dates'!$A$9:$A$1008,$I908-8)))</x:f>
      </x:c>
      <x:c r="B908" s="50" t="str">
        <x:f>IF(900&gt;$H$4,"",IF(INDEX('Fleet dates'!$B$9:$B$1008,$I908-8)="","",INDEX('Fleet dates'!$B$9:$B$1008,$I908-8)))</x:f>
      </x:c>
      <x:c r="C908" s="51" t="str">
        <x:f>IF(900&gt;$H$4,"",IF(INDEX('Fleet dates'!$C$9:$C$1008,$I908-8)="","",INDEX('Fleet dates'!$C$9:$C$1008,$I908-8)))</x:f>
      </x:c>
      <x:c r="D908" s="51" t="str">
        <x:f>IF(900&gt;$H$4,"",IF(INDEX('Fleet dates'!$D$9:$D$1008,$I908-8)="","",INDEX('Fleet dates'!$D$9:$D$1008,$I908-8)))</x:f>
      </x:c>
      <x:c r="E908" s="51" t="str">
        <x:f>IF(900&gt;$H$4,"",IF(INDEX('Fleet dates'!$E$9:$E$1008,$I908-8)="","",INDEX('Fleet dates'!$E$9:$E$1008,$I908-8)))</x:f>
      </x:c>
      <x:c r="F908" s="51" t="str">
        <x:f>IF(900&gt;$H$4,"",IF(INDEX('Fleet dates'!$F$9:$F$1008,$I908-8)="","",INDEX('Fleet dates'!$F$9:$F$1008,$I908-8)))</x:f>
      </x:c>
      <x:c r="G908" s="50" t="str">
        <x:f>IF(900&gt;$H$4,"",IF(INDEX('Fleet dates'!$G$9:$G$1008,$I908-8)="","",INDEX('Fleet dates'!$G$9:$G$1008,$I908-8)))</x:f>
      </x:c>
      <x:c r="H908" s="50" t="str">
        <x:f>IF(900&gt;$H$4,"",IF(INDEX('Fleet dates'!$I$9:$I$1008,$I908-8)="","",INDEX('Fleet dates'!$I$9:$I$1008,$I908-8)))</x:f>
      </x:c>
      <x:c r="I908" t="str">
        <x:f>IF(900&gt;$H$4,"",MATCH(900,'Fleet dates'!$J$9:$J$1008,0)+8)</x:f>
      </x:c>
    </x:row>
    <x:row r="909" ht="36" customHeight="1">
      <x:c r="A909" s="50" t="str">
        <x:f>IF(901&gt;$H$4,"",IF(INDEX('Fleet dates'!$A$9:$A$1008,$I909-8)="","",INDEX('Fleet dates'!$A$9:$A$1008,$I909-8)))</x:f>
      </x:c>
      <x:c r="B909" s="50" t="str">
        <x:f>IF(901&gt;$H$4,"",IF(INDEX('Fleet dates'!$B$9:$B$1008,$I909-8)="","",INDEX('Fleet dates'!$B$9:$B$1008,$I909-8)))</x:f>
      </x:c>
      <x:c r="C909" s="51" t="str">
        <x:f>IF(901&gt;$H$4,"",IF(INDEX('Fleet dates'!$C$9:$C$1008,$I909-8)="","",INDEX('Fleet dates'!$C$9:$C$1008,$I909-8)))</x:f>
      </x:c>
      <x:c r="D909" s="51" t="str">
        <x:f>IF(901&gt;$H$4,"",IF(INDEX('Fleet dates'!$D$9:$D$1008,$I909-8)="","",INDEX('Fleet dates'!$D$9:$D$1008,$I909-8)))</x:f>
      </x:c>
      <x:c r="E909" s="51" t="str">
        <x:f>IF(901&gt;$H$4,"",IF(INDEX('Fleet dates'!$E$9:$E$1008,$I909-8)="","",INDEX('Fleet dates'!$E$9:$E$1008,$I909-8)))</x:f>
      </x:c>
      <x:c r="F909" s="51" t="str">
        <x:f>IF(901&gt;$H$4,"",IF(INDEX('Fleet dates'!$F$9:$F$1008,$I909-8)="","",INDEX('Fleet dates'!$F$9:$F$1008,$I909-8)))</x:f>
      </x:c>
      <x:c r="G909" s="50" t="str">
        <x:f>IF(901&gt;$H$4,"",IF(INDEX('Fleet dates'!$G$9:$G$1008,$I909-8)="","",INDEX('Fleet dates'!$G$9:$G$1008,$I909-8)))</x:f>
      </x:c>
      <x:c r="H909" s="50" t="str">
        <x:f>IF(901&gt;$H$4,"",IF(INDEX('Fleet dates'!$I$9:$I$1008,$I909-8)="","",INDEX('Fleet dates'!$I$9:$I$1008,$I909-8)))</x:f>
      </x:c>
      <x:c r="I909" t="str">
        <x:f>IF(901&gt;$H$4,"",MATCH(901,'Fleet dates'!$J$9:$J$1008,0)+8)</x:f>
      </x:c>
    </x:row>
    <x:row r="910" ht="36" customHeight="1">
      <x:c r="A910" s="50" t="str">
        <x:f>IF(902&gt;$H$4,"",IF(INDEX('Fleet dates'!$A$9:$A$1008,$I910-8)="","",INDEX('Fleet dates'!$A$9:$A$1008,$I910-8)))</x:f>
      </x:c>
      <x:c r="B910" s="50" t="str">
        <x:f>IF(902&gt;$H$4,"",IF(INDEX('Fleet dates'!$B$9:$B$1008,$I910-8)="","",INDEX('Fleet dates'!$B$9:$B$1008,$I910-8)))</x:f>
      </x:c>
      <x:c r="C910" s="51" t="str">
        <x:f>IF(902&gt;$H$4,"",IF(INDEX('Fleet dates'!$C$9:$C$1008,$I910-8)="","",INDEX('Fleet dates'!$C$9:$C$1008,$I910-8)))</x:f>
      </x:c>
      <x:c r="D910" s="51" t="str">
        <x:f>IF(902&gt;$H$4,"",IF(INDEX('Fleet dates'!$D$9:$D$1008,$I910-8)="","",INDEX('Fleet dates'!$D$9:$D$1008,$I910-8)))</x:f>
      </x:c>
      <x:c r="E910" s="51" t="str">
        <x:f>IF(902&gt;$H$4,"",IF(INDEX('Fleet dates'!$E$9:$E$1008,$I910-8)="","",INDEX('Fleet dates'!$E$9:$E$1008,$I910-8)))</x:f>
      </x:c>
      <x:c r="F910" s="51" t="str">
        <x:f>IF(902&gt;$H$4,"",IF(INDEX('Fleet dates'!$F$9:$F$1008,$I910-8)="","",INDEX('Fleet dates'!$F$9:$F$1008,$I910-8)))</x:f>
      </x:c>
      <x:c r="G910" s="50" t="str">
        <x:f>IF(902&gt;$H$4,"",IF(INDEX('Fleet dates'!$G$9:$G$1008,$I910-8)="","",INDEX('Fleet dates'!$G$9:$G$1008,$I910-8)))</x:f>
      </x:c>
      <x:c r="H910" s="50" t="str">
        <x:f>IF(902&gt;$H$4,"",IF(INDEX('Fleet dates'!$I$9:$I$1008,$I910-8)="","",INDEX('Fleet dates'!$I$9:$I$1008,$I910-8)))</x:f>
      </x:c>
      <x:c r="I910" t="str">
        <x:f>IF(902&gt;$H$4,"",MATCH(902,'Fleet dates'!$J$9:$J$1008,0)+8)</x:f>
      </x:c>
    </x:row>
    <x:row r="911" ht="36" customHeight="1">
      <x:c r="A911" s="50" t="str">
        <x:f>IF(903&gt;$H$4,"",IF(INDEX('Fleet dates'!$A$9:$A$1008,$I911-8)="","",INDEX('Fleet dates'!$A$9:$A$1008,$I911-8)))</x:f>
      </x:c>
      <x:c r="B911" s="50" t="str">
        <x:f>IF(903&gt;$H$4,"",IF(INDEX('Fleet dates'!$B$9:$B$1008,$I911-8)="","",INDEX('Fleet dates'!$B$9:$B$1008,$I911-8)))</x:f>
      </x:c>
      <x:c r="C911" s="51" t="str">
        <x:f>IF(903&gt;$H$4,"",IF(INDEX('Fleet dates'!$C$9:$C$1008,$I911-8)="","",INDEX('Fleet dates'!$C$9:$C$1008,$I911-8)))</x:f>
      </x:c>
      <x:c r="D911" s="51" t="str">
        <x:f>IF(903&gt;$H$4,"",IF(INDEX('Fleet dates'!$D$9:$D$1008,$I911-8)="","",INDEX('Fleet dates'!$D$9:$D$1008,$I911-8)))</x:f>
      </x:c>
      <x:c r="E911" s="51" t="str">
        <x:f>IF(903&gt;$H$4,"",IF(INDEX('Fleet dates'!$E$9:$E$1008,$I911-8)="","",INDEX('Fleet dates'!$E$9:$E$1008,$I911-8)))</x:f>
      </x:c>
      <x:c r="F911" s="51" t="str">
        <x:f>IF(903&gt;$H$4,"",IF(INDEX('Fleet dates'!$F$9:$F$1008,$I911-8)="","",INDEX('Fleet dates'!$F$9:$F$1008,$I911-8)))</x:f>
      </x:c>
      <x:c r="G911" s="50" t="str">
        <x:f>IF(903&gt;$H$4,"",IF(INDEX('Fleet dates'!$G$9:$G$1008,$I911-8)="","",INDEX('Fleet dates'!$G$9:$G$1008,$I911-8)))</x:f>
      </x:c>
      <x:c r="H911" s="50" t="str">
        <x:f>IF(903&gt;$H$4,"",IF(INDEX('Fleet dates'!$I$9:$I$1008,$I911-8)="","",INDEX('Fleet dates'!$I$9:$I$1008,$I911-8)))</x:f>
      </x:c>
      <x:c r="I911" t="str">
        <x:f>IF(903&gt;$H$4,"",MATCH(903,'Fleet dates'!$J$9:$J$1008,0)+8)</x:f>
      </x:c>
    </x:row>
    <x:row r="912" ht="36" customHeight="1">
      <x:c r="A912" s="50" t="str">
        <x:f>IF(904&gt;$H$4,"",IF(INDEX('Fleet dates'!$A$9:$A$1008,$I912-8)="","",INDEX('Fleet dates'!$A$9:$A$1008,$I912-8)))</x:f>
      </x:c>
      <x:c r="B912" s="50" t="str">
        <x:f>IF(904&gt;$H$4,"",IF(INDEX('Fleet dates'!$B$9:$B$1008,$I912-8)="","",INDEX('Fleet dates'!$B$9:$B$1008,$I912-8)))</x:f>
      </x:c>
      <x:c r="C912" s="51" t="str">
        <x:f>IF(904&gt;$H$4,"",IF(INDEX('Fleet dates'!$C$9:$C$1008,$I912-8)="","",INDEX('Fleet dates'!$C$9:$C$1008,$I912-8)))</x:f>
      </x:c>
      <x:c r="D912" s="51" t="str">
        <x:f>IF(904&gt;$H$4,"",IF(INDEX('Fleet dates'!$D$9:$D$1008,$I912-8)="","",INDEX('Fleet dates'!$D$9:$D$1008,$I912-8)))</x:f>
      </x:c>
      <x:c r="E912" s="51" t="str">
        <x:f>IF(904&gt;$H$4,"",IF(INDEX('Fleet dates'!$E$9:$E$1008,$I912-8)="","",INDEX('Fleet dates'!$E$9:$E$1008,$I912-8)))</x:f>
      </x:c>
      <x:c r="F912" s="51" t="str">
        <x:f>IF(904&gt;$H$4,"",IF(INDEX('Fleet dates'!$F$9:$F$1008,$I912-8)="","",INDEX('Fleet dates'!$F$9:$F$1008,$I912-8)))</x:f>
      </x:c>
      <x:c r="G912" s="50" t="str">
        <x:f>IF(904&gt;$H$4,"",IF(INDEX('Fleet dates'!$G$9:$G$1008,$I912-8)="","",INDEX('Fleet dates'!$G$9:$G$1008,$I912-8)))</x:f>
      </x:c>
      <x:c r="H912" s="50" t="str">
        <x:f>IF(904&gt;$H$4,"",IF(INDEX('Fleet dates'!$I$9:$I$1008,$I912-8)="","",INDEX('Fleet dates'!$I$9:$I$1008,$I912-8)))</x:f>
      </x:c>
      <x:c r="I912" t="str">
        <x:f>IF(904&gt;$H$4,"",MATCH(904,'Fleet dates'!$J$9:$J$1008,0)+8)</x:f>
      </x:c>
    </x:row>
    <x:row r="913" ht="36" customHeight="1">
      <x:c r="A913" s="50" t="str">
        <x:f>IF(905&gt;$H$4,"",IF(INDEX('Fleet dates'!$A$9:$A$1008,$I913-8)="","",INDEX('Fleet dates'!$A$9:$A$1008,$I913-8)))</x:f>
      </x:c>
      <x:c r="B913" s="50" t="str">
        <x:f>IF(905&gt;$H$4,"",IF(INDEX('Fleet dates'!$B$9:$B$1008,$I913-8)="","",INDEX('Fleet dates'!$B$9:$B$1008,$I913-8)))</x:f>
      </x:c>
      <x:c r="C913" s="51" t="str">
        <x:f>IF(905&gt;$H$4,"",IF(INDEX('Fleet dates'!$C$9:$C$1008,$I913-8)="","",INDEX('Fleet dates'!$C$9:$C$1008,$I913-8)))</x:f>
      </x:c>
      <x:c r="D913" s="51" t="str">
        <x:f>IF(905&gt;$H$4,"",IF(INDEX('Fleet dates'!$D$9:$D$1008,$I913-8)="","",INDEX('Fleet dates'!$D$9:$D$1008,$I913-8)))</x:f>
      </x:c>
      <x:c r="E913" s="51" t="str">
        <x:f>IF(905&gt;$H$4,"",IF(INDEX('Fleet dates'!$E$9:$E$1008,$I913-8)="","",INDEX('Fleet dates'!$E$9:$E$1008,$I913-8)))</x:f>
      </x:c>
      <x:c r="F913" s="51" t="str">
        <x:f>IF(905&gt;$H$4,"",IF(INDEX('Fleet dates'!$F$9:$F$1008,$I913-8)="","",INDEX('Fleet dates'!$F$9:$F$1008,$I913-8)))</x:f>
      </x:c>
      <x:c r="G913" s="50" t="str">
        <x:f>IF(905&gt;$H$4,"",IF(INDEX('Fleet dates'!$G$9:$G$1008,$I913-8)="","",INDEX('Fleet dates'!$G$9:$G$1008,$I913-8)))</x:f>
      </x:c>
      <x:c r="H913" s="50" t="str">
        <x:f>IF(905&gt;$H$4,"",IF(INDEX('Fleet dates'!$I$9:$I$1008,$I913-8)="","",INDEX('Fleet dates'!$I$9:$I$1008,$I913-8)))</x:f>
      </x:c>
      <x:c r="I913" t="str">
        <x:f>IF(905&gt;$H$4,"",MATCH(905,'Fleet dates'!$J$9:$J$1008,0)+8)</x:f>
      </x:c>
    </x:row>
    <x:row r="914" ht="36" customHeight="1">
      <x:c r="A914" s="50" t="str">
        <x:f>IF(906&gt;$H$4,"",IF(INDEX('Fleet dates'!$A$9:$A$1008,$I914-8)="","",INDEX('Fleet dates'!$A$9:$A$1008,$I914-8)))</x:f>
      </x:c>
      <x:c r="B914" s="50" t="str">
        <x:f>IF(906&gt;$H$4,"",IF(INDEX('Fleet dates'!$B$9:$B$1008,$I914-8)="","",INDEX('Fleet dates'!$B$9:$B$1008,$I914-8)))</x:f>
      </x:c>
      <x:c r="C914" s="51" t="str">
        <x:f>IF(906&gt;$H$4,"",IF(INDEX('Fleet dates'!$C$9:$C$1008,$I914-8)="","",INDEX('Fleet dates'!$C$9:$C$1008,$I914-8)))</x:f>
      </x:c>
      <x:c r="D914" s="51" t="str">
        <x:f>IF(906&gt;$H$4,"",IF(INDEX('Fleet dates'!$D$9:$D$1008,$I914-8)="","",INDEX('Fleet dates'!$D$9:$D$1008,$I914-8)))</x:f>
      </x:c>
      <x:c r="E914" s="51" t="str">
        <x:f>IF(906&gt;$H$4,"",IF(INDEX('Fleet dates'!$E$9:$E$1008,$I914-8)="","",INDEX('Fleet dates'!$E$9:$E$1008,$I914-8)))</x:f>
      </x:c>
      <x:c r="F914" s="51" t="str">
        <x:f>IF(906&gt;$H$4,"",IF(INDEX('Fleet dates'!$F$9:$F$1008,$I914-8)="","",INDEX('Fleet dates'!$F$9:$F$1008,$I914-8)))</x:f>
      </x:c>
      <x:c r="G914" s="50" t="str">
        <x:f>IF(906&gt;$H$4,"",IF(INDEX('Fleet dates'!$G$9:$G$1008,$I914-8)="","",INDEX('Fleet dates'!$G$9:$G$1008,$I914-8)))</x:f>
      </x:c>
      <x:c r="H914" s="50" t="str">
        <x:f>IF(906&gt;$H$4,"",IF(INDEX('Fleet dates'!$I$9:$I$1008,$I914-8)="","",INDEX('Fleet dates'!$I$9:$I$1008,$I914-8)))</x:f>
      </x:c>
      <x:c r="I914" t="str">
        <x:f>IF(906&gt;$H$4,"",MATCH(906,'Fleet dates'!$J$9:$J$1008,0)+8)</x:f>
      </x:c>
    </x:row>
    <x:row r="915" ht="36" customHeight="1">
      <x:c r="A915" s="50" t="str">
        <x:f>IF(907&gt;$H$4,"",IF(INDEX('Fleet dates'!$A$9:$A$1008,$I915-8)="","",INDEX('Fleet dates'!$A$9:$A$1008,$I915-8)))</x:f>
      </x:c>
      <x:c r="B915" s="50" t="str">
        <x:f>IF(907&gt;$H$4,"",IF(INDEX('Fleet dates'!$B$9:$B$1008,$I915-8)="","",INDEX('Fleet dates'!$B$9:$B$1008,$I915-8)))</x:f>
      </x:c>
      <x:c r="C915" s="51" t="str">
        <x:f>IF(907&gt;$H$4,"",IF(INDEX('Fleet dates'!$C$9:$C$1008,$I915-8)="","",INDEX('Fleet dates'!$C$9:$C$1008,$I915-8)))</x:f>
      </x:c>
      <x:c r="D915" s="51" t="str">
        <x:f>IF(907&gt;$H$4,"",IF(INDEX('Fleet dates'!$D$9:$D$1008,$I915-8)="","",INDEX('Fleet dates'!$D$9:$D$1008,$I915-8)))</x:f>
      </x:c>
      <x:c r="E915" s="51" t="str">
        <x:f>IF(907&gt;$H$4,"",IF(INDEX('Fleet dates'!$E$9:$E$1008,$I915-8)="","",INDEX('Fleet dates'!$E$9:$E$1008,$I915-8)))</x:f>
      </x:c>
      <x:c r="F915" s="51" t="str">
        <x:f>IF(907&gt;$H$4,"",IF(INDEX('Fleet dates'!$F$9:$F$1008,$I915-8)="","",INDEX('Fleet dates'!$F$9:$F$1008,$I915-8)))</x:f>
      </x:c>
      <x:c r="G915" s="50" t="str">
        <x:f>IF(907&gt;$H$4,"",IF(INDEX('Fleet dates'!$G$9:$G$1008,$I915-8)="","",INDEX('Fleet dates'!$G$9:$G$1008,$I915-8)))</x:f>
      </x:c>
      <x:c r="H915" s="50" t="str">
        <x:f>IF(907&gt;$H$4,"",IF(INDEX('Fleet dates'!$I$9:$I$1008,$I915-8)="","",INDEX('Fleet dates'!$I$9:$I$1008,$I915-8)))</x:f>
      </x:c>
      <x:c r="I915" t="str">
        <x:f>IF(907&gt;$H$4,"",MATCH(907,'Fleet dates'!$J$9:$J$1008,0)+8)</x:f>
      </x:c>
    </x:row>
    <x:row r="916" ht="36" customHeight="1">
      <x:c r="A916" s="50" t="str">
        <x:f>IF(908&gt;$H$4,"",IF(INDEX('Fleet dates'!$A$9:$A$1008,$I916-8)="","",INDEX('Fleet dates'!$A$9:$A$1008,$I916-8)))</x:f>
      </x:c>
      <x:c r="B916" s="50" t="str">
        <x:f>IF(908&gt;$H$4,"",IF(INDEX('Fleet dates'!$B$9:$B$1008,$I916-8)="","",INDEX('Fleet dates'!$B$9:$B$1008,$I916-8)))</x:f>
      </x:c>
      <x:c r="C916" s="51" t="str">
        <x:f>IF(908&gt;$H$4,"",IF(INDEX('Fleet dates'!$C$9:$C$1008,$I916-8)="","",INDEX('Fleet dates'!$C$9:$C$1008,$I916-8)))</x:f>
      </x:c>
      <x:c r="D916" s="51" t="str">
        <x:f>IF(908&gt;$H$4,"",IF(INDEX('Fleet dates'!$D$9:$D$1008,$I916-8)="","",INDEX('Fleet dates'!$D$9:$D$1008,$I916-8)))</x:f>
      </x:c>
      <x:c r="E916" s="51" t="str">
        <x:f>IF(908&gt;$H$4,"",IF(INDEX('Fleet dates'!$E$9:$E$1008,$I916-8)="","",INDEX('Fleet dates'!$E$9:$E$1008,$I916-8)))</x:f>
      </x:c>
      <x:c r="F916" s="51" t="str">
        <x:f>IF(908&gt;$H$4,"",IF(INDEX('Fleet dates'!$F$9:$F$1008,$I916-8)="","",INDEX('Fleet dates'!$F$9:$F$1008,$I916-8)))</x:f>
      </x:c>
      <x:c r="G916" s="50" t="str">
        <x:f>IF(908&gt;$H$4,"",IF(INDEX('Fleet dates'!$G$9:$G$1008,$I916-8)="","",INDEX('Fleet dates'!$G$9:$G$1008,$I916-8)))</x:f>
      </x:c>
      <x:c r="H916" s="50" t="str">
        <x:f>IF(908&gt;$H$4,"",IF(INDEX('Fleet dates'!$I$9:$I$1008,$I916-8)="","",INDEX('Fleet dates'!$I$9:$I$1008,$I916-8)))</x:f>
      </x:c>
      <x:c r="I916" t="str">
        <x:f>IF(908&gt;$H$4,"",MATCH(908,'Fleet dates'!$J$9:$J$1008,0)+8)</x:f>
      </x:c>
    </x:row>
    <x:row r="917" ht="36" customHeight="1">
      <x:c r="A917" s="50" t="str">
        <x:f>IF(909&gt;$H$4,"",IF(INDEX('Fleet dates'!$A$9:$A$1008,$I917-8)="","",INDEX('Fleet dates'!$A$9:$A$1008,$I917-8)))</x:f>
      </x:c>
      <x:c r="B917" s="50" t="str">
        <x:f>IF(909&gt;$H$4,"",IF(INDEX('Fleet dates'!$B$9:$B$1008,$I917-8)="","",INDEX('Fleet dates'!$B$9:$B$1008,$I917-8)))</x:f>
      </x:c>
      <x:c r="C917" s="51" t="str">
        <x:f>IF(909&gt;$H$4,"",IF(INDEX('Fleet dates'!$C$9:$C$1008,$I917-8)="","",INDEX('Fleet dates'!$C$9:$C$1008,$I917-8)))</x:f>
      </x:c>
      <x:c r="D917" s="51" t="str">
        <x:f>IF(909&gt;$H$4,"",IF(INDEX('Fleet dates'!$D$9:$D$1008,$I917-8)="","",INDEX('Fleet dates'!$D$9:$D$1008,$I917-8)))</x:f>
      </x:c>
      <x:c r="E917" s="51" t="str">
        <x:f>IF(909&gt;$H$4,"",IF(INDEX('Fleet dates'!$E$9:$E$1008,$I917-8)="","",INDEX('Fleet dates'!$E$9:$E$1008,$I917-8)))</x:f>
      </x:c>
      <x:c r="F917" s="51" t="str">
        <x:f>IF(909&gt;$H$4,"",IF(INDEX('Fleet dates'!$F$9:$F$1008,$I917-8)="","",INDEX('Fleet dates'!$F$9:$F$1008,$I917-8)))</x:f>
      </x:c>
      <x:c r="G917" s="50" t="str">
        <x:f>IF(909&gt;$H$4,"",IF(INDEX('Fleet dates'!$G$9:$G$1008,$I917-8)="","",INDEX('Fleet dates'!$G$9:$G$1008,$I917-8)))</x:f>
      </x:c>
      <x:c r="H917" s="50" t="str">
        <x:f>IF(909&gt;$H$4,"",IF(INDEX('Fleet dates'!$I$9:$I$1008,$I917-8)="","",INDEX('Fleet dates'!$I$9:$I$1008,$I917-8)))</x:f>
      </x:c>
      <x:c r="I917" t="str">
        <x:f>IF(909&gt;$H$4,"",MATCH(909,'Fleet dates'!$J$9:$J$1008,0)+8)</x:f>
      </x:c>
    </x:row>
    <x:row r="918" ht="36" customHeight="1">
      <x:c r="A918" s="50" t="str">
        <x:f>IF(910&gt;$H$4,"",IF(INDEX('Fleet dates'!$A$9:$A$1008,$I918-8)="","",INDEX('Fleet dates'!$A$9:$A$1008,$I918-8)))</x:f>
      </x:c>
      <x:c r="B918" s="50" t="str">
        <x:f>IF(910&gt;$H$4,"",IF(INDEX('Fleet dates'!$B$9:$B$1008,$I918-8)="","",INDEX('Fleet dates'!$B$9:$B$1008,$I918-8)))</x:f>
      </x:c>
      <x:c r="C918" s="51" t="str">
        <x:f>IF(910&gt;$H$4,"",IF(INDEX('Fleet dates'!$C$9:$C$1008,$I918-8)="","",INDEX('Fleet dates'!$C$9:$C$1008,$I918-8)))</x:f>
      </x:c>
      <x:c r="D918" s="51" t="str">
        <x:f>IF(910&gt;$H$4,"",IF(INDEX('Fleet dates'!$D$9:$D$1008,$I918-8)="","",INDEX('Fleet dates'!$D$9:$D$1008,$I918-8)))</x:f>
      </x:c>
      <x:c r="E918" s="51" t="str">
        <x:f>IF(910&gt;$H$4,"",IF(INDEX('Fleet dates'!$E$9:$E$1008,$I918-8)="","",INDEX('Fleet dates'!$E$9:$E$1008,$I918-8)))</x:f>
      </x:c>
      <x:c r="F918" s="51" t="str">
        <x:f>IF(910&gt;$H$4,"",IF(INDEX('Fleet dates'!$F$9:$F$1008,$I918-8)="","",INDEX('Fleet dates'!$F$9:$F$1008,$I918-8)))</x:f>
      </x:c>
      <x:c r="G918" s="50" t="str">
        <x:f>IF(910&gt;$H$4,"",IF(INDEX('Fleet dates'!$G$9:$G$1008,$I918-8)="","",INDEX('Fleet dates'!$G$9:$G$1008,$I918-8)))</x:f>
      </x:c>
      <x:c r="H918" s="50" t="str">
        <x:f>IF(910&gt;$H$4,"",IF(INDEX('Fleet dates'!$I$9:$I$1008,$I918-8)="","",INDEX('Fleet dates'!$I$9:$I$1008,$I918-8)))</x:f>
      </x:c>
      <x:c r="I918" t="str">
        <x:f>IF(910&gt;$H$4,"",MATCH(910,'Fleet dates'!$J$9:$J$1008,0)+8)</x:f>
      </x:c>
    </x:row>
    <x:row r="919" ht="36" customHeight="1">
      <x:c r="A919" s="50" t="str">
        <x:f>IF(911&gt;$H$4,"",IF(INDEX('Fleet dates'!$A$9:$A$1008,$I919-8)="","",INDEX('Fleet dates'!$A$9:$A$1008,$I919-8)))</x:f>
      </x:c>
      <x:c r="B919" s="50" t="str">
        <x:f>IF(911&gt;$H$4,"",IF(INDEX('Fleet dates'!$B$9:$B$1008,$I919-8)="","",INDEX('Fleet dates'!$B$9:$B$1008,$I919-8)))</x:f>
      </x:c>
      <x:c r="C919" s="51" t="str">
        <x:f>IF(911&gt;$H$4,"",IF(INDEX('Fleet dates'!$C$9:$C$1008,$I919-8)="","",INDEX('Fleet dates'!$C$9:$C$1008,$I919-8)))</x:f>
      </x:c>
      <x:c r="D919" s="51" t="str">
        <x:f>IF(911&gt;$H$4,"",IF(INDEX('Fleet dates'!$D$9:$D$1008,$I919-8)="","",INDEX('Fleet dates'!$D$9:$D$1008,$I919-8)))</x:f>
      </x:c>
      <x:c r="E919" s="51" t="str">
        <x:f>IF(911&gt;$H$4,"",IF(INDEX('Fleet dates'!$E$9:$E$1008,$I919-8)="","",INDEX('Fleet dates'!$E$9:$E$1008,$I919-8)))</x:f>
      </x:c>
      <x:c r="F919" s="51" t="str">
        <x:f>IF(911&gt;$H$4,"",IF(INDEX('Fleet dates'!$F$9:$F$1008,$I919-8)="","",INDEX('Fleet dates'!$F$9:$F$1008,$I919-8)))</x:f>
      </x:c>
      <x:c r="G919" s="50" t="str">
        <x:f>IF(911&gt;$H$4,"",IF(INDEX('Fleet dates'!$G$9:$G$1008,$I919-8)="","",INDEX('Fleet dates'!$G$9:$G$1008,$I919-8)))</x:f>
      </x:c>
      <x:c r="H919" s="50" t="str">
        <x:f>IF(911&gt;$H$4,"",IF(INDEX('Fleet dates'!$I$9:$I$1008,$I919-8)="","",INDEX('Fleet dates'!$I$9:$I$1008,$I919-8)))</x:f>
      </x:c>
      <x:c r="I919" t="str">
        <x:f>IF(911&gt;$H$4,"",MATCH(911,'Fleet dates'!$J$9:$J$1008,0)+8)</x:f>
      </x:c>
    </x:row>
    <x:row r="920" ht="36" customHeight="1">
      <x:c r="A920" s="50" t="str">
        <x:f>IF(912&gt;$H$4,"",IF(INDEX('Fleet dates'!$A$9:$A$1008,$I920-8)="","",INDEX('Fleet dates'!$A$9:$A$1008,$I920-8)))</x:f>
      </x:c>
      <x:c r="B920" s="50" t="str">
        <x:f>IF(912&gt;$H$4,"",IF(INDEX('Fleet dates'!$B$9:$B$1008,$I920-8)="","",INDEX('Fleet dates'!$B$9:$B$1008,$I920-8)))</x:f>
      </x:c>
      <x:c r="C920" s="51" t="str">
        <x:f>IF(912&gt;$H$4,"",IF(INDEX('Fleet dates'!$C$9:$C$1008,$I920-8)="","",INDEX('Fleet dates'!$C$9:$C$1008,$I920-8)))</x:f>
      </x:c>
      <x:c r="D920" s="51" t="str">
        <x:f>IF(912&gt;$H$4,"",IF(INDEX('Fleet dates'!$D$9:$D$1008,$I920-8)="","",INDEX('Fleet dates'!$D$9:$D$1008,$I920-8)))</x:f>
      </x:c>
      <x:c r="E920" s="51" t="str">
        <x:f>IF(912&gt;$H$4,"",IF(INDEX('Fleet dates'!$E$9:$E$1008,$I920-8)="","",INDEX('Fleet dates'!$E$9:$E$1008,$I920-8)))</x:f>
      </x:c>
      <x:c r="F920" s="51" t="str">
        <x:f>IF(912&gt;$H$4,"",IF(INDEX('Fleet dates'!$F$9:$F$1008,$I920-8)="","",INDEX('Fleet dates'!$F$9:$F$1008,$I920-8)))</x:f>
      </x:c>
      <x:c r="G920" s="50" t="str">
        <x:f>IF(912&gt;$H$4,"",IF(INDEX('Fleet dates'!$G$9:$G$1008,$I920-8)="","",INDEX('Fleet dates'!$G$9:$G$1008,$I920-8)))</x:f>
      </x:c>
      <x:c r="H920" s="50" t="str">
        <x:f>IF(912&gt;$H$4,"",IF(INDEX('Fleet dates'!$I$9:$I$1008,$I920-8)="","",INDEX('Fleet dates'!$I$9:$I$1008,$I920-8)))</x:f>
      </x:c>
      <x:c r="I920" t="str">
        <x:f>IF(912&gt;$H$4,"",MATCH(912,'Fleet dates'!$J$9:$J$1008,0)+8)</x:f>
      </x:c>
    </x:row>
    <x:row r="921" ht="36" customHeight="1">
      <x:c r="A921" s="50" t="str">
        <x:f>IF(913&gt;$H$4,"",IF(INDEX('Fleet dates'!$A$9:$A$1008,$I921-8)="","",INDEX('Fleet dates'!$A$9:$A$1008,$I921-8)))</x:f>
      </x:c>
      <x:c r="B921" s="50" t="str">
        <x:f>IF(913&gt;$H$4,"",IF(INDEX('Fleet dates'!$B$9:$B$1008,$I921-8)="","",INDEX('Fleet dates'!$B$9:$B$1008,$I921-8)))</x:f>
      </x:c>
      <x:c r="C921" s="51" t="str">
        <x:f>IF(913&gt;$H$4,"",IF(INDEX('Fleet dates'!$C$9:$C$1008,$I921-8)="","",INDEX('Fleet dates'!$C$9:$C$1008,$I921-8)))</x:f>
      </x:c>
      <x:c r="D921" s="51" t="str">
        <x:f>IF(913&gt;$H$4,"",IF(INDEX('Fleet dates'!$D$9:$D$1008,$I921-8)="","",INDEX('Fleet dates'!$D$9:$D$1008,$I921-8)))</x:f>
      </x:c>
      <x:c r="E921" s="51" t="str">
        <x:f>IF(913&gt;$H$4,"",IF(INDEX('Fleet dates'!$E$9:$E$1008,$I921-8)="","",INDEX('Fleet dates'!$E$9:$E$1008,$I921-8)))</x:f>
      </x:c>
      <x:c r="F921" s="51" t="str">
        <x:f>IF(913&gt;$H$4,"",IF(INDEX('Fleet dates'!$F$9:$F$1008,$I921-8)="","",INDEX('Fleet dates'!$F$9:$F$1008,$I921-8)))</x:f>
      </x:c>
      <x:c r="G921" s="50" t="str">
        <x:f>IF(913&gt;$H$4,"",IF(INDEX('Fleet dates'!$G$9:$G$1008,$I921-8)="","",INDEX('Fleet dates'!$G$9:$G$1008,$I921-8)))</x:f>
      </x:c>
      <x:c r="H921" s="50" t="str">
        <x:f>IF(913&gt;$H$4,"",IF(INDEX('Fleet dates'!$I$9:$I$1008,$I921-8)="","",INDEX('Fleet dates'!$I$9:$I$1008,$I921-8)))</x:f>
      </x:c>
      <x:c r="I921" t="str">
        <x:f>IF(913&gt;$H$4,"",MATCH(913,'Fleet dates'!$J$9:$J$1008,0)+8)</x:f>
      </x:c>
    </x:row>
    <x:row r="922" ht="36" customHeight="1">
      <x:c r="A922" s="50" t="str">
        <x:f>IF(914&gt;$H$4,"",IF(INDEX('Fleet dates'!$A$9:$A$1008,$I922-8)="","",INDEX('Fleet dates'!$A$9:$A$1008,$I922-8)))</x:f>
      </x:c>
      <x:c r="B922" s="50" t="str">
        <x:f>IF(914&gt;$H$4,"",IF(INDEX('Fleet dates'!$B$9:$B$1008,$I922-8)="","",INDEX('Fleet dates'!$B$9:$B$1008,$I922-8)))</x:f>
      </x:c>
      <x:c r="C922" s="51" t="str">
        <x:f>IF(914&gt;$H$4,"",IF(INDEX('Fleet dates'!$C$9:$C$1008,$I922-8)="","",INDEX('Fleet dates'!$C$9:$C$1008,$I922-8)))</x:f>
      </x:c>
      <x:c r="D922" s="51" t="str">
        <x:f>IF(914&gt;$H$4,"",IF(INDEX('Fleet dates'!$D$9:$D$1008,$I922-8)="","",INDEX('Fleet dates'!$D$9:$D$1008,$I922-8)))</x:f>
      </x:c>
      <x:c r="E922" s="51" t="str">
        <x:f>IF(914&gt;$H$4,"",IF(INDEX('Fleet dates'!$E$9:$E$1008,$I922-8)="","",INDEX('Fleet dates'!$E$9:$E$1008,$I922-8)))</x:f>
      </x:c>
      <x:c r="F922" s="51" t="str">
        <x:f>IF(914&gt;$H$4,"",IF(INDEX('Fleet dates'!$F$9:$F$1008,$I922-8)="","",INDEX('Fleet dates'!$F$9:$F$1008,$I922-8)))</x:f>
      </x:c>
      <x:c r="G922" s="50" t="str">
        <x:f>IF(914&gt;$H$4,"",IF(INDEX('Fleet dates'!$G$9:$G$1008,$I922-8)="","",INDEX('Fleet dates'!$G$9:$G$1008,$I922-8)))</x:f>
      </x:c>
      <x:c r="H922" s="50" t="str">
        <x:f>IF(914&gt;$H$4,"",IF(INDEX('Fleet dates'!$I$9:$I$1008,$I922-8)="","",INDEX('Fleet dates'!$I$9:$I$1008,$I922-8)))</x:f>
      </x:c>
      <x:c r="I922" t="str">
        <x:f>IF(914&gt;$H$4,"",MATCH(914,'Fleet dates'!$J$9:$J$1008,0)+8)</x:f>
      </x:c>
    </x:row>
    <x:row r="923" ht="36" customHeight="1">
      <x:c r="A923" s="50" t="str">
        <x:f>IF(915&gt;$H$4,"",IF(INDEX('Fleet dates'!$A$9:$A$1008,$I923-8)="","",INDEX('Fleet dates'!$A$9:$A$1008,$I923-8)))</x:f>
      </x:c>
      <x:c r="B923" s="50" t="str">
        <x:f>IF(915&gt;$H$4,"",IF(INDEX('Fleet dates'!$B$9:$B$1008,$I923-8)="","",INDEX('Fleet dates'!$B$9:$B$1008,$I923-8)))</x:f>
      </x:c>
      <x:c r="C923" s="51" t="str">
        <x:f>IF(915&gt;$H$4,"",IF(INDEX('Fleet dates'!$C$9:$C$1008,$I923-8)="","",INDEX('Fleet dates'!$C$9:$C$1008,$I923-8)))</x:f>
      </x:c>
      <x:c r="D923" s="51" t="str">
        <x:f>IF(915&gt;$H$4,"",IF(INDEX('Fleet dates'!$D$9:$D$1008,$I923-8)="","",INDEX('Fleet dates'!$D$9:$D$1008,$I923-8)))</x:f>
      </x:c>
      <x:c r="E923" s="51" t="str">
        <x:f>IF(915&gt;$H$4,"",IF(INDEX('Fleet dates'!$E$9:$E$1008,$I923-8)="","",INDEX('Fleet dates'!$E$9:$E$1008,$I923-8)))</x:f>
      </x:c>
      <x:c r="F923" s="51" t="str">
        <x:f>IF(915&gt;$H$4,"",IF(INDEX('Fleet dates'!$F$9:$F$1008,$I923-8)="","",INDEX('Fleet dates'!$F$9:$F$1008,$I923-8)))</x:f>
      </x:c>
      <x:c r="G923" s="50" t="str">
        <x:f>IF(915&gt;$H$4,"",IF(INDEX('Fleet dates'!$G$9:$G$1008,$I923-8)="","",INDEX('Fleet dates'!$G$9:$G$1008,$I923-8)))</x:f>
      </x:c>
      <x:c r="H923" s="50" t="str">
        <x:f>IF(915&gt;$H$4,"",IF(INDEX('Fleet dates'!$I$9:$I$1008,$I923-8)="","",INDEX('Fleet dates'!$I$9:$I$1008,$I923-8)))</x:f>
      </x:c>
      <x:c r="I923" t="str">
        <x:f>IF(915&gt;$H$4,"",MATCH(915,'Fleet dates'!$J$9:$J$1008,0)+8)</x:f>
      </x:c>
    </x:row>
    <x:row r="924" ht="36" customHeight="1">
      <x:c r="A924" s="50" t="str">
        <x:f>IF(916&gt;$H$4,"",IF(INDEX('Fleet dates'!$A$9:$A$1008,$I924-8)="","",INDEX('Fleet dates'!$A$9:$A$1008,$I924-8)))</x:f>
      </x:c>
      <x:c r="B924" s="50" t="str">
        <x:f>IF(916&gt;$H$4,"",IF(INDEX('Fleet dates'!$B$9:$B$1008,$I924-8)="","",INDEX('Fleet dates'!$B$9:$B$1008,$I924-8)))</x:f>
      </x:c>
      <x:c r="C924" s="51" t="str">
        <x:f>IF(916&gt;$H$4,"",IF(INDEX('Fleet dates'!$C$9:$C$1008,$I924-8)="","",INDEX('Fleet dates'!$C$9:$C$1008,$I924-8)))</x:f>
      </x:c>
      <x:c r="D924" s="51" t="str">
        <x:f>IF(916&gt;$H$4,"",IF(INDEX('Fleet dates'!$D$9:$D$1008,$I924-8)="","",INDEX('Fleet dates'!$D$9:$D$1008,$I924-8)))</x:f>
      </x:c>
      <x:c r="E924" s="51" t="str">
        <x:f>IF(916&gt;$H$4,"",IF(INDEX('Fleet dates'!$E$9:$E$1008,$I924-8)="","",INDEX('Fleet dates'!$E$9:$E$1008,$I924-8)))</x:f>
      </x:c>
      <x:c r="F924" s="51" t="str">
        <x:f>IF(916&gt;$H$4,"",IF(INDEX('Fleet dates'!$F$9:$F$1008,$I924-8)="","",INDEX('Fleet dates'!$F$9:$F$1008,$I924-8)))</x:f>
      </x:c>
      <x:c r="G924" s="50" t="str">
        <x:f>IF(916&gt;$H$4,"",IF(INDEX('Fleet dates'!$G$9:$G$1008,$I924-8)="","",INDEX('Fleet dates'!$G$9:$G$1008,$I924-8)))</x:f>
      </x:c>
      <x:c r="H924" s="50" t="str">
        <x:f>IF(916&gt;$H$4,"",IF(INDEX('Fleet dates'!$I$9:$I$1008,$I924-8)="","",INDEX('Fleet dates'!$I$9:$I$1008,$I924-8)))</x:f>
      </x:c>
      <x:c r="I924" t="str">
        <x:f>IF(916&gt;$H$4,"",MATCH(916,'Fleet dates'!$J$9:$J$1008,0)+8)</x:f>
      </x:c>
    </x:row>
    <x:row r="925" ht="36" customHeight="1">
      <x:c r="A925" s="50" t="str">
        <x:f>IF(917&gt;$H$4,"",IF(INDEX('Fleet dates'!$A$9:$A$1008,$I925-8)="","",INDEX('Fleet dates'!$A$9:$A$1008,$I925-8)))</x:f>
      </x:c>
      <x:c r="B925" s="50" t="str">
        <x:f>IF(917&gt;$H$4,"",IF(INDEX('Fleet dates'!$B$9:$B$1008,$I925-8)="","",INDEX('Fleet dates'!$B$9:$B$1008,$I925-8)))</x:f>
      </x:c>
      <x:c r="C925" s="51" t="str">
        <x:f>IF(917&gt;$H$4,"",IF(INDEX('Fleet dates'!$C$9:$C$1008,$I925-8)="","",INDEX('Fleet dates'!$C$9:$C$1008,$I925-8)))</x:f>
      </x:c>
      <x:c r="D925" s="51" t="str">
        <x:f>IF(917&gt;$H$4,"",IF(INDEX('Fleet dates'!$D$9:$D$1008,$I925-8)="","",INDEX('Fleet dates'!$D$9:$D$1008,$I925-8)))</x:f>
      </x:c>
      <x:c r="E925" s="51" t="str">
        <x:f>IF(917&gt;$H$4,"",IF(INDEX('Fleet dates'!$E$9:$E$1008,$I925-8)="","",INDEX('Fleet dates'!$E$9:$E$1008,$I925-8)))</x:f>
      </x:c>
      <x:c r="F925" s="51" t="str">
        <x:f>IF(917&gt;$H$4,"",IF(INDEX('Fleet dates'!$F$9:$F$1008,$I925-8)="","",INDEX('Fleet dates'!$F$9:$F$1008,$I925-8)))</x:f>
      </x:c>
      <x:c r="G925" s="50" t="str">
        <x:f>IF(917&gt;$H$4,"",IF(INDEX('Fleet dates'!$G$9:$G$1008,$I925-8)="","",INDEX('Fleet dates'!$G$9:$G$1008,$I925-8)))</x:f>
      </x:c>
      <x:c r="H925" s="50" t="str">
        <x:f>IF(917&gt;$H$4,"",IF(INDEX('Fleet dates'!$I$9:$I$1008,$I925-8)="","",INDEX('Fleet dates'!$I$9:$I$1008,$I925-8)))</x:f>
      </x:c>
      <x:c r="I925" t="str">
        <x:f>IF(917&gt;$H$4,"",MATCH(917,'Fleet dates'!$J$9:$J$1008,0)+8)</x:f>
      </x:c>
    </x:row>
    <x:row r="926" ht="36" customHeight="1">
      <x:c r="A926" s="50" t="str">
        <x:f>IF(918&gt;$H$4,"",IF(INDEX('Fleet dates'!$A$9:$A$1008,$I926-8)="","",INDEX('Fleet dates'!$A$9:$A$1008,$I926-8)))</x:f>
      </x:c>
      <x:c r="B926" s="50" t="str">
        <x:f>IF(918&gt;$H$4,"",IF(INDEX('Fleet dates'!$B$9:$B$1008,$I926-8)="","",INDEX('Fleet dates'!$B$9:$B$1008,$I926-8)))</x:f>
      </x:c>
      <x:c r="C926" s="51" t="str">
        <x:f>IF(918&gt;$H$4,"",IF(INDEX('Fleet dates'!$C$9:$C$1008,$I926-8)="","",INDEX('Fleet dates'!$C$9:$C$1008,$I926-8)))</x:f>
      </x:c>
      <x:c r="D926" s="51" t="str">
        <x:f>IF(918&gt;$H$4,"",IF(INDEX('Fleet dates'!$D$9:$D$1008,$I926-8)="","",INDEX('Fleet dates'!$D$9:$D$1008,$I926-8)))</x:f>
      </x:c>
      <x:c r="E926" s="51" t="str">
        <x:f>IF(918&gt;$H$4,"",IF(INDEX('Fleet dates'!$E$9:$E$1008,$I926-8)="","",INDEX('Fleet dates'!$E$9:$E$1008,$I926-8)))</x:f>
      </x:c>
      <x:c r="F926" s="51" t="str">
        <x:f>IF(918&gt;$H$4,"",IF(INDEX('Fleet dates'!$F$9:$F$1008,$I926-8)="","",INDEX('Fleet dates'!$F$9:$F$1008,$I926-8)))</x:f>
      </x:c>
      <x:c r="G926" s="50" t="str">
        <x:f>IF(918&gt;$H$4,"",IF(INDEX('Fleet dates'!$G$9:$G$1008,$I926-8)="","",INDEX('Fleet dates'!$G$9:$G$1008,$I926-8)))</x:f>
      </x:c>
      <x:c r="H926" s="50" t="str">
        <x:f>IF(918&gt;$H$4,"",IF(INDEX('Fleet dates'!$I$9:$I$1008,$I926-8)="","",INDEX('Fleet dates'!$I$9:$I$1008,$I926-8)))</x:f>
      </x:c>
      <x:c r="I926" t="str">
        <x:f>IF(918&gt;$H$4,"",MATCH(918,'Fleet dates'!$J$9:$J$1008,0)+8)</x:f>
      </x:c>
    </x:row>
    <x:row r="927" ht="36" customHeight="1">
      <x:c r="A927" s="50" t="str">
        <x:f>IF(919&gt;$H$4,"",IF(INDEX('Fleet dates'!$A$9:$A$1008,$I927-8)="","",INDEX('Fleet dates'!$A$9:$A$1008,$I927-8)))</x:f>
      </x:c>
      <x:c r="B927" s="50" t="str">
        <x:f>IF(919&gt;$H$4,"",IF(INDEX('Fleet dates'!$B$9:$B$1008,$I927-8)="","",INDEX('Fleet dates'!$B$9:$B$1008,$I927-8)))</x:f>
      </x:c>
      <x:c r="C927" s="51" t="str">
        <x:f>IF(919&gt;$H$4,"",IF(INDEX('Fleet dates'!$C$9:$C$1008,$I927-8)="","",INDEX('Fleet dates'!$C$9:$C$1008,$I927-8)))</x:f>
      </x:c>
      <x:c r="D927" s="51" t="str">
        <x:f>IF(919&gt;$H$4,"",IF(INDEX('Fleet dates'!$D$9:$D$1008,$I927-8)="","",INDEX('Fleet dates'!$D$9:$D$1008,$I927-8)))</x:f>
      </x:c>
      <x:c r="E927" s="51" t="str">
        <x:f>IF(919&gt;$H$4,"",IF(INDEX('Fleet dates'!$E$9:$E$1008,$I927-8)="","",INDEX('Fleet dates'!$E$9:$E$1008,$I927-8)))</x:f>
      </x:c>
      <x:c r="F927" s="51" t="str">
        <x:f>IF(919&gt;$H$4,"",IF(INDEX('Fleet dates'!$F$9:$F$1008,$I927-8)="","",INDEX('Fleet dates'!$F$9:$F$1008,$I927-8)))</x:f>
      </x:c>
      <x:c r="G927" s="50" t="str">
        <x:f>IF(919&gt;$H$4,"",IF(INDEX('Fleet dates'!$G$9:$G$1008,$I927-8)="","",INDEX('Fleet dates'!$G$9:$G$1008,$I927-8)))</x:f>
      </x:c>
      <x:c r="H927" s="50" t="str">
        <x:f>IF(919&gt;$H$4,"",IF(INDEX('Fleet dates'!$I$9:$I$1008,$I927-8)="","",INDEX('Fleet dates'!$I$9:$I$1008,$I927-8)))</x:f>
      </x:c>
      <x:c r="I927" t="str">
        <x:f>IF(919&gt;$H$4,"",MATCH(919,'Fleet dates'!$J$9:$J$1008,0)+8)</x:f>
      </x:c>
    </x:row>
    <x:row r="928" ht="36" customHeight="1">
      <x:c r="A928" s="50" t="str">
        <x:f>IF(920&gt;$H$4,"",IF(INDEX('Fleet dates'!$A$9:$A$1008,$I928-8)="","",INDEX('Fleet dates'!$A$9:$A$1008,$I928-8)))</x:f>
      </x:c>
      <x:c r="B928" s="50" t="str">
        <x:f>IF(920&gt;$H$4,"",IF(INDEX('Fleet dates'!$B$9:$B$1008,$I928-8)="","",INDEX('Fleet dates'!$B$9:$B$1008,$I928-8)))</x:f>
      </x:c>
      <x:c r="C928" s="51" t="str">
        <x:f>IF(920&gt;$H$4,"",IF(INDEX('Fleet dates'!$C$9:$C$1008,$I928-8)="","",INDEX('Fleet dates'!$C$9:$C$1008,$I928-8)))</x:f>
      </x:c>
      <x:c r="D928" s="51" t="str">
        <x:f>IF(920&gt;$H$4,"",IF(INDEX('Fleet dates'!$D$9:$D$1008,$I928-8)="","",INDEX('Fleet dates'!$D$9:$D$1008,$I928-8)))</x:f>
      </x:c>
      <x:c r="E928" s="51" t="str">
        <x:f>IF(920&gt;$H$4,"",IF(INDEX('Fleet dates'!$E$9:$E$1008,$I928-8)="","",INDEX('Fleet dates'!$E$9:$E$1008,$I928-8)))</x:f>
      </x:c>
      <x:c r="F928" s="51" t="str">
        <x:f>IF(920&gt;$H$4,"",IF(INDEX('Fleet dates'!$F$9:$F$1008,$I928-8)="","",INDEX('Fleet dates'!$F$9:$F$1008,$I928-8)))</x:f>
      </x:c>
      <x:c r="G928" s="50" t="str">
        <x:f>IF(920&gt;$H$4,"",IF(INDEX('Fleet dates'!$G$9:$G$1008,$I928-8)="","",INDEX('Fleet dates'!$G$9:$G$1008,$I928-8)))</x:f>
      </x:c>
      <x:c r="H928" s="50" t="str">
        <x:f>IF(920&gt;$H$4,"",IF(INDEX('Fleet dates'!$I$9:$I$1008,$I928-8)="","",INDEX('Fleet dates'!$I$9:$I$1008,$I928-8)))</x:f>
      </x:c>
      <x:c r="I928" t="str">
        <x:f>IF(920&gt;$H$4,"",MATCH(920,'Fleet dates'!$J$9:$J$1008,0)+8)</x:f>
      </x:c>
    </x:row>
    <x:row r="929" ht="36" customHeight="1">
      <x:c r="A929" s="50" t="str">
        <x:f>IF(921&gt;$H$4,"",IF(INDEX('Fleet dates'!$A$9:$A$1008,$I929-8)="","",INDEX('Fleet dates'!$A$9:$A$1008,$I929-8)))</x:f>
      </x:c>
      <x:c r="B929" s="50" t="str">
        <x:f>IF(921&gt;$H$4,"",IF(INDEX('Fleet dates'!$B$9:$B$1008,$I929-8)="","",INDEX('Fleet dates'!$B$9:$B$1008,$I929-8)))</x:f>
      </x:c>
      <x:c r="C929" s="51" t="str">
        <x:f>IF(921&gt;$H$4,"",IF(INDEX('Fleet dates'!$C$9:$C$1008,$I929-8)="","",INDEX('Fleet dates'!$C$9:$C$1008,$I929-8)))</x:f>
      </x:c>
      <x:c r="D929" s="51" t="str">
        <x:f>IF(921&gt;$H$4,"",IF(INDEX('Fleet dates'!$D$9:$D$1008,$I929-8)="","",INDEX('Fleet dates'!$D$9:$D$1008,$I929-8)))</x:f>
      </x:c>
      <x:c r="E929" s="51" t="str">
        <x:f>IF(921&gt;$H$4,"",IF(INDEX('Fleet dates'!$E$9:$E$1008,$I929-8)="","",INDEX('Fleet dates'!$E$9:$E$1008,$I929-8)))</x:f>
      </x:c>
      <x:c r="F929" s="51" t="str">
        <x:f>IF(921&gt;$H$4,"",IF(INDEX('Fleet dates'!$F$9:$F$1008,$I929-8)="","",INDEX('Fleet dates'!$F$9:$F$1008,$I929-8)))</x:f>
      </x:c>
      <x:c r="G929" s="50" t="str">
        <x:f>IF(921&gt;$H$4,"",IF(INDEX('Fleet dates'!$G$9:$G$1008,$I929-8)="","",INDEX('Fleet dates'!$G$9:$G$1008,$I929-8)))</x:f>
      </x:c>
      <x:c r="H929" s="50" t="str">
        <x:f>IF(921&gt;$H$4,"",IF(INDEX('Fleet dates'!$I$9:$I$1008,$I929-8)="","",INDEX('Fleet dates'!$I$9:$I$1008,$I929-8)))</x:f>
      </x:c>
      <x:c r="I929" t="str">
        <x:f>IF(921&gt;$H$4,"",MATCH(921,'Fleet dates'!$J$9:$J$1008,0)+8)</x:f>
      </x:c>
    </x:row>
    <x:row r="930" ht="36" customHeight="1">
      <x:c r="A930" s="50" t="str">
        <x:f>IF(922&gt;$H$4,"",IF(INDEX('Fleet dates'!$A$9:$A$1008,$I930-8)="","",INDEX('Fleet dates'!$A$9:$A$1008,$I930-8)))</x:f>
      </x:c>
      <x:c r="B930" s="50" t="str">
        <x:f>IF(922&gt;$H$4,"",IF(INDEX('Fleet dates'!$B$9:$B$1008,$I930-8)="","",INDEX('Fleet dates'!$B$9:$B$1008,$I930-8)))</x:f>
      </x:c>
      <x:c r="C930" s="51" t="str">
        <x:f>IF(922&gt;$H$4,"",IF(INDEX('Fleet dates'!$C$9:$C$1008,$I930-8)="","",INDEX('Fleet dates'!$C$9:$C$1008,$I930-8)))</x:f>
      </x:c>
      <x:c r="D930" s="51" t="str">
        <x:f>IF(922&gt;$H$4,"",IF(INDEX('Fleet dates'!$D$9:$D$1008,$I930-8)="","",INDEX('Fleet dates'!$D$9:$D$1008,$I930-8)))</x:f>
      </x:c>
      <x:c r="E930" s="51" t="str">
        <x:f>IF(922&gt;$H$4,"",IF(INDEX('Fleet dates'!$E$9:$E$1008,$I930-8)="","",INDEX('Fleet dates'!$E$9:$E$1008,$I930-8)))</x:f>
      </x:c>
      <x:c r="F930" s="51" t="str">
        <x:f>IF(922&gt;$H$4,"",IF(INDEX('Fleet dates'!$F$9:$F$1008,$I930-8)="","",INDEX('Fleet dates'!$F$9:$F$1008,$I930-8)))</x:f>
      </x:c>
      <x:c r="G930" s="50" t="str">
        <x:f>IF(922&gt;$H$4,"",IF(INDEX('Fleet dates'!$G$9:$G$1008,$I930-8)="","",INDEX('Fleet dates'!$G$9:$G$1008,$I930-8)))</x:f>
      </x:c>
      <x:c r="H930" s="50" t="str">
        <x:f>IF(922&gt;$H$4,"",IF(INDEX('Fleet dates'!$I$9:$I$1008,$I930-8)="","",INDEX('Fleet dates'!$I$9:$I$1008,$I930-8)))</x:f>
      </x:c>
      <x:c r="I930" t="str">
        <x:f>IF(922&gt;$H$4,"",MATCH(922,'Fleet dates'!$J$9:$J$1008,0)+8)</x:f>
      </x:c>
    </x:row>
    <x:row r="931" ht="36" customHeight="1">
      <x:c r="A931" s="50" t="str">
        <x:f>IF(923&gt;$H$4,"",IF(INDEX('Fleet dates'!$A$9:$A$1008,$I931-8)="","",INDEX('Fleet dates'!$A$9:$A$1008,$I931-8)))</x:f>
      </x:c>
      <x:c r="B931" s="50" t="str">
        <x:f>IF(923&gt;$H$4,"",IF(INDEX('Fleet dates'!$B$9:$B$1008,$I931-8)="","",INDEX('Fleet dates'!$B$9:$B$1008,$I931-8)))</x:f>
      </x:c>
      <x:c r="C931" s="51" t="str">
        <x:f>IF(923&gt;$H$4,"",IF(INDEX('Fleet dates'!$C$9:$C$1008,$I931-8)="","",INDEX('Fleet dates'!$C$9:$C$1008,$I931-8)))</x:f>
      </x:c>
      <x:c r="D931" s="51" t="str">
        <x:f>IF(923&gt;$H$4,"",IF(INDEX('Fleet dates'!$D$9:$D$1008,$I931-8)="","",INDEX('Fleet dates'!$D$9:$D$1008,$I931-8)))</x:f>
      </x:c>
      <x:c r="E931" s="51" t="str">
        <x:f>IF(923&gt;$H$4,"",IF(INDEX('Fleet dates'!$E$9:$E$1008,$I931-8)="","",INDEX('Fleet dates'!$E$9:$E$1008,$I931-8)))</x:f>
      </x:c>
      <x:c r="F931" s="51" t="str">
        <x:f>IF(923&gt;$H$4,"",IF(INDEX('Fleet dates'!$F$9:$F$1008,$I931-8)="","",INDEX('Fleet dates'!$F$9:$F$1008,$I931-8)))</x:f>
      </x:c>
      <x:c r="G931" s="50" t="str">
        <x:f>IF(923&gt;$H$4,"",IF(INDEX('Fleet dates'!$G$9:$G$1008,$I931-8)="","",INDEX('Fleet dates'!$G$9:$G$1008,$I931-8)))</x:f>
      </x:c>
      <x:c r="H931" s="50" t="str">
        <x:f>IF(923&gt;$H$4,"",IF(INDEX('Fleet dates'!$I$9:$I$1008,$I931-8)="","",INDEX('Fleet dates'!$I$9:$I$1008,$I931-8)))</x:f>
      </x:c>
      <x:c r="I931" t="str">
        <x:f>IF(923&gt;$H$4,"",MATCH(923,'Fleet dates'!$J$9:$J$1008,0)+8)</x:f>
      </x:c>
    </x:row>
    <x:row r="932" ht="36" customHeight="1">
      <x:c r="A932" s="50" t="str">
        <x:f>IF(924&gt;$H$4,"",IF(INDEX('Fleet dates'!$A$9:$A$1008,$I932-8)="","",INDEX('Fleet dates'!$A$9:$A$1008,$I932-8)))</x:f>
      </x:c>
      <x:c r="B932" s="50" t="str">
        <x:f>IF(924&gt;$H$4,"",IF(INDEX('Fleet dates'!$B$9:$B$1008,$I932-8)="","",INDEX('Fleet dates'!$B$9:$B$1008,$I932-8)))</x:f>
      </x:c>
      <x:c r="C932" s="51" t="str">
        <x:f>IF(924&gt;$H$4,"",IF(INDEX('Fleet dates'!$C$9:$C$1008,$I932-8)="","",INDEX('Fleet dates'!$C$9:$C$1008,$I932-8)))</x:f>
      </x:c>
      <x:c r="D932" s="51" t="str">
        <x:f>IF(924&gt;$H$4,"",IF(INDEX('Fleet dates'!$D$9:$D$1008,$I932-8)="","",INDEX('Fleet dates'!$D$9:$D$1008,$I932-8)))</x:f>
      </x:c>
      <x:c r="E932" s="51" t="str">
        <x:f>IF(924&gt;$H$4,"",IF(INDEX('Fleet dates'!$E$9:$E$1008,$I932-8)="","",INDEX('Fleet dates'!$E$9:$E$1008,$I932-8)))</x:f>
      </x:c>
      <x:c r="F932" s="51" t="str">
        <x:f>IF(924&gt;$H$4,"",IF(INDEX('Fleet dates'!$F$9:$F$1008,$I932-8)="","",INDEX('Fleet dates'!$F$9:$F$1008,$I932-8)))</x:f>
      </x:c>
      <x:c r="G932" s="50" t="str">
        <x:f>IF(924&gt;$H$4,"",IF(INDEX('Fleet dates'!$G$9:$G$1008,$I932-8)="","",INDEX('Fleet dates'!$G$9:$G$1008,$I932-8)))</x:f>
      </x:c>
      <x:c r="H932" s="50" t="str">
        <x:f>IF(924&gt;$H$4,"",IF(INDEX('Fleet dates'!$I$9:$I$1008,$I932-8)="","",INDEX('Fleet dates'!$I$9:$I$1008,$I932-8)))</x:f>
      </x:c>
      <x:c r="I932" t="str">
        <x:f>IF(924&gt;$H$4,"",MATCH(924,'Fleet dates'!$J$9:$J$1008,0)+8)</x:f>
      </x:c>
    </x:row>
    <x:row r="933" ht="36" customHeight="1">
      <x:c r="A933" s="50" t="str">
        <x:f>IF(925&gt;$H$4,"",IF(INDEX('Fleet dates'!$A$9:$A$1008,$I933-8)="","",INDEX('Fleet dates'!$A$9:$A$1008,$I933-8)))</x:f>
      </x:c>
      <x:c r="B933" s="50" t="str">
        <x:f>IF(925&gt;$H$4,"",IF(INDEX('Fleet dates'!$B$9:$B$1008,$I933-8)="","",INDEX('Fleet dates'!$B$9:$B$1008,$I933-8)))</x:f>
      </x:c>
      <x:c r="C933" s="51" t="str">
        <x:f>IF(925&gt;$H$4,"",IF(INDEX('Fleet dates'!$C$9:$C$1008,$I933-8)="","",INDEX('Fleet dates'!$C$9:$C$1008,$I933-8)))</x:f>
      </x:c>
      <x:c r="D933" s="51" t="str">
        <x:f>IF(925&gt;$H$4,"",IF(INDEX('Fleet dates'!$D$9:$D$1008,$I933-8)="","",INDEX('Fleet dates'!$D$9:$D$1008,$I933-8)))</x:f>
      </x:c>
      <x:c r="E933" s="51" t="str">
        <x:f>IF(925&gt;$H$4,"",IF(INDEX('Fleet dates'!$E$9:$E$1008,$I933-8)="","",INDEX('Fleet dates'!$E$9:$E$1008,$I933-8)))</x:f>
      </x:c>
      <x:c r="F933" s="51" t="str">
        <x:f>IF(925&gt;$H$4,"",IF(INDEX('Fleet dates'!$F$9:$F$1008,$I933-8)="","",INDEX('Fleet dates'!$F$9:$F$1008,$I933-8)))</x:f>
      </x:c>
      <x:c r="G933" s="50" t="str">
        <x:f>IF(925&gt;$H$4,"",IF(INDEX('Fleet dates'!$G$9:$G$1008,$I933-8)="","",INDEX('Fleet dates'!$G$9:$G$1008,$I933-8)))</x:f>
      </x:c>
      <x:c r="H933" s="50" t="str">
        <x:f>IF(925&gt;$H$4,"",IF(INDEX('Fleet dates'!$I$9:$I$1008,$I933-8)="","",INDEX('Fleet dates'!$I$9:$I$1008,$I933-8)))</x:f>
      </x:c>
      <x:c r="I933" t="str">
        <x:f>IF(925&gt;$H$4,"",MATCH(925,'Fleet dates'!$J$9:$J$1008,0)+8)</x:f>
      </x:c>
    </x:row>
    <x:row r="934" ht="36" customHeight="1">
      <x:c r="A934" s="50" t="str">
        <x:f>IF(926&gt;$H$4,"",IF(INDEX('Fleet dates'!$A$9:$A$1008,$I934-8)="","",INDEX('Fleet dates'!$A$9:$A$1008,$I934-8)))</x:f>
      </x:c>
      <x:c r="B934" s="50" t="str">
        <x:f>IF(926&gt;$H$4,"",IF(INDEX('Fleet dates'!$B$9:$B$1008,$I934-8)="","",INDEX('Fleet dates'!$B$9:$B$1008,$I934-8)))</x:f>
      </x:c>
      <x:c r="C934" s="51" t="str">
        <x:f>IF(926&gt;$H$4,"",IF(INDEX('Fleet dates'!$C$9:$C$1008,$I934-8)="","",INDEX('Fleet dates'!$C$9:$C$1008,$I934-8)))</x:f>
      </x:c>
      <x:c r="D934" s="51" t="str">
        <x:f>IF(926&gt;$H$4,"",IF(INDEX('Fleet dates'!$D$9:$D$1008,$I934-8)="","",INDEX('Fleet dates'!$D$9:$D$1008,$I934-8)))</x:f>
      </x:c>
      <x:c r="E934" s="51" t="str">
        <x:f>IF(926&gt;$H$4,"",IF(INDEX('Fleet dates'!$E$9:$E$1008,$I934-8)="","",INDEX('Fleet dates'!$E$9:$E$1008,$I934-8)))</x:f>
      </x:c>
      <x:c r="F934" s="51" t="str">
        <x:f>IF(926&gt;$H$4,"",IF(INDEX('Fleet dates'!$F$9:$F$1008,$I934-8)="","",INDEX('Fleet dates'!$F$9:$F$1008,$I934-8)))</x:f>
      </x:c>
      <x:c r="G934" s="50" t="str">
        <x:f>IF(926&gt;$H$4,"",IF(INDEX('Fleet dates'!$G$9:$G$1008,$I934-8)="","",INDEX('Fleet dates'!$G$9:$G$1008,$I934-8)))</x:f>
      </x:c>
      <x:c r="H934" s="50" t="str">
        <x:f>IF(926&gt;$H$4,"",IF(INDEX('Fleet dates'!$I$9:$I$1008,$I934-8)="","",INDEX('Fleet dates'!$I$9:$I$1008,$I934-8)))</x:f>
      </x:c>
      <x:c r="I934" t="str">
        <x:f>IF(926&gt;$H$4,"",MATCH(926,'Fleet dates'!$J$9:$J$1008,0)+8)</x:f>
      </x:c>
    </x:row>
    <x:row r="935" ht="36" customHeight="1">
      <x:c r="A935" s="50" t="str">
        <x:f>IF(927&gt;$H$4,"",IF(INDEX('Fleet dates'!$A$9:$A$1008,$I935-8)="","",INDEX('Fleet dates'!$A$9:$A$1008,$I935-8)))</x:f>
      </x:c>
      <x:c r="B935" s="50" t="str">
        <x:f>IF(927&gt;$H$4,"",IF(INDEX('Fleet dates'!$B$9:$B$1008,$I935-8)="","",INDEX('Fleet dates'!$B$9:$B$1008,$I935-8)))</x:f>
      </x:c>
      <x:c r="C935" s="51" t="str">
        <x:f>IF(927&gt;$H$4,"",IF(INDEX('Fleet dates'!$C$9:$C$1008,$I935-8)="","",INDEX('Fleet dates'!$C$9:$C$1008,$I935-8)))</x:f>
      </x:c>
      <x:c r="D935" s="51" t="str">
        <x:f>IF(927&gt;$H$4,"",IF(INDEX('Fleet dates'!$D$9:$D$1008,$I935-8)="","",INDEX('Fleet dates'!$D$9:$D$1008,$I935-8)))</x:f>
      </x:c>
      <x:c r="E935" s="51" t="str">
        <x:f>IF(927&gt;$H$4,"",IF(INDEX('Fleet dates'!$E$9:$E$1008,$I935-8)="","",INDEX('Fleet dates'!$E$9:$E$1008,$I935-8)))</x:f>
      </x:c>
      <x:c r="F935" s="51" t="str">
        <x:f>IF(927&gt;$H$4,"",IF(INDEX('Fleet dates'!$F$9:$F$1008,$I935-8)="","",INDEX('Fleet dates'!$F$9:$F$1008,$I935-8)))</x:f>
      </x:c>
      <x:c r="G935" s="50" t="str">
        <x:f>IF(927&gt;$H$4,"",IF(INDEX('Fleet dates'!$G$9:$G$1008,$I935-8)="","",INDEX('Fleet dates'!$G$9:$G$1008,$I935-8)))</x:f>
      </x:c>
      <x:c r="H935" s="50" t="str">
        <x:f>IF(927&gt;$H$4,"",IF(INDEX('Fleet dates'!$I$9:$I$1008,$I935-8)="","",INDEX('Fleet dates'!$I$9:$I$1008,$I935-8)))</x:f>
      </x:c>
      <x:c r="I935" t="str">
        <x:f>IF(927&gt;$H$4,"",MATCH(927,'Fleet dates'!$J$9:$J$1008,0)+8)</x:f>
      </x:c>
    </x:row>
    <x:row r="936" ht="36" customHeight="1">
      <x:c r="A936" s="50" t="str">
        <x:f>IF(928&gt;$H$4,"",IF(INDEX('Fleet dates'!$A$9:$A$1008,$I936-8)="","",INDEX('Fleet dates'!$A$9:$A$1008,$I936-8)))</x:f>
      </x:c>
      <x:c r="B936" s="50" t="str">
        <x:f>IF(928&gt;$H$4,"",IF(INDEX('Fleet dates'!$B$9:$B$1008,$I936-8)="","",INDEX('Fleet dates'!$B$9:$B$1008,$I936-8)))</x:f>
      </x:c>
      <x:c r="C936" s="51" t="str">
        <x:f>IF(928&gt;$H$4,"",IF(INDEX('Fleet dates'!$C$9:$C$1008,$I936-8)="","",INDEX('Fleet dates'!$C$9:$C$1008,$I936-8)))</x:f>
      </x:c>
      <x:c r="D936" s="51" t="str">
        <x:f>IF(928&gt;$H$4,"",IF(INDEX('Fleet dates'!$D$9:$D$1008,$I936-8)="","",INDEX('Fleet dates'!$D$9:$D$1008,$I936-8)))</x:f>
      </x:c>
      <x:c r="E936" s="51" t="str">
        <x:f>IF(928&gt;$H$4,"",IF(INDEX('Fleet dates'!$E$9:$E$1008,$I936-8)="","",INDEX('Fleet dates'!$E$9:$E$1008,$I936-8)))</x:f>
      </x:c>
      <x:c r="F936" s="51" t="str">
        <x:f>IF(928&gt;$H$4,"",IF(INDEX('Fleet dates'!$F$9:$F$1008,$I936-8)="","",INDEX('Fleet dates'!$F$9:$F$1008,$I936-8)))</x:f>
      </x:c>
      <x:c r="G936" s="50" t="str">
        <x:f>IF(928&gt;$H$4,"",IF(INDEX('Fleet dates'!$G$9:$G$1008,$I936-8)="","",INDEX('Fleet dates'!$G$9:$G$1008,$I936-8)))</x:f>
      </x:c>
      <x:c r="H936" s="50" t="str">
        <x:f>IF(928&gt;$H$4,"",IF(INDEX('Fleet dates'!$I$9:$I$1008,$I936-8)="","",INDEX('Fleet dates'!$I$9:$I$1008,$I936-8)))</x:f>
      </x:c>
      <x:c r="I936" t="str">
        <x:f>IF(928&gt;$H$4,"",MATCH(928,'Fleet dates'!$J$9:$J$1008,0)+8)</x:f>
      </x:c>
    </x:row>
    <x:row r="937" ht="36" customHeight="1">
      <x:c r="A937" s="50" t="str">
        <x:f>IF(929&gt;$H$4,"",IF(INDEX('Fleet dates'!$A$9:$A$1008,$I937-8)="","",INDEX('Fleet dates'!$A$9:$A$1008,$I937-8)))</x:f>
      </x:c>
      <x:c r="B937" s="50" t="str">
        <x:f>IF(929&gt;$H$4,"",IF(INDEX('Fleet dates'!$B$9:$B$1008,$I937-8)="","",INDEX('Fleet dates'!$B$9:$B$1008,$I937-8)))</x:f>
      </x:c>
      <x:c r="C937" s="51" t="str">
        <x:f>IF(929&gt;$H$4,"",IF(INDEX('Fleet dates'!$C$9:$C$1008,$I937-8)="","",INDEX('Fleet dates'!$C$9:$C$1008,$I937-8)))</x:f>
      </x:c>
      <x:c r="D937" s="51" t="str">
        <x:f>IF(929&gt;$H$4,"",IF(INDEX('Fleet dates'!$D$9:$D$1008,$I937-8)="","",INDEX('Fleet dates'!$D$9:$D$1008,$I937-8)))</x:f>
      </x:c>
      <x:c r="E937" s="51" t="str">
        <x:f>IF(929&gt;$H$4,"",IF(INDEX('Fleet dates'!$E$9:$E$1008,$I937-8)="","",INDEX('Fleet dates'!$E$9:$E$1008,$I937-8)))</x:f>
      </x:c>
      <x:c r="F937" s="51" t="str">
        <x:f>IF(929&gt;$H$4,"",IF(INDEX('Fleet dates'!$F$9:$F$1008,$I937-8)="","",INDEX('Fleet dates'!$F$9:$F$1008,$I937-8)))</x:f>
      </x:c>
      <x:c r="G937" s="50" t="str">
        <x:f>IF(929&gt;$H$4,"",IF(INDEX('Fleet dates'!$G$9:$G$1008,$I937-8)="","",INDEX('Fleet dates'!$G$9:$G$1008,$I937-8)))</x:f>
      </x:c>
      <x:c r="H937" s="50" t="str">
        <x:f>IF(929&gt;$H$4,"",IF(INDEX('Fleet dates'!$I$9:$I$1008,$I937-8)="","",INDEX('Fleet dates'!$I$9:$I$1008,$I937-8)))</x:f>
      </x:c>
      <x:c r="I937" t="str">
        <x:f>IF(929&gt;$H$4,"",MATCH(929,'Fleet dates'!$J$9:$J$1008,0)+8)</x:f>
      </x:c>
    </x:row>
    <x:row r="938" ht="36" customHeight="1">
      <x:c r="A938" s="50" t="str">
        <x:f>IF(930&gt;$H$4,"",IF(INDEX('Fleet dates'!$A$9:$A$1008,$I938-8)="","",INDEX('Fleet dates'!$A$9:$A$1008,$I938-8)))</x:f>
      </x:c>
      <x:c r="B938" s="50" t="str">
        <x:f>IF(930&gt;$H$4,"",IF(INDEX('Fleet dates'!$B$9:$B$1008,$I938-8)="","",INDEX('Fleet dates'!$B$9:$B$1008,$I938-8)))</x:f>
      </x:c>
      <x:c r="C938" s="51" t="str">
        <x:f>IF(930&gt;$H$4,"",IF(INDEX('Fleet dates'!$C$9:$C$1008,$I938-8)="","",INDEX('Fleet dates'!$C$9:$C$1008,$I938-8)))</x:f>
      </x:c>
      <x:c r="D938" s="51" t="str">
        <x:f>IF(930&gt;$H$4,"",IF(INDEX('Fleet dates'!$D$9:$D$1008,$I938-8)="","",INDEX('Fleet dates'!$D$9:$D$1008,$I938-8)))</x:f>
      </x:c>
      <x:c r="E938" s="51" t="str">
        <x:f>IF(930&gt;$H$4,"",IF(INDEX('Fleet dates'!$E$9:$E$1008,$I938-8)="","",INDEX('Fleet dates'!$E$9:$E$1008,$I938-8)))</x:f>
      </x:c>
      <x:c r="F938" s="51" t="str">
        <x:f>IF(930&gt;$H$4,"",IF(INDEX('Fleet dates'!$F$9:$F$1008,$I938-8)="","",INDEX('Fleet dates'!$F$9:$F$1008,$I938-8)))</x:f>
      </x:c>
      <x:c r="G938" s="50" t="str">
        <x:f>IF(930&gt;$H$4,"",IF(INDEX('Fleet dates'!$G$9:$G$1008,$I938-8)="","",INDEX('Fleet dates'!$G$9:$G$1008,$I938-8)))</x:f>
      </x:c>
      <x:c r="H938" s="50" t="str">
        <x:f>IF(930&gt;$H$4,"",IF(INDEX('Fleet dates'!$I$9:$I$1008,$I938-8)="","",INDEX('Fleet dates'!$I$9:$I$1008,$I938-8)))</x:f>
      </x:c>
      <x:c r="I938" t="str">
        <x:f>IF(930&gt;$H$4,"",MATCH(930,'Fleet dates'!$J$9:$J$1008,0)+8)</x:f>
      </x:c>
    </x:row>
    <x:row r="939" ht="36" customHeight="1">
      <x:c r="A939" s="50" t="str">
        <x:f>IF(931&gt;$H$4,"",IF(INDEX('Fleet dates'!$A$9:$A$1008,$I939-8)="","",INDEX('Fleet dates'!$A$9:$A$1008,$I939-8)))</x:f>
      </x:c>
      <x:c r="B939" s="50" t="str">
        <x:f>IF(931&gt;$H$4,"",IF(INDEX('Fleet dates'!$B$9:$B$1008,$I939-8)="","",INDEX('Fleet dates'!$B$9:$B$1008,$I939-8)))</x:f>
      </x:c>
      <x:c r="C939" s="51" t="str">
        <x:f>IF(931&gt;$H$4,"",IF(INDEX('Fleet dates'!$C$9:$C$1008,$I939-8)="","",INDEX('Fleet dates'!$C$9:$C$1008,$I939-8)))</x:f>
      </x:c>
      <x:c r="D939" s="51" t="str">
        <x:f>IF(931&gt;$H$4,"",IF(INDEX('Fleet dates'!$D$9:$D$1008,$I939-8)="","",INDEX('Fleet dates'!$D$9:$D$1008,$I939-8)))</x:f>
      </x:c>
      <x:c r="E939" s="51" t="str">
        <x:f>IF(931&gt;$H$4,"",IF(INDEX('Fleet dates'!$E$9:$E$1008,$I939-8)="","",INDEX('Fleet dates'!$E$9:$E$1008,$I939-8)))</x:f>
      </x:c>
      <x:c r="F939" s="51" t="str">
        <x:f>IF(931&gt;$H$4,"",IF(INDEX('Fleet dates'!$F$9:$F$1008,$I939-8)="","",INDEX('Fleet dates'!$F$9:$F$1008,$I939-8)))</x:f>
      </x:c>
      <x:c r="G939" s="50" t="str">
        <x:f>IF(931&gt;$H$4,"",IF(INDEX('Fleet dates'!$G$9:$G$1008,$I939-8)="","",INDEX('Fleet dates'!$G$9:$G$1008,$I939-8)))</x:f>
      </x:c>
      <x:c r="H939" s="50" t="str">
        <x:f>IF(931&gt;$H$4,"",IF(INDEX('Fleet dates'!$I$9:$I$1008,$I939-8)="","",INDEX('Fleet dates'!$I$9:$I$1008,$I939-8)))</x:f>
      </x:c>
      <x:c r="I939" t="str">
        <x:f>IF(931&gt;$H$4,"",MATCH(931,'Fleet dates'!$J$9:$J$1008,0)+8)</x:f>
      </x:c>
    </x:row>
    <x:row r="940" ht="36" customHeight="1">
      <x:c r="A940" s="50" t="str">
        <x:f>IF(932&gt;$H$4,"",IF(INDEX('Fleet dates'!$A$9:$A$1008,$I940-8)="","",INDEX('Fleet dates'!$A$9:$A$1008,$I940-8)))</x:f>
      </x:c>
      <x:c r="B940" s="50" t="str">
        <x:f>IF(932&gt;$H$4,"",IF(INDEX('Fleet dates'!$B$9:$B$1008,$I940-8)="","",INDEX('Fleet dates'!$B$9:$B$1008,$I940-8)))</x:f>
      </x:c>
      <x:c r="C940" s="51" t="str">
        <x:f>IF(932&gt;$H$4,"",IF(INDEX('Fleet dates'!$C$9:$C$1008,$I940-8)="","",INDEX('Fleet dates'!$C$9:$C$1008,$I940-8)))</x:f>
      </x:c>
      <x:c r="D940" s="51" t="str">
        <x:f>IF(932&gt;$H$4,"",IF(INDEX('Fleet dates'!$D$9:$D$1008,$I940-8)="","",INDEX('Fleet dates'!$D$9:$D$1008,$I940-8)))</x:f>
      </x:c>
      <x:c r="E940" s="51" t="str">
        <x:f>IF(932&gt;$H$4,"",IF(INDEX('Fleet dates'!$E$9:$E$1008,$I940-8)="","",INDEX('Fleet dates'!$E$9:$E$1008,$I940-8)))</x:f>
      </x:c>
      <x:c r="F940" s="51" t="str">
        <x:f>IF(932&gt;$H$4,"",IF(INDEX('Fleet dates'!$F$9:$F$1008,$I940-8)="","",INDEX('Fleet dates'!$F$9:$F$1008,$I940-8)))</x:f>
      </x:c>
      <x:c r="G940" s="50" t="str">
        <x:f>IF(932&gt;$H$4,"",IF(INDEX('Fleet dates'!$G$9:$G$1008,$I940-8)="","",INDEX('Fleet dates'!$G$9:$G$1008,$I940-8)))</x:f>
      </x:c>
      <x:c r="H940" s="50" t="str">
        <x:f>IF(932&gt;$H$4,"",IF(INDEX('Fleet dates'!$I$9:$I$1008,$I940-8)="","",INDEX('Fleet dates'!$I$9:$I$1008,$I940-8)))</x:f>
      </x:c>
      <x:c r="I940" t="str">
        <x:f>IF(932&gt;$H$4,"",MATCH(932,'Fleet dates'!$J$9:$J$1008,0)+8)</x:f>
      </x:c>
    </x:row>
    <x:row r="941" ht="36" customHeight="1">
      <x:c r="A941" s="50" t="str">
        <x:f>IF(933&gt;$H$4,"",IF(INDEX('Fleet dates'!$A$9:$A$1008,$I941-8)="","",INDEX('Fleet dates'!$A$9:$A$1008,$I941-8)))</x:f>
      </x:c>
      <x:c r="B941" s="50" t="str">
        <x:f>IF(933&gt;$H$4,"",IF(INDEX('Fleet dates'!$B$9:$B$1008,$I941-8)="","",INDEX('Fleet dates'!$B$9:$B$1008,$I941-8)))</x:f>
      </x:c>
      <x:c r="C941" s="51" t="str">
        <x:f>IF(933&gt;$H$4,"",IF(INDEX('Fleet dates'!$C$9:$C$1008,$I941-8)="","",INDEX('Fleet dates'!$C$9:$C$1008,$I941-8)))</x:f>
      </x:c>
      <x:c r="D941" s="51" t="str">
        <x:f>IF(933&gt;$H$4,"",IF(INDEX('Fleet dates'!$D$9:$D$1008,$I941-8)="","",INDEX('Fleet dates'!$D$9:$D$1008,$I941-8)))</x:f>
      </x:c>
      <x:c r="E941" s="51" t="str">
        <x:f>IF(933&gt;$H$4,"",IF(INDEX('Fleet dates'!$E$9:$E$1008,$I941-8)="","",INDEX('Fleet dates'!$E$9:$E$1008,$I941-8)))</x:f>
      </x:c>
      <x:c r="F941" s="51" t="str">
        <x:f>IF(933&gt;$H$4,"",IF(INDEX('Fleet dates'!$F$9:$F$1008,$I941-8)="","",INDEX('Fleet dates'!$F$9:$F$1008,$I941-8)))</x:f>
      </x:c>
      <x:c r="G941" s="50" t="str">
        <x:f>IF(933&gt;$H$4,"",IF(INDEX('Fleet dates'!$G$9:$G$1008,$I941-8)="","",INDEX('Fleet dates'!$G$9:$G$1008,$I941-8)))</x:f>
      </x:c>
      <x:c r="H941" s="50" t="str">
        <x:f>IF(933&gt;$H$4,"",IF(INDEX('Fleet dates'!$I$9:$I$1008,$I941-8)="","",INDEX('Fleet dates'!$I$9:$I$1008,$I941-8)))</x:f>
      </x:c>
      <x:c r="I941" t="str">
        <x:f>IF(933&gt;$H$4,"",MATCH(933,'Fleet dates'!$J$9:$J$1008,0)+8)</x:f>
      </x:c>
    </x:row>
    <x:row r="942" ht="36" customHeight="1">
      <x:c r="A942" s="50" t="str">
        <x:f>IF(934&gt;$H$4,"",IF(INDEX('Fleet dates'!$A$9:$A$1008,$I942-8)="","",INDEX('Fleet dates'!$A$9:$A$1008,$I942-8)))</x:f>
      </x:c>
      <x:c r="B942" s="50" t="str">
        <x:f>IF(934&gt;$H$4,"",IF(INDEX('Fleet dates'!$B$9:$B$1008,$I942-8)="","",INDEX('Fleet dates'!$B$9:$B$1008,$I942-8)))</x:f>
      </x:c>
      <x:c r="C942" s="51" t="str">
        <x:f>IF(934&gt;$H$4,"",IF(INDEX('Fleet dates'!$C$9:$C$1008,$I942-8)="","",INDEX('Fleet dates'!$C$9:$C$1008,$I942-8)))</x:f>
      </x:c>
      <x:c r="D942" s="51" t="str">
        <x:f>IF(934&gt;$H$4,"",IF(INDEX('Fleet dates'!$D$9:$D$1008,$I942-8)="","",INDEX('Fleet dates'!$D$9:$D$1008,$I942-8)))</x:f>
      </x:c>
      <x:c r="E942" s="51" t="str">
        <x:f>IF(934&gt;$H$4,"",IF(INDEX('Fleet dates'!$E$9:$E$1008,$I942-8)="","",INDEX('Fleet dates'!$E$9:$E$1008,$I942-8)))</x:f>
      </x:c>
      <x:c r="F942" s="51" t="str">
        <x:f>IF(934&gt;$H$4,"",IF(INDEX('Fleet dates'!$F$9:$F$1008,$I942-8)="","",INDEX('Fleet dates'!$F$9:$F$1008,$I942-8)))</x:f>
      </x:c>
      <x:c r="G942" s="50" t="str">
        <x:f>IF(934&gt;$H$4,"",IF(INDEX('Fleet dates'!$G$9:$G$1008,$I942-8)="","",INDEX('Fleet dates'!$G$9:$G$1008,$I942-8)))</x:f>
      </x:c>
      <x:c r="H942" s="50" t="str">
        <x:f>IF(934&gt;$H$4,"",IF(INDEX('Fleet dates'!$I$9:$I$1008,$I942-8)="","",INDEX('Fleet dates'!$I$9:$I$1008,$I942-8)))</x:f>
      </x:c>
      <x:c r="I942" t="str">
        <x:f>IF(934&gt;$H$4,"",MATCH(934,'Fleet dates'!$J$9:$J$1008,0)+8)</x:f>
      </x:c>
    </x:row>
    <x:row r="943" ht="36" customHeight="1">
      <x:c r="A943" s="50" t="str">
        <x:f>IF(935&gt;$H$4,"",IF(INDEX('Fleet dates'!$A$9:$A$1008,$I943-8)="","",INDEX('Fleet dates'!$A$9:$A$1008,$I943-8)))</x:f>
      </x:c>
      <x:c r="B943" s="50" t="str">
        <x:f>IF(935&gt;$H$4,"",IF(INDEX('Fleet dates'!$B$9:$B$1008,$I943-8)="","",INDEX('Fleet dates'!$B$9:$B$1008,$I943-8)))</x:f>
      </x:c>
      <x:c r="C943" s="51" t="str">
        <x:f>IF(935&gt;$H$4,"",IF(INDEX('Fleet dates'!$C$9:$C$1008,$I943-8)="","",INDEX('Fleet dates'!$C$9:$C$1008,$I943-8)))</x:f>
      </x:c>
      <x:c r="D943" s="51" t="str">
        <x:f>IF(935&gt;$H$4,"",IF(INDEX('Fleet dates'!$D$9:$D$1008,$I943-8)="","",INDEX('Fleet dates'!$D$9:$D$1008,$I943-8)))</x:f>
      </x:c>
      <x:c r="E943" s="51" t="str">
        <x:f>IF(935&gt;$H$4,"",IF(INDEX('Fleet dates'!$E$9:$E$1008,$I943-8)="","",INDEX('Fleet dates'!$E$9:$E$1008,$I943-8)))</x:f>
      </x:c>
      <x:c r="F943" s="51" t="str">
        <x:f>IF(935&gt;$H$4,"",IF(INDEX('Fleet dates'!$F$9:$F$1008,$I943-8)="","",INDEX('Fleet dates'!$F$9:$F$1008,$I943-8)))</x:f>
      </x:c>
      <x:c r="G943" s="50" t="str">
        <x:f>IF(935&gt;$H$4,"",IF(INDEX('Fleet dates'!$G$9:$G$1008,$I943-8)="","",INDEX('Fleet dates'!$G$9:$G$1008,$I943-8)))</x:f>
      </x:c>
      <x:c r="H943" s="50" t="str">
        <x:f>IF(935&gt;$H$4,"",IF(INDEX('Fleet dates'!$I$9:$I$1008,$I943-8)="","",INDEX('Fleet dates'!$I$9:$I$1008,$I943-8)))</x:f>
      </x:c>
      <x:c r="I943" t="str">
        <x:f>IF(935&gt;$H$4,"",MATCH(935,'Fleet dates'!$J$9:$J$1008,0)+8)</x:f>
      </x:c>
    </x:row>
    <x:row r="944" ht="36" customHeight="1">
      <x:c r="A944" s="50" t="str">
        <x:f>IF(936&gt;$H$4,"",IF(INDEX('Fleet dates'!$A$9:$A$1008,$I944-8)="","",INDEX('Fleet dates'!$A$9:$A$1008,$I944-8)))</x:f>
      </x:c>
      <x:c r="B944" s="50" t="str">
        <x:f>IF(936&gt;$H$4,"",IF(INDEX('Fleet dates'!$B$9:$B$1008,$I944-8)="","",INDEX('Fleet dates'!$B$9:$B$1008,$I944-8)))</x:f>
      </x:c>
      <x:c r="C944" s="51" t="str">
        <x:f>IF(936&gt;$H$4,"",IF(INDEX('Fleet dates'!$C$9:$C$1008,$I944-8)="","",INDEX('Fleet dates'!$C$9:$C$1008,$I944-8)))</x:f>
      </x:c>
      <x:c r="D944" s="51" t="str">
        <x:f>IF(936&gt;$H$4,"",IF(INDEX('Fleet dates'!$D$9:$D$1008,$I944-8)="","",INDEX('Fleet dates'!$D$9:$D$1008,$I944-8)))</x:f>
      </x:c>
      <x:c r="E944" s="51" t="str">
        <x:f>IF(936&gt;$H$4,"",IF(INDEX('Fleet dates'!$E$9:$E$1008,$I944-8)="","",INDEX('Fleet dates'!$E$9:$E$1008,$I944-8)))</x:f>
      </x:c>
      <x:c r="F944" s="51" t="str">
        <x:f>IF(936&gt;$H$4,"",IF(INDEX('Fleet dates'!$F$9:$F$1008,$I944-8)="","",INDEX('Fleet dates'!$F$9:$F$1008,$I944-8)))</x:f>
      </x:c>
      <x:c r="G944" s="50" t="str">
        <x:f>IF(936&gt;$H$4,"",IF(INDEX('Fleet dates'!$G$9:$G$1008,$I944-8)="","",INDEX('Fleet dates'!$G$9:$G$1008,$I944-8)))</x:f>
      </x:c>
      <x:c r="H944" s="50" t="str">
        <x:f>IF(936&gt;$H$4,"",IF(INDEX('Fleet dates'!$I$9:$I$1008,$I944-8)="","",INDEX('Fleet dates'!$I$9:$I$1008,$I944-8)))</x:f>
      </x:c>
      <x:c r="I944" t="str">
        <x:f>IF(936&gt;$H$4,"",MATCH(936,'Fleet dates'!$J$9:$J$1008,0)+8)</x:f>
      </x:c>
    </x:row>
    <x:row r="945" ht="36" customHeight="1">
      <x:c r="A945" s="50" t="str">
        <x:f>IF(937&gt;$H$4,"",IF(INDEX('Fleet dates'!$A$9:$A$1008,$I945-8)="","",INDEX('Fleet dates'!$A$9:$A$1008,$I945-8)))</x:f>
      </x:c>
      <x:c r="B945" s="50" t="str">
        <x:f>IF(937&gt;$H$4,"",IF(INDEX('Fleet dates'!$B$9:$B$1008,$I945-8)="","",INDEX('Fleet dates'!$B$9:$B$1008,$I945-8)))</x:f>
      </x:c>
      <x:c r="C945" s="51" t="str">
        <x:f>IF(937&gt;$H$4,"",IF(INDEX('Fleet dates'!$C$9:$C$1008,$I945-8)="","",INDEX('Fleet dates'!$C$9:$C$1008,$I945-8)))</x:f>
      </x:c>
      <x:c r="D945" s="51" t="str">
        <x:f>IF(937&gt;$H$4,"",IF(INDEX('Fleet dates'!$D$9:$D$1008,$I945-8)="","",INDEX('Fleet dates'!$D$9:$D$1008,$I945-8)))</x:f>
      </x:c>
      <x:c r="E945" s="51" t="str">
        <x:f>IF(937&gt;$H$4,"",IF(INDEX('Fleet dates'!$E$9:$E$1008,$I945-8)="","",INDEX('Fleet dates'!$E$9:$E$1008,$I945-8)))</x:f>
      </x:c>
      <x:c r="F945" s="51" t="str">
        <x:f>IF(937&gt;$H$4,"",IF(INDEX('Fleet dates'!$F$9:$F$1008,$I945-8)="","",INDEX('Fleet dates'!$F$9:$F$1008,$I945-8)))</x:f>
      </x:c>
      <x:c r="G945" s="50" t="str">
        <x:f>IF(937&gt;$H$4,"",IF(INDEX('Fleet dates'!$G$9:$G$1008,$I945-8)="","",INDEX('Fleet dates'!$G$9:$G$1008,$I945-8)))</x:f>
      </x:c>
      <x:c r="H945" s="50" t="str">
        <x:f>IF(937&gt;$H$4,"",IF(INDEX('Fleet dates'!$I$9:$I$1008,$I945-8)="","",INDEX('Fleet dates'!$I$9:$I$1008,$I945-8)))</x:f>
      </x:c>
      <x:c r="I945" t="str">
        <x:f>IF(937&gt;$H$4,"",MATCH(937,'Fleet dates'!$J$9:$J$1008,0)+8)</x:f>
      </x:c>
    </x:row>
    <x:row r="946" ht="36" customHeight="1">
      <x:c r="A946" s="50" t="str">
        <x:f>IF(938&gt;$H$4,"",IF(INDEX('Fleet dates'!$A$9:$A$1008,$I946-8)="","",INDEX('Fleet dates'!$A$9:$A$1008,$I946-8)))</x:f>
      </x:c>
      <x:c r="B946" s="50" t="str">
        <x:f>IF(938&gt;$H$4,"",IF(INDEX('Fleet dates'!$B$9:$B$1008,$I946-8)="","",INDEX('Fleet dates'!$B$9:$B$1008,$I946-8)))</x:f>
      </x:c>
      <x:c r="C946" s="51" t="str">
        <x:f>IF(938&gt;$H$4,"",IF(INDEX('Fleet dates'!$C$9:$C$1008,$I946-8)="","",INDEX('Fleet dates'!$C$9:$C$1008,$I946-8)))</x:f>
      </x:c>
      <x:c r="D946" s="51" t="str">
        <x:f>IF(938&gt;$H$4,"",IF(INDEX('Fleet dates'!$D$9:$D$1008,$I946-8)="","",INDEX('Fleet dates'!$D$9:$D$1008,$I946-8)))</x:f>
      </x:c>
      <x:c r="E946" s="51" t="str">
        <x:f>IF(938&gt;$H$4,"",IF(INDEX('Fleet dates'!$E$9:$E$1008,$I946-8)="","",INDEX('Fleet dates'!$E$9:$E$1008,$I946-8)))</x:f>
      </x:c>
      <x:c r="F946" s="51" t="str">
        <x:f>IF(938&gt;$H$4,"",IF(INDEX('Fleet dates'!$F$9:$F$1008,$I946-8)="","",INDEX('Fleet dates'!$F$9:$F$1008,$I946-8)))</x:f>
      </x:c>
      <x:c r="G946" s="50" t="str">
        <x:f>IF(938&gt;$H$4,"",IF(INDEX('Fleet dates'!$G$9:$G$1008,$I946-8)="","",INDEX('Fleet dates'!$G$9:$G$1008,$I946-8)))</x:f>
      </x:c>
      <x:c r="H946" s="50" t="str">
        <x:f>IF(938&gt;$H$4,"",IF(INDEX('Fleet dates'!$I$9:$I$1008,$I946-8)="","",INDEX('Fleet dates'!$I$9:$I$1008,$I946-8)))</x:f>
      </x:c>
      <x:c r="I946" t="str">
        <x:f>IF(938&gt;$H$4,"",MATCH(938,'Fleet dates'!$J$9:$J$1008,0)+8)</x:f>
      </x:c>
    </x:row>
    <x:row r="947" ht="36" customHeight="1">
      <x:c r="A947" s="50" t="str">
        <x:f>IF(939&gt;$H$4,"",IF(INDEX('Fleet dates'!$A$9:$A$1008,$I947-8)="","",INDEX('Fleet dates'!$A$9:$A$1008,$I947-8)))</x:f>
      </x:c>
      <x:c r="B947" s="50" t="str">
        <x:f>IF(939&gt;$H$4,"",IF(INDEX('Fleet dates'!$B$9:$B$1008,$I947-8)="","",INDEX('Fleet dates'!$B$9:$B$1008,$I947-8)))</x:f>
      </x:c>
      <x:c r="C947" s="51" t="str">
        <x:f>IF(939&gt;$H$4,"",IF(INDEX('Fleet dates'!$C$9:$C$1008,$I947-8)="","",INDEX('Fleet dates'!$C$9:$C$1008,$I947-8)))</x:f>
      </x:c>
      <x:c r="D947" s="51" t="str">
        <x:f>IF(939&gt;$H$4,"",IF(INDEX('Fleet dates'!$D$9:$D$1008,$I947-8)="","",INDEX('Fleet dates'!$D$9:$D$1008,$I947-8)))</x:f>
      </x:c>
      <x:c r="E947" s="51" t="str">
        <x:f>IF(939&gt;$H$4,"",IF(INDEX('Fleet dates'!$E$9:$E$1008,$I947-8)="","",INDEX('Fleet dates'!$E$9:$E$1008,$I947-8)))</x:f>
      </x:c>
      <x:c r="F947" s="51" t="str">
        <x:f>IF(939&gt;$H$4,"",IF(INDEX('Fleet dates'!$F$9:$F$1008,$I947-8)="","",INDEX('Fleet dates'!$F$9:$F$1008,$I947-8)))</x:f>
      </x:c>
      <x:c r="G947" s="50" t="str">
        <x:f>IF(939&gt;$H$4,"",IF(INDEX('Fleet dates'!$G$9:$G$1008,$I947-8)="","",INDEX('Fleet dates'!$G$9:$G$1008,$I947-8)))</x:f>
      </x:c>
      <x:c r="H947" s="50" t="str">
        <x:f>IF(939&gt;$H$4,"",IF(INDEX('Fleet dates'!$I$9:$I$1008,$I947-8)="","",INDEX('Fleet dates'!$I$9:$I$1008,$I947-8)))</x:f>
      </x:c>
      <x:c r="I947" t="str">
        <x:f>IF(939&gt;$H$4,"",MATCH(939,'Fleet dates'!$J$9:$J$1008,0)+8)</x:f>
      </x:c>
    </x:row>
    <x:row r="948" ht="36" customHeight="1">
      <x:c r="A948" s="50" t="str">
        <x:f>IF(940&gt;$H$4,"",IF(INDEX('Fleet dates'!$A$9:$A$1008,$I948-8)="","",INDEX('Fleet dates'!$A$9:$A$1008,$I948-8)))</x:f>
      </x:c>
      <x:c r="B948" s="50" t="str">
        <x:f>IF(940&gt;$H$4,"",IF(INDEX('Fleet dates'!$B$9:$B$1008,$I948-8)="","",INDEX('Fleet dates'!$B$9:$B$1008,$I948-8)))</x:f>
      </x:c>
      <x:c r="C948" s="51" t="str">
        <x:f>IF(940&gt;$H$4,"",IF(INDEX('Fleet dates'!$C$9:$C$1008,$I948-8)="","",INDEX('Fleet dates'!$C$9:$C$1008,$I948-8)))</x:f>
      </x:c>
      <x:c r="D948" s="51" t="str">
        <x:f>IF(940&gt;$H$4,"",IF(INDEX('Fleet dates'!$D$9:$D$1008,$I948-8)="","",INDEX('Fleet dates'!$D$9:$D$1008,$I948-8)))</x:f>
      </x:c>
      <x:c r="E948" s="51" t="str">
        <x:f>IF(940&gt;$H$4,"",IF(INDEX('Fleet dates'!$E$9:$E$1008,$I948-8)="","",INDEX('Fleet dates'!$E$9:$E$1008,$I948-8)))</x:f>
      </x:c>
      <x:c r="F948" s="51" t="str">
        <x:f>IF(940&gt;$H$4,"",IF(INDEX('Fleet dates'!$F$9:$F$1008,$I948-8)="","",INDEX('Fleet dates'!$F$9:$F$1008,$I948-8)))</x:f>
      </x:c>
      <x:c r="G948" s="50" t="str">
        <x:f>IF(940&gt;$H$4,"",IF(INDEX('Fleet dates'!$G$9:$G$1008,$I948-8)="","",INDEX('Fleet dates'!$G$9:$G$1008,$I948-8)))</x:f>
      </x:c>
      <x:c r="H948" s="50" t="str">
        <x:f>IF(940&gt;$H$4,"",IF(INDEX('Fleet dates'!$I$9:$I$1008,$I948-8)="","",INDEX('Fleet dates'!$I$9:$I$1008,$I948-8)))</x:f>
      </x:c>
      <x:c r="I948" t="str">
        <x:f>IF(940&gt;$H$4,"",MATCH(940,'Fleet dates'!$J$9:$J$1008,0)+8)</x:f>
      </x:c>
    </x:row>
    <x:row r="949" ht="36" customHeight="1">
      <x:c r="A949" s="50" t="str">
        <x:f>IF(941&gt;$H$4,"",IF(INDEX('Fleet dates'!$A$9:$A$1008,$I949-8)="","",INDEX('Fleet dates'!$A$9:$A$1008,$I949-8)))</x:f>
      </x:c>
      <x:c r="B949" s="50" t="str">
        <x:f>IF(941&gt;$H$4,"",IF(INDEX('Fleet dates'!$B$9:$B$1008,$I949-8)="","",INDEX('Fleet dates'!$B$9:$B$1008,$I949-8)))</x:f>
      </x:c>
      <x:c r="C949" s="51" t="str">
        <x:f>IF(941&gt;$H$4,"",IF(INDEX('Fleet dates'!$C$9:$C$1008,$I949-8)="","",INDEX('Fleet dates'!$C$9:$C$1008,$I949-8)))</x:f>
      </x:c>
      <x:c r="D949" s="51" t="str">
        <x:f>IF(941&gt;$H$4,"",IF(INDEX('Fleet dates'!$D$9:$D$1008,$I949-8)="","",INDEX('Fleet dates'!$D$9:$D$1008,$I949-8)))</x:f>
      </x:c>
      <x:c r="E949" s="51" t="str">
        <x:f>IF(941&gt;$H$4,"",IF(INDEX('Fleet dates'!$E$9:$E$1008,$I949-8)="","",INDEX('Fleet dates'!$E$9:$E$1008,$I949-8)))</x:f>
      </x:c>
      <x:c r="F949" s="51" t="str">
        <x:f>IF(941&gt;$H$4,"",IF(INDEX('Fleet dates'!$F$9:$F$1008,$I949-8)="","",INDEX('Fleet dates'!$F$9:$F$1008,$I949-8)))</x:f>
      </x:c>
      <x:c r="G949" s="50" t="str">
        <x:f>IF(941&gt;$H$4,"",IF(INDEX('Fleet dates'!$G$9:$G$1008,$I949-8)="","",INDEX('Fleet dates'!$G$9:$G$1008,$I949-8)))</x:f>
      </x:c>
      <x:c r="H949" s="50" t="str">
        <x:f>IF(941&gt;$H$4,"",IF(INDEX('Fleet dates'!$I$9:$I$1008,$I949-8)="","",INDEX('Fleet dates'!$I$9:$I$1008,$I949-8)))</x:f>
      </x:c>
      <x:c r="I949" t="str">
        <x:f>IF(941&gt;$H$4,"",MATCH(941,'Fleet dates'!$J$9:$J$1008,0)+8)</x:f>
      </x:c>
    </x:row>
    <x:row r="950" ht="36" customHeight="1">
      <x:c r="A950" s="50" t="str">
        <x:f>IF(942&gt;$H$4,"",IF(INDEX('Fleet dates'!$A$9:$A$1008,$I950-8)="","",INDEX('Fleet dates'!$A$9:$A$1008,$I950-8)))</x:f>
      </x:c>
      <x:c r="B950" s="50" t="str">
        <x:f>IF(942&gt;$H$4,"",IF(INDEX('Fleet dates'!$B$9:$B$1008,$I950-8)="","",INDEX('Fleet dates'!$B$9:$B$1008,$I950-8)))</x:f>
      </x:c>
      <x:c r="C950" s="51" t="str">
        <x:f>IF(942&gt;$H$4,"",IF(INDEX('Fleet dates'!$C$9:$C$1008,$I950-8)="","",INDEX('Fleet dates'!$C$9:$C$1008,$I950-8)))</x:f>
      </x:c>
      <x:c r="D950" s="51" t="str">
        <x:f>IF(942&gt;$H$4,"",IF(INDEX('Fleet dates'!$D$9:$D$1008,$I950-8)="","",INDEX('Fleet dates'!$D$9:$D$1008,$I950-8)))</x:f>
      </x:c>
      <x:c r="E950" s="51" t="str">
        <x:f>IF(942&gt;$H$4,"",IF(INDEX('Fleet dates'!$E$9:$E$1008,$I950-8)="","",INDEX('Fleet dates'!$E$9:$E$1008,$I950-8)))</x:f>
      </x:c>
      <x:c r="F950" s="51" t="str">
        <x:f>IF(942&gt;$H$4,"",IF(INDEX('Fleet dates'!$F$9:$F$1008,$I950-8)="","",INDEX('Fleet dates'!$F$9:$F$1008,$I950-8)))</x:f>
      </x:c>
      <x:c r="G950" s="50" t="str">
        <x:f>IF(942&gt;$H$4,"",IF(INDEX('Fleet dates'!$G$9:$G$1008,$I950-8)="","",INDEX('Fleet dates'!$G$9:$G$1008,$I950-8)))</x:f>
      </x:c>
      <x:c r="H950" s="50" t="str">
        <x:f>IF(942&gt;$H$4,"",IF(INDEX('Fleet dates'!$I$9:$I$1008,$I950-8)="","",INDEX('Fleet dates'!$I$9:$I$1008,$I950-8)))</x:f>
      </x:c>
      <x:c r="I950" t="str">
        <x:f>IF(942&gt;$H$4,"",MATCH(942,'Fleet dates'!$J$9:$J$1008,0)+8)</x:f>
      </x:c>
    </x:row>
    <x:row r="951" ht="36" customHeight="1">
      <x:c r="A951" s="50" t="str">
        <x:f>IF(943&gt;$H$4,"",IF(INDEX('Fleet dates'!$A$9:$A$1008,$I951-8)="","",INDEX('Fleet dates'!$A$9:$A$1008,$I951-8)))</x:f>
      </x:c>
      <x:c r="B951" s="50" t="str">
        <x:f>IF(943&gt;$H$4,"",IF(INDEX('Fleet dates'!$B$9:$B$1008,$I951-8)="","",INDEX('Fleet dates'!$B$9:$B$1008,$I951-8)))</x:f>
      </x:c>
      <x:c r="C951" s="51" t="str">
        <x:f>IF(943&gt;$H$4,"",IF(INDEX('Fleet dates'!$C$9:$C$1008,$I951-8)="","",INDEX('Fleet dates'!$C$9:$C$1008,$I951-8)))</x:f>
      </x:c>
      <x:c r="D951" s="51" t="str">
        <x:f>IF(943&gt;$H$4,"",IF(INDEX('Fleet dates'!$D$9:$D$1008,$I951-8)="","",INDEX('Fleet dates'!$D$9:$D$1008,$I951-8)))</x:f>
      </x:c>
      <x:c r="E951" s="51" t="str">
        <x:f>IF(943&gt;$H$4,"",IF(INDEX('Fleet dates'!$E$9:$E$1008,$I951-8)="","",INDEX('Fleet dates'!$E$9:$E$1008,$I951-8)))</x:f>
      </x:c>
      <x:c r="F951" s="51" t="str">
        <x:f>IF(943&gt;$H$4,"",IF(INDEX('Fleet dates'!$F$9:$F$1008,$I951-8)="","",INDEX('Fleet dates'!$F$9:$F$1008,$I951-8)))</x:f>
      </x:c>
      <x:c r="G951" s="50" t="str">
        <x:f>IF(943&gt;$H$4,"",IF(INDEX('Fleet dates'!$G$9:$G$1008,$I951-8)="","",INDEX('Fleet dates'!$G$9:$G$1008,$I951-8)))</x:f>
      </x:c>
      <x:c r="H951" s="50" t="str">
        <x:f>IF(943&gt;$H$4,"",IF(INDEX('Fleet dates'!$I$9:$I$1008,$I951-8)="","",INDEX('Fleet dates'!$I$9:$I$1008,$I951-8)))</x:f>
      </x:c>
      <x:c r="I951" t="str">
        <x:f>IF(943&gt;$H$4,"",MATCH(943,'Fleet dates'!$J$9:$J$1008,0)+8)</x:f>
      </x:c>
    </x:row>
    <x:row r="952" ht="36" customHeight="1">
      <x:c r="A952" s="50" t="str">
        <x:f>IF(944&gt;$H$4,"",IF(INDEX('Fleet dates'!$A$9:$A$1008,$I952-8)="","",INDEX('Fleet dates'!$A$9:$A$1008,$I952-8)))</x:f>
      </x:c>
      <x:c r="B952" s="50" t="str">
        <x:f>IF(944&gt;$H$4,"",IF(INDEX('Fleet dates'!$B$9:$B$1008,$I952-8)="","",INDEX('Fleet dates'!$B$9:$B$1008,$I952-8)))</x:f>
      </x:c>
      <x:c r="C952" s="51" t="str">
        <x:f>IF(944&gt;$H$4,"",IF(INDEX('Fleet dates'!$C$9:$C$1008,$I952-8)="","",INDEX('Fleet dates'!$C$9:$C$1008,$I952-8)))</x:f>
      </x:c>
      <x:c r="D952" s="51" t="str">
        <x:f>IF(944&gt;$H$4,"",IF(INDEX('Fleet dates'!$D$9:$D$1008,$I952-8)="","",INDEX('Fleet dates'!$D$9:$D$1008,$I952-8)))</x:f>
      </x:c>
      <x:c r="E952" s="51" t="str">
        <x:f>IF(944&gt;$H$4,"",IF(INDEX('Fleet dates'!$E$9:$E$1008,$I952-8)="","",INDEX('Fleet dates'!$E$9:$E$1008,$I952-8)))</x:f>
      </x:c>
      <x:c r="F952" s="51" t="str">
        <x:f>IF(944&gt;$H$4,"",IF(INDEX('Fleet dates'!$F$9:$F$1008,$I952-8)="","",INDEX('Fleet dates'!$F$9:$F$1008,$I952-8)))</x:f>
      </x:c>
      <x:c r="G952" s="50" t="str">
        <x:f>IF(944&gt;$H$4,"",IF(INDEX('Fleet dates'!$G$9:$G$1008,$I952-8)="","",INDEX('Fleet dates'!$G$9:$G$1008,$I952-8)))</x:f>
      </x:c>
      <x:c r="H952" s="50" t="str">
        <x:f>IF(944&gt;$H$4,"",IF(INDEX('Fleet dates'!$I$9:$I$1008,$I952-8)="","",INDEX('Fleet dates'!$I$9:$I$1008,$I952-8)))</x:f>
      </x:c>
      <x:c r="I952" t="str">
        <x:f>IF(944&gt;$H$4,"",MATCH(944,'Fleet dates'!$J$9:$J$1008,0)+8)</x:f>
      </x:c>
    </x:row>
    <x:row r="953" ht="36" customHeight="1">
      <x:c r="A953" s="50" t="str">
        <x:f>IF(945&gt;$H$4,"",IF(INDEX('Fleet dates'!$A$9:$A$1008,$I953-8)="","",INDEX('Fleet dates'!$A$9:$A$1008,$I953-8)))</x:f>
      </x:c>
      <x:c r="B953" s="50" t="str">
        <x:f>IF(945&gt;$H$4,"",IF(INDEX('Fleet dates'!$B$9:$B$1008,$I953-8)="","",INDEX('Fleet dates'!$B$9:$B$1008,$I953-8)))</x:f>
      </x:c>
      <x:c r="C953" s="51" t="str">
        <x:f>IF(945&gt;$H$4,"",IF(INDEX('Fleet dates'!$C$9:$C$1008,$I953-8)="","",INDEX('Fleet dates'!$C$9:$C$1008,$I953-8)))</x:f>
      </x:c>
      <x:c r="D953" s="51" t="str">
        <x:f>IF(945&gt;$H$4,"",IF(INDEX('Fleet dates'!$D$9:$D$1008,$I953-8)="","",INDEX('Fleet dates'!$D$9:$D$1008,$I953-8)))</x:f>
      </x:c>
      <x:c r="E953" s="51" t="str">
        <x:f>IF(945&gt;$H$4,"",IF(INDEX('Fleet dates'!$E$9:$E$1008,$I953-8)="","",INDEX('Fleet dates'!$E$9:$E$1008,$I953-8)))</x:f>
      </x:c>
      <x:c r="F953" s="51" t="str">
        <x:f>IF(945&gt;$H$4,"",IF(INDEX('Fleet dates'!$F$9:$F$1008,$I953-8)="","",INDEX('Fleet dates'!$F$9:$F$1008,$I953-8)))</x:f>
      </x:c>
      <x:c r="G953" s="50" t="str">
        <x:f>IF(945&gt;$H$4,"",IF(INDEX('Fleet dates'!$G$9:$G$1008,$I953-8)="","",INDEX('Fleet dates'!$G$9:$G$1008,$I953-8)))</x:f>
      </x:c>
      <x:c r="H953" s="50" t="str">
        <x:f>IF(945&gt;$H$4,"",IF(INDEX('Fleet dates'!$I$9:$I$1008,$I953-8)="","",INDEX('Fleet dates'!$I$9:$I$1008,$I953-8)))</x:f>
      </x:c>
      <x:c r="I953" t="str">
        <x:f>IF(945&gt;$H$4,"",MATCH(945,'Fleet dates'!$J$9:$J$1008,0)+8)</x:f>
      </x:c>
    </x:row>
    <x:row r="954" ht="36" customHeight="1">
      <x:c r="A954" s="50" t="str">
        <x:f>IF(946&gt;$H$4,"",IF(INDEX('Fleet dates'!$A$9:$A$1008,$I954-8)="","",INDEX('Fleet dates'!$A$9:$A$1008,$I954-8)))</x:f>
      </x:c>
      <x:c r="B954" s="50" t="str">
        <x:f>IF(946&gt;$H$4,"",IF(INDEX('Fleet dates'!$B$9:$B$1008,$I954-8)="","",INDEX('Fleet dates'!$B$9:$B$1008,$I954-8)))</x:f>
      </x:c>
      <x:c r="C954" s="51" t="str">
        <x:f>IF(946&gt;$H$4,"",IF(INDEX('Fleet dates'!$C$9:$C$1008,$I954-8)="","",INDEX('Fleet dates'!$C$9:$C$1008,$I954-8)))</x:f>
      </x:c>
      <x:c r="D954" s="51" t="str">
        <x:f>IF(946&gt;$H$4,"",IF(INDEX('Fleet dates'!$D$9:$D$1008,$I954-8)="","",INDEX('Fleet dates'!$D$9:$D$1008,$I954-8)))</x:f>
      </x:c>
      <x:c r="E954" s="51" t="str">
        <x:f>IF(946&gt;$H$4,"",IF(INDEX('Fleet dates'!$E$9:$E$1008,$I954-8)="","",INDEX('Fleet dates'!$E$9:$E$1008,$I954-8)))</x:f>
      </x:c>
      <x:c r="F954" s="51" t="str">
        <x:f>IF(946&gt;$H$4,"",IF(INDEX('Fleet dates'!$F$9:$F$1008,$I954-8)="","",INDEX('Fleet dates'!$F$9:$F$1008,$I954-8)))</x:f>
      </x:c>
      <x:c r="G954" s="50" t="str">
        <x:f>IF(946&gt;$H$4,"",IF(INDEX('Fleet dates'!$G$9:$G$1008,$I954-8)="","",INDEX('Fleet dates'!$G$9:$G$1008,$I954-8)))</x:f>
      </x:c>
      <x:c r="H954" s="50" t="str">
        <x:f>IF(946&gt;$H$4,"",IF(INDEX('Fleet dates'!$I$9:$I$1008,$I954-8)="","",INDEX('Fleet dates'!$I$9:$I$1008,$I954-8)))</x:f>
      </x:c>
      <x:c r="I954" t="str">
        <x:f>IF(946&gt;$H$4,"",MATCH(946,'Fleet dates'!$J$9:$J$1008,0)+8)</x:f>
      </x:c>
    </x:row>
    <x:row r="955" ht="36" customHeight="1">
      <x:c r="A955" s="50" t="str">
        <x:f>IF(947&gt;$H$4,"",IF(INDEX('Fleet dates'!$A$9:$A$1008,$I955-8)="","",INDEX('Fleet dates'!$A$9:$A$1008,$I955-8)))</x:f>
      </x:c>
      <x:c r="B955" s="50" t="str">
        <x:f>IF(947&gt;$H$4,"",IF(INDEX('Fleet dates'!$B$9:$B$1008,$I955-8)="","",INDEX('Fleet dates'!$B$9:$B$1008,$I955-8)))</x:f>
      </x:c>
      <x:c r="C955" s="51" t="str">
        <x:f>IF(947&gt;$H$4,"",IF(INDEX('Fleet dates'!$C$9:$C$1008,$I955-8)="","",INDEX('Fleet dates'!$C$9:$C$1008,$I955-8)))</x:f>
      </x:c>
      <x:c r="D955" s="51" t="str">
        <x:f>IF(947&gt;$H$4,"",IF(INDEX('Fleet dates'!$D$9:$D$1008,$I955-8)="","",INDEX('Fleet dates'!$D$9:$D$1008,$I955-8)))</x:f>
      </x:c>
      <x:c r="E955" s="51" t="str">
        <x:f>IF(947&gt;$H$4,"",IF(INDEX('Fleet dates'!$E$9:$E$1008,$I955-8)="","",INDEX('Fleet dates'!$E$9:$E$1008,$I955-8)))</x:f>
      </x:c>
      <x:c r="F955" s="51" t="str">
        <x:f>IF(947&gt;$H$4,"",IF(INDEX('Fleet dates'!$F$9:$F$1008,$I955-8)="","",INDEX('Fleet dates'!$F$9:$F$1008,$I955-8)))</x:f>
      </x:c>
      <x:c r="G955" s="50" t="str">
        <x:f>IF(947&gt;$H$4,"",IF(INDEX('Fleet dates'!$G$9:$G$1008,$I955-8)="","",INDEX('Fleet dates'!$G$9:$G$1008,$I955-8)))</x:f>
      </x:c>
      <x:c r="H955" s="50" t="str">
        <x:f>IF(947&gt;$H$4,"",IF(INDEX('Fleet dates'!$I$9:$I$1008,$I955-8)="","",INDEX('Fleet dates'!$I$9:$I$1008,$I955-8)))</x:f>
      </x:c>
      <x:c r="I955" t="str">
        <x:f>IF(947&gt;$H$4,"",MATCH(947,'Fleet dates'!$J$9:$J$1008,0)+8)</x:f>
      </x:c>
    </x:row>
    <x:row r="956" ht="36" customHeight="1">
      <x:c r="A956" s="50" t="str">
        <x:f>IF(948&gt;$H$4,"",IF(INDEX('Fleet dates'!$A$9:$A$1008,$I956-8)="","",INDEX('Fleet dates'!$A$9:$A$1008,$I956-8)))</x:f>
      </x:c>
      <x:c r="B956" s="50" t="str">
        <x:f>IF(948&gt;$H$4,"",IF(INDEX('Fleet dates'!$B$9:$B$1008,$I956-8)="","",INDEX('Fleet dates'!$B$9:$B$1008,$I956-8)))</x:f>
      </x:c>
      <x:c r="C956" s="51" t="str">
        <x:f>IF(948&gt;$H$4,"",IF(INDEX('Fleet dates'!$C$9:$C$1008,$I956-8)="","",INDEX('Fleet dates'!$C$9:$C$1008,$I956-8)))</x:f>
      </x:c>
      <x:c r="D956" s="51" t="str">
        <x:f>IF(948&gt;$H$4,"",IF(INDEX('Fleet dates'!$D$9:$D$1008,$I956-8)="","",INDEX('Fleet dates'!$D$9:$D$1008,$I956-8)))</x:f>
      </x:c>
      <x:c r="E956" s="51" t="str">
        <x:f>IF(948&gt;$H$4,"",IF(INDEX('Fleet dates'!$E$9:$E$1008,$I956-8)="","",INDEX('Fleet dates'!$E$9:$E$1008,$I956-8)))</x:f>
      </x:c>
      <x:c r="F956" s="51" t="str">
        <x:f>IF(948&gt;$H$4,"",IF(INDEX('Fleet dates'!$F$9:$F$1008,$I956-8)="","",INDEX('Fleet dates'!$F$9:$F$1008,$I956-8)))</x:f>
      </x:c>
      <x:c r="G956" s="50" t="str">
        <x:f>IF(948&gt;$H$4,"",IF(INDEX('Fleet dates'!$G$9:$G$1008,$I956-8)="","",INDEX('Fleet dates'!$G$9:$G$1008,$I956-8)))</x:f>
      </x:c>
      <x:c r="H956" s="50" t="str">
        <x:f>IF(948&gt;$H$4,"",IF(INDEX('Fleet dates'!$I$9:$I$1008,$I956-8)="","",INDEX('Fleet dates'!$I$9:$I$1008,$I956-8)))</x:f>
      </x:c>
      <x:c r="I956" t="str">
        <x:f>IF(948&gt;$H$4,"",MATCH(948,'Fleet dates'!$J$9:$J$1008,0)+8)</x:f>
      </x:c>
    </x:row>
    <x:row r="957" ht="36" customHeight="1">
      <x:c r="A957" s="50" t="str">
        <x:f>IF(949&gt;$H$4,"",IF(INDEX('Fleet dates'!$A$9:$A$1008,$I957-8)="","",INDEX('Fleet dates'!$A$9:$A$1008,$I957-8)))</x:f>
      </x:c>
      <x:c r="B957" s="50" t="str">
        <x:f>IF(949&gt;$H$4,"",IF(INDEX('Fleet dates'!$B$9:$B$1008,$I957-8)="","",INDEX('Fleet dates'!$B$9:$B$1008,$I957-8)))</x:f>
      </x:c>
      <x:c r="C957" s="51" t="str">
        <x:f>IF(949&gt;$H$4,"",IF(INDEX('Fleet dates'!$C$9:$C$1008,$I957-8)="","",INDEX('Fleet dates'!$C$9:$C$1008,$I957-8)))</x:f>
      </x:c>
      <x:c r="D957" s="51" t="str">
        <x:f>IF(949&gt;$H$4,"",IF(INDEX('Fleet dates'!$D$9:$D$1008,$I957-8)="","",INDEX('Fleet dates'!$D$9:$D$1008,$I957-8)))</x:f>
      </x:c>
      <x:c r="E957" s="51" t="str">
        <x:f>IF(949&gt;$H$4,"",IF(INDEX('Fleet dates'!$E$9:$E$1008,$I957-8)="","",INDEX('Fleet dates'!$E$9:$E$1008,$I957-8)))</x:f>
      </x:c>
      <x:c r="F957" s="51" t="str">
        <x:f>IF(949&gt;$H$4,"",IF(INDEX('Fleet dates'!$F$9:$F$1008,$I957-8)="","",INDEX('Fleet dates'!$F$9:$F$1008,$I957-8)))</x:f>
      </x:c>
      <x:c r="G957" s="50" t="str">
        <x:f>IF(949&gt;$H$4,"",IF(INDEX('Fleet dates'!$G$9:$G$1008,$I957-8)="","",INDEX('Fleet dates'!$G$9:$G$1008,$I957-8)))</x:f>
      </x:c>
      <x:c r="H957" s="50" t="str">
        <x:f>IF(949&gt;$H$4,"",IF(INDEX('Fleet dates'!$I$9:$I$1008,$I957-8)="","",INDEX('Fleet dates'!$I$9:$I$1008,$I957-8)))</x:f>
      </x:c>
      <x:c r="I957" t="str">
        <x:f>IF(949&gt;$H$4,"",MATCH(949,'Fleet dates'!$J$9:$J$1008,0)+8)</x:f>
      </x:c>
    </x:row>
    <x:row r="958" ht="36" customHeight="1">
      <x:c r="A958" s="50" t="str">
        <x:f>IF(950&gt;$H$4,"",IF(INDEX('Fleet dates'!$A$9:$A$1008,$I958-8)="","",INDEX('Fleet dates'!$A$9:$A$1008,$I958-8)))</x:f>
      </x:c>
      <x:c r="B958" s="50" t="str">
        <x:f>IF(950&gt;$H$4,"",IF(INDEX('Fleet dates'!$B$9:$B$1008,$I958-8)="","",INDEX('Fleet dates'!$B$9:$B$1008,$I958-8)))</x:f>
      </x:c>
      <x:c r="C958" s="51" t="str">
        <x:f>IF(950&gt;$H$4,"",IF(INDEX('Fleet dates'!$C$9:$C$1008,$I958-8)="","",INDEX('Fleet dates'!$C$9:$C$1008,$I958-8)))</x:f>
      </x:c>
      <x:c r="D958" s="51" t="str">
        <x:f>IF(950&gt;$H$4,"",IF(INDEX('Fleet dates'!$D$9:$D$1008,$I958-8)="","",INDEX('Fleet dates'!$D$9:$D$1008,$I958-8)))</x:f>
      </x:c>
      <x:c r="E958" s="51" t="str">
        <x:f>IF(950&gt;$H$4,"",IF(INDEX('Fleet dates'!$E$9:$E$1008,$I958-8)="","",INDEX('Fleet dates'!$E$9:$E$1008,$I958-8)))</x:f>
      </x:c>
      <x:c r="F958" s="51" t="str">
        <x:f>IF(950&gt;$H$4,"",IF(INDEX('Fleet dates'!$F$9:$F$1008,$I958-8)="","",INDEX('Fleet dates'!$F$9:$F$1008,$I958-8)))</x:f>
      </x:c>
      <x:c r="G958" s="50" t="str">
        <x:f>IF(950&gt;$H$4,"",IF(INDEX('Fleet dates'!$G$9:$G$1008,$I958-8)="","",INDEX('Fleet dates'!$G$9:$G$1008,$I958-8)))</x:f>
      </x:c>
      <x:c r="H958" s="50" t="str">
        <x:f>IF(950&gt;$H$4,"",IF(INDEX('Fleet dates'!$I$9:$I$1008,$I958-8)="","",INDEX('Fleet dates'!$I$9:$I$1008,$I958-8)))</x:f>
      </x:c>
      <x:c r="I958" t="str">
        <x:f>IF(950&gt;$H$4,"",MATCH(950,'Fleet dates'!$J$9:$J$1008,0)+8)</x:f>
      </x:c>
    </x:row>
    <x:row r="959" ht="36" customHeight="1">
      <x:c r="A959" s="50" t="str">
        <x:f>IF(951&gt;$H$4,"",IF(INDEX('Fleet dates'!$A$9:$A$1008,$I959-8)="","",INDEX('Fleet dates'!$A$9:$A$1008,$I959-8)))</x:f>
      </x:c>
      <x:c r="B959" s="50" t="str">
        <x:f>IF(951&gt;$H$4,"",IF(INDEX('Fleet dates'!$B$9:$B$1008,$I959-8)="","",INDEX('Fleet dates'!$B$9:$B$1008,$I959-8)))</x:f>
      </x:c>
      <x:c r="C959" s="51" t="str">
        <x:f>IF(951&gt;$H$4,"",IF(INDEX('Fleet dates'!$C$9:$C$1008,$I959-8)="","",INDEX('Fleet dates'!$C$9:$C$1008,$I959-8)))</x:f>
      </x:c>
      <x:c r="D959" s="51" t="str">
        <x:f>IF(951&gt;$H$4,"",IF(INDEX('Fleet dates'!$D$9:$D$1008,$I959-8)="","",INDEX('Fleet dates'!$D$9:$D$1008,$I959-8)))</x:f>
      </x:c>
      <x:c r="E959" s="51" t="str">
        <x:f>IF(951&gt;$H$4,"",IF(INDEX('Fleet dates'!$E$9:$E$1008,$I959-8)="","",INDEX('Fleet dates'!$E$9:$E$1008,$I959-8)))</x:f>
      </x:c>
      <x:c r="F959" s="51" t="str">
        <x:f>IF(951&gt;$H$4,"",IF(INDEX('Fleet dates'!$F$9:$F$1008,$I959-8)="","",INDEX('Fleet dates'!$F$9:$F$1008,$I959-8)))</x:f>
      </x:c>
      <x:c r="G959" s="50" t="str">
        <x:f>IF(951&gt;$H$4,"",IF(INDEX('Fleet dates'!$G$9:$G$1008,$I959-8)="","",INDEX('Fleet dates'!$G$9:$G$1008,$I959-8)))</x:f>
      </x:c>
      <x:c r="H959" s="50" t="str">
        <x:f>IF(951&gt;$H$4,"",IF(INDEX('Fleet dates'!$I$9:$I$1008,$I959-8)="","",INDEX('Fleet dates'!$I$9:$I$1008,$I959-8)))</x:f>
      </x:c>
      <x:c r="I959" t="str">
        <x:f>IF(951&gt;$H$4,"",MATCH(951,'Fleet dates'!$J$9:$J$1008,0)+8)</x:f>
      </x:c>
    </x:row>
    <x:row r="960" ht="36" customHeight="1">
      <x:c r="A960" s="50" t="str">
        <x:f>IF(952&gt;$H$4,"",IF(INDEX('Fleet dates'!$A$9:$A$1008,$I960-8)="","",INDEX('Fleet dates'!$A$9:$A$1008,$I960-8)))</x:f>
      </x:c>
      <x:c r="B960" s="50" t="str">
        <x:f>IF(952&gt;$H$4,"",IF(INDEX('Fleet dates'!$B$9:$B$1008,$I960-8)="","",INDEX('Fleet dates'!$B$9:$B$1008,$I960-8)))</x:f>
      </x:c>
      <x:c r="C960" s="51" t="str">
        <x:f>IF(952&gt;$H$4,"",IF(INDEX('Fleet dates'!$C$9:$C$1008,$I960-8)="","",INDEX('Fleet dates'!$C$9:$C$1008,$I960-8)))</x:f>
      </x:c>
      <x:c r="D960" s="51" t="str">
        <x:f>IF(952&gt;$H$4,"",IF(INDEX('Fleet dates'!$D$9:$D$1008,$I960-8)="","",INDEX('Fleet dates'!$D$9:$D$1008,$I960-8)))</x:f>
      </x:c>
      <x:c r="E960" s="51" t="str">
        <x:f>IF(952&gt;$H$4,"",IF(INDEX('Fleet dates'!$E$9:$E$1008,$I960-8)="","",INDEX('Fleet dates'!$E$9:$E$1008,$I960-8)))</x:f>
      </x:c>
      <x:c r="F960" s="51" t="str">
        <x:f>IF(952&gt;$H$4,"",IF(INDEX('Fleet dates'!$F$9:$F$1008,$I960-8)="","",INDEX('Fleet dates'!$F$9:$F$1008,$I960-8)))</x:f>
      </x:c>
      <x:c r="G960" s="50" t="str">
        <x:f>IF(952&gt;$H$4,"",IF(INDEX('Fleet dates'!$G$9:$G$1008,$I960-8)="","",INDEX('Fleet dates'!$G$9:$G$1008,$I960-8)))</x:f>
      </x:c>
      <x:c r="H960" s="50" t="str">
        <x:f>IF(952&gt;$H$4,"",IF(INDEX('Fleet dates'!$I$9:$I$1008,$I960-8)="","",INDEX('Fleet dates'!$I$9:$I$1008,$I960-8)))</x:f>
      </x:c>
      <x:c r="I960" t="str">
        <x:f>IF(952&gt;$H$4,"",MATCH(952,'Fleet dates'!$J$9:$J$1008,0)+8)</x:f>
      </x:c>
    </x:row>
    <x:row r="961" ht="36" customHeight="1">
      <x:c r="A961" s="50" t="str">
        <x:f>IF(953&gt;$H$4,"",IF(INDEX('Fleet dates'!$A$9:$A$1008,$I961-8)="","",INDEX('Fleet dates'!$A$9:$A$1008,$I961-8)))</x:f>
      </x:c>
      <x:c r="B961" s="50" t="str">
        <x:f>IF(953&gt;$H$4,"",IF(INDEX('Fleet dates'!$B$9:$B$1008,$I961-8)="","",INDEX('Fleet dates'!$B$9:$B$1008,$I961-8)))</x:f>
      </x:c>
      <x:c r="C961" s="51" t="str">
        <x:f>IF(953&gt;$H$4,"",IF(INDEX('Fleet dates'!$C$9:$C$1008,$I961-8)="","",INDEX('Fleet dates'!$C$9:$C$1008,$I961-8)))</x:f>
      </x:c>
      <x:c r="D961" s="51" t="str">
        <x:f>IF(953&gt;$H$4,"",IF(INDEX('Fleet dates'!$D$9:$D$1008,$I961-8)="","",INDEX('Fleet dates'!$D$9:$D$1008,$I961-8)))</x:f>
      </x:c>
      <x:c r="E961" s="51" t="str">
        <x:f>IF(953&gt;$H$4,"",IF(INDEX('Fleet dates'!$E$9:$E$1008,$I961-8)="","",INDEX('Fleet dates'!$E$9:$E$1008,$I961-8)))</x:f>
      </x:c>
      <x:c r="F961" s="51" t="str">
        <x:f>IF(953&gt;$H$4,"",IF(INDEX('Fleet dates'!$F$9:$F$1008,$I961-8)="","",INDEX('Fleet dates'!$F$9:$F$1008,$I961-8)))</x:f>
      </x:c>
      <x:c r="G961" s="50" t="str">
        <x:f>IF(953&gt;$H$4,"",IF(INDEX('Fleet dates'!$G$9:$G$1008,$I961-8)="","",INDEX('Fleet dates'!$G$9:$G$1008,$I961-8)))</x:f>
      </x:c>
      <x:c r="H961" s="50" t="str">
        <x:f>IF(953&gt;$H$4,"",IF(INDEX('Fleet dates'!$I$9:$I$1008,$I961-8)="","",INDEX('Fleet dates'!$I$9:$I$1008,$I961-8)))</x:f>
      </x:c>
      <x:c r="I961" t="str">
        <x:f>IF(953&gt;$H$4,"",MATCH(953,'Fleet dates'!$J$9:$J$1008,0)+8)</x:f>
      </x:c>
    </x:row>
    <x:row r="962" ht="36" customHeight="1">
      <x:c r="A962" s="50" t="str">
        <x:f>IF(954&gt;$H$4,"",IF(INDEX('Fleet dates'!$A$9:$A$1008,$I962-8)="","",INDEX('Fleet dates'!$A$9:$A$1008,$I962-8)))</x:f>
      </x:c>
      <x:c r="B962" s="50" t="str">
        <x:f>IF(954&gt;$H$4,"",IF(INDEX('Fleet dates'!$B$9:$B$1008,$I962-8)="","",INDEX('Fleet dates'!$B$9:$B$1008,$I962-8)))</x:f>
      </x:c>
      <x:c r="C962" s="51" t="str">
        <x:f>IF(954&gt;$H$4,"",IF(INDEX('Fleet dates'!$C$9:$C$1008,$I962-8)="","",INDEX('Fleet dates'!$C$9:$C$1008,$I962-8)))</x:f>
      </x:c>
      <x:c r="D962" s="51" t="str">
        <x:f>IF(954&gt;$H$4,"",IF(INDEX('Fleet dates'!$D$9:$D$1008,$I962-8)="","",INDEX('Fleet dates'!$D$9:$D$1008,$I962-8)))</x:f>
      </x:c>
      <x:c r="E962" s="51" t="str">
        <x:f>IF(954&gt;$H$4,"",IF(INDEX('Fleet dates'!$E$9:$E$1008,$I962-8)="","",INDEX('Fleet dates'!$E$9:$E$1008,$I962-8)))</x:f>
      </x:c>
      <x:c r="F962" s="51" t="str">
        <x:f>IF(954&gt;$H$4,"",IF(INDEX('Fleet dates'!$F$9:$F$1008,$I962-8)="","",INDEX('Fleet dates'!$F$9:$F$1008,$I962-8)))</x:f>
      </x:c>
      <x:c r="G962" s="50" t="str">
        <x:f>IF(954&gt;$H$4,"",IF(INDEX('Fleet dates'!$G$9:$G$1008,$I962-8)="","",INDEX('Fleet dates'!$G$9:$G$1008,$I962-8)))</x:f>
      </x:c>
      <x:c r="H962" s="50" t="str">
        <x:f>IF(954&gt;$H$4,"",IF(INDEX('Fleet dates'!$I$9:$I$1008,$I962-8)="","",INDEX('Fleet dates'!$I$9:$I$1008,$I962-8)))</x:f>
      </x:c>
      <x:c r="I962" t="str">
        <x:f>IF(954&gt;$H$4,"",MATCH(954,'Fleet dates'!$J$9:$J$1008,0)+8)</x:f>
      </x:c>
    </x:row>
    <x:row r="963" ht="36" customHeight="1">
      <x:c r="A963" s="50" t="str">
        <x:f>IF(955&gt;$H$4,"",IF(INDEX('Fleet dates'!$A$9:$A$1008,$I963-8)="","",INDEX('Fleet dates'!$A$9:$A$1008,$I963-8)))</x:f>
      </x:c>
      <x:c r="B963" s="50" t="str">
        <x:f>IF(955&gt;$H$4,"",IF(INDEX('Fleet dates'!$B$9:$B$1008,$I963-8)="","",INDEX('Fleet dates'!$B$9:$B$1008,$I963-8)))</x:f>
      </x:c>
      <x:c r="C963" s="51" t="str">
        <x:f>IF(955&gt;$H$4,"",IF(INDEX('Fleet dates'!$C$9:$C$1008,$I963-8)="","",INDEX('Fleet dates'!$C$9:$C$1008,$I963-8)))</x:f>
      </x:c>
      <x:c r="D963" s="51" t="str">
        <x:f>IF(955&gt;$H$4,"",IF(INDEX('Fleet dates'!$D$9:$D$1008,$I963-8)="","",INDEX('Fleet dates'!$D$9:$D$1008,$I963-8)))</x:f>
      </x:c>
      <x:c r="E963" s="51" t="str">
        <x:f>IF(955&gt;$H$4,"",IF(INDEX('Fleet dates'!$E$9:$E$1008,$I963-8)="","",INDEX('Fleet dates'!$E$9:$E$1008,$I963-8)))</x:f>
      </x:c>
      <x:c r="F963" s="51" t="str">
        <x:f>IF(955&gt;$H$4,"",IF(INDEX('Fleet dates'!$F$9:$F$1008,$I963-8)="","",INDEX('Fleet dates'!$F$9:$F$1008,$I963-8)))</x:f>
      </x:c>
      <x:c r="G963" s="50" t="str">
        <x:f>IF(955&gt;$H$4,"",IF(INDEX('Fleet dates'!$G$9:$G$1008,$I963-8)="","",INDEX('Fleet dates'!$G$9:$G$1008,$I963-8)))</x:f>
      </x:c>
      <x:c r="H963" s="50" t="str">
        <x:f>IF(955&gt;$H$4,"",IF(INDEX('Fleet dates'!$I$9:$I$1008,$I963-8)="","",INDEX('Fleet dates'!$I$9:$I$1008,$I963-8)))</x:f>
      </x:c>
      <x:c r="I963" t="str">
        <x:f>IF(955&gt;$H$4,"",MATCH(955,'Fleet dates'!$J$9:$J$1008,0)+8)</x:f>
      </x:c>
    </x:row>
    <x:row r="964" ht="36" customHeight="1">
      <x:c r="A964" s="50" t="str">
        <x:f>IF(956&gt;$H$4,"",IF(INDEX('Fleet dates'!$A$9:$A$1008,$I964-8)="","",INDEX('Fleet dates'!$A$9:$A$1008,$I964-8)))</x:f>
      </x:c>
      <x:c r="B964" s="50" t="str">
        <x:f>IF(956&gt;$H$4,"",IF(INDEX('Fleet dates'!$B$9:$B$1008,$I964-8)="","",INDEX('Fleet dates'!$B$9:$B$1008,$I964-8)))</x:f>
      </x:c>
      <x:c r="C964" s="51" t="str">
        <x:f>IF(956&gt;$H$4,"",IF(INDEX('Fleet dates'!$C$9:$C$1008,$I964-8)="","",INDEX('Fleet dates'!$C$9:$C$1008,$I964-8)))</x:f>
      </x:c>
      <x:c r="D964" s="51" t="str">
        <x:f>IF(956&gt;$H$4,"",IF(INDEX('Fleet dates'!$D$9:$D$1008,$I964-8)="","",INDEX('Fleet dates'!$D$9:$D$1008,$I964-8)))</x:f>
      </x:c>
      <x:c r="E964" s="51" t="str">
        <x:f>IF(956&gt;$H$4,"",IF(INDEX('Fleet dates'!$E$9:$E$1008,$I964-8)="","",INDEX('Fleet dates'!$E$9:$E$1008,$I964-8)))</x:f>
      </x:c>
      <x:c r="F964" s="51" t="str">
        <x:f>IF(956&gt;$H$4,"",IF(INDEX('Fleet dates'!$F$9:$F$1008,$I964-8)="","",INDEX('Fleet dates'!$F$9:$F$1008,$I964-8)))</x:f>
      </x:c>
      <x:c r="G964" s="50" t="str">
        <x:f>IF(956&gt;$H$4,"",IF(INDEX('Fleet dates'!$G$9:$G$1008,$I964-8)="","",INDEX('Fleet dates'!$G$9:$G$1008,$I964-8)))</x:f>
      </x:c>
      <x:c r="H964" s="50" t="str">
        <x:f>IF(956&gt;$H$4,"",IF(INDEX('Fleet dates'!$I$9:$I$1008,$I964-8)="","",INDEX('Fleet dates'!$I$9:$I$1008,$I964-8)))</x:f>
      </x:c>
      <x:c r="I964" t="str">
        <x:f>IF(956&gt;$H$4,"",MATCH(956,'Fleet dates'!$J$9:$J$1008,0)+8)</x:f>
      </x:c>
    </x:row>
    <x:row r="965" ht="36" customHeight="1">
      <x:c r="A965" s="50" t="str">
        <x:f>IF(957&gt;$H$4,"",IF(INDEX('Fleet dates'!$A$9:$A$1008,$I965-8)="","",INDEX('Fleet dates'!$A$9:$A$1008,$I965-8)))</x:f>
      </x:c>
      <x:c r="B965" s="50" t="str">
        <x:f>IF(957&gt;$H$4,"",IF(INDEX('Fleet dates'!$B$9:$B$1008,$I965-8)="","",INDEX('Fleet dates'!$B$9:$B$1008,$I965-8)))</x:f>
      </x:c>
      <x:c r="C965" s="51" t="str">
        <x:f>IF(957&gt;$H$4,"",IF(INDEX('Fleet dates'!$C$9:$C$1008,$I965-8)="","",INDEX('Fleet dates'!$C$9:$C$1008,$I965-8)))</x:f>
      </x:c>
      <x:c r="D965" s="51" t="str">
        <x:f>IF(957&gt;$H$4,"",IF(INDEX('Fleet dates'!$D$9:$D$1008,$I965-8)="","",INDEX('Fleet dates'!$D$9:$D$1008,$I965-8)))</x:f>
      </x:c>
      <x:c r="E965" s="51" t="str">
        <x:f>IF(957&gt;$H$4,"",IF(INDEX('Fleet dates'!$E$9:$E$1008,$I965-8)="","",INDEX('Fleet dates'!$E$9:$E$1008,$I965-8)))</x:f>
      </x:c>
      <x:c r="F965" s="51" t="str">
        <x:f>IF(957&gt;$H$4,"",IF(INDEX('Fleet dates'!$F$9:$F$1008,$I965-8)="","",INDEX('Fleet dates'!$F$9:$F$1008,$I965-8)))</x:f>
      </x:c>
      <x:c r="G965" s="50" t="str">
        <x:f>IF(957&gt;$H$4,"",IF(INDEX('Fleet dates'!$G$9:$G$1008,$I965-8)="","",INDEX('Fleet dates'!$G$9:$G$1008,$I965-8)))</x:f>
      </x:c>
      <x:c r="H965" s="50" t="str">
        <x:f>IF(957&gt;$H$4,"",IF(INDEX('Fleet dates'!$I$9:$I$1008,$I965-8)="","",INDEX('Fleet dates'!$I$9:$I$1008,$I965-8)))</x:f>
      </x:c>
      <x:c r="I965" t="str">
        <x:f>IF(957&gt;$H$4,"",MATCH(957,'Fleet dates'!$J$9:$J$1008,0)+8)</x:f>
      </x:c>
    </x:row>
    <x:row r="966" ht="36" customHeight="1">
      <x:c r="A966" s="50" t="str">
        <x:f>IF(958&gt;$H$4,"",IF(INDEX('Fleet dates'!$A$9:$A$1008,$I966-8)="","",INDEX('Fleet dates'!$A$9:$A$1008,$I966-8)))</x:f>
      </x:c>
      <x:c r="B966" s="50" t="str">
        <x:f>IF(958&gt;$H$4,"",IF(INDEX('Fleet dates'!$B$9:$B$1008,$I966-8)="","",INDEX('Fleet dates'!$B$9:$B$1008,$I966-8)))</x:f>
      </x:c>
      <x:c r="C966" s="51" t="str">
        <x:f>IF(958&gt;$H$4,"",IF(INDEX('Fleet dates'!$C$9:$C$1008,$I966-8)="","",INDEX('Fleet dates'!$C$9:$C$1008,$I966-8)))</x:f>
      </x:c>
      <x:c r="D966" s="51" t="str">
        <x:f>IF(958&gt;$H$4,"",IF(INDEX('Fleet dates'!$D$9:$D$1008,$I966-8)="","",INDEX('Fleet dates'!$D$9:$D$1008,$I966-8)))</x:f>
      </x:c>
      <x:c r="E966" s="51" t="str">
        <x:f>IF(958&gt;$H$4,"",IF(INDEX('Fleet dates'!$E$9:$E$1008,$I966-8)="","",INDEX('Fleet dates'!$E$9:$E$1008,$I966-8)))</x:f>
      </x:c>
      <x:c r="F966" s="51" t="str">
        <x:f>IF(958&gt;$H$4,"",IF(INDEX('Fleet dates'!$F$9:$F$1008,$I966-8)="","",INDEX('Fleet dates'!$F$9:$F$1008,$I966-8)))</x:f>
      </x:c>
      <x:c r="G966" s="50" t="str">
        <x:f>IF(958&gt;$H$4,"",IF(INDEX('Fleet dates'!$G$9:$G$1008,$I966-8)="","",INDEX('Fleet dates'!$G$9:$G$1008,$I966-8)))</x:f>
      </x:c>
      <x:c r="H966" s="50" t="str">
        <x:f>IF(958&gt;$H$4,"",IF(INDEX('Fleet dates'!$I$9:$I$1008,$I966-8)="","",INDEX('Fleet dates'!$I$9:$I$1008,$I966-8)))</x:f>
      </x:c>
      <x:c r="I966" t="str">
        <x:f>IF(958&gt;$H$4,"",MATCH(958,'Fleet dates'!$J$9:$J$1008,0)+8)</x:f>
      </x:c>
    </x:row>
    <x:row r="967" ht="36" customHeight="1">
      <x:c r="A967" s="50" t="str">
        <x:f>IF(959&gt;$H$4,"",IF(INDEX('Fleet dates'!$A$9:$A$1008,$I967-8)="","",INDEX('Fleet dates'!$A$9:$A$1008,$I967-8)))</x:f>
      </x:c>
      <x:c r="B967" s="50" t="str">
        <x:f>IF(959&gt;$H$4,"",IF(INDEX('Fleet dates'!$B$9:$B$1008,$I967-8)="","",INDEX('Fleet dates'!$B$9:$B$1008,$I967-8)))</x:f>
      </x:c>
      <x:c r="C967" s="51" t="str">
        <x:f>IF(959&gt;$H$4,"",IF(INDEX('Fleet dates'!$C$9:$C$1008,$I967-8)="","",INDEX('Fleet dates'!$C$9:$C$1008,$I967-8)))</x:f>
      </x:c>
      <x:c r="D967" s="51" t="str">
        <x:f>IF(959&gt;$H$4,"",IF(INDEX('Fleet dates'!$D$9:$D$1008,$I967-8)="","",INDEX('Fleet dates'!$D$9:$D$1008,$I967-8)))</x:f>
      </x:c>
      <x:c r="E967" s="51" t="str">
        <x:f>IF(959&gt;$H$4,"",IF(INDEX('Fleet dates'!$E$9:$E$1008,$I967-8)="","",INDEX('Fleet dates'!$E$9:$E$1008,$I967-8)))</x:f>
      </x:c>
      <x:c r="F967" s="51" t="str">
        <x:f>IF(959&gt;$H$4,"",IF(INDEX('Fleet dates'!$F$9:$F$1008,$I967-8)="","",INDEX('Fleet dates'!$F$9:$F$1008,$I967-8)))</x:f>
      </x:c>
      <x:c r="G967" s="50" t="str">
        <x:f>IF(959&gt;$H$4,"",IF(INDEX('Fleet dates'!$G$9:$G$1008,$I967-8)="","",INDEX('Fleet dates'!$G$9:$G$1008,$I967-8)))</x:f>
      </x:c>
      <x:c r="H967" s="50" t="str">
        <x:f>IF(959&gt;$H$4,"",IF(INDEX('Fleet dates'!$I$9:$I$1008,$I967-8)="","",INDEX('Fleet dates'!$I$9:$I$1008,$I967-8)))</x:f>
      </x:c>
      <x:c r="I967" t="str">
        <x:f>IF(959&gt;$H$4,"",MATCH(959,'Fleet dates'!$J$9:$J$1008,0)+8)</x:f>
      </x:c>
    </x:row>
    <x:row r="968" ht="36" customHeight="1">
      <x:c r="A968" s="50" t="str">
        <x:f>IF(960&gt;$H$4,"",IF(INDEX('Fleet dates'!$A$9:$A$1008,$I968-8)="","",INDEX('Fleet dates'!$A$9:$A$1008,$I968-8)))</x:f>
      </x:c>
      <x:c r="B968" s="50" t="str">
        <x:f>IF(960&gt;$H$4,"",IF(INDEX('Fleet dates'!$B$9:$B$1008,$I968-8)="","",INDEX('Fleet dates'!$B$9:$B$1008,$I968-8)))</x:f>
      </x:c>
      <x:c r="C968" s="51" t="str">
        <x:f>IF(960&gt;$H$4,"",IF(INDEX('Fleet dates'!$C$9:$C$1008,$I968-8)="","",INDEX('Fleet dates'!$C$9:$C$1008,$I968-8)))</x:f>
      </x:c>
      <x:c r="D968" s="51" t="str">
        <x:f>IF(960&gt;$H$4,"",IF(INDEX('Fleet dates'!$D$9:$D$1008,$I968-8)="","",INDEX('Fleet dates'!$D$9:$D$1008,$I968-8)))</x:f>
      </x:c>
      <x:c r="E968" s="51" t="str">
        <x:f>IF(960&gt;$H$4,"",IF(INDEX('Fleet dates'!$E$9:$E$1008,$I968-8)="","",INDEX('Fleet dates'!$E$9:$E$1008,$I968-8)))</x:f>
      </x:c>
      <x:c r="F968" s="51" t="str">
        <x:f>IF(960&gt;$H$4,"",IF(INDEX('Fleet dates'!$F$9:$F$1008,$I968-8)="","",INDEX('Fleet dates'!$F$9:$F$1008,$I968-8)))</x:f>
      </x:c>
      <x:c r="G968" s="50" t="str">
        <x:f>IF(960&gt;$H$4,"",IF(INDEX('Fleet dates'!$G$9:$G$1008,$I968-8)="","",INDEX('Fleet dates'!$G$9:$G$1008,$I968-8)))</x:f>
      </x:c>
      <x:c r="H968" s="50" t="str">
        <x:f>IF(960&gt;$H$4,"",IF(INDEX('Fleet dates'!$I$9:$I$1008,$I968-8)="","",INDEX('Fleet dates'!$I$9:$I$1008,$I968-8)))</x:f>
      </x:c>
      <x:c r="I968" t="str">
        <x:f>IF(960&gt;$H$4,"",MATCH(960,'Fleet dates'!$J$9:$J$1008,0)+8)</x:f>
      </x:c>
    </x:row>
    <x:row r="969" ht="36" customHeight="1">
      <x:c r="A969" s="50" t="str">
        <x:f>IF(961&gt;$H$4,"",IF(INDEX('Fleet dates'!$A$9:$A$1008,$I969-8)="","",INDEX('Fleet dates'!$A$9:$A$1008,$I969-8)))</x:f>
      </x:c>
      <x:c r="B969" s="50" t="str">
        <x:f>IF(961&gt;$H$4,"",IF(INDEX('Fleet dates'!$B$9:$B$1008,$I969-8)="","",INDEX('Fleet dates'!$B$9:$B$1008,$I969-8)))</x:f>
      </x:c>
      <x:c r="C969" s="51" t="str">
        <x:f>IF(961&gt;$H$4,"",IF(INDEX('Fleet dates'!$C$9:$C$1008,$I969-8)="","",INDEX('Fleet dates'!$C$9:$C$1008,$I969-8)))</x:f>
      </x:c>
      <x:c r="D969" s="51" t="str">
        <x:f>IF(961&gt;$H$4,"",IF(INDEX('Fleet dates'!$D$9:$D$1008,$I969-8)="","",INDEX('Fleet dates'!$D$9:$D$1008,$I969-8)))</x:f>
      </x:c>
      <x:c r="E969" s="51" t="str">
        <x:f>IF(961&gt;$H$4,"",IF(INDEX('Fleet dates'!$E$9:$E$1008,$I969-8)="","",INDEX('Fleet dates'!$E$9:$E$1008,$I969-8)))</x:f>
      </x:c>
      <x:c r="F969" s="51" t="str">
        <x:f>IF(961&gt;$H$4,"",IF(INDEX('Fleet dates'!$F$9:$F$1008,$I969-8)="","",INDEX('Fleet dates'!$F$9:$F$1008,$I969-8)))</x:f>
      </x:c>
      <x:c r="G969" s="50" t="str">
        <x:f>IF(961&gt;$H$4,"",IF(INDEX('Fleet dates'!$G$9:$G$1008,$I969-8)="","",INDEX('Fleet dates'!$G$9:$G$1008,$I969-8)))</x:f>
      </x:c>
      <x:c r="H969" s="50" t="str">
        <x:f>IF(961&gt;$H$4,"",IF(INDEX('Fleet dates'!$I$9:$I$1008,$I969-8)="","",INDEX('Fleet dates'!$I$9:$I$1008,$I969-8)))</x:f>
      </x:c>
      <x:c r="I969" t="str">
        <x:f>IF(961&gt;$H$4,"",MATCH(961,'Fleet dates'!$J$9:$J$1008,0)+8)</x:f>
      </x:c>
    </x:row>
    <x:row r="970" ht="36" customHeight="1">
      <x:c r="A970" s="50" t="str">
        <x:f>IF(962&gt;$H$4,"",IF(INDEX('Fleet dates'!$A$9:$A$1008,$I970-8)="","",INDEX('Fleet dates'!$A$9:$A$1008,$I970-8)))</x:f>
      </x:c>
      <x:c r="B970" s="50" t="str">
        <x:f>IF(962&gt;$H$4,"",IF(INDEX('Fleet dates'!$B$9:$B$1008,$I970-8)="","",INDEX('Fleet dates'!$B$9:$B$1008,$I970-8)))</x:f>
      </x:c>
      <x:c r="C970" s="51" t="str">
        <x:f>IF(962&gt;$H$4,"",IF(INDEX('Fleet dates'!$C$9:$C$1008,$I970-8)="","",INDEX('Fleet dates'!$C$9:$C$1008,$I970-8)))</x:f>
      </x:c>
      <x:c r="D970" s="51" t="str">
        <x:f>IF(962&gt;$H$4,"",IF(INDEX('Fleet dates'!$D$9:$D$1008,$I970-8)="","",INDEX('Fleet dates'!$D$9:$D$1008,$I970-8)))</x:f>
      </x:c>
      <x:c r="E970" s="51" t="str">
        <x:f>IF(962&gt;$H$4,"",IF(INDEX('Fleet dates'!$E$9:$E$1008,$I970-8)="","",INDEX('Fleet dates'!$E$9:$E$1008,$I970-8)))</x:f>
      </x:c>
      <x:c r="F970" s="51" t="str">
        <x:f>IF(962&gt;$H$4,"",IF(INDEX('Fleet dates'!$F$9:$F$1008,$I970-8)="","",INDEX('Fleet dates'!$F$9:$F$1008,$I970-8)))</x:f>
      </x:c>
      <x:c r="G970" s="50" t="str">
        <x:f>IF(962&gt;$H$4,"",IF(INDEX('Fleet dates'!$G$9:$G$1008,$I970-8)="","",INDEX('Fleet dates'!$G$9:$G$1008,$I970-8)))</x:f>
      </x:c>
      <x:c r="H970" s="50" t="str">
        <x:f>IF(962&gt;$H$4,"",IF(INDEX('Fleet dates'!$I$9:$I$1008,$I970-8)="","",INDEX('Fleet dates'!$I$9:$I$1008,$I970-8)))</x:f>
      </x:c>
      <x:c r="I970" t="str">
        <x:f>IF(962&gt;$H$4,"",MATCH(962,'Fleet dates'!$J$9:$J$1008,0)+8)</x:f>
      </x:c>
    </x:row>
    <x:row r="971" ht="36" customHeight="1">
      <x:c r="A971" s="50" t="str">
        <x:f>IF(963&gt;$H$4,"",IF(INDEX('Fleet dates'!$A$9:$A$1008,$I971-8)="","",INDEX('Fleet dates'!$A$9:$A$1008,$I971-8)))</x:f>
      </x:c>
      <x:c r="B971" s="50" t="str">
        <x:f>IF(963&gt;$H$4,"",IF(INDEX('Fleet dates'!$B$9:$B$1008,$I971-8)="","",INDEX('Fleet dates'!$B$9:$B$1008,$I971-8)))</x:f>
      </x:c>
      <x:c r="C971" s="51" t="str">
        <x:f>IF(963&gt;$H$4,"",IF(INDEX('Fleet dates'!$C$9:$C$1008,$I971-8)="","",INDEX('Fleet dates'!$C$9:$C$1008,$I971-8)))</x:f>
      </x:c>
      <x:c r="D971" s="51" t="str">
        <x:f>IF(963&gt;$H$4,"",IF(INDEX('Fleet dates'!$D$9:$D$1008,$I971-8)="","",INDEX('Fleet dates'!$D$9:$D$1008,$I971-8)))</x:f>
      </x:c>
      <x:c r="E971" s="51" t="str">
        <x:f>IF(963&gt;$H$4,"",IF(INDEX('Fleet dates'!$E$9:$E$1008,$I971-8)="","",INDEX('Fleet dates'!$E$9:$E$1008,$I971-8)))</x:f>
      </x:c>
      <x:c r="F971" s="51" t="str">
        <x:f>IF(963&gt;$H$4,"",IF(INDEX('Fleet dates'!$F$9:$F$1008,$I971-8)="","",INDEX('Fleet dates'!$F$9:$F$1008,$I971-8)))</x:f>
      </x:c>
      <x:c r="G971" s="50" t="str">
        <x:f>IF(963&gt;$H$4,"",IF(INDEX('Fleet dates'!$G$9:$G$1008,$I971-8)="","",INDEX('Fleet dates'!$G$9:$G$1008,$I971-8)))</x:f>
      </x:c>
      <x:c r="H971" s="50" t="str">
        <x:f>IF(963&gt;$H$4,"",IF(INDEX('Fleet dates'!$I$9:$I$1008,$I971-8)="","",INDEX('Fleet dates'!$I$9:$I$1008,$I971-8)))</x:f>
      </x:c>
      <x:c r="I971" t="str">
        <x:f>IF(963&gt;$H$4,"",MATCH(963,'Fleet dates'!$J$9:$J$1008,0)+8)</x:f>
      </x:c>
    </x:row>
    <x:row r="972" ht="36" customHeight="1">
      <x:c r="A972" s="50" t="str">
        <x:f>IF(964&gt;$H$4,"",IF(INDEX('Fleet dates'!$A$9:$A$1008,$I972-8)="","",INDEX('Fleet dates'!$A$9:$A$1008,$I972-8)))</x:f>
      </x:c>
      <x:c r="B972" s="50" t="str">
        <x:f>IF(964&gt;$H$4,"",IF(INDEX('Fleet dates'!$B$9:$B$1008,$I972-8)="","",INDEX('Fleet dates'!$B$9:$B$1008,$I972-8)))</x:f>
      </x:c>
      <x:c r="C972" s="51" t="str">
        <x:f>IF(964&gt;$H$4,"",IF(INDEX('Fleet dates'!$C$9:$C$1008,$I972-8)="","",INDEX('Fleet dates'!$C$9:$C$1008,$I972-8)))</x:f>
      </x:c>
      <x:c r="D972" s="51" t="str">
        <x:f>IF(964&gt;$H$4,"",IF(INDEX('Fleet dates'!$D$9:$D$1008,$I972-8)="","",INDEX('Fleet dates'!$D$9:$D$1008,$I972-8)))</x:f>
      </x:c>
      <x:c r="E972" s="51" t="str">
        <x:f>IF(964&gt;$H$4,"",IF(INDEX('Fleet dates'!$E$9:$E$1008,$I972-8)="","",INDEX('Fleet dates'!$E$9:$E$1008,$I972-8)))</x:f>
      </x:c>
      <x:c r="F972" s="51" t="str">
        <x:f>IF(964&gt;$H$4,"",IF(INDEX('Fleet dates'!$F$9:$F$1008,$I972-8)="","",INDEX('Fleet dates'!$F$9:$F$1008,$I972-8)))</x:f>
      </x:c>
      <x:c r="G972" s="50" t="str">
        <x:f>IF(964&gt;$H$4,"",IF(INDEX('Fleet dates'!$G$9:$G$1008,$I972-8)="","",INDEX('Fleet dates'!$G$9:$G$1008,$I972-8)))</x:f>
      </x:c>
      <x:c r="H972" s="50" t="str">
        <x:f>IF(964&gt;$H$4,"",IF(INDEX('Fleet dates'!$I$9:$I$1008,$I972-8)="","",INDEX('Fleet dates'!$I$9:$I$1008,$I972-8)))</x:f>
      </x:c>
      <x:c r="I972" t="str">
        <x:f>IF(964&gt;$H$4,"",MATCH(964,'Fleet dates'!$J$9:$J$1008,0)+8)</x:f>
      </x:c>
    </x:row>
    <x:row r="973" ht="36" customHeight="1">
      <x:c r="A973" s="50" t="str">
        <x:f>IF(965&gt;$H$4,"",IF(INDEX('Fleet dates'!$A$9:$A$1008,$I973-8)="","",INDEX('Fleet dates'!$A$9:$A$1008,$I973-8)))</x:f>
      </x:c>
      <x:c r="B973" s="50" t="str">
        <x:f>IF(965&gt;$H$4,"",IF(INDEX('Fleet dates'!$B$9:$B$1008,$I973-8)="","",INDEX('Fleet dates'!$B$9:$B$1008,$I973-8)))</x:f>
      </x:c>
      <x:c r="C973" s="51" t="str">
        <x:f>IF(965&gt;$H$4,"",IF(INDEX('Fleet dates'!$C$9:$C$1008,$I973-8)="","",INDEX('Fleet dates'!$C$9:$C$1008,$I973-8)))</x:f>
      </x:c>
      <x:c r="D973" s="51" t="str">
        <x:f>IF(965&gt;$H$4,"",IF(INDEX('Fleet dates'!$D$9:$D$1008,$I973-8)="","",INDEX('Fleet dates'!$D$9:$D$1008,$I973-8)))</x:f>
      </x:c>
      <x:c r="E973" s="51" t="str">
        <x:f>IF(965&gt;$H$4,"",IF(INDEX('Fleet dates'!$E$9:$E$1008,$I973-8)="","",INDEX('Fleet dates'!$E$9:$E$1008,$I973-8)))</x:f>
      </x:c>
      <x:c r="F973" s="51" t="str">
        <x:f>IF(965&gt;$H$4,"",IF(INDEX('Fleet dates'!$F$9:$F$1008,$I973-8)="","",INDEX('Fleet dates'!$F$9:$F$1008,$I973-8)))</x:f>
      </x:c>
      <x:c r="G973" s="50" t="str">
        <x:f>IF(965&gt;$H$4,"",IF(INDEX('Fleet dates'!$G$9:$G$1008,$I973-8)="","",INDEX('Fleet dates'!$G$9:$G$1008,$I973-8)))</x:f>
      </x:c>
      <x:c r="H973" s="50" t="str">
        <x:f>IF(965&gt;$H$4,"",IF(INDEX('Fleet dates'!$I$9:$I$1008,$I973-8)="","",INDEX('Fleet dates'!$I$9:$I$1008,$I973-8)))</x:f>
      </x:c>
      <x:c r="I973" t="str">
        <x:f>IF(965&gt;$H$4,"",MATCH(965,'Fleet dates'!$J$9:$J$1008,0)+8)</x:f>
      </x:c>
    </x:row>
    <x:row r="974" ht="36" customHeight="1">
      <x:c r="A974" s="50" t="str">
        <x:f>IF(966&gt;$H$4,"",IF(INDEX('Fleet dates'!$A$9:$A$1008,$I974-8)="","",INDEX('Fleet dates'!$A$9:$A$1008,$I974-8)))</x:f>
      </x:c>
      <x:c r="B974" s="50" t="str">
        <x:f>IF(966&gt;$H$4,"",IF(INDEX('Fleet dates'!$B$9:$B$1008,$I974-8)="","",INDEX('Fleet dates'!$B$9:$B$1008,$I974-8)))</x:f>
      </x:c>
      <x:c r="C974" s="51" t="str">
        <x:f>IF(966&gt;$H$4,"",IF(INDEX('Fleet dates'!$C$9:$C$1008,$I974-8)="","",INDEX('Fleet dates'!$C$9:$C$1008,$I974-8)))</x:f>
      </x:c>
      <x:c r="D974" s="51" t="str">
        <x:f>IF(966&gt;$H$4,"",IF(INDEX('Fleet dates'!$D$9:$D$1008,$I974-8)="","",INDEX('Fleet dates'!$D$9:$D$1008,$I974-8)))</x:f>
      </x:c>
      <x:c r="E974" s="51" t="str">
        <x:f>IF(966&gt;$H$4,"",IF(INDEX('Fleet dates'!$E$9:$E$1008,$I974-8)="","",INDEX('Fleet dates'!$E$9:$E$1008,$I974-8)))</x:f>
      </x:c>
      <x:c r="F974" s="51" t="str">
        <x:f>IF(966&gt;$H$4,"",IF(INDEX('Fleet dates'!$F$9:$F$1008,$I974-8)="","",INDEX('Fleet dates'!$F$9:$F$1008,$I974-8)))</x:f>
      </x:c>
      <x:c r="G974" s="50" t="str">
        <x:f>IF(966&gt;$H$4,"",IF(INDEX('Fleet dates'!$G$9:$G$1008,$I974-8)="","",INDEX('Fleet dates'!$G$9:$G$1008,$I974-8)))</x:f>
      </x:c>
      <x:c r="H974" s="50" t="str">
        <x:f>IF(966&gt;$H$4,"",IF(INDEX('Fleet dates'!$I$9:$I$1008,$I974-8)="","",INDEX('Fleet dates'!$I$9:$I$1008,$I974-8)))</x:f>
      </x:c>
      <x:c r="I974" t="str">
        <x:f>IF(966&gt;$H$4,"",MATCH(966,'Fleet dates'!$J$9:$J$1008,0)+8)</x:f>
      </x:c>
    </x:row>
    <x:row r="975" ht="36" customHeight="1">
      <x:c r="A975" s="50" t="str">
        <x:f>IF(967&gt;$H$4,"",IF(INDEX('Fleet dates'!$A$9:$A$1008,$I975-8)="","",INDEX('Fleet dates'!$A$9:$A$1008,$I975-8)))</x:f>
      </x:c>
      <x:c r="B975" s="50" t="str">
        <x:f>IF(967&gt;$H$4,"",IF(INDEX('Fleet dates'!$B$9:$B$1008,$I975-8)="","",INDEX('Fleet dates'!$B$9:$B$1008,$I975-8)))</x:f>
      </x:c>
      <x:c r="C975" s="51" t="str">
        <x:f>IF(967&gt;$H$4,"",IF(INDEX('Fleet dates'!$C$9:$C$1008,$I975-8)="","",INDEX('Fleet dates'!$C$9:$C$1008,$I975-8)))</x:f>
      </x:c>
      <x:c r="D975" s="51" t="str">
        <x:f>IF(967&gt;$H$4,"",IF(INDEX('Fleet dates'!$D$9:$D$1008,$I975-8)="","",INDEX('Fleet dates'!$D$9:$D$1008,$I975-8)))</x:f>
      </x:c>
      <x:c r="E975" s="51" t="str">
        <x:f>IF(967&gt;$H$4,"",IF(INDEX('Fleet dates'!$E$9:$E$1008,$I975-8)="","",INDEX('Fleet dates'!$E$9:$E$1008,$I975-8)))</x:f>
      </x:c>
      <x:c r="F975" s="51" t="str">
        <x:f>IF(967&gt;$H$4,"",IF(INDEX('Fleet dates'!$F$9:$F$1008,$I975-8)="","",INDEX('Fleet dates'!$F$9:$F$1008,$I975-8)))</x:f>
      </x:c>
      <x:c r="G975" s="50" t="str">
        <x:f>IF(967&gt;$H$4,"",IF(INDEX('Fleet dates'!$G$9:$G$1008,$I975-8)="","",INDEX('Fleet dates'!$G$9:$G$1008,$I975-8)))</x:f>
      </x:c>
      <x:c r="H975" s="50" t="str">
        <x:f>IF(967&gt;$H$4,"",IF(INDEX('Fleet dates'!$I$9:$I$1008,$I975-8)="","",INDEX('Fleet dates'!$I$9:$I$1008,$I975-8)))</x:f>
      </x:c>
      <x:c r="I975" t="str">
        <x:f>IF(967&gt;$H$4,"",MATCH(967,'Fleet dates'!$J$9:$J$1008,0)+8)</x:f>
      </x:c>
    </x:row>
    <x:row r="976" ht="36" customHeight="1">
      <x:c r="A976" s="50" t="str">
        <x:f>IF(968&gt;$H$4,"",IF(INDEX('Fleet dates'!$A$9:$A$1008,$I976-8)="","",INDEX('Fleet dates'!$A$9:$A$1008,$I976-8)))</x:f>
      </x:c>
      <x:c r="B976" s="50" t="str">
        <x:f>IF(968&gt;$H$4,"",IF(INDEX('Fleet dates'!$B$9:$B$1008,$I976-8)="","",INDEX('Fleet dates'!$B$9:$B$1008,$I976-8)))</x:f>
      </x:c>
      <x:c r="C976" s="51" t="str">
        <x:f>IF(968&gt;$H$4,"",IF(INDEX('Fleet dates'!$C$9:$C$1008,$I976-8)="","",INDEX('Fleet dates'!$C$9:$C$1008,$I976-8)))</x:f>
      </x:c>
      <x:c r="D976" s="51" t="str">
        <x:f>IF(968&gt;$H$4,"",IF(INDEX('Fleet dates'!$D$9:$D$1008,$I976-8)="","",INDEX('Fleet dates'!$D$9:$D$1008,$I976-8)))</x:f>
      </x:c>
      <x:c r="E976" s="51" t="str">
        <x:f>IF(968&gt;$H$4,"",IF(INDEX('Fleet dates'!$E$9:$E$1008,$I976-8)="","",INDEX('Fleet dates'!$E$9:$E$1008,$I976-8)))</x:f>
      </x:c>
      <x:c r="F976" s="51" t="str">
        <x:f>IF(968&gt;$H$4,"",IF(INDEX('Fleet dates'!$F$9:$F$1008,$I976-8)="","",INDEX('Fleet dates'!$F$9:$F$1008,$I976-8)))</x:f>
      </x:c>
      <x:c r="G976" s="50" t="str">
        <x:f>IF(968&gt;$H$4,"",IF(INDEX('Fleet dates'!$G$9:$G$1008,$I976-8)="","",INDEX('Fleet dates'!$G$9:$G$1008,$I976-8)))</x:f>
      </x:c>
      <x:c r="H976" s="50" t="str">
        <x:f>IF(968&gt;$H$4,"",IF(INDEX('Fleet dates'!$I$9:$I$1008,$I976-8)="","",INDEX('Fleet dates'!$I$9:$I$1008,$I976-8)))</x:f>
      </x:c>
      <x:c r="I976" t="str">
        <x:f>IF(968&gt;$H$4,"",MATCH(968,'Fleet dates'!$J$9:$J$1008,0)+8)</x:f>
      </x:c>
    </x:row>
    <x:row r="977" ht="36" customHeight="1">
      <x:c r="A977" s="50" t="str">
        <x:f>IF(969&gt;$H$4,"",IF(INDEX('Fleet dates'!$A$9:$A$1008,$I977-8)="","",INDEX('Fleet dates'!$A$9:$A$1008,$I977-8)))</x:f>
      </x:c>
      <x:c r="B977" s="50" t="str">
        <x:f>IF(969&gt;$H$4,"",IF(INDEX('Fleet dates'!$B$9:$B$1008,$I977-8)="","",INDEX('Fleet dates'!$B$9:$B$1008,$I977-8)))</x:f>
      </x:c>
      <x:c r="C977" s="51" t="str">
        <x:f>IF(969&gt;$H$4,"",IF(INDEX('Fleet dates'!$C$9:$C$1008,$I977-8)="","",INDEX('Fleet dates'!$C$9:$C$1008,$I977-8)))</x:f>
      </x:c>
      <x:c r="D977" s="51" t="str">
        <x:f>IF(969&gt;$H$4,"",IF(INDEX('Fleet dates'!$D$9:$D$1008,$I977-8)="","",INDEX('Fleet dates'!$D$9:$D$1008,$I977-8)))</x:f>
      </x:c>
      <x:c r="E977" s="51" t="str">
        <x:f>IF(969&gt;$H$4,"",IF(INDEX('Fleet dates'!$E$9:$E$1008,$I977-8)="","",INDEX('Fleet dates'!$E$9:$E$1008,$I977-8)))</x:f>
      </x:c>
      <x:c r="F977" s="51" t="str">
        <x:f>IF(969&gt;$H$4,"",IF(INDEX('Fleet dates'!$F$9:$F$1008,$I977-8)="","",INDEX('Fleet dates'!$F$9:$F$1008,$I977-8)))</x:f>
      </x:c>
      <x:c r="G977" s="50" t="str">
        <x:f>IF(969&gt;$H$4,"",IF(INDEX('Fleet dates'!$G$9:$G$1008,$I977-8)="","",INDEX('Fleet dates'!$G$9:$G$1008,$I977-8)))</x:f>
      </x:c>
      <x:c r="H977" s="50" t="str">
        <x:f>IF(969&gt;$H$4,"",IF(INDEX('Fleet dates'!$I$9:$I$1008,$I977-8)="","",INDEX('Fleet dates'!$I$9:$I$1008,$I977-8)))</x:f>
      </x:c>
      <x:c r="I977" t="str">
        <x:f>IF(969&gt;$H$4,"",MATCH(969,'Fleet dates'!$J$9:$J$1008,0)+8)</x:f>
      </x:c>
    </x:row>
    <x:row r="978" ht="36" customHeight="1">
      <x:c r="A978" s="50" t="str">
        <x:f>IF(970&gt;$H$4,"",IF(INDEX('Fleet dates'!$A$9:$A$1008,$I978-8)="","",INDEX('Fleet dates'!$A$9:$A$1008,$I978-8)))</x:f>
      </x:c>
      <x:c r="B978" s="50" t="str">
        <x:f>IF(970&gt;$H$4,"",IF(INDEX('Fleet dates'!$B$9:$B$1008,$I978-8)="","",INDEX('Fleet dates'!$B$9:$B$1008,$I978-8)))</x:f>
      </x:c>
      <x:c r="C978" s="51" t="str">
        <x:f>IF(970&gt;$H$4,"",IF(INDEX('Fleet dates'!$C$9:$C$1008,$I978-8)="","",INDEX('Fleet dates'!$C$9:$C$1008,$I978-8)))</x:f>
      </x:c>
      <x:c r="D978" s="51" t="str">
        <x:f>IF(970&gt;$H$4,"",IF(INDEX('Fleet dates'!$D$9:$D$1008,$I978-8)="","",INDEX('Fleet dates'!$D$9:$D$1008,$I978-8)))</x:f>
      </x:c>
      <x:c r="E978" s="51" t="str">
        <x:f>IF(970&gt;$H$4,"",IF(INDEX('Fleet dates'!$E$9:$E$1008,$I978-8)="","",INDEX('Fleet dates'!$E$9:$E$1008,$I978-8)))</x:f>
      </x:c>
      <x:c r="F978" s="51" t="str">
        <x:f>IF(970&gt;$H$4,"",IF(INDEX('Fleet dates'!$F$9:$F$1008,$I978-8)="","",INDEX('Fleet dates'!$F$9:$F$1008,$I978-8)))</x:f>
      </x:c>
      <x:c r="G978" s="50" t="str">
        <x:f>IF(970&gt;$H$4,"",IF(INDEX('Fleet dates'!$G$9:$G$1008,$I978-8)="","",INDEX('Fleet dates'!$G$9:$G$1008,$I978-8)))</x:f>
      </x:c>
      <x:c r="H978" s="50" t="str">
        <x:f>IF(970&gt;$H$4,"",IF(INDEX('Fleet dates'!$I$9:$I$1008,$I978-8)="","",INDEX('Fleet dates'!$I$9:$I$1008,$I978-8)))</x:f>
      </x:c>
      <x:c r="I978" t="str">
        <x:f>IF(970&gt;$H$4,"",MATCH(970,'Fleet dates'!$J$9:$J$1008,0)+8)</x:f>
      </x:c>
    </x:row>
    <x:row r="979" ht="36" customHeight="1">
      <x:c r="A979" s="50" t="str">
        <x:f>IF(971&gt;$H$4,"",IF(INDEX('Fleet dates'!$A$9:$A$1008,$I979-8)="","",INDEX('Fleet dates'!$A$9:$A$1008,$I979-8)))</x:f>
      </x:c>
      <x:c r="B979" s="50" t="str">
        <x:f>IF(971&gt;$H$4,"",IF(INDEX('Fleet dates'!$B$9:$B$1008,$I979-8)="","",INDEX('Fleet dates'!$B$9:$B$1008,$I979-8)))</x:f>
      </x:c>
      <x:c r="C979" s="51" t="str">
        <x:f>IF(971&gt;$H$4,"",IF(INDEX('Fleet dates'!$C$9:$C$1008,$I979-8)="","",INDEX('Fleet dates'!$C$9:$C$1008,$I979-8)))</x:f>
      </x:c>
      <x:c r="D979" s="51" t="str">
        <x:f>IF(971&gt;$H$4,"",IF(INDEX('Fleet dates'!$D$9:$D$1008,$I979-8)="","",INDEX('Fleet dates'!$D$9:$D$1008,$I979-8)))</x:f>
      </x:c>
      <x:c r="E979" s="51" t="str">
        <x:f>IF(971&gt;$H$4,"",IF(INDEX('Fleet dates'!$E$9:$E$1008,$I979-8)="","",INDEX('Fleet dates'!$E$9:$E$1008,$I979-8)))</x:f>
      </x:c>
      <x:c r="F979" s="51" t="str">
        <x:f>IF(971&gt;$H$4,"",IF(INDEX('Fleet dates'!$F$9:$F$1008,$I979-8)="","",INDEX('Fleet dates'!$F$9:$F$1008,$I979-8)))</x:f>
      </x:c>
      <x:c r="G979" s="50" t="str">
        <x:f>IF(971&gt;$H$4,"",IF(INDEX('Fleet dates'!$G$9:$G$1008,$I979-8)="","",INDEX('Fleet dates'!$G$9:$G$1008,$I979-8)))</x:f>
      </x:c>
      <x:c r="H979" s="50" t="str">
        <x:f>IF(971&gt;$H$4,"",IF(INDEX('Fleet dates'!$I$9:$I$1008,$I979-8)="","",INDEX('Fleet dates'!$I$9:$I$1008,$I979-8)))</x:f>
      </x:c>
      <x:c r="I979" t="str">
        <x:f>IF(971&gt;$H$4,"",MATCH(971,'Fleet dates'!$J$9:$J$1008,0)+8)</x:f>
      </x:c>
    </x:row>
    <x:row r="980" ht="36" customHeight="1">
      <x:c r="A980" s="50" t="str">
        <x:f>IF(972&gt;$H$4,"",IF(INDEX('Fleet dates'!$A$9:$A$1008,$I980-8)="","",INDEX('Fleet dates'!$A$9:$A$1008,$I980-8)))</x:f>
      </x:c>
      <x:c r="B980" s="50" t="str">
        <x:f>IF(972&gt;$H$4,"",IF(INDEX('Fleet dates'!$B$9:$B$1008,$I980-8)="","",INDEX('Fleet dates'!$B$9:$B$1008,$I980-8)))</x:f>
      </x:c>
      <x:c r="C980" s="51" t="str">
        <x:f>IF(972&gt;$H$4,"",IF(INDEX('Fleet dates'!$C$9:$C$1008,$I980-8)="","",INDEX('Fleet dates'!$C$9:$C$1008,$I980-8)))</x:f>
      </x:c>
      <x:c r="D980" s="51" t="str">
        <x:f>IF(972&gt;$H$4,"",IF(INDEX('Fleet dates'!$D$9:$D$1008,$I980-8)="","",INDEX('Fleet dates'!$D$9:$D$1008,$I980-8)))</x:f>
      </x:c>
      <x:c r="E980" s="51" t="str">
        <x:f>IF(972&gt;$H$4,"",IF(INDEX('Fleet dates'!$E$9:$E$1008,$I980-8)="","",INDEX('Fleet dates'!$E$9:$E$1008,$I980-8)))</x:f>
      </x:c>
      <x:c r="F980" s="51" t="str">
        <x:f>IF(972&gt;$H$4,"",IF(INDEX('Fleet dates'!$F$9:$F$1008,$I980-8)="","",INDEX('Fleet dates'!$F$9:$F$1008,$I980-8)))</x:f>
      </x:c>
      <x:c r="G980" s="50" t="str">
        <x:f>IF(972&gt;$H$4,"",IF(INDEX('Fleet dates'!$G$9:$G$1008,$I980-8)="","",INDEX('Fleet dates'!$G$9:$G$1008,$I980-8)))</x:f>
      </x:c>
      <x:c r="H980" s="50" t="str">
        <x:f>IF(972&gt;$H$4,"",IF(INDEX('Fleet dates'!$I$9:$I$1008,$I980-8)="","",INDEX('Fleet dates'!$I$9:$I$1008,$I980-8)))</x:f>
      </x:c>
      <x:c r="I980" t="str">
        <x:f>IF(972&gt;$H$4,"",MATCH(972,'Fleet dates'!$J$9:$J$1008,0)+8)</x:f>
      </x:c>
    </x:row>
    <x:row r="981" ht="36" customHeight="1">
      <x:c r="A981" s="50" t="str">
        <x:f>IF(973&gt;$H$4,"",IF(INDEX('Fleet dates'!$A$9:$A$1008,$I981-8)="","",INDEX('Fleet dates'!$A$9:$A$1008,$I981-8)))</x:f>
      </x:c>
      <x:c r="B981" s="50" t="str">
        <x:f>IF(973&gt;$H$4,"",IF(INDEX('Fleet dates'!$B$9:$B$1008,$I981-8)="","",INDEX('Fleet dates'!$B$9:$B$1008,$I981-8)))</x:f>
      </x:c>
      <x:c r="C981" s="51" t="str">
        <x:f>IF(973&gt;$H$4,"",IF(INDEX('Fleet dates'!$C$9:$C$1008,$I981-8)="","",INDEX('Fleet dates'!$C$9:$C$1008,$I981-8)))</x:f>
      </x:c>
      <x:c r="D981" s="51" t="str">
        <x:f>IF(973&gt;$H$4,"",IF(INDEX('Fleet dates'!$D$9:$D$1008,$I981-8)="","",INDEX('Fleet dates'!$D$9:$D$1008,$I981-8)))</x:f>
      </x:c>
      <x:c r="E981" s="51" t="str">
        <x:f>IF(973&gt;$H$4,"",IF(INDEX('Fleet dates'!$E$9:$E$1008,$I981-8)="","",INDEX('Fleet dates'!$E$9:$E$1008,$I981-8)))</x:f>
      </x:c>
      <x:c r="F981" s="51" t="str">
        <x:f>IF(973&gt;$H$4,"",IF(INDEX('Fleet dates'!$F$9:$F$1008,$I981-8)="","",INDEX('Fleet dates'!$F$9:$F$1008,$I981-8)))</x:f>
      </x:c>
      <x:c r="G981" s="50" t="str">
        <x:f>IF(973&gt;$H$4,"",IF(INDEX('Fleet dates'!$G$9:$G$1008,$I981-8)="","",INDEX('Fleet dates'!$G$9:$G$1008,$I981-8)))</x:f>
      </x:c>
      <x:c r="H981" s="50" t="str">
        <x:f>IF(973&gt;$H$4,"",IF(INDEX('Fleet dates'!$I$9:$I$1008,$I981-8)="","",INDEX('Fleet dates'!$I$9:$I$1008,$I981-8)))</x:f>
      </x:c>
      <x:c r="I981" t="str">
        <x:f>IF(973&gt;$H$4,"",MATCH(973,'Fleet dates'!$J$9:$J$1008,0)+8)</x:f>
      </x:c>
    </x:row>
    <x:row r="982" ht="36" customHeight="1">
      <x:c r="A982" s="50" t="str">
        <x:f>IF(974&gt;$H$4,"",IF(INDEX('Fleet dates'!$A$9:$A$1008,$I982-8)="","",INDEX('Fleet dates'!$A$9:$A$1008,$I982-8)))</x:f>
      </x:c>
      <x:c r="B982" s="50" t="str">
        <x:f>IF(974&gt;$H$4,"",IF(INDEX('Fleet dates'!$B$9:$B$1008,$I982-8)="","",INDEX('Fleet dates'!$B$9:$B$1008,$I982-8)))</x:f>
      </x:c>
      <x:c r="C982" s="51" t="str">
        <x:f>IF(974&gt;$H$4,"",IF(INDEX('Fleet dates'!$C$9:$C$1008,$I982-8)="","",INDEX('Fleet dates'!$C$9:$C$1008,$I982-8)))</x:f>
      </x:c>
      <x:c r="D982" s="51" t="str">
        <x:f>IF(974&gt;$H$4,"",IF(INDEX('Fleet dates'!$D$9:$D$1008,$I982-8)="","",INDEX('Fleet dates'!$D$9:$D$1008,$I982-8)))</x:f>
      </x:c>
      <x:c r="E982" s="51" t="str">
        <x:f>IF(974&gt;$H$4,"",IF(INDEX('Fleet dates'!$E$9:$E$1008,$I982-8)="","",INDEX('Fleet dates'!$E$9:$E$1008,$I982-8)))</x:f>
      </x:c>
      <x:c r="F982" s="51" t="str">
        <x:f>IF(974&gt;$H$4,"",IF(INDEX('Fleet dates'!$F$9:$F$1008,$I982-8)="","",INDEX('Fleet dates'!$F$9:$F$1008,$I982-8)))</x:f>
      </x:c>
      <x:c r="G982" s="50" t="str">
        <x:f>IF(974&gt;$H$4,"",IF(INDEX('Fleet dates'!$G$9:$G$1008,$I982-8)="","",INDEX('Fleet dates'!$G$9:$G$1008,$I982-8)))</x:f>
      </x:c>
      <x:c r="H982" s="50" t="str">
        <x:f>IF(974&gt;$H$4,"",IF(INDEX('Fleet dates'!$I$9:$I$1008,$I982-8)="","",INDEX('Fleet dates'!$I$9:$I$1008,$I982-8)))</x:f>
      </x:c>
      <x:c r="I982" t="str">
        <x:f>IF(974&gt;$H$4,"",MATCH(974,'Fleet dates'!$J$9:$J$1008,0)+8)</x:f>
      </x:c>
    </x:row>
    <x:row r="983" ht="36" customHeight="1">
      <x:c r="A983" s="50" t="str">
        <x:f>IF(975&gt;$H$4,"",IF(INDEX('Fleet dates'!$A$9:$A$1008,$I983-8)="","",INDEX('Fleet dates'!$A$9:$A$1008,$I983-8)))</x:f>
      </x:c>
      <x:c r="B983" s="50" t="str">
        <x:f>IF(975&gt;$H$4,"",IF(INDEX('Fleet dates'!$B$9:$B$1008,$I983-8)="","",INDEX('Fleet dates'!$B$9:$B$1008,$I983-8)))</x:f>
      </x:c>
      <x:c r="C983" s="51" t="str">
        <x:f>IF(975&gt;$H$4,"",IF(INDEX('Fleet dates'!$C$9:$C$1008,$I983-8)="","",INDEX('Fleet dates'!$C$9:$C$1008,$I983-8)))</x:f>
      </x:c>
      <x:c r="D983" s="51" t="str">
        <x:f>IF(975&gt;$H$4,"",IF(INDEX('Fleet dates'!$D$9:$D$1008,$I983-8)="","",INDEX('Fleet dates'!$D$9:$D$1008,$I983-8)))</x:f>
      </x:c>
      <x:c r="E983" s="51" t="str">
        <x:f>IF(975&gt;$H$4,"",IF(INDEX('Fleet dates'!$E$9:$E$1008,$I983-8)="","",INDEX('Fleet dates'!$E$9:$E$1008,$I983-8)))</x:f>
      </x:c>
      <x:c r="F983" s="51" t="str">
        <x:f>IF(975&gt;$H$4,"",IF(INDEX('Fleet dates'!$F$9:$F$1008,$I983-8)="","",INDEX('Fleet dates'!$F$9:$F$1008,$I983-8)))</x:f>
      </x:c>
      <x:c r="G983" s="50" t="str">
        <x:f>IF(975&gt;$H$4,"",IF(INDEX('Fleet dates'!$G$9:$G$1008,$I983-8)="","",INDEX('Fleet dates'!$G$9:$G$1008,$I983-8)))</x:f>
      </x:c>
      <x:c r="H983" s="50" t="str">
        <x:f>IF(975&gt;$H$4,"",IF(INDEX('Fleet dates'!$I$9:$I$1008,$I983-8)="","",INDEX('Fleet dates'!$I$9:$I$1008,$I983-8)))</x:f>
      </x:c>
      <x:c r="I983" t="str">
        <x:f>IF(975&gt;$H$4,"",MATCH(975,'Fleet dates'!$J$9:$J$1008,0)+8)</x:f>
      </x:c>
    </x:row>
    <x:row r="984" ht="36" customHeight="1">
      <x:c r="A984" s="50" t="str">
        <x:f>IF(976&gt;$H$4,"",IF(INDEX('Fleet dates'!$A$9:$A$1008,$I984-8)="","",INDEX('Fleet dates'!$A$9:$A$1008,$I984-8)))</x:f>
      </x:c>
      <x:c r="B984" s="50" t="str">
        <x:f>IF(976&gt;$H$4,"",IF(INDEX('Fleet dates'!$B$9:$B$1008,$I984-8)="","",INDEX('Fleet dates'!$B$9:$B$1008,$I984-8)))</x:f>
      </x:c>
      <x:c r="C984" s="51" t="str">
        <x:f>IF(976&gt;$H$4,"",IF(INDEX('Fleet dates'!$C$9:$C$1008,$I984-8)="","",INDEX('Fleet dates'!$C$9:$C$1008,$I984-8)))</x:f>
      </x:c>
      <x:c r="D984" s="51" t="str">
        <x:f>IF(976&gt;$H$4,"",IF(INDEX('Fleet dates'!$D$9:$D$1008,$I984-8)="","",INDEX('Fleet dates'!$D$9:$D$1008,$I984-8)))</x:f>
      </x:c>
      <x:c r="E984" s="51" t="str">
        <x:f>IF(976&gt;$H$4,"",IF(INDEX('Fleet dates'!$E$9:$E$1008,$I984-8)="","",INDEX('Fleet dates'!$E$9:$E$1008,$I984-8)))</x:f>
      </x:c>
      <x:c r="F984" s="51" t="str">
        <x:f>IF(976&gt;$H$4,"",IF(INDEX('Fleet dates'!$F$9:$F$1008,$I984-8)="","",INDEX('Fleet dates'!$F$9:$F$1008,$I984-8)))</x:f>
      </x:c>
      <x:c r="G984" s="50" t="str">
        <x:f>IF(976&gt;$H$4,"",IF(INDEX('Fleet dates'!$G$9:$G$1008,$I984-8)="","",INDEX('Fleet dates'!$G$9:$G$1008,$I984-8)))</x:f>
      </x:c>
      <x:c r="H984" s="50" t="str">
        <x:f>IF(976&gt;$H$4,"",IF(INDEX('Fleet dates'!$I$9:$I$1008,$I984-8)="","",INDEX('Fleet dates'!$I$9:$I$1008,$I984-8)))</x:f>
      </x:c>
      <x:c r="I984" t="str">
        <x:f>IF(976&gt;$H$4,"",MATCH(976,'Fleet dates'!$J$9:$J$1008,0)+8)</x:f>
      </x:c>
    </x:row>
    <x:row r="985" ht="36" customHeight="1">
      <x:c r="A985" s="50" t="str">
        <x:f>IF(977&gt;$H$4,"",IF(INDEX('Fleet dates'!$A$9:$A$1008,$I985-8)="","",INDEX('Fleet dates'!$A$9:$A$1008,$I985-8)))</x:f>
      </x:c>
      <x:c r="B985" s="50" t="str">
        <x:f>IF(977&gt;$H$4,"",IF(INDEX('Fleet dates'!$B$9:$B$1008,$I985-8)="","",INDEX('Fleet dates'!$B$9:$B$1008,$I985-8)))</x:f>
      </x:c>
      <x:c r="C985" s="51" t="str">
        <x:f>IF(977&gt;$H$4,"",IF(INDEX('Fleet dates'!$C$9:$C$1008,$I985-8)="","",INDEX('Fleet dates'!$C$9:$C$1008,$I985-8)))</x:f>
      </x:c>
      <x:c r="D985" s="51" t="str">
        <x:f>IF(977&gt;$H$4,"",IF(INDEX('Fleet dates'!$D$9:$D$1008,$I985-8)="","",INDEX('Fleet dates'!$D$9:$D$1008,$I985-8)))</x:f>
      </x:c>
      <x:c r="E985" s="51" t="str">
        <x:f>IF(977&gt;$H$4,"",IF(INDEX('Fleet dates'!$E$9:$E$1008,$I985-8)="","",INDEX('Fleet dates'!$E$9:$E$1008,$I985-8)))</x:f>
      </x:c>
      <x:c r="F985" s="51" t="str">
        <x:f>IF(977&gt;$H$4,"",IF(INDEX('Fleet dates'!$F$9:$F$1008,$I985-8)="","",INDEX('Fleet dates'!$F$9:$F$1008,$I985-8)))</x:f>
      </x:c>
      <x:c r="G985" s="50" t="str">
        <x:f>IF(977&gt;$H$4,"",IF(INDEX('Fleet dates'!$G$9:$G$1008,$I985-8)="","",INDEX('Fleet dates'!$G$9:$G$1008,$I985-8)))</x:f>
      </x:c>
      <x:c r="H985" s="50" t="str">
        <x:f>IF(977&gt;$H$4,"",IF(INDEX('Fleet dates'!$I$9:$I$1008,$I985-8)="","",INDEX('Fleet dates'!$I$9:$I$1008,$I985-8)))</x:f>
      </x:c>
      <x:c r="I985" t="str">
        <x:f>IF(977&gt;$H$4,"",MATCH(977,'Fleet dates'!$J$9:$J$1008,0)+8)</x:f>
      </x:c>
    </x:row>
    <x:row r="986" ht="36" customHeight="1">
      <x:c r="A986" s="50" t="str">
        <x:f>IF(978&gt;$H$4,"",IF(INDEX('Fleet dates'!$A$9:$A$1008,$I986-8)="","",INDEX('Fleet dates'!$A$9:$A$1008,$I986-8)))</x:f>
      </x:c>
      <x:c r="B986" s="50" t="str">
        <x:f>IF(978&gt;$H$4,"",IF(INDEX('Fleet dates'!$B$9:$B$1008,$I986-8)="","",INDEX('Fleet dates'!$B$9:$B$1008,$I986-8)))</x:f>
      </x:c>
      <x:c r="C986" s="51" t="str">
        <x:f>IF(978&gt;$H$4,"",IF(INDEX('Fleet dates'!$C$9:$C$1008,$I986-8)="","",INDEX('Fleet dates'!$C$9:$C$1008,$I986-8)))</x:f>
      </x:c>
      <x:c r="D986" s="51" t="str">
        <x:f>IF(978&gt;$H$4,"",IF(INDEX('Fleet dates'!$D$9:$D$1008,$I986-8)="","",INDEX('Fleet dates'!$D$9:$D$1008,$I986-8)))</x:f>
      </x:c>
      <x:c r="E986" s="51" t="str">
        <x:f>IF(978&gt;$H$4,"",IF(INDEX('Fleet dates'!$E$9:$E$1008,$I986-8)="","",INDEX('Fleet dates'!$E$9:$E$1008,$I986-8)))</x:f>
      </x:c>
      <x:c r="F986" s="51" t="str">
        <x:f>IF(978&gt;$H$4,"",IF(INDEX('Fleet dates'!$F$9:$F$1008,$I986-8)="","",INDEX('Fleet dates'!$F$9:$F$1008,$I986-8)))</x:f>
      </x:c>
      <x:c r="G986" s="50" t="str">
        <x:f>IF(978&gt;$H$4,"",IF(INDEX('Fleet dates'!$G$9:$G$1008,$I986-8)="","",INDEX('Fleet dates'!$G$9:$G$1008,$I986-8)))</x:f>
      </x:c>
      <x:c r="H986" s="50" t="str">
        <x:f>IF(978&gt;$H$4,"",IF(INDEX('Fleet dates'!$I$9:$I$1008,$I986-8)="","",INDEX('Fleet dates'!$I$9:$I$1008,$I986-8)))</x:f>
      </x:c>
      <x:c r="I986" t="str">
        <x:f>IF(978&gt;$H$4,"",MATCH(978,'Fleet dates'!$J$9:$J$1008,0)+8)</x:f>
      </x:c>
    </x:row>
    <x:row r="987" ht="36" customHeight="1">
      <x:c r="A987" s="50" t="str">
        <x:f>IF(979&gt;$H$4,"",IF(INDEX('Fleet dates'!$A$9:$A$1008,$I987-8)="","",INDEX('Fleet dates'!$A$9:$A$1008,$I987-8)))</x:f>
      </x:c>
      <x:c r="B987" s="50" t="str">
        <x:f>IF(979&gt;$H$4,"",IF(INDEX('Fleet dates'!$B$9:$B$1008,$I987-8)="","",INDEX('Fleet dates'!$B$9:$B$1008,$I987-8)))</x:f>
      </x:c>
      <x:c r="C987" s="51" t="str">
        <x:f>IF(979&gt;$H$4,"",IF(INDEX('Fleet dates'!$C$9:$C$1008,$I987-8)="","",INDEX('Fleet dates'!$C$9:$C$1008,$I987-8)))</x:f>
      </x:c>
      <x:c r="D987" s="51" t="str">
        <x:f>IF(979&gt;$H$4,"",IF(INDEX('Fleet dates'!$D$9:$D$1008,$I987-8)="","",INDEX('Fleet dates'!$D$9:$D$1008,$I987-8)))</x:f>
      </x:c>
      <x:c r="E987" s="51" t="str">
        <x:f>IF(979&gt;$H$4,"",IF(INDEX('Fleet dates'!$E$9:$E$1008,$I987-8)="","",INDEX('Fleet dates'!$E$9:$E$1008,$I987-8)))</x:f>
      </x:c>
      <x:c r="F987" s="51" t="str">
        <x:f>IF(979&gt;$H$4,"",IF(INDEX('Fleet dates'!$F$9:$F$1008,$I987-8)="","",INDEX('Fleet dates'!$F$9:$F$1008,$I987-8)))</x:f>
      </x:c>
      <x:c r="G987" s="50" t="str">
        <x:f>IF(979&gt;$H$4,"",IF(INDEX('Fleet dates'!$G$9:$G$1008,$I987-8)="","",INDEX('Fleet dates'!$G$9:$G$1008,$I987-8)))</x:f>
      </x:c>
      <x:c r="H987" s="50" t="str">
        <x:f>IF(979&gt;$H$4,"",IF(INDEX('Fleet dates'!$I$9:$I$1008,$I987-8)="","",INDEX('Fleet dates'!$I$9:$I$1008,$I987-8)))</x:f>
      </x:c>
      <x:c r="I987" t="str">
        <x:f>IF(979&gt;$H$4,"",MATCH(979,'Fleet dates'!$J$9:$J$1008,0)+8)</x:f>
      </x:c>
    </x:row>
    <x:row r="988" ht="36" customHeight="1">
      <x:c r="A988" s="50" t="str">
        <x:f>IF(980&gt;$H$4,"",IF(INDEX('Fleet dates'!$A$9:$A$1008,$I988-8)="","",INDEX('Fleet dates'!$A$9:$A$1008,$I988-8)))</x:f>
      </x:c>
      <x:c r="B988" s="50" t="str">
        <x:f>IF(980&gt;$H$4,"",IF(INDEX('Fleet dates'!$B$9:$B$1008,$I988-8)="","",INDEX('Fleet dates'!$B$9:$B$1008,$I988-8)))</x:f>
      </x:c>
      <x:c r="C988" s="51" t="str">
        <x:f>IF(980&gt;$H$4,"",IF(INDEX('Fleet dates'!$C$9:$C$1008,$I988-8)="","",INDEX('Fleet dates'!$C$9:$C$1008,$I988-8)))</x:f>
      </x:c>
      <x:c r="D988" s="51" t="str">
        <x:f>IF(980&gt;$H$4,"",IF(INDEX('Fleet dates'!$D$9:$D$1008,$I988-8)="","",INDEX('Fleet dates'!$D$9:$D$1008,$I988-8)))</x:f>
      </x:c>
      <x:c r="E988" s="51" t="str">
        <x:f>IF(980&gt;$H$4,"",IF(INDEX('Fleet dates'!$E$9:$E$1008,$I988-8)="","",INDEX('Fleet dates'!$E$9:$E$1008,$I988-8)))</x:f>
      </x:c>
      <x:c r="F988" s="51" t="str">
        <x:f>IF(980&gt;$H$4,"",IF(INDEX('Fleet dates'!$F$9:$F$1008,$I988-8)="","",INDEX('Fleet dates'!$F$9:$F$1008,$I988-8)))</x:f>
      </x:c>
      <x:c r="G988" s="50" t="str">
        <x:f>IF(980&gt;$H$4,"",IF(INDEX('Fleet dates'!$G$9:$G$1008,$I988-8)="","",INDEX('Fleet dates'!$G$9:$G$1008,$I988-8)))</x:f>
      </x:c>
      <x:c r="H988" s="50" t="str">
        <x:f>IF(980&gt;$H$4,"",IF(INDEX('Fleet dates'!$I$9:$I$1008,$I988-8)="","",INDEX('Fleet dates'!$I$9:$I$1008,$I988-8)))</x:f>
      </x:c>
      <x:c r="I988" t="str">
        <x:f>IF(980&gt;$H$4,"",MATCH(980,'Fleet dates'!$J$9:$J$1008,0)+8)</x:f>
      </x:c>
    </x:row>
    <x:row r="989" ht="36" customHeight="1">
      <x:c r="A989" s="50" t="str">
        <x:f>IF(981&gt;$H$4,"",IF(INDEX('Fleet dates'!$A$9:$A$1008,$I989-8)="","",INDEX('Fleet dates'!$A$9:$A$1008,$I989-8)))</x:f>
      </x:c>
      <x:c r="B989" s="50" t="str">
        <x:f>IF(981&gt;$H$4,"",IF(INDEX('Fleet dates'!$B$9:$B$1008,$I989-8)="","",INDEX('Fleet dates'!$B$9:$B$1008,$I989-8)))</x:f>
      </x:c>
      <x:c r="C989" s="51" t="str">
        <x:f>IF(981&gt;$H$4,"",IF(INDEX('Fleet dates'!$C$9:$C$1008,$I989-8)="","",INDEX('Fleet dates'!$C$9:$C$1008,$I989-8)))</x:f>
      </x:c>
      <x:c r="D989" s="51" t="str">
        <x:f>IF(981&gt;$H$4,"",IF(INDEX('Fleet dates'!$D$9:$D$1008,$I989-8)="","",INDEX('Fleet dates'!$D$9:$D$1008,$I989-8)))</x:f>
      </x:c>
      <x:c r="E989" s="51" t="str">
        <x:f>IF(981&gt;$H$4,"",IF(INDEX('Fleet dates'!$E$9:$E$1008,$I989-8)="","",INDEX('Fleet dates'!$E$9:$E$1008,$I989-8)))</x:f>
      </x:c>
      <x:c r="F989" s="51" t="str">
        <x:f>IF(981&gt;$H$4,"",IF(INDEX('Fleet dates'!$F$9:$F$1008,$I989-8)="","",INDEX('Fleet dates'!$F$9:$F$1008,$I989-8)))</x:f>
      </x:c>
      <x:c r="G989" s="50" t="str">
        <x:f>IF(981&gt;$H$4,"",IF(INDEX('Fleet dates'!$G$9:$G$1008,$I989-8)="","",INDEX('Fleet dates'!$G$9:$G$1008,$I989-8)))</x:f>
      </x:c>
      <x:c r="H989" s="50" t="str">
        <x:f>IF(981&gt;$H$4,"",IF(INDEX('Fleet dates'!$I$9:$I$1008,$I989-8)="","",INDEX('Fleet dates'!$I$9:$I$1008,$I989-8)))</x:f>
      </x:c>
      <x:c r="I989" t="str">
        <x:f>IF(981&gt;$H$4,"",MATCH(981,'Fleet dates'!$J$9:$J$1008,0)+8)</x:f>
      </x:c>
    </x:row>
    <x:row r="990" ht="36" customHeight="1">
      <x:c r="A990" s="50" t="str">
        <x:f>IF(982&gt;$H$4,"",IF(INDEX('Fleet dates'!$A$9:$A$1008,$I990-8)="","",INDEX('Fleet dates'!$A$9:$A$1008,$I990-8)))</x:f>
      </x:c>
      <x:c r="B990" s="50" t="str">
        <x:f>IF(982&gt;$H$4,"",IF(INDEX('Fleet dates'!$B$9:$B$1008,$I990-8)="","",INDEX('Fleet dates'!$B$9:$B$1008,$I990-8)))</x:f>
      </x:c>
      <x:c r="C990" s="51" t="str">
        <x:f>IF(982&gt;$H$4,"",IF(INDEX('Fleet dates'!$C$9:$C$1008,$I990-8)="","",INDEX('Fleet dates'!$C$9:$C$1008,$I990-8)))</x:f>
      </x:c>
      <x:c r="D990" s="51" t="str">
        <x:f>IF(982&gt;$H$4,"",IF(INDEX('Fleet dates'!$D$9:$D$1008,$I990-8)="","",INDEX('Fleet dates'!$D$9:$D$1008,$I990-8)))</x:f>
      </x:c>
      <x:c r="E990" s="51" t="str">
        <x:f>IF(982&gt;$H$4,"",IF(INDEX('Fleet dates'!$E$9:$E$1008,$I990-8)="","",INDEX('Fleet dates'!$E$9:$E$1008,$I990-8)))</x:f>
      </x:c>
      <x:c r="F990" s="51" t="str">
        <x:f>IF(982&gt;$H$4,"",IF(INDEX('Fleet dates'!$F$9:$F$1008,$I990-8)="","",INDEX('Fleet dates'!$F$9:$F$1008,$I990-8)))</x:f>
      </x:c>
      <x:c r="G990" s="50" t="str">
        <x:f>IF(982&gt;$H$4,"",IF(INDEX('Fleet dates'!$G$9:$G$1008,$I990-8)="","",INDEX('Fleet dates'!$G$9:$G$1008,$I990-8)))</x:f>
      </x:c>
      <x:c r="H990" s="50" t="str">
        <x:f>IF(982&gt;$H$4,"",IF(INDEX('Fleet dates'!$I$9:$I$1008,$I990-8)="","",INDEX('Fleet dates'!$I$9:$I$1008,$I990-8)))</x:f>
      </x:c>
      <x:c r="I990" t="str">
        <x:f>IF(982&gt;$H$4,"",MATCH(982,'Fleet dates'!$J$9:$J$1008,0)+8)</x:f>
      </x:c>
    </x:row>
    <x:row r="991" ht="36" customHeight="1">
      <x:c r="A991" s="50" t="str">
        <x:f>IF(983&gt;$H$4,"",IF(INDEX('Fleet dates'!$A$9:$A$1008,$I991-8)="","",INDEX('Fleet dates'!$A$9:$A$1008,$I991-8)))</x:f>
      </x:c>
      <x:c r="B991" s="50" t="str">
        <x:f>IF(983&gt;$H$4,"",IF(INDEX('Fleet dates'!$B$9:$B$1008,$I991-8)="","",INDEX('Fleet dates'!$B$9:$B$1008,$I991-8)))</x:f>
      </x:c>
      <x:c r="C991" s="51" t="str">
        <x:f>IF(983&gt;$H$4,"",IF(INDEX('Fleet dates'!$C$9:$C$1008,$I991-8)="","",INDEX('Fleet dates'!$C$9:$C$1008,$I991-8)))</x:f>
      </x:c>
      <x:c r="D991" s="51" t="str">
        <x:f>IF(983&gt;$H$4,"",IF(INDEX('Fleet dates'!$D$9:$D$1008,$I991-8)="","",INDEX('Fleet dates'!$D$9:$D$1008,$I991-8)))</x:f>
      </x:c>
      <x:c r="E991" s="51" t="str">
        <x:f>IF(983&gt;$H$4,"",IF(INDEX('Fleet dates'!$E$9:$E$1008,$I991-8)="","",INDEX('Fleet dates'!$E$9:$E$1008,$I991-8)))</x:f>
      </x:c>
      <x:c r="F991" s="51" t="str">
        <x:f>IF(983&gt;$H$4,"",IF(INDEX('Fleet dates'!$F$9:$F$1008,$I991-8)="","",INDEX('Fleet dates'!$F$9:$F$1008,$I991-8)))</x:f>
      </x:c>
      <x:c r="G991" s="50" t="str">
        <x:f>IF(983&gt;$H$4,"",IF(INDEX('Fleet dates'!$G$9:$G$1008,$I991-8)="","",INDEX('Fleet dates'!$G$9:$G$1008,$I991-8)))</x:f>
      </x:c>
      <x:c r="H991" s="50" t="str">
        <x:f>IF(983&gt;$H$4,"",IF(INDEX('Fleet dates'!$I$9:$I$1008,$I991-8)="","",INDEX('Fleet dates'!$I$9:$I$1008,$I991-8)))</x:f>
      </x:c>
      <x:c r="I991" t="str">
        <x:f>IF(983&gt;$H$4,"",MATCH(983,'Fleet dates'!$J$9:$J$1008,0)+8)</x:f>
      </x:c>
    </x:row>
    <x:row r="992" ht="36" customHeight="1">
      <x:c r="A992" s="50" t="str">
        <x:f>IF(984&gt;$H$4,"",IF(INDEX('Fleet dates'!$A$9:$A$1008,$I992-8)="","",INDEX('Fleet dates'!$A$9:$A$1008,$I992-8)))</x:f>
      </x:c>
      <x:c r="B992" s="50" t="str">
        <x:f>IF(984&gt;$H$4,"",IF(INDEX('Fleet dates'!$B$9:$B$1008,$I992-8)="","",INDEX('Fleet dates'!$B$9:$B$1008,$I992-8)))</x:f>
      </x:c>
      <x:c r="C992" s="51" t="str">
        <x:f>IF(984&gt;$H$4,"",IF(INDEX('Fleet dates'!$C$9:$C$1008,$I992-8)="","",INDEX('Fleet dates'!$C$9:$C$1008,$I992-8)))</x:f>
      </x:c>
      <x:c r="D992" s="51" t="str">
        <x:f>IF(984&gt;$H$4,"",IF(INDEX('Fleet dates'!$D$9:$D$1008,$I992-8)="","",INDEX('Fleet dates'!$D$9:$D$1008,$I992-8)))</x:f>
      </x:c>
      <x:c r="E992" s="51" t="str">
        <x:f>IF(984&gt;$H$4,"",IF(INDEX('Fleet dates'!$E$9:$E$1008,$I992-8)="","",INDEX('Fleet dates'!$E$9:$E$1008,$I992-8)))</x:f>
      </x:c>
      <x:c r="F992" s="51" t="str">
        <x:f>IF(984&gt;$H$4,"",IF(INDEX('Fleet dates'!$F$9:$F$1008,$I992-8)="","",INDEX('Fleet dates'!$F$9:$F$1008,$I992-8)))</x:f>
      </x:c>
      <x:c r="G992" s="50" t="str">
        <x:f>IF(984&gt;$H$4,"",IF(INDEX('Fleet dates'!$G$9:$G$1008,$I992-8)="","",INDEX('Fleet dates'!$G$9:$G$1008,$I992-8)))</x:f>
      </x:c>
      <x:c r="H992" s="50" t="str">
        <x:f>IF(984&gt;$H$4,"",IF(INDEX('Fleet dates'!$I$9:$I$1008,$I992-8)="","",INDEX('Fleet dates'!$I$9:$I$1008,$I992-8)))</x:f>
      </x:c>
      <x:c r="I992" t="str">
        <x:f>IF(984&gt;$H$4,"",MATCH(984,'Fleet dates'!$J$9:$J$1008,0)+8)</x:f>
      </x:c>
    </x:row>
    <x:row r="993" ht="36" customHeight="1">
      <x:c r="A993" s="50" t="str">
        <x:f>IF(985&gt;$H$4,"",IF(INDEX('Fleet dates'!$A$9:$A$1008,$I993-8)="","",INDEX('Fleet dates'!$A$9:$A$1008,$I993-8)))</x:f>
      </x:c>
      <x:c r="B993" s="50" t="str">
        <x:f>IF(985&gt;$H$4,"",IF(INDEX('Fleet dates'!$B$9:$B$1008,$I993-8)="","",INDEX('Fleet dates'!$B$9:$B$1008,$I993-8)))</x:f>
      </x:c>
      <x:c r="C993" s="51" t="str">
        <x:f>IF(985&gt;$H$4,"",IF(INDEX('Fleet dates'!$C$9:$C$1008,$I993-8)="","",INDEX('Fleet dates'!$C$9:$C$1008,$I993-8)))</x:f>
      </x:c>
      <x:c r="D993" s="51" t="str">
        <x:f>IF(985&gt;$H$4,"",IF(INDEX('Fleet dates'!$D$9:$D$1008,$I993-8)="","",INDEX('Fleet dates'!$D$9:$D$1008,$I993-8)))</x:f>
      </x:c>
      <x:c r="E993" s="51" t="str">
        <x:f>IF(985&gt;$H$4,"",IF(INDEX('Fleet dates'!$E$9:$E$1008,$I993-8)="","",INDEX('Fleet dates'!$E$9:$E$1008,$I993-8)))</x:f>
      </x:c>
      <x:c r="F993" s="51" t="str">
        <x:f>IF(985&gt;$H$4,"",IF(INDEX('Fleet dates'!$F$9:$F$1008,$I993-8)="","",INDEX('Fleet dates'!$F$9:$F$1008,$I993-8)))</x:f>
      </x:c>
      <x:c r="G993" s="50" t="str">
        <x:f>IF(985&gt;$H$4,"",IF(INDEX('Fleet dates'!$G$9:$G$1008,$I993-8)="","",INDEX('Fleet dates'!$G$9:$G$1008,$I993-8)))</x:f>
      </x:c>
      <x:c r="H993" s="50" t="str">
        <x:f>IF(985&gt;$H$4,"",IF(INDEX('Fleet dates'!$I$9:$I$1008,$I993-8)="","",INDEX('Fleet dates'!$I$9:$I$1008,$I993-8)))</x:f>
      </x:c>
      <x:c r="I993" t="str">
        <x:f>IF(985&gt;$H$4,"",MATCH(985,'Fleet dates'!$J$9:$J$1008,0)+8)</x:f>
      </x:c>
    </x:row>
    <x:row r="994" ht="36" customHeight="1">
      <x:c r="A994" s="50" t="str">
        <x:f>IF(986&gt;$H$4,"",IF(INDEX('Fleet dates'!$A$9:$A$1008,$I994-8)="","",INDEX('Fleet dates'!$A$9:$A$1008,$I994-8)))</x:f>
      </x:c>
      <x:c r="B994" s="50" t="str">
        <x:f>IF(986&gt;$H$4,"",IF(INDEX('Fleet dates'!$B$9:$B$1008,$I994-8)="","",INDEX('Fleet dates'!$B$9:$B$1008,$I994-8)))</x:f>
      </x:c>
      <x:c r="C994" s="51" t="str">
        <x:f>IF(986&gt;$H$4,"",IF(INDEX('Fleet dates'!$C$9:$C$1008,$I994-8)="","",INDEX('Fleet dates'!$C$9:$C$1008,$I994-8)))</x:f>
      </x:c>
      <x:c r="D994" s="51" t="str">
        <x:f>IF(986&gt;$H$4,"",IF(INDEX('Fleet dates'!$D$9:$D$1008,$I994-8)="","",INDEX('Fleet dates'!$D$9:$D$1008,$I994-8)))</x:f>
      </x:c>
      <x:c r="E994" s="51" t="str">
        <x:f>IF(986&gt;$H$4,"",IF(INDEX('Fleet dates'!$E$9:$E$1008,$I994-8)="","",INDEX('Fleet dates'!$E$9:$E$1008,$I994-8)))</x:f>
      </x:c>
      <x:c r="F994" s="51" t="str">
        <x:f>IF(986&gt;$H$4,"",IF(INDEX('Fleet dates'!$F$9:$F$1008,$I994-8)="","",INDEX('Fleet dates'!$F$9:$F$1008,$I994-8)))</x:f>
      </x:c>
      <x:c r="G994" s="50" t="str">
        <x:f>IF(986&gt;$H$4,"",IF(INDEX('Fleet dates'!$G$9:$G$1008,$I994-8)="","",INDEX('Fleet dates'!$G$9:$G$1008,$I994-8)))</x:f>
      </x:c>
      <x:c r="H994" s="50" t="str">
        <x:f>IF(986&gt;$H$4,"",IF(INDEX('Fleet dates'!$I$9:$I$1008,$I994-8)="","",INDEX('Fleet dates'!$I$9:$I$1008,$I994-8)))</x:f>
      </x:c>
      <x:c r="I994" t="str">
        <x:f>IF(986&gt;$H$4,"",MATCH(986,'Fleet dates'!$J$9:$J$1008,0)+8)</x:f>
      </x:c>
    </x:row>
    <x:row r="995" ht="36" customHeight="1">
      <x:c r="A995" s="50" t="str">
        <x:f>IF(987&gt;$H$4,"",IF(INDEX('Fleet dates'!$A$9:$A$1008,$I995-8)="","",INDEX('Fleet dates'!$A$9:$A$1008,$I995-8)))</x:f>
      </x:c>
      <x:c r="B995" s="50" t="str">
        <x:f>IF(987&gt;$H$4,"",IF(INDEX('Fleet dates'!$B$9:$B$1008,$I995-8)="","",INDEX('Fleet dates'!$B$9:$B$1008,$I995-8)))</x:f>
      </x:c>
      <x:c r="C995" s="51" t="str">
        <x:f>IF(987&gt;$H$4,"",IF(INDEX('Fleet dates'!$C$9:$C$1008,$I995-8)="","",INDEX('Fleet dates'!$C$9:$C$1008,$I995-8)))</x:f>
      </x:c>
      <x:c r="D995" s="51" t="str">
        <x:f>IF(987&gt;$H$4,"",IF(INDEX('Fleet dates'!$D$9:$D$1008,$I995-8)="","",INDEX('Fleet dates'!$D$9:$D$1008,$I995-8)))</x:f>
      </x:c>
      <x:c r="E995" s="51" t="str">
        <x:f>IF(987&gt;$H$4,"",IF(INDEX('Fleet dates'!$E$9:$E$1008,$I995-8)="","",INDEX('Fleet dates'!$E$9:$E$1008,$I995-8)))</x:f>
      </x:c>
      <x:c r="F995" s="51" t="str">
        <x:f>IF(987&gt;$H$4,"",IF(INDEX('Fleet dates'!$F$9:$F$1008,$I995-8)="","",INDEX('Fleet dates'!$F$9:$F$1008,$I995-8)))</x:f>
      </x:c>
      <x:c r="G995" s="50" t="str">
        <x:f>IF(987&gt;$H$4,"",IF(INDEX('Fleet dates'!$G$9:$G$1008,$I995-8)="","",INDEX('Fleet dates'!$G$9:$G$1008,$I995-8)))</x:f>
      </x:c>
      <x:c r="H995" s="50" t="str">
        <x:f>IF(987&gt;$H$4,"",IF(INDEX('Fleet dates'!$I$9:$I$1008,$I995-8)="","",INDEX('Fleet dates'!$I$9:$I$1008,$I995-8)))</x:f>
      </x:c>
      <x:c r="I995" t="str">
        <x:f>IF(987&gt;$H$4,"",MATCH(987,'Fleet dates'!$J$9:$J$1008,0)+8)</x:f>
      </x:c>
    </x:row>
    <x:row r="996" ht="36" customHeight="1">
      <x:c r="A996" s="50" t="str">
        <x:f>IF(988&gt;$H$4,"",IF(INDEX('Fleet dates'!$A$9:$A$1008,$I996-8)="","",INDEX('Fleet dates'!$A$9:$A$1008,$I996-8)))</x:f>
      </x:c>
      <x:c r="B996" s="50" t="str">
        <x:f>IF(988&gt;$H$4,"",IF(INDEX('Fleet dates'!$B$9:$B$1008,$I996-8)="","",INDEX('Fleet dates'!$B$9:$B$1008,$I996-8)))</x:f>
      </x:c>
      <x:c r="C996" s="51" t="str">
        <x:f>IF(988&gt;$H$4,"",IF(INDEX('Fleet dates'!$C$9:$C$1008,$I996-8)="","",INDEX('Fleet dates'!$C$9:$C$1008,$I996-8)))</x:f>
      </x:c>
      <x:c r="D996" s="51" t="str">
        <x:f>IF(988&gt;$H$4,"",IF(INDEX('Fleet dates'!$D$9:$D$1008,$I996-8)="","",INDEX('Fleet dates'!$D$9:$D$1008,$I996-8)))</x:f>
      </x:c>
      <x:c r="E996" s="51" t="str">
        <x:f>IF(988&gt;$H$4,"",IF(INDEX('Fleet dates'!$E$9:$E$1008,$I996-8)="","",INDEX('Fleet dates'!$E$9:$E$1008,$I996-8)))</x:f>
      </x:c>
      <x:c r="F996" s="51" t="str">
        <x:f>IF(988&gt;$H$4,"",IF(INDEX('Fleet dates'!$F$9:$F$1008,$I996-8)="","",INDEX('Fleet dates'!$F$9:$F$1008,$I996-8)))</x:f>
      </x:c>
      <x:c r="G996" s="50" t="str">
        <x:f>IF(988&gt;$H$4,"",IF(INDEX('Fleet dates'!$G$9:$G$1008,$I996-8)="","",INDEX('Fleet dates'!$G$9:$G$1008,$I996-8)))</x:f>
      </x:c>
      <x:c r="H996" s="50" t="str">
        <x:f>IF(988&gt;$H$4,"",IF(INDEX('Fleet dates'!$I$9:$I$1008,$I996-8)="","",INDEX('Fleet dates'!$I$9:$I$1008,$I996-8)))</x:f>
      </x:c>
      <x:c r="I996" t="str">
        <x:f>IF(988&gt;$H$4,"",MATCH(988,'Fleet dates'!$J$9:$J$1008,0)+8)</x:f>
      </x:c>
    </x:row>
    <x:row r="997" ht="36" customHeight="1">
      <x:c r="A997" s="50" t="str">
        <x:f>IF(989&gt;$H$4,"",IF(INDEX('Fleet dates'!$A$9:$A$1008,$I997-8)="","",INDEX('Fleet dates'!$A$9:$A$1008,$I997-8)))</x:f>
      </x:c>
      <x:c r="B997" s="50" t="str">
        <x:f>IF(989&gt;$H$4,"",IF(INDEX('Fleet dates'!$B$9:$B$1008,$I997-8)="","",INDEX('Fleet dates'!$B$9:$B$1008,$I997-8)))</x:f>
      </x:c>
      <x:c r="C997" s="51" t="str">
        <x:f>IF(989&gt;$H$4,"",IF(INDEX('Fleet dates'!$C$9:$C$1008,$I997-8)="","",INDEX('Fleet dates'!$C$9:$C$1008,$I997-8)))</x:f>
      </x:c>
      <x:c r="D997" s="51" t="str">
        <x:f>IF(989&gt;$H$4,"",IF(INDEX('Fleet dates'!$D$9:$D$1008,$I997-8)="","",INDEX('Fleet dates'!$D$9:$D$1008,$I997-8)))</x:f>
      </x:c>
      <x:c r="E997" s="51" t="str">
        <x:f>IF(989&gt;$H$4,"",IF(INDEX('Fleet dates'!$E$9:$E$1008,$I997-8)="","",INDEX('Fleet dates'!$E$9:$E$1008,$I997-8)))</x:f>
      </x:c>
      <x:c r="F997" s="51" t="str">
        <x:f>IF(989&gt;$H$4,"",IF(INDEX('Fleet dates'!$F$9:$F$1008,$I997-8)="","",INDEX('Fleet dates'!$F$9:$F$1008,$I997-8)))</x:f>
      </x:c>
      <x:c r="G997" s="50" t="str">
        <x:f>IF(989&gt;$H$4,"",IF(INDEX('Fleet dates'!$G$9:$G$1008,$I997-8)="","",INDEX('Fleet dates'!$G$9:$G$1008,$I997-8)))</x:f>
      </x:c>
      <x:c r="H997" s="50" t="str">
        <x:f>IF(989&gt;$H$4,"",IF(INDEX('Fleet dates'!$I$9:$I$1008,$I997-8)="","",INDEX('Fleet dates'!$I$9:$I$1008,$I997-8)))</x:f>
      </x:c>
      <x:c r="I997" t="str">
        <x:f>IF(989&gt;$H$4,"",MATCH(989,'Fleet dates'!$J$9:$J$1008,0)+8)</x:f>
      </x:c>
    </x:row>
    <x:row r="998" ht="36" customHeight="1">
      <x:c r="A998" s="50" t="str">
        <x:f>IF(990&gt;$H$4,"",IF(INDEX('Fleet dates'!$A$9:$A$1008,$I998-8)="","",INDEX('Fleet dates'!$A$9:$A$1008,$I998-8)))</x:f>
      </x:c>
      <x:c r="B998" s="50" t="str">
        <x:f>IF(990&gt;$H$4,"",IF(INDEX('Fleet dates'!$B$9:$B$1008,$I998-8)="","",INDEX('Fleet dates'!$B$9:$B$1008,$I998-8)))</x:f>
      </x:c>
      <x:c r="C998" s="51" t="str">
        <x:f>IF(990&gt;$H$4,"",IF(INDEX('Fleet dates'!$C$9:$C$1008,$I998-8)="","",INDEX('Fleet dates'!$C$9:$C$1008,$I998-8)))</x:f>
      </x:c>
      <x:c r="D998" s="51" t="str">
        <x:f>IF(990&gt;$H$4,"",IF(INDEX('Fleet dates'!$D$9:$D$1008,$I998-8)="","",INDEX('Fleet dates'!$D$9:$D$1008,$I998-8)))</x:f>
      </x:c>
      <x:c r="E998" s="51" t="str">
        <x:f>IF(990&gt;$H$4,"",IF(INDEX('Fleet dates'!$E$9:$E$1008,$I998-8)="","",INDEX('Fleet dates'!$E$9:$E$1008,$I998-8)))</x:f>
      </x:c>
      <x:c r="F998" s="51" t="str">
        <x:f>IF(990&gt;$H$4,"",IF(INDEX('Fleet dates'!$F$9:$F$1008,$I998-8)="","",INDEX('Fleet dates'!$F$9:$F$1008,$I998-8)))</x:f>
      </x:c>
      <x:c r="G998" s="50" t="str">
        <x:f>IF(990&gt;$H$4,"",IF(INDEX('Fleet dates'!$G$9:$G$1008,$I998-8)="","",INDEX('Fleet dates'!$G$9:$G$1008,$I998-8)))</x:f>
      </x:c>
      <x:c r="H998" s="50" t="str">
        <x:f>IF(990&gt;$H$4,"",IF(INDEX('Fleet dates'!$I$9:$I$1008,$I998-8)="","",INDEX('Fleet dates'!$I$9:$I$1008,$I998-8)))</x:f>
      </x:c>
      <x:c r="I998" t="str">
        <x:f>IF(990&gt;$H$4,"",MATCH(990,'Fleet dates'!$J$9:$J$1008,0)+8)</x:f>
      </x:c>
    </x:row>
    <x:row r="999" ht="36" customHeight="1">
      <x:c r="A999" s="50" t="str">
        <x:f>IF(991&gt;$H$4,"",IF(INDEX('Fleet dates'!$A$9:$A$1008,$I999-8)="","",INDEX('Fleet dates'!$A$9:$A$1008,$I999-8)))</x:f>
      </x:c>
      <x:c r="B999" s="50" t="str">
        <x:f>IF(991&gt;$H$4,"",IF(INDEX('Fleet dates'!$B$9:$B$1008,$I999-8)="","",INDEX('Fleet dates'!$B$9:$B$1008,$I999-8)))</x:f>
      </x:c>
      <x:c r="C999" s="51" t="str">
        <x:f>IF(991&gt;$H$4,"",IF(INDEX('Fleet dates'!$C$9:$C$1008,$I999-8)="","",INDEX('Fleet dates'!$C$9:$C$1008,$I999-8)))</x:f>
      </x:c>
      <x:c r="D999" s="51" t="str">
        <x:f>IF(991&gt;$H$4,"",IF(INDEX('Fleet dates'!$D$9:$D$1008,$I999-8)="","",INDEX('Fleet dates'!$D$9:$D$1008,$I999-8)))</x:f>
      </x:c>
      <x:c r="E999" s="51" t="str">
        <x:f>IF(991&gt;$H$4,"",IF(INDEX('Fleet dates'!$E$9:$E$1008,$I999-8)="","",INDEX('Fleet dates'!$E$9:$E$1008,$I999-8)))</x:f>
      </x:c>
      <x:c r="F999" s="51" t="str">
        <x:f>IF(991&gt;$H$4,"",IF(INDEX('Fleet dates'!$F$9:$F$1008,$I999-8)="","",INDEX('Fleet dates'!$F$9:$F$1008,$I999-8)))</x:f>
      </x:c>
      <x:c r="G999" s="50" t="str">
        <x:f>IF(991&gt;$H$4,"",IF(INDEX('Fleet dates'!$G$9:$G$1008,$I999-8)="","",INDEX('Fleet dates'!$G$9:$G$1008,$I999-8)))</x:f>
      </x:c>
      <x:c r="H999" s="50" t="str">
        <x:f>IF(991&gt;$H$4,"",IF(INDEX('Fleet dates'!$I$9:$I$1008,$I999-8)="","",INDEX('Fleet dates'!$I$9:$I$1008,$I999-8)))</x:f>
      </x:c>
      <x:c r="I999" t="str">
        <x:f>IF(991&gt;$H$4,"",MATCH(991,'Fleet dates'!$J$9:$J$1008,0)+8)</x:f>
      </x:c>
    </x:row>
    <x:row r="1000" ht="36" customHeight="1">
      <x:c r="A1000" s="50" t="str">
        <x:f>IF(992&gt;$H$4,"",IF(INDEX('Fleet dates'!$A$9:$A$1008,$I1000-8)="","",INDEX('Fleet dates'!$A$9:$A$1008,$I1000-8)))</x:f>
      </x:c>
      <x:c r="B1000" s="50" t="str">
        <x:f>IF(992&gt;$H$4,"",IF(INDEX('Fleet dates'!$B$9:$B$1008,$I1000-8)="","",INDEX('Fleet dates'!$B$9:$B$1008,$I1000-8)))</x:f>
      </x:c>
      <x:c r="C1000" s="51" t="str">
        <x:f>IF(992&gt;$H$4,"",IF(INDEX('Fleet dates'!$C$9:$C$1008,$I1000-8)="","",INDEX('Fleet dates'!$C$9:$C$1008,$I1000-8)))</x:f>
      </x:c>
      <x:c r="D1000" s="51" t="str">
        <x:f>IF(992&gt;$H$4,"",IF(INDEX('Fleet dates'!$D$9:$D$1008,$I1000-8)="","",INDEX('Fleet dates'!$D$9:$D$1008,$I1000-8)))</x:f>
      </x:c>
      <x:c r="E1000" s="51" t="str">
        <x:f>IF(992&gt;$H$4,"",IF(INDEX('Fleet dates'!$E$9:$E$1008,$I1000-8)="","",INDEX('Fleet dates'!$E$9:$E$1008,$I1000-8)))</x:f>
      </x:c>
      <x:c r="F1000" s="51" t="str">
        <x:f>IF(992&gt;$H$4,"",IF(INDEX('Fleet dates'!$F$9:$F$1008,$I1000-8)="","",INDEX('Fleet dates'!$F$9:$F$1008,$I1000-8)))</x:f>
      </x:c>
      <x:c r="G1000" s="50" t="str">
        <x:f>IF(992&gt;$H$4,"",IF(INDEX('Fleet dates'!$G$9:$G$1008,$I1000-8)="","",INDEX('Fleet dates'!$G$9:$G$1008,$I1000-8)))</x:f>
      </x:c>
      <x:c r="H1000" s="50" t="str">
        <x:f>IF(992&gt;$H$4,"",IF(INDEX('Fleet dates'!$I$9:$I$1008,$I1000-8)="","",INDEX('Fleet dates'!$I$9:$I$1008,$I1000-8)))</x:f>
      </x:c>
      <x:c r="I1000" t="str">
        <x:f>IF(992&gt;$H$4,"",MATCH(992,'Fleet dates'!$J$9:$J$1008,0)+8)</x:f>
      </x:c>
    </x:row>
    <x:row r="1001" ht="36" customHeight="1">
      <x:c r="A1001" s="50" t="str">
        <x:f>IF(993&gt;$H$4,"",IF(INDEX('Fleet dates'!$A$9:$A$1008,$I1001-8)="","",INDEX('Fleet dates'!$A$9:$A$1008,$I1001-8)))</x:f>
      </x:c>
      <x:c r="B1001" s="50" t="str">
        <x:f>IF(993&gt;$H$4,"",IF(INDEX('Fleet dates'!$B$9:$B$1008,$I1001-8)="","",INDEX('Fleet dates'!$B$9:$B$1008,$I1001-8)))</x:f>
      </x:c>
      <x:c r="C1001" s="51" t="str">
        <x:f>IF(993&gt;$H$4,"",IF(INDEX('Fleet dates'!$C$9:$C$1008,$I1001-8)="","",INDEX('Fleet dates'!$C$9:$C$1008,$I1001-8)))</x:f>
      </x:c>
      <x:c r="D1001" s="51" t="str">
        <x:f>IF(993&gt;$H$4,"",IF(INDEX('Fleet dates'!$D$9:$D$1008,$I1001-8)="","",INDEX('Fleet dates'!$D$9:$D$1008,$I1001-8)))</x:f>
      </x:c>
      <x:c r="E1001" s="51" t="str">
        <x:f>IF(993&gt;$H$4,"",IF(INDEX('Fleet dates'!$E$9:$E$1008,$I1001-8)="","",INDEX('Fleet dates'!$E$9:$E$1008,$I1001-8)))</x:f>
      </x:c>
      <x:c r="F1001" s="51" t="str">
        <x:f>IF(993&gt;$H$4,"",IF(INDEX('Fleet dates'!$F$9:$F$1008,$I1001-8)="","",INDEX('Fleet dates'!$F$9:$F$1008,$I1001-8)))</x:f>
      </x:c>
      <x:c r="G1001" s="50" t="str">
        <x:f>IF(993&gt;$H$4,"",IF(INDEX('Fleet dates'!$G$9:$G$1008,$I1001-8)="","",INDEX('Fleet dates'!$G$9:$G$1008,$I1001-8)))</x:f>
      </x:c>
      <x:c r="H1001" s="50" t="str">
        <x:f>IF(993&gt;$H$4,"",IF(INDEX('Fleet dates'!$I$9:$I$1008,$I1001-8)="","",INDEX('Fleet dates'!$I$9:$I$1008,$I1001-8)))</x:f>
      </x:c>
      <x:c r="I1001" t="str">
        <x:f>IF(993&gt;$H$4,"",MATCH(993,'Fleet dates'!$J$9:$J$1008,0)+8)</x:f>
      </x:c>
    </x:row>
    <x:row r="1002" ht="36" customHeight="1">
      <x:c r="A1002" s="50" t="str">
        <x:f>IF(994&gt;$H$4,"",IF(INDEX('Fleet dates'!$A$9:$A$1008,$I1002-8)="","",INDEX('Fleet dates'!$A$9:$A$1008,$I1002-8)))</x:f>
      </x:c>
      <x:c r="B1002" s="50" t="str">
        <x:f>IF(994&gt;$H$4,"",IF(INDEX('Fleet dates'!$B$9:$B$1008,$I1002-8)="","",INDEX('Fleet dates'!$B$9:$B$1008,$I1002-8)))</x:f>
      </x:c>
      <x:c r="C1002" s="51" t="str">
        <x:f>IF(994&gt;$H$4,"",IF(INDEX('Fleet dates'!$C$9:$C$1008,$I1002-8)="","",INDEX('Fleet dates'!$C$9:$C$1008,$I1002-8)))</x:f>
      </x:c>
      <x:c r="D1002" s="51" t="str">
        <x:f>IF(994&gt;$H$4,"",IF(INDEX('Fleet dates'!$D$9:$D$1008,$I1002-8)="","",INDEX('Fleet dates'!$D$9:$D$1008,$I1002-8)))</x:f>
      </x:c>
      <x:c r="E1002" s="51" t="str">
        <x:f>IF(994&gt;$H$4,"",IF(INDEX('Fleet dates'!$E$9:$E$1008,$I1002-8)="","",INDEX('Fleet dates'!$E$9:$E$1008,$I1002-8)))</x:f>
      </x:c>
      <x:c r="F1002" s="51" t="str">
        <x:f>IF(994&gt;$H$4,"",IF(INDEX('Fleet dates'!$F$9:$F$1008,$I1002-8)="","",INDEX('Fleet dates'!$F$9:$F$1008,$I1002-8)))</x:f>
      </x:c>
      <x:c r="G1002" s="50" t="str">
        <x:f>IF(994&gt;$H$4,"",IF(INDEX('Fleet dates'!$G$9:$G$1008,$I1002-8)="","",INDEX('Fleet dates'!$G$9:$G$1008,$I1002-8)))</x:f>
      </x:c>
      <x:c r="H1002" s="50" t="str">
        <x:f>IF(994&gt;$H$4,"",IF(INDEX('Fleet dates'!$I$9:$I$1008,$I1002-8)="","",INDEX('Fleet dates'!$I$9:$I$1008,$I1002-8)))</x:f>
      </x:c>
      <x:c r="I1002" t="str">
        <x:f>IF(994&gt;$H$4,"",MATCH(994,'Fleet dates'!$J$9:$J$1008,0)+8)</x:f>
      </x:c>
    </x:row>
    <x:row r="1003" ht="36" customHeight="1">
      <x:c r="A1003" s="50" t="str">
        <x:f>IF(995&gt;$H$4,"",IF(INDEX('Fleet dates'!$A$9:$A$1008,$I1003-8)="","",INDEX('Fleet dates'!$A$9:$A$1008,$I1003-8)))</x:f>
      </x:c>
      <x:c r="B1003" s="50" t="str">
        <x:f>IF(995&gt;$H$4,"",IF(INDEX('Fleet dates'!$B$9:$B$1008,$I1003-8)="","",INDEX('Fleet dates'!$B$9:$B$1008,$I1003-8)))</x:f>
      </x:c>
      <x:c r="C1003" s="51" t="str">
        <x:f>IF(995&gt;$H$4,"",IF(INDEX('Fleet dates'!$C$9:$C$1008,$I1003-8)="","",INDEX('Fleet dates'!$C$9:$C$1008,$I1003-8)))</x:f>
      </x:c>
      <x:c r="D1003" s="51" t="str">
        <x:f>IF(995&gt;$H$4,"",IF(INDEX('Fleet dates'!$D$9:$D$1008,$I1003-8)="","",INDEX('Fleet dates'!$D$9:$D$1008,$I1003-8)))</x:f>
      </x:c>
      <x:c r="E1003" s="51" t="str">
        <x:f>IF(995&gt;$H$4,"",IF(INDEX('Fleet dates'!$E$9:$E$1008,$I1003-8)="","",INDEX('Fleet dates'!$E$9:$E$1008,$I1003-8)))</x:f>
      </x:c>
      <x:c r="F1003" s="51" t="str">
        <x:f>IF(995&gt;$H$4,"",IF(INDEX('Fleet dates'!$F$9:$F$1008,$I1003-8)="","",INDEX('Fleet dates'!$F$9:$F$1008,$I1003-8)))</x:f>
      </x:c>
      <x:c r="G1003" s="50" t="str">
        <x:f>IF(995&gt;$H$4,"",IF(INDEX('Fleet dates'!$G$9:$G$1008,$I1003-8)="","",INDEX('Fleet dates'!$G$9:$G$1008,$I1003-8)))</x:f>
      </x:c>
      <x:c r="H1003" s="50" t="str">
        <x:f>IF(995&gt;$H$4,"",IF(INDEX('Fleet dates'!$I$9:$I$1008,$I1003-8)="","",INDEX('Fleet dates'!$I$9:$I$1008,$I1003-8)))</x:f>
      </x:c>
      <x:c r="I1003" t="str">
        <x:f>IF(995&gt;$H$4,"",MATCH(995,'Fleet dates'!$J$9:$J$1008,0)+8)</x:f>
      </x:c>
    </x:row>
    <x:row r="1004" ht="36" customHeight="1">
      <x:c r="A1004" s="50" t="str">
        <x:f>IF(996&gt;$H$4,"",IF(INDEX('Fleet dates'!$A$9:$A$1008,$I1004-8)="","",INDEX('Fleet dates'!$A$9:$A$1008,$I1004-8)))</x:f>
      </x:c>
      <x:c r="B1004" s="50" t="str">
        <x:f>IF(996&gt;$H$4,"",IF(INDEX('Fleet dates'!$B$9:$B$1008,$I1004-8)="","",INDEX('Fleet dates'!$B$9:$B$1008,$I1004-8)))</x:f>
      </x:c>
      <x:c r="C1004" s="51" t="str">
        <x:f>IF(996&gt;$H$4,"",IF(INDEX('Fleet dates'!$C$9:$C$1008,$I1004-8)="","",INDEX('Fleet dates'!$C$9:$C$1008,$I1004-8)))</x:f>
      </x:c>
      <x:c r="D1004" s="51" t="str">
        <x:f>IF(996&gt;$H$4,"",IF(INDEX('Fleet dates'!$D$9:$D$1008,$I1004-8)="","",INDEX('Fleet dates'!$D$9:$D$1008,$I1004-8)))</x:f>
      </x:c>
      <x:c r="E1004" s="51" t="str">
        <x:f>IF(996&gt;$H$4,"",IF(INDEX('Fleet dates'!$E$9:$E$1008,$I1004-8)="","",INDEX('Fleet dates'!$E$9:$E$1008,$I1004-8)))</x:f>
      </x:c>
      <x:c r="F1004" s="51" t="str">
        <x:f>IF(996&gt;$H$4,"",IF(INDEX('Fleet dates'!$F$9:$F$1008,$I1004-8)="","",INDEX('Fleet dates'!$F$9:$F$1008,$I1004-8)))</x:f>
      </x:c>
      <x:c r="G1004" s="50" t="str">
        <x:f>IF(996&gt;$H$4,"",IF(INDEX('Fleet dates'!$G$9:$G$1008,$I1004-8)="","",INDEX('Fleet dates'!$G$9:$G$1008,$I1004-8)))</x:f>
      </x:c>
      <x:c r="H1004" s="50" t="str">
        <x:f>IF(996&gt;$H$4,"",IF(INDEX('Fleet dates'!$I$9:$I$1008,$I1004-8)="","",INDEX('Fleet dates'!$I$9:$I$1008,$I1004-8)))</x:f>
      </x:c>
      <x:c r="I1004" t="str">
        <x:f>IF(996&gt;$H$4,"",MATCH(996,'Fleet dates'!$J$9:$J$1008,0)+8)</x:f>
      </x:c>
    </x:row>
    <x:row r="1005" ht="36" customHeight="1">
      <x:c r="A1005" s="50" t="str">
        <x:f>IF(997&gt;$H$4,"",IF(INDEX('Fleet dates'!$A$9:$A$1008,$I1005-8)="","",INDEX('Fleet dates'!$A$9:$A$1008,$I1005-8)))</x:f>
      </x:c>
      <x:c r="B1005" s="50" t="str">
        <x:f>IF(997&gt;$H$4,"",IF(INDEX('Fleet dates'!$B$9:$B$1008,$I1005-8)="","",INDEX('Fleet dates'!$B$9:$B$1008,$I1005-8)))</x:f>
      </x:c>
      <x:c r="C1005" s="51" t="str">
        <x:f>IF(997&gt;$H$4,"",IF(INDEX('Fleet dates'!$C$9:$C$1008,$I1005-8)="","",INDEX('Fleet dates'!$C$9:$C$1008,$I1005-8)))</x:f>
      </x:c>
      <x:c r="D1005" s="51" t="str">
        <x:f>IF(997&gt;$H$4,"",IF(INDEX('Fleet dates'!$D$9:$D$1008,$I1005-8)="","",INDEX('Fleet dates'!$D$9:$D$1008,$I1005-8)))</x:f>
      </x:c>
      <x:c r="E1005" s="51" t="str">
        <x:f>IF(997&gt;$H$4,"",IF(INDEX('Fleet dates'!$E$9:$E$1008,$I1005-8)="","",INDEX('Fleet dates'!$E$9:$E$1008,$I1005-8)))</x:f>
      </x:c>
      <x:c r="F1005" s="51" t="str">
        <x:f>IF(997&gt;$H$4,"",IF(INDEX('Fleet dates'!$F$9:$F$1008,$I1005-8)="","",INDEX('Fleet dates'!$F$9:$F$1008,$I1005-8)))</x:f>
      </x:c>
      <x:c r="G1005" s="50" t="str">
        <x:f>IF(997&gt;$H$4,"",IF(INDEX('Fleet dates'!$G$9:$G$1008,$I1005-8)="","",INDEX('Fleet dates'!$G$9:$G$1008,$I1005-8)))</x:f>
      </x:c>
      <x:c r="H1005" s="50" t="str">
        <x:f>IF(997&gt;$H$4,"",IF(INDEX('Fleet dates'!$I$9:$I$1008,$I1005-8)="","",INDEX('Fleet dates'!$I$9:$I$1008,$I1005-8)))</x:f>
      </x:c>
      <x:c r="I1005" t="str">
        <x:f>IF(997&gt;$H$4,"",MATCH(997,'Fleet dates'!$J$9:$J$1008,0)+8)</x:f>
      </x:c>
    </x:row>
    <x:row r="1006" ht="36" customHeight="1">
      <x:c r="A1006" s="50" t="str">
        <x:f>IF(998&gt;$H$4,"",IF(INDEX('Fleet dates'!$A$9:$A$1008,$I1006-8)="","",INDEX('Fleet dates'!$A$9:$A$1008,$I1006-8)))</x:f>
      </x:c>
      <x:c r="B1006" s="50" t="str">
        <x:f>IF(998&gt;$H$4,"",IF(INDEX('Fleet dates'!$B$9:$B$1008,$I1006-8)="","",INDEX('Fleet dates'!$B$9:$B$1008,$I1006-8)))</x:f>
      </x:c>
      <x:c r="C1006" s="51" t="str">
        <x:f>IF(998&gt;$H$4,"",IF(INDEX('Fleet dates'!$C$9:$C$1008,$I1006-8)="","",INDEX('Fleet dates'!$C$9:$C$1008,$I1006-8)))</x:f>
      </x:c>
      <x:c r="D1006" s="51" t="str">
        <x:f>IF(998&gt;$H$4,"",IF(INDEX('Fleet dates'!$D$9:$D$1008,$I1006-8)="","",INDEX('Fleet dates'!$D$9:$D$1008,$I1006-8)))</x:f>
      </x:c>
      <x:c r="E1006" s="51" t="str">
        <x:f>IF(998&gt;$H$4,"",IF(INDEX('Fleet dates'!$E$9:$E$1008,$I1006-8)="","",INDEX('Fleet dates'!$E$9:$E$1008,$I1006-8)))</x:f>
      </x:c>
      <x:c r="F1006" s="51" t="str">
        <x:f>IF(998&gt;$H$4,"",IF(INDEX('Fleet dates'!$F$9:$F$1008,$I1006-8)="","",INDEX('Fleet dates'!$F$9:$F$1008,$I1006-8)))</x:f>
      </x:c>
      <x:c r="G1006" s="50" t="str">
        <x:f>IF(998&gt;$H$4,"",IF(INDEX('Fleet dates'!$G$9:$G$1008,$I1006-8)="","",INDEX('Fleet dates'!$G$9:$G$1008,$I1006-8)))</x:f>
      </x:c>
      <x:c r="H1006" s="50" t="str">
        <x:f>IF(998&gt;$H$4,"",IF(INDEX('Fleet dates'!$I$9:$I$1008,$I1006-8)="","",INDEX('Fleet dates'!$I$9:$I$1008,$I1006-8)))</x:f>
      </x:c>
      <x:c r="I1006" t="str">
        <x:f>IF(998&gt;$H$4,"",MATCH(998,'Fleet dates'!$J$9:$J$1008,0)+8)</x:f>
      </x:c>
    </x:row>
    <x:row r="1007" ht="36" customHeight="1">
      <x:c r="A1007" s="50" t="str">
        <x:f>IF(999&gt;$H$4,"",IF(INDEX('Fleet dates'!$A$9:$A$1008,$I1007-8)="","",INDEX('Fleet dates'!$A$9:$A$1008,$I1007-8)))</x:f>
      </x:c>
      <x:c r="B1007" s="50" t="str">
        <x:f>IF(999&gt;$H$4,"",IF(INDEX('Fleet dates'!$B$9:$B$1008,$I1007-8)="","",INDEX('Fleet dates'!$B$9:$B$1008,$I1007-8)))</x:f>
      </x:c>
      <x:c r="C1007" s="51" t="str">
        <x:f>IF(999&gt;$H$4,"",IF(INDEX('Fleet dates'!$C$9:$C$1008,$I1007-8)="","",INDEX('Fleet dates'!$C$9:$C$1008,$I1007-8)))</x:f>
      </x:c>
      <x:c r="D1007" s="51" t="str">
        <x:f>IF(999&gt;$H$4,"",IF(INDEX('Fleet dates'!$D$9:$D$1008,$I1007-8)="","",INDEX('Fleet dates'!$D$9:$D$1008,$I1007-8)))</x:f>
      </x:c>
      <x:c r="E1007" s="51" t="str">
        <x:f>IF(999&gt;$H$4,"",IF(INDEX('Fleet dates'!$E$9:$E$1008,$I1007-8)="","",INDEX('Fleet dates'!$E$9:$E$1008,$I1007-8)))</x:f>
      </x:c>
      <x:c r="F1007" s="51" t="str">
        <x:f>IF(999&gt;$H$4,"",IF(INDEX('Fleet dates'!$F$9:$F$1008,$I1007-8)="","",INDEX('Fleet dates'!$F$9:$F$1008,$I1007-8)))</x:f>
      </x:c>
      <x:c r="G1007" s="50" t="str">
        <x:f>IF(999&gt;$H$4,"",IF(INDEX('Fleet dates'!$G$9:$G$1008,$I1007-8)="","",INDEX('Fleet dates'!$G$9:$G$1008,$I1007-8)))</x:f>
      </x:c>
      <x:c r="H1007" s="50" t="str">
        <x:f>IF(999&gt;$H$4,"",IF(INDEX('Fleet dates'!$I$9:$I$1008,$I1007-8)="","",INDEX('Fleet dates'!$I$9:$I$1008,$I1007-8)))</x:f>
      </x:c>
      <x:c r="I1007" t="str">
        <x:f>IF(999&gt;$H$4,"",MATCH(999,'Fleet dates'!$J$9:$J$1008,0)+8)</x:f>
      </x:c>
    </x:row>
    <x:row r="1008" ht="36" customHeight="1">
      <x:c r="A1008" s="50" t="str">
        <x:f>IF(1000&gt;$H$4,"",IF(INDEX('Fleet dates'!$A$9:$A$1008,$I1008-8)="","",INDEX('Fleet dates'!$A$9:$A$1008,$I1008-8)))</x:f>
      </x:c>
      <x:c r="B1008" s="50" t="str">
        <x:f>IF(1000&gt;$H$4,"",IF(INDEX('Fleet dates'!$B$9:$B$1008,$I1008-8)="","",INDEX('Fleet dates'!$B$9:$B$1008,$I1008-8)))</x:f>
      </x:c>
      <x:c r="C1008" s="51" t="str">
        <x:f>IF(1000&gt;$H$4,"",IF(INDEX('Fleet dates'!$C$9:$C$1008,$I1008-8)="","",INDEX('Fleet dates'!$C$9:$C$1008,$I1008-8)))</x:f>
      </x:c>
      <x:c r="D1008" s="51" t="str">
        <x:f>IF(1000&gt;$H$4,"",IF(INDEX('Fleet dates'!$D$9:$D$1008,$I1008-8)="","",INDEX('Fleet dates'!$D$9:$D$1008,$I1008-8)))</x:f>
      </x:c>
      <x:c r="E1008" s="51" t="str">
        <x:f>IF(1000&gt;$H$4,"",IF(INDEX('Fleet dates'!$E$9:$E$1008,$I1008-8)="","",INDEX('Fleet dates'!$E$9:$E$1008,$I1008-8)))</x:f>
      </x:c>
      <x:c r="F1008" s="51" t="str">
        <x:f>IF(1000&gt;$H$4,"",IF(INDEX('Fleet dates'!$F$9:$F$1008,$I1008-8)="","",INDEX('Fleet dates'!$F$9:$F$1008,$I1008-8)))</x:f>
      </x:c>
      <x:c r="G1008" s="50" t="str">
        <x:f>IF(1000&gt;$H$4,"",IF(INDEX('Fleet dates'!$G$9:$G$1008,$I1008-8)="","",INDEX('Fleet dates'!$G$9:$G$1008,$I1008-8)))</x:f>
      </x:c>
      <x:c r="H1008" s="50" t="str">
        <x:f>IF(1000&gt;$H$4,"",IF(INDEX('Fleet dates'!$I$9:$I$1008,$I1008-8)="","",INDEX('Fleet dates'!$I$9:$I$1008,$I1008-8)))</x:f>
      </x:c>
      <x:c r="I1008" t="str">
        <x:f>IF(1000&gt;$H$4,"",MATCH(1000,'Fleet dates'!$J$9:$J$1008,0)+8)</x:f>
      </x:c>
    </x:row>
  </x:sheetData>
  <x:sheetProtection sheet="1" objects="1" scenarios="1" autoFilter="0" selectLockedCells="0" selectUnlockedCells="0"/>
  <x:mergeCells>
    <x:mergeCell ref="B1:H2"/>
    <x:mergeCell ref="A4:G4"/>
    <x:mergeCell ref="A5:H5"/>
    <x:mergeCell ref="A6:H6"/>
  </x:mergeCells>
  <x:pageMargins left="0.7" right="0.7" top="0.75" bottom="0.75" header="0.3" footer="0.3"/>
  <x:hyperlinks>
    <x:hyperlink ref="A6" location="'Summary'!A8" tooltip="Back to Summary"/>
  </x:hyperlinks>
  <x:drawing ns1:id="R4d57540bbf624874"/>
</x:worksheet>
</file>

<file path=xl/worksheets/sheet4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.670000076293945" hidden="0" customWidth="1"/>
    <x:col min="2" max="2" width="20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5.5600004196167" hidden="0" customWidth="1"/>
    <x:col min="7" max="7" width="18.329999923706055" hidden="0" customWidth="1"/>
    <x:col min="8" max="8" width="28.889999389648438" hidden="0" customWidth="1"/>
    <x:col min="9" max="9" hidden="1" width="14" customWidth="1"/>
  </x:cols>
  <x:sheetData>
    <x:row r="1" ht="40" customHeight="1">
      <x:c r="A1" s="3"/>
      <x:c r="B1" s="6" t="str">
        <x:v>Due today</x:v>
      </x:c>
      <x:c r="C1" s="6" t="str">
        <x:v>Due today</x:v>
      </x:c>
      <x:c r="D1" s="6" t="str">
        <x:v>Due today</x:v>
      </x:c>
      <x:c r="E1" s="6" t="str">
        <x:v>Due today</x:v>
      </x:c>
      <x:c r="F1" s="6" t="str">
        <x:v>Due today</x:v>
      </x:c>
      <x:c r="G1" s="6" t="str">
        <x:v>Due today</x:v>
      </x:c>
      <x:c r="H1" s="6" t="str">
        <x:v>Due today</x:v>
      </x:c>
    </x:row>
    <x:row r="2" ht="40" customHeight="1">
      <x:c r="A2" s="3"/>
      <x:c r="B2" s="6" t="str">
        <x:v>Due today</x:v>
      </x:c>
      <x:c r="C2" s="6" t="str">
        <x:v>Due today</x:v>
      </x:c>
      <x:c r="D2" s="6" t="str">
        <x:v>Due today</x:v>
      </x:c>
      <x:c r="E2" s="6" t="str">
        <x:v>Due today</x:v>
      </x:c>
      <x:c r="F2" s="6" t="str">
        <x:v>Due today</x:v>
      </x:c>
      <x:c r="G2" s="6" t="str">
        <x:v>Due today</x:v>
      </x:c>
      <x:c r="H2" s="6" t="str">
        <x:v>Due today</x:v>
      </x:c>
    </x:row>
    <x:row r="3" ht="36" customHeight="1">
      <x:c r="A3" s="2"/>
      <x:c r="B3" s="2"/>
      <x:c r="C3" s="2"/>
      <x:c r="D3" s="2"/>
      <x:c r="E3" s="2"/>
      <x:c r="F3" s="2"/>
      <x:c r="G3" s="2"/>
      <x:c r="H3" s="2"/>
    </x:row>
    <x:row r="4" ht="36" customHeight="1">
      <x:c r="A4" s="26" t="str">
        <x:v>Matching vehicles or rows</x:v>
      </x:c>
      <x:c r="B4" s="26" t="str">
        <x:v>Matching vehicles or rows</x:v>
      </x:c>
      <x:c r="C4" s="26" t="str">
        <x:v>Matching vehicles or rows</x:v>
      </x:c>
      <x:c r="D4" s="26" t="str">
        <x:v>Matching vehicles or rows</x:v>
      </x:c>
      <x:c r="E4" s="26" t="str">
        <x:v>Matching vehicles or rows</x:v>
      </x:c>
      <x:c r="F4" s="26" t="str">
        <x:v>Matching vehicles or rows</x:v>
      </x:c>
      <x:c r="G4" s="26" t="str">
        <x:v>Matching vehicles or rows</x:v>
      </x:c>
      <x:c r="H4" s="48" t="n">
        <x:f>COUNT('Fleet dates'!$K$9:$K$1008)</x:f>
        <x:v>0</x:v>
      </x:c>
    </x:row>
    <x:row r="5" ht="36" customHeight="1">
      <x:c r="A5" s="9" t="str">
        <x:v>Read-only list. Dates update when the workbook recalculates. Edit records on Fleet dates.</x:v>
      </x:c>
      <x:c r="B5" s="9" t="str">
        <x:v>Read-only list. Dates update when the workbook recalculates. Edit records on Fleet dates.</x:v>
      </x:c>
      <x:c r="C5" s="9" t="str">
        <x:v>Read-only list. Dates update when the workbook recalculates. Edit records on Fleet dates.</x:v>
      </x:c>
      <x:c r="D5" s="9" t="str">
        <x:v>Read-only list. Dates update when the workbook recalculates. Edit records on Fleet dates.</x:v>
      </x:c>
      <x:c r="E5" s="9" t="str">
        <x:v>Read-only list. Dates update when the workbook recalculates. Edit records on Fleet dates.</x:v>
      </x:c>
      <x:c r="F5" s="9" t="str">
        <x:v>Read-only list. Dates update when the workbook recalculates. Edit records on Fleet dates.</x:v>
      </x:c>
      <x:c r="G5" s="9" t="str">
        <x:v>Read-only list. Dates update when the workbook recalculates. Edit records on Fleet dates.</x:v>
      </x:c>
      <x:c r="H5" s="9" t="str">
        <x:v>Read-only list. Dates update when the workbook recalculates. Edit records on Fleet dates.</x:v>
      </x:c>
    </x:row>
    <x:row r="6" ht="36" customHeight="1">
      <x:c r="A6" s="9" t="str">
        <x:v>Back to Summary</x:v>
      </x:c>
      <x:c r="B6" s="9" t="str">
        <x:v>Back to Summary</x:v>
      </x:c>
      <x:c r="C6" s="9" t="str">
        <x:v>Back to Summary</x:v>
      </x:c>
      <x:c r="D6" s="9" t="str">
        <x:v>Back to Summary</x:v>
      </x:c>
      <x:c r="E6" s="9" t="str">
        <x:v>Back to Summary</x:v>
      </x:c>
      <x:c r="F6" s="9" t="str">
        <x:v>Back to Summary</x:v>
      </x:c>
      <x:c r="G6" s="9" t="str">
        <x:v>Back to Summary</x:v>
      </x:c>
      <x:c r="H6" s="9" t="str">
        <x:v>Back to Summary</x:v>
      </x:c>
    </x:row>
    <x:row r="7" ht="36" customHeight="1">
      <x:c r="A7" s="2"/>
      <x:c r="B7" s="2"/>
      <x:c r="C7" s="2"/>
      <x:c r="D7" s="2"/>
      <x:c r="E7" s="2"/>
      <x:c r="F7" s="2"/>
      <x:c r="G7" s="2"/>
      <x:c r="H7" s="2"/>
    </x:row>
    <x:row r="8" ht="48" customHeight="1">
      <x:c r="A8" s="49" t="str">
        <x:v>Vehicle registration</x:v>
      </x:c>
      <x:c r="B8" s="49" t="str">
        <x:v>Vehicle label</x:v>
      </x:c>
      <x:c r="C8" s="49" t="str">
        <x:v>MOT due</x:v>
      </x:c>
      <x:c r="D8" s="49" t="str">
        <x:v>Tax due</x:v>
      </x:c>
      <x:c r="E8" s="49" t="str">
        <x:v>Insurance due</x:v>
      </x:c>
      <x:c r="F8" s="49" t="str">
        <x:v>Next service due</x:v>
      </x:c>
      <x:c r="G8" s="49" t="str">
        <x:v>Responsible person</x:v>
      </x:c>
      <x:c r="H8" s="49" t="str">
        <x:v>Notes / exemptions</x:v>
      </x:c>
    </x:row>
    <x:row r="9" ht="36" customHeight="1">
      <x:c r="A9" s="50" t="str">
        <x:f>IF(1&gt;$H$4,"",IF(INDEX('Fleet dates'!$A$9:$A$1008,$I9-8)="","",INDEX('Fleet dates'!$A$9:$A$1008,$I9-8)))</x:f>
      </x:c>
      <x:c r="B9" s="50" t="str">
        <x:f>IF(1&gt;$H$4,"",IF(INDEX('Fleet dates'!$B$9:$B$1008,$I9-8)="","",INDEX('Fleet dates'!$B$9:$B$1008,$I9-8)))</x:f>
      </x:c>
      <x:c r="C9" s="51" t="str">
        <x:f>IF(1&gt;$H$4,"",IF(INDEX('Fleet dates'!$C$9:$C$1008,$I9-8)="","",INDEX('Fleet dates'!$C$9:$C$1008,$I9-8)))</x:f>
      </x:c>
      <x:c r="D9" s="51" t="str">
        <x:f>IF(1&gt;$H$4,"",IF(INDEX('Fleet dates'!$D$9:$D$1008,$I9-8)="","",INDEX('Fleet dates'!$D$9:$D$1008,$I9-8)))</x:f>
      </x:c>
      <x:c r="E9" s="51" t="str">
        <x:f>IF(1&gt;$H$4,"",IF(INDEX('Fleet dates'!$E$9:$E$1008,$I9-8)="","",INDEX('Fleet dates'!$E$9:$E$1008,$I9-8)))</x:f>
      </x:c>
      <x:c r="F9" s="51" t="str">
        <x:f>IF(1&gt;$H$4,"",IF(INDEX('Fleet dates'!$F$9:$F$1008,$I9-8)="","",INDEX('Fleet dates'!$F$9:$F$1008,$I9-8)))</x:f>
      </x:c>
      <x:c r="G9" s="50" t="str">
        <x:f>IF(1&gt;$H$4,"",IF(INDEX('Fleet dates'!$G$9:$G$1008,$I9-8)="","",INDEX('Fleet dates'!$G$9:$G$1008,$I9-8)))</x:f>
      </x:c>
      <x:c r="H9" s="50" t="str">
        <x:f>IF(1&gt;$H$4,"",IF(INDEX('Fleet dates'!$I$9:$I$1008,$I9-8)="","",INDEX('Fleet dates'!$I$9:$I$1008,$I9-8)))</x:f>
      </x:c>
      <x:c r="I9" t="str">
        <x:f>IF(1&gt;$H$4,"",MATCH(1,'Fleet dates'!$K$9:$K$1008,0)+8)</x:f>
      </x:c>
    </x:row>
    <x:row r="10" ht="36" customHeight="1">
      <x:c r="A10" s="50" t="str">
        <x:f>IF(2&gt;$H$4,"",IF(INDEX('Fleet dates'!$A$9:$A$1008,$I10-8)="","",INDEX('Fleet dates'!$A$9:$A$1008,$I10-8)))</x:f>
      </x:c>
      <x:c r="B10" s="50" t="str">
        <x:f>IF(2&gt;$H$4,"",IF(INDEX('Fleet dates'!$B$9:$B$1008,$I10-8)="","",INDEX('Fleet dates'!$B$9:$B$1008,$I10-8)))</x:f>
      </x:c>
      <x:c r="C10" s="51" t="str">
        <x:f>IF(2&gt;$H$4,"",IF(INDEX('Fleet dates'!$C$9:$C$1008,$I10-8)="","",INDEX('Fleet dates'!$C$9:$C$1008,$I10-8)))</x:f>
      </x:c>
      <x:c r="D10" s="51" t="str">
        <x:f>IF(2&gt;$H$4,"",IF(INDEX('Fleet dates'!$D$9:$D$1008,$I10-8)="","",INDEX('Fleet dates'!$D$9:$D$1008,$I10-8)))</x:f>
      </x:c>
      <x:c r="E10" s="51" t="str">
        <x:f>IF(2&gt;$H$4,"",IF(INDEX('Fleet dates'!$E$9:$E$1008,$I10-8)="","",INDEX('Fleet dates'!$E$9:$E$1008,$I10-8)))</x:f>
      </x:c>
      <x:c r="F10" s="51" t="str">
        <x:f>IF(2&gt;$H$4,"",IF(INDEX('Fleet dates'!$F$9:$F$1008,$I10-8)="","",INDEX('Fleet dates'!$F$9:$F$1008,$I10-8)))</x:f>
      </x:c>
      <x:c r="G10" s="50" t="str">
        <x:f>IF(2&gt;$H$4,"",IF(INDEX('Fleet dates'!$G$9:$G$1008,$I10-8)="","",INDEX('Fleet dates'!$G$9:$G$1008,$I10-8)))</x:f>
      </x:c>
      <x:c r="H10" s="50" t="str">
        <x:f>IF(2&gt;$H$4,"",IF(INDEX('Fleet dates'!$I$9:$I$1008,$I10-8)="","",INDEX('Fleet dates'!$I$9:$I$1008,$I10-8)))</x:f>
      </x:c>
      <x:c r="I10" t="str">
        <x:f>IF(2&gt;$H$4,"",MATCH(2,'Fleet dates'!$K$9:$K$1008,0)+8)</x:f>
      </x:c>
    </x:row>
    <x:row r="11" ht="36" customHeight="1">
      <x:c r="A11" s="50" t="str">
        <x:f>IF(3&gt;$H$4,"",IF(INDEX('Fleet dates'!$A$9:$A$1008,$I11-8)="","",INDEX('Fleet dates'!$A$9:$A$1008,$I11-8)))</x:f>
      </x:c>
      <x:c r="B11" s="50" t="str">
        <x:f>IF(3&gt;$H$4,"",IF(INDEX('Fleet dates'!$B$9:$B$1008,$I11-8)="","",INDEX('Fleet dates'!$B$9:$B$1008,$I11-8)))</x:f>
      </x:c>
      <x:c r="C11" s="51" t="str">
        <x:f>IF(3&gt;$H$4,"",IF(INDEX('Fleet dates'!$C$9:$C$1008,$I11-8)="","",INDEX('Fleet dates'!$C$9:$C$1008,$I11-8)))</x:f>
      </x:c>
      <x:c r="D11" s="51" t="str">
        <x:f>IF(3&gt;$H$4,"",IF(INDEX('Fleet dates'!$D$9:$D$1008,$I11-8)="","",INDEX('Fleet dates'!$D$9:$D$1008,$I11-8)))</x:f>
      </x:c>
      <x:c r="E11" s="51" t="str">
        <x:f>IF(3&gt;$H$4,"",IF(INDEX('Fleet dates'!$E$9:$E$1008,$I11-8)="","",INDEX('Fleet dates'!$E$9:$E$1008,$I11-8)))</x:f>
      </x:c>
      <x:c r="F11" s="51" t="str">
        <x:f>IF(3&gt;$H$4,"",IF(INDEX('Fleet dates'!$F$9:$F$1008,$I11-8)="","",INDEX('Fleet dates'!$F$9:$F$1008,$I11-8)))</x:f>
      </x:c>
      <x:c r="G11" s="50" t="str">
        <x:f>IF(3&gt;$H$4,"",IF(INDEX('Fleet dates'!$G$9:$G$1008,$I11-8)="","",INDEX('Fleet dates'!$G$9:$G$1008,$I11-8)))</x:f>
      </x:c>
      <x:c r="H11" s="50" t="str">
        <x:f>IF(3&gt;$H$4,"",IF(INDEX('Fleet dates'!$I$9:$I$1008,$I11-8)="","",INDEX('Fleet dates'!$I$9:$I$1008,$I11-8)))</x:f>
      </x:c>
      <x:c r="I11" t="str">
        <x:f>IF(3&gt;$H$4,"",MATCH(3,'Fleet dates'!$K$9:$K$1008,0)+8)</x:f>
      </x:c>
    </x:row>
    <x:row r="12" ht="36" customHeight="1">
      <x:c r="A12" s="50" t="str">
        <x:f>IF(4&gt;$H$4,"",IF(INDEX('Fleet dates'!$A$9:$A$1008,$I12-8)="","",INDEX('Fleet dates'!$A$9:$A$1008,$I12-8)))</x:f>
      </x:c>
      <x:c r="B12" s="50" t="str">
        <x:f>IF(4&gt;$H$4,"",IF(INDEX('Fleet dates'!$B$9:$B$1008,$I12-8)="","",INDEX('Fleet dates'!$B$9:$B$1008,$I12-8)))</x:f>
      </x:c>
      <x:c r="C12" s="51" t="str">
        <x:f>IF(4&gt;$H$4,"",IF(INDEX('Fleet dates'!$C$9:$C$1008,$I12-8)="","",INDEX('Fleet dates'!$C$9:$C$1008,$I12-8)))</x:f>
      </x:c>
      <x:c r="D12" s="51" t="str">
        <x:f>IF(4&gt;$H$4,"",IF(INDEX('Fleet dates'!$D$9:$D$1008,$I12-8)="","",INDEX('Fleet dates'!$D$9:$D$1008,$I12-8)))</x:f>
      </x:c>
      <x:c r="E12" s="51" t="str">
        <x:f>IF(4&gt;$H$4,"",IF(INDEX('Fleet dates'!$E$9:$E$1008,$I12-8)="","",INDEX('Fleet dates'!$E$9:$E$1008,$I12-8)))</x:f>
      </x:c>
      <x:c r="F12" s="51" t="str">
        <x:f>IF(4&gt;$H$4,"",IF(INDEX('Fleet dates'!$F$9:$F$1008,$I12-8)="","",INDEX('Fleet dates'!$F$9:$F$1008,$I12-8)))</x:f>
      </x:c>
      <x:c r="G12" s="50" t="str">
        <x:f>IF(4&gt;$H$4,"",IF(INDEX('Fleet dates'!$G$9:$G$1008,$I12-8)="","",INDEX('Fleet dates'!$G$9:$G$1008,$I12-8)))</x:f>
      </x:c>
      <x:c r="H12" s="50" t="str">
        <x:f>IF(4&gt;$H$4,"",IF(INDEX('Fleet dates'!$I$9:$I$1008,$I12-8)="","",INDEX('Fleet dates'!$I$9:$I$1008,$I12-8)))</x:f>
      </x:c>
      <x:c r="I12" t="str">
        <x:f>IF(4&gt;$H$4,"",MATCH(4,'Fleet dates'!$K$9:$K$1008,0)+8)</x:f>
      </x:c>
    </x:row>
    <x:row r="13" ht="36" customHeight="1">
      <x:c r="A13" s="50" t="str">
        <x:f>IF(5&gt;$H$4,"",IF(INDEX('Fleet dates'!$A$9:$A$1008,$I13-8)="","",INDEX('Fleet dates'!$A$9:$A$1008,$I13-8)))</x:f>
      </x:c>
      <x:c r="B13" s="50" t="str">
        <x:f>IF(5&gt;$H$4,"",IF(INDEX('Fleet dates'!$B$9:$B$1008,$I13-8)="","",INDEX('Fleet dates'!$B$9:$B$1008,$I13-8)))</x:f>
      </x:c>
      <x:c r="C13" s="51" t="str">
        <x:f>IF(5&gt;$H$4,"",IF(INDEX('Fleet dates'!$C$9:$C$1008,$I13-8)="","",INDEX('Fleet dates'!$C$9:$C$1008,$I13-8)))</x:f>
      </x:c>
      <x:c r="D13" s="51" t="str">
        <x:f>IF(5&gt;$H$4,"",IF(INDEX('Fleet dates'!$D$9:$D$1008,$I13-8)="","",INDEX('Fleet dates'!$D$9:$D$1008,$I13-8)))</x:f>
      </x:c>
      <x:c r="E13" s="51" t="str">
        <x:f>IF(5&gt;$H$4,"",IF(INDEX('Fleet dates'!$E$9:$E$1008,$I13-8)="","",INDEX('Fleet dates'!$E$9:$E$1008,$I13-8)))</x:f>
      </x:c>
      <x:c r="F13" s="51" t="str">
        <x:f>IF(5&gt;$H$4,"",IF(INDEX('Fleet dates'!$F$9:$F$1008,$I13-8)="","",INDEX('Fleet dates'!$F$9:$F$1008,$I13-8)))</x:f>
      </x:c>
      <x:c r="G13" s="50" t="str">
        <x:f>IF(5&gt;$H$4,"",IF(INDEX('Fleet dates'!$G$9:$G$1008,$I13-8)="","",INDEX('Fleet dates'!$G$9:$G$1008,$I13-8)))</x:f>
      </x:c>
      <x:c r="H13" s="50" t="str">
        <x:f>IF(5&gt;$H$4,"",IF(INDEX('Fleet dates'!$I$9:$I$1008,$I13-8)="","",INDEX('Fleet dates'!$I$9:$I$1008,$I13-8)))</x:f>
      </x:c>
      <x:c r="I13" t="str">
        <x:f>IF(5&gt;$H$4,"",MATCH(5,'Fleet dates'!$K$9:$K$1008,0)+8)</x:f>
      </x:c>
    </x:row>
    <x:row r="14" ht="36" customHeight="1">
      <x:c r="A14" s="50" t="str">
        <x:f>IF(6&gt;$H$4,"",IF(INDEX('Fleet dates'!$A$9:$A$1008,$I14-8)="","",INDEX('Fleet dates'!$A$9:$A$1008,$I14-8)))</x:f>
      </x:c>
      <x:c r="B14" s="50" t="str">
        <x:f>IF(6&gt;$H$4,"",IF(INDEX('Fleet dates'!$B$9:$B$1008,$I14-8)="","",INDEX('Fleet dates'!$B$9:$B$1008,$I14-8)))</x:f>
      </x:c>
      <x:c r="C14" s="51" t="str">
        <x:f>IF(6&gt;$H$4,"",IF(INDEX('Fleet dates'!$C$9:$C$1008,$I14-8)="","",INDEX('Fleet dates'!$C$9:$C$1008,$I14-8)))</x:f>
      </x:c>
      <x:c r="D14" s="51" t="str">
        <x:f>IF(6&gt;$H$4,"",IF(INDEX('Fleet dates'!$D$9:$D$1008,$I14-8)="","",INDEX('Fleet dates'!$D$9:$D$1008,$I14-8)))</x:f>
      </x:c>
      <x:c r="E14" s="51" t="str">
        <x:f>IF(6&gt;$H$4,"",IF(INDEX('Fleet dates'!$E$9:$E$1008,$I14-8)="","",INDEX('Fleet dates'!$E$9:$E$1008,$I14-8)))</x:f>
      </x:c>
      <x:c r="F14" s="51" t="str">
        <x:f>IF(6&gt;$H$4,"",IF(INDEX('Fleet dates'!$F$9:$F$1008,$I14-8)="","",INDEX('Fleet dates'!$F$9:$F$1008,$I14-8)))</x:f>
      </x:c>
      <x:c r="G14" s="50" t="str">
        <x:f>IF(6&gt;$H$4,"",IF(INDEX('Fleet dates'!$G$9:$G$1008,$I14-8)="","",INDEX('Fleet dates'!$G$9:$G$1008,$I14-8)))</x:f>
      </x:c>
      <x:c r="H14" s="50" t="str">
        <x:f>IF(6&gt;$H$4,"",IF(INDEX('Fleet dates'!$I$9:$I$1008,$I14-8)="","",INDEX('Fleet dates'!$I$9:$I$1008,$I14-8)))</x:f>
      </x:c>
      <x:c r="I14" t="str">
        <x:f>IF(6&gt;$H$4,"",MATCH(6,'Fleet dates'!$K$9:$K$1008,0)+8)</x:f>
      </x:c>
    </x:row>
    <x:row r="15" ht="36" customHeight="1">
      <x:c r="A15" s="50" t="str">
        <x:f>IF(7&gt;$H$4,"",IF(INDEX('Fleet dates'!$A$9:$A$1008,$I15-8)="","",INDEX('Fleet dates'!$A$9:$A$1008,$I15-8)))</x:f>
      </x:c>
      <x:c r="B15" s="50" t="str">
        <x:f>IF(7&gt;$H$4,"",IF(INDEX('Fleet dates'!$B$9:$B$1008,$I15-8)="","",INDEX('Fleet dates'!$B$9:$B$1008,$I15-8)))</x:f>
      </x:c>
      <x:c r="C15" s="51" t="str">
        <x:f>IF(7&gt;$H$4,"",IF(INDEX('Fleet dates'!$C$9:$C$1008,$I15-8)="","",INDEX('Fleet dates'!$C$9:$C$1008,$I15-8)))</x:f>
      </x:c>
      <x:c r="D15" s="51" t="str">
        <x:f>IF(7&gt;$H$4,"",IF(INDEX('Fleet dates'!$D$9:$D$1008,$I15-8)="","",INDEX('Fleet dates'!$D$9:$D$1008,$I15-8)))</x:f>
      </x:c>
      <x:c r="E15" s="51" t="str">
        <x:f>IF(7&gt;$H$4,"",IF(INDEX('Fleet dates'!$E$9:$E$1008,$I15-8)="","",INDEX('Fleet dates'!$E$9:$E$1008,$I15-8)))</x:f>
      </x:c>
      <x:c r="F15" s="51" t="str">
        <x:f>IF(7&gt;$H$4,"",IF(INDEX('Fleet dates'!$F$9:$F$1008,$I15-8)="","",INDEX('Fleet dates'!$F$9:$F$1008,$I15-8)))</x:f>
      </x:c>
      <x:c r="G15" s="50" t="str">
        <x:f>IF(7&gt;$H$4,"",IF(INDEX('Fleet dates'!$G$9:$G$1008,$I15-8)="","",INDEX('Fleet dates'!$G$9:$G$1008,$I15-8)))</x:f>
      </x:c>
      <x:c r="H15" s="50" t="str">
        <x:f>IF(7&gt;$H$4,"",IF(INDEX('Fleet dates'!$I$9:$I$1008,$I15-8)="","",INDEX('Fleet dates'!$I$9:$I$1008,$I15-8)))</x:f>
      </x:c>
      <x:c r="I15" t="str">
        <x:f>IF(7&gt;$H$4,"",MATCH(7,'Fleet dates'!$K$9:$K$1008,0)+8)</x:f>
      </x:c>
    </x:row>
    <x:row r="16" ht="36" customHeight="1">
      <x:c r="A16" s="50" t="str">
        <x:f>IF(8&gt;$H$4,"",IF(INDEX('Fleet dates'!$A$9:$A$1008,$I16-8)="","",INDEX('Fleet dates'!$A$9:$A$1008,$I16-8)))</x:f>
      </x:c>
      <x:c r="B16" s="50" t="str">
        <x:f>IF(8&gt;$H$4,"",IF(INDEX('Fleet dates'!$B$9:$B$1008,$I16-8)="","",INDEX('Fleet dates'!$B$9:$B$1008,$I16-8)))</x:f>
      </x:c>
      <x:c r="C16" s="51" t="str">
        <x:f>IF(8&gt;$H$4,"",IF(INDEX('Fleet dates'!$C$9:$C$1008,$I16-8)="","",INDEX('Fleet dates'!$C$9:$C$1008,$I16-8)))</x:f>
      </x:c>
      <x:c r="D16" s="51" t="str">
        <x:f>IF(8&gt;$H$4,"",IF(INDEX('Fleet dates'!$D$9:$D$1008,$I16-8)="","",INDEX('Fleet dates'!$D$9:$D$1008,$I16-8)))</x:f>
      </x:c>
      <x:c r="E16" s="51" t="str">
        <x:f>IF(8&gt;$H$4,"",IF(INDEX('Fleet dates'!$E$9:$E$1008,$I16-8)="","",INDEX('Fleet dates'!$E$9:$E$1008,$I16-8)))</x:f>
      </x:c>
      <x:c r="F16" s="51" t="str">
        <x:f>IF(8&gt;$H$4,"",IF(INDEX('Fleet dates'!$F$9:$F$1008,$I16-8)="","",INDEX('Fleet dates'!$F$9:$F$1008,$I16-8)))</x:f>
      </x:c>
      <x:c r="G16" s="50" t="str">
        <x:f>IF(8&gt;$H$4,"",IF(INDEX('Fleet dates'!$G$9:$G$1008,$I16-8)="","",INDEX('Fleet dates'!$G$9:$G$1008,$I16-8)))</x:f>
      </x:c>
      <x:c r="H16" s="50" t="str">
        <x:f>IF(8&gt;$H$4,"",IF(INDEX('Fleet dates'!$I$9:$I$1008,$I16-8)="","",INDEX('Fleet dates'!$I$9:$I$1008,$I16-8)))</x:f>
      </x:c>
      <x:c r="I16" t="str">
        <x:f>IF(8&gt;$H$4,"",MATCH(8,'Fleet dates'!$K$9:$K$1008,0)+8)</x:f>
      </x:c>
    </x:row>
    <x:row r="17" ht="36" customHeight="1">
      <x:c r="A17" s="50" t="str">
        <x:f>IF(9&gt;$H$4,"",IF(INDEX('Fleet dates'!$A$9:$A$1008,$I17-8)="","",INDEX('Fleet dates'!$A$9:$A$1008,$I17-8)))</x:f>
      </x:c>
      <x:c r="B17" s="50" t="str">
        <x:f>IF(9&gt;$H$4,"",IF(INDEX('Fleet dates'!$B$9:$B$1008,$I17-8)="","",INDEX('Fleet dates'!$B$9:$B$1008,$I17-8)))</x:f>
      </x:c>
      <x:c r="C17" s="51" t="str">
        <x:f>IF(9&gt;$H$4,"",IF(INDEX('Fleet dates'!$C$9:$C$1008,$I17-8)="","",INDEX('Fleet dates'!$C$9:$C$1008,$I17-8)))</x:f>
      </x:c>
      <x:c r="D17" s="51" t="str">
        <x:f>IF(9&gt;$H$4,"",IF(INDEX('Fleet dates'!$D$9:$D$1008,$I17-8)="","",INDEX('Fleet dates'!$D$9:$D$1008,$I17-8)))</x:f>
      </x:c>
      <x:c r="E17" s="51" t="str">
        <x:f>IF(9&gt;$H$4,"",IF(INDEX('Fleet dates'!$E$9:$E$1008,$I17-8)="","",INDEX('Fleet dates'!$E$9:$E$1008,$I17-8)))</x:f>
      </x:c>
      <x:c r="F17" s="51" t="str">
        <x:f>IF(9&gt;$H$4,"",IF(INDEX('Fleet dates'!$F$9:$F$1008,$I17-8)="","",INDEX('Fleet dates'!$F$9:$F$1008,$I17-8)))</x:f>
      </x:c>
      <x:c r="G17" s="50" t="str">
        <x:f>IF(9&gt;$H$4,"",IF(INDEX('Fleet dates'!$G$9:$G$1008,$I17-8)="","",INDEX('Fleet dates'!$G$9:$G$1008,$I17-8)))</x:f>
      </x:c>
      <x:c r="H17" s="50" t="str">
        <x:f>IF(9&gt;$H$4,"",IF(INDEX('Fleet dates'!$I$9:$I$1008,$I17-8)="","",INDEX('Fleet dates'!$I$9:$I$1008,$I17-8)))</x:f>
      </x:c>
      <x:c r="I17" t="str">
        <x:f>IF(9&gt;$H$4,"",MATCH(9,'Fleet dates'!$K$9:$K$1008,0)+8)</x:f>
      </x:c>
    </x:row>
    <x:row r="18" ht="36" customHeight="1">
      <x:c r="A18" s="50" t="str">
        <x:f>IF(10&gt;$H$4,"",IF(INDEX('Fleet dates'!$A$9:$A$1008,$I18-8)="","",INDEX('Fleet dates'!$A$9:$A$1008,$I18-8)))</x:f>
      </x:c>
      <x:c r="B18" s="50" t="str">
        <x:f>IF(10&gt;$H$4,"",IF(INDEX('Fleet dates'!$B$9:$B$1008,$I18-8)="","",INDEX('Fleet dates'!$B$9:$B$1008,$I18-8)))</x:f>
      </x:c>
      <x:c r="C18" s="51" t="str">
        <x:f>IF(10&gt;$H$4,"",IF(INDEX('Fleet dates'!$C$9:$C$1008,$I18-8)="","",INDEX('Fleet dates'!$C$9:$C$1008,$I18-8)))</x:f>
      </x:c>
      <x:c r="D18" s="51" t="str">
        <x:f>IF(10&gt;$H$4,"",IF(INDEX('Fleet dates'!$D$9:$D$1008,$I18-8)="","",INDEX('Fleet dates'!$D$9:$D$1008,$I18-8)))</x:f>
      </x:c>
      <x:c r="E18" s="51" t="str">
        <x:f>IF(10&gt;$H$4,"",IF(INDEX('Fleet dates'!$E$9:$E$1008,$I18-8)="","",INDEX('Fleet dates'!$E$9:$E$1008,$I18-8)))</x:f>
      </x:c>
      <x:c r="F18" s="51" t="str">
        <x:f>IF(10&gt;$H$4,"",IF(INDEX('Fleet dates'!$F$9:$F$1008,$I18-8)="","",INDEX('Fleet dates'!$F$9:$F$1008,$I18-8)))</x:f>
      </x:c>
      <x:c r="G18" s="50" t="str">
        <x:f>IF(10&gt;$H$4,"",IF(INDEX('Fleet dates'!$G$9:$G$1008,$I18-8)="","",INDEX('Fleet dates'!$G$9:$G$1008,$I18-8)))</x:f>
      </x:c>
      <x:c r="H18" s="50" t="str">
        <x:f>IF(10&gt;$H$4,"",IF(INDEX('Fleet dates'!$I$9:$I$1008,$I18-8)="","",INDEX('Fleet dates'!$I$9:$I$1008,$I18-8)))</x:f>
      </x:c>
      <x:c r="I18" t="str">
        <x:f>IF(10&gt;$H$4,"",MATCH(10,'Fleet dates'!$K$9:$K$1008,0)+8)</x:f>
      </x:c>
    </x:row>
    <x:row r="19" ht="36" customHeight="1">
      <x:c r="A19" s="50" t="str">
        <x:f>IF(11&gt;$H$4,"",IF(INDEX('Fleet dates'!$A$9:$A$1008,$I19-8)="","",INDEX('Fleet dates'!$A$9:$A$1008,$I19-8)))</x:f>
      </x:c>
      <x:c r="B19" s="50" t="str">
        <x:f>IF(11&gt;$H$4,"",IF(INDEX('Fleet dates'!$B$9:$B$1008,$I19-8)="","",INDEX('Fleet dates'!$B$9:$B$1008,$I19-8)))</x:f>
      </x:c>
      <x:c r="C19" s="51" t="str">
        <x:f>IF(11&gt;$H$4,"",IF(INDEX('Fleet dates'!$C$9:$C$1008,$I19-8)="","",INDEX('Fleet dates'!$C$9:$C$1008,$I19-8)))</x:f>
      </x:c>
      <x:c r="D19" s="51" t="str">
        <x:f>IF(11&gt;$H$4,"",IF(INDEX('Fleet dates'!$D$9:$D$1008,$I19-8)="","",INDEX('Fleet dates'!$D$9:$D$1008,$I19-8)))</x:f>
      </x:c>
      <x:c r="E19" s="51" t="str">
        <x:f>IF(11&gt;$H$4,"",IF(INDEX('Fleet dates'!$E$9:$E$1008,$I19-8)="","",INDEX('Fleet dates'!$E$9:$E$1008,$I19-8)))</x:f>
      </x:c>
      <x:c r="F19" s="51" t="str">
        <x:f>IF(11&gt;$H$4,"",IF(INDEX('Fleet dates'!$F$9:$F$1008,$I19-8)="","",INDEX('Fleet dates'!$F$9:$F$1008,$I19-8)))</x:f>
      </x:c>
      <x:c r="G19" s="50" t="str">
        <x:f>IF(11&gt;$H$4,"",IF(INDEX('Fleet dates'!$G$9:$G$1008,$I19-8)="","",INDEX('Fleet dates'!$G$9:$G$1008,$I19-8)))</x:f>
      </x:c>
      <x:c r="H19" s="50" t="str">
        <x:f>IF(11&gt;$H$4,"",IF(INDEX('Fleet dates'!$I$9:$I$1008,$I19-8)="","",INDEX('Fleet dates'!$I$9:$I$1008,$I19-8)))</x:f>
      </x:c>
      <x:c r="I19" t="str">
        <x:f>IF(11&gt;$H$4,"",MATCH(11,'Fleet dates'!$K$9:$K$1008,0)+8)</x:f>
      </x:c>
    </x:row>
    <x:row r="20" ht="36" customHeight="1">
      <x:c r="A20" s="50" t="str">
        <x:f>IF(12&gt;$H$4,"",IF(INDEX('Fleet dates'!$A$9:$A$1008,$I20-8)="","",INDEX('Fleet dates'!$A$9:$A$1008,$I20-8)))</x:f>
      </x:c>
      <x:c r="B20" s="50" t="str">
        <x:f>IF(12&gt;$H$4,"",IF(INDEX('Fleet dates'!$B$9:$B$1008,$I20-8)="","",INDEX('Fleet dates'!$B$9:$B$1008,$I20-8)))</x:f>
      </x:c>
      <x:c r="C20" s="51" t="str">
        <x:f>IF(12&gt;$H$4,"",IF(INDEX('Fleet dates'!$C$9:$C$1008,$I20-8)="","",INDEX('Fleet dates'!$C$9:$C$1008,$I20-8)))</x:f>
      </x:c>
      <x:c r="D20" s="51" t="str">
        <x:f>IF(12&gt;$H$4,"",IF(INDEX('Fleet dates'!$D$9:$D$1008,$I20-8)="","",INDEX('Fleet dates'!$D$9:$D$1008,$I20-8)))</x:f>
      </x:c>
      <x:c r="E20" s="51" t="str">
        <x:f>IF(12&gt;$H$4,"",IF(INDEX('Fleet dates'!$E$9:$E$1008,$I20-8)="","",INDEX('Fleet dates'!$E$9:$E$1008,$I20-8)))</x:f>
      </x:c>
      <x:c r="F20" s="51" t="str">
        <x:f>IF(12&gt;$H$4,"",IF(INDEX('Fleet dates'!$F$9:$F$1008,$I20-8)="","",INDEX('Fleet dates'!$F$9:$F$1008,$I20-8)))</x:f>
      </x:c>
      <x:c r="G20" s="50" t="str">
        <x:f>IF(12&gt;$H$4,"",IF(INDEX('Fleet dates'!$G$9:$G$1008,$I20-8)="","",INDEX('Fleet dates'!$G$9:$G$1008,$I20-8)))</x:f>
      </x:c>
      <x:c r="H20" s="50" t="str">
        <x:f>IF(12&gt;$H$4,"",IF(INDEX('Fleet dates'!$I$9:$I$1008,$I20-8)="","",INDEX('Fleet dates'!$I$9:$I$1008,$I20-8)))</x:f>
      </x:c>
      <x:c r="I20" t="str">
        <x:f>IF(12&gt;$H$4,"",MATCH(12,'Fleet dates'!$K$9:$K$1008,0)+8)</x:f>
      </x:c>
    </x:row>
    <x:row r="21" ht="36" customHeight="1">
      <x:c r="A21" s="50" t="str">
        <x:f>IF(13&gt;$H$4,"",IF(INDEX('Fleet dates'!$A$9:$A$1008,$I21-8)="","",INDEX('Fleet dates'!$A$9:$A$1008,$I21-8)))</x:f>
      </x:c>
      <x:c r="B21" s="50" t="str">
        <x:f>IF(13&gt;$H$4,"",IF(INDEX('Fleet dates'!$B$9:$B$1008,$I21-8)="","",INDEX('Fleet dates'!$B$9:$B$1008,$I21-8)))</x:f>
      </x:c>
      <x:c r="C21" s="51" t="str">
        <x:f>IF(13&gt;$H$4,"",IF(INDEX('Fleet dates'!$C$9:$C$1008,$I21-8)="","",INDEX('Fleet dates'!$C$9:$C$1008,$I21-8)))</x:f>
      </x:c>
      <x:c r="D21" s="51" t="str">
        <x:f>IF(13&gt;$H$4,"",IF(INDEX('Fleet dates'!$D$9:$D$1008,$I21-8)="","",INDEX('Fleet dates'!$D$9:$D$1008,$I21-8)))</x:f>
      </x:c>
      <x:c r="E21" s="51" t="str">
        <x:f>IF(13&gt;$H$4,"",IF(INDEX('Fleet dates'!$E$9:$E$1008,$I21-8)="","",INDEX('Fleet dates'!$E$9:$E$1008,$I21-8)))</x:f>
      </x:c>
      <x:c r="F21" s="51" t="str">
        <x:f>IF(13&gt;$H$4,"",IF(INDEX('Fleet dates'!$F$9:$F$1008,$I21-8)="","",INDEX('Fleet dates'!$F$9:$F$1008,$I21-8)))</x:f>
      </x:c>
      <x:c r="G21" s="50" t="str">
        <x:f>IF(13&gt;$H$4,"",IF(INDEX('Fleet dates'!$G$9:$G$1008,$I21-8)="","",INDEX('Fleet dates'!$G$9:$G$1008,$I21-8)))</x:f>
      </x:c>
      <x:c r="H21" s="50" t="str">
        <x:f>IF(13&gt;$H$4,"",IF(INDEX('Fleet dates'!$I$9:$I$1008,$I21-8)="","",INDEX('Fleet dates'!$I$9:$I$1008,$I21-8)))</x:f>
      </x:c>
      <x:c r="I21" t="str">
        <x:f>IF(13&gt;$H$4,"",MATCH(13,'Fleet dates'!$K$9:$K$1008,0)+8)</x:f>
      </x:c>
    </x:row>
    <x:row r="22" ht="36" customHeight="1">
      <x:c r="A22" s="50" t="str">
        <x:f>IF(14&gt;$H$4,"",IF(INDEX('Fleet dates'!$A$9:$A$1008,$I22-8)="","",INDEX('Fleet dates'!$A$9:$A$1008,$I22-8)))</x:f>
      </x:c>
      <x:c r="B22" s="50" t="str">
        <x:f>IF(14&gt;$H$4,"",IF(INDEX('Fleet dates'!$B$9:$B$1008,$I22-8)="","",INDEX('Fleet dates'!$B$9:$B$1008,$I22-8)))</x:f>
      </x:c>
      <x:c r="C22" s="51" t="str">
        <x:f>IF(14&gt;$H$4,"",IF(INDEX('Fleet dates'!$C$9:$C$1008,$I22-8)="","",INDEX('Fleet dates'!$C$9:$C$1008,$I22-8)))</x:f>
      </x:c>
      <x:c r="D22" s="51" t="str">
        <x:f>IF(14&gt;$H$4,"",IF(INDEX('Fleet dates'!$D$9:$D$1008,$I22-8)="","",INDEX('Fleet dates'!$D$9:$D$1008,$I22-8)))</x:f>
      </x:c>
      <x:c r="E22" s="51" t="str">
        <x:f>IF(14&gt;$H$4,"",IF(INDEX('Fleet dates'!$E$9:$E$1008,$I22-8)="","",INDEX('Fleet dates'!$E$9:$E$1008,$I22-8)))</x:f>
      </x:c>
      <x:c r="F22" s="51" t="str">
        <x:f>IF(14&gt;$H$4,"",IF(INDEX('Fleet dates'!$F$9:$F$1008,$I22-8)="","",INDEX('Fleet dates'!$F$9:$F$1008,$I22-8)))</x:f>
      </x:c>
      <x:c r="G22" s="50" t="str">
        <x:f>IF(14&gt;$H$4,"",IF(INDEX('Fleet dates'!$G$9:$G$1008,$I22-8)="","",INDEX('Fleet dates'!$G$9:$G$1008,$I22-8)))</x:f>
      </x:c>
      <x:c r="H22" s="50" t="str">
        <x:f>IF(14&gt;$H$4,"",IF(INDEX('Fleet dates'!$I$9:$I$1008,$I22-8)="","",INDEX('Fleet dates'!$I$9:$I$1008,$I22-8)))</x:f>
      </x:c>
      <x:c r="I22" t="str">
        <x:f>IF(14&gt;$H$4,"",MATCH(14,'Fleet dates'!$K$9:$K$1008,0)+8)</x:f>
      </x:c>
    </x:row>
    <x:row r="23" ht="36" customHeight="1">
      <x:c r="A23" s="50" t="str">
        <x:f>IF(15&gt;$H$4,"",IF(INDEX('Fleet dates'!$A$9:$A$1008,$I23-8)="","",INDEX('Fleet dates'!$A$9:$A$1008,$I23-8)))</x:f>
      </x:c>
      <x:c r="B23" s="50" t="str">
        <x:f>IF(15&gt;$H$4,"",IF(INDEX('Fleet dates'!$B$9:$B$1008,$I23-8)="","",INDEX('Fleet dates'!$B$9:$B$1008,$I23-8)))</x:f>
      </x:c>
      <x:c r="C23" s="51" t="str">
        <x:f>IF(15&gt;$H$4,"",IF(INDEX('Fleet dates'!$C$9:$C$1008,$I23-8)="","",INDEX('Fleet dates'!$C$9:$C$1008,$I23-8)))</x:f>
      </x:c>
      <x:c r="D23" s="51" t="str">
        <x:f>IF(15&gt;$H$4,"",IF(INDEX('Fleet dates'!$D$9:$D$1008,$I23-8)="","",INDEX('Fleet dates'!$D$9:$D$1008,$I23-8)))</x:f>
      </x:c>
      <x:c r="E23" s="51" t="str">
        <x:f>IF(15&gt;$H$4,"",IF(INDEX('Fleet dates'!$E$9:$E$1008,$I23-8)="","",INDEX('Fleet dates'!$E$9:$E$1008,$I23-8)))</x:f>
      </x:c>
      <x:c r="F23" s="51" t="str">
        <x:f>IF(15&gt;$H$4,"",IF(INDEX('Fleet dates'!$F$9:$F$1008,$I23-8)="","",INDEX('Fleet dates'!$F$9:$F$1008,$I23-8)))</x:f>
      </x:c>
      <x:c r="G23" s="50" t="str">
        <x:f>IF(15&gt;$H$4,"",IF(INDEX('Fleet dates'!$G$9:$G$1008,$I23-8)="","",INDEX('Fleet dates'!$G$9:$G$1008,$I23-8)))</x:f>
      </x:c>
      <x:c r="H23" s="50" t="str">
        <x:f>IF(15&gt;$H$4,"",IF(INDEX('Fleet dates'!$I$9:$I$1008,$I23-8)="","",INDEX('Fleet dates'!$I$9:$I$1008,$I23-8)))</x:f>
      </x:c>
      <x:c r="I23" t="str">
        <x:f>IF(15&gt;$H$4,"",MATCH(15,'Fleet dates'!$K$9:$K$1008,0)+8)</x:f>
      </x:c>
    </x:row>
    <x:row r="24" ht="36" customHeight="1">
      <x:c r="A24" s="50" t="str">
        <x:f>IF(16&gt;$H$4,"",IF(INDEX('Fleet dates'!$A$9:$A$1008,$I24-8)="","",INDEX('Fleet dates'!$A$9:$A$1008,$I24-8)))</x:f>
      </x:c>
      <x:c r="B24" s="50" t="str">
        <x:f>IF(16&gt;$H$4,"",IF(INDEX('Fleet dates'!$B$9:$B$1008,$I24-8)="","",INDEX('Fleet dates'!$B$9:$B$1008,$I24-8)))</x:f>
      </x:c>
      <x:c r="C24" s="51" t="str">
        <x:f>IF(16&gt;$H$4,"",IF(INDEX('Fleet dates'!$C$9:$C$1008,$I24-8)="","",INDEX('Fleet dates'!$C$9:$C$1008,$I24-8)))</x:f>
      </x:c>
      <x:c r="D24" s="51" t="str">
        <x:f>IF(16&gt;$H$4,"",IF(INDEX('Fleet dates'!$D$9:$D$1008,$I24-8)="","",INDEX('Fleet dates'!$D$9:$D$1008,$I24-8)))</x:f>
      </x:c>
      <x:c r="E24" s="51" t="str">
        <x:f>IF(16&gt;$H$4,"",IF(INDEX('Fleet dates'!$E$9:$E$1008,$I24-8)="","",INDEX('Fleet dates'!$E$9:$E$1008,$I24-8)))</x:f>
      </x:c>
      <x:c r="F24" s="51" t="str">
        <x:f>IF(16&gt;$H$4,"",IF(INDEX('Fleet dates'!$F$9:$F$1008,$I24-8)="","",INDEX('Fleet dates'!$F$9:$F$1008,$I24-8)))</x:f>
      </x:c>
      <x:c r="G24" s="50" t="str">
        <x:f>IF(16&gt;$H$4,"",IF(INDEX('Fleet dates'!$G$9:$G$1008,$I24-8)="","",INDEX('Fleet dates'!$G$9:$G$1008,$I24-8)))</x:f>
      </x:c>
      <x:c r="H24" s="50" t="str">
        <x:f>IF(16&gt;$H$4,"",IF(INDEX('Fleet dates'!$I$9:$I$1008,$I24-8)="","",INDEX('Fleet dates'!$I$9:$I$1008,$I24-8)))</x:f>
      </x:c>
      <x:c r="I24" t="str">
        <x:f>IF(16&gt;$H$4,"",MATCH(16,'Fleet dates'!$K$9:$K$1008,0)+8)</x:f>
      </x:c>
    </x:row>
    <x:row r="25" ht="36" customHeight="1">
      <x:c r="A25" s="50" t="str">
        <x:f>IF(17&gt;$H$4,"",IF(INDEX('Fleet dates'!$A$9:$A$1008,$I25-8)="","",INDEX('Fleet dates'!$A$9:$A$1008,$I25-8)))</x:f>
      </x:c>
      <x:c r="B25" s="50" t="str">
        <x:f>IF(17&gt;$H$4,"",IF(INDEX('Fleet dates'!$B$9:$B$1008,$I25-8)="","",INDEX('Fleet dates'!$B$9:$B$1008,$I25-8)))</x:f>
      </x:c>
      <x:c r="C25" s="51" t="str">
        <x:f>IF(17&gt;$H$4,"",IF(INDEX('Fleet dates'!$C$9:$C$1008,$I25-8)="","",INDEX('Fleet dates'!$C$9:$C$1008,$I25-8)))</x:f>
      </x:c>
      <x:c r="D25" s="51" t="str">
        <x:f>IF(17&gt;$H$4,"",IF(INDEX('Fleet dates'!$D$9:$D$1008,$I25-8)="","",INDEX('Fleet dates'!$D$9:$D$1008,$I25-8)))</x:f>
      </x:c>
      <x:c r="E25" s="51" t="str">
        <x:f>IF(17&gt;$H$4,"",IF(INDEX('Fleet dates'!$E$9:$E$1008,$I25-8)="","",INDEX('Fleet dates'!$E$9:$E$1008,$I25-8)))</x:f>
      </x:c>
      <x:c r="F25" s="51" t="str">
        <x:f>IF(17&gt;$H$4,"",IF(INDEX('Fleet dates'!$F$9:$F$1008,$I25-8)="","",INDEX('Fleet dates'!$F$9:$F$1008,$I25-8)))</x:f>
      </x:c>
      <x:c r="G25" s="50" t="str">
        <x:f>IF(17&gt;$H$4,"",IF(INDEX('Fleet dates'!$G$9:$G$1008,$I25-8)="","",INDEX('Fleet dates'!$G$9:$G$1008,$I25-8)))</x:f>
      </x:c>
      <x:c r="H25" s="50" t="str">
        <x:f>IF(17&gt;$H$4,"",IF(INDEX('Fleet dates'!$I$9:$I$1008,$I25-8)="","",INDEX('Fleet dates'!$I$9:$I$1008,$I25-8)))</x:f>
      </x:c>
      <x:c r="I25" t="str">
        <x:f>IF(17&gt;$H$4,"",MATCH(17,'Fleet dates'!$K$9:$K$1008,0)+8)</x:f>
      </x:c>
    </x:row>
    <x:row r="26" ht="36" customHeight="1">
      <x:c r="A26" s="50" t="str">
        <x:f>IF(18&gt;$H$4,"",IF(INDEX('Fleet dates'!$A$9:$A$1008,$I26-8)="","",INDEX('Fleet dates'!$A$9:$A$1008,$I26-8)))</x:f>
      </x:c>
      <x:c r="B26" s="50" t="str">
        <x:f>IF(18&gt;$H$4,"",IF(INDEX('Fleet dates'!$B$9:$B$1008,$I26-8)="","",INDEX('Fleet dates'!$B$9:$B$1008,$I26-8)))</x:f>
      </x:c>
      <x:c r="C26" s="51" t="str">
        <x:f>IF(18&gt;$H$4,"",IF(INDEX('Fleet dates'!$C$9:$C$1008,$I26-8)="","",INDEX('Fleet dates'!$C$9:$C$1008,$I26-8)))</x:f>
      </x:c>
      <x:c r="D26" s="51" t="str">
        <x:f>IF(18&gt;$H$4,"",IF(INDEX('Fleet dates'!$D$9:$D$1008,$I26-8)="","",INDEX('Fleet dates'!$D$9:$D$1008,$I26-8)))</x:f>
      </x:c>
      <x:c r="E26" s="51" t="str">
        <x:f>IF(18&gt;$H$4,"",IF(INDEX('Fleet dates'!$E$9:$E$1008,$I26-8)="","",INDEX('Fleet dates'!$E$9:$E$1008,$I26-8)))</x:f>
      </x:c>
      <x:c r="F26" s="51" t="str">
        <x:f>IF(18&gt;$H$4,"",IF(INDEX('Fleet dates'!$F$9:$F$1008,$I26-8)="","",INDEX('Fleet dates'!$F$9:$F$1008,$I26-8)))</x:f>
      </x:c>
      <x:c r="G26" s="50" t="str">
        <x:f>IF(18&gt;$H$4,"",IF(INDEX('Fleet dates'!$G$9:$G$1008,$I26-8)="","",INDEX('Fleet dates'!$G$9:$G$1008,$I26-8)))</x:f>
      </x:c>
      <x:c r="H26" s="50" t="str">
        <x:f>IF(18&gt;$H$4,"",IF(INDEX('Fleet dates'!$I$9:$I$1008,$I26-8)="","",INDEX('Fleet dates'!$I$9:$I$1008,$I26-8)))</x:f>
      </x:c>
      <x:c r="I26" t="str">
        <x:f>IF(18&gt;$H$4,"",MATCH(18,'Fleet dates'!$K$9:$K$1008,0)+8)</x:f>
      </x:c>
    </x:row>
    <x:row r="27" ht="36" customHeight="1">
      <x:c r="A27" s="50" t="str">
        <x:f>IF(19&gt;$H$4,"",IF(INDEX('Fleet dates'!$A$9:$A$1008,$I27-8)="","",INDEX('Fleet dates'!$A$9:$A$1008,$I27-8)))</x:f>
      </x:c>
      <x:c r="B27" s="50" t="str">
        <x:f>IF(19&gt;$H$4,"",IF(INDEX('Fleet dates'!$B$9:$B$1008,$I27-8)="","",INDEX('Fleet dates'!$B$9:$B$1008,$I27-8)))</x:f>
      </x:c>
      <x:c r="C27" s="51" t="str">
        <x:f>IF(19&gt;$H$4,"",IF(INDEX('Fleet dates'!$C$9:$C$1008,$I27-8)="","",INDEX('Fleet dates'!$C$9:$C$1008,$I27-8)))</x:f>
      </x:c>
      <x:c r="D27" s="51" t="str">
        <x:f>IF(19&gt;$H$4,"",IF(INDEX('Fleet dates'!$D$9:$D$1008,$I27-8)="","",INDEX('Fleet dates'!$D$9:$D$1008,$I27-8)))</x:f>
      </x:c>
      <x:c r="E27" s="51" t="str">
        <x:f>IF(19&gt;$H$4,"",IF(INDEX('Fleet dates'!$E$9:$E$1008,$I27-8)="","",INDEX('Fleet dates'!$E$9:$E$1008,$I27-8)))</x:f>
      </x:c>
      <x:c r="F27" s="51" t="str">
        <x:f>IF(19&gt;$H$4,"",IF(INDEX('Fleet dates'!$F$9:$F$1008,$I27-8)="","",INDEX('Fleet dates'!$F$9:$F$1008,$I27-8)))</x:f>
      </x:c>
      <x:c r="G27" s="50" t="str">
        <x:f>IF(19&gt;$H$4,"",IF(INDEX('Fleet dates'!$G$9:$G$1008,$I27-8)="","",INDEX('Fleet dates'!$G$9:$G$1008,$I27-8)))</x:f>
      </x:c>
      <x:c r="H27" s="50" t="str">
        <x:f>IF(19&gt;$H$4,"",IF(INDEX('Fleet dates'!$I$9:$I$1008,$I27-8)="","",INDEX('Fleet dates'!$I$9:$I$1008,$I27-8)))</x:f>
      </x:c>
      <x:c r="I27" t="str">
        <x:f>IF(19&gt;$H$4,"",MATCH(19,'Fleet dates'!$K$9:$K$1008,0)+8)</x:f>
      </x:c>
    </x:row>
    <x:row r="28" ht="36" customHeight="1">
      <x:c r="A28" s="50" t="str">
        <x:f>IF(20&gt;$H$4,"",IF(INDEX('Fleet dates'!$A$9:$A$1008,$I28-8)="","",INDEX('Fleet dates'!$A$9:$A$1008,$I28-8)))</x:f>
      </x:c>
      <x:c r="B28" s="50" t="str">
        <x:f>IF(20&gt;$H$4,"",IF(INDEX('Fleet dates'!$B$9:$B$1008,$I28-8)="","",INDEX('Fleet dates'!$B$9:$B$1008,$I28-8)))</x:f>
      </x:c>
      <x:c r="C28" s="51" t="str">
        <x:f>IF(20&gt;$H$4,"",IF(INDEX('Fleet dates'!$C$9:$C$1008,$I28-8)="","",INDEX('Fleet dates'!$C$9:$C$1008,$I28-8)))</x:f>
      </x:c>
      <x:c r="D28" s="51" t="str">
        <x:f>IF(20&gt;$H$4,"",IF(INDEX('Fleet dates'!$D$9:$D$1008,$I28-8)="","",INDEX('Fleet dates'!$D$9:$D$1008,$I28-8)))</x:f>
      </x:c>
      <x:c r="E28" s="51" t="str">
        <x:f>IF(20&gt;$H$4,"",IF(INDEX('Fleet dates'!$E$9:$E$1008,$I28-8)="","",INDEX('Fleet dates'!$E$9:$E$1008,$I28-8)))</x:f>
      </x:c>
      <x:c r="F28" s="51" t="str">
        <x:f>IF(20&gt;$H$4,"",IF(INDEX('Fleet dates'!$F$9:$F$1008,$I28-8)="","",INDEX('Fleet dates'!$F$9:$F$1008,$I28-8)))</x:f>
      </x:c>
      <x:c r="G28" s="50" t="str">
        <x:f>IF(20&gt;$H$4,"",IF(INDEX('Fleet dates'!$G$9:$G$1008,$I28-8)="","",INDEX('Fleet dates'!$G$9:$G$1008,$I28-8)))</x:f>
      </x:c>
      <x:c r="H28" s="50" t="str">
        <x:f>IF(20&gt;$H$4,"",IF(INDEX('Fleet dates'!$I$9:$I$1008,$I28-8)="","",INDEX('Fleet dates'!$I$9:$I$1008,$I28-8)))</x:f>
      </x:c>
      <x:c r="I28" t="str">
        <x:f>IF(20&gt;$H$4,"",MATCH(20,'Fleet dates'!$K$9:$K$1008,0)+8)</x:f>
      </x:c>
    </x:row>
    <x:row r="29" ht="36" customHeight="1">
      <x:c r="A29" s="50" t="str">
        <x:f>IF(21&gt;$H$4,"",IF(INDEX('Fleet dates'!$A$9:$A$1008,$I29-8)="","",INDEX('Fleet dates'!$A$9:$A$1008,$I29-8)))</x:f>
      </x:c>
      <x:c r="B29" s="50" t="str">
        <x:f>IF(21&gt;$H$4,"",IF(INDEX('Fleet dates'!$B$9:$B$1008,$I29-8)="","",INDEX('Fleet dates'!$B$9:$B$1008,$I29-8)))</x:f>
      </x:c>
      <x:c r="C29" s="51" t="str">
        <x:f>IF(21&gt;$H$4,"",IF(INDEX('Fleet dates'!$C$9:$C$1008,$I29-8)="","",INDEX('Fleet dates'!$C$9:$C$1008,$I29-8)))</x:f>
      </x:c>
      <x:c r="D29" s="51" t="str">
        <x:f>IF(21&gt;$H$4,"",IF(INDEX('Fleet dates'!$D$9:$D$1008,$I29-8)="","",INDEX('Fleet dates'!$D$9:$D$1008,$I29-8)))</x:f>
      </x:c>
      <x:c r="E29" s="51" t="str">
        <x:f>IF(21&gt;$H$4,"",IF(INDEX('Fleet dates'!$E$9:$E$1008,$I29-8)="","",INDEX('Fleet dates'!$E$9:$E$1008,$I29-8)))</x:f>
      </x:c>
      <x:c r="F29" s="51" t="str">
        <x:f>IF(21&gt;$H$4,"",IF(INDEX('Fleet dates'!$F$9:$F$1008,$I29-8)="","",INDEX('Fleet dates'!$F$9:$F$1008,$I29-8)))</x:f>
      </x:c>
      <x:c r="G29" s="50" t="str">
        <x:f>IF(21&gt;$H$4,"",IF(INDEX('Fleet dates'!$G$9:$G$1008,$I29-8)="","",INDEX('Fleet dates'!$G$9:$G$1008,$I29-8)))</x:f>
      </x:c>
      <x:c r="H29" s="50" t="str">
        <x:f>IF(21&gt;$H$4,"",IF(INDEX('Fleet dates'!$I$9:$I$1008,$I29-8)="","",INDEX('Fleet dates'!$I$9:$I$1008,$I29-8)))</x:f>
      </x:c>
      <x:c r="I29" t="str">
        <x:f>IF(21&gt;$H$4,"",MATCH(21,'Fleet dates'!$K$9:$K$1008,0)+8)</x:f>
      </x:c>
    </x:row>
    <x:row r="30" ht="36" customHeight="1">
      <x:c r="A30" s="50" t="str">
        <x:f>IF(22&gt;$H$4,"",IF(INDEX('Fleet dates'!$A$9:$A$1008,$I30-8)="","",INDEX('Fleet dates'!$A$9:$A$1008,$I30-8)))</x:f>
      </x:c>
      <x:c r="B30" s="50" t="str">
        <x:f>IF(22&gt;$H$4,"",IF(INDEX('Fleet dates'!$B$9:$B$1008,$I30-8)="","",INDEX('Fleet dates'!$B$9:$B$1008,$I30-8)))</x:f>
      </x:c>
      <x:c r="C30" s="51" t="str">
        <x:f>IF(22&gt;$H$4,"",IF(INDEX('Fleet dates'!$C$9:$C$1008,$I30-8)="","",INDEX('Fleet dates'!$C$9:$C$1008,$I30-8)))</x:f>
      </x:c>
      <x:c r="D30" s="51" t="str">
        <x:f>IF(22&gt;$H$4,"",IF(INDEX('Fleet dates'!$D$9:$D$1008,$I30-8)="","",INDEX('Fleet dates'!$D$9:$D$1008,$I30-8)))</x:f>
      </x:c>
      <x:c r="E30" s="51" t="str">
        <x:f>IF(22&gt;$H$4,"",IF(INDEX('Fleet dates'!$E$9:$E$1008,$I30-8)="","",INDEX('Fleet dates'!$E$9:$E$1008,$I30-8)))</x:f>
      </x:c>
      <x:c r="F30" s="51" t="str">
        <x:f>IF(22&gt;$H$4,"",IF(INDEX('Fleet dates'!$F$9:$F$1008,$I30-8)="","",INDEX('Fleet dates'!$F$9:$F$1008,$I30-8)))</x:f>
      </x:c>
      <x:c r="G30" s="50" t="str">
        <x:f>IF(22&gt;$H$4,"",IF(INDEX('Fleet dates'!$G$9:$G$1008,$I30-8)="","",INDEX('Fleet dates'!$G$9:$G$1008,$I30-8)))</x:f>
      </x:c>
      <x:c r="H30" s="50" t="str">
        <x:f>IF(22&gt;$H$4,"",IF(INDEX('Fleet dates'!$I$9:$I$1008,$I30-8)="","",INDEX('Fleet dates'!$I$9:$I$1008,$I30-8)))</x:f>
      </x:c>
      <x:c r="I30" t="str">
        <x:f>IF(22&gt;$H$4,"",MATCH(22,'Fleet dates'!$K$9:$K$1008,0)+8)</x:f>
      </x:c>
    </x:row>
    <x:row r="31" ht="36" customHeight="1">
      <x:c r="A31" s="50" t="str">
        <x:f>IF(23&gt;$H$4,"",IF(INDEX('Fleet dates'!$A$9:$A$1008,$I31-8)="","",INDEX('Fleet dates'!$A$9:$A$1008,$I31-8)))</x:f>
      </x:c>
      <x:c r="B31" s="50" t="str">
        <x:f>IF(23&gt;$H$4,"",IF(INDEX('Fleet dates'!$B$9:$B$1008,$I31-8)="","",INDEX('Fleet dates'!$B$9:$B$1008,$I31-8)))</x:f>
      </x:c>
      <x:c r="C31" s="51" t="str">
        <x:f>IF(23&gt;$H$4,"",IF(INDEX('Fleet dates'!$C$9:$C$1008,$I31-8)="","",INDEX('Fleet dates'!$C$9:$C$1008,$I31-8)))</x:f>
      </x:c>
      <x:c r="D31" s="51" t="str">
        <x:f>IF(23&gt;$H$4,"",IF(INDEX('Fleet dates'!$D$9:$D$1008,$I31-8)="","",INDEX('Fleet dates'!$D$9:$D$1008,$I31-8)))</x:f>
      </x:c>
      <x:c r="E31" s="51" t="str">
        <x:f>IF(23&gt;$H$4,"",IF(INDEX('Fleet dates'!$E$9:$E$1008,$I31-8)="","",INDEX('Fleet dates'!$E$9:$E$1008,$I31-8)))</x:f>
      </x:c>
      <x:c r="F31" s="51" t="str">
        <x:f>IF(23&gt;$H$4,"",IF(INDEX('Fleet dates'!$F$9:$F$1008,$I31-8)="","",INDEX('Fleet dates'!$F$9:$F$1008,$I31-8)))</x:f>
      </x:c>
      <x:c r="G31" s="50" t="str">
        <x:f>IF(23&gt;$H$4,"",IF(INDEX('Fleet dates'!$G$9:$G$1008,$I31-8)="","",INDEX('Fleet dates'!$G$9:$G$1008,$I31-8)))</x:f>
      </x:c>
      <x:c r="H31" s="50" t="str">
        <x:f>IF(23&gt;$H$4,"",IF(INDEX('Fleet dates'!$I$9:$I$1008,$I31-8)="","",INDEX('Fleet dates'!$I$9:$I$1008,$I31-8)))</x:f>
      </x:c>
      <x:c r="I31" t="str">
        <x:f>IF(23&gt;$H$4,"",MATCH(23,'Fleet dates'!$K$9:$K$1008,0)+8)</x:f>
      </x:c>
    </x:row>
    <x:row r="32" ht="36" customHeight="1">
      <x:c r="A32" s="50" t="str">
        <x:f>IF(24&gt;$H$4,"",IF(INDEX('Fleet dates'!$A$9:$A$1008,$I32-8)="","",INDEX('Fleet dates'!$A$9:$A$1008,$I32-8)))</x:f>
      </x:c>
      <x:c r="B32" s="50" t="str">
        <x:f>IF(24&gt;$H$4,"",IF(INDEX('Fleet dates'!$B$9:$B$1008,$I32-8)="","",INDEX('Fleet dates'!$B$9:$B$1008,$I32-8)))</x:f>
      </x:c>
      <x:c r="C32" s="51" t="str">
        <x:f>IF(24&gt;$H$4,"",IF(INDEX('Fleet dates'!$C$9:$C$1008,$I32-8)="","",INDEX('Fleet dates'!$C$9:$C$1008,$I32-8)))</x:f>
      </x:c>
      <x:c r="D32" s="51" t="str">
        <x:f>IF(24&gt;$H$4,"",IF(INDEX('Fleet dates'!$D$9:$D$1008,$I32-8)="","",INDEX('Fleet dates'!$D$9:$D$1008,$I32-8)))</x:f>
      </x:c>
      <x:c r="E32" s="51" t="str">
        <x:f>IF(24&gt;$H$4,"",IF(INDEX('Fleet dates'!$E$9:$E$1008,$I32-8)="","",INDEX('Fleet dates'!$E$9:$E$1008,$I32-8)))</x:f>
      </x:c>
      <x:c r="F32" s="51" t="str">
        <x:f>IF(24&gt;$H$4,"",IF(INDEX('Fleet dates'!$F$9:$F$1008,$I32-8)="","",INDEX('Fleet dates'!$F$9:$F$1008,$I32-8)))</x:f>
      </x:c>
      <x:c r="G32" s="50" t="str">
        <x:f>IF(24&gt;$H$4,"",IF(INDEX('Fleet dates'!$G$9:$G$1008,$I32-8)="","",INDEX('Fleet dates'!$G$9:$G$1008,$I32-8)))</x:f>
      </x:c>
      <x:c r="H32" s="50" t="str">
        <x:f>IF(24&gt;$H$4,"",IF(INDEX('Fleet dates'!$I$9:$I$1008,$I32-8)="","",INDEX('Fleet dates'!$I$9:$I$1008,$I32-8)))</x:f>
      </x:c>
      <x:c r="I32" t="str">
        <x:f>IF(24&gt;$H$4,"",MATCH(24,'Fleet dates'!$K$9:$K$1008,0)+8)</x:f>
      </x:c>
    </x:row>
    <x:row r="33" ht="36" customHeight="1">
      <x:c r="A33" s="50" t="str">
        <x:f>IF(25&gt;$H$4,"",IF(INDEX('Fleet dates'!$A$9:$A$1008,$I33-8)="","",INDEX('Fleet dates'!$A$9:$A$1008,$I33-8)))</x:f>
      </x:c>
      <x:c r="B33" s="50" t="str">
        <x:f>IF(25&gt;$H$4,"",IF(INDEX('Fleet dates'!$B$9:$B$1008,$I33-8)="","",INDEX('Fleet dates'!$B$9:$B$1008,$I33-8)))</x:f>
      </x:c>
      <x:c r="C33" s="51" t="str">
        <x:f>IF(25&gt;$H$4,"",IF(INDEX('Fleet dates'!$C$9:$C$1008,$I33-8)="","",INDEX('Fleet dates'!$C$9:$C$1008,$I33-8)))</x:f>
      </x:c>
      <x:c r="D33" s="51" t="str">
        <x:f>IF(25&gt;$H$4,"",IF(INDEX('Fleet dates'!$D$9:$D$1008,$I33-8)="","",INDEX('Fleet dates'!$D$9:$D$1008,$I33-8)))</x:f>
      </x:c>
      <x:c r="E33" s="51" t="str">
        <x:f>IF(25&gt;$H$4,"",IF(INDEX('Fleet dates'!$E$9:$E$1008,$I33-8)="","",INDEX('Fleet dates'!$E$9:$E$1008,$I33-8)))</x:f>
      </x:c>
      <x:c r="F33" s="51" t="str">
        <x:f>IF(25&gt;$H$4,"",IF(INDEX('Fleet dates'!$F$9:$F$1008,$I33-8)="","",INDEX('Fleet dates'!$F$9:$F$1008,$I33-8)))</x:f>
      </x:c>
      <x:c r="G33" s="50" t="str">
        <x:f>IF(25&gt;$H$4,"",IF(INDEX('Fleet dates'!$G$9:$G$1008,$I33-8)="","",INDEX('Fleet dates'!$G$9:$G$1008,$I33-8)))</x:f>
      </x:c>
      <x:c r="H33" s="50" t="str">
        <x:f>IF(25&gt;$H$4,"",IF(INDEX('Fleet dates'!$I$9:$I$1008,$I33-8)="","",INDEX('Fleet dates'!$I$9:$I$1008,$I33-8)))</x:f>
      </x:c>
      <x:c r="I33" t="str">
        <x:f>IF(25&gt;$H$4,"",MATCH(25,'Fleet dates'!$K$9:$K$1008,0)+8)</x:f>
      </x:c>
    </x:row>
    <x:row r="34" ht="36" customHeight="1">
      <x:c r="A34" s="50" t="str">
        <x:f>IF(26&gt;$H$4,"",IF(INDEX('Fleet dates'!$A$9:$A$1008,$I34-8)="","",INDEX('Fleet dates'!$A$9:$A$1008,$I34-8)))</x:f>
      </x:c>
      <x:c r="B34" s="50" t="str">
        <x:f>IF(26&gt;$H$4,"",IF(INDEX('Fleet dates'!$B$9:$B$1008,$I34-8)="","",INDEX('Fleet dates'!$B$9:$B$1008,$I34-8)))</x:f>
      </x:c>
      <x:c r="C34" s="51" t="str">
        <x:f>IF(26&gt;$H$4,"",IF(INDEX('Fleet dates'!$C$9:$C$1008,$I34-8)="","",INDEX('Fleet dates'!$C$9:$C$1008,$I34-8)))</x:f>
      </x:c>
      <x:c r="D34" s="51" t="str">
        <x:f>IF(26&gt;$H$4,"",IF(INDEX('Fleet dates'!$D$9:$D$1008,$I34-8)="","",INDEX('Fleet dates'!$D$9:$D$1008,$I34-8)))</x:f>
      </x:c>
      <x:c r="E34" s="51" t="str">
        <x:f>IF(26&gt;$H$4,"",IF(INDEX('Fleet dates'!$E$9:$E$1008,$I34-8)="","",INDEX('Fleet dates'!$E$9:$E$1008,$I34-8)))</x:f>
      </x:c>
      <x:c r="F34" s="51" t="str">
        <x:f>IF(26&gt;$H$4,"",IF(INDEX('Fleet dates'!$F$9:$F$1008,$I34-8)="","",INDEX('Fleet dates'!$F$9:$F$1008,$I34-8)))</x:f>
      </x:c>
      <x:c r="G34" s="50" t="str">
        <x:f>IF(26&gt;$H$4,"",IF(INDEX('Fleet dates'!$G$9:$G$1008,$I34-8)="","",INDEX('Fleet dates'!$G$9:$G$1008,$I34-8)))</x:f>
      </x:c>
      <x:c r="H34" s="50" t="str">
        <x:f>IF(26&gt;$H$4,"",IF(INDEX('Fleet dates'!$I$9:$I$1008,$I34-8)="","",INDEX('Fleet dates'!$I$9:$I$1008,$I34-8)))</x:f>
      </x:c>
      <x:c r="I34" t="str">
        <x:f>IF(26&gt;$H$4,"",MATCH(26,'Fleet dates'!$K$9:$K$1008,0)+8)</x:f>
      </x:c>
    </x:row>
    <x:row r="35" ht="36" customHeight="1">
      <x:c r="A35" s="50" t="str">
        <x:f>IF(27&gt;$H$4,"",IF(INDEX('Fleet dates'!$A$9:$A$1008,$I35-8)="","",INDEX('Fleet dates'!$A$9:$A$1008,$I35-8)))</x:f>
      </x:c>
      <x:c r="B35" s="50" t="str">
        <x:f>IF(27&gt;$H$4,"",IF(INDEX('Fleet dates'!$B$9:$B$1008,$I35-8)="","",INDEX('Fleet dates'!$B$9:$B$1008,$I35-8)))</x:f>
      </x:c>
      <x:c r="C35" s="51" t="str">
        <x:f>IF(27&gt;$H$4,"",IF(INDEX('Fleet dates'!$C$9:$C$1008,$I35-8)="","",INDEX('Fleet dates'!$C$9:$C$1008,$I35-8)))</x:f>
      </x:c>
      <x:c r="D35" s="51" t="str">
        <x:f>IF(27&gt;$H$4,"",IF(INDEX('Fleet dates'!$D$9:$D$1008,$I35-8)="","",INDEX('Fleet dates'!$D$9:$D$1008,$I35-8)))</x:f>
      </x:c>
      <x:c r="E35" s="51" t="str">
        <x:f>IF(27&gt;$H$4,"",IF(INDEX('Fleet dates'!$E$9:$E$1008,$I35-8)="","",INDEX('Fleet dates'!$E$9:$E$1008,$I35-8)))</x:f>
      </x:c>
      <x:c r="F35" s="51" t="str">
        <x:f>IF(27&gt;$H$4,"",IF(INDEX('Fleet dates'!$F$9:$F$1008,$I35-8)="","",INDEX('Fleet dates'!$F$9:$F$1008,$I35-8)))</x:f>
      </x:c>
      <x:c r="G35" s="50" t="str">
        <x:f>IF(27&gt;$H$4,"",IF(INDEX('Fleet dates'!$G$9:$G$1008,$I35-8)="","",INDEX('Fleet dates'!$G$9:$G$1008,$I35-8)))</x:f>
      </x:c>
      <x:c r="H35" s="50" t="str">
        <x:f>IF(27&gt;$H$4,"",IF(INDEX('Fleet dates'!$I$9:$I$1008,$I35-8)="","",INDEX('Fleet dates'!$I$9:$I$1008,$I35-8)))</x:f>
      </x:c>
      <x:c r="I35" t="str">
        <x:f>IF(27&gt;$H$4,"",MATCH(27,'Fleet dates'!$K$9:$K$1008,0)+8)</x:f>
      </x:c>
    </x:row>
    <x:row r="36" ht="36" customHeight="1">
      <x:c r="A36" s="50" t="str">
        <x:f>IF(28&gt;$H$4,"",IF(INDEX('Fleet dates'!$A$9:$A$1008,$I36-8)="","",INDEX('Fleet dates'!$A$9:$A$1008,$I36-8)))</x:f>
      </x:c>
      <x:c r="B36" s="50" t="str">
        <x:f>IF(28&gt;$H$4,"",IF(INDEX('Fleet dates'!$B$9:$B$1008,$I36-8)="","",INDEX('Fleet dates'!$B$9:$B$1008,$I36-8)))</x:f>
      </x:c>
      <x:c r="C36" s="51" t="str">
        <x:f>IF(28&gt;$H$4,"",IF(INDEX('Fleet dates'!$C$9:$C$1008,$I36-8)="","",INDEX('Fleet dates'!$C$9:$C$1008,$I36-8)))</x:f>
      </x:c>
      <x:c r="D36" s="51" t="str">
        <x:f>IF(28&gt;$H$4,"",IF(INDEX('Fleet dates'!$D$9:$D$1008,$I36-8)="","",INDEX('Fleet dates'!$D$9:$D$1008,$I36-8)))</x:f>
      </x:c>
      <x:c r="E36" s="51" t="str">
        <x:f>IF(28&gt;$H$4,"",IF(INDEX('Fleet dates'!$E$9:$E$1008,$I36-8)="","",INDEX('Fleet dates'!$E$9:$E$1008,$I36-8)))</x:f>
      </x:c>
      <x:c r="F36" s="51" t="str">
        <x:f>IF(28&gt;$H$4,"",IF(INDEX('Fleet dates'!$F$9:$F$1008,$I36-8)="","",INDEX('Fleet dates'!$F$9:$F$1008,$I36-8)))</x:f>
      </x:c>
      <x:c r="G36" s="50" t="str">
        <x:f>IF(28&gt;$H$4,"",IF(INDEX('Fleet dates'!$G$9:$G$1008,$I36-8)="","",INDEX('Fleet dates'!$G$9:$G$1008,$I36-8)))</x:f>
      </x:c>
      <x:c r="H36" s="50" t="str">
        <x:f>IF(28&gt;$H$4,"",IF(INDEX('Fleet dates'!$I$9:$I$1008,$I36-8)="","",INDEX('Fleet dates'!$I$9:$I$1008,$I36-8)))</x:f>
      </x:c>
      <x:c r="I36" t="str">
        <x:f>IF(28&gt;$H$4,"",MATCH(28,'Fleet dates'!$K$9:$K$1008,0)+8)</x:f>
      </x:c>
    </x:row>
    <x:row r="37" ht="36" customHeight="1">
      <x:c r="A37" s="50" t="str">
        <x:f>IF(29&gt;$H$4,"",IF(INDEX('Fleet dates'!$A$9:$A$1008,$I37-8)="","",INDEX('Fleet dates'!$A$9:$A$1008,$I37-8)))</x:f>
      </x:c>
      <x:c r="B37" s="50" t="str">
        <x:f>IF(29&gt;$H$4,"",IF(INDEX('Fleet dates'!$B$9:$B$1008,$I37-8)="","",INDEX('Fleet dates'!$B$9:$B$1008,$I37-8)))</x:f>
      </x:c>
      <x:c r="C37" s="51" t="str">
        <x:f>IF(29&gt;$H$4,"",IF(INDEX('Fleet dates'!$C$9:$C$1008,$I37-8)="","",INDEX('Fleet dates'!$C$9:$C$1008,$I37-8)))</x:f>
      </x:c>
      <x:c r="D37" s="51" t="str">
        <x:f>IF(29&gt;$H$4,"",IF(INDEX('Fleet dates'!$D$9:$D$1008,$I37-8)="","",INDEX('Fleet dates'!$D$9:$D$1008,$I37-8)))</x:f>
      </x:c>
      <x:c r="E37" s="51" t="str">
        <x:f>IF(29&gt;$H$4,"",IF(INDEX('Fleet dates'!$E$9:$E$1008,$I37-8)="","",INDEX('Fleet dates'!$E$9:$E$1008,$I37-8)))</x:f>
      </x:c>
      <x:c r="F37" s="51" t="str">
        <x:f>IF(29&gt;$H$4,"",IF(INDEX('Fleet dates'!$F$9:$F$1008,$I37-8)="","",INDEX('Fleet dates'!$F$9:$F$1008,$I37-8)))</x:f>
      </x:c>
      <x:c r="G37" s="50" t="str">
        <x:f>IF(29&gt;$H$4,"",IF(INDEX('Fleet dates'!$G$9:$G$1008,$I37-8)="","",INDEX('Fleet dates'!$G$9:$G$1008,$I37-8)))</x:f>
      </x:c>
      <x:c r="H37" s="50" t="str">
        <x:f>IF(29&gt;$H$4,"",IF(INDEX('Fleet dates'!$I$9:$I$1008,$I37-8)="","",INDEX('Fleet dates'!$I$9:$I$1008,$I37-8)))</x:f>
      </x:c>
      <x:c r="I37" t="str">
        <x:f>IF(29&gt;$H$4,"",MATCH(29,'Fleet dates'!$K$9:$K$1008,0)+8)</x:f>
      </x:c>
    </x:row>
    <x:row r="38" ht="36" customHeight="1">
      <x:c r="A38" s="50" t="str">
        <x:f>IF(30&gt;$H$4,"",IF(INDEX('Fleet dates'!$A$9:$A$1008,$I38-8)="","",INDEX('Fleet dates'!$A$9:$A$1008,$I38-8)))</x:f>
      </x:c>
      <x:c r="B38" s="50" t="str">
        <x:f>IF(30&gt;$H$4,"",IF(INDEX('Fleet dates'!$B$9:$B$1008,$I38-8)="","",INDEX('Fleet dates'!$B$9:$B$1008,$I38-8)))</x:f>
      </x:c>
      <x:c r="C38" s="51" t="str">
        <x:f>IF(30&gt;$H$4,"",IF(INDEX('Fleet dates'!$C$9:$C$1008,$I38-8)="","",INDEX('Fleet dates'!$C$9:$C$1008,$I38-8)))</x:f>
      </x:c>
      <x:c r="D38" s="51" t="str">
        <x:f>IF(30&gt;$H$4,"",IF(INDEX('Fleet dates'!$D$9:$D$1008,$I38-8)="","",INDEX('Fleet dates'!$D$9:$D$1008,$I38-8)))</x:f>
      </x:c>
      <x:c r="E38" s="51" t="str">
        <x:f>IF(30&gt;$H$4,"",IF(INDEX('Fleet dates'!$E$9:$E$1008,$I38-8)="","",INDEX('Fleet dates'!$E$9:$E$1008,$I38-8)))</x:f>
      </x:c>
      <x:c r="F38" s="51" t="str">
        <x:f>IF(30&gt;$H$4,"",IF(INDEX('Fleet dates'!$F$9:$F$1008,$I38-8)="","",INDEX('Fleet dates'!$F$9:$F$1008,$I38-8)))</x:f>
      </x:c>
      <x:c r="G38" s="50" t="str">
        <x:f>IF(30&gt;$H$4,"",IF(INDEX('Fleet dates'!$G$9:$G$1008,$I38-8)="","",INDEX('Fleet dates'!$G$9:$G$1008,$I38-8)))</x:f>
      </x:c>
      <x:c r="H38" s="50" t="str">
        <x:f>IF(30&gt;$H$4,"",IF(INDEX('Fleet dates'!$I$9:$I$1008,$I38-8)="","",INDEX('Fleet dates'!$I$9:$I$1008,$I38-8)))</x:f>
      </x:c>
      <x:c r="I38" t="str">
        <x:f>IF(30&gt;$H$4,"",MATCH(30,'Fleet dates'!$K$9:$K$1008,0)+8)</x:f>
      </x:c>
    </x:row>
    <x:row r="39" ht="36" customHeight="1">
      <x:c r="A39" s="50" t="str">
        <x:f>IF(31&gt;$H$4,"",IF(INDEX('Fleet dates'!$A$9:$A$1008,$I39-8)="","",INDEX('Fleet dates'!$A$9:$A$1008,$I39-8)))</x:f>
      </x:c>
      <x:c r="B39" s="50" t="str">
        <x:f>IF(31&gt;$H$4,"",IF(INDEX('Fleet dates'!$B$9:$B$1008,$I39-8)="","",INDEX('Fleet dates'!$B$9:$B$1008,$I39-8)))</x:f>
      </x:c>
      <x:c r="C39" s="51" t="str">
        <x:f>IF(31&gt;$H$4,"",IF(INDEX('Fleet dates'!$C$9:$C$1008,$I39-8)="","",INDEX('Fleet dates'!$C$9:$C$1008,$I39-8)))</x:f>
      </x:c>
      <x:c r="D39" s="51" t="str">
        <x:f>IF(31&gt;$H$4,"",IF(INDEX('Fleet dates'!$D$9:$D$1008,$I39-8)="","",INDEX('Fleet dates'!$D$9:$D$1008,$I39-8)))</x:f>
      </x:c>
      <x:c r="E39" s="51" t="str">
        <x:f>IF(31&gt;$H$4,"",IF(INDEX('Fleet dates'!$E$9:$E$1008,$I39-8)="","",INDEX('Fleet dates'!$E$9:$E$1008,$I39-8)))</x:f>
      </x:c>
      <x:c r="F39" s="51" t="str">
        <x:f>IF(31&gt;$H$4,"",IF(INDEX('Fleet dates'!$F$9:$F$1008,$I39-8)="","",INDEX('Fleet dates'!$F$9:$F$1008,$I39-8)))</x:f>
      </x:c>
      <x:c r="G39" s="50" t="str">
        <x:f>IF(31&gt;$H$4,"",IF(INDEX('Fleet dates'!$G$9:$G$1008,$I39-8)="","",INDEX('Fleet dates'!$G$9:$G$1008,$I39-8)))</x:f>
      </x:c>
      <x:c r="H39" s="50" t="str">
        <x:f>IF(31&gt;$H$4,"",IF(INDEX('Fleet dates'!$I$9:$I$1008,$I39-8)="","",INDEX('Fleet dates'!$I$9:$I$1008,$I39-8)))</x:f>
      </x:c>
      <x:c r="I39" t="str">
        <x:f>IF(31&gt;$H$4,"",MATCH(31,'Fleet dates'!$K$9:$K$1008,0)+8)</x:f>
      </x:c>
    </x:row>
    <x:row r="40" ht="36" customHeight="1">
      <x:c r="A40" s="50" t="str">
        <x:f>IF(32&gt;$H$4,"",IF(INDEX('Fleet dates'!$A$9:$A$1008,$I40-8)="","",INDEX('Fleet dates'!$A$9:$A$1008,$I40-8)))</x:f>
      </x:c>
      <x:c r="B40" s="50" t="str">
        <x:f>IF(32&gt;$H$4,"",IF(INDEX('Fleet dates'!$B$9:$B$1008,$I40-8)="","",INDEX('Fleet dates'!$B$9:$B$1008,$I40-8)))</x:f>
      </x:c>
      <x:c r="C40" s="51" t="str">
        <x:f>IF(32&gt;$H$4,"",IF(INDEX('Fleet dates'!$C$9:$C$1008,$I40-8)="","",INDEX('Fleet dates'!$C$9:$C$1008,$I40-8)))</x:f>
      </x:c>
      <x:c r="D40" s="51" t="str">
        <x:f>IF(32&gt;$H$4,"",IF(INDEX('Fleet dates'!$D$9:$D$1008,$I40-8)="","",INDEX('Fleet dates'!$D$9:$D$1008,$I40-8)))</x:f>
      </x:c>
      <x:c r="E40" s="51" t="str">
        <x:f>IF(32&gt;$H$4,"",IF(INDEX('Fleet dates'!$E$9:$E$1008,$I40-8)="","",INDEX('Fleet dates'!$E$9:$E$1008,$I40-8)))</x:f>
      </x:c>
      <x:c r="F40" s="51" t="str">
        <x:f>IF(32&gt;$H$4,"",IF(INDEX('Fleet dates'!$F$9:$F$1008,$I40-8)="","",INDEX('Fleet dates'!$F$9:$F$1008,$I40-8)))</x:f>
      </x:c>
      <x:c r="G40" s="50" t="str">
        <x:f>IF(32&gt;$H$4,"",IF(INDEX('Fleet dates'!$G$9:$G$1008,$I40-8)="","",INDEX('Fleet dates'!$G$9:$G$1008,$I40-8)))</x:f>
      </x:c>
      <x:c r="H40" s="50" t="str">
        <x:f>IF(32&gt;$H$4,"",IF(INDEX('Fleet dates'!$I$9:$I$1008,$I40-8)="","",INDEX('Fleet dates'!$I$9:$I$1008,$I40-8)))</x:f>
      </x:c>
      <x:c r="I40" t="str">
        <x:f>IF(32&gt;$H$4,"",MATCH(32,'Fleet dates'!$K$9:$K$1008,0)+8)</x:f>
      </x:c>
    </x:row>
    <x:row r="41" ht="36" customHeight="1">
      <x:c r="A41" s="50" t="str">
        <x:f>IF(33&gt;$H$4,"",IF(INDEX('Fleet dates'!$A$9:$A$1008,$I41-8)="","",INDEX('Fleet dates'!$A$9:$A$1008,$I41-8)))</x:f>
      </x:c>
      <x:c r="B41" s="50" t="str">
        <x:f>IF(33&gt;$H$4,"",IF(INDEX('Fleet dates'!$B$9:$B$1008,$I41-8)="","",INDEX('Fleet dates'!$B$9:$B$1008,$I41-8)))</x:f>
      </x:c>
      <x:c r="C41" s="51" t="str">
        <x:f>IF(33&gt;$H$4,"",IF(INDEX('Fleet dates'!$C$9:$C$1008,$I41-8)="","",INDEX('Fleet dates'!$C$9:$C$1008,$I41-8)))</x:f>
      </x:c>
      <x:c r="D41" s="51" t="str">
        <x:f>IF(33&gt;$H$4,"",IF(INDEX('Fleet dates'!$D$9:$D$1008,$I41-8)="","",INDEX('Fleet dates'!$D$9:$D$1008,$I41-8)))</x:f>
      </x:c>
      <x:c r="E41" s="51" t="str">
        <x:f>IF(33&gt;$H$4,"",IF(INDEX('Fleet dates'!$E$9:$E$1008,$I41-8)="","",INDEX('Fleet dates'!$E$9:$E$1008,$I41-8)))</x:f>
      </x:c>
      <x:c r="F41" s="51" t="str">
        <x:f>IF(33&gt;$H$4,"",IF(INDEX('Fleet dates'!$F$9:$F$1008,$I41-8)="","",INDEX('Fleet dates'!$F$9:$F$1008,$I41-8)))</x:f>
      </x:c>
      <x:c r="G41" s="50" t="str">
        <x:f>IF(33&gt;$H$4,"",IF(INDEX('Fleet dates'!$G$9:$G$1008,$I41-8)="","",INDEX('Fleet dates'!$G$9:$G$1008,$I41-8)))</x:f>
      </x:c>
      <x:c r="H41" s="50" t="str">
        <x:f>IF(33&gt;$H$4,"",IF(INDEX('Fleet dates'!$I$9:$I$1008,$I41-8)="","",INDEX('Fleet dates'!$I$9:$I$1008,$I41-8)))</x:f>
      </x:c>
      <x:c r="I41" t="str">
        <x:f>IF(33&gt;$H$4,"",MATCH(33,'Fleet dates'!$K$9:$K$1008,0)+8)</x:f>
      </x:c>
    </x:row>
    <x:row r="42" ht="36" customHeight="1">
      <x:c r="A42" s="50" t="str">
        <x:f>IF(34&gt;$H$4,"",IF(INDEX('Fleet dates'!$A$9:$A$1008,$I42-8)="","",INDEX('Fleet dates'!$A$9:$A$1008,$I42-8)))</x:f>
      </x:c>
      <x:c r="B42" s="50" t="str">
        <x:f>IF(34&gt;$H$4,"",IF(INDEX('Fleet dates'!$B$9:$B$1008,$I42-8)="","",INDEX('Fleet dates'!$B$9:$B$1008,$I42-8)))</x:f>
      </x:c>
      <x:c r="C42" s="51" t="str">
        <x:f>IF(34&gt;$H$4,"",IF(INDEX('Fleet dates'!$C$9:$C$1008,$I42-8)="","",INDEX('Fleet dates'!$C$9:$C$1008,$I42-8)))</x:f>
      </x:c>
      <x:c r="D42" s="51" t="str">
        <x:f>IF(34&gt;$H$4,"",IF(INDEX('Fleet dates'!$D$9:$D$1008,$I42-8)="","",INDEX('Fleet dates'!$D$9:$D$1008,$I42-8)))</x:f>
      </x:c>
      <x:c r="E42" s="51" t="str">
        <x:f>IF(34&gt;$H$4,"",IF(INDEX('Fleet dates'!$E$9:$E$1008,$I42-8)="","",INDEX('Fleet dates'!$E$9:$E$1008,$I42-8)))</x:f>
      </x:c>
      <x:c r="F42" s="51" t="str">
        <x:f>IF(34&gt;$H$4,"",IF(INDEX('Fleet dates'!$F$9:$F$1008,$I42-8)="","",INDEX('Fleet dates'!$F$9:$F$1008,$I42-8)))</x:f>
      </x:c>
      <x:c r="G42" s="50" t="str">
        <x:f>IF(34&gt;$H$4,"",IF(INDEX('Fleet dates'!$G$9:$G$1008,$I42-8)="","",INDEX('Fleet dates'!$G$9:$G$1008,$I42-8)))</x:f>
      </x:c>
      <x:c r="H42" s="50" t="str">
        <x:f>IF(34&gt;$H$4,"",IF(INDEX('Fleet dates'!$I$9:$I$1008,$I42-8)="","",INDEX('Fleet dates'!$I$9:$I$1008,$I42-8)))</x:f>
      </x:c>
      <x:c r="I42" t="str">
        <x:f>IF(34&gt;$H$4,"",MATCH(34,'Fleet dates'!$K$9:$K$1008,0)+8)</x:f>
      </x:c>
    </x:row>
    <x:row r="43" ht="36" customHeight="1">
      <x:c r="A43" s="50" t="str">
        <x:f>IF(35&gt;$H$4,"",IF(INDEX('Fleet dates'!$A$9:$A$1008,$I43-8)="","",INDEX('Fleet dates'!$A$9:$A$1008,$I43-8)))</x:f>
      </x:c>
      <x:c r="B43" s="50" t="str">
        <x:f>IF(35&gt;$H$4,"",IF(INDEX('Fleet dates'!$B$9:$B$1008,$I43-8)="","",INDEX('Fleet dates'!$B$9:$B$1008,$I43-8)))</x:f>
      </x:c>
      <x:c r="C43" s="51" t="str">
        <x:f>IF(35&gt;$H$4,"",IF(INDEX('Fleet dates'!$C$9:$C$1008,$I43-8)="","",INDEX('Fleet dates'!$C$9:$C$1008,$I43-8)))</x:f>
      </x:c>
      <x:c r="D43" s="51" t="str">
        <x:f>IF(35&gt;$H$4,"",IF(INDEX('Fleet dates'!$D$9:$D$1008,$I43-8)="","",INDEX('Fleet dates'!$D$9:$D$1008,$I43-8)))</x:f>
      </x:c>
      <x:c r="E43" s="51" t="str">
        <x:f>IF(35&gt;$H$4,"",IF(INDEX('Fleet dates'!$E$9:$E$1008,$I43-8)="","",INDEX('Fleet dates'!$E$9:$E$1008,$I43-8)))</x:f>
      </x:c>
      <x:c r="F43" s="51" t="str">
        <x:f>IF(35&gt;$H$4,"",IF(INDEX('Fleet dates'!$F$9:$F$1008,$I43-8)="","",INDEX('Fleet dates'!$F$9:$F$1008,$I43-8)))</x:f>
      </x:c>
      <x:c r="G43" s="50" t="str">
        <x:f>IF(35&gt;$H$4,"",IF(INDEX('Fleet dates'!$G$9:$G$1008,$I43-8)="","",INDEX('Fleet dates'!$G$9:$G$1008,$I43-8)))</x:f>
      </x:c>
      <x:c r="H43" s="50" t="str">
        <x:f>IF(35&gt;$H$4,"",IF(INDEX('Fleet dates'!$I$9:$I$1008,$I43-8)="","",INDEX('Fleet dates'!$I$9:$I$1008,$I43-8)))</x:f>
      </x:c>
      <x:c r="I43" t="str">
        <x:f>IF(35&gt;$H$4,"",MATCH(35,'Fleet dates'!$K$9:$K$1008,0)+8)</x:f>
      </x:c>
    </x:row>
    <x:row r="44" ht="36" customHeight="1">
      <x:c r="A44" s="50" t="str">
        <x:f>IF(36&gt;$H$4,"",IF(INDEX('Fleet dates'!$A$9:$A$1008,$I44-8)="","",INDEX('Fleet dates'!$A$9:$A$1008,$I44-8)))</x:f>
      </x:c>
      <x:c r="B44" s="50" t="str">
        <x:f>IF(36&gt;$H$4,"",IF(INDEX('Fleet dates'!$B$9:$B$1008,$I44-8)="","",INDEX('Fleet dates'!$B$9:$B$1008,$I44-8)))</x:f>
      </x:c>
      <x:c r="C44" s="51" t="str">
        <x:f>IF(36&gt;$H$4,"",IF(INDEX('Fleet dates'!$C$9:$C$1008,$I44-8)="","",INDEX('Fleet dates'!$C$9:$C$1008,$I44-8)))</x:f>
      </x:c>
      <x:c r="D44" s="51" t="str">
        <x:f>IF(36&gt;$H$4,"",IF(INDEX('Fleet dates'!$D$9:$D$1008,$I44-8)="","",INDEX('Fleet dates'!$D$9:$D$1008,$I44-8)))</x:f>
      </x:c>
      <x:c r="E44" s="51" t="str">
        <x:f>IF(36&gt;$H$4,"",IF(INDEX('Fleet dates'!$E$9:$E$1008,$I44-8)="","",INDEX('Fleet dates'!$E$9:$E$1008,$I44-8)))</x:f>
      </x:c>
      <x:c r="F44" s="51" t="str">
        <x:f>IF(36&gt;$H$4,"",IF(INDEX('Fleet dates'!$F$9:$F$1008,$I44-8)="","",INDEX('Fleet dates'!$F$9:$F$1008,$I44-8)))</x:f>
      </x:c>
      <x:c r="G44" s="50" t="str">
        <x:f>IF(36&gt;$H$4,"",IF(INDEX('Fleet dates'!$G$9:$G$1008,$I44-8)="","",INDEX('Fleet dates'!$G$9:$G$1008,$I44-8)))</x:f>
      </x:c>
      <x:c r="H44" s="50" t="str">
        <x:f>IF(36&gt;$H$4,"",IF(INDEX('Fleet dates'!$I$9:$I$1008,$I44-8)="","",INDEX('Fleet dates'!$I$9:$I$1008,$I44-8)))</x:f>
      </x:c>
      <x:c r="I44" t="str">
        <x:f>IF(36&gt;$H$4,"",MATCH(36,'Fleet dates'!$K$9:$K$1008,0)+8)</x:f>
      </x:c>
    </x:row>
    <x:row r="45" ht="36" customHeight="1">
      <x:c r="A45" s="50" t="str">
        <x:f>IF(37&gt;$H$4,"",IF(INDEX('Fleet dates'!$A$9:$A$1008,$I45-8)="","",INDEX('Fleet dates'!$A$9:$A$1008,$I45-8)))</x:f>
      </x:c>
      <x:c r="B45" s="50" t="str">
        <x:f>IF(37&gt;$H$4,"",IF(INDEX('Fleet dates'!$B$9:$B$1008,$I45-8)="","",INDEX('Fleet dates'!$B$9:$B$1008,$I45-8)))</x:f>
      </x:c>
      <x:c r="C45" s="51" t="str">
        <x:f>IF(37&gt;$H$4,"",IF(INDEX('Fleet dates'!$C$9:$C$1008,$I45-8)="","",INDEX('Fleet dates'!$C$9:$C$1008,$I45-8)))</x:f>
      </x:c>
      <x:c r="D45" s="51" t="str">
        <x:f>IF(37&gt;$H$4,"",IF(INDEX('Fleet dates'!$D$9:$D$1008,$I45-8)="","",INDEX('Fleet dates'!$D$9:$D$1008,$I45-8)))</x:f>
      </x:c>
      <x:c r="E45" s="51" t="str">
        <x:f>IF(37&gt;$H$4,"",IF(INDEX('Fleet dates'!$E$9:$E$1008,$I45-8)="","",INDEX('Fleet dates'!$E$9:$E$1008,$I45-8)))</x:f>
      </x:c>
      <x:c r="F45" s="51" t="str">
        <x:f>IF(37&gt;$H$4,"",IF(INDEX('Fleet dates'!$F$9:$F$1008,$I45-8)="","",INDEX('Fleet dates'!$F$9:$F$1008,$I45-8)))</x:f>
      </x:c>
      <x:c r="G45" s="50" t="str">
        <x:f>IF(37&gt;$H$4,"",IF(INDEX('Fleet dates'!$G$9:$G$1008,$I45-8)="","",INDEX('Fleet dates'!$G$9:$G$1008,$I45-8)))</x:f>
      </x:c>
      <x:c r="H45" s="50" t="str">
        <x:f>IF(37&gt;$H$4,"",IF(INDEX('Fleet dates'!$I$9:$I$1008,$I45-8)="","",INDEX('Fleet dates'!$I$9:$I$1008,$I45-8)))</x:f>
      </x:c>
      <x:c r="I45" t="str">
        <x:f>IF(37&gt;$H$4,"",MATCH(37,'Fleet dates'!$K$9:$K$1008,0)+8)</x:f>
      </x:c>
    </x:row>
    <x:row r="46" ht="36" customHeight="1">
      <x:c r="A46" s="50" t="str">
        <x:f>IF(38&gt;$H$4,"",IF(INDEX('Fleet dates'!$A$9:$A$1008,$I46-8)="","",INDEX('Fleet dates'!$A$9:$A$1008,$I46-8)))</x:f>
      </x:c>
      <x:c r="B46" s="50" t="str">
        <x:f>IF(38&gt;$H$4,"",IF(INDEX('Fleet dates'!$B$9:$B$1008,$I46-8)="","",INDEX('Fleet dates'!$B$9:$B$1008,$I46-8)))</x:f>
      </x:c>
      <x:c r="C46" s="51" t="str">
        <x:f>IF(38&gt;$H$4,"",IF(INDEX('Fleet dates'!$C$9:$C$1008,$I46-8)="","",INDEX('Fleet dates'!$C$9:$C$1008,$I46-8)))</x:f>
      </x:c>
      <x:c r="D46" s="51" t="str">
        <x:f>IF(38&gt;$H$4,"",IF(INDEX('Fleet dates'!$D$9:$D$1008,$I46-8)="","",INDEX('Fleet dates'!$D$9:$D$1008,$I46-8)))</x:f>
      </x:c>
      <x:c r="E46" s="51" t="str">
        <x:f>IF(38&gt;$H$4,"",IF(INDEX('Fleet dates'!$E$9:$E$1008,$I46-8)="","",INDEX('Fleet dates'!$E$9:$E$1008,$I46-8)))</x:f>
      </x:c>
      <x:c r="F46" s="51" t="str">
        <x:f>IF(38&gt;$H$4,"",IF(INDEX('Fleet dates'!$F$9:$F$1008,$I46-8)="","",INDEX('Fleet dates'!$F$9:$F$1008,$I46-8)))</x:f>
      </x:c>
      <x:c r="G46" s="50" t="str">
        <x:f>IF(38&gt;$H$4,"",IF(INDEX('Fleet dates'!$G$9:$G$1008,$I46-8)="","",INDEX('Fleet dates'!$G$9:$G$1008,$I46-8)))</x:f>
      </x:c>
      <x:c r="H46" s="50" t="str">
        <x:f>IF(38&gt;$H$4,"",IF(INDEX('Fleet dates'!$I$9:$I$1008,$I46-8)="","",INDEX('Fleet dates'!$I$9:$I$1008,$I46-8)))</x:f>
      </x:c>
      <x:c r="I46" t="str">
        <x:f>IF(38&gt;$H$4,"",MATCH(38,'Fleet dates'!$K$9:$K$1008,0)+8)</x:f>
      </x:c>
    </x:row>
    <x:row r="47" ht="36" customHeight="1">
      <x:c r="A47" s="50" t="str">
        <x:f>IF(39&gt;$H$4,"",IF(INDEX('Fleet dates'!$A$9:$A$1008,$I47-8)="","",INDEX('Fleet dates'!$A$9:$A$1008,$I47-8)))</x:f>
      </x:c>
      <x:c r="B47" s="50" t="str">
        <x:f>IF(39&gt;$H$4,"",IF(INDEX('Fleet dates'!$B$9:$B$1008,$I47-8)="","",INDEX('Fleet dates'!$B$9:$B$1008,$I47-8)))</x:f>
      </x:c>
      <x:c r="C47" s="51" t="str">
        <x:f>IF(39&gt;$H$4,"",IF(INDEX('Fleet dates'!$C$9:$C$1008,$I47-8)="","",INDEX('Fleet dates'!$C$9:$C$1008,$I47-8)))</x:f>
      </x:c>
      <x:c r="D47" s="51" t="str">
        <x:f>IF(39&gt;$H$4,"",IF(INDEX('Fleet dates'!$D$9:$D$1008,$I47-8)="","",INDEX('Fleet dates'!$D$9:$D$1008,$I47-8)))</x:f>
      </x:c>
      <x:c r="E47" s="51" t="str">
        <x:f>IF(39&gt;$H$4,"",IF(INDEX('Fleet dates'!$E$9:$E$1008,$I47-8)="","",INDEX('Fleet dates'!$E$9:$E$1008,$I47-8)))</x:f>
      </x:c>
      <x:c r="F47" s="51" t="str">
        <x:f>IF(39&gt;$H$4,"",IF(INDEX('Fleet dates'!$F$9:$F$1008,$I47-8)="","",INDEX('Fleet dates'!$F$9:$F$1008,$I47-8)))</x:f>
      </x:c>
      <x:c r="G47" s="50" t="str">
        <x:f>IF(39&gt;$H$4,"",IF(INDEX('Fleet dates'!$G$9:$G$1008,$I47-8)="","",INDEX('Fleet dates'!$G$9:$G$1008,$I47-8)))</x:f>
      </x:c>
      <x:c r="H47" s="50" t="str">
        <x:f>IF(39&gt;$H$4,"",IF(INDEX('Fleet dates'!$I$9:$I$1008,$I47-8)="","",INDEX('Fleet dates'!$I$9:$I$1008,$I47-8)))</x:f>
      </x:c>
      <x:c r="I47" t="str">
        <x:f>IF(39&gt;$H$4,"",MATCH(39,'Fleet dates'!$K$9:$K$1008,0)+8)</x:f>
      </x:c>
    </x:row>
    <x:row r="48" ht="36" customHeight="1">
      <x:c r="A48" s="50" t="str">
        <x:f>IF(40&gt;$H$4,"",IF(INDEX('Fleet dates'!$A$9:$A$1008,$I48-8)="","",INDEX('Fleet dates'!$A$9:$A$1008,$I48-8)))</x:f>
      </x:c>
      <x:c r="B48" s="50" t="str">
        <x:f>IF(40&gt;$H$4,"",IF(INDEX('Fleet dates'!$B$9:$B$1008,$I48-8)="","",INDEX('Fleet dates'!$B$9:$B$1008,$I48-8)))</x:f>
      </x:c>
      <x:c r="C48" s="51" t="str">
        <x:f>IF(40&gt;$H$4,"",IF(INDEX('Fleet dates'!$C$9:$C$1008,$I48-8)="","",INDEX('Fleet dates'!$C$9:$C$1008,$I48-8)))</x:f>
      </x:c>
      <x:c r="D48" s="51" t="str">
        <x:f>IF(40&gt;$H$4,"",IF(INDEX('Fleet dates'!$D$9:$D$1008,$I48-8)="","",INDEX('Fleet dates'!$D$9:$D$1008,$I48-8)))</x:f>
      </x:c>
      <x:c r="E48" s="51" t="str">
        <x:f>IF(40&gt;$H$4,"",IF(INDEX('Fleet dates'!$E$9:$E$1008,$I48-8)="","",INDEX('Fleet dates'!$E$9:$E$1008,$I48-8)))</x:f>
      </x:c>
      <x:c r="F48" s="51" t="str">
        <x:f>IF(40&gt;$H$4,"",IF(INDEX('Fleet dates'!$F$9:$F$1008,$I48-8)="","",INDEX('Fleet dates'!$F$9:$F$1008,$I48-8)))</x:f>
      </x:c>
      <x:c r="G48" s="50" t="str">
        <x:f>IF(40&gt;$H$4,"",IF(INDEX('Fleet dates'!$G$9:$G$1008,$I48-8)="","",INDEX('Fleet dates'!$G$9:$G$1008,$I48-8)))</x:f>
      </x:c>
      <x:c r="H48" s="50" t="str">
        <x:f>IF(40&gt;$H$4,"",IF(INDEX('Fleet dates'!$I$9:$I$1008,$I48-8)="","",INDEX('Fleet dates'!$I$9:$I$1008,$I48-8)))</x:f>
      </x:c>
      <x:c r="I48" t="str">
        <x:f>IF(40&gt;$H$4,"",MATCH(40,'Fleet dates'!$K$9:$K$1008,0)+8)</x:f>
      </x:c>
    </x:row>
    <x:row r="49" ht="36" customHeight="1">
      <x:c r="A49" s="50" t="str">
        <x:f>IF(41&gt;$H$4,"",IF(INDEX('Fleet dates'!$A$9:$A$1008,$I49-8)="","",INDEX('Fleet dates'!$A$9:$A$1008,$I49-8)))</x:f>
      </x:c>
      <x:c r="B49" s="50" t="str">
        <x:f>IF(41&gt;$H$4,"",IF(INDEX('Fleet dates'!$B$9:$B$1008,$I49-8)="","",INDEX('Fleet dates'!$B$9:$B$1008,$I49-8)))</x:f>
      </x:c>
      <x:c r="C49" s="51" t="str">
        <x:f>IF(41&gt;$H$4,"",IF(INDEX('Fleet dates'!$C$9:$C$1008,$I49-8)="","",INDEX('Fleet dates'!$C$9:$C$1008,$I49-8)))</x:f>
      </x:c>
      <x:c r="D49" s="51" t="str">
        <x:f>IF(41&gt;$H$4,"",IF(INDEX('Fleet dates'!$D$9:$D$1008,$I49-8)="","",INDEX('Fleet dates'!$D$9:$D$1008,$I49-8)))</x:f>
      </x:c>
      <x:c r="E49" s="51" t="str">
        <x:f>IF(41&gt;$H$4,"",IF(INDEX('Fleet dates'!$E$9:$E$1008,$I49-8)="","",INDEX('Fleet dates'!$E$9:$E$1008,$I49-8)))</x:f>
      </x:c>
      <x:c r="F49" s="51" t="str">
        <x:f>IF(41&gt;$H$4,"",IF(INDEX('Fleet dates'!$F$9:$F$1008,$I49-8)="","",INDEX('Fleet dates'!$F$9:$F$1008,$I49-8)))</x:f>
      </x:c>
      <x:c r="G49" s="50" t="str">
        <x:f>IF(41&gt;$H$4,"",IF(INDEX('Fleet dates'!$G$9:$G$1008,$I49-8)="","",INDEX('Fleet dates'!$G$9:$G$1008,$I49-8)))</x:f>
      </x:c>
      <x:c r="H49" s="50" t="str">
        <x:f>IF(41&gt;$H$4,"",IF(INDEX('Fleet dates'!$I$9:$I$1008,$I49-8)="","",INDEX('Fleet dates'!$I$9:$I$1008,$I49-8)))</x:f>
      </x:c>
      <x:c r="I49" t="str">
        <x:f>IF(41&gt;$H$4,"",MATCH(41,'Fleet dates'!$K$9:$K$1008,0)+8)</x:f>
      </x:c>
    </x:row>
    <x:row r="50" ht="36" customHeight="1">
      <x:c r="A50" s="50" t="str">
        <x:f>IF(42&gt;$H$4,"",IF(INDEX('Fleet dates'!$A$9:$A$1008,$I50-8)="","",INDEX('Fleet dates'!$A$9:$A$1008,$I50-8)))</x:f>
      </x:c>
      <x:c r="B50" s="50" t="str">
        <x:f>IF(42&gt;$H$4,"",IF(INDEX('Fleet dates'!$B$9:$B$1008,$I50-8)="","",INDEX('Fleet dates'!$B$9:$B$1008,$I50-8)))</x:f>
      </x:c>
      <x:c r="C50" s="51" t="str">
        <x:f>IF(42&gt;$H$4,"",IF(INDEX('Fleet dates'!$C$9:$C$1008,$I50-8)="","",INDEX('Fleet dates'!$C$9:$C$1008,$I50-8)))</x:f>
      </x:c>
      <x:c r="D50" s="51" t="str">
        <x:f>IF(42&gt;$H$4,"",IF(INDEX('Fleet dates'!$D$9:$D$1008,$I50-8)="","",INDEX('Fleet dates'!$D$9:$D$1008,$I50-8)))</x:f>
      </x:c>
      <x:c r="E50" s="51" t="str">
        <x:f>IF(42&gt;$H$4,"",IF(INDEX('Fleet dates'!$E$9:$E$1008,$I50-8)="","",INDEX('Fleet dates'!$E$9:$E$1008,$I50-8)))</x:f>
      </x:c>
      <x:c r="F50" s="51" t="str">
        <x:f>IF(42&gt;$H$4,"",IF(INDEX('Fleet dates'!$F$9:$F$1008,$I50-8)="","",INDEX('Fleet dates'!$F$9:$F$1008,$I50-8)))</x:f>
      </x:c>
      <x:c r="G50" s="50" t="str">
        <x:f>IF(42&gt;$H$4,"",IF(INDEX('Fleet dates'!$G$9:$G$1008,$I50-8)="","",INDEX('Fleet dates'!$G$9:$G$1008,$I50-8)))</x:f>
      </x:c>
      <x:c r="H50" s="50" t="str">
        <x:f>IF(42&gt;$H$4,"",IF(INDEX('Fleet dates'!$I$9:$I$1008,$I50-8)="","",INDEX('Fleet dates'!$I$9:$I$1008,$I50-8)))</x:f>
      </x:c>
      <x:c r="I50" t="str">
        <x:f>IF(42&gt;$H$4,"",MATCH(42,'Fleet dates'!$K$9:$K$1008,0)+8)</x:f>
      </x:c>
    </x:row>
    <x:row r="51" ht="36" customHeight="1">
      <x:c r="A51" s="50" t="str">
        <x:f>IF(43&gt;$H$4,"",IF(INDEX('Fleet dates'!$A$9:$A$1008,$I51-8)="","",INDEX('Fleet dates'!$A$9:$A$1008,$I51-8)))</x:f>
      </x:c>
      <x:c r="B51" s="50" t="str">
        <x:f>IF(43&gt;$H$4,"",IF(INDEX('Fleet dates'!$B$9:$B$1008,$I51-8)="","",INDEX('Fleet dates'!$B$9:$B$1008,$I51-8)))</x:f>
      </x:c>
      <x:c r="C51" s="51" t="str">
        <x:f>IF(43&gt;$H$4,"",IF(INDEX('Fleet dates'!$C$9:$C$1008,$I51-8)="","",INDEX('Fleet dates'!$C$9:$C$1008,$I51-8)))</x:f>
      </x:c>
      <x:c r="D51" s="51" t="str">
        <x:f>IF(43&gt;$H$4,"",IF(INDEX('Fleet dates'!$D$9:$D$1008,$I51-8)="","",INDEX('Fleet dates'!$D$9:$D$1008,$I51-8)))</x:f>
      </x:c>
      <x:c r="E51" s="51" t="str">
        <x:f>IF(43&gt;$H$4,"",IF(INDEX('Fleet dates'!$E$9:$E$1008,$I51-8)="","",INDEX('Fleet dates'!$E$9:$E$1008,$I51-8)))</x:f>
      </x:c>
      <x:c r="F51" s="51" t="str">
        <x:f>IF(43&gt;$H$4,"",IF(INDEX('Fleet dates'!$F$9:$F$1008,$I51-8)="","",INDEX('Fleet dates'!$F$9:$F$1008,$I51-8)))</x:f>
      </x:c>
      <x:c r="G51" s="50" t="str">
        <x:f>IF(43&gt;$H$4,"",IF(INDEX('Fleet dates'!$G$9:$G$1008,$I51-8)="","",INDEX('Fleet dates'!$G$9:$G$1008,$I51-8)))</x:f>
      </x:c>
      <x:c r="H51" s="50" t="str">
        <x:f>IF(43&gt;$H$4,"",IF(INDEX('Fleet dates'!$I$9:$I$1008,$I51-8)="","",INDEX('Fleet dates'!$I$9:$I$1008,$I51-8)))</x:f>
      </x:c>
      <x:c r="I51" t="str">
        <x:f>IF(43&gt;$H$4,"",MATCH(43,'Fleet dates'!$K$9:$K$1008,0)+8)</x:f>
      </x:c>
    </x:row>
    <x:row r="52" ht="36" customHeight="1">
      <x:c r="A52" s="50" t="str">
        <x:f>IF(44&gt;$H$4,"",IF(INDEX('Fleet dates'!$A$9:$A$1008,$I52-8)="","",INDEX('Fleet dates'!$A$9:$A$1008,$I52-8)))</x:f>
      </x:c>
      <x:c r="B52" s="50" t="str">
        <x:f>IF(44&gt;$H$4,"",IF(INDEX('Fleet dates'!$B$9:$B$1008,$I52-8)="","",INDEX('Fleet dates'!$B$9:$B$1008,$I52-8)))</x:f>
      </x:c>
      <x:c r="C52" s="51" t="str">
        <x:f>IF(44&gt;$H$4,"",IF(INDEX('Fleet dates'!$C$9:$C$1008,$I52-8)="","",INDEX('Fleet dates'!$C$9:$C$1008,$I52-8)))</x:f>
      </x:c>
      <x:c r="D52" s="51" t="str">
        <x:f>IF(44&gt;$H$4,"",IF(INDEX('Fleet dates'!$D$9:$D$1008,$I52-8)="","",INDEX('Fleet dates'!$D$9:$D$1008,$I52-8)))</x:f>
      </x:c>
      <x:c r="E52" s="51" t="str">
        <x:f>IF(44&gt;$H$4,"",IF(INDEX('Fleet dates'!$E$9:$E$1008,$I52-8)="","",INDEX('Fleet dates'!$E$9:$E$1008,$I52-8)))</x:f>
      </x:c>
      <x:c r="F52" s="51" t="str">
        <x:f>IF(44&gt;$H$4,"",IF(INDEX('Fleet dates'!$F$9:$F$1008,$I52-8)="","",INDEX('Fleet dates'!$F$9:$F$1008,$I52-8)))</x:f>
      </x:c>
      <x:c r="G52" s="50" t="str">
        <x:f>IF(44&gt;$H$4,"",IF(INDEX('Fleet dates'!$G$9:$G$1008,$I52-8)="","",INDEX('Fleet dates'!$G$9:$G$1008,$I52-8)))</x:f>
      </x:c>
      <x:c r="H52" s="50" t="str">
        <x:f>IF(44&gt;$H$4,"",IF(INDEX('Fleet dates'!$I$9:$I$1008,$I52-8)="","",INDEX('Fleet dates'!$I$9:$I$1008,$I52-8)))</x:f>
      </x:c>
      <x:c r="I52" t="str">
        <x:f>IF(44&gt;$H$4,"",MATCH(44,'Fleet dates'!$K$9:$K$1008,0)+8)</x:f>
      </x:c>
    </x:row>
    <x:row r="53" ht="36" customHeight="1">
      <x:c r="A53" s="50" t="str">
        <x:f>IF(45&gt;$H$4,"",IF(INDEX('Fleet dates'!$A$9:$A$1008,$I53-8)="","",INDEX('Fleet dates'!$A$9:$A$1008,$I53-8)))</x:f>
      </x:c>
      <x:c r="B53" s="50" t="str">
        <x:f>IF(45&gt;$H$4,"",IF(INDEX('Fleet dates'!$B$9:$B$1008,$I53-8)="","",INDEX('Fleet dates'!$B$9:$B$1008,$I53-8)))</x:f>
      </x:c>
      <x:c r="C53" s="51" t="str">
        <x:f>IF(45&gt;$H$4,"",IF(INDEX('Fleet dates'!$C$9:$C$1008,$I53-8)="","",INDEX('Fleet dates'!$C$9:$C$1008,$I53-8)))</x:f>
      </x:c>
      <x:c r="D53" s="51" t="str">
        <x:f>IF(45&gt;$H$4,"",IF(INDEX('Fleet dates'!$D$9:$D$1008,$I53-8)="","",INDEX('Fleet dates'!$D$9:$D$1008,$I53-8)))</x:f>
      </x:c>
      <x:c r="E53" s="51" t="str">
        <x:f>IF(45&gt;$H$4,"",IF(INDEX('Fleet dates'!$E$9:$E$1008,$I53-8)="","",INDEX('Fleet dates'!$E$9:$E$1008,$I53-8)))</x:f>
      </x:c>
      <x:c r="F53" s="51" t="str">
        <x:f>IF(45&gt;$H$4,"",IF(INDEX('Fleet dates'!$F$9:$F$1008,$I53-8)="","",INDEX('Fleet dates'!$F$9:$F$1008,$I53-8)))</x:f>
      </x:c>
      <x:c r="G53" s="50" t="str">
        <x:f>IF(45&gt;$H$4,"",IF(INDEX('Fleet dates'!$G$9:$G$1008,$I53-8)="","",INDEX('Fleet dates'!$G$9:$G$1008,$I53-8)))</x:f>
      </x:c>
      <x:c r="H53" s="50" t="str">
        <x:f>IF(45&gt;$H$4,"",IF(INDEX('Fleet dates'!$I$9:$I$1008,$I53-8)="","",INDEX('Fleet dates'!$I$9:$I$1008,$I53-8)))</x:f>
      </x:c>
      <x:c r="I53" t="str">
        <x:f>IF(45&gt;$H$4,"",MATCH(45,'Fleet dates'!$K$9:$K$1008,0)+8)</x:f>
      </x:c>
    </x:row>
    <x:row r="54" ht="36" customHeight="1">
      <x:c r="A54" s="50" t="str">
        <x:f>IF(46&gt;$H$4,"",IF(INDEX('Fleet dates'!$A$9:$A$1008,$I54-8)="","",INDEX('Fleet dates'!$A$9:$A$1008,$I54-8)))</x:f>
      </x:c>
      <x:c r="B54" s="50" t="str">
        <x:f>IF(46&gt;$H$4,"",IF(INDEX('Fleet dates'!$B$9:$B$1008,$I54-8)="","",INDEX('Fleet dates'!$B$9:$B$1008,$I54-8)))</x:f>
      </x:c>
      <x:c r="C54" s="51" t="str">
        <x:f>IF(46&gt;$H$4,"",IF(INDEX('Fleet dates'!$C$9:$C$1008,$I54-8)="","",INDEX('Fleet dates'!$C$9:$C$1008,$I54-8)))</x:f>
      </x:c>
      <x:c r="D54" s="51" t="str">
        <x:f>IF(46&gt;$H$4,"",IF(INDEX('Fleet dates'!$D$9:$D$1008,$I54-8)="","",INDEX('Fleet dates'!$D$9:$D$1008,$I54-8)))</x:f>
      </x:c>
      <x:c r="E54" s="51" t="str">
        <x:f>IF(46&gt;$H$4,"",IF(INDEX('Fleet dates'!$E$9:$E$1008,$I54-8)="","",INDEX('Fleet dates'!$E$9:$E$1008,$I54-8)))</x:f>
      </x:c>
      <x:c r="F54" s="51" t="str">
        <x:f>IF(46&gt;$H$4,"",IF(INDEX('Fleet dates'!$F$9:$F$1008,$I54-8)="","",INDEX('Fleet dates'!$F$9:$F$1008,$I54-8)))</x:f>
      </x:c>
      <x:c r="G54" s="50" t="str">
        <x:f>IF(46&gt;$H$4,"",IF(INDEX('Fleet dates'!$G$9:$G$1008,$I54-8)="","",INDEX('Fleet dates'!$G$9:$G$1008,$I54-8)))</x:f>
      </x:c>
      <x:c r="H54" s="50" t="str">
        <x:f>IF(46&gt;$H$4,"",IF(INDEX('Fleet dates'!$I$9:$I$1008,$I54-8)="","",INDEX('Fleet dates'!$I$9:$I$1008,$I54-8)))</x:f>
      </x:c>
      <x:c r="I54" t="str">
        <x:f>IF(46&gt;$H$4,"",MATCH(46,'Fleet dates'!$K$9:$K$1008,0)+8)</x:f>
      </x:c>
    </x:row>
    <x:row r="55" ht="36" customHeight="1">
      <x:c r="A55" s="50" t="str">
        <x:f>IF(47&gt;$H$4,"",IF(INDEX('Fleet dates'!$A$9:$A$1008,$I55-8)="","",INDEX('Fleet dates'!$A$9:$A$1008,$I55-8)))</x:f>
      </x:c>
      <x:c r="B55" s="50" t="str">
        <x:f>IF(47&gt;$H$4,"",IF(INDEX('Fleet dates'!$B$9:$B$1008,$I55-8)="","",INDEX('Fleet dates'!$B$9:$B$1008,$I55-8)))</x:f>
      </x:c>
      <x:c r="C55" s="51" t="str">
        <x:f>IF(47&gt;$H$4,"",IF(INDEX('Fleet dates'!$C$9:$C$1008,$I55-8)="","",INDEX('Fleet dates'!$C$9:$C$1008,$I55-8)))</x:f>
      </x:c>
      <x:c r="D55" s="51" t="str">
        <x:f>IF(47&gt;$H$4,"",IF(INDEX('Fleet dates'!$D$9:$D$1008,$I55-8)="","",INDEX('Fleet dates'!$D$9:$D$1008,$I55-8)))</x:f>
      </x:c>
      <x:c r="E55" s="51" t="str">
        <x:f>IF(47&gt;$H$4,"",IF(INDEX('Fleet dates'!$E$9:$E$1008,$I55-8)="","",INDEX('Fleet dates'!$E$9:$E$1008,$I55-8)))</x:f>
      </x:c>
      <x:c r="F55" s="51" t="str">
        <x:f>IF(47&gt;$H$4,"",IF(INDEX('Fleet dates'!$F$9:$F$1008,$I55-8)="","",INDEX('Fleet dates'!$F$9:$F$1008,$I55-8)))</x:f>
      </x:c>
      <x:c r="G55" s="50" t="str">
        <x:f>IF(47&gt;$H$4,"",IF(INDEX('Fleet dates'!$G$9:$G$1008,$I55-8)="","",INDEX('Fleet dates'!$G$9:$G$1008,$I55-8)))</x:f>
      </x:c>
      <x:c r="H55" s="50" t="str">
        <x:f>IF(47&gt;$H$4,"",IF(INDEX('Fleet dates'!$I$9:$I$1008,$I55-8)="","",INDEX('Fleet dates'!$I$9:$I$1008,$I55-8)))</x:f>
      </x:c>
      <x:c r="I55" t="str">
        <x:f>IF(47&gt;$H$4,"",MATCH(47,'Fleet dates'!$K$9:$K$1008,0)+8)</x:f>
      </x:c>
    </x:row>
    <x:row r="56" ht="36" customHeight="1">
      <x:c r="A56" s="50" t="str">
        <x:f>IF(48&gt;$H$4,"",IF(INDEX('Fleet dates'!$A$9:$A$1008,$I56-8)="","",INDEX('Fleet dates'!$A$9:$A$1008,$I56-8)))</x:f>
      </x:c>
      <x:c r="B56" s="50" t="str">
        <x:f>IF(48&gt;$H$4,"",IF(INDEX('Fleet dates'!$B$9:$B$1008,$I56-8)="","",INDEX('Fleet dates'!$B$9:$B$1008,$I56-8)))</x:f>
      </x:c>
      <x:c r="C56" s="51" t="str">
        <x:f>IF(48&gt;$H$4,"",IF(INDEX('Fleet dates'!$C$9:$C$1008,$I56-8)="","",INDEX('Fleet dates'!$C$9:$C$1008,$I56-8)))</x:f>
      </x:c>
      <x:c r="D56" s="51" t="str">
        <x:f>IF(48&gt;$H$4,"",IF(INDEX('Fleet dates'!$D$9:$D$1008,$I56-8)="","",INDEX('Fleet dates'!$D$9:$D$1008,$I56-8)))</x:f>
      </x:c>
      <x:c r="E56" s="51" t="str">
        <x:f>IF(48&gt;$H$4,"",IF(INDEX('Fleet dates'!$E$9:$E$1008,$I56-8)="","",INDEX('Fleet dates'!$E$9:$E$1008,$I56-8)))</x:f>
      </x:c>
      <x:c r="F56" s="51" t="str">
        <x:f>IF(48&gt;$H$4,"",IF(INDEX('Fleet dates'!$F$9:$F$1008,$I56-8)="","",INDEX('Fleet dates'!$F$9:$F$1008,$I56-8)))</x:f>
      </x:c>
      <x:c r="G56" s="50" t="str">
        <x:f>IF(48&gt;$H$4,"",IF(INDEX('Fleet dates'!$G$9:$G$1008,$I56-8)="","",INDEX('Fleet dates'!$G$9:$G$1008,$I56-8)))</x:f>
      </x:c>
      <x:c r="H56" s="50" t="str">
        <x:f>IF(48&gt;$H$4,"",IF(INDEX('Fleet dates'!$I$9:$I$1008,$I56-8)="","",INDEX('Fleet dates'!$I$9:$I$1008,$I56-8)))</x:f>
      </x:c>
      <x:c r="I56" t="str">
        <x:f>IF(48&gt;$H$4,"",MATCH(48,'Fleet dates'!$K$9:$K$1008,0)+8)</x:f>
      </x:c>
    </x:row>
    <x:row r="57" ht="36" customHeight="1">
      <x:c r="A57" s="50" t="str">
        <x:f>IF(49&gt;$H$4,"",IF(INDEX('Fleet dates'!$A$9:$A$1008,$I57-8)="","",INDEX('Fleet dates'!$A$9:$A$1008,$I57-8)))</x:f>
      </x:c>
      <x:c r="B57" s="50" t="str">
        <x:f>IF(49&gt;$H$4,"",IF(INDEX('Fleet dates'!$B$9:$B$1008,$I57-8)="","",INDEX('Fleet dates'!$B$9:$B$1008,$I57-8)))</x:f>
      </x:c>
      <x:c r="C57" s="51" t="str">
        <x:f>IF(49&gt;$H$4,"",IF(INDEX('Fleet dates'!$C$9:$C$1008,$I57-8)="","",INDEX('Fleet dates'!$C$9:$C$1008,$I57-8)))</x:f>
      </x:c>
      <x:c r="D57" s="51" t="str">
        <x:f>IF(49&gt;$H$4,"",IF(INDEX('Fleet dates'!$D$9:$D$1008,$I57-8)="","",INDEX('Fleet dates'!$D$9:$D$1008,$I57-8)))</x:f>
      </x:c>
      <x:c r="E57" s="51" t="str">
        <x:f>IF(49&gt;$H$4,"",IF(INDEX('Fleet dates'!$E$9:$E$1008,$I57-8)="","",INDEX('Fleet dates'!$E$9:$E$1008,$I57-8)))</x:f>
      </x:c>
      <x:c r="F57" s="51" t="str">
        <x:f>IF(49&gt;$H$4,"",IF(INDEX('Fleet dates'!$F$9:$F$1008,$I57-8)="","",INDEX('Fleet dates'!$F$9:$F$1008,$I57-8)))</x:f>
      </x:c>
      <x:c r="G57" s="50" t="str">
        <x:f>IF(49&gt;$H$4,"",IF(INDEX('Fleet dates'!$G$9:$G$1008,$I57-8)="","",INDEX('Fleet dates'!$G$9:$G$1008,$I57-8)))</x:f>
      </x:c>
      <x:c r="H57" s="50" t="str">
        <x:f>IF(49&gt;$H$4,"",IF(INDEX('Fleet dates'!$I$9:$I$1008,$I57-8)="","",INDEX('Fleet dates'!$I$9:$I$1008,$I57-8)))</x:f>
      </x:c>
      <x:c r="I57" t="str">
        <x:f>IF(49&gt;$H$4,"",MATCH(49,'Fleet dates'!$K$9:$K$1008,0)+8)</x:f>
      </x:c>
    </x:row>
    <x:row r="58" ht="36" customHeight="1">
      <x:c r="A58" s="50" t="str">
        <x:f>IF(50&gt;$H$4,"",IF(INDEX('Fleet dates'!$A$9:$A$1008,$I58-8)="","",INDEX('Fleet dates'!$A$9:$A$1008,$I58-8)))</x:f>
      </x:c>
      <x:c r="B58" s="50" t="str">
        <x:f>IF(50&gt;$H$4,"",IF(INDEX('Fleet dates'!$B$9:$B$1008,$I58-8)="","",INDEX('Fleet dates'!$B$9:$B$1008,$I58-8)))</x:f>
      </x:c>
      <x:c r="C58" s="51" t="str">
        <x:f>IF(50&gt;$H$4,"",IF(INDEX('Fleet dates'!$C$9:$C$1008,$I58-8)="","",INDEX('Fleet dates'!$C$9:$C$1008,$I58-8)))</x:f>
      </x:c>
      <x:c r="D58" s="51" t="str">
        <x:f>IF(50&gt;$H$4,"",IF(INDEX('Fleet dates'!$D$9:$D$1008,$I58-8)="","",INDEX('Fleet dates'!$D$9:$D$1008,$I58-8)))</x:f>
      </x:c>
      <x:c r="E58" s="51" t="str">
        <x:f>IF(50&gt;$H$4,"",IF(INDEX('Fleet dates'!$E$9:$E$1008,$I58-8)="","",INDEX('Fleet dates'!$E$9:$E$1008,$I58-8)))</x:f>
      </x:c>
      <x:c r="F58" s="51" t="str">
        <x:f>IF(50&gt;$H$4,"",IF(INDEX('Fleet dates'!$F$9:$F$1008,$I58-8)="","",INDEX('Fleet dates'!$F$9:$F$1008,$I58-8)))</x:f>
      </x:c>
      <x:c r="G58" s="50" t="str">
        <x:f>IF(50&gt;$H$4,"",IF(INDEX('Fleet dates'!$G$9:$G$1008,$I58-8)="","",INDEX('Fleet dates'!$G$9:$G$1008,$I58-8)))</x:f>
      </x:c>
      <x:c r="H58" s="50" t="str">
        <x:f>IF(50&gt;$H$4,"",IF(INDEX('Fleet dates'!$I$9:$I$1008,$I58-8)="","",INDEX('Fleet dates'!$I$9:$I$1008,$I58-8)))</x:f>
      </x:c>
      <x:c r="I58" t="str">
        <x:f>IF(50&gt;$H$4,"",MATCH(50,'Fleet dates'!$K$9:$K$1008,0)+8)</x:f>
      </x:c>
    </x:row>
    <x:row r="59" ht="36" customHeight="1">
      <x:c r="A59" s="50" t="str">
        <x:f>IF(51&gt;$H$4,"",IF(INDEX('Fleet dates'!$A$9:$A$1008,$I59-8)="","",INDEX('Fleet dates'!$A$9:$A$1008,$I59-8)))</x:f>
      </x:c>
      <x:c r="B59" s="50" t="str">
        <x:f>IF(51&gt;$H$4,"",IF(INDEX('Fleet dates'!$B$9:$B$1008,$I59-8)="","",INDEX('Fleet dates'!$B$9:$B$1008,$I59-8)))</x:f>
      </x:c>
      <x:c r="C59" s="51" t="str">
        <x:f>IF(51&gt;$H$4,"",IF(INDEX('Fleet dates'!$C$9:$C$1008,$I59-8)="","",INDEX('Fleet dates'!$C$9:$C$1008,$I59-8)))</x:f>
      </x:c>
      <x:c r="D59" s="51" t="str">
        <x:f>IF(51&gt;$H$4,"",IF(INDEX('Fleet dates'!$D$9:$D$1008,$I59-8)="","",INDEX('Fleet dates'!$D$9:$D$1008,$I59-8)))</x:f>
      </x:c>
      <x:c r="E59" s="51" t="str">
        <x:f>IF(51&gt;$H$4,"",IF(INDEX('Fleet dates'!$E$9:$E$1008,$I59-8)="","",INDEX('Fleet dates'!$E$9:$E$1008,$I59-8)))</x:f>
      </x:c>
      <x:c r="F59" s="51" t="str">
        <x:f>IF(51&gt;$H$4,"",IF(INDEX('Fleet dates'!$F$9:$F$1008,$I59-8)="","",INDEX('Fleet dates'!$F$9:$F$1008,$I59-8)))</x:f>
      </x:c>
      <x:c r="G59" s="50" t="str">
        <x:f>IF(51&gt;$H$4,"",IF(INDEX('Fleet dates'!$G$9:$G$1008,$I59-8)="","",INDEX('Fleet dates'!$G$9:$G$1008,$I59-8)))</x:f>
      </x:c>
      <x:c r="H59" s="50" t="str">
        <x:f>IF(51&gt;$H$4,"",IF(INDEX('Fleet dates'!$I$9:$I$1008,$I59-8)="","",INDEX('Fleet dates'!$I$9:$I$1008,$I59-8)))</x:f>
      </x:c>
      <x:c r="I59" t="str">
        <x:f>IF(51&gt;$H$4,"",MATCH(51,'Fleet dates'!$K$9:$K$1008,0)+8)</x:f>
      </x:c>
    </x:row>
    <x:row r="60" ht="36" customHeight="1">
      <x:c r="A60" s="50" t="str">
        <x:f>IF(52&gt;$H$4,"",IF(INDEX('Fleet dates'!$A$9:$A$1008,$I60-8)="","",INDEX('Fleet dates'!$A$9:$A$1008,$I60-8)))</x:f>
      </x:c>
      <x:c r="B60" s="50" t="str">
        <x:f>IF(52&gt;$H$4,"",IF(INDEX('Fleet dates'!$B$9:$B$1008,$I60-8)="","",INDEX('Fleet dates'!$B$9:$B$1008,$I60-8)))</x:f>
      </x:c>
      <x:c r="C60" s="51" t="str">
        <x:f>IF(52&gt;$H$4,"",IF(INDEX('Fleet dates'!$C$9:$C$1008,$I60-8)="","",INDEX('Fleet dates'!$C$9:$C$1008,$I60-8)))</x:f>
      </x:c>
      <x:c r="D60" s="51" t="str">
        <x:f>IF(52&gt;$H$4,"",IF(INDEX('Fleet dates'!$D$9:$D$1008,$I60-8)="","",INDEX('Fleet dates'!$D$9:$D$1008,$I60-8)))</x:f>
      </x:c>
      <x:c r="E60" s="51" t="str">
        <x:f>IF(52&gt;$H$4,"",IF(INDEX('Fleet dates'!$E$9:$E$1008,$I60-8)="","",INDEX('Fleet dates'!$E$9:$E$1008,$I60-8)))</x:f>
      </x:c>
      <x:c r="F60" s="51" t="str">
        <x:f>IF(52&gt;$H$4,"",IF(INDEX('Fleet dates'!$F$9:$F$1008,$I60-8)="","",INDEX('Fleet dates'!$F$9:$F$1008,$I60-8)))</x:f>
      </x:c>
      <x:c r="G60" s="50" t="str">
        <x:f>IF(52&gt;$H$4,"",IF(INDEX('Fleet dates'!$G$9:$G$1008,$I60-8)="","",INDEX('Fleet dates'!$G$9:$G$1008,$I60-8)))</x:f>
      </x:c>
      <x:c r="H60" s="50" t="str">
        <x:f>IF(52&gt;$H$4,"",IF(INDEX('Fleet dates'!$I$9:$I$1008,$I60-8)="","",INDEX('Fleet dates'!$I$9:$I$1008,$I60-8)))</x:f>
      </x:c>
      <x:c r="I60" t="str">
        <x:f>IF(52&gt;$H$4,"",MATCH(52,'Fleet dates'!$K$9:$K$1008,0)+8)</x:f>
      </x:c>
    </x:row>
    <x:row r="61" ht="36" customHeight="1">
      <x:c r="A61" s="50" t="str">
        <x:f>IF(53&gt;$H$4,"",IF(INDEX('Fleet dates'!$A$9:$A$1008,$I61-8)="","",INDEX('Fleet dates'!$A$9:$A$1008,$I61-8)))</x:f>
      </x:c>
      <x:c r="B61" s="50" t="str">
        <x:f>IF(53&gt;$H$4,"",IF(INDEX('Fleet dates'!$B$9:$B$1008,$I61-8)="","",INDEX('Fleet dates'!$B$9:$B$1008,$I61-8)))</x:f>
      </x:c>
      <x:c r="C61" s="51" t="str">
        <x:f>IF(53&gt;$H$4,"",IF(INDEX('Fleet dates'!$C$9:$C$1008,$I61-8)="","",INDEX('Fleet dates'!$C$9:$C$1008,$I61-8)))</x:f>
      </x:c>
      <x:c r="D61" s="51" t="str">
        <x:f>IF(53&gt;$H$4,"",IF(INDEX('Fleet dates'!$D$9:$D$1008,$I61-8)="","",INDEX('Fleet dates'!$D$9:$D$1008,$I61-8)))</x:f>
      </x:c>
      <x:c r="E61" s="51" t="str">
        <x:f>IF(53&gt;$H$4,"",IF(INDEX('Fleet dates'!$E$9:$E$1008,$I61-8)="","",INDEX('Fleet dates'!$E$9:$E$1008,$I61-8)))</x:f>
      </x:c>
      <x:c r="F61" s="51" t="str">
        <x:f>IF(53&gt;$H$4,"",IF(INDEX('Fleet dates'!$F$9:$F$1008,$I61-8)="","",INDEX('Fleet dates'!$F$9:$F$1008,$I61-8)))</x:f>
      </x:c>
      <x:c r="G61" s="50" t="str">
        <x:f>IF(53&gt;$H$4,"",IF(INDEX('Fleet dates'!$G$9:$G$1008,$I61-8)="","",INDEX('Fleet dates'!$G$9:$G$1008,$I61-8)))</x:f>
      </x:c>
      <x:c r="H61" s="50" t="str">
        <x:f>IF(53&gt;$H$4,"",IF(INDEX('Fleet dates'!$I$9:$I$1008,$I61-8)="","",INDEX('Fleet dates'!$I$9:$I$1008,$I61-8)))</x:f>
      </x:c>
      <x:c r="I61" t="str">
        <x:f>IF(53&gt;$H$4,"",MATCH(53,'Fleet dates'!$K$9:$K$1008,0)+8)</x:f>
      </x:c>
    </x:row>
    <x:row r="62" ht="36" customHeight="1">
      <x:c r="A62" s="50" t="str">
        <x:f>IF(54&gt;$H$4,"",IF(INDEX('Fleet dates'!$A$9:$A$1008,$I62-8)="","",INDEX('Fleet dates'!$A$9:$A$1008,$I62-8)))</x:f>
      </x:c>
      <x:c r="B62" s="50" t="str">
        <x:f>IF(54&gt;$H$4,"",IF(INDEX('Fleet dates'!$B$9:$B$1008,$I62-8)="","",INDEX('Fleet dates'!$B$9:$B$1008,$I62-8)))</x:f>
      </x:c>
      <x:c r="C62" s="51" t="str">
        <x:f>IF(54&gt;$H$4,"",IF(INDEX('Fleet dates'!$C$9:$C$1008,$I62-8)="","",INDEX('Fleet dates'!$C$9:$C$1008,$I62-8)))</x:f>
      </x:c>
      <x:c r="D62" s="51" t="str">
        <x:f>IF(54&gt;$H$4,"",IF(INDEX('Fleet dates'!$D$9:$D$1008,$I62-8)="","",INDEX('Fleet dates'!$D$9:$D$1008,$I62-8)))</x:f>
      </x:c>
      <x:c r="E62" s="51" t="str">
        <x:f>IF(54&gt;$H$4,"",IF(INDEX('Fleet dates'!$E$9:$E$1008,$I62-8)="","",INDEX('Fleet dates'!$E$9:$E$1008,$I62-8)))</x:f>
      </x:c>
      <x:c r="F62" s="51" t="str">
        <x:f>IF(54&gt;$H$4,"",IF(INDEX('Fleet dates'!$F$9:$F$1008,$I62-8)="","",INDEX('Fleet dates'!$F$9:$F$1008,$I62-8)))</x:f>
      </x:c>
      <x:c r="G62" s="50" t="str">
        <x:f>IF(54&gt;$H$4,"",IF(INDEX('Fleet dates'!$G$9:$G$1008,$I62-8)="","",INDEX('Fleet dates'!$G$9:$G$1008,$I62-8)))</x:f>
      </x:c>
      <x:c r="H62" s="50" t="str">
        <x:f>IF(54&gt;$H$4,"",IF(INDEX('Fleet dates'!$I$9:$I$1008,$I62-8)="","",INDEX('Fleet dates'!$I$9:$I$1008,$I62-8)))</x:f>
      </x:c>
      <x:c r="I62" t="str">
        <x:f>IF(54&gt;$H$4,"",MATCH(54,'Fleet dates'!$K$9:$K$1008,0)+8)</x:f>
      </x:c>
    </x:row>
    <x:row r="63" ht="36" customHeight="1">
      <x:c r="A63" s="50" t="str">
        <x:f>IF(55&gt;$H$4,"",IF(INDEX('Fleet dates'!$A$9:$A$1008,$I63-8)="","",INDEX('Fleet dates'!$A$9:$A$1008,$I63-8)))</x:f>
      </x:c>
      <x:c r="B63" s="50" t="str">
        <x:f>IF(55&gt;$H$4,"",IF(INDEX('Fleet dates'!$B$9:$B$1008,$I63-8)="","",INDEX('Fleet dates'!$B$9:$B$1008,$I63-8)))</x:f>
      </x:c>
      <x:c r="C63" s="51" t="str">
        <x:f>IF(55&gt;$H$4,"",IF(INDEX('Fleet dates'!$C$9:$C$1008,$I63-8)="","",INDEX('Fleet dates'!$C$9:$C$1008,$I63-8)))</x:f>
      </x:c>
      <x:c r="D63" s="51" t="str">
        <x:f>IF(55&gt;$H$4,"",IF(INDEX('Fleet dates'!$D$9:$D$1008,$I63-8)="","",INDEX('Fleet dates'!$D$9:$D$1008,$I63-8)))</x:f>
      </x:c>
      <x:c r="E63" s="51" t="str">
        <x:f>IF(55&gt;$H$4,"",IF(INDEX('Fleet dates'!$E$9:$E$1008,$I63-8)="","",INDEX('Fleet dates'!$E$9:$E$1008,$I63-8)))</x:f>
      </x:c>
      <x:c r="F63" s="51" t="str">
        <x:f>IF(55&gt;$H$4,"",IF(INDEX('Fleet dates'!$F$9:$F$1008,$I63-8)="","",INDEX('Fleet dates'!$F$9:$F$1008,$I63-8)))</x:f>
      </x:c>
      <x:c r="G63" s="50" t="str">
        <x:f>IF(55&gt;$H$4,"",IF(INDEX('Fleet dates'!$G$9:$G$1008,$I63-8)="","",INDEX('Fleet dates'!$G$9:$G$1008,$I63-8)))</x:f>
      </x:c>
      <x:c r="H63" s="50" t="str">
        <x:f>IF(55&gt;$H$4,"",IF(INDEX('Fleet dates'!$I$9:$I$1008,$I63-8)="","",INDEX('Fleet dates'!$I$9:$I$1008,$I63-8)))</x:f>
      </x:c>
      <x:c r="I63" t="str">
        <x:f>IF(55&gt;$H$4,"",MATCH(55,'Fleet dates'!$K$9:$K$1008,0)+8)</x:f>
      </x:c>
    </x:row>
    <x:row r="64" ht="36" customHeight="1">
      <x:c r="A64" s="50" t="str">
        <x:f>IF(56&gt;$H$4,"",IF(INDEX('Fleet dates'!$A$9:$A$1008,$I64-8)="","",INDEX('Fleet dates'!$A$9:$A$1008,$I64-8)))</x:f>
      </x:c>
      <x:c r="B64" s="50" t="str">
        <x:f>IF(56&gt;$H$4,"",IF(INDEX('Fleet dates'!$B$9:$B$1008,$I64-8)="","",INDEX('Fleet dates'!$B$9:$B$1008,$I64-8)))</x:f>
      </x:c>
      <x:c r="C64" s="51" t="str">
        <x:f>IF(56&gt;$H$4,"",IF(INDEX('Fleet dates'!$C$9:$C$1008,$I64-8)="","",INDEX('Fleet dates'!$C$9:$C$1008,$I64-8)))</x:f>
      </x:c>
      <x:c r="D64" s="51" t="str">
        <x:f>IF(56&gt;$H$4,"",IF(INDEX('Fleet dates'!$D$9:$D$1008,$I64-8)="","",INDEX('Fleet dates'!$D$9:$D$1008,$I64-8)))</x:f>
      </x:c>
      <x:c r="E64" s="51" t="str">
        <x:f>IF(56&gt;$H$4,"",IF(INDEX('Fleet dates'!$E$9:$E$1008,$I64-8)="","",INDEX('Fleet dates'!$E$9:$E$1008,$I64-8)))</x:f>
      </x:c>
      <x:c r="F64" s="51" t="str">
        <x:f>IF(56&gt;$H$4,"",IF(INDEX('Fleet dates'!$F$9:$F$1008,$I64-8)="","",INDEX('Fleet dates'!$F$9:$F$1008,$I64-8)))</x:f>
      </x:c>
      <x:c r="G64" s="50" t="str">
        <x:f>IF(56&gt;$H$4,"",IF(INDEX('Fleet dates'!$G$9:$G$1008,$I64-8)="","",INDEX('Fleet dates'!$G$9:$G$1008,$I64-8)))</x:f>
      </x:c>
      <x:c r="H64" s="50" t="str">
        <x:f>IF(56&gt;$H$4,"",IF(INDEX('Fleet dates'!$I$9:$I$1008,$I64-8)="","",INDEX('Fleet dates'!$I$9:$I$1008,$I64-8)))</x:f>
      </x:c>
      <x:c r="I64" t="str">
        <x:f>IF(56&gt;$H$4,"",MATCH(56,'Fleet dates'!$K$9:$K$1008,0)+8)</x:f>
      </x:c>
    </x:row>
    <x:row r="65" ht="36" customHeight="1">
      <x:c r="A65" s="50" t="str">
        <x:f>IF(57&gt;$H$4,"",IF(INDEX('Fleet dates'!$A$9:$A$1008,$I65-8)="","",INDEX('Fleet dates'!$A$9:$A$1008,$I65-8)))</x:f>
      </x:c>
      <x:c r="B65" s="50" t="str">
        <x:f>IF(57&gt;$H$4,"",IF(INDEX('Fleet dates'!$B$9:$B$1008,$I65-8)="","",INDEX('Fleet dates'!$B$9:$B$1008,$I65-8)))</x:f>
      </x:c>
      <x:c r="C65" s="51" t="str">
        <x:f>IF(57&gt;$H$4,"",IF(INDEX('Fleet dates'!$C$9:$C$1008,$I65-8)="","",INDEX('Fleet dates'!$C$9:$C$1008,$I65-8)))</x:f>
      </x:c>
      <x:c r="D65" s="51" t="str">
        <x:f>IF(57&gt;$H$4,"",IF(INDEX('Fleet dates'!$D$9:$D$1008,$I65-8)="","",INDEX('Fleet dates'!$D$9:$D$1008,$I65-8)))</x:f>
      </x:c>
      <x:c r="E65" s="51" t="str">
        <x:f>IF(57&gt;$H$4,"",IF(INDEX('Fleet dates'!$E$9:$E$1008,$I65-8)="","",INDEX('Fleet dates'!$E$9:$E$1008,$I65-8)))</x:f>
      </x:c>
      <x:c r="F65" s="51" t="str">
        <x:f>IF(57&gt;$H$4,"",IF(INDEX('Fleet dates'!$F$9:$F$1008,$I65-8)="","",INDEX('Fleet dates'!$F$9:$F$1008,$I65-8)))</x:f>
      </x:c>
      <x:c r="G65" s="50" t="str">
        <x:f>IF(57&gt;$H$4,"",IF(INDEX('Fleet dates'!$G$9:$G$1008,$I65-8)="","",INDEX('Fleet dates'!$G$9:$G$1008,$I65-8)))</x:f>
      </x:c>
      <x:c r="H65" s="50" t="str">
        <x:f>IF(57&gt;$H$4,"",IF(INDEX('Fleet dates'!$I$9:$I$1008,$I65-8)="","",INDEX('Fleet dates'!$I$9:$I$1008,$I65-8)))</x:f>
      </x:c>
      <x:c r="I65" t="str">
        <x:f>IF(57&gt;$H$4,"",MATCH(57,'Fleet dates'!$K$9:$K$1008,0)+8)</x:f>
      </x:c>
    </x:row>
    <x:row r="66" ht="36" customHeight="1">
      <x:c r="A66" s="50" t="str">
        <x:f>IF(58&gt;$H$4,"",IF(INDEX('Fleet dates'!$A$9:$A$1008,$I66-8)="","",INDEX('Fleet dates'!$A$9:$A$1008,$I66-8)))</x:f>
      </x:c>
      <x:c r="B66" s="50" t="str">
        <x:f>IF(58&gt;$H$4,"",IF(INDEX('Fleet dates'!$B$9:$B$1008,$I66-8)="","",INDEX('Fleet dates'!$B$9:$B$1008,$I66-8)))</x:f>
      </x:c>
      <x:c r="C66" s="51" t="str">
        <x:f>IF(58&gt;$H$4,"",IF(INDEX('Fleet dates'!$C$9:$C$1008,$I66-8)="","",INDEX('Fleet dates'!$C$9:$C$1008,$I66-8)))</x:f>
      </x:c>
      <x:c r="D66" s="51" t="str">
        <x:f>IF(58&gt;$H$4,"",IF(INDEX('Fleet dates'!$D$9:$D$1008,$I66-8)="","",INDEX('Fleet dates'!$D$9:$D$1008,$I66-8)))</x:f>
      </x:c>
      <x:c r="E66" s="51" t="str">
        <x:f>IF(58&gt;$H$4,"",IF(INDEX('Fleet dates'!$E$9:$E$1008,$I66-8)="","",INDEX('Fleet dates'!$E$9:$E$1008,$I66-8)))</x:f>
      </x:c>
      <x:c r="F66" s="51" t="str">
        <x:f>IF(58&gt;$H$4,"",IF(INDEX('Fleet dates'!$F$9:$F$1008,$I66-8)="","",INDEX('Fleet dates'!$F$9:$F$1008,$I66-8)))</x:f>
      </x:c>
      <x:c r="G66" s="50" t="str">
        <x:f>IF(58&gt;$H$4,"",IF(INDEX('Fleet dates'!$G$9:$G$1008,$I66-8)="","",INDEX('Fleet dates'!$G$9:$G$1008,$I66-8)))</x:f>
      </x:c>
      <x:c r="H66" s="50" t="str">
        <x:f>IF(58&gt;$H$4,"",IF(INDEX('Fleet dates'!$I$9:$I$1008,$I66-8)="","",INDEX('Fleet dates'!$I$9:$I$1008,$I66-8)))</x:f>
      </x:c>
      <x:c r="I66" t="str">
        <x:f>IF(58&gt;$H$4,"",MATCH(58,'Fleet dates'!$K$9:$K$1008,0)+8)</x:f>
      </x:c>
    </x:row>
    <x:row r="67" ht="36" customHeight="1">
      <x:c r="A67" s="50" t="str">
        <x:f>IF(59&gt;$H$4,"",IF(INDEX('Fleet dates'!$A$9:$A$1008,$I67-8)="","",INDEX('Fleet dates'!$A$9:$A$1008,$I67-8)))</x:f>
      </x:c>
      <x:c r="B67" s="50" t="str">
        <x:f>IF(59&gt;$H$4,"",IF(INDEX('Fleet dates'!$B$9:$B$1008,$I67-8)="","",INDEX('Fleet dates'!$B$9:$B$1008,$I67-8)))</x:f>
      </x:c>
      <x:c r="C67" s="51" t="str">
        <x:f>IF(59&gt;$H$4,"",IF(INDEX('Fleet dates'!$C$9:$C$1008,$I67-8)="","",INDEX('Fleet dates'!$C$9:$C$1008,$I67-8)))</x:f>
      </x:c>
      <x:c r="D67" s="51" t="str">
        <x:f>IF(59&gt;$H$4,"",IF(INDEX('Fleet dates'!$D$9:$D$1008,$I67-8)="","",INDEX('Fleet dates'!$D$9:$D$1008,$I67-8)))</x:f>
      </x:c>
      <x:c r="E67" s="51" t="str">
        <x:f>IF(59&gt;$H$4,"",IF(INDEX('Fleet dates'!$E$9:$E$1008,$I67-8)="","",INDEX('Fleet dates'!$E$9:$E$1008,$I67-8)))</x:f>
      </x:c>
      <x:c r="F67" s="51" t="str">
        <x:f>IF(59&gt;$H$4,"",IF(INDEX('Fleet dates'!$F$9:$F$1008,$I67-8)="","",INDEX('Fleet dates'!$F$9:$F$1008,$I67-8)))</x:f>
      </x:c>
      <x:c r="G67" s="50" t="str">
        <x:f>IF(59&gt;$H$4,"",IF(INDEX('Fleet dates'!$G$9:$G$1008,$I67-8)="","",INDEX('Fleet dates'!$G$9:$G$1008,$I67-8)))</x:f>
      </x:c>
      <x:c r="H67" s="50" t="str">
        <x:f>IF(59&gt;$H$4,"",IF(INDEX('Fleet dates'!$I$9:$I$1008,$I67-8)="","",INDEX('Fleet dates'!$I$9:$I$1008,$I67-8)))</x:f>
      </x:c>
      <x:c r="I67" t="str">
        <x:f>IF(59&gt;$H$4,"",MATCH(59,'Fleet dates'!$K$9:$K$1008,0)+8)</x:f>
      </x:c>
    </x:row>
    <x:row r="68" ht="36" customHeight="1">
      <x:c r="A68" s="50" t="str">
        <x:f>IF(60&gt;$H$4,"",IF(INDEX('Fleet dates'!$A$9:$A$1008,$I68-8)="","",INDEX('Fleet dates'!$A$9:$A$1008,$I68-8)))</x:f>
      </x:c>
      <x:c r="B68" s="50" t="str">
        <x:f>IF(60&gt;$H$4,"",IF(INDEX('Fleet dates'!$B$9:$B$1008,$I68-8)="","",INDEX('Fleet dates'!$B$9:$B$1008,$I68-8)))</x:f>
      </x:c>
      <x:c r="C68" s="51" t="str">
        <x:f>IF(60&gt;$H$4,"",IF(INDEX('Fleet dates'!$C$9:$C$1008,$I68-8)="","",INDEX('Fleet dates'!$C$9:$C$1008,$I68-8)))</x:f>
      </x:c>
      <x:c r="D68" s="51" t="str">
        <x:f>IF(60&gt;$H$4,"",IF(INDEX('Fleet dates'!$D$9:$D$1008,$I68-8)="","",INDEX('Fleet dates'!$D$9:$D$1008,$I68-8)))</x:f>
      </x:c>
      <x:c r="E68" s="51" t="str">
        <x:f>IF(60&gt;$H$4,"",IF(INDEX('Fleet dates'!$E$9:$E$1008,$I68-8)="","",INDEX('Fleet dates'!$E$9:$E$1008,$I68-8)))</x:f>
      </x:c>
      <x:c r="F68" s="51" t="str">
        <x:f>IF(60&gt;$H$4,"",IF(INDEX('Fleet dates'!$F$9:$F$1008,$I68-8)="","",INDEX('Fleet dates'!$F$9:$F$1008,$I68-8)))</x:f>
      </x:c>
      <x:c r="G68" s="50" t="str">
        <x:f>IF(60&gt;$H$4,"",IF(INDEX('Fleet dates'!$G$9:$G$1008,$I68-8)="","",INDEX('Fleet dates'!$G$9:$G$1008,$I68-8)))</x:f>
      </x:c>
      <x:c r="H68" s="50" t="str">
        <x:f>IF(60&gt;$H$4,"",IF(INDEX('Fleet dates'!$I$9:$I$1008,$I68-8)="","",INDEX('Fleet dates'!$I$9:$I$1008,$I68-8)))</x:f>
      </x:c>
      <x:c r="I68" t="str">
        <x:f>IF(60&gt;$H$4,"",MATCH(60,'Fleet dates'!$K$9:$K$1008,0)+8)</x:f>
      </x:c>
    </x:row>
    <x:row r="69" ht="36" customHeight="1">
      <x:c r="A69" s="50" t="str">
        <x:f>IF(61&gt;$H$4,"",IF(INDEX('Fleet dates'!$A$9:$A$1008,$I69-8)="","",INDEX('Fleet dates'!$A$9:$A$1008,$I69-8)))</x:f>
      </x:c>
      <x:c r="B69" s="50" t="str">
        <x:f>IF(61&gt;$H$4,"",IF(INDEX('Fleet dates'!$B$9:$B$1008,$I69-8)="","",INDEX('Fleet dates'!$B$9:$B$1008,$I69-8)))</x:f>
      </x:c>
      <x:c r="C69" s="51" t="str">
        <x:f>IF(61&gt;$H$4,"",IF(INDEX('Fleet dates'!$C$9:$C$1008,$I69-8)="","",INDEX('Fleet dates'!$C$9:$C$1008,$I69-8)))</x:f>
      </x:c>
      <x:c r="D69" s="51" t="str">
        <x:f>IF(61&gt;$H$4,"",IF(INDEX('Fleet dates'!$D$9:$D$1008,$I69-8)="","",INDEX('Fleet dates'!$D$9:$D$1008,$I69-8)))</x:f>
      </x:c>
      <x:c r="E69" s="51" t="str">
        <x:f>IF(61&gt;$H$4,"",IF(INDEX('Fleet dates'!$E$9:$E$1008,$I69-8)="","",INDEX('Fleet dates'!$E$9:$E$1008,$I69-8)))</x:f>
      </x:c>
      <x:c r="F69" s="51" t="str">
        <x:f>IF(61&gt;$H$4,"",IF(INDEX('Fleet dates'!$F$9:$F$1008,$I69-8)="","",INDEX('Fleet dates'!$F$9:$F$1008,$I69-8)))</x:f>
      </x:c>
      <x:c r="G69" s="50" t="str">
        <x:f>IF(61&gt;$H$4,"",IF(INDEX('Fleet dates'!$G$9:$G$1008,$I69-8)="","",INDEX('Fleet dates'!$G$9:$G$1008,$I69-8)))</x:f>
      </x:c>
      <x:c r="H69" s="50" t="str">
        <x:f>IF(61&gt;$H$4,"",IF(INDEX('Fleet dates'!$I$9:$I$1008,$I69-8)="","",INDEX('Fleet dates'!$I$9:$I$1008,$I69-8)))</x:f>
      </x:c>
      <x:c r="I69" t="str">
        <x:f>IF(61&gt;$H$4,"",MATCH(61,'Fleet dates'!$K$9:$K$1008,0)+8)</x:f>
      </x:c>
    </x:row>
    <x:row r="70" ht="36" customHeight="1">
      <x:c r="A70" s="50" t="str">
        <x:f>IF(62&gt;$H$4,"",IF(INDEX('Fleet dates'!$A$9:$A$1008,$I70-8)="","",INDEX('Fleet dates'!$A$9:$A$1008,$I70-8)))</x:f>
      </x:c>
      <x:c r="B70" s="50" t="str">
        <x:f>IF(62&gt;$H$4,"",IF(INDEX('Fleet dates'!$B$9:$B$1008,$I70-8)="","",INDEX('Fleet dates'!$B$9:$B$1008,$I70-8)))</x:f>
      </x:c>
      <x:c r="C70" s="51" t="str">
        <x:f>IF(62&gt;$H$4,"",IF(INDEX('Fleet dates'!$C$9:$C$1008,$I70-8)="","",INDEX('Fleet dates'!$C$9:$C$1008,$I70-8)))</x:f>
      </x:c>
      <x:c r="D70" s="51" t="str">
        <x:f>IF(62&gt;$H$4,"",IF(INDEX('Fleet dates'!$D$9:$D$1008,$I70-8)="","",INDEX('Fleet dates'!$D$9:$D$1008,$I70-8)))</x:f>
      </x:c>
      <x:c r="E70" s="51" t="str">
        <x:f>IF(62&gt;$H$4,"",IF(INDEX('Fleet dates'!$E$9:$E$1008,$I70-8)="","",INDEX('Fleet dates'!$E$9:$E$1008,$I70-8)))</x:f>
      </x:c>
      <x:c r="F70" s="51" t="str">
        <x:f>IF(62&gt;$H$4,"",IF(INDEX('Fleet dates'!$F$9:$F$1008,$I70-8)="","",INDEX('Fleet dates'!$F$9:$F$1008,$I70-8)))</x:f>
      </x:c>
      <x:c r="G70" s="50" t="str">
        <x:f>IF(62&gt;$H$4,"",IF(INDEX('Fleet dates'!$G$9:$G$1008,$I70-8)="","",INDEX('Fleet dates'!$G$9:$G$1008,$I70-8)))</x:f>
      </x:c>
      <x:c r="H70" s="50" t="str">
        <x:f>IF(62&gt;$H$4,"",IF(INDEX('Fleet dates'!$I$9:$I$1008,$I70-8)="","",INDEX('Fleet dates'!$I$9:$I$1008,$I70-8)))</x:f>
      </x:c>
      <x:c r="I70" t="str">
        <x:f>IF(62&gt;$H$4,"",MATCH(62,'Fleet dates'!$K$9:$K$1008,0)+8)</x:f>
      </x:c>
    </x:row>
    <x:row r="71" ht="36" customHeight="1">
      <x:c r="A71" s="50" t="str">
        <x:f>IF(63&gt;$H$4,"",IF(INDEX('Fleet dates'!$A$9:$A$1008,$I71-8)="","",INDEX('Fleet dates'!$A$9:$A$1008,$I71-8)))</x:f>
      </x:c>
      <x:c r="B71" s="50" t="str">
        <x:f>IF(63&gt;$H$4,"",IF(INDEX('Fleet dates'!$B$9:$B$1008,$I71-8)="","",INDEX('Fleet dates'!$B$9:$B$1008,$I71-8)))</x:f>
      </x:c>
      <x:c r="C71" s="51" t="str">
        <x:f>IF(63&gt;$H$4,"",IF(INDEX('Fleet dates'!$C$9:$C$1008,$I71-8)="","",INDEX('Fleet dates'!$C$9:$C$1008,$I71-8)))</x:f>
      </x:c>
      <x:c r="D71" s="51" t="str">
        <x:f>IF(63&gt;$H$4,"",IF(INDEX('Fleet dates'!$D$9:$D$1008,$I71-8)="","",INDEX('Fleet dates'!$D$9:$D$1008,$I71-8)))</x:f>
      </x:c>
      <x:c r="E71" s="51" t="str">
        <x:f>IF(63&gt;$H$4,"",IF(INDEX('Fleet dates'!$E$9:$E$1008,$I71-8)="","",INDEX('Fleet dates'!$E$9:$E$1008,$I71-8)))</x:f>
      </x:c>
      <x:c r="F71" s="51" t="str">
        <x:f>IF(63&gt;$H$4,"",IF(INDEX('Fleet dates'!$F$9:$F$1008,$I71-8)="","",INDEX('Fleet dates'!$F$9:$F$1008,$I71-8)))</x:f>
      </x:c>
      <x:c r="G71" s="50" t="str">
        <x:f>IF(63&gt;$H$4,"",IF(INDEX('Fleet dates'!$G$9:$G$1008,$I71-8)="","",INDEX('Fleet dates'!$G$9:$G$1008,$I71-8)))</x:f>
      </x:c>
      <x:c r="H71" s="50" t="str">
        <x:f>IF(63&gt;$H$4,"",IF(INDEX('Fleet dates'!$I$9:$I$1008,$I71-8)="","",INDEX('Fleet dates'!$I$9:$I$1008,$I71-8)))</x:f>
      </x:c>
      <x:c r="I71" t="str">
        <x:f>IF(63&gt;$H$4,"",MATCH(63,'Fleet dates'!$K$9:$K$1008,0)+8)</x:f>
      </x:c>
    </x:row>
    <x:row r="72" ht="36" customHeight="1">
      <x:c r="A72" s="50" t="str">
        <x:f>IF(64&gt;$H$4,"",IF(INDEX('Fleet dates'!$A$9:$A$1008,$I72-8)="","",INDEX('Fleet dates'!$A$9:$A$1008,$I72-8)))</x:f>
      </x:c>
      <x:c r="B72" s="50" t="str">
        <x:f>IF(64&gt;$H$4,"",IF(INDEX('Fleet dates'!$B$9:$B$1008,$I72-8)="","",INDEX('Fleet dates'!$B$9:$B$1008,$I72-8)))</x:f>
      </x:c>
      <x:c r="C72" s="51" t="str">
        <x:f>IF(64&gt;$H$4,"",IF(INDEX('Fleet dates'!$C$9:$C$1008,$I72-8)="","",INDEX('Fleet dates'!$C$9:$C$1008,$I72-8)))</x:f>
      </x:c>
      <x:c r="D72" s="51" t="str">
        <x:f>IF(64&gt;$H$4,"",IF(INDEX('Fleet dates'!$D$9:$D$1008,$I72-8)="","",INDEX('Fleet dates'!$D$9:$D$1008,$I72-8)))</x:f>
      </x:c>
      <x:c r="E72" s="51" t="str">
        <x:f>IF(64&gt;$H$4,"",IF(INDEX('Fleet dates'!$E$9:$E$1008,$I72-8)="","",INDEX('Fleet dates'!$E$9:$E$1008,$I72-8)))</x:f>
      </x:c>
      <x:c r="F72" s="51" t="str">
        <x:f>IF(64&gt;$H$4,"",IF(INDEX('Fleet dates'!$F$9:$F$1008,$I72-8)="","",INDEX('Fleet dates'!$F$9:$F$1008,$I72-8)))</x:f>
      </x:c>
      <x:c r="G72" s="50" t="str">
        <x:f>IF(64&gt;$H$4,"",IF(INDEX('Fleet dates'!$G$9:$G$1008,$I72-8)="","",INDEX('Fleet dates'!$G$9:$G$1008,$I72-8)))</x:f>
      </x:c>
      <x:c r="H72" s="50" t="str">
        <x:f>IF(64&gt;$H$4,"",IF(INDEX('Fleet dates'!$I$9:$I$1008,$I72-8)="","",INDEX('Fleet dates'!$I$9:$I$1008,$I72-8)))</x:f>
      </x:c>
      <x:c r="I72" t="str">
        <x:f>IF(64&gt;$H$4,"",MATCH(64,'Fleet dates'!$K$9:$K$1008,0)+8)</x:f>
      </x:c>
    </x:row>
    <x:row r="73" ht="36" customHeight="1">
      <x:c r="A73" s="50" t="str">
        <x:f>IF(65&gt;$H$4,"",IF(INDEX('Fleet dates'!$A$9:$A$1008,$I73-8)="","",INDEX('Fleet dates'!$A$9:$A$1008,$I73-8)))</x:f>
      </x:c>
      <x:c r="B73" s="50" t="str">
        <x:f>IF(65&gt;$H$4,"",IF(INDEX('Fleet dates'!$B$9:$B$1008,$I73-8)="","",INDEX('Fleet dates'!$B$9:$B$1008,$I73-8)))</x:f>
      </x:c>
      <x:c r="C73" s="51" t="str">
        <x:f>IF(65&gt;$H$4,"",IF(INDEX('Fleet dates'!$C$9:$C$1008,$I73-8)="","",INDEX('Fleet dates'!$C$9:$C$1008,$I73-8)))</x:f>
      </x:c>
      <x:c r="D73" s="51" t="str">
        <x:f>IF(65&gt;$H$4,"",IF(INDEX('Fleet dates'!$D$9:$D$1008,$I73-8)="","",INDEX('Fleet dates'!$D$9:$D$1008,$I73-8)))</x:f>
      </x:c>
      <x:c r="E73" s="51" t="str">
        <x:f>IF(65&gt;$H$4,"",IF(INDEX('Fleet dates'!$E$9:$E$1008,$I73-8)="","",INDEX('Fleet dates'!$E$9:$E$1008,$I73-8)))</x:f>
      </x:c>
      <x:c r="F73" s="51" t="str">
        <x:f>IF(65&gt;$H$4,"",IF(INDEX('Fleet dates'!$F$9:$F$1008,$I73-8)="","",INDEX('Fleet dates'!$F$9:$F$1008,$I73-8)))</x:f>
      </x:c>
      <x:c r="G73" s="50" t="str">
        <x:f>IF(65&gt;$H$4,"",IF(INDEX('Fleet dates'!$G$9:$G$1008,$I73-8)="","",INDEX('Fleet dates'!$G$9:$G$1008,$I73-8)))</x:f>
      </x:c>
      <x:c r="H73" s="50" t="str">
        <x:f>IF(65&gt;$H$4,"",IF(INDEX('Fleet dates'!$I$9:$I$1008,$I73-8)="","",INDEX('Fleet dates'!$I$9:$I$1008,$I73-8)))</x:f>
      </x:c>
      <x:c r="I73" t="str">
        <x:f>IF(65&gt;$H$4,"",MATCH(65,'Fleet dates'!$K$9:$K$1008,0)+8)</x:f>
      </x:c>
    </x:row>
    <x:row r="74" ht="36" customHeight="1">
      <x:c r="A74" s="50" t="str">
        <x:f>IF(66&gt;$H$4,"",IF(INDEX('Fleet dates'!$A$9:$A$1008,$I74-8)="","",INDEX('Fleet dates'!$A$9:$A$1008,$I74-8)))</x:f>
      </x:c>
      <x:c r="B74" s="50" t="str">
        <x:f>IF(66&gt;$H$4,"",IF(INDEX('Fleet dates'!$B$9:$B$1008,$I74-8)="","",INDEX('Fleet dates'!$B$9:$B$1008,$I74-8)))</x:f>
      </x:c>
      <x:c r="C74" s="51" t="str">
        <x:f>IF(66&gt;$H$4,"",IF(INDEX('Fleet dates'!$C$9:$C$1008,$I74-8)="","",INDEX('Fleet dates'!$C$9:$C$1008,$I74-8)))</x:f>
      </x:c>
      <x:c r="D74" s="51" t="str">
        <x:f>IF(66&gt;$H$4,"",IF(INDEX('Fleet dates'!$D$9:$D$1008,$I74-8)="","",INDEX('Fleet dates'!$D$9:$D$1008,$I74-8)))</x:f>
      </x:c>
      <x:c r="E74" s="51" t="str">
        <x:f>IF(66&gt;$H$4,"",IF(INDEX('Fleet dates'!$E$9:$E$1008,$I74-8)="","",INDEX('Fleet dates'!$E$9:$E$1008,$I74-8)))</x:f>
      </x:c>
      <x:c r="F74" s="51" t="str">
        <x:f>IF(66&gt;$H$4,"",IF(INDEX('Fleet dates'!$F$9:$F$1008,$I74-8)="","",INDEX('Fleet dates'!$F$9:$F$1008,$I74-8)))</x:f>
      </x:c>
      <x:c r="G74" s="50" t="str">
        <x:f>IF(66&gt;$H$4,"",IF(INDEX('Fleet dates'!$G$9:$G$1008,$I74-8)="","",INDEX('Fleet dates'!$G$9:$G$1008,$I74-8)))</x:f>
      </x:c>
      <x:c r="H74" s="50" t="str">
        <x:f>IF(66&gt;$H$4,"",IF(INDEX('Fleet dates'!$I$9:$I$1008,$I74-8)="","",INDEX('Fleet dates'!$I$9:$I$1008,$I74-8)))</x:f>
      </x:c>
      <x:c r="I74" t="str">
        <x:f>IF(66&gt;$H$4,"",MATCH(66,'Fleet dates'!$K$9:$K$1008,0)+8)</x:f>
      </x:c>
    </x:row>
    <x:row r="75" ht="36" customHeight="1">
      <x:c r="A75" s="50" t="str">
        <x:f>IF(67&gt;$H$4,"",IF(INDEX('Fleet dates'!$A$9:$A$1008,$I75-8)="","",INDEX('Fleet dates'!$A$9:$A$1008,$I75-8)))</x:f>
      </x:c>
      <x:c r="B75" s="50" t="str">
        <x:f>IF(67&gt;$H$4,"",IF(INDEX('Fleet dates'!$B$9:$B$1008,$I75-8)="","",INDEX('Fleet dates'!$B$9:$B$1008,$I75-8)))</x:f>
      </x:c>
      <x:c r="C75" s="51" t="str">
        <x:f>IF(67&gt;$H$4,"",IF(INDEX('Fleet dates'!$C$9:$C$1008,$I75-8)="","",INDEX('Fleet dates'!$C$9:$C$1008,$I75-8)))</x:f>
      </x:c>
      <x:c r="D75" s="51" t="str">
        <x:f>IF(67&gt;$H$4,"",IF(INDEX('Fleet dates'!$D$9:$D$1008,$I75-8)="","",INDEX('Fleet dates'!$D$9:$D$1008,$I75-8)))</x:f>
      </x:c>
      <x:c r="E75" s="51" t="str">
        <x:f>IF(67&gt;$H$4,"",IF(INDEX('Fleet dates'!$E$9:$E$1008,$I75-8)="","",INDEX('Fleet dates'!$E$9:$E$1008,$I75-8)))</x:f>
      </x:c>
      <x:c r="F75" s="51" t="str">
        <x:f>IF(67&gt;$H$4,"",IF(INDEX('Fleet dates'!$F$9:$F$1008,$I75-8)="","",INDEX('Fleet dates'!$F$9:$F$1008,$I75-8)))</x:f>
      </x:c>
      <x:c r="G75" s="50" t="str">
        <x:f>IF(67&gt;$H$4,"",IF(INDEX('Fleet dates'!$G$9:$G$1008,$I75-8)="","",INDEX('Fleet dates'!$G$9:$G$1008,$I75-8)))</x:f>
      </x:c>
      <x:c r="H75" s="50" t="str">
        <x:f>IF(67&gt;$H$4,"",IF(INDEX('Fleet dates'!$I$9:$I$1008,$I75-8)="","",INDEX('Fleet dates'!$I$9:$I$1008,$I75-8)))</x:f>
      </x:c>
      <x:c r="I75" t="str">
        <x:f>IF(67&gt;$H$4,"",MATCH(67,'Fleet dates'!$K$9:$K$1008,0)+8)</x:f>
      </x:c>
    </x:row>
    <x:row r="76" ht="36" customHeight="1">
      <x:c r="A76" s="50" t="str">
        <x:f>IF(68&gt;$H$4,"",IF(INDEX('Fleet dates'!$A$9:$A$1008,$I76-8)="","",INDEX('Fleet dates'!$A$9:$A$1008,$I76-8)))</x:f>
      </x:c>
      <x:c r="B76" s="50" t="str">
        <x:f>IF(68&gt;$H$4,"",IF(INDEX('Fleet dates'!$B$9:$B$1008,$I76-8)="","",INDEX('Fleet dates'!$B$9:$B$1008,$I76-8)))</x:f>
      </x:c>
      <x:c r="C76" s="51" t="str">
        <x:f>IF(68&gt;$H$4,"",IF(INDEX('Fleet dates'!$C$9:$C$1008,$I76-8)="","",INDEX('Fleet dates'!$C$9:$C$1008,$I76-8)))</x:f>
      </x:c>
      <x:c r="D76" s="51" t="str">
        <x:f>IF(68&gt;$H$4,"",IF(INDEX('Fleet dates'!$D$9:$D$1008,$I76-8)="","",INDEX('Fleet dates'!$D$9:$D$1008,$I76-8)))</x:f>
      </x:c>
      <x:c r="E76" s="51" t="str">
        <x:f>IF(68&gt;$H$4,"",IF(INDEX('Fleet dates'!$E$9:$E$1008,$I76-8)="","",INDEX('Fleet dates'!$E$9:$E$1008,$I76-8)))</x:f>
      </x:c>
      <x:c r="F76" s="51" t="str">
        <x:f>IF(68&gt;$H$4,"",IF(INDEX('Fleet dates'!$F$9:$F$1008,$I76-8)="","",INDEX('Fleet dates'!$F$9:$F$1008,$I76-8)))</x:f>
      </x:c>
      <x:c r="G76" s="50" t="str">
        <x:f>IF(68&gt;$H$4,"",IF(INDEX('Fleet dates'!$G$9:$G$1008,$I76-8)="","",INDEX('Fleet dates'!$G$9:$G$1008,$I76-8)))</x:f>
      </x:c>
      <x:c r="H76" s="50" t="str">
        <x:f>IF(68&gt;$H$4,"",IF(INDEX('Fleet dates'!$I$9:$I$1008,$I76-8)="","",INDEX('Fleet dates'!$I$9:$I$1008,$I76-8)))</x:f>
      </x:c>
      <x:c r="I76" t="str">
        <x:f>IF(68&gt;$H$4,"",MATCH(68,'Fleet dates'!$K$9:$K$1008,0)+8)</x:f>
      </x:c>
    </x:row>
    <x:row r="77" ht="36" customHeight="1">
      <x:c r="A77" s="50" t="str">
        <x:f>IF(69&gt;$H$4,"",IF(INDEX('Fleet dates'!$A$9:$A$1008,$I77-8)="","",INDEX('Fleet dates'!$A$9:$A$1008,$I77-8)))</x:f>
      </x:c>
      <x:c r="B77" s="50" t="str">
        <x:f>IF(69&gt;$H$4,"",IF(INDEX('Fleet dates'!$B$9:$B$1008,$I77-8)="","",INDEX('Fleet dates'!$B$9:$B$1008,$I77-8)))</x:f>
      </x:c>
      <x:c r="C77" s="51" t="str">
        <x:f>IF(69&gt;$H$4,"",IF(INDEX('Fleet dates'!$C$9:$C$1008,$I77-8)="","",INDEX('Fleet dates'!$C$9:$C$1008,$I77-8)))</x:f>
      </x:c>
      <x:c r="D77" s="51" t="str">
        <x:f>IF(69&gt;$H$4,"",IF(INDEX('Fleet dates'!$D$9:$D$1008,$I77-8)="","",INDEX('Fleet dates'!$D$9:$D$1008,$I77-8)))</x:f>
      </x:c>
      <x:c r="E77" s="51" t="str">
        <x:f>IF(69&gt;$H$4,"",IF(INDEX('Fleet dates'!$E$9:$E$1008,$I77-8)="","",INDEX('Fleet dates'!$E$9:$E$1008,$I77-8)))</x:f>
      </x:c>
      <x:c r="F77" s="51" t="str">
        <x:f>IF(69&gt;$H$4,"",IF(INDEX('Fleet dates'!$F$9:$F$1008,$I77-8)="","",INDEX('Fleet dates'!$F$9:$F$1008,$I77-8)))</x:f>
      </x:c>
      <x:c r="G77" s="50" t="str">
        <x:f>IF(69&gt;$H$4,"",IF(INDEX('Fleet dates'!$G$9:$G$1008,$I77-8)="","",INDEX('Fleet dates'!$G$9:$G$1008,$I77-8)))</x:f>
      </x:c>
      <x:c r="H77" s="50" t="str">
        <x:f>IF(69&gt;$H$4,"",IF(INDEX('Fleet dates'!$I$9:$I$1008,$I77-8)="","",INDEX('Fleet dates'!$I$9:$I$1008,$I77-8)))</x:f>
      </x:c>
      <x:c r="I77" t="str">
        <x:f>IF(69&gt;$H$4,"",MATCH(69,'Fleet dates'!$K$9:$K$1008,0)+8)</x:f>
      </x:c>
    </x:row>
    <x:row r="78" ht="36" customHeight="1">
      <x:c r="A78" s="50" t="str">
        <x:f>IF(70&gt;$H$4,"",IF(INDEX('Fleet dates'!$A$9:$A$1008,$I78-8)="","",INDEX('Fleet dates'!$A$9:$A$1008,$I78-8)))</x:f>
      </x:c>
      <x:c r="B78" s="50" t="str">
        <x:f>IF(70&gt;$H$4,"",IF(INDEX('Fleet dates'!$B$9:$B$1008,$I78-8)="","",INDEX('Fleet dates'!$B$9:$B$1008,$I78-8)))</x:f>
      </x:c>
      <x:c r="C78" s="51" t="str">
        <x:f>IF(70&gt;$H$4,"",IF(INDEX('Fleet dates'!$C$9:$C$1008,$I78-8)="","",INDEX('Fleet dates'!$C$9:$C$1008,$I78-8)))</x:f>
      </x:c>
      <x:c r="D78" s="51" t="str">
        <x:f>IF(70&gt;$H$4,"",IF(INDEX('Fleet dates'!$D$9:$D$1008,$I78-8)="","",INDEX('Fleet dates'!$D$9:$D$1008,$I78-8)))</x:f>
      </x:c>
      <x:c r="E78" s="51" t="str">
        <x:f>IF(70&gt;$H$4,"",IF(INDEX('Fleet dates'!$E$9:$E$1008,$I78-8)="","",INDEX('Fleet dates'!$E$9:$E$1008,$I78-8)))</x:f>
      </x:c>
      <x:c r="F78" s="51" t="str">
        <x:f>IF(70&gt;$H$4,"",IF(INDEX('Fleet dates'!$F$9:$F$1008,$I78-8)="","",INDEX('Fleet dates'!$F$9:$F$1008,$I78-8)))</x:f>
      </x:c>
      <x:c r="G78" s="50" t="str">
        <x:f>IF(70&gt;$H$4,"",IF(INDEX('Fleet dates'!$G$9:$G$1008,$I78-8)="","",INDEX('Fleet dates'!$G$9:$G$1008,$I78-8)))</x:f>
      </x:c>
      <x:c r="H78" s="50" t="str">
        <x:f>IF(70&gt;$H$4,"",IF(INDEX('Fleet dates'!$I$9:$I$1008,$I78-8)="","",INDEX('Fleet dates'!$I$9:$I$1008,$I78-8)))</x:f>
      </x:c>
      <x:c r="I78" t="str">
        <x:f>IF(70&gt;$H$4,"",MATCH(70,'Fleet dates'!$K$9:$K$1008,0)+8)</x:f>
      </x:c>
    </x:row>
    <x:row r="79" ht="36" customHeight="1">
      <x:c r="A79" s="50" t="str">
        <x:f>IF(71&gt;$H$4,"",IF(INDEX('Fleet dates'!$A$9:$A$1008,$I79-8)="","",INDEX('Fleet dates'!$A$9:$A$1008,$I79-8)))</x:f>
      </x:c>
      <x:c r="B79" s="50" t="str">
        <x:f>IF(71&gt;$H$4,"",IF(INDEX('Fleet dates'!$B$9:$B$1008,$I79-8)="","",INDEX('Fleet dates'!$B$9:$B$1008,$I79-8)))</x:f>
      </x:c>
      <x:c r="C79" s="51" t="str">
        <x:f>IF(71&gt;$H$4,"",IF(INDEX('Fleet dates'!$C$9:$C$1008,$I79-8)="","",INDEX('Fleet dates'!$C$9:$C$1008,$I79-8)))</x:f>
      </x:c>
      <x:c r="D79" s="51" t="str">
        <x:f>IF(71&gt;$H$4,"",IF(INDEX('Fleet dates'!$D$9:$D$1008,$I79-8)="","",INDEX('Fleet dates'!$D$9:$D$1008,$I79-8)))</x:f>
      </x:c>
      <x:c r="E79" s="51" t="str">
        <x:f>IF(71&gt;$H$4,"",IF(INDEX('Fleet dates'!$E$9:$E$1008,$I79-8)="","",INDEX('Fleet dates'!$E$9:$E$1008,$I79-8)))</x:f>
      </x:c>
      <x:c r="F79" s="51" t="str">
        <x:f>IF(71&gt;$H$4,"",IF(INDEX('Fleet dates'!$F$9:$F$1008,$I79-8)="","",INDEX('Fleet dates'!$F$9:$F$1008,$I79-8)))</x:f>
      </x:c>
      <x:c r="G79" s="50" t="str">
        <x:f>IF(71&gt;$H$4,"",IF(INDEX('Fleet dates'!$G$9:$G$1008,$I79-8)="","",INDEX('Fleet dates'!$G$9:$G$1008,$I79-8)))</x:f>
      </x:c>
      <x:c r="H79" s="50" t="str">
        <x:f>IF(71&gt;$H$4,"",IF(INDEX('Fleet dates'!$I$9:$I$1008,$I79-8)="","",INDEX('Fleet dates'!$I$9:$I$1008,$I79-8)))</x:f>
      </x:c>
      <x:c r="I79" t="str">
        <x:f>IF(71&gt;$H$4,"",MATCH(71,'Fleet dates'!$K$9:$K$1008,0)+8)</x:f>
      </x:c>
    </x:row>
    <x:row r="80" ht="36" customHeight="1">
      <x:c r="A80" s="50" t="str">
        <x:f>IF(72&gt;$H$4,"",IF(INDEX('Fleet dates'!$A$9:$A$1008,$I80-8)="","",INDEX('Fleet dates'!$A$9:$A$1008,$I80-8)))</x:f>
      </x:c>
      <x:c r="B80" s="50" t="str">
        <x:f>IF(72&gt;$H$4,"",IF(INDEX('Fleet dates'!$B$9:$B$1008,$I80-8)="","",INDEX('Fleet dates'!$B$9:$B$1008,$I80-8)))</x:f>
      </x:c>
      <x:c r="C80" s="51" t="str">
        <x:f>IF(72&gt;$H$4,"",IF(INDEX('Fleet dates'!$C$9:$C$1008,$I80-8)="","",INDEX('Fleet dates'!$C$9:$C$1008,$I80-8)))</x:f>
      </x:c>
      <x:c r="D80" s="51" t="str">
        <x:f>IF(72&gt;$H$4,"",IF(INDEX('Fleet dates'!$D$9:$D$1008,$I80-8)="","",INDEX('Fleet dates'!$D$9:$D$1008,$I80-8)))</x:f>
      </x:c>
      <x:c r="E80" s="51" t="str">
        <x:f>IF(72&gt;$H$4,"",IF(INDEX('Fleet dates'!$E$9:$E$1008,$I80-8)="","",INDEX('Fleet dates'!$E$9:$E$1008,$I80-8)))</x:f>
      </x:c>
      <x:c r="F80" s="51" t="str">
        <x:f>IF(72&gt;$H$4,"",IF(INDEX('Fleet dates'!$F$9:$F$1008,$I80-8)="","",INDEX('Fleet dates'!$F$9:$F$1008,$I80-8)))</x:f>
      </x:c>
      <x:c r="G80" s="50" t="str">
        <x:f>IF(72&gt;$H$4,"",IF(INDEX('Fleet dates'!$G$9:$G$1008,$I80-8)="","",INDEX('Fleet dates'!$G$9:$G$1008,$I80-8)))</x:f>
      </x:c>
      <x:c r="H80" s="50" t="str">
        <x:f>IF(72&gt;$H$4,"",IF(INDEX('Fleet dates'!$I$9:$I$1008,$I80-8)="","",INDEX('Fleet dates'!$I$9:$I$1008,$I80-8)))</x:f>
      </x:c>
      <x:c r="I80" t="str">
        <x:f>IF(72&gt;$H$4,"",MATCH(72,'Fleet dates'!$K$9:$K$1008,0)+8)</x:f>
      </x:c>
    </x:row>
    <x:row r="81" ht="36" customHeight="1">
      <x:c r="A81" s="50" t="str">
        <x:f>IF(73&gt;$H$4,"",IF(INDEX('Fleet dates'!$A$9:$A$1008,$I81-8)="","",INDEX('Fleet dates'!$A$9:$A$1008,$I81-8)))</x:f>
      </x:c>
      <x:c r="B81" s="50" t="str">
        <x:f>IF(73&gt;$H$4,"",IF(INDEX('Fleet dates'!$B$9:$B$1008,$I81-8)="","",INDEX('Fleet dates'!$B$9:$B$1008,$I81-8)))</x:f>
      </x:c>
      <x:c r="C81" s="51" t="str">
        <x:f>IF(73&gt;$H$4,"",IF(INDEX('Fleet dates'!$C$9:$C$1008,$I81-8)="","",INDEX('Fleet dates'!$C$9:$C$1008,$I81-8)))</x:f>
      </x:c>
      <x:c r="D81" s="51" t="str">
        <x:f>IF(73&gt;$H$4,"",IF(INDEX('Fleet dates'!$D$9:$D$1008,$I81-8)="","",INDEX('Fleet dates'!$D$9:$D$1008,$I81-8)))</x:f>
      </x:c>
      <x:c r="E81" s="51" t="str">
        <x:f>IF(73&gt;$H$4,"",IF(INDEX('Fleet dates'!$E$9:$E$1008,$I81-8)="","",INDEX('Fleet dates'!$E$9:$E$1008,$I81-8)))</x:f>
      </x:c>
      <x:c r="F81" s="51" t="str">
        <x:f>IF(73&gt;$H$4,"",IF(INDEX('Fleet dates'!$F$9:$F$1008,$I81-8)="","",INDEX('Fleet dates'!$F$9:$F$1008,$I81-8)))</x:f>
      </x:c>
      <x:c r="G81" s="50" t="str">
        <x:f>IF(73&gt;$H$4,"",IF(INDEX('Fleet dates'!$G$9:$G$1008,$I81-8)="","",INDEX('Fleet dates'!$G$9:$G$1008,$I81-8)))</x:f>
      </x:c>
      <x:c r="H81" s="50" t="str">
        <x:f>IF(73&gt;$H$4,"",IF(INDEX('Fleet dates'!$I$9:$I$1008,$I81-8)="","",INDEX('Fleet dates'!$I$9:$I$1008,$I81-8)))</x:f>
      </x:c>
      <x:c r="I81" t="str">
        <x:f>IF(73&gt;$H$4,"",MATCH(73,'Fleet dates'!$K$9:$K$1008,0)+8)</x:f>
      </x:c>
    </x:row>
    <x:row r="82" ht="36" customHeight="1">
      <x:c r="A82" s="50" t="str">
        <x:f>IF(74&gt;$H$4,"",IF(INDEX('Fleet dates'!$A$9:$A$1008,$I82-8)="","",INDEX('Fleet dates'!$A$9:$A$1008,$I82-8)))</x:f>
      </x:c>
      <x:c r="B82" s="50" t="str">
        <x:f>IF(74&gt;$H$4,"",IF(INDEX('Fleet dates'!$B$9:$B$1008,$I82-8)="","",INDEX('Fleet dates'!$B$9:$B$1008,$I82-8)))</x:f>
      </x:c>
      <x:c r="C82" s="51" t="str">
        <x:f>IF(74&gt;$H$4,"",IF(INDEX('Fleet dates'!$C$9:$C$1008,$I82-8)="","",INDEX('Fleet dates'!$C$9:$C$1008,$I82-8)))</x:f>
      </x:c>
      <x:c r="D82" s="51" t="str">
        <x:f>IF(74&gt;$H$4,"",IF(INDEX('Fleet dates'!$D$9:$D$1008,$I82-8)="","",INDEX('Fleet dates'!$D$9:$D$1008,$I82-8)))</x:f>
      </x:c>
      <x:c r="E82" s="51" t="str">
        <x:f>IF(74&gt;$H$4,"",IF(INDEX('Fleet dates'!$E$9:$E$1008,$I82-8)="","",INDEX('Fleet dates'!$E$9:$E$1008,$I82-8)))</x:f>
      </x:c>
      <x:c r="F82" s="51" t="str">
        <x:f>IF(74&gt;$H$4,"",IF(INDEX('Fleet dates'!$F$9:$F$1008,$I82-8)="","",INDEX('Fleet dates'!$F$9:$F$1008,$I82-8)))</x:f>
      </x:c>
      <x:c r="G82" s="50" t="str">
        <x:f>IF(74&gt;$H$4,"",IF(INDEX('Fleet dates'!$G$9:$G$1008,$I82-8)="","",INDEX('Fleet dates'!$G$9:$G$1008,$I82-8)))</x:f>
      </x:c>
      <x:c r="H82" s="50" t="str">
        <x:f>IF(74&gt;$H$4,"",IF(INDEX('Fleet dates'!$I$9:$I$1008,$I82-8)="","",INDEX('Fleet dates'!$I$9:$I$1008,$I82-8)))</x:f>
      </x:c>
      <x:c r="I82" t="str">
        <x:f>IF(74&gt;$H$4,"",MATCH(74,'Fleet dates'!$K$9:$K$1008,0)+8)</x:f>
      </x:c>
    </x:row>
    <x:row r="83" ht="36" customHeight="1">
      <x:c r="A83" s="50" t="str">
        <x:f>IF(75&gt;$H$4,"",IF(INDEX('Fleet dates'!$A$9:$A$1008,$I83-8)="","",INDEX('Fleet dates'!$A$9:$A$1008,$I83-8)))</x:f>
      </x:c>
      <x:c r="B83" s="50" t="str">
        <x:f>IF(75&gt;$H$4,"",IF(INDEX('Fleet dates'!$B$9:$B$1008,$I83-8)="","",INDEX('Fleet dates'!$B$9:$B$1008,$I83-8)))</x:f>
      </x:c>
      <x:c r="C83" s="51" t="str">
        <x:f>IF(75&gt;$H$4,"",IF(INDEX('Fleet dates'!$C$9:$C$1008,$I83-8)="","",INDEX('Fleet dates'!$C$9:$C$1008,$I83-8)))</x:f>
      </x:c>
      <x:c r="D83" s="51" t="str">
        <x:f>IF(75&gt;$H$4,"",IF(INDEX('Fleet dates'!$D$9:$D$1008,$I83-8)="","",INDEX('Fleet dates'!$D$9:$D$1008,$I83-8)))</x:f>
      </x:c>
      <x:c r="E83" s="51" t="str">
        <x:f>IF(75&gt;$H$4,"",IF(INDEX('Fleet dates'!$E$9:$E$1008,$I83-8)="","",INDEX('Fleet dates'!$E$9:$E$1008,$I83-8)))</x:f>
      </x:c>
      <x:c r="F83" s="51" t="str">
        <x:f>IF(75&gt;$H$4,"",IF(INDEX('Fleet dates'!$F$9:$F$1008,$I83-8)="","",INDEX('Fleet dates'!$F$9:$F$1008,$I83-8)))</x:f>
      </x:c>
      <x:c r="G83" s="50" t="str">
        <x:f>IF(75&gt;$H$4,"",IF(INDEX('Fleet dates'!$G$9:$G$1008,$I83-8)="","",INDEX('Fleet dates'!$G$9:$G$1008,$I83-8)))</x:f>
      </x:c>
      <x:c r="H83" s="50" t="str">
        <x:f>IF(75&gt;$H$4,"",IF(INDEX('Fleet dates'!$I$9:$I$1008,$I83-8)="","",INDEX('Fleet dates'!$I$9:$I$1008,$I83-8)))</x:f>
      </x:c>
      <x:c r="I83" t="str">
        <x:f>IF(75&gt;$H$4,"",MATCH(75,'Fleet dates'!$K$9:$K$1008,0)+8)</x:f>
      </x:c>
    </x:row>
    <x:row r="84" ht="36" customHeight="1">
      <x:c r="A84" s="50" t="str">
        <x:f>IF(76&gt;$H$4,"",IF(INDEX('Fleet dates'!$A$9:$A$1008,$I84-8)="","",INDEX('Fleet dates'!$A$9:$A$1008,$I84-8)))</x:f>
      </x:c>
      <x:c r="B84" s="50" t="str">
        <x:f>IF(76&gt;$H$4,"",IF(INDEX('Fleet dates'!$B$9:$B$1008,$I84-8)="","",INDEX('Fleet dates'!$B$9:$B$1008,$I84-8)))</x:f>
      </x:c>
      <x:c r="C84" s="51" t="str">
        <x:f>IF(76&gt;$H$4,"",IF(INDEX('Fleet dates'!$C$9:$C$1008,$I84-8)="","",INDEX('Fleet dates'!$C$9:$C$1008,$I84-8)))</x:f>
      </x:c>
      <x:c r="D84" s="51" t="str">
        <x:f>IF(76&gt;$H$4,"",IF(INDEX('Fleet dates'!$D$9:$D$1008,$I84-8)="","",INDEX('Fleet dates'!$D$9:$D$1008,$I84-8)))</x:f>
      </x:c>
      <x:c r="E84" s="51" t="str">
        <x:f>IF(76&gt;$H$4,"",IF(INDEX('Fleet dates'!$E$9:$E$1008,$I84-8)="","",INDEX('Fleet dates'!$E$9:$E$1008,$I84-8)))</x:f>
      </x:c>
      <x:c r="F84" s="51" t="str">
        <x:f>IF(76&gt;$H$4,"",IF(INDEX('Fleet dates'!$F$9:$F$1008,$I84-8)="","",INDEX('Fleet dates'!$F$9:$F$1008,$I84-8)))</x:f>
      </x:c>
      <x:c r="G84" s="50" t="str">
        <x:f>IF(76&gt;$H$4,"",IF(INDEX('Fleet dates'!$G$9:$G$1008,$I84-8)="","",INDEX('Fleet dates'!$G$9:$G$1008,$I84-8)))</x:f>
      </x:c>
      <x:c r="H84" s="50" t="str">
        <x:f>IF(76&gt;$H$4,"",IF(INDEX('Fleet dates'!$I$9:$I$1008,$I84-8)="","",INDEX('Fleet dates'!$I$9:$I$1008,$I84-8)))</x:f>
      </x:c>
      <x:c r="I84" t="str">
        <x:f>IF(76&gt;$H$4,"",MATCH(76,'Fleet dates'!$K$9:$K$1008,0)+8)</x:f>
      </x:c>
    </x:row>
    <x:row r="85" ht="36" customHeight="1">
      <x:c r="A85" s="50" t="str">
        <x:f>IF(77&gt;$H$4,"",IF(INDEX('Fleet dates'!$A$9:$A$1008,$I85-8)="","",INDEX('Fleet dates'!$A$9:$A$1008,$I85-8)))</x:f>
      </x:c>
      <x:c r="B85" s="50" t="str">
        <x:f>IF(77&gt;$H$4,"",IF(INDEX('Fleet dates'!$B$9:$B$1008,$I85-8)="","",INDEX('Fleet dates'!$B$9:$B$1008,$I85-8)))</x:f>
      </x:c>
      <x:c r="C85" s="51" t="str">
        <x:f>IF(77&gt;$H$4,"",IF(INDEX('Fleet dates'!$C$9:$C$1008,$I85-8)="","",INDEX('Fleet dates'!$C$9:$C$1008,$I85-8)))</x:f>
      </x:c>
      <x:c r="D85" s="51" t="str">
        <x:f>IF(77&gt;$H$4,"",IF(INDEX('Fleet dates'!$D$9:$D$1008,$I85-8)="","",INDEX('Fleet dates'!$D$9:$D$1008,$I85-8)))</x:f>
      </x:c>
      <x:c r="E85" s="51" t="str">
        <x:f>IF(77&gt;$H$4,"",IF(INDEX('Fleet dates'!$E$9:$E$1008,$I85-8)="","",INDEX('Fleet dates'!$E$9:$E$1008,$I85-8)))</x:f>
      </x:c>
      <x:c r="F85" s="51" t="str">
        <x:f>IF(77&gt;$H$4,"",IF(INDEX('Fleet dates'!$F$9:$F$1008,$I85-8)="","",INDEX('Fleet dates'!$F$9:$F$1008,$I85-8)))</x:f>
      </x:c>
      <x:c r="G85" s="50" t="str">
        <x:f>IF(77&gt;$H$4,"",IF(INDEX('Fleet dates'!$G$9:$G$1008,$I85-8)="","",INDEX('Fleet dates'!$G$9:$G$1008,$I85-8)))</x:f>
      </x:c>
      <x:c r="H85" s="50" t="str">
        <x:f>IF(77&gt;$H$4,"",IF(INDEX('Fleet dates'!$I$9:$I$1008,$I85-8)="","",INDEX('Fleet dates'!$I$9:$I$1008,$I85-8)))</x:f>
      </x:c>
      <x:c r="I85" t="str">
        <x:f>IF(77&gt;$H$4,"",MATCH(77,'Fleet dates'!$K$9:$K$1008,0)+8)</x:f>
      </x:c>
    </x:row>
    <x:row r="86" ht="36" customHeight="1">
      <x:c r="A86" s="50" t="str">
        <x:f>IF(78&gt;$H$4,"",IF(INDEX('Fleet dates'!$A$9:$A$1008,$I86-8)="","",INDEX('Fleet dates'!$A$9:$A$1008,$I86-8)))</x:f>
      </x:c>
      <x:c r="B86" s="50" t="str">
        <x:f>IF(78&gt;$H$4,"",IF(INDEX('Fleet dates'!$B$9:$B$1008,$I86-8)="","",INDEX('Fleet dates'!$B$9:$B$1008,$I86-8)))</x:f>
      </x:c>
      <x:c r="C86" s="51" t="str">
        <x:f>IF(78&gt;$H$4,"",IF(INDEX('Fleet dates'!$C$9:$C$1008,$I86-8)="","",INDEX('Fleet dates'!$C$9:$C$1008,$I86-8)))</x:f>
      </x:c>
      <x:c r="D86" s="51" t="str">
        <x:f>IF(78&gt;$H$4,"",IF(INDEX('Fleet dates'!$D$9:$D$1008,$I86-8)="","",INDEX('Fleet dates'!$D$9:$D$1008,$I86-8)))</x:f>
      </x:c>
      <x:c r="E86" s="51" t="str">
        <x:f>IF(78&gt;$H$4,"",IF(INDEX('Fleet dates'!$E$9:$E$1008,$I86-8)="","",INDEX('Fleet dates'!$E$9:$E$1008,$I86-8)))</x:f>
      </x:c>
      <x:c r="F86" s="51" t="str">
        <x:f>IF(78&gt;$H$4,"",IF(INDEX('Fleet dates'!$F$9:$F$1008,$I86-8)="","",INDEX('Fleet dates'!$F$9:$F$1008,$I86-8)))</x:f>
      </x:c>
      <x:c r="G86" s="50" t="str">
        <x:f>IF(78&gt;$H$4,"",IF(INDEX('Fleet dates'!$G$9:$G$1008,$I86-8)="","",INDEX('Fleet dates'!$G$9:$G$1008,$I86-8)))</x:f>
      </x:c>
      <x:c r="H86" s="50" t="str">
        <x:f>IF(78&gt;$H$4,"",IF(INDEX('Fleet dates'!$I$9:$I$1008,$I86-8)="","",INDEX('Fleet dates'!$I$9:$I$1008,$I86-8)))</x:f>
      </x:c>
      <x:c r="I86" t="str">
        <x:f>IF(78&gt;$H$4,"",MATCH(78,'Fleet dates'!$K$9:$K$1008,0)+8)</x:f>
      </x:c>
    </x:row>
    <x:row r="87" ht="36" customHeight="1">
      <x:c r="A87" s="50" t="str">
        <x:f>IF(79&gt;$H$4,"",IF(INDEX('Fleet dates'!$A$9:$A$1008,$I87-8)="","",INDEX('Fleet dates'!$A$9:$A$1008,$I87-8)))</x:f>
      </x:c>
      <x:c r="B87" s="50" t="str">
        <x:f>IF(79&gt;$H$4,"",IF(INDEX('Fleet dates'!$B$9:$B$1008,$I87-8)="","",INDEX('Fleet dates'!$B$9:$B$1008,$I87-8)))</x:f>
      </x:c>
      <x:c r="C87" s="51" t="str">
        <x:f>IF(79&gt;$H$4,"",IF(INDEX('Fleet dates'!$C$9:$C$1008,$I87-8)="","",INDEX('Fleet dates'!$C$9:$C$1008,$I87-8)))</x:f>
      </x:c>
      <x:c r="D87" s="51" t="str">
        <x:f>IF(79&gt;$H$4,"",IF(INDEX('Fleet dates'!$D$9:$D$1008,$I87-8)="","",INDEX('Fleet dates'!$D$9:$D$1008,$I87-8)))</x:f>
      </x:c>
      <x:c r="E87" s="51" t="str">
        <x:f>IF(79&gt;$H$4,"",IF(INDEX('Fleet dates'!$E$9:$E$1008,$I87-8)="","",INDEX('Fleet dates'!$E$9:$E$1008,$I87-8)))</x:f>
      </x:c>
      <x:c r="F87" s="51" t="str">
        <x:f>IF(79&gt;$H$4,"",IF(INDEX('Fleet dates'!$F$9:$F$1008,$I87-8)="","",INDEX('Fleet dates'!$F$9:$F$1008,$I87-8)))</x:f>
      </x:c>
      <x:c r="G87" s="50" t="str">
        <x:f>IF(79&gt;$H$4,"",IF(INDEX('Fleet dates'!$G$9:$G$1008,$I87-8)="","",INDEX('Fleet dates'!$G$9:$G$1008,$I87-8)))</x:f>
      </x:c>
      <x:c r="H87" s="50" t="str">
        <x:f>IF(79&gt;$H$4,"",IF(INDEX('Fleet dates'!$I$9:$I$1008,$I87-8)="","",INDEX('Fleet dates'!$I$9:$I$1008,$I87-8)))</x:f>
      </x:c>
      <x:c r="I87" t="str">
        <x:f>IF(79&gt;$H$4,"",MATCH(79,'Fleet dates'!$K$9:$K$1008,0)+8)</x:f>
      </x:c>
    </x:row>
    <x:row r="88" ht="36" customHeight="1">
      <x:c r="A88" s="50" t="str">
        <x:f>IF(80&gt;$H$4,"",IF(INDEX('Fleet dates'!$A$9:$A$1008,$I88-8)="","",INDEX('Fleet dates'!$A$9:$A$1008,$I88-8)))</x:f>
      </x:c>
      <x:c r="B88" s="50" t="str">
        <x:f>IF(80&gt;$H$4,"",IF(INDEX('Fleet dates'!$B$9:$B$1008,$I88-8)="","",INDEX('Fleet dates'!$B$9:$B$1008,$I88-8)))</x:f>
      </x:c>
      <x:c r="C88" s="51" t="str">
        <x:f>IF(80&gt;$H$4,"",IF(INDEX('Fleet dates'!$C$9:$C$1008,$I88-8)="","",INDEX('Fleet dates'!$C$9:$C$1008,$I88-8)))</x:f>
      </x:c>
      <x:c r="D88" s="51" t="str">
        <x:f>IF(80&gt;$H$4,"",IF(INDEX('Fleet dates'!$D$9:$D$1008,$I88-8)="","",INDEX('Fleet dates'!$D$9:$D$1008,$I88-8)))</x:f>
      </x:c>
      <x:c r="E88" s="51" t="str">
        <x:f>IF(80&gt;$H$4,"",IF(INDEX('Fleet dates'!$E$9:$E$1008,$I88-8)="","",INDEX('Fleet dates'!$E$9:$E$1008,$I88-8)))</x:f>
      </x:c>
      <x:c r="F88" s="51" t="str">
        <x:f>IF(80&gt;$H$4,"",IF(INDEX('Fleet dates'!$F$9:$F$1008,$I88-8)="","",INDEX('Fleet dates'!$F$9:$F$1008,$I88-8)))</x:f>
      </x:c>
      <x:c r="G88" s="50" t="str">
        <x:f>IF(80&gt;$H$4,"",IF(INDEX('Fleet dates'!$G$9:$G$1008,$I88-8)="","",INDEX('Fleet dates'!$G$9:$G$1008,$I88-8)))</x:f>
      </x:c>
      <x:c r="H88" s="50" t="str">
        <x:f>IF(80&gt;$H$4,"",IF(INDEX('Fleet dates'!$I$9:$I$1008,$I88-8)="","",INDEX('Fleet dates'!$I$9:$I$1008,$I88-8)))</x:f>
      </x:c>
      <x:c r="I88" t="str">
        <x:f>IF(80&gt;$H$4,"",MATCH(80,'Fleet dates'!$K$9:$K$1008,0)+8)</x:f>
      </x:c>
    </x:row>
    <x:row r="89" ht="36" customHeight="1">
      <x:c r="A89" s="50" t="str">
        <x:f>IF(81&gt;$H$4,"",IF(INDEX('Fleet dates'!$A$9:$A$1008,$I89-8)="","",INDEX('Fleet dates'!$A$9:$A$1008,$I89-8)))</x:f>
      </x:c>
      <x:c r="B89" s="50" t="str">
        <x:f>IF(81&gt;$H$4,"",IF(INDEX('Fleet dates'!$B$9:$B$1008,$I89-8)="","",INDEX('Fleet dates'!$B$9:$B$1008,$I89-8)))</x:f>
      </x:c>
      <x:c r="C89" s="51" t="str">
        <x:f>IF(81&gt;$H$4,"",IF(INDEX('Fleet dates'!$C$9:$C$1008,$I89-8)="","",INDEX('Fleet dates'!$C$9:$C$1008,$I89-8)))</x:f>
      </x:c>
      <x:c r="D89" s="51" t="str">
        <x:f>IF(81&gt;$H$4,"",IF(INDEX('Fleet dates'!$D$9:$D$1008,$I89-8)="","",INDEX('Fleet dates'!$D$9:$D$1008,$I89-8)))</x:f>
      </x:c>
      <x:c r="E89" s="51" t="str">
        <x:f>IF(81&gt;$H$4,"",IF(INDEX('Fleet dates'!$E$9:$E$1008,$I89-8)="","",INDEX('Fleet dates'!$E$9:$E$1008,$I89-8)))</x:f>
      </x:c>
      <x:c r="F89" s="51" t="str">
        <x:f>IF(81&gt;$H$4,"",IF(INDEX('Fleet dates'!$F$9:$F$1008,$I89-8)="","",INDEX('Fleet dates'!$F$9:$F$1008,$I89-8)))</x:f>
      </x:c>
      <x:c r="G89" s="50" t="str">
        <x:f>IF(81&gt;$H$4,"",IF(INDEX('Fleet dates'!$G$9:$G$1008,$I89-8)="","",INDEX('Fleet dates'!$G$9:$G$1008,$I89-8)))</x:f>
      </x:c>
      <x:c r="H89" s="50" t="str">
        <x:f>IF(81&gt;$H$4,"",IF(INDEX('Fleet dates'!$I$9:$I$1008,$I89-8)="","",INDEX('Fleet dates'!$I$9:$I$1008,$I89-8)))</x:f>
      </x:c>
      <x:c r="I89" t="str">
        <x:f>IF(81&gt;$H$4,"",MATCH(81,'Fleet dates'!$K$9:$K$1008,0)+8)</x:f>
      </x:c>
    </x:row>
    <x:row r="90" ht="36" customHeight="1">
      <x:c r="A90" s="50" t="str">
        <x:f>IF(82&gt;$H$4,"",IF(INDEX('Fleet dates'!$A$9:$A$1008,$I90-8)="","",INDEX('Fleet dates'!$A$9:$A$1008,$I90-8)))</x:f>
      </x:c>
      <x:c r="B90" s="50" t="str">
        <x:f>IF(82&gt;$H$4,"",IF(INDEX('Fleet dates'!$B$9:$B$1008,$I90-8)="","",INDEX('Fleet dates'!$B$9:$B$1008,$I90-8)))</x:f>
      </x:c>
      <x:c r="C90" s="51" t="str">
        <x:f>IF(82&gt;$H$4,"",IF(INDEX('Fleet dates'!$C$9:$C$1008,$I90-8)="","",INDEX('Fleet dates'!$C$9:$C$1008,$I90-8)))</x:f>
      </x:c>
      <x:c r="D90" s="51" t="str">
        <x:f>IF(82&gt;$H$4,"",IF(INDEX('Fleet dates'!$D$9:$D$1008,$I90-8)="","",INDEX('Fleet dates'!$D$9:$D$1008,$I90-8)))</x:f>
      </x:c>
      <x:c r="E90" s="51" t="str">
        <x:f>IF(82&gt;$H$4,"",IF(INDEX('Fleet dates'!$E$9:$E$1008,$I90-8)="","",INDEX('Fleet dates'!$E$9:$E$1008,$I90-8)))</x:f>
      </x:c>
      <x:c r="F90" s="51" t="str">
        <x:f>IF(82&gt;$H$4,"",IF(INDEX('Fleet dates'!$F$9:$F$1008,$I90-8)="","",INDEX('Fleet dates'!$F$9:$F$1008,$I90-8)))</x:f>
      </x:c>
      <x:c r="G90" s="50" t="str">
        <x:f>IF(82&gt;$H$4,"",IF(INDEX('Fleet dates'!$G$9:$G$1008,$I90-8)="","",INDEX('Fleet dates'!$G$9:$G$1008,$I90-8)))</x:f>
      </x:c>
      <x:c r="H90" s="50" t="str">
        <x:f>IF(82&gt;$H$4,"",IF(INDEX('Fleet dates'!$I$9:$I$1008,$I90-8)="","",INDEX('Fleet dates'!$I$9:$I$1008,$I90-8)))</x:f>
      </x:c>
      <x:c r="I90" t="str">
        <x:f>IF(82&gt;$H$4,"",MATCH(82,'Fleet dates'!$K$9:$K$1008,0)+8)</x:f>
      </x:c>
    </x:row>
    <x:row r="91" ht="36" customHeight="1">
      <x:c r="A91" s="50" t="str">
        <x:f>IF(83&gt;$H$4,"",IF(INDEX('Fleet dates'!$A$9:$A$1008,$I91-8)="","",INDEX('Fleet dates'!$A$9:$A$1008,$I91-8)))</x:f>
      </x:c>
      <x:c r="B91" s="50" t="str">
        <x:f>IF(83&gt;$H$4,"",IF(INDEX('Fleet dates'!$B$9:$B$1008,$I91-8)="","",INDEX('Fleet dates'!$B$9:$B$1008,$I91-8)))</x:f>
      </x:c>
      <x:c r="C91" s="51" t="str">
        <x:f>IF(83&gt;$H$4,"",IF(INDEX('Fleet dates'!$C$9:$C$1008,$I91-8)="","",INDEX('Fleet dates'!$C$9:$C$1008,$I91-8)))</x:f>
      </x:c>
      <x:c r="D91" s="51" t="str">
        <x:f>IF(83&gt;$H$4,"",IF(INDEX('Fleet dates'!$D$9:$D$1008,$I91-8)="","",INDEX('Fleet dates'!$D$9:$D$1008,$I91-8)))</x:f>
      </x:c>
      <x:c r="E91" s="51" t="str">
        <x:f>IF(83&gt;$H$4,"",IF(INDEX('Fleet dates'!$E$9:$E$1008,$I91-8)="","",INDEX('Fleet dates'!$E$9:$E$1008,$I91-8)))</x:f>
      </x:c>
      <x:c r="F91" s="51" t="str">
        <x:f>IF(83&gt;$H$4,"",IF(INDEX('Fleet dates'!$F$9:$F$1008,$I91-8)="","",INDEX('Fleet dates'!$F$9:$F$1008,$I91-8)))</x:f>
      </x:c>
      <x:c r="G91" s="50" t="str">
        <x:f>IF(83&gt;$H$4,"",IF(INDEX('Fleet dates'!$G$9:$G$1008,$I91-8)="","",INDEX('Fleet dates'!$G$9:$G$1008,$I91-8)))</x:f>
      </x:c>
      <x:c r="H91" s="50" t="str">
        <x:f>IF(83&gt;$H$4,"",IF(INDEX('Fleet dates'!$I$9:$I$1008,$I91-8)="","",INDEX('Fleet dates'!$I$9:$I$1008,$I91-8)))</x:f>
      </x:c>
      <x:c r="I91" t="str">
        <x:f>IF(83&gt;$H$4,"",MATCH(83,'Fleet dates'!$K$9:$K$1008,0)+8)</x:f>
      </x:c>
    </x:row>
    <x:row r="92" ht="36" customHeight="1">
      <x:c r="A92" s="50" t="str">
        <x:f>IF(84&gt;$H$4,"",IF(INDEX('Fleet dates'!$A$9:$A$1008,$I92-8)="","",INDEX('Fleet dates'!$A$9:$A$1008,$I92-8)))</x:f>
      </x:c>
      <x:c r="B92" s="50" t="str">
        <x:f>IF(84&gt;$H$4,"",IF(INDEX('Fleet dates'!$B$9:$B$1008,$I92-8)="","",INDEX('Fleet dates'!$B$9:$B$1008,$I92-8)))</x:f>
      </x:c>
      <x:c r="C92" s="51" t="str">
        <x:f>IF(84&gt;$H$4,"",IF(INDEX('Fleet dates'!$C$9:$C$1008,$I92-8)="","",INDEX('Fleet dates'!$C$9:$C$1008,$I92-8)))</x:f>
      </x:c>
      <x:c r="D92" s="51" t="str">
        <x:f>IF(84&gt;$H$4,"",IF(INDEX('Fleet dates'!$D$9:$D$1008,$I92-8)="","",INDEX('Fleet dates'!$D$9:$D$1008,$I92-8)))</x:f>
      </x:c>
      <x:c r="E92" s="51" t="str">
        <x:f>IF(84&gt;$H$4,"",IF(INDEX('Fleet dates'!$E$9:$E$1008,$I92-8)="","",INDEX('Fleet dates'!$E$9:$E$1008,$I92-8)))</x:f>
      </x:c>
      <x:c r="F92" s="51" t="str">
        <x:f>IF(84&gt;$H$4,"",IF(INDEX('Fleet dates'!$F$9:$F$1008,$I92-8)="","",INDEX('Fleet dates'!$F$9:$F$1008,$I92-8)))</x:f>
      </x:c>
      <x:c r="G92" s="50" t="str">
        <x:f>IF(84&gt;$H$4,"",IF(INDEX('Fleet dates'!$G$9:$G$1008,$I92-8)="","",INDEX('Fleet dates'!$G$9:$G$1008,$I92-8)))</x:f>
      </x:c>
      <x:c r="H92" s="50" t="str">
        <x:f>IF(84&gt;$H$4,"",IF(INDEX('Fleet dates'!$I$9:$I$1008,$I92-8)="","",INDEX('Fleet dates'!$I$9:$I$1008,$I92-8)))</x:f>
      </x:c>
      <x:c r="I92" t="str">
        <x:f>IF(84&gt;$H$4,"",MATCH(84,'Fleet dates'!$K$9:$K$1008,0)+8)</x:f>
      </x:c>
    </x:row>
    <x:row r="93" ht="36" customHeight="1">
      <x:c r="A93" s="50" t="str">
        <x:f>IF(85&gt;$H$4,"",IF(INDEX('Fleet dates'!$A$9:$A$1008,$I93-8)="","",INDEX('Fleet dates'!$A$9:$A$1008,$I93-8)))</x:f>
      </x:c>
      <x:c r="B93" s="50" t="str">
        <x:f>IF(85&gt;$H$4,"",IF(INDEX('Fleet dates'!$B$9:$B$1008,$I93-8)="","",INDEX('Fleet dates'!$B$9:$B$1008,$I93-8)))</x:f>
      </x:c>
      <x:c r="C93" s="51" t="str">
        <x:f>IF(85&gt;$H$4,"",IF(INDEX('Fleet dates'!$C$9:$C$1008,$I93-8)="","",INDEX('Fleet dates'!$C$9:$C$1008,$I93-8)))</x:f>
      </x:c>
      <x:c r="D93" s="51" t="str">
        <x:f>IF(85&gt;$H$4,"",IF(INDEX('Fleet dates'!$D$9:$D$1008,$I93-8)="","",INDEX('Fleet dates'!$D$9:$D$1008,$I93-8)))</x:f>
      </x:c>
      <x:c r="E93" s="51" t="str">
        <x:f>IF(85&gt;$H$4,"",IF(INDEX('Fleet dates'!$E$9:$E$1008,$I93-8)="","",INDEX('Fleet dates'!$E$9:$E$1008,$I93-8)))</x:f>
      </x:c>
      <x:c r="F93" s="51" t="str">
        <x:f>IF(85&gt;$H$4,"",IF(INDEX('Fleet dates'!$F$9:$F$1008,$I93-8)="","",INDEX('Fleet dates'!$F$9:$F$1008,$I93-8)))</x:f>
      </x:c>
      <x:c r="G93" s="50" t="str">
        <x:f>IF(85&gt;$H$4,"",IF(INDEX('Fleet dates'!$G$9:$G$1008,$I93-8)="","",INDEX('Fleet dates'!$G$9:$G$1008,$I93-8)))</x:f>
      </x:c>
      <x:c r="H93" s="50" t="str">
        <x:f>IF(85&gt;$H$4,"",IF(INDEX('Fleet dates'!$I$9:$I$1008,$I93-8)="","",INDEX('Fleet dates'!$I$9:$I$1008,$I93-8)))</x:f>
      </x:c>
      <x:c r="I93" t="str">
        <x:f>IF(85&gt;$H$4,"",MATCH(85,'Fleet dates'!$K$9:$K$1008,0)+8)</x:f>
      </x:c>
    </x:row>
    <x:row r="94" ht="36" customHeight="1">
      <x:c r="A94" s="50" t="str">
        <x:f>IF(86&gt;$H$4,"",IF(INDEX('Fleet dates'!$A$9:$A$1008,$I94-8)="","",INDEX('Fleet dates'!$A$9:$A$1008,$I94-8)))</x:f>
      </x:c>
      <x:c r="B94" s="50" t="str">
        <x:f>IF(86&gt;$H$4,"",IF(INDEX('Fleet dates'!$B$9:$B$1008,$I94-8)="","",INDEX('Fleet dates'!$B$9:$B$1008,$I94-8)))</x:f>
      </x:c>
      <x:c r="C94" s="51" t="str">
        <x:f>IF(86&gt;$H$4,"",IF(INDEX('Fleet dates'!$C$9:$C$1008,$I94-8)="","",INDEX('Fleet dates'!$C$9:$C$1008,$I94-8)))</x:f>
      </x:c>
      <x:c r="D94" s="51" t="str">
        <x:f>IF(86&gt;$H$4,"",IF(INDEX('Fleet dates'!$D$9:$D$1008,$I94-8)="","",INDEX('Fleet dates'!$D$9:$D$1008,$I94-8)))</x:f>
      </x:c>
      <x:c r="E94" s="51" t="str">
        <x:f>IF(86&gt;$H$4,"",IF(INDEX('Fleet dates'!$E$9:$E$1008,$I94-8)="","",INDEX('Fleet dates'!$E$9:$E$1008,$I94-8)))</x:f>
      </x:c>
      <x:c r="F94" s="51" t="str">
        <x:f>IF(86&gt;$H$4,"",IF(INDEX('Fleet dates'!$F$9:$F$1008,$I94-8)="","",INDEX('Fleet dates'!$F$9:$F$1008,$I94-8)))</x:f>
      </x:c>
      <x:c r="G94" s="50" t="str">
        <x:f>IF(86&gt;$H$4,"",IF(INDEX('Fleet dates'!$G$9:$G$1008,$I94-8)="","",INDEX('Fleet dates'!$G$9:$G$1008,$I94-8)))</x:f>
      </x:c>
      <x:c r="H94" s="50" t="str">
        <x:f>IF(86&gt;$H$4,"",IF(INDEX('Fleet dates'!$I$9:$I$1008,$I94-8)="","",INDEX('Fleet dates'!$I$9:$I$1008,$I94-8)))</x:f>
      </x:c>
      <x:c r="I94" t="str">
        <x:f>IF(86&gt;$H$4,"",MATCH(86,'Fleet dates'!$K$9:$K$1008,0)+8)</x:f>
      </x:c>
    </x:row>
    <x:row r="95" ht="36" customHeight="1">
      <x:c r="A95" s="50" t="str">
        <x:f>IF(87&gt;$H$4,"",IF(INDEX('Fleet dates'!$A$9:$A$1008,$I95-8)="","",INDEX('Fleet dates'!$A$9:$A$1008,$I95-8)))</x:f>
      </x:c>
      <x:c r="B95" s="50" t="str">
        <x:f>IF(87&gt;$H$4,"",IF(INDEX('Fleet dates'!$B$9:$B$1008,$I95-8)="","",INDEX('Fleet dates'!$B$9:$B$1008,$I95-8)))</x:f>
      </x:c>
      <x:c r="C95" s="51" t="str">
        <x:f>IF(87&gt;$H$4,"",IF(INDEX('Fleet dates'!$C$9:$C$1008,$I95-8)="","",INDEX('Fleet dates'!$C$9:$C$1008,$I95-8)))</x:f>
      </x:c>
      <x:c r="D95" s="51" t="str">
        <x:f>IF(87&gt;$H$4,"",IF(INDEX('Fleet dates'!$D$9:$D$1008,$I95-8)="","",INDEX('Fleet dates'!$D$9:$D$1008,$I95-8)))</x:f>
      </x:c>
      <x:c r="E95" s="51" t="str">
        <x:f>IF(87&gt;$H$4,"",IF(INDEX('Fleet dates'!$E$9:$E$1008,$I95-8)="","",INDEX('Fleet dates'!$E$9:$E$1008,$I95-8)))</x:f>
      </x:c>
      <x:c r="F95" s="51" t="str">
        <x:f>IF(87&gt;$H$4,"",IF(INDEX('Fleet dates'!$F$9:$F$1008,$I95-8)="","",INDEX('Fleet dates'!$F$9:$F$1008,$I95-8)))</x:f>
      </x:c>
      <x:c r="G95" s="50" t="str">
        <x:f>IF(87&gt;$H$4,"",IF(INDEX('Fleet dates'!$G$9:$G$1008,$I95-8)="","",INDEX('Fleet dates'!$G$9:$G$1008,$I95-8)))</x:f>
      </x:c>
      <x:c r="H95" s="50" t="str">
        <x:f>IF(87&gt;$H$4,"",IF(INDEX('Fleet dates'!$I$9:$I$1008,$I95-8)="","",INDEX('Fleet dates'!$I$9:$I$1008,$I95-8)))</x:f>
      </x:c>
      <x:c r="I95" t="str">
        <x:f>IF(87&gt;$H$4,"",MATCH(87,'Fleet dates'!$K$9:$K$1008,0)+8)</x:f>
      </x:c>
    </x:row>
    <x:row r="96" ht="36" customHeight="1">
      <x:c r="A96" s="50" t="str">
        <x:f>IF(88&gt;$H$4,"",IF(INDEX('Fleet dates'!$A$9:$A$1008,$I96-8)="","",INDEX('Fleet dates'!$A$9:$A$1008,$I96-8)))</x:f>
      </x:c>
      <x:c r="B96" s="50" t="str">
        <x:f>IF(88&gt;$H$4,"",IF(INDEX('Fleet dates'!$B$9:$B$1008,$I96-8)="","",INDEX('Fleet dates'!$B$9:$B$1008,$I96-8)))</x:f>
      </x:c>
      <x:c r="C96" s="51" t="str">
        <x:f>IF(88&gt;$H$4,"",IF(INDEX('Fleet dates'!$C$9:$C$1008,$I96-8)="","",INDEX('Fleet dates'!$C$9:$C$1008,$I96-8)))</x:f>
      </x:c>
      <x:c r="D96" s="51" t="str">
        <x:f>IF(88&gt;$H$4,"",IF(INDEX('Fleet dates'!$D$9:$D$1008,$I96-8)="","",INDEX('Fleet dates'!$D$9:$D$1008,$I96-8)))</x:f>
      </x:c>
      <x:c r="E96" s="51" t="str">
        <x:f>IF(88&gt;$H$4,"",IF(INDEX('Fleet dates'!$E$9:$E$1008,$I96-8)="","",INDEX('Fleet dates'!$E$9:$E$1008,$I96-8)))</x:f>
      </x:c>
      <x:c r="F96" s="51" t="str">
        <x:f>IF(88&gt;$H$4,"",IF(INDEX('Fleet dates'!$F$9:$F$1008,$I96-8)="","",INDEX('Fleet dates'!$F$9:$F$1008,$I96-8)))</x:f>
      </x:c>
      <x:c r="G96" s="50" t="str">
        <x:f>IF(88&gt;$H$4,"",IF(INDEX('Fleet dates'!$G$9:$G$1008,$I96-8)="","",INDEX('Fleet dates'!$G$9:$G$1008,$I96-8)))</x:f>
      </x:c>
      <x:c r="H96" s="50" t="str">
        <x:f>IF(88&gt;$H$4,"",IF(INDEX('Fleet dates'!$I$9:$I$1008,$I96-8)="","",INDEX('Fleet dates'!$I$9:$I$1008,$I96-8)))</x:f>
      </x:c>
      <x:c r="I96" t="str">
        <x:f>IF(88&gt;$H$4,"",MATCH(88,'Fleet dates'!$K$9:$K$1008,0)+8)</x:f>
      </x:c>
    </x:row>
    <x:row r="97" ht="36" customHeight="1">
      <x:c r="A97" s="50" t="str">
        <x:f>IF(89&gt;$H$4,"",IF(INDEX('Fleet dates'!$A$9:$A$1008,$I97-8)="","",INDEX('Fleet dates'!$A$9:$A$1008,$I97-8)))</x:f>
      </x:c>
      <x:c r="B97" s="50" t="str">
        <x:f>IF(89&gt;$H$4,"",IF(INDEX('Fleet dates'!$B$9:$B$1008,$I97-8)="","",INDEX('Fleet dates'!$B$9:$B$1008,$I97-8)))</x:f>
      </x:c>
      <x:c r="C97" s="51" t="str">
        <x:f>IF(89&gt;$H$4,"",IF(INDEX('Fleet dates'!$C$9:$C$1008,$I97-8)="","",INDEX('Fleet dates'!$C$9:$C$1008,$I97-8)))</x:f>
      </x:c>
      <x:c r="D97" s="51" t="str">
        <x:f>IF(89&gt;$H$4,"",IF(INDEX('Fleet dates'!$D$9:$D$1008,$I97-8)="","",INDEX('Fleet dates'!$D$9:$D$1008,$I97-8)))</x:f>
      </x:c>
      <x:c r="E97" s="51" t="str">
        <x:f>IF(89&gt;$H$4,"",IF(INDEX('Fleet dates'!$E$9:$E$1008,$I97-8)="","",INDEX('Fleet dates'!$E$9:$E$1008,$I97-8)))</x:f>
      </x:c>
      <x:c r="F97" s="51" t="str">
        <x:f>IF(89&gt;$H$4,"",IF(INDEX('Fleet dates'!$F$9:$F$1008,$I97-8)="","",INDEX('Fleet dates'!$F$9:$F$1008,$I97-8)))</x:f>
      </x:c>
      <x:c r="G97" s="50" t="str">
        <x:f>IF(89&gt;$H$4,"",IF(INDEX('Fleet dates'!$G$9:$G$1008,$I97-8)="","",INDEX('Fleet dates'!$G$9:$G$1008,$I97-8)))</x:f>
      </x:c>
      <x:c r="H97" s="50" t="str">
        <x:f>IF(89&gt;$H$4,"",IF(INDEX('Fleet dates'!$I$9:$I$1008,$I97-8)="","",INDEX('Fleet dates'!$I$9:$I$1008,$I97-8)))</x:f>
      </x:c>
      <x:c r="I97" t="str">
        <x:f>IF(89&gt;$H$4,"",MATCH(89,'Fleet dates'!$K$9:$K$1008,0)+8)</x:f>
      </x:c>
    </x:row>
    <x:row r="98" ht="36" customHeight="1">
      <x:c r="A98" s="50" t="str">
        <x:f>IF(90&gt;$H$4,"",IF(INDEX('Fleet dates'!$A$9:$A$1008,$I98-8)="","",INDEX('Fleet dates'!$A$9:$A$1008,$I98-8)))</x:f>
      </x:c>
      <x:c r="B98" s="50" t="str">
        <x:f>IF(90&gt;$H$4,"",IF(INDEX('Fleet dates'!$B$9:$B$1008,$I98-8)="","",INDEX('Fleet dates'!$B$9:$B$1008,$I98-8)))</x:f>
      </x:c>
      <x:c r="C98" s="51" t="str">
        <x:f>IF(90&gt;$H$4,"",IF(INDEX('Fleet dates'!$C$9:$C$1008,$I98-8)="","",INDEX('Fleet dates'!$C$9:$C$1008,$I98-8)))</x:f>
      </x:c>
      <x:c r="D98" s="51" t="str">
        <x:f>IF(90&gt;$H$4,"",IF(INDEX('Fleet dates'!$D$9:$D$1008,$I98-8)="","",INDEX('Fleet dates'!$D$9:$D$1008,$I98-8)))</x:f>
      </x:c>
      <x:c r="E98" s="51" t="str">
        <x:f>IF(90&gt;$H$4,"",IF(INDEX('Fleet dates'!$E$9:$E$1008,$I98-8)="","",INDEX('Fleet dates'!$E$9:$E$1008,$I98-8)))</x:f>
      </x:c>
      <x:c r="F98" s="51" t="str">
        <x:f>IF(90&gt;$H$4,"",IF(INDEX('Fleet dates'!$F$9:$F$1008,$I98-8)="","",INDEX('Fleet dates'!$F$9:$F$1008,$I98-8)))</x:f>
      </x:c>
      <x:c r="G98" s="50" t="str">
        <x:f>IF(90&gt;$H$4,"",IF(INDEX('Fleet dates'!$G$9:$G$1008,$I98-8)="","",INDEX('Fleet dates'!$G$9:$G$1008,$I98-8)))</x:f>
      </x:c>
      <x:c r="H98" s="50" t="str">
        <x:f>IF(90&gt;$H$4,"",IF(INDEX('Fleet dates'!$I$9:$I$1008,$I98-8)="","",INDEX('Fleet dates'!$I$9:$I$1008,$I98-8)))</x:f>
      </x:c>
      <x:c r="I98" t="str">
        <x:f>IF(90&gt;$H$4,"",MATCH(90,'Fleet dates'!$K$9:$K$1008,0)+8)</x:f>
      </x:c>
    </x:row>
    <x:row r="99" ht="36" customHeight="1">
      <x:c r="A99" s="50" t="str">
        <x:f>IF(91&gt;$H$4,"",IF(INDEX('Fleet dates'!$A$9:$A$1008,$I99-8)="","",INDEX('Fleet dates'!$A$9:$A$1008,$I99-8)))</x:f>
      </x:c>
      <x:c r="B99" s="50" t="str">
        <x:f>IF(91&gt;$H$4,"",IF(INDEX('Fleet dates'!$B$9:$B$1008,$I99-8)="","",INDEX('Fleet dates'!$B$9:$B$1008,$I99-8)))</x:f>
      </x:c>
      <x:c r="C99" s="51" t="str">
        <x:f>IF(91&gt;$H$4,"",IF(INDEX('Fleet dates'!$C$9:$C$1008,$I99-8)="","",INDEX('Fleet dates'!$C$9:$C$1008,$I99-8)))</x:f>
      </x:c>
      <x:c r="D99" s="51" t="str">
        <x:f>IF(91&gt;$H$4,"",IF(INDEX('Fleet dates'!$D$9:$D$1008,$I99-8)="","",INDEX('Fleet dates'!$D$9:$D$1008,$I99-8)))</x:f>
      </x:c>
      <x:c r="E99" s="51" t="str">
        <x:f>IF(91&gt;$H$4,"",IF(INDEX('Fleet dates'!$E$9:$E$1008,$I99-8)="","",INDEX('Fleet dates'!$E$9:$E$1008,$I99-8)))</x:f>
      </x:c>
      <x:c r="F99" s="51" t="str">
        <x:f>IF(91&gt;$H$4,"",IF(INDEX('Fleet dates'!$F$9:$F$1008,$I99-8)="","",INDEX('Fleet dates'!$F$9:$F$1008,$I99-8)))</x:f>
      </x:c>
      <x:c r="G99" s="50" t="str">
        <x:f>IF(91&gt;$H$4,"",IF(INDEX('Fleet dates'!$G$9:$G$1008,$I99-8)="","",INDEX('Fleet dates'!$G$9:$G$1008,$I99-8)))</x:f>
      </x:c>
      <x:c r="H99" s="50" t="str">
        <x:f>IF(91&gt;$H$4,"",IF(INDEX('Fleet dates'!$I$9:$I$1008,$I99-8)="","",INDEX('Fleet dates'!$I$9:$I$1008,$I99-8)))</x:f>
      </x:c>
      <x:c r="I99" t="str">
        <x:f>IF(91&gt;$H$4,"",MATCH(91,'Fleet dates'!$K$9:$K$1008,0)+8)</x:f>
      </x:c>
    </x:row>
    <x:row r="100" ht="36" customHeight="1">
      <x:c r="A100" s="50" t="str">
        <x:f>IF(92&gt;$H$4,"",IF(INDEX('Fleet dates'!$A$9:$A$1008,$I100-8)="","",INDEX('Fleet dates'!$A$9:$A$1008,$I100-8)))</x:f>
      </x:c>
      <x:c r="B100" s="50" t="str">
        <x:f>IF(92&gt;$H$4,"",IF(INDEX('Fleet dates'!$B$9:$B$1008,$I100-8)="","",INDEX('Fleet dates'!$B$9:$B$1008,$I100-8)))</x:f>
      </x:c>
      <x:c r="C100" s="51" t="str">
        <x:f>IF(92&gt;$H$4,"",IF(INDEX('Fleet dates'!$C$9:$C$1008,$I100-8)="","",INDEX('Fleet dates'!$C$9:$C$1008,$I100-8)))</x:f>
      </x:c>
      <x:c r="D100" s="51" t="str">
        <x:f>IF(92&gt;$H$4,"",IF(INDEX('Fleet dates'!$D$9:$D$1008,$I100-8)="","",INDEX('Fleet dates'!$D$9:$D$1008,$I100-8)))</x:f>
      </x:c>
      <x:c r="E100" s="51" t="str">
        <x:f>IF(92&gt;$H$4,"",IF(INDEX('Fleet dates'!$E$9:$E$1008,$I100-8)="","",INDEX('Fleet dates'!$E$9:$E$1008,$I100-8)))</x:f>
      </x:c>
      <x:c r="F100" s="51" t="str">
        <x:f>IF(92&gt;$H$4,"",IF(INDEX('Fleet dates'!$F$9:$F$1008,$I100-8)="","",INDEX('Fleet dates'!$F$9:$F$1008,$I100-8)))</x:f>
      </x:c>
      <x:c r="G100" s="50" t="str">
        <x:f>IF(92&gt;$H$4,"",IF(INDEX('Fleet dates'!$G$9:$G$1008,$I100-8)="","",INDEX('Fleet dates'!$G$9:$G$1008,$I100-8)))</x:f>
      </x:c>
      <x:c r="H100" s="50" t="str">
        <x:f>IF(92&gt;$H$4,"",IF(INDEX('Fleet dates'!$I$9:$I$1008,$I100-8)="","",INDEX('Fleet dates'!$I$9:$I$1008,$I100-8)))</x:f>
      </x:c>
      <x:c r="I100" t="str">
        <x:f>IF(92&gt;$H$4,"",MATCH(92,'Fleet dates'!$K$9:$K$1008,0)+8)</x:f>
      </x:c>
    </x:row>
    <x:row r="101" ht="36" customHeight="1">
      <x:c r="A101" s="50" t="str">
        <x:f>IF(93&gt;$H$4,"",IF(INDEX('Fleet dates'!$A$9:$A$1008,$I101-8)="","",INDEX('Fleet dates'!$A$9:$A$1008,$I101-8)))</x:f>
      </x:c>
      <x:c r="B101" s="50" t="str">
        <x:f>IF(93&gt;$H$4,"",IF(INDEX('Fleet dates'!$B$9:$B$1008,$I101-8)="","",INDEX('Fleet dates'!$B$9:$B$1008,$I101-8)))</x:f>
      </x:c>
      <x:c r="C101" s="51" t="str">
        <x:f>IF(93&gt;$H$4,"",IF(INDEX('Fleet dates'!$C$9:$C$1008,$I101-8)="","",INDEX('Fleet dates'!$C$9:$C$1008,$I101-8)))</x:f>
      </x:c>
      <x:c r="D101" s="51" t="str">
        <x:f>IF(93&gt;$H$4,"",IF(INDEX('Fleet dates'!$D$9:$D$1008,$I101-8)="","",INDEX('Fleet dates'!$D$9:$D$1008,$I101-8)))</x:f>
      </x:c>
      <x:c r="E101" s="51" t="str">
        <x:f>IF(93&gt;$H$4,"",IF(INDEX('Fleet dates'!$E$9:$E$1008,$I101-8)="","",INDEX('Fleet dates'!$E$9:$E$1008,$I101-8)))</x:f>
      </x:c>
      <x:c r="F101" s="51" t="str">
        <x:f>IF(93&gt;$H$4,"",IF(INDEX('Fleet dates'!$F$9:$F$1008,$I101-8)="","",INDEX('Fleet dates'!$F$9:$F$1008,$I101-8)))</x:f>
      </x:c>
      <x:c r="G101" s="50" t="str">
        <x:f>IF(93&gt;$H$4,"",IF(INDEX('Fleet dates'!$G$9:$G$1008,$I101-8)="","",INDEX('Fleet dates'!$G$9:$G$1008,$I101-8)))</x:f>
      </x:c>
      <x:c r="H101" s="50" t="str">
        <x:f>IF(93&gt;$H$4,"",IF(INDEX('Fleet dates'!$I$9:$I$1008,$I101-8)="","",INDEX('Fleet dates'!$I$9:$I$1008,$I101-8)))</x:f>
      </x:c>
      <x:c r="I101" t="str">
        <x:f>IF(93&gt;$H$4,"",MATCH(93,'Fleet dates'!$K$9:$K$1008,0)+8)</x:f>
      </x:c>
    </x:row>
    <x:row r="102" ht="36" customHeight="1">
      <x:c r="A102" s="50" t="str">
        <x:f>IF(94&gt;$H$4,"",IF(INDEX('Fleet dates'!$A$9:$A$1008,$I102-8)="","",INDEX('Fleet dates'!$A$9:$A$1008,$I102-8)))</x:f>
      </x:c>
      <x:c r="B102" s="50" t="str">
        <x:f>IF(94&gt;$H$4,"",IF(INDEX('Fleet dates'!$B$9:$B$1008,$I102-8)="","",INDEX('Fleet dates'!$B$9:$B$1008,$I102-8)))</x:f>
      </x:c>
      <x:c r="C102" s="51" t="str">
        <x:f>IF(94&gt;$H$4,"",IF(INDEX('Fleet dates'!$C$9:$C$1008,$I102-8)="","",INDEX('Fleet dates'!$C$9:$C$1008,$I102-8)))</x:f>
      </x:c>
      <x:c r="D102" s="51" t="str">
        <x:f>IF(94&gt;$H$4,"",IF(INDEX('Fleet dates'!$D$9:$D$1008,$I102-8)="","",INDEX('Fleet dates'!$D$9:$D$1008,$I102-8)))</x:f>
      </x:c>
      <x:c r="E102" s="51" t="str">
        <x:f>IF(94&gt;$H$4,"",IF(INDEX('Fleet dates'!$E$9:$E$1008,$I102-8)="","",INDEX('Fleet dates'!$E$9:$E$1008,$I102-8)))</x:f>
      </x:c>
      <x:c r="F102" s="51" t="str">
        <x:f>IF(94&gt;$H$4,"",IF(INDEX('Fleet dates'!$F$9:$F$1008,$I102-8)="","",INDEX('Fleet dates'!$F$9:$F$1008,$I102-8)))</x:f>
      </x:c>
      <x:c r="G102" s="50" t="str">
        <x:f>IF(94&gt;$H$4,"",IF(INDEX('Fleet dates'!$G$9:$G$1008,$I102-8)="","",INDEX('Fleet dates'!$G$9:$G$1008,$I102-8)))</x:f>
      </x:c>
      <x:c r="H102" s="50" t="str">
        <x:f>IF(94&gt;$H$4,"",IF(INDEX('Fleet dates'!$I$9:$I$1008,$I102-8)="","",INDEX('Fleet dates'!$I$9:$I$1008,$I102-8)))</x:f>
      </x:c>
      <x:c r="I102" t="str">
        <x:f>IF(94&gt;$H$4,"",MATCH(94,'Fleet dates'!$K$9:$K$1008,0)+8)</x:f>
      </x:c>
    </x:row>
    <x:row r="103" ht="36" customHeight="1">
      <x:c r="A103" s="50" t="str">
        <x:f>IF(95&gt;$H$4,"",IF(INDEX('Fleet dates'!$A$9:$A$1008,$I103-8)="","",INDEX('Fleet dates'!$A$9:$A$1008,$I103-8)))</x:f>
      </x:c>
      <x:c r="B103" s="50" t="str">
        <x:f>IF(95&gt;$H$4,"",IF(INDEX('Fleet dates'!$B$9:$B$1008,$I103-8)="","",INDEX('Fleet dates'!$B$9:$B$1008,$I103-8)))</x:f>
      </x:c>
      <x:c r="C103" s="51" t="str">
        <x:f>IF(95&gt;$H$4,"",IF(INDEX('Fleet dates'!$C$9:$C$1008,$I103-8)="","",INDEX('Fleet dates'!$C$9:$C$1008,$I103-8)))</x:f>
      </x:c>
      <x:c r="D103" s="51" t="str">
        <x:f>IF(95&gt;$H$4,"",IF(INDEX('Fleet dates'!$D$9:$D$1008,$I103-8)="","",INDEX('Fleet dates'!$D$9:$D$1008,$I103-8)))</x:f>
      </x:c>
      <x:c r="E103" s="51" t="str">
        <x:f>IF(95&gt;$H$4,"",IF(INDEX('Fleet dates'!$E$9:$E$1008,$I103-8)="","",INDEX('Fleet dates'!$E$9:$E$1008,$I103-8)))</x:f>
      </x:c>
      <x:c r="F103" s="51" t="str">
        <x:f>IF(95&gt;$H$4,"",IF(INDEX('Fleet dates'!$F$9:$F$1008,$I103-8)="","",INDEX('Fleet dates'!$F$9:$F$1008,$I103-8)))</x:f>
      </x:c>
      <x:c r="G103" s="50" t="str">
        <x:f>IF(95&gt;$H$4,"",IF(INDEX('Fleet dates'!$G$9:$G$1008,$I103-8)="","",INDEX('Fleet dates'!$G$9:$G$1008,$I103-8)))</x:f>
      </x:c>
      <x:c r="H103" s="50" t="str">
        <x:f>IF(95&gt;$H$4,"",IF(INDEX('Fleet dates'!$I$9:$I$1008,$I103-8)="","",INDEX('Fleet dates'!$I$9:$I$1008,$I103-8)))</x:f>
      </x:c>
      <x:c r="I103" t="str">
        <x:f>IF(95&gt;$H$4,"",MATCH(95,'Fleet dates'!$K$9:$K$1008,0)+8)</x:f>
      </x:c>
    </x:row>
    <x:row r="104" ht="36" customHeight="1">
      <x:c r="A104" s="50" t="str">
        <x:f>IF(96&gt;$H$4,"",IF(INDEX('Fleet dates'!$A$9:$A$1008,$I104-8)="","",INDEX('Fleet dates'!$A$9:$A$1008,$I104-8)))</x:f>
      </x:c>
      <x:c r="B104" s="50" t="str">
        <x:f>IF(96&gt;$H$4,"",IF(INDEX('Fleet dates'!$B$9:$B$1008,$I104-8)="","",INDEX('Fleet dates'!$B$9:$B$1008,$I104-8)))</x:f>
      </x:c>
      <x:c r="C104" s="51" t="str">
        <x:f>IF(96&gt;$H$4,"",IF(INDEX('Fleet dates'!$C$9:$C$1008,$I104-8)="","",INDEX('Fleet dates'!$C$9:$C$1008,$I104-8)))</x:f>
      </x:c>
      <x:c r="D104" s="51" t="str">
        <x:f>IF(96&gt;$H$4,"",IF(INDEX('Fleet dates'!$D$9:$D$1008,$I104-8)="","",INDEX('Fleet dates'!$D$9:$D$1008,$I104-8)))</x:f>
      </x:c>
      <x:c r="E104" s="51" t="str">
        <x:f>IF(96&gt;$H$4,"",IF(INDEX('Fleet dates'!$E$9:$E$1008,$I104-8)="","",INDEX('Fleet dates'!$E$9:$E$1008,$I104-8)))</x:f>
      </x:c>
      <x:c r="F104" s="51" t="str">
        <x:f>IF(96&gt;$H$4,"",IF(INDEX('Fleet dates'!$F$9:$F$1008,$I104-8)="","",INDEX('Fleet dates'!$F$9:$F$1008,$I104-8)))</x:f>
      </x:c>
      <x:c r="G104" s="50" t="str">
        <x:f>IF(96&gt;$H$4,"",IF(INDEX('Fleet dates'!$G$9:$G$1008,$I104-8)="","",INDEX('Fleet dates'!$G$9:$G$1008,$I104-8)))</x:f>
      </x:c>
      <x:c r="H104" s="50" t="str">
        <x:f>IF(96&gt;$H$4,"",IF(INDEX('Fleet dates'!$I$9:$I$1008,$I104-8)="","",INDEX('Fleet dates'!$I$9:$I$1008,$I104-8)))</x:f>
      </x:c>
      <x:c r="I104" t="str">
        <x:f>IF(96&gt;$H$4,"",MATCH(96,'Fleet dates'!$K$9:$K$1008,0)+8)</x:f>
      </x:c>
    </x:row>
    <x:row r="105" ht="36" customHeight="1">
      <x:c r="A105" s="50" t="str">
        <x:f>IF(97&gt;$H$4,"",IF(INDEX('Fleet dates'!$A$9:$A$1008,$I105-8)="","",INDEX('Fleet dates'!$A$9:$A$1008,$I105-8)))</x:f>
      </x:c>
      <x:c r="B105" s="50" t="str">
        <x:f>IF(97&gt;$H$4,"",IF(INDEX('Fleet dates'!$B$9:$B$1008,$I105-8)="","",INDEX('Fleet dates'!$B$9:$B$1008,$I105-8)))</x:f>
      </x:c>
      <x:c r="C105" s="51" t="str">
        <x:f>IF(97&gt;$H$4,"",IF(INDEX('Fleet dates'!$C$9:$C$1008,$I105-8)="","",INDEX('Fleet dates'!$C$9:$C$1008,$I105-8)))</x:f>
      </x:c>
      <x:c r="D105" s="51" t="str">
        <x:f>IF(97&gt;$H$4,"",IF(INDEX('Fleet dates'!$D$9:$D$1008,$I105-8)="","",INDEX('Fleet dates'!$D$9:$D$1008,$I105-8)))</x:f>
      </x:c>
      <x:c r="E105" s="51" t="str">
        <x:f>IF(97&gt;$H$4,"",IF(INDEX('Fleet dates'!$E$9:$E$1008,$I105-8)="","",INDEX('Fleet dates'!$E$9:$E$1008,$I105-8)))</x:f>
      </x:c>
      <x:c r="F105" s="51" t="str">
        <x:f>IF(97&gt;$H$4,"",IF(INDEX('Fleet dates'!$F$9:$F$1008,$I105-8)="","",INDEX('Fleet dates'!$F$9:$F$1008,$I105-8)))</x:f>
      </x:c>
      <x:c r="G105" s="50" t="str">
        <x:f>IF(97&gt;$H$4,"",IF(INDEX('Fleet dates'!$G$9:$G$1008,$I105-8)="","",INDEX('Fleet dates'!$G$9:$G$1008,$I105-8)))</x:f>
      </x:c>
      <x:c r="H105" s="50" t="str">
        <x:f>IF(97&gt;$H$4,"",IF(INDEX('Fleet dates'!$I$9:$I$1008,$I105-8)="","",INDEX('Fleet dates'!$I$9:$I$1008,$I105-8)))</x:f>
      </x:c>
      <x:c r="I105" t="str">
        <x:f>IF(97&gt;$H$4,"",MATCH(97,'Fleet dates'!$K$9:$K$1008,0)+8)</x:f>
      </x:c>
    </x:row>
    <x:row r="106" ht="36" customHeight="1">
      <x:c r="A106" s="50" t="str">
        <x:f>IF(98&gt;$H$4,"",IF(INDEX('Fleet dates'!$A$9:$A$1008,$I106-8)="","",INDEX('Fleet dates'!$A$9:$A$1008,$I106-8)))</x:f>
      </x:c>
      <x:c r="B106" s="50" t="str">
        <x:f>IF(98&gt;$H$4,"",IF(INDEX('Fleet dates'!$B$9:$B$1008,$I106-8)="","",INDEX('Fleet dates'!$B$9:$B$1008,$I106-8)))</x:f>
      </x:c>
      <x:c r="C106" s="51" t="str">
        <x:f>IF(98&gt;$H$4,"",IF(INDEX('Fleet dates'!$C$9:$C$1008,$I106-8)="","",INDEX('Fleet dates'!$C$9:$C$1008,$I106-8)))</x:f>
      </x:c>
      <x:c r="D106" s="51" t="str">
        <x:f>IF(98&gt;$H$4,"",IF(INDEX('Fleet dates'!$D$9:$D$1008,$I106-8)="","",INDEX('Fleet dates'!$D$9:$D$1008,$I106-8)))</x:f>
      </x:c>
      <x:c r="E106" s="51" t="str">
        <x:f>IF(98&gt;$H$4,"",IF(INDEX('Fleet dates'!$E$9:$E$1008,$I106-8)="","",INDEX('Fleet dates'!$E$9:$E$1008,$I106-8)))</x:f>
      </x:c>
      <x:c r="F106" s="51" t="str">
        <x:f>IF(98&gt;$H$4,"",IF(INDEX('Fleet dates'!$F$9:$F$1008,$I106-8)="","",INDEX('Fleet dates'!$F$9:$F$1008,$I106-8)))</x:f>
      </x:c>
      <x:c r="G106" s="50" t="str">
        <x:f>IF(98&gt;$H$4,"",IF(INDEX('Fleet dates'!$G$9:$G$1008,$I106-8)="","",INDEX('Fleet dates'!$G$9:$G$1008,$I106-8)))</x:f>
      </x:c>
      <x:c r="H106" s="50" t="str">
        <x:f>IF(98&gt;$H$4,"",IF(INDEX('Fleet dates'!$I$9:$I$1008,$I106-8)="","",INDEX('Fleet dates'!$I$9:$I$1008,$I106-8)))</x:f>
      </x:c>
      <x:c r="I106" t="str">
        <x:f>IF(98&gt;$H$4,"",MATCH(98,'Fleet dates'!$K$9:$K$1008,0)+8)</x:f>
      </x:c>
    </x:row>
    <x:row r="107" ht="36" customHeight="1">
      <x:c r="A107" s="50" t="str">
        <x:f>IF(99&gt;$H$4,"",IF(INDEX('Fleet dates'!$A$9:$A$1008,$I107-8)="","",INDEX('Fleet dates'!$A$9:$A$1008,$I107-8)))</x:f>
      </x:c>
      <x:c r="B107" s="50" t="str">
        <x:f>IF(99&gt;$H$4,"",IF(INDEX('Fleet dates'!$B$9:$B$1008,$I107-8)="","",INDEX('Fleet dates'!$B$9:$B$1008,$I107-8)))</x:f>
      </x:c>
      <x:c r="C107" s="51" t="str">
        <x:f>IF(99&gt;$H$4,"",IF(INDEX('Fleet dates'!$C$9:$C$1008,$I107-8)="","",INDEX('Fleet dates'!$C$9:$C$1008,$I107-8)))</x:f>
      </x:c>
      <x:c r="D107" s="51" t="str">
        <x:f>IF(99&gt;$H$4,"",IF(INDEX('Fleet dates'!$D$9:$D$1008,$I107-8)="","",INDEX('Fleet dates'!$D$9:$D$1008,$I107-8)))</x:f>
      </x:c>
      <x:c r="E107" s="51" t="str">
        <x:f>IF(99&gt;$H$4,"",IF(INDEX('Fleet dates'!$E$9:$E$1008,$I107-8)="","",INDEX('Fleet dates'!$E$9:$E$1008,$I107-8)))</x:f>
      </x:c>
      <x:c r="F107" s="51" t="str">
        <x:f>IF(99&gt;$H$4,"",IF(INDEX('Fleet dates'!$F$9:$F$1008,$I107-8)="","",INDEX('Fleet dates'!$F$9:$F$1008,$I107-8)))</x:f>
      </x:c>
      <x:c r="G107" s="50" t="str">
        <x:f>IF(99&gt;$H$4,"",IF(INDEX('Fleet dates'!$G$9:$G$1008,$I107-8)="","",INDEX('Fleet dates'!$G$9:$G$1008,$I107-8)))</x:f>
      </x:c>
      <x:c r="H107" s="50" t="str">
        <x:f>IF(99&gt;$H$4,"",IF(INDEX('Fleet dates'!$I$9:$I$1008,$I107-8)="","",INDEX('Fleet dates'!$I$9:$I$1008,$I107-8)))</x:f>
      </x:c>
      <x:c r="I107" t="str">
        <x:f>IF(99&gt;$H$4,"",MATCH(99,'Fleet dates'!$K$9:$K$1008,0)+8)</x:f>
      </x:c>
    </x:row>
    <x:row r="108" ht="36" customHeight="1">
      <x:c r="A108" s="50" t="str">
        <x:f>IF(100&gt;$H$4,"",IF(INDEX('Fleet dates'!$A$9:$A$1008,$I108-8)="","",INDEX('Fleet dates'!$A$9:$A$1008,$I108-8)))</x:f>
      </x:c>
      <x:c r="B108" s="50" t="str">
        <x:f>IF(100&gt;$H$4,"",IF(INDEX('Fleet dates'!$B$9:$B$1008,$I108-8)="","",INDEX('Fleet dates'!$B$9:$B$1008,$I108-8)))</x:f>
      </x:c>
      <x:c r="C108" s="51" t="str">
        <x:f>IF(100&gt;$H$4,"",IF(INDEX('Fleet dates'!$C$9:$C$1008,$I108-8)="","",INDEX('Fleet dates'!$C$9:$C$1008,$I108-8)))</x:f>
      </x:c>
      <x:c r="D108" s="51" t="str">
        <x:f>IF(100&gt;$H$4,"",IF(INDEX('Fleet dates'!$D$9:$D$1008,$I108-8)="","",INDEX('Fleet dates'!$D$9:$D$1008,$I108-8)))</x:f>
      </x:c>
      <x:c r="E108" s="51" t="str">
        <x:f>IF(100&gt;$H$4,"",IF(INDEX('Fleet dates'!$E$9:$E$1008,$I108-8)="","",INDEX('Fleet dates'!$E$9:$E$1008,$I108-8)))</x:f>
      </x:c>
      <x:c r="F108" s="51" t="str">
        <x:f>IF(100&gt;$H$4,"",IF(INDEX('Fleet dates'!$F$9:$F$1008,$I108-8)="","",INDEX('Fleet dates'!$F$9:$F$1008,$I108-8)))</x:f>
      </x:c>
      <x:c r="G108" s="50" t="str">
        <x:f>IF(100&gt;$H$4,"",IF(INDEX('Fleet dates'!$G$9:$G$1008,$I108-8)="","",INDEX('Fleet dates'!$G$9:$G$1008,$I108-8)))</x:f>
      </x:c>
      <x:c r="H108" s="50" t="str">
        <x:f>IF(100&gt;$H$4,"",IF(INDEX('Fleet dates'!$I$9:$I$1008,$I108-8)="","",INDEX('Fleet dates'!$I$9:$I$1008,$I108-8)))</x:f>
      </x:c>
      <x:c r="I108" t="str">
        <x:f>IF(100&gt;$H$4,"",MATCH(100,'Fleet dates'!$K$9:$K$1008,0)+8)</x:f>
      </x:c>
    </x:row>
    <x:row r="109" ht="36" customHeight="1">
      <x:c r="A109" s="50" t="str">
        <x:f>IF(101&gt;$H$4,"",IF(INDEX('Fleet dates'!$A$9:$A$1008,$I109-8)="","",INDEX('Fleet dates'!$A$9:$A$1008,$I109-8)))</x:f>
      </x:c>
      <x:c r="B109" s="50" t="str">
        <x:f>IF(101&gt;$H$4,"",IF(INDEX('Fleet dates'!$B$9:$B$1008,$I109-8)="","",INDEX('Fleet dates'!$B$9:$B$1008,$I109-8)))</x:f>
      </x:c>
      <x:c r="C109" s="51" t="str">
        <x:f>IF(101&gt;$H$4,"",IF(INDEX('Fleet dates'!$C$9:$C$1008,$I109-8)="","",INDEX('Fleet dates'!$C$9:$C$1008,$I109-8)))</x:f>
      </x:c>
      <x:c r="D109" s="51" t="str">
        <x:f>IF(101&gt;$H$4,"",IF(INDEX('Fleet dates'!$D$9:$D$1008,$I109-8)="","",INDEX('Fleet dates'!$D$9:$D$1008,$I109-8)))</x:f>
      </x:c>
      <x:c r="E109" s="51" t="str">
        <x:f>IF(101&gt;$H$4,"",IF(INDEX('Fleet dates'!$E$9:$E$1008,$I109-8)="","",INDEX('Fleet dates'!$E$9:$E$1008,$I109-8)))</x:f>
      </x:c>
      <x:c r="F109" s="51" t="str">
        <x:f>IF(101&gt;$H$4,"",IF(INDEX('Fleet dates'!$F$9:$F$1008,$I109-8)="","",INDEX('Fleet dates'!$F$9:$F$1008,$I109-8)))</x:f>
      </x:c>
      <x:c r="G109" s="50" t="str">
        <x:f>IF(101&gt;$H$4,"",IF(INDEX('Fleet dates'!$G$9:$G$1008,$I109-8)="","",INDEX('Fleet dates'!$G$9:$G$1008,$I109-8)))</x:f>
      </x:c>
      <x:c r="H109" s="50" t="str">
        <x:f>IF(101&gt;$H$4,"",IF(INDEX('Fleet dates'!$I$9:$I$1008,$I109-8)="","",INDEX('Fleet dates'!$I$9:$I$1008,$I109-8)))</x:f>
      </x:c>
      <x:c r="I109" t="str">
        <x:f>IF(101&gt;$H$4,"",MATCH(101,'Fleet dates'!$K$9:$K$1008,0)+8)</x:f>
      </x:c>
    </x:row>
    <x:row r="110" ht="36" customHeight="1">
      <x:c r="A110" s="50" t="str">
        <x:f>IF(102&gt;$H$4,"",IF(INDEX('Fleet dates'!$A$9:$A$1008,$I110-8)="","",INDEX('Fleet dates'!$A$9:$A$1008,$I110-8)))</x:f>
      </x:c>
      <x:c r="B110" s="50" t="str">
        <x:f>IF(102&gt;$H$4,"",IF(INDEX('Fleet dates'!$B$9:$B$1008,$I110-8)="","",INDEX('Fleet dates'!$B$9:$B$1008,$I110-8)))</x:f>
      </x:c>
      <x:c r="C110" s="51" t="str">
        <x:f>IF(102&gt;$H$4,"",IF(INDEX('Fleet dates'!$C$9:$C$1008,$I110-8)="","",INDEX('Fleet dates'!$C$9:$C$1008,$I110-8)))</x:f>
      </x:c>
      <x:c r="D110" s="51" t="str">
        <x:f>IF(102&gt;$H$4,"",IF(INDEX('Fleet dates'!$D$9:$D$1008,$I110-8)="","",INDEX('Fleet dates'!$D$9:$D$1008,$I110-8)))</x:f>
      </x:c>
      <x:c r="E110" s="51" t="str">
        <x:f>IF(102&gt;$H$4,"",IF(INDEX('Fleet dates'!$E$9:$E$1008,$I110-8)="","",INDEX('Fleet dates'!$E$9:$E$1008,$I110-8)))</x:f>
      </x:c>
      <x:c r="F110" s="51" t="str">
        <x:f>IF(102&gt;$H$4,"",IF(INDEX('Fleet dates'!$F$9:$F$1008,$I110-8)="","",INDEX('Fleet dates'!$F$9:$F$1008,$I110-8)))</x:f>
      </x:c>
      <x:c r="G110" s="50" t="str">
        <x:f>IF(102&gt;$H$4,"",IF(INDEX('Fleet dates'!$G$9:$G$1008,$I110-8)="","",INDEX('Fleet dates'!$G$9:$G$1008,$I110-8)))</x:f>
      </x:c>
      <x:c r="H110" s="50" t="str">
        <x:f>IF(102&gt;$H$4,"",IF(INDEX('Fleet dates'!$I$9:$I$1008,$I110-8)="","",INDEX('Fleet dates'!$I$9:$I$1008,$I110-8)))</x:f>
      </x:c>
      <x:c r="I110" t="str">
        <x:f>IF(102&gt;$H$4,"",MATCH(102,'Fleet dates'!$K$9:$K$1008,0)+8)</x:f>
      </x:c>
    </x:row>
    <x:row r="111" ht="36" customHeight="1">
      <x:c r="A111" s="50" t="str">
        <x:f>IF(103&gt;$H$4,"",IF(INDEX('Fleet dates'!$A$9:$A$1008,$I111-8)="","",INDEX('Fleet dates'!$A$9:$A$1008,$I111-8)))</x:f>
      </x:c>
      <x:c r="B111" s="50" t="str">
        <x:f>IF(103&gt;$H$4,"",IF(INDEX('Fleet dates'!$B$9:$B$1008,$I111-8)="","",INDEX('Fleet dates'!$B$9:$B$1008,$I111-8)))</x:f>
      </x:c>
      <x:c r="C111" s="51" t="str">
        <x:f>IF(103&gt;$H$4,"",IF(INDEX('Fleet dates'!$C$9:$C$1008,$I111-8)="","",INDEX('Fleet dates'!$C$9:$C$1008,$I111-8)))</x:f>
      </x:c>
      <x:c r="D111" s="51" t="str">
        <x:f>IF(103&gt;$H$4,"",IF(INDEX('Fleet dates'!$D$9:$D$1008,$I111-8)="","",INDEX('Fleet dates'!$D$9:$D$1008,$I111-8)))</x:f>
      </x:c>
      <x:c r="E111" s="51" t="str">
        <x:f>IF(103&gt;$H$4,"",IF(INDEX('Fleet dates'!$E$9:$E$1008,$I111-8)="","",INDEX('Fleet dates'!$E$9:$E$1008,$I111-8)))</x:f>
      </x:c>
      <x:c r="F111" s="51" t="str">
        <x:f>IF(103&gt;$H$4,"",IF(INDEX('Fleet dates'!$F$9:$F$1008,$I111-8)="","",INDEX('Fleet dates'!$F$9:$F$1008,$I111-8)))</x:f>
      </x:c>
      <x:c r="G111" s="50" t="str">
        <x:f>IF(103&gt;$H$4,"",IF(INDEX('Fleet dates'!$G$9:$G$1008,$I111-8)="","",INDEX('Fleet dates'!$G$9:$G$1008,$I111-8)))</x:f>
      </x:c>
      <x:c r="H111" s="50" t="str">
        <x:f>IF(103&gt;$H$4,"",IF(INDEX('Fleet dates'!$I$9:$I$1008,$I111-8)="","",INDEX('Fleet dates'!$I$9:$I$1008,$I111-8)))</x:f>
      </x:c>
      <x:c r="I111" t="str">
        <x:f>IF(103&gt;$H$4,"",MATCH(103,'Fleet dates'!$K$9:$K$1008,0)+8)</x:f>
      </x:c>
    </x:row>
    <x:row r="112" ht="36" customHeight="1">
      <x:c r="A112" s="50" t="str">
        <x:f>IF(104&gt;$H$4,"",IF(INDEX('Fleet dates'!$A$9:$A$1008,$I112-8)="","",INDEX('Fleet dates'!$A$9:$A$1008,$I112-8)))</x:f>
      </x:c>
      <x:c r="B112" s="50" t="str">
        <x:f>IF(104&gt;$H$4,"",IF(INDEX('Fleet dates'!$B$9:$B$1008,$I112-8)="","",INDEX('Fleet dates'!$B$9:$B$1008,$I112-8)))</x:f>
      </x:c>
      <x:c r="C112" s="51" t="str">
        <x:f>IF(104&gt;$H$4,"",IF(INDEX('Fleet dates'!$C$9:$C$1008,$I112-8)="","",INDEX('Fleet dates'!$C$9:$C$1008,$I112-8)))</x:f>
      </x:c>
      <x:c r="D112" s="51" t="str">
        <x:f>IF(104&gt;$H$4,"",IF(INDEX('Fleet dates'!$D$9:$D$1008,$I112-8)="","",INDEX('Fleet dates'!$D$9:$D$1008,$I112-8)))</x:f>
      </x:c>
      <x:c r="E112" s="51" t="str">
        <x:f>IF(104&gt;$H$4,"",IF(INDEX('Fleet dates'!$E$9:$E$1008,$I112-8)="","",INDEX('Fleet dates'!$E$9:$E$1008,$I112-8)))</x:f>
      </x:c>
      <x:c r="F112" s="51" t="str">
        <x:f>IF(104&gt;$H$4,"",IF(INDEX('Fleet dates'!$F$9:$F$1008,$I112-8)="","",INDEX('Fleet dates'!$F$9:$F$1008,$I112-8)))</x:f>
      </x:c>
      <x:c r="G112" s="50" t="str">
        <x:f>IF(104&gt;$H$4,"",IF(INDEX('Fleet dates'!$G$9:$G$1008,$I112-8)="","",INDEX('Fleet dates'!$G$9:$G$1008,$I112-8)))</x:f>
      </x:c>
      <x:c r="H112" s="50" t="str">
        <x:f>IF(104&gt;$H$4,"",IF(INDEX('Fleet dates'!$I$9:$I$1008,$I112-8)="","",INDEX('Fleet dates'!$I$9:$I$1008,$I112-8)))</x:f>
      </x:c>
      <x:c r="I112" t="str">
        <x:f>IF(104&gt;$H$4,"",MATCH(104,'Fleet dates'!$K$9:$K$1008,0)+8)</x:f>
      </x:c>
    </x:row>
    <x:row r="113" ht="36" customHeight="1">
      <x:c r="A113" s="50" t="str">
        <x:f>IF(105&gt;$H$4,"",IF(INDEX('Fleet dates'!$A$9:$A$1008,$I113-8)="","",INDEX('Fleet dates'!$A$9:$A$1008,$I113-8)))</x:f>
      </x:c>
      <x:c r="B113" s="50" t="str">
        <x:f>IF(105&gt;$H$4,"",IF(INDEX('Fleet dates'!$B$9:$B$1008,$I113-8)="","",INDEX('Fleet dates'!$B$9:$B$1008,$I113-8)))</x:f>
      </x:c>
      <x:c r="C113" s="51" t="str">
        <x:f>IF(105&gt;$H$4,"",IF(INDEX('Fleet dates'!$C$9:$C$1008,$I113-8)="","",INDEX('Fleet dates'!$C$9:$C$1008,$I113-8)))</x:f>
      </x:c>
      <x:c r="D113" s="51" t="str">
        <x:f>IF(105&gt;$H$4,"",IF(INDEX('Fleet dates'!$D$9:$D$1008,$I113-8)="","",INDEX('Fleet dates'!$D$9:$D$1008,$I113-8)))</x:f>
      </x:c>
      <x:c r="E113" s="51" t="str">
        <x:f>IF(105&gt;$H$4,"",IF(INDEX('Fleet dates'!$E$9:$E$1008,$I113-8)="","",INDEX('Fleet dates'!$E$9:$E$1008,$I113-8)))</x:f>
      </x:c>
      <x:c r="F113" s="51" t="str">
        <x:f>IF(105&gt;$H$4,"",IF(INDEX('Fleet dates'!$F$9:$F$1008,$I113-8)="","",INDEX('Fleet dates'!$F$9:$F$1008,$I113-8)))</x:f>
      </x:c>
      <x:c r="G113" s="50" t="str">
        <x:f>IF(105&gt;$H$4,"",IF(INDEX('Fleet dates'!$G$9:$G$1008,$I113-8)="","",INDEX('Fleet dates'!$G$9:$G$1008,$I113-8)))</x:f>
      </x:c>
      <x:c r="H113" s="50" t="str">
        <x:f>IF(105&gt;$H$4,"",IF(INDEX('Fleet dates'!$I$9:$I$1008,$I113-8)="","",INDEX('Fleet dates'!$I$9:$I$1008,$I113-8)))</x:f>
      </x:c>
      <x:c r="I113" t="str">
        <x:f>IF(105&gt;$H$4,"",MATCH(105,'Fleet dates'!$K$9:$K$1008,0)+8)</x:f>
      </x:c>
    </x:row>
    <x:row r="114" ht="36" customHeight="1">
      <x:c r="A114" s="50" t="str">
        <x:f>IF(106&gt;$H$4,"",IF(INDEX('Fleet dates'!$A$9:$A$1008,$I114-8)="","",INDEX('Fleet dates'!$A$9:$A$1008,$I114-8)))</x:f>
      </x:c>
      <x:c r="B114" s="50" t="str">
        <x:f>IF(106&gt;$H$4,"",IF(INDEX('Fleet dates'!$B$9:$B$1008,$I114-8)="","",INDEX('Fleet dates'!$B$9:$B$1008,$I114-8)))</x:f>
      </x:c>
      <x:c r="C114" s="51" t="str">
        <x:f>IF(106&gt;$H$4,"",IF(INDEX('Fleet dates'!$C$9:$C$1008,$I114-8)="","",INDEX('Fleet dates'!$C$9:$C$1008,$I114-8)))</x:f>
      </x:c>
      <x:c r="D114" s="51" t="str">
        <x:f>IF(106&gt;$H$4,"",IF(INDEX('Fleet dates'!$D$9:$D$1008,$I114-8)="","",INDEX('Fleet dates'!$D$9:$D$1008,$I114-8)))</x:f>
      </x:c>
      <x:c r="E114" s="51" t="str">
        <x:f>IF(106&gt;$H$4,"",IF(INDEX('Fleet dates'!$E$9:$E$1008,$I114-8)="","",INDEX('Fleet dates'!$E$9:$E$1008,$I114-8)))</x:f>
      </x:c>
      <x:c r="F114" s="51" t="str">
        <x:f>IF(106&gt;$H$4,"",IF(INDEX('Fleet dates'!$F$9:$F$1008,$I114-8)="","",INDEX('Fleet dates'!$F$9:$F$1008,$I114-8)))</x:f>
      </x:c>
      <x:c r="G114" s="50" t="str">
        <x:f>IF(106&gt;$H$4,"",IF(INDEX('Fleet dates'!$G$9:$G$1008,$I114-8)="","",INDEX('Fleet dates'!$G$9:$G$1008,$I114-8)))</x:f>
      </x:c>
      <x:c r="H114" s="50" t="str">
        <x:f>IF(106&gt;$H$4,"",IF(INDEX('Fleet dates'!$I$9:$I$1008,$I114-8)="","",INDEX('Fleet dates'!$I$9:$I$1008,$I114-8)))</x:f>
      </x:c>
      <x:c r="I114" t="str">
        <x:f>IF(106&gt;$H$4,"",MATCH(106,'Fleet dates'!$K$9:$K$1008,0)+8)</x:f>
      </x:c>
    </x:row>
    <x:row r="115" ht="36" customHeight="1">
      <x:c r="A115" s="50" t="str">
        <x:f>IF(107&gt;$H$4,"",IF(INDEX('Fleet dates'!$A$9:$A$1008,$I115-8)="","",INDEX('Fleet dates'!$A$9:$A$1008,$I115-8)))</x:f>
      </x:c>
      <x:c r="B115" s="50" t="str">
        <x:f>IF(107&gt;$H$4,"",IF(INDEX('Fleet dates'!$B$9:$B$1008,$I115-8)="","",INDEX('Fleet dates'!$B$9:$B$1008,$I115-8)))</x:f>
      </x:c>
      <x:c r="C115" s="51" t="str">
        <x:f>IF(107&gt;$H$4,"",IF(INDEX('Fleet dates'!$C$9:$C$1008,$I115-8)="","",INDEX('Fleet dates'!$C$9:$C$1008,$I115-8)))</x:f>
      </x:c>
      <x:c r="D115" s="51" t="str">
        <x:f>IF(107&gt;$H$4,"",IF(INDEX('Fleet dates'!$D$9:$D$1008,$I115-8)="","",INDEX('Fleet dates'!$D$9:$D$1008,$I115-8)))</x:f>
      </x:c>
      <x:c r="E115" s="51" t="str">
        <x:f>IF(107&gt;$H$4,"",IF(INDEX('Fleet dates'!$E$9:$E$1008,$I115-8)="","",INDEX('Fleet dates'!$E$9:$E$1008,$I115-8)))</x:f>
      </x:c>
      <x:c r="F115" s="51" t="str">
        <x:f>IF(107&gt;$H$4,"",IF(INDEX('Fleet dates'!$F$9:$F$1008,$I115-8)="","",INDEX('Fleet dates'!$F$9:$F$1008,$I115-8)))</x:f>
      </x:c>
      <x:c r="G115" s="50" t="str">
        <x:f>IF(107&gt;$H$4,"",IF(INDEX('Fleet dates'!$G$9:$G$1008,$I115-8)="","",INDEX('Fleet dates'!$G$9:$G$1008,$I115-8)))</x:f>
      </x:c>
      <x:c r="H115" s="50" t="str">
        <x:f>IF(107&gt;$H$4,"",IF(INDEX('Fleet dates'!$I$9:$I$1008,$I115-8)="","",INDEX('Fleet dates'!$I$9:$I$1008,$I115-8)))</x:f>
      </x:c>
      <x:c r="I115" t="str">
        <x:f>IF(107&gt;$H$4,"",MATCH(107,'Fleet dates'!$K$9:$K$1008,0)+8)</x:f>
      </x:c>
    </x:row>
    <x:row r="116" ht="36" customHeight="1">
      <x:c r="A116" s="50" t="str">
        <x:f>IF(108&gt;$H$4,"",IF(INDEX('Fleet dates'!$A$9:$A$1008,$I116-8)="","",INDEX('Fleet dates'!$A$9:$A$1008,$I116-8)))</x:f>
      </x:c>
      <x:c r="B116" s="50" t="str">
        <x:f>IF(108&gt;$H$4,"",IF(INDEX('Fleet dates'!$B$9:$B$1008,$I116-8)="","",INDEX('Fleet dates'!$B$9:$B$1008,$I116-8)))</x:f>
      </x:c>
      <x:c r="C116" s="51" t="str">
        <x:f>IF(108&gt;$H$4,"",IF(INDEX('Fleet dates'!$C$9:$C$1008,$I116-8)="","",INDEX('Fleet dates'!$C$9:$C$1008,$I116-8)))</x:f>
      </x:c>
      <x:c r="D116" s="51" t="str">
        <x:f>IF(108&gt;$H$4,"",IF(INDEX('Fleet dates'!$D$9:$D$1008,$I116-8)="","",INDEX('Fleet dates'!$D$9:$D$1008,$I116-8)))</x:f>
      </x:c>
      <x:c r="E116" s="51" t="str">
        <x:f>IF(108&gt;$H$4,"",IF(INDEX('Fleet dates'!$E$9:$E$1008,$I116-8)="","",INDEX('Fleet dates'!$E$9:$E$1008,$I116-8)))</x:f>
      </x:c>
      <x:c r="F116" s="51" t="str">
        <x:f>IF(108&gt;$H$4,"",IF(INDEX('Fleet dates'!$F$9:$F$1008,$I116-8)="","",INDEX('Fleet dates'!$F$9:$F$1008,$I116-8)))</x:f>
      </x:c>
      <x:c r="G116" s="50" t="str">
        <x:f>IF(108&gt;$H$4,"",IF(INDEX('Fleet dates'!$G$9:$G$1008,$I116-8)="","",INDEX('Fleet dates'!$G$9:$G$1008,$I116-8)))</x:f>
      </x:c>
      <x:c r="H116" s="50" t="str">
        <x:f>IF(108&gt;$H$4,"",IF(INDEX('Fleet dates'!$I$9:$I$1008,$I116-8)="","",INDEX('Fleet dates'!$I$9:$I$1008,$I116-8)))</x:f>
      </x:c>
      <x:c r="I116" t="str">
        <x:f>IF(108&gt;$H$4,"",MATCH(108,'Fleet dates'!$K$9:$K$1008,0)+8)</x:f>
      </x:c>
    </x:row>
    <x:row r="117" ht="36" customHeight="1">
      <x:c r="A117" s="50" t="str">
        <x:f>IF(109&gt;$H$4,"",IF(INDEX('Fleet dates'!$A$9:$A$1008,$I117-8)="","",INDEX('Fleet dates'!$A$9:$A$1008,$I117-8)))</x:f>
      </x:c>
      <x:c r="B117" s="50" t="str">
        <x:f>IF(109&gt;$H$4,"",IF(INDEX('Fleet dates'!$B$9:$B$1008,$I117-8)="","",INDEX('Fleet dates'!$B$9:$B$1008,$I117-8)))</x:f>
      </x:c>
      <x:c r="C117" s="51" t="str">
        <x:f>IF(109&gt;$H$4,"",IF(INDEX('Fleet dates'!$C$9:$C$1008,$I117-8)="","",INDEX('Fleet dates'!$C$9:$C$1008,$I117-8)))</x:f>
      </x:c>
      <x:c r="D117" s="51" t="str">
        <x:f>IF(109&gt;$H$4,"",IF(INDEX('Fleet dates'!$D$9:$D$1008,$I117-8)="","",INDEX('Fleet dates'!$D$9:$D$1008,$I117-8)))</x:f>
      </x:c>
      <x:c r="E117" s="51" t="str">
        <x:f>IF(109&gt;$H$4,"",IF(INDEX('Fleet dates'!$E$9:$E$1008,$I117-8)="","",INDEX('Fleet dates'!$E$9:$E$1008,$I117-8)))</x:f>
      </x:c>
      <x:c r="F117" s="51" t="str">
        <x:f>IF(109&gt;$H$4,"",IF(INDEX('Fleet dates'!$F$9:$F$1008,$I117-8)="","",INDEX('Fleet dates'!$F$9:$F$1008,$I117-8)))</x:f>
      </x:c>
      <x:c r="G117" s="50" t="str">
        <x:f>IF(109&gt;$H$4,"",IF(INDEX('Fleet dates'!$G$9:$G$1008,$I117-8)="","",INDEX('Fleet dates'!$G$9:$G$1008,$I117-8)))</x:f>
      </x:c>
      <x:c r="H117" s="50" t="str">
        <x:f>IF(109&gt;$H$4,"",IF(INDEX('Fleet dates'!$I$9:$I$1008,$I117-8)="","",INDEX('Fleet dates'!$I$9:$I$1008,$I117-8)))</x:f>
      </x:c>
      <x:c r="I117" t="str">
        <x:f>IF(109&gt;$H$4,"",MATCH(109,'Fleet dates'!$K$9:$K$1008,0)+8)</x:f>
      </x:c>
    </x:row>
    <x:row r="118" ht="36" customHeight="1">
      <x:c r="A118" s="50" t="str">
        <x:f>IF(110&gt;$H$4,"",IF(INDEX('Fleet dates'!$A$9:$A$1008,$I118-8)="","",INDEX('Fleet dates'!$A$9:$A$1008,$I118-8)))</x:f>
      </x:c>
      <x:c r="B118" s="50" t="str">
        <x:f>IF(110&gt;$H$4,"",IF(INDEX('Fleet dates'!$B$9:$B$1008,$I118-8)="","",INDEX('Fleet dates'!$B$9:$B$1008,$I118-8)))</x:f>
      </x:c>
      <x:c r="C118" s="51" t="str">
        <x:f>IF(110&gt;$H$4,"",IF(INDEX('Fleet dates'!$C$9:$C$1008,$I118-8)="","",INDEX('Fleet dates'!$C$9:$C$1008,$I118-8)))</x:f>
      </x:c>
      <x:c r="D118" s="51" t="str">
        <x:f>IF(110&gt;$H$4,"",IF(INDEX('Fleet dates'!$D$9:$D$1008,$I118-8)="","",INDEX('Fleet dates'!$D$9:$D$1008,$I118-8)))</x:f>
      </x:c>
      <x:c r="E118" s="51" t="str">
        <x:f>IF(110&gt;$H$4,"",IF(INDEX('Fleet dates'!$E$9:$E$1008,$I118-8)="","",INDEX('Fleet dates'!$E$9:$E$1008,$I118-8)))</x:f>
      </x:c>
      <x:c r="F118" s="51" t="str">
        <x:f>IF(110&gt;$H$4,"",IF(INDEX('Fleet dates'!$F$9:$F$1008,$I118-8)="","",INDEX('Fleet dates'!$F$9:$F$1008,$I118-8)))</x:f>
      </x:c>
      <x:c r="G118" s="50" t="str">
        <x:f>IF(110&gt;$H$4,"",IF(INDEX('Fleet dates'!$G$9:$G$1008,$I118-8)="","",INDEX('Fleet dates'!$G$9:$G$1008,$I118-8)))</x:f>
      </x:c>
      <x:c r="H118" s="50" t="str">
        <x:f>IF(110&gt;$H$4,"",IF(INDEX('Fleet dates'!$I$9:$I$1008,$I118-8)="","",INDEX('Fleet dates'!$I$9:$I$1008,$I118-8)))</x:f>
      </x:c>
      <x:c r="I118" t="str">
        <x:f>IF(110&gt;$H$4,"",MATCH(110,'Fleet dates'!$K$9:$K$1008,0)+8)</x:f>
      </x:c>
    </x:row>
    <x:row r="119" ht="36" customHeight="1">
      <x:c r="A119" s="50" t="str">
        <x:f>IF(111&gt;$H$4,"",IF(INDEX('Fleet dates'!$A$9:$A$1008,$I119-8)="","",INDEX('Fleet dates'!$A$9:$A$1008,$I119-8)))</x:f>
      </x:c>
      <x:c r="B119" s="50" t="str">
        <x:f>IF(111&gt;$H$4,"",IF(INDEX('Fleet dates'!$B$9:$B$1008,$I119-8)="","",INDEX('Fleet dates'!$B$9:$B$1008,$I119-8)))</x:f>
      </x:c>
      <x:c r="C119" s="51" t="str">
        <x:f>IF(111&gt;$H$4,"",IF(INDEX('Fleet dates'!$C$9:$C$1008,$I119-8)="","",INDEX('Fleet dates'!$C$9:$C$1008,$I119-8)))</x:f>
      </x:c>
      <x:c r="D119" s="51" t="str">
        <x:f>IF(111&gt;$H$4,"",IF(INDEX('Fleet dates'!$D$9:$D$1008,$I119-8)="","",INDEX('Fleet dates'!$D$9:$D$1008,$I119-8)))</x:f>
      </x:c>
      <x:c r="E119" s="51" t="str">
        <x:f>IF(111&gt;$H$4,"",IF(INDEX('Fleet dates'!$E$9:$E$1008,$I119-8)="","",INDEX('Fleet dates'!$E$9:$E$1008,$I119-8)))</x:f>
      </x:c>
      <x:c r="F119" s="51" t="str">
        <x:f>IF(111&gt;$H$4,"",IF(INDEX('Fleet dates'!$F$9:$F$1008,$I119-8)="","",INDEX('Fleet dates'!$F$9:$F$1008,$I119-8)))</x:f>
      </x:c>
      <x:c r="G119" s="50" t="str">
        <x:f>IF(111&gt;$H$4,"",IF(INDEX('Fleet dates'!$G$9:$G$1008,$I119-8)="","",INDEX('Fleet dates'!$G$9:$G$1008,$I119-8)))</x:f>
      </x:c>
      <x:c r="H119" s="50" t="str">
        <x:f>IF(111&gt;$H$4,"",IF(INDEX('Fleet dates'!$I$9:$I$1008,$I119-8)="","",INDEX('Fleet dates'!$I$9:$I$1008,$I119-8)))</x:f>
      </x:c>
      <x:c r="I119" t="str">
        <x:f>IF(111&gt;$H$4,"",MATCH(111,'Fleet dates'!$K$9:$K$1008,0)+8)</x:f>
      </x:c>
    </x:row>
    <x:row r="120" ht="36" customHeight="1">
      <x:c r="A120" s="50" t="str">
        <x:f>IF(112&gt;$H$4,"",IF(INDEX('Fleet dates'!$A$9:$A$1008,$I120-8)="","",INDEX('Fleet dates'!$A$9:$A$1008,$I120-8)))</x:f>
      </x:c>
      <x:c r="B120" s="50" t="str">
        <x:f>IF(112&gt;$H$4,"",IF(INDEX('Fleet dates'!$B$9:$B$1008,$I120-8)="","",INDEX('Fleet dates'!$B$9:$B$1008,$I120-8)))</x:f>
      </x:c>
      <x:c r="C120" s="51" t="str">
        <x:f>IF(112&gt;$H$4,"",IF(INDEX('Fleet dates'!$C$9:$C$1008,$I120-8)="","",INDEX('Fleet dates'!$C$9:$C$1008,$I120-8)))</x:f>
      </x:c>
      <x:c r="D120" s="51" t="str">
        <x:f>IF(112&gt;$H$4,"",IF(INDEX('Fleet dates'!$D$9:$D$1008,$I120-8)="","",INDEX('Fleet dates'!$D$9:$D$1008,$I120-8)))</x:f>
      </x:c>
      <x:c r="E120" s="51" t="str">
        <x:f>IF(112&gt;$H$4,"",IF(INDEX('Fleet dates'!$E$9:$E$1008,$I120-8)="","",INDEX('Fleet dates'!$E$9:$E$1008,$I120-8)))</x:f>
      </x:c>
      <x:c r="F120" s="51" t="str">
        <x:f>IF(112&gt;$H$4,"",IF(INDEX('Fleet dates'!$F$9:$F$1008,$I120-8)="","",INDEX('Fleet dates'!$F$9:$F$1008,$I120-8)))</x:f>
      </x:c>
      <x:c r="G120" s="50" t="str">
        <x:f>IF(112&gt;$H$4,"",IF(INDEX('Fleet dates'!$G$9:$G$1008,$I120-8)="","",INDEX('Fleet dates'!$G$9:$G$1008,$I120-8)))</x:f>
      </x:c>
      <x:c r="H120" s="50" t="str">
        <x:f>IF(112&gt;$H$4,"",IF(INDEX('Fleet dates'!$I$9:$I$1008,$I120-8)="","",INDEX('Fleet dates'!$I$9:$I$1008,$I120-8)))</x:f>
      </x:c>
      <x:c r="I120" t="str">
        <x:f>IF(112&gt;$H$4,"",MATCH(112,'Fleet dates'!$K$9:$K$1008,0)+8)</x:f>
      </x:c>
    </x:row>
    <x:row r="121" ht="36" customHeight="1">
      <x:c r="A121" s="50" t="str">
        <x:f>IF(113&gt;$H$4,"",IF(INDEX('Fleet dates'!$A$9:$A$1008,$I121-8)="","",INDEX('Fleet dates'!$A$9:$A$1008,$I121-8)))</x:f>
      </x:c>
      <x:c r="B121" s="50" t="str">
        <x:f>IF(113&gt;$H$4,"",IF(INDEX('Fleet dates'!$B$9:$B$1008,$I121-8)="","",INDEX('Fleet dates'!$B$9:$B$1008,$I121-8)))</x:f>
      </x:c>
      <x:c r="C121" s="51" t="str">
        <x:f>IF(113&gt;$H$4,"",IF(INDEX('Fleet dates'!$C$9:$C$1008,$I121-8)="","",INDEX('Fleet dates'!$C$9:$C$1008,$I121-8)))</x:f>
      </x:c>
      <x:c r="D121" s="51" t="str">
        <x:f>IF(113&gt;$H$4,"",IF(INDEX('Fleet dates'!$D$9:$D$1008,$I121-8)="","",INDEX('Fleet dates'!$D$9:$D$1008,$I121-8)))</x:f>
      </x:c>
      <x:c r="E121" s="51" t="str">
        <x:f>IF(113&gt;$H$4,"",IF(INDEX('Fleet dates'!$E$9:$E$1008,$I121-8)="","",INDEX('Fleet dates'!$E$9:$E$1008,$I121-8)))</x:f>
      </x:c>
      <x:c r="F121" s="51" t="str">
        <x:f>IF(113&gt;$H$4,"",IF(INDEX('Fleet dates'!$F$9:$F$1008,$I121-8)="","",INDEX('Fleet dates'!$F$9:$F$1008,$I121-8)))</x:f>
      </x:c>
      <x:c r="G121" s="50" t="str">
        <x:f>IF(113&gt;$H$4,"",IF(INDEX('Fleet dates'!$G$9:$G$1008,$I121-8)="","",INDEX('Fleet dates'!$G$9:$G$1008,$I121-8)))</x:f>
      </x:c>
      <x:c r="H121" s="50" t="str">
        <x:f>IF(113&gt;$H$4,"",IF(INDEX('Fleet dates'!$I$9:$I$1008,$I121-8)="","",INDEX('Fleet dates'!$I$9:$I$1008,$I121-8)))</x:f>
      </x:c>
      <x:c r="I121" t="str">
        <x:f>IF(113&gt;$H$4,"",MATCH(113,'Fleet dates'!$K$9:$K$1008,0)+8)</x:f>
      </x:c>
    </x:row>
    <x:row r="122" ht="36" customHeight="1">
      <x:c r="A122" s="50" t="str">
        <x:f>IF(114&gt;$H$4,"",IF(INDEX('Fleet dates'!$A$9:$A$1008,$I122-8)="","",INDEX('Fleet dates'!$A$9:$A$1008,$I122-8)))</x:f>
      </x:c>
      <x:c r="B122" s="50" t="str">
        <x:f>IF(114&gt;$H$4,"",IF(INDEX('Fleet dates'!$B$9:$B$1008,$I122-8)="","",INDEX('Fleet dates'!$B$9:$B$1008,$I122-8)))</x:f>
      </x:c>
      <x:c r="C122" s="51" t="str">
        <x:f>IF(114&gt;$H$4,"",IF(INDEX('Fleet dates'!$C$9:$C$1008,$I122-8)="","",INDEX('Fleet dates'!$C$9:$C$1008,$I122-8)))</x:f>
      </x:c>
      <x:c r="D122" s="51" t="str">
        <x:f>IF(114&gt;$H$4,"",IF(INDEX('Fleet dates'!$D$9:$D$1008,$I122-8)="","",INDEX('Fleet dates'!$D$9:$D$1008,$I122-8)))</x:f>
      </x:c>
      <x:c r="E122" s="51" t="str">
        <x:f>IF(114&gt;$H$4,"",IF(INDEX('Fleet dates'!$E$9:$E$1008,$I122-8)="","",INDEX('Fleet dates'!$E$9:$E$1008,$I122-8)))</x:f>
      </x:c>
      <x:c r="F122" s="51" t="str">
        <x:f>IF(114&gt;$H$4,"",IF(INDEX('Fleet dates'!$F$9:$F$1008,$I122-8)="","",INDEX('Fleet dates'!$F$9:$F$1008,$I122-8)))</x:f>
      </x:c>
      <x:c r="G122" s="50" t="str">
        <x:f>IF(114&gt;$H$4,"",IF(INDEX('Fleet dates'!$G$9:$G$1008,$I122-8)="","",INDEX('Fleet dates'!$G$9:$G$1008,$I122-8)))</x:f>
      </x:c>
      <x:c r="H122" s="50" t="str">
        <x:f>IF(114&gt;$H$4,"",IF(INDEX('Fleet dates'!$I$9:$I$1008,$I122-8)="","",INDEX('Fleet dates'!$I$9:$I$1008,$I122-8)))</x:f>
      </x:c>
      <x:c r="I122" t="str">
        <x:f>IF(114&gt;$H$4,"",MATCH(114,'Fleet dates'!$K$9:$K$1008,0)+8)</x:f>
      </x:c>
    </x:row>
    <x:row r="123" ht="36" customHeight="1">
      <x:c r="A123" s="50" t="str">
        <x:f>IF(115&gt;$H$4,"",IF(INDEX('Fleet dates'!$A$9:$A$1008,$I123-8)="","",INDEX('Fleet dates'!$A$9:$A$1008,$I123-8)))</x:f>
      </x:c>
      <x:c r="B123" s="50" t="str">
        <x:f>IF(115&gt;$H$4,"",IF(INDEX('Fleet dates'!$B$9:$B$1008,$I123-8)="","",INDEX('Fleet dates'!$B$9:$B$1008,$I123-8)))</x:f>
      </x:c>
      <x:c r="C123" s="51" t="str">
        <x:f>IF(115&gt;$H$4,"",IF(INDEX('Fleet dates'!$C$9:$C$1008,$I123-8)="","",INDEX('Fleet dates'!$C$9:$C$1008,$I123-8)))</x:f>
      </x:c>
      <x:c r="D123" s="51" t="str">
        <x:f>IF(115&gt;$H$4,"",IF(INDEX('Fleet dates'!$D$9:$D$1008,$I123-8)="","",INDEX('Fleet dates'!$D$9:$D$1008,$I123-8)))</x:f>
      </x:c>
      <x:c r="E123" s="51" t="str">
        <x:f>IF(115&gt;$H$4,"",IF(INDEX('Fleet dates'!$E$9:$E$1008,$I123-8)="","",INDEX('Fleet dates'!$E$9:$E$1008,$I123-8)))</x:f>
      </x:c>
      <x:c r="F123" s="51" t="str">
        <x:f>IF(115&gt;$H$4,"",IF(INDEX('Fleet dates'!$F$9:$F$1008,$I123-8)="","",INDEX('Fleet dates'!$F$9:$F$1008,$I123-8)))</x:f>
      </x:c>
      <x:c r="G123" s="50" t="str">
        <x:f>IF(115&gt;$H$4,"",IF(INDEX('Fleet dates'!$G$9:$G$1008,$I123-8)="","",INDEX('Fleet dates'!$G$9:$G$1008,$I123-8)))</x:f>
      </x:c>
      <x:c r="H123" s="50" t="str">
        <x:f>IF(115&gt;$H$4,"",IF(INDEX('Fleet dates'!$I$9:$I$1008,$I123-8)="","",INDEX('Fleet dates'!$I$9:$I$1008,$I123-8)))</x:f>
      </x:c>
      <x:c r="I123" t="str">
        <x:f>IF(115&gt;$H$4,"",MATCH(115,'Fleet dates'!$K$9:$K$1008,0)+8)</x:f>
      </x:c>
    </x:row>
    <x:row r="124" ht="36" customHeight="1">
      <x:c r="A124" s="50" t="str">
        <x:f>IF(116&gt;$H$4,"",IF(INDEX('Fleet dates'!$A$9:$A$1008,$I124-8)="","",INDEX('Fleet dates'!$A$9:$A$1008,$I124-8)))</x:f>
      </x:c>
      <x:c r="B124" s="50" t="str">
        <x:f>IF(116&gt;$H$4,"",IF(INDEX('Fleet dates'!$B$9:$B$1008,$I124-8)="","",INDEX('Fleet dates'!$B$9:$B$1008,$I124-8)))</x:f>
      </x:c>
      <x:c r="C124" s="51" t="str">
        <x:f>IF(116&gt;$H$4,"",IF(INDEX('Fleet dates'!$C$9:$C$1008,$I124-8)="","",INDEX('Fleet dates'!$C$9:$C$1008,$I124-8)))</x:f>
      </x:c>
      <x:c r="D124" s="51" t="str">
        <x:f>IF(116&gt;$H$4,"",IF(INDEX('Fleet dates'!$D$9:$D$1008,$I124-8)="","",INDEX('Fleet dates'!$D$9:$D$1008,$I124-8)))</x:f>
      </x:c>
      <x:c r="E124" s="51" t="str">
        <x:f>IF(116&gt;$H$4,"",IF(INDEX('Fleet dates'!$E$9:$E$1008,$I124-8)="","",INDEX('Fleet dates'!$E$9:$E$1008,$I124-8)))</x:f>
      </x:c>
      <x:c r="F124" s="51" t="str">
        <x:f>IF(116&gt;$H$4,"",IF(INDEX('Fleet dates'!$F$9:$F$1008,$I124-8)="","",INDEX('Fleet dates'!$F$9:$F$1008,$I124-8)))</x:f>
      </x:c>
      <x:c r="G124" s="50" t="str">
        <x:f>IF(116&gt;$H$4,"",IF(INDEX('Fleet dates'!$G$9:$G$1008,$I124-8)="","",INDEX('Fleet dates'!$G$9:$G$1008,$I124-8)))</x:f>
      </x:c>
      <x:c r="H124" s="50" t="str">
        <x:f>IF(116&gt;$H$4,"",IF(INDEX('Fleet dates'!$I$9:$I$1008,$I124-8)="","",INDEX('Fleet dates'!$I$9:$I$1008,$I124-8)))</x:f>
      </x:c>
      <x:c r="I124" t="str">
        <x:f>IF(116&gt;$H$4,"",MATCH(116,'Fleet dates'!$K$9:$K$1008,0)+8)</x:f>
      </x:c>
    </x:row>
    <x:row r="125" ht="36" customHeight="1">
      <x:c r="A125" s="50" t="str">
        <x:f>IF(117&gt;$H$4,"",IF(INDEX('Fleet dates'!$A$9:$A$1008,$I125-8)="","",INDEX('Fleet dates'!$A$9:$A$1008,$I125-8)))</x:f>
      </x:c>
      <x:c r="B125" s="50" t="str">
        <x:f>IF(117&gt;$H$4,"",IF(INDEX('Fleet dates'!$B$9:$B$1008,$I125-8)="","",INDEX('Fleet dates'!$B$9:$B$1008,$I125-8)))</x:f>
      </x:c>
      <x:c r="C125" s="51" t="str">
        <x:f>IF(117&gt;$H$4,"",IF(INDEX('Fleet dates'!$C$9:$C$1008,$I125-8)="","",INDEX('Fleet dates'!$C$9:$C$1008,$I125-8)))</x:f>
      </x:c>
      <x:c r="D125" s="51" t="str">
        <x:f>IF(117&gt;$H$4,"",IF(INDEX('Fleet dates'!$D$9:$D$1008,$I125-8)="","",INDEX('Fleet dates'!$D$9:$D$1008,$I125-8)))</x:f>
      </x:c>
      <x:c r="E125" s="51" t="str">
        <x:f>IF(117&gt;$H$4,"",IF(INDEX('Fleet dates'!$E$9:$E$1008,$I125-8)="","",INDEX('Fleet dates'!$E$9:$E$1008,$I125-8)))</x:f>
      </x:c>
      <x:c r="F125" s="51" t="str">
        <x:f>IF(117&gt;$H$4,"",IF(INDEX('Fleet dates'!$F$9:$F$1008,$I125-8)="","",INDEX('Fleet dates'!$F$9:$F$1008,$I125-8)))</x:f>
      </x:c>
      <x:c r="G125" s="50" t="str">
        <x:f>IF(117&gt;$H$4,"",IF(INDEX('Fleet dates'!$G$9:$G$1008,$I125-8)="","",INDEX('Fleet dates'!$G$9:$G$1008,$I125-8)))</x:f>
      </x:c>
      <x:c r="H125" s="50" t="str">
        <x:f>IF(117&gt;$H$4,"",IF(INDEX('Fleet dates'!$I$9:$I$1008,$I125-8)="","",INDEX('Fleet dates'!$I$9:$I$1008,$I125-8)))</x:f>
      </x:c>
      <x:c r="I125" t="str">
        <x:f>IF(117&gt;$H$4,"",MATCH(117,'Fleet dates'!$K$9:$K$1008,0)+8)</x:f>
      </x:c>
    </x:row>
    <x:row r="126" ht="36" customHeight="1">
      <x:c r="A126" s="50" t="str">
        <x:f>IF(118&gt;$H$4,"",IF(INDEX('Fleet dates'!$A$9:$A$1008,$I126-8)="","",INDEX('Fleet dates'!$A$9:$A$1008,$I126-8)))</x:f>
      </x:c>
      <x:c r="B126" s="50" t="str">
        <x:f>IF(118&gt;$H$4,"",IF(INDEX('Fleet dates'!$B$9:$B$1008,$I126-8)="","",INDEX('Fleet dates'!$B$9:$B$1008,$I126-8)))</x:f>
      </x:c>
      <x:c r="C126" s="51" t="str">
        <x:f>IF(118&gt;$H$4,"",IF(INDEX('Fleet dates'!$C$9:$C$1008,$I126-8)="","",INDEX('Fleet dates'!$C$9:$C$1008,$I126-8)))</x:f>
      </x:c>
      <x:c r="D126" s="51" t="str">
        <x:f>IF(118&gt;$H$4,"",IF(INDEX('Fleet dates'!$D$9:$D$1008,$I126-8)="","",INDEX('Fleet dates'!$D$9:$D$1008,$I126-8)))</x:f>
      </x:c>
      <x:c r="E126" s="51" t="str">
        <x:f>IF(118&gt;$H$4,"",IF(INDEX('Fleet dates'!$E$9:$E$1008,$I126-8)="","",INDEX('Fleet dates'!$E$9:$E$1008,$I126-8)))</x:f>
      </x:c>
      <x:c r="F126" s="51" t="str">
        <x:f>IF(118&gt;$H$4,"",IF(INDEX('Fleet dates'!$F$9:$F$1008,$I126-8)="","",INDEX('Fleet dates'!$F$9:$F$1008,$I126-8)))</x:f>
      </x:c>
      <x:c r="G126" s="50" t="str">
        <x:f>IF(118&gt;$H$4,"",IF(INDEX('Fleet dates'!$G$9:$G$1008,$I126-8)="","",INDEX('Fleet dates'!$G$9:$G$1008,$I126-8)))</x:f>
      </x:c>
      <x:c r="H126" s="50" t="str">
        <x:f>IF(118&gt;$H$4,"",IF(INDEX('Fleet dates'!$I$9:$I$1008,$I126-8)="","",INDEX('Fleet dates'!$I$9:$I$1008,$I126-8)))</x:f>
      </x:c>
      <x:c r="I126" t="str">
        <x:f>IF(118&gt;$H$4,"",MATCH(118,'Fleet dates'!$K$9:$K$1008,0)+8)</x:f>
      </x:c>
    </x:row>
    <x:row r="127" ht="36" customHeight="1">
      <x:c r="A127" s="50" t="str">
        <x:f>IF(119&gt;$H$4,"",IF(INDEX('Fleet dates'!$A$9:$A$1008,$I127-8)="","",INDEX('Fleet dates'!$A$9:$A$1008,$I127-8)))</x:f>
      </x:c>
      <x:c r="B127" s="50" t="str">
        <x:f>IF(119&gt;$H$4,"",IF(INDEX('Fleet dates'!$B$9:$B$1008,$I127-8)="","",INDEX('Fleet dates'!$B$9:$B$1008,$I127-8)))</x:f>
      </x:c>
      <x:c r="C127" s="51" t="str">
        <x:f>IF(119&gt;$H$4,"",IF(INDEX('Fleet dates'!$C$9:$C$1008,$I127-8)="","",INDEX('Fleet dates'!$C$9:$C$1008,$I127-8)))</x:f>
      </x:c>
      <x:c r="D127" s="51" t="str">
        <x:f>IF(119&gt;$H$4,"",IF(INDEX('Fleet dates'!$D$9:$D$1008,$I127-8)="","",INDEX('Fleet dates'!$D$9:$D$1008,$I127-8)))</x:f>
      </x:c>
      <x:c r="E127" s="51" t="str">
        <x:f>IF(119&gt;$H$4,"",IF(INDEX('Fleet dates'!$E$9:$E$1008,$I127-8)="","",INDEX('Fleet dates'!$E$9:$E$1008,$I127-8)))</x:f>
      </x:c>
      <x:c r="F127" s="51" t="str">
        <x:f>IF(119&gt;$H$4,"",IF(INDEX('Fleet dates'!$F$9:$F$1008,$I127-8)="","",INDEX('Fleet dates'!$F$9:$F$1008,$I127-8)))</x:f>
      </x:c>
      <x:c r="G127" s="50" t="str">
        <x:f>IF(119&gt;$H$4,"",IF(INDEX('Fleet dates'!$G$9:$G$1008,$I127-8)="","",INDEX('Fleet dates'!$G$9:$G$1008,$I127-8)))</x:f>
      </x:c>
      <x:c r="H127" s="50" t="str">
        <x:f>IF(119&gt;$H$4,"",IF(INDEX('Fleet dates'!$I$9:$I$1008,$I127-8)="","",INDEX('Fleet dates'!$I$9:$I$1008,$I127-8)))</x:f>
      </x:c>
      <x:c r="I127" t="str">
        <x:f>IF(119&gt;$H$4,"",MATCH(119,'Fleet dates'!$K$9:$K$1008,0)+8)</x:f>
      </x:c>
    </x:row>
    <x:row r="128" ht="36" customHeight="1">
      <x:c r="A128" s="50" t="str">
        <x:f>IF(120&gt;$H$4,"",IF(INDEX('Fleet dates'!$A$9:$A$1008,$I128-8)="","",INDEX('Fleet dates'!$A$9:$A$1008,$I128-8)))</x:f>
      </x:c>
      <x:c r="B128" s="50" t="str">
        <x:f>IF(120&gt;$H$4,"",IF(INDEX('Fleet dates'!$B$9:$B$1008,$I128-8)="","",INDEX('Fleet dates'!$B$9:$B$1008,$I128-8)))</x:f>
      </x:c>
      <x:c r="C128" s="51" t="str">
        <x:f>IF(120&gt;$H$4,"",IF(INDEX('Fleet dates'!$C$9:$C$1008,$I128-8)="","",INDEX('Fleet dates'!$C$9:$C$1008,$I128-8)))</x:f>
      </x:c>
      <x:c r="D128" s="51" t="str">
        <x:f>IF(120&gt;$H$4,"",IF(INDEX('Fleet dates'!$D$9:$D$1008,$I128-8)="","",INDEX('Fleet dates'!$D$9:$D$1008,$I128-8)))</x:f>
      </x:c>
      <x:c r="E128" s="51" t="str">
        <x:f>IF(120&gt;$H$4,"",IF(INDEX('Fleet dates'!$E$9:$E$1008,$I128-8)="","",INDEX('Fleet dates'!$E$9:$E$1008,$I128-8)))</x:f>
      </x:c>
      <x:c r="F128" s="51" t="str">
        <x:f>IF(120&gt;$H$4,"",IF(INDEX('Fleet dates'!$F$9:$F$1008,$I128-8)="","",INDEX('Fleet dates'!$F$9:$F$1008,$I128-8)))</x:f>
      </x:c>
      <x:c r="G128" s="50" t="str">
        <x:f>IF(120&gt;$H$4,"",IF(INDEX('Fleet dates'!$G$9:$G$1008,$I128-8)="","",INDEX('Fleet dates'!$G$9:$G$1008,$I128-8)))</x:f>
      </x:c>
      <x:c r="H128" s="50" t="str">
        <x:f>IF(120&gt;$H$4,"",IF(INDEX('Fleet dates'!$I$9:$I$1008,$I128-8)="","",INDEX('Fleet dates'!$I$9:$I$1008,$I128-8)))</x:f>
      </x:c>
      <x:c r="I128" t="str">
        <x:f>IF(120&gt;$H$4,"",MATCH(120,'Fleet dates'!$K$9:$K$1008,0)+8)</x:f>
      </x:c>
    </x:row>
    <x:row r="129" ht="36" customHeight="1">
      <x:c r="A129" s="50" t="str">
        <x:f>IF(121&gt;$H$4,"",IF(INDEX('Fleet dates'!$A$9:$A$1008,$I129-8)="","",INDEX('Fleet dates'!$A$9:$A$1008,$I129-8)))</x:f>
      </x:c>
      <x:c r="B129" s="50" t="str">
        <x:f>IF(121&gt;$H$4,"",IF(INDEX('Fleet dates'!$B$9:$B$1008,$I129-8)="","",INDEX('Fleet dates'!$B$9:$B$1008,$I129-8)))</x:f>
      </x:c>
      <x:c r="C129" s="51" t="str">
        <x:f>IF(121&gt;$H$4,"",IF(INDEX('Fleet dates'!$C$9:$C$1008,$I129-8)="","",INDEX('Fleet dates'!$C$9:$C$1008,$I129-8)))</x:f>
      </x:c>
      <x:c r="D129" s="51" t="str">
        <x:f>IF(121&gt;$H$4,"",IF(INDEX('Fleet dates'!$D$9:$D$1008,$I129-8)="","",INDEX('Fleet dates'!$D$9:$D$1008,$I129-8)))</x:f>
      </x:c>
      <x:c r="E129" s="51" t="str">
        <x:f>IF(121&gt;$H$4,"",IF(INDEX('Fleet dates'!$E$9:$E$1008,$I129-8)="","",INDEX('Fleet dates'!$E$9:$E$1008,$I129-8)))</x:f>
      </x:c>
      <x:c r="F129" s="51" t="str">
        <x:f>IF(121&gt;$H$4,"",IF(INDEX('Fleet dates'!$F$9:$F$1008,$I129-8)="","",INDEX('Fleet dates'!$F$9:$F$1008,$I129-8)))</x:f>
      </x:c>
      <x:c r="G129" s="50" t="str">
        <x:f>IF(121&gt;$H$4,"",IF(INDEX('Fleet dates'!$G$9:$G$1008,$I129-8)="","",INDEX('Fleet dates'!$G$9:$G$1008,$I129-8)))</x:f>
      </x:c>
      <x:c r="H129" s="50" t="str">
        <x:f>IF(121&gt;$H$4,"",IF(INDEX('Fleet dates'!$I$9:$I$1008,$I129-8)="","",INDEX('Fleet dates'!$I$9:$I$1008,$I129-8)))</x:f>
      </x:c>
      <x:c r="I129" t="str">
        <x:f>IF(121&gt;$H$4,"",MATCH(121,'Fleet dates'!$K$9:$K$1008,0)+8)</x:f>
      </x:c>
    </x:row>
    <x:row r="130" ht="36" customHeight="1">
      <x:c r="A130" s="50" t="str">
        <x:f>IF(122&gt;$H$4,"",IF(INDEX('Fleet dates'!$A$9:$A$1008,$I130-8)="","",INDEX('Fleet dates'!$A$9:$A$1008,$I130-8)))</x:f>
      </x:c>
      <x:c r="B130" s="50" t="str">
        <x:f>IF(122&gt;$H$4,"",IF(INDEX('Fleet dates'!$B$9:$B$1008,$I130-8)="","",INDEX('Fleet dates'!$B$9:$B$1008,$I130-8)))</x:f>
      </x:c>
      <x:c r="C130" s="51" t="str">
        <x:f>IF(122&gt;$H$4,"",IF(INDEX('Fleet dates'!$C$9:$C$1008,$I130-8)="","",INDEX('Fleet dates'!$C$9:$C$1008,$I130-8)))</x:f>
      </x:c>
      <x:c r="D130" s="51" t="str">
        <x:f>IF(122&gt;$H$4,"",IF(INDEX('Fleet dates'!$D$9:$D$1008,$I130-8)="","",INDEX('Fleet dates'!$D$9:$D$1008,$I130-8)))</x:f>
      </x:c>
      <x:c r="E130" s="51" t="str">
        <x:f>IF(122&gt;$H$4,"",IF(INDEX('Fleet dates'!$E$9:$E$1008,$I130-8)="","",INDEX('Fleet dates'!$E$9:$E$1008,$I130-8)))</x:f>
      </x:c>
      <x:c r="F130" s="51" t="str">
        <x:f>IF(122&gt;$H$4,"",IF(INDEX('Fleet dates'!$F$9:$F$1008,$I130-8)="","",INDEX('Fleet dates'!$F$9:$F$1008,$I130-8)))</x:f>
      </x:c>
      <x:c r="G130" s="50" t="str">
        <x:f>IF(122&gt;$H$4,"",IF(INDEX('Fleet dates'!$G$9:$G$1008,$I130-8)="","",INDEX('Fleet dates'!$G$9:$G$1008,$I130-8)))</x:f>
      </x:c>
      <x:c r="H130" s="50" t="str">
        <x:f>IF(122&gt;$H$4,"",IF(INDEX('Fleet dates'!$I$9:$I$1008,$I130-8)="","",INDEX('Fleet dates'!$I$9:$I$1008,$I130-8)))</x:f>
      </x:c>
      <x:c r="I130" t="str">
        <x:f>IF(122&gt;$H$4,"",MATCH(122,'Fleet dates'!$K$9:$K$1008,0)+8)</x:f>
      </x:c>
    </x:row>
    <x:row r="131" ht="36" customHeight="1">
      <x:c r="A131" s="50" t="str">
        <x:f>IF(123&gt;$H$4,"",IF(INDEX('Fleet dates'!$A$9:$A$1008,$I131-8)="","",INDEX('Fleet dates'!$A$9:$A$1008,$I131-8)))</x:f>
      </x:c>
      <x:c r="B131" s="50" t="str">
        <x:f>IF(123&gt;$H$4,"",IF(INDEX('Fleet dates'!$B$9:$B$1008,$I131-8)="","",INDEX('Fleet dates'!$B$9:$B$1008,$I131-8)))</x:f>
      </x:c>
      <x:c r="C131" s="51" t="str">
        <x:f>IF(123&gt;$H$4,"",IF(INDEX('Fleet dates'!$C$9:$C$1008,$I131-8)="","",INDEX('Fleet dates'!$C$9:$C$1008,$I131-8)))</x:f>
      </x:c>
      <x:c r="D131" s="51" t="str">
        <x:f>IF(123&gt;$H$4,"",IF(INDEX('Fleet dates'!$D$9:$D$1008,$I131-8)="","",INDEX('Fleet dates'!$D$9:$D$1008,$I131-8)))</x:f>
      </x:c>
      <x:c r="E131" s="51" t="str">
        <x:f>IF(123&gt;$H$4,"",IF(INDEX('Fleet dates'!$E$9:$E$1008,$I131-8)="","",INDEX('Fleet dates'!$E$9:$E$1008,$I131-8)))</x:f>
      </x:c>
      <x:c r="F131" s="51" t="str">
        <x:f>IF(123&gt;$H$4,"",IF(INDEX('Fleet dates'!$F$9:$F$1008,$I131-8)="","",INDEX('Fleet dates'!$F$9:$F$1008,$I131-8)))</x:f>
      </x:c>
      <x:c r="G131" s="50" t="str">
        <x:f>IF(123&gt;$H$4,"",IF(INDEX('Fleet dates'!$G$9:$G$1008,$I131-8)="","",INDEX('Fleet dates'!$G$9:$G$1008,$I131-8)))</x:f>
      </x:c>
      <x:c r="H131" s="50" t="str">
        <x:f>IF(123&gt;$H$4,"",IF(INDEX('Fleet dates'!$I$9:$I$1008,$I131-8)="","",INDEX('Fleet dates'!$I$9:$I$1008,$I131-8)))</x:f>
      </x:c>
      <x:c r="I131" t="str">
        <x:f>IF(123&gt;$H$4,"",MATCH(123,'Fleet dates'!$K$9:$K$1008,0)+8)</x:f>
      </x:c>
    </x:row>
    <x:row r="132" ht="36" customHeight="1">
      <x:c r="A132" s="50" t="str">
        <x:f>IF(124&gt;$H$4,"",IF(INDEX('Fleet dates'!$A$9:$A$1008,$I132-8)="","",INDEX('Fleet dates'!$A$9:$A$1008,$I132-8)))</x:f>
      </x:c>
      <x:c r="B132" s="50" t="str">
        <x:f>IF(124&gt;$H$4,"",IF(INDEX('Fleet dates'!$B$9:$B$1008,$I132-8)="","",INDEX('Fleet dates'!$B$9:$B$1008,$I132-8)))</x:f>
      </x:c>
      <x:c r="C132" s="51" t="str">
        <x:f>IF(124&gt;$H$4,"",IF(INDEX('Fleet dates'!$C$9:$C$1008,$I132-8)="","",INDEX('Fleet dates'!$C$9:$C$1008,$I132-8)))</x:f>
      </x:c>
      <x:c r="D132" s="51" t="str">
        <x:f>IF(124&gt;$H$4,"",IF(INDEX('Fleet dates'!$D$9:$D$1008,$I132-8)="","",INDEX('Fleet dates'!$D$9:$D$1008,$I132-8)))</x:f>
      </x:c>
      <x:c r="E132" s="51" t="str">
        <x:f>IF(124&gt;$H$4,"",IF(INDEX('Fleet dates'!$E$9:$E$1008,$I132-8)="","",INDEX('Fleet dates'!$E$9:$E$1008,$I132-8)))</x:f>
      </x:c>
      <x:c r="F132" s="51" t="str">
        <x:f>IF(124&gt;$H$4,"",IF(INDEX('Fleet dates'!$F$9:$F$1008,$I132-8)="","",INDEX('Fleet dates'!$F$9:$F$1008,$I132-8)))</x:f>
      </x:c>
      <x:c r="G132" s="50" t="str">
        <x:f>IF(124&gt;$H$4,"",IF(INDEX('Fleet dates'!$G$9:$G$1008,$I132-8)="","",INDEX('Fleet dates'!$G$9:$G$1008,$I132-8)))</x:f>
      </x:c>
      <x:c r="H132" s="50" t="str">
        <x:f>IF(124&gt;$H$4,"",IF(INDEX('Fleet dates'!$I$9:$I$1008,$I132-8)="","",INDEX('Fleet dates'!$I$9:$I$1008,$I132-8)))</x:f>
      </x:c>
      <x:c r="I132" t="str">
        <x:f>IF(124&gt;$H$4,"",MATCH(124,'Fleet dates'!$K$9:$K$1008,0)+8)</x:f>
      </x:c>
    </x:row>
    <x:row r="133" ht="36" customHeight="1">
      <x:c r="A133" s="50" t="str">
        <x:f>IF(125&gt;$H$4,"",IF(INDEX('Fleet dates'!$A$9:$A$1008,$I133-8)="","",INDEX('Fleet dates'!$A$9:$A$1008,$I133-8)))</x:f>
      </x:c>
      <x:c r="B133" s="50" t="str">
        <x:f>IF(125&gt;$H$4,"",IF(INDEX('Fleet dates'!$B$9:$B$1008,$I133-8)="","",INDEX('Fleet dates'!$B$9:$B$1008,$I133-8)))</x:f>
      </x:c>
      <x:c r="C133" s="51" t="str">
        <x:f>IF(125&gt;$H$4,"",IF(INDEX('Fleet dates'!$C$9:$C$1008,$I133-8)="","",INDEX('Fleet dates'!$C$9:$C$1008,$I133-8)))</x:f>
      </x:c>
      <x:c r="D133" s="51" t="str">
        <x:f>IF(125&gt;$H$4,"",IF(INDEX('Fleet dates'!$D$9:$D$1008,$I133-8)="","",INDEX('Fleet dates'!$D$9:$D$1008,$I133-8)))</x:f>
      </x:c>
      <x:c r="E133" s="51" t="str">
        <x:f>IF(125&gt;$H$4,"",IF(INDEX('Fleet dates'!$E$9:$E$1008,$I133-8)="","",INDEX('Fleet dates'!$E$9:$E$1008,$I133-8)))</x:f>
      </x:c>
      <x:c r="F133" s="51" t="str">
        <x:f>IF(125&gt;$H$4,"",IF(INDEX('Fleet dates'!$F$9:$F$1008,$I133-8)="","",INDEX('Fleet dates'!$F$9:$F$1008,$I133-8)))</x:f>
      </x:c>
      <x:c r="G133" s="50" t="str">
        <x:f>IF(125&gt;$H$4,"",IF(INDEX('Fleet dates'!$G$9:$G$1008,$I133-8)="","",INDEX('Fleet dates'!$G$9:$G$1008,$I133-8)))</x:f>
      </x:c>
      <x:c r="H133" s="50" t="str">
        <x:f>IF(125&gt;$H$4,"",IF(INDEX('Fleet dates'!$I$9:$I$1008,$I133-8)="","",INDEX('Fleet dates'!$I$9:$I$1008,$I133-8)))</x:f>
      </x:c>
      <x:c r="I133" t="str">
        <x:f>IF(125&gt;$H$4,"",MATCH(125,'Fleet dates'!$K$9:$K$1008,0)+8)</x:f>
      </x:c>
    </x:row>
    <x:row r="134" ht="36" customHeight="1">
      <x:c r="A134" s="50" t="str">
        <x:f>IF(126&gt;$H$4,"",IF(INDEX('Fleet dates'!$A$9:$A$1008,$I134-8)="","",INDEX('Fleet dates'!$A$9:$A$1008,$I134-8)))</x:f>
      </x:c>
      <x:c r="B134" s="50" t="str">
        <x:f>IF(126&gt;$H$4,"",IF(INDEX('Fleet dates'!$B$9:$B$1008,$I134-8)="","",INDEX('Fleet dates'!$B$9:$B$1008,$I134-8)))</x:f>
      </x:c>
      <x:c r="C134" s="51" t="str">
        <x:f>IF(126&gt;$H$4,"",IF(INDEX('Fleet dates'!$C$9:$C$1008,$I134-8)="","",INDEX('Fleet dates'!$C$9:$C$1008,$I134-8)))</x:f>
      </x:c>
      <x:c r="D134" s="51" t="str">
        <x:f>IF(126&gt;$H$4,"",IF(INDEX('Fleet dates'!$D$9:$D$1008,$I134-8)="","",INDEX('Fleet dates'!$D$9:$D$1008,$I134-8)))</x:f>
      </x:c>
      <x:c r="E134" s="51" t="str">
        <x:f>IF(126&gt;$H$4,"",IF(INDEX('Fleet dates'!$E$9:$E$1008,$I134-8)="","",INDEX('Fleet dates'!$E$9:$E$1008,$I134-8)))</x:f>
      </x:c>
      <x:c r="F134" s="51" t="str">
        <x:f>IF(126&gt;$H$4,"",IF(INDEX('Fleet dates'!$F$9:$F$1008,$I134-8)="","",INDEX('Fleet dates'!$F$9:$F$1008,$I134-8)))</x:f>
      </x:c>
      <x:c r="G134" s="50" t="str">
        <x:f>IF(126&gt;$H$4,"",IF(INDEX('Fleet dates'!$G$9:$G$1008,$I134-8)="","",INDEX('Fleet dates'!$G$9:$G$1008,$I134-8)))</x:f>
      </x:c>
      <x:c r="H134" s="50" t="str">
        <x:f>IF(126&gt;$H$4,"",IF(INDEX('Fleet dates'!$I$9:$I$1008,$I134-8)="","",INDEX('Fleet dates'!$I$9:$I$1008,$I134-8)))</x:f>
      </x:c>
      <x:c r="I134" t="str">
        <x:f>IF(126&gt;$H$4,"",MATCH(126,'Fleet dates'!$K$9:$K$1008,0)+8)</x:f>
      </x:c>
    </x:row>
    <x:row r="135" ht="36" customHeight="1">
      <x:c r="A135" s="50" t="str">
        <x:f>IF(127&gt;$H$4,"",IF(INDEX('Fleet dates'!$A$9:$A$1008,$I135-8)="","",INDEX('Fleet dates'!$A$9:$A$1008,$I135-8)))</x:f>
      </x:c>
      <x:c r="B135" s="50" t="str">
        <x:f>IF(127&gt;$H$4,"",IF(INDEX('Fleet dates'!$B$9:$B$1008,$I135-8)="","",INDEX('Fleet dates'!$B$9:$B$1008,$I135-8)))</x:f>
      </x:c>
      <x:c r="C135" s="51" t="str">
        <x:f>IF(127&gt;$H$4,"",IF(INDEX('Fleet dates'!$C$9:$C$1008,$I135-8)="","",INDEX('Fleet dates'!$C$9:$C$1008,$I135-8)))</x:f>
      </x:c>
      <x:c r="D135" s="51" t="str">
        <x:f>IF(127&gt;$H$4,"",IF(INDEX('Fleet dates'!$D$9:$D$1008,$I135-8)="","",INDEX('Fleet dates'!$D$9:$D$1008,$I135-8)))</x:f>
      </x:c>
      <x:c r="E135" s="51" t="str">
        <x:f>IF(127&gt;$H$4,"",IF(INDEX('Fleet dates'!$E$9:$E$1008,$I135-8)="","",INDEX('Fleet dates'!$E$9:$E$1008,$I135-8)))</x:f>
      </x:c>
      <x:c r="F135" s="51" t="str">
        <x:f>IF(127&gt;$H$4,"",IF(INDEX('Fleet dates'!$F$9:$F$1008,$I135-8)="","",INDEX('Fleet dates'!$F$9:$F$1008,$I135-8)))</x:f>
      </x:c>
      <x:c r="G135" s="50" t="str">
        <x:f>IF(127&gt;$H$4,"",IF(INDEX('Fleet dates'!$G$9:$G$1008,$I135-8)="","",INDEX('Fleet dates'!$G$9:$G$1008,$I135-8)))</x:f>
      </x:c>
      <x:c r="H135" s="50" t="str">
        <x:f>IF(127&gt;$H$4,"",IF(INDEX('Fleet dates'!$I$9:$I$1008,$I135-8)="","",INDEX('Fleet dates'!$I$9:$I$1008,$I135-8)))</x:f>
      </x:c>
      <x:c r="I135" t="str">
        <x:f>IF(127&gt;$H$4,"",MATCH(127,'Fleet dates'!$K$9:$K$1008,0)+8)</x:f>
      </x:c>
    </x:row>
    <x:row r="136" ht="36" customHeight="1">
      <x:c r="A136" s="50" t="str">
        <x:f>IF(128&gt;$H$4,"",IF(INDEX('Fleet dates'!$A$9:$A$1008,$I136-8)="","",INDEX('Fleet dates'!$A$9:$A$1008,$I136-8)))</x:f>
      </x:c>
      <x:c r="B136" s="50" t="str">
        <x:f>IF(128&gt;$H$4,"",IF(INDEX('Fleet dates'!$B$9:$B$1008,$I136-8)="","",INDEX('Fleet dates'!$B$9:$B$1008,$I136-8)))</x:f>
      </x:c>
      <x:c r="C136" s="51" t="str">
        <x:f>IF(128&gt;$H$4,"",IF(INDEX('Fleet dates'!$C$9:$C$1008,$I136-8)="","",INDEX('Fleet dates'!$C$9:$C$1008,$I136-8)))</x:f>
      </x:c>
      <x:c r="D136" s="51" t="str">
        <x:f>IF(128&gt;$H$4,"",IF(INDEX('Fleet dates'!$D$9:$D$1008,$I136-8)="","",INDEX('Fleet dates'!$D$9:$D$1008,$I136-8)))</x:f>
      </x:c>
      <x:c r="E136" s="51" t="str">
        <x:f>IF(128&gt;$H$4,"",IF(INDEX('Fleet dates'!$E$9:$E$1008,$I136-8)="","",INDEX('Fleet dates'!$E$9:$E$1008,$I136-8)))</x:f>
      </x:c>
      <x:c r="F136" s="51" t="str">
        <x:f>IF(128&gt;$H$4,"",IF(INDEX('Fleet dates'!$F$9:$F$1008,$I136-8)="","",INDEX('Fleet dates'!$F$9:$F$1008,$I136-8)))</x:f>
      </x:c>
      <x:c r="G136" s="50" t="str">
        <x:f>IF(128&gt;$H$4,"",IF(INDEX('Fleet dates'!$G$9:$G$1008,$I136-8)="","",INDEX('Fleet dates'!$G$9:$G$1008,$I136-8)))</x:f>
      </x:c>
      <x:c r="H136" s="50" t="str">
        <x:f>IF(128&gt;$H$4,"",IF(INDEX('Fleet dates'!$I$9:$I$1008,$I136-8)="","",INDEX('Fleet dates'!$I$9:$I$1008,$I136-8)))</x:f>
      </x:c>
      <x:c r="I136" t="str">
        <x:f>IF(128&gt;$H$4,"",MATCH(128,'Fleet dates'!$K$9:$K$1008,0)+8)</x:f>
      </x:c>
    </x:row>
    <x:row r="137" ht="36" customHeight="1">
      <x:c r="A137" s="50" t="str">
        <x:f>IF(129&gt;$H$4,"",IF(INDEX('Fleet dates'!$A$9:$A$1008,$I137-8)="","",INDEX('Fleet dates'!$A$9:$A$1008,$I137-8)))</x:f>
      </x:c>
      <x:c r="B137" s="50" t="str">
        <x:f>IF(129&gt;$H$4,"",IF(INDEX('Fleet dates'!$B$9:$B$1008,$I137-8)="","",INDEX('Fleet dates'!$B$9:$B$1008,$I137-8)))</x:f>
      </x:c>
      <x:c r="C137" s="51" t="str">
        <x:f>IF(129&gt;$H$4,"",IF(INDEX('Fleet dates'!$C$9:$C$1008,$I137-8)="","",INDEX('Fleet dates'!$C$9:$C$1008,$I137-8)))</x:f>
      </x:c>
      <x:c r="D137" s="51" t="str">
        <x:f>IF(129&gt;$H$4,"",IF(INDEX('Fleet dates'!$D$9:$D$1008,$I137-8)="","",INDEX('Fleet dates'!$D$9:$D$1008,$I137-8)))</x:f>
      </x:c>
      <x:c r="E137" s="51" t="str">
        <x:f>IF(129&gt;$H$4,"",IF(INDEX('Fleet dates'!$E$9:$E$1008,$I137-8)="","",INDEX('Fleet dates'!$E$9:$E$1008,$I137-8)))</x:f>
      </x:c>
      <x:c r="F137" s="51" t="str">
        <x:f>IF(129&gt;$H$4,"",IF(INDEX('Fleet dates'!$F$9:$F$1008,$I137-8)="","",INDEX('Fleet dates'!$F$9:$F$1008,$I137-8)))</x:f>
      </x:c>
      <x:c r="G137" s="50" t="str">
        <x:f>IF(129&gt;$H$4,"",IF(INDEX('Fleet dates'!$G$9:$G$1008,$I137-8)="","",INDEX('Fleet dates'!$G$9:$G$1008,$I137-8)))</x:f>
      </x:c>
      <x:c r="H137" s="50" t="str">
        <x:f>IF(129&gt;$H$4,"",IF(INDEX('Fleet dates'!$I$9:$I$1008,$I137-8)="","",INDEX('Fleet dates'!$I$9:$I$1008,$I137-8)))</x:f>
      </x:c>
      <x:c r="I137" t="str">
        <x:f>IF(129&gt;$H$4,"",MATCH(129,'Fleet dates'!$K$9:$K$1008,0)+8)</x:f>
      </x:c>
    </x:row>
    <x:row r="138" ht="36" customHeight="1">
      <x:c r="A138" s="50" t="str">
        <x:f>IF(130&gt;$H$4,"",IF(INDEX('Fleet dates'!$A$9:$A$1008,$I138-8)="","",INDEX('Fleet dates'!$A$9:$A$1008,$I138-8)))</x:f>
      </x:c>
      <x:c r="B138" s="50" t="str">
        <x:f>IF(130&gt;$H$4,"",IF(INDEX('Fleet dates'!$B$9:$B$1008,$I138-8)="","",INDEX('Fleet dates'!$B$9:$B$1008,$I138-8)))</x:f>
      </x:c>
      <x:c r="C138" s="51" t="str">
        <x:f>IF(130&gt;$H$4,"",IF(INDEX('Fleet dates'!$C$9:$C$1008,$I138-8)="","",INDEX('Fleet dates'!$C$9:$C$1008,$I138-8)))</x:f>
      </x:c>
      <x:c r="D138" s="51" t="str">
        <x:f>IF(130&gt;$H$4,"",IF(INDEX('Fleet dates'!$D$9:$D$1008,$I138-8)="","",INDEX('Fleet dates'!$D$9:$D$1008,$I138-8)))</x:f>
      </x:c>
      <x:c r="E138" s="51" t="str">
        <x:f>IF(130&gt;$H$4,"",IF(INDEX('Fleet dates'!$E$9:$E$1008,$I138-8)="","",INDEX('Fleet dates'!$E$9:$E$1008,$I138-8)))</x:f>
      </x:c>
      <x:c r="F138" s="51" t="str">
        <x:f>IF(130&gt;$H$4,"",IF(INDEX('Fleet dates'!$F$9:$F$1008,$I138-8)="","",INDEX('Fleet dates'!$F$9:$F$1008,$I138-8)))</x:f>
      </x:c>
      <x:c r="G138" s="50" t="str">
        <x:f>IF(130&gt;$H$4,"",IF(INDEX('Fleet dates'!$G$9:$G$1008,$I138-8)="","",INDEX('Fleet dates'!$G$9:$G$1008,$I138-8)))</x:f>
      </x:c>
      <x:c r="H138" s="50" t="str">
        <x:f>IF(130&gt;$H$4,"",IF(INDEX('Fleet dates'!$I$9:$I$1008,$I138-8)="","",INDEX('Fleet dates'!$I$9:$I$1008,$I138-8)))</x:f>
      </x:c>
      <x:c r="I138" t="str">
        <x:f>IF(130&gt;$H$4,"",MATCH(130,'Fleet dates'!$K$9:$K$1008,0)+8)</x:f>
      </x:c>
    </x:row>
    <x:row r="139" ht="36" customHeight="1">
      <x:c r="A139" s="50" t="str">
        <x:f>IF(131&gt;$H$4,"",IF(INDEX('Fleet dates'!$A$9:$A$1008,$I139-8)="","",INDEX('Fleet dates'!$A$9:$A$1008,$I139-8)))</x:f>
      </x:c>
      <x:c r="B139" s="50" t="str">
        <x:f>IF(131&gt;$H$4,"",IF(INDEX('Fleet dates'!$B$9:$B$1008,$I139-8)="","",INDEX('Fleet dates'!$B$9:$B$1008,$I139-8)))</x:f>
      </x:c>
      <x:c r="C139" s="51" t="str">
        <x:f>IF(131&gt;$H$4,"",IF(INDEX('Fleet dates'!$C$9:$C$1008,$I139-8)="","",INDEX('Fleet dates'!$C$9:$C$1008,$I139-8)))</x:f>
      </x:c>
      <x:c r="D139" s="51" t="str">
        <x:f>IF(131&gt;$H$4,"",IF(INDEX('Fleet dates'!$D$9:$D$1008,$I139-8)="","",INDEX('Fleet dates'!$D$9:$D$1008,$I139-8)))</x:f>
      </x:c>
      <x:c r="E139" s="51" t="str">
        <x:f>IF(131&gt;$H$4,"",IF(INDEX('Fleet dates'!$E$9:$E$1008,$I139-8)="","",INDEX('Fleet dates'!$E$9:$E$1008,$I139-8)))</x:f>
      </x:c>
      <x:c r="F139" s="51" t="str">
        <x:f>IF(131&gt;$H$4,"",IF(INDEX('Fleet dates'!$F$9:$F$1008,$I139-8)="","",INDEX('Fleet dates'!$F$9:$F$1008,$I139-8)))</x:f>
      </x:c>
      <x:c r="G139" s="50" t="str">
        <x:f>IF(131&gt;$H$4,"",IF(INDEX('Fleet dates'!$G$9:$G$1008,$I139-8)="","",INDEX('Fleet dates'!$G$9:$G$1008,$I139-8)))</x:f>
      </x:c>
      <x:c r="H139" s="50" t="str">
        <x:f>IF(131&gt;$H$4,"",IF(INDEX('Fleet dates'!$I$9:$I$1008,$I139-8)="","",INDEX('Fleet dates'!$I$9:$I$1008,$I139-8)))</x:f>
      </x:c>
      <x:c r="I139" t="str">
        <x:f>IF(131&gt;$H$4,"",MATCH(131,'Fleet dates'!$K$9:$K$1008,0)+8)</x:f>
      </x:c>
    </x:row>
    <x:row r="140" ht="36" customHeight="1">
      <x:c r="A140" s="50" t="str">
        <x:f>IF(132&gt;$H$4,"",IF(INDEX('Fleet dates'!$A$9:$A$1008,$I140-8)="","",INDEX('Fleet dates'!$A$9:$A$1008,$I140-8)))</x:f>
      </x:c>
      <x:c r="B140" s="50" t="str">
        <x:f>IF(132&gt;$H$4,"",IF(INDEX('Fleet dates'!$B$9:$B$1008,$I140-8)="","",INDEX('Fleet dates'!$B$9:$B$1008,$I140-8)))</x:f>
      </x:c>
      <x:c r="C140" s="51" t="str">
        <x:f>IF(132&gt;$H$4,"",IF(INDEX('Fleet dates'!$C$9:$C$1008,$I140-8)="","",INDEX('Fleet dates'!$C$9:$C$1008,$I140-8)))</x:f>
      </x:c>
      <x:c r="D140" s="51" t="str">
        <x:f>IF(132&gt;$H$4,"",IF(INDEX('Fleet dates'!$D$9:$D$1008,$I140-8)="","",INDEX('Fleet dates'!$D$9:$D$1008,$I140-8)))</x:f>
      </x:c>
      <x:c r="E140" s="51" t="str">
        <x:f>IF(132&gt;$H$4,"",IF(INDEX('Fleet dates'!$E$9:$E$1008,$I140-8)="","",INDEX('Fleet dates'!$E$9:$E$1008,$I140-8)))</x:f>
      </x:c>
      <x:c r="F140" s="51" t="str">
        <x:f>IF(132&gt;$H$4,"",IF(INDEX('Fleet dates'!$F$9:$F$1008,$I140-8)="","",INDEX('Fleet dates'!$F$9:$F$1008,$I140-8)))</x:f>
      </x:c>
      <x:c r="G140" s="50" t="str">
        <x:f>IF(132&gt;$H$4,"",IF(INDEX('Fleet dates'!$G$9:$G$1008,$I140-8)="","",INDEX('Fleet dates'!$G$9:$G$1008,$I140-8)))</x:f>
      </x:c>
      <x:c r="H140" s="50" t="str">
        <x:f>IF(132&gt;$H$4,"",IF(INDEX('Fleet dates'!$I$9:$I$1008,$I140-8)="","",INDEX('Fleet dates'!$I$9:$I$1008,$I140-8)))</x:f>
      </x:c>
      <x:c r="I140" t="str">
        <x:f>IF(132&gt;$H$4,"",MATCH(132,'Fleet dates'!$K$9:$K$1008,0)+8)</x:f>
      </x:c>
    </x:row>
    <x:row r="141" ht="36" customHeight="1">
      <x:c r="A141" s="50" t="str">
        <x:f>IF(133&gt;$H$4,"",IF(INDEX('Fleet dates'!$A$9:$A$1008,$I141-8)="","",INDEX('Fleet dates'!$A$9:$A$1008,$I141-8)))</x:f>
      </x:c>
      <x:c r="B141" s="50" t="str">
        <x:f>IF(133&gt;$H$4,"",IF(INDEX('Fleet dates'!$B$9:$B$1008,$I141-8)="","",INDEX('Fleet dates'!$B$9:$B$1008,$I141-8)))</x:f>
      </x:c>
      <x:c r="C141" s="51" t="str">
        <x:f>IF(133&gt;$H$4,"",IF(INDEX('Fleet dates'!$C$9:$C$1008,$I141-8)="","",INDEX('Fleet dates'!$C$9:$C$1008,$I141-8)))</x:f>
      </x:c>
      <x:c r="D141" s="51" t="str">
        <x:f>IF(133&gt;$H$4,"",IF(INDEX('Fleet dates'!$D$9:$D$1008,$I141-8)="","",INDEX('Fleet dates'!$D$9:$D$1008,$I141-8)))</x:f>
      </x:c>
      <x:c r="E141" s="51" t="str">
        <x:f>IF(133&gt;$H$4,"",IF(INDEX('Fleet dates'!$E$9:$E$1008,$I141-8)="","",INDEX('Fleet dates'!$E$9:$E$1008,$I141-8)))</x:f>
      </x:c>
      <x:c r="F141" s="51" t="str">
        <x:f>IF(133&gt;$H$4,"",IF(INDEX('Fleet dates'!$F$9:$F$1008,$I141-8)="","",INDEX('Fleet dates'!$F$9:$F$1008,$I141-8)))</x:f>
      </x:c>
      <x:c r="G141" s="50" t="str">
        <x:f>IF(133&gt;$H$4,"",IF(INDEX('Fleet dates'!$G$9:$G$1008,$I141-8)="","",INDEX('Fleet dates'!$G$9:$G$1008,$I141-8)))</x:f>
      </x:c>
      <x:c r="H141" s="50" t="str">
        <x:f>IF(133&gt;$H$4,"",IF(INDEX('Fleet dates'!$I$9:$I$1008,$I141-8)="","",INDEX('Fleet dates'!$I$9:$I$1008,$I141-8)))</x:f>
      </x:c>
      <x:c r="I141" t="str">
        <x:f>IF(133&gt;$H$4,"",MATCH(133,'Fleet dates'!$K$9:$K$1008,0)+8)</x:f>
      </x:c>
    </x:row>
    <x:row r="142" ht="36" customHeight="1">
      <x:c r="A142" s="50" t="str">
        <x:f>IF(134&gt;$H$4,"",IF(INDEX('Fleet dates'!$A$9:$A$1008,$I142-8)="","",INDEX('Fleet dates'!$A$9:$A$1008,$I142-8)))</x:f>
      </x:c>
      <x:c r="B142" s="50" t="str">
        <x:f>IF(134&gt;$H$4,"",IF(INDEX('Fleet dates'!$B$9:$B$1008,$I142-8)="","",INDEX('Fleet dates'!$B$9:$B$1008,$I142-8)))</x:f>
      </x:c>
      <x:c r="C142" s="51" t="str">
        <x:f>IF(134&gt;$H$4,"",IF(INDEX('Fleet dates'!$C$9:$C$1008,$I142-8)="","",INDEX('Fleet dates'!$C$9:$C$1008,$I142-8)))</x:f>
      </x:c>
      <x:c r="D142" s="51" t="str">
        <x:f>IF(134&gt;$H$4,"",IF(INDEX('Fleet dates'!$D$9:$D$1008,$I142-8)="","",INDEX('Fleet dates'!$D$9:$D$1008,$I142-8)))</x:f>
      </x:c>
      <x:c r="E142" s="51" t="str">
        <x:f>IF(134&gt;$H$4,"",IF(INDEX('Fleet dates'!$E$9:$E$1008,$I142-8)="","",INDEX('Fleet dates'!$E$9:$E$1008,$I142-8)))</x:f>
      </x:c>
      <x:c r="F142" s="51" t="str">
        <x:f>IF(134&gt;$H$4,"",IF(INDEX('Fleet dates'!$F$9:$F$1008,$I142-8)="","",INDEX('Fleet dates'!$F$9:$F$1008,$I142-8)))</x:f>
      </x:c>
      <x:c r="G142" s="50" t="str">
        <x:f>IF(134&gt;$H$4,"",IF(INDEX('Fleet dates'!$G$9:$G$1008,$I142-8)="","",INDEX('Fleet dates'!$G$9:$G$1008,$I142-8)))</x:f>
      </x:c>
      <x:c r="H142" s="50" t="str">
        <x:f>IF(134&gt;$H$4,"",IF(INDEX('Fleet dates'!$I$9:$I$1008,$I142-8)="","",INDEX('Fleet dates'!$I$9:$I$1008,$I142-8)))</x:f>
      </x:c>
      <x:c r="I142" t="str">
        <x:f>IF(134&gt;$H$4,"",MATCH(134,'Fleet dates'!$K$9:$K$1008,0)+8)</x:f>
      </x:c>
    </x:row>
    <x:row r="143" ht="36" customHeight="1">
      <x:c r="A143" s="50" t="str">
        <x:f>IF(135&gt;$H$4,"",IF(INDEX('Fleet dates'!$A$9:$A$1008,$I143-8)="","",INDEX('Fleet dates'!$A$9:$A$1008,$I143-8)))</x:f>
      </x:c>
      <x:c r="B143" s="50" t="str">
        <x:f>IF(135&gt;$H$4,"",IF(INDEX('Fleet dates'!$B$9:$B$1008,$I143-8)="","",INDEX('Fleet dates'!$B$9:$B$1008,$I143-8)))</x:f>
      </x:c>
      <x:c r="C143" s="51" t="str">
        <x:f>IF(135&gt;$H$4,"",IF(INDEX('Fleet dates'!$C$9:$C$1008,$I143-8)="","",INDEX('Fleet dates'!$C$9:$C$1008,$I143-8)))</x:f>
      </x:c>
      <x:c r="D143" s="51" t="str">
        <x:f>IF(135&gt;$H$4,"",IF(INDEX('Fleet dates'!$D$9:$D$1008,$I143-8)="","",INDEX('Fleet dates'!$D$9:$D$1008,$I143-8)))</x:f>
      </x:c>
      <x:c r="E143" s="51" t="str">
        <x:f>IF(135&gt;$H$4,"",IF(INDEX('Fleet dates'!$E$9:$E$1008,$I143-8)="","",INDEX('Fleet dates'!$E$9:$E$1008,$I143-8)))</x:f>
      </x:c>
      <x:c r="F143" s="51" t="str">
        <x:f>IF(135&gt;$H$4,"",IF(INDEX('Fleet dates'!$F$9:$F$1008,$I143-8)="","",INDEX('Fleet dates'!$F$9:$F$1008,$I143-8)))</x:f>
      </x:c>
      <x:c r="G143" s="50" t="str">
        <x:f>IF(135&gt;$H$4,"",IF(INDEX('Fleet dates'!$G$9:$G$1008,$I143-8)="","",INDEX('Fleet dates'!$G$9:$G$1008,$I143-8)))</x:f>
      </x:c>
      <x:c r="H143" s="50" t="str">
        <x:f>IF(135&gt;$H$4,"",IF(INDEX('Fleet dates'!$I$9:$I$1008,$I143-8)="","",INDEX('Fleet dates'!$I$9:$I$1008,$I143-8)))</x:f>
      </x:c>
      <x:c r="I143" t="str">
        <x:f>IF(135&gt;$H$4,"",MATCH(135,'Fleet dates'!$K$9:$K$1008,0)+8)</x:f>
      </x:c>
    </x:row>
    <x:row r="144" ht="36" customHeight="1">
      <x:c r="A144" s="50" t="str">
        <x:f>IF(136&gt;$H$4,"",IF(INDEX('Fleet dates'!$A$9:$A$1008,$I144-8)="","",INDEX('Fleet dates'!$A$9:$A$1008,$I144-8)))</x:f>
      </x:c>
      <x:c r="B144" s="50" t="str">
        <x:f>IF(136&gt;$H$4,"",IF(INDEX('Fleet dates'!$B$9:$B$1008,$I144-8)="","",INDEX('Fleet dates'!$B$9:$B$1008,$I144-8)))</x:f>
      </x:c>
      <x:c r="C144" s="51" t="str">
        <x:f>IF(136&gt;$H$4,"",IF(INDEX('Fleet dates'!$C$9:$C$1008,$I144-8)="","",INDEX('Fleet dates'!$C$9:$C$1008,$I144-8)))</x:f>
      </x:c>
      <x:c r="D144" s="51" t="str">
        <x:f>IF(136&gt;$H$4,"",IF(INDEX('Fleet dates'!$D$9:$D$1008,$I144-8)="","",INDEX('Fleet dates'!$D$9:$D$1008,$I144-8)))</x:f>
      </x:c>
      <x:c r="E144" s="51" t="str">
        <x:f>IF(136&gt;$H$4,"",IF(INDEX('Fleet dates'!$E$9:$E$1008,$I144-8)="","",INDEX('Fleet dates'!$E$9:$E$1008,$I144-8)))</x:f>
      </x:c>
      <x:c r="F144" s="51" t="str">
        <x:f>IF(136&gt;$H$4,"",IF(INDEX('Fleet dates'!$F$9:$F$1008,$I144-8)="","",INDEX('Fleet dates'!$F$9:$F$1008,$I144-8)))</x:f>
      </x:c>
      <x:c r="G144" s="50" t="str">
        <x:f>IF(136&gt;$H$4,"",IF(INDEX('Fleet dates'!$G$9:$G$1008,$I144-8)="","",INDEX('Fleet dates'!$G$9:$G$1008,$I144-8)))</x:f>
      </x:c>
      <x:c r="H144" s="50" t="str">
        <x:f>IF(136&gt;$H$4,"",IF(INDEX('Fleet dates'!$I$9:$I$1008,$I144-8)="","",INDEX('Fleet dates'!$I$9:$I$1008,$I144-8)))</x:f>
      </x:c>
      <x:c r="I144" t="str">
        <x:f>IF(136&gt;$H$4,"",MATCH(136,'Fleet dates'!$K$9:$K$1008,0)+8)</x:f>
      </x:c>
    </x:row>
    <x:row r="145" ht="36" customHeight="1">
      <x:c r="A145" s="50" t="str">
        <x:f>IF(137&gt;$H$4,"",IF(INDEX('Fleet dates'!$A$9:$A$1008,$I145-8)="","",INDEX('Fleet dates'!$A$9:$A$1008,$I145-8)))</x:f>
      </x:c>
      <x:c r="B145" s="50" t="str">
        <x:f>IF(137&gt;$H$4,"",IF(INDEX('Fleet dates'!$B$9:$B$1008,$I145-8)="","",INDEX('Fleet dates'!$B$9:$B$1008,$I145-8)))</x:f>
      </x:c>
      <x:c r="C145" s="51" t="str">
        <x:f>IF(137&gt;$H$4,"",IF(INDEX('Fleet dates'!$C$9:$C$1008,$I145-8)="","",INDEX('Fleet dates'!$C$9:$C$1008,$I145-8)))</x:f>
      </x:c>
      <x:c r="D145" s="51" t="str">
        <x:f>IF(137&gt;$H$4,"",IF(INDEX('Fleet dates'!$D$9:$D$1008,$I145-8)="","",INDEX('Fleet dates'!$D$9:$D$1008,$I145-8)))</x:f>
      </x:c>
      <x:c r="E145" s="51" t="str">
        <x:f>IF(137&gt;$H$4,"",IF(INDEX('Fleet dates'!$E$9:$E$1008,$I145-8)="","",INDEX('Fleet dates'!$E$9:$E$1008,$I145-8)))</x:f>
      </x:c>
      <x:c r="F145" s="51" t="str">
        <x:f>IF(137&gt;$H$4,"",IF(INDEX('Fleet dates'!$F$9:$F$1008,$I145-8)="","",INDEX('Fleet dates'!$F$9:$F$1008,$I145-8)))</x:f>
      </x:c>
      <x:c r="G145" s="50" t="str">
        <x:f>IF(137&gt;$H$4,"",IF(INDEX('Fleet dates'!$G$9:$G$1008,$I145-8)="","",INDEX('Fleet dates'!$G$9:$G$1008,$I145-8)))</x:f>
      </x:c>
      <x:c r="H145" s="50" t="str">
        <x:f>IF(137&gt;$H$4,"",IF(INDEX('Fleet dates'!$I$9:$I$1008,$I145-8)="","",INDEX('Fleet dates'!$I$9:$I$1008,$I145-8)))</x:f>
      </x:c>
      <x:c r="I145" t="str">
        <x:f>IF(137&gt;$H$4,"",MATCH(137,'Fleet dates'!$K$9:$K$1008,0)+8)</x:f>
      </x:c>
    </x:row>
    <x:row r="146" ht="36" customHeight="1">
      <x:c r="A146" s="50" t="str">
        <x:f>IF(138&gt;$H$4,"",IF(INDEX('Fleet dates'!$A$9:$A$1008,$I146-8)="","",INDEX('Fleet dates'!$A$9:$A$1008,$I146-8)))</x:f>
      </x:c>
      <x:c r="B146" s="50" t="str">
        <x:f>IF(138&gt;$H$4,"",IF(INDEX('Fleet dates'!$B$9:$B$1008,$I146-8)="","",INDEX('Fleet dates'!$B$9:$B$1008,$I146-8)))</x:f>
      </x:c>
      <x:c r="C146" s="51" t="str">
        <x:f>IF(138&gt;$H$4,"",IF(INDEX('Fleet dates'!$C$9:$C$1008,$I146-8)="","",INDEX('Fleet dates'!$C$9:$C$1008,$I146-8)))</x:f>
      </x:c>
      <x:c r="D146" s="51" t="str">
        <x:f>IF(138&gt;$H$4,"",IF(INDEX('Fleet dates'!$D$9:$D$1008,$I146-8)="","",INDEX('Fleet dates'!$D$9:$D$1008,$I146-8)))</x:f>
      </x:c>
      <x:c r="E146" s="51" t="str">
        <x:f>IF(138&gt;$H$4,"",IF(INDEX('Fleet dates'!$E$9:$E$1008,$I146-8)="","",INDEX('Fleet dates'!$E$9:$E$1008,$I146-8)))</x:f>
      </x:c>
      <x:c r="F146" s="51" t="str">
        <x:f>IF(138&gt;$H$4,"",IF(INDEX('Fleet dates'!$F$9:$F$1008,$I146-8)="","",INDEX('Fleet dates'!$F$9:$F$1008,$I146-8)))</x:f>
      </x:c>
      <x:c r="G146" s="50" t="str">
        <x:f>IF(138&gt;$H$4,"",IF(INDEX('Fleet dates'!$G$9:$G$1008,$I146-8)="","",INDEX('Fleet dates'!$G$9:$G$1008,$I146-8)))</x:f>
      </x:c>
      <x:c r="H146" s="50" t="str">
        <x:f>IF(138&gt;$H$4,"",IF(INDEX('Fleet dates'!$I$9:$I$1008,$I146-8)="","",INDEX('Fleet dates'!$I$9:$I$1008,$I146-8)))</x:f>
      </x:c>
      <x:c r="I146" t="str">
        <x:f>IF(138&gt;$H$4,"",MATCH(138,'Fleet dates'!$K$9:$K$1008,0)+8)</x:f>
      </x:c>
    </x:row>
    <x:row r="147" ht="36" customHeight="1">
      <x:c r="A147" s="50" t="str">
        <x:f>IF(139&gt;$H$4,"",IF(INDEX('Fleet dates'!$A$9:$A$1008,$I147-8)="","",INDEX('Fleet dates'!$A$9:$A$1008,$I147-8)))</x:f>
      </x:c>
      <x:c r="B147" s="50" t="str">
        <x:f>IF(139&gt;$H$4,"",IF(INDEX('Fleet dates'!$B$9:$B$1008,$I147-8)="","",INDEX('Fleet dates'!$B$9:$B$1008,$I147-8)))</x:f>
      </x:c>
      <x:c r="C147" s="51" t="str">
        <x:f>IF(139&gt;$H$4,"",IF(INDEX('Fleet dates'!$C$9:$C$1008,$I147-8)="","",INDEX('Fleet dates'!$C$9:$C$1008,$I147-8)))</x:f>
      </x:c>
      <x:c r="D147" s="51" t="str">
        <x:f>IF(139&gt;$H$4,"",IF(INDEX('Fleet dates'!$D$9:$D$1008,$I147-8)="","",INDEX('Fleet dates'!$D$9:$D$1008,$I147-8)))</x:f>
      </x:c>
      <x:c r="E147" s="51" t="str">
        <x:f>IF(139&gt;$H$4,"",IF(INDEX('Fleet dates'!$E$9:$E$1008,$I147-8)="","",INDEX('Fleet dates'!$E$9:$E$1008,$I147-8)))</x:f>
      </x:c>
      <x:c r="F147" s="51" t="str">
        <x:f>IF(139&gt;$H$4,"",IF(INDEX('Fleet dates'!$F$9:$F$1008,$I147-8)="","",INDEX('Fleet dates'!$F$9:$F$1008,$I147-8)))</x:f>
      </x:c>
      <x:c r="G147" s="50" t="str">
        <x:f>IF(139&gt;$H$4,"",IF(INDEX('Fleet dates'!$G$9:$G$1008,$I147-8)="","",INDEX('Fleet dates'!$G$9:$G$1008,$I147-8)))</x:f>
      </x:c>
      <x:c r="H147" s="50" t="str">
        <x:f>IF(139&gt;$H$4,"",IF(INDEX('Fleet dates'!$I$9:$I$1008,$I147-8)="","",INDEX('Fleet dates'!$I$9:$I$1008,$I147-8)))</x:f>
      </x:c>
      <x:c r="I147" t="str">
        <x:f>IF(139&gt;$H$4,"",MATCH(139,'Fleet dates'!$K$9:$K$1008,0)+8)</x:f>
      </x:c>
    </x:row>
    <x:row r="148" ht="36" customHeight="1">
      <x:c r="A148" s="50" t="str">
        <x:f>IF(140&gt;$H$4,"",IF(INDEX('Fleet dates'!$A$9:$A$1008,$I148-8)="","",INDEX('Fleet dates'!$A$9:$A$1008,$I148-8)))</x:f>
      </x:c>
      <x:c r="B148" s="50" t="str">
        <x:f>IF(140&gt;$H$4,"",IF(INDEX('Fleet dates'!$B$9:$B$1008,$I148-8)="","",INDEX('Fleet dates'!$B$9:$B$1008,$I148-8)))</x:f>
      </x:c>
      <x:c r="C148" s="51" t="str">
        <x:f>IF(140&gt;$H$4,"",IF(INDEX('Fleet dates'!$C$9:$C$1008,$I148-8)="","",INDEX('Fleet dates'!$C$9:$C$1008,$I148-8)))</x:f>
      </x:c>
      <x:c r="D148" s="51" t="str">
        <x:f>IF(140&gt;$H$4,"",IF(INDEX('Fleet dates'!$D$9:$D$1008,$I148-8)="","",INDEX('Fleet dates'!$D$9:$D$1008,$I148-8)))</x:f>
      </x:c>
      <x:c r="E148" s="51" t="str">
        <x:f>IF(140&gt;$H$4,"",IF(INDEX('Fleet dates'!$E$9:$E$1008,$I148-8)="","",INDEX('Fleet dates'!$E$9:$E$1008,$I148-8)))</x:f>
      </x:c>
      <x:c r="F148" s="51" t="str">
        <x:f>IF(140&gt;$H$4,"",IF(INDEX('Fleet dates'!$F$9:$F$1008,$I148-8)="","",INDEX('Fleet dates'!$F$9:$F$1008,$I148-8)))</x:f>
      </x:c>
      <x:c r="G148" s="50" t="str">
        <x:f>IF(140&gt;$H$4,"",IF(INDEX('Fleet dates'!$G$9:$G$1008,$I148-8)="","",INDEX('Fleet dates'!$G$9:$G$1008,$I148-8)))</x:f>
      </x:c>
      <x:c r="H148" s="50" t="str">
        <x:f>IF(140&gt;$H$4,"",IF(INDEX('Fleet dates'!$I$9:$I$1008,$I148-8)="","",INDEX('Fleet dates'!$I$9:$I$1008,$I148-8)))</x:f>
      </x:c>
      <x:c r="I148" t="str">
        <x:f>IF(140&gt;$H$4,"",MATCH(140,'Fleet dates'!$K$9:$K$1008,0)+8)</x:f>
      </x:c>
    </x:row>
    <x:row r="149" ht="36" customHeight="1">
      <x:c r="A149" s="50" t="str">
        <x:f>IF(141&gt;$H$4,"",IF(INDEX('Fleet dates'!$A$9:$A$1008,$I149-8)="","",INDEX('Fleet dates'!$A$9:$A$1008,$I149-8)))</x:f>
      </x:c>
      <x:c r="B149" s="50" t="str">
        <x:f>IF(141&gt;$H$4,"",IF(INDEX('Fleet dates'!$B$9:$B$1008,$I149-8)="","",INDEX('Fleet dates'!$B$9:$B$1008,$I149-8)))</x:f>
      </x:c>
      <x:c r="C149" s="51" t="str">
        <x:f>IF(141&gt;$H$4,"",IF(INDEX('Fleet dates'!$C$9:$C$1008,$I149-8)="","",INDEX('Fleet dates'!$C$9:$C$1008,$I149-8)))</x:f>
      </x:c>
      <x:c r="D149" s="51" t="str">
        <x:f>IF(141&gt;$H$4,"",IF(INDEX('Fleet dates'!$D$9:$D$1008,$I149-8)="","",INDEX('Fleet dates'!$D$9:$D$1008,$I149-8)))</x:f>
      </x:c>
      <x:c r="E149" s="51" t="str">
        <x:f>IF(141&gt;$H$4,"",IF(INDEX('Fleet dates'!$E$9:$E$1008,$I149-8)="","",INDEX('Fleet dates'!$E$9:$E$1008,$I149-8)))</x:f>
      </x:c>
      <x:c r="F149" s="51" t="str">
        <x:f>IF(141&gt;$H$4,"",IF(INDEX('Fleet dates'!$F$9:$F$1008,$I149-8)="","",INDEX('Fleet dates'!$F$9:$F$1008,$I149-8)))</x:f>
      </x:c>
      <x:c r="G149" s="50" t="str">
        <x:f>IF(141&gt;$H$4,"",IF(INDEX('Fleet dates'!$G$9:$G$1008,$I149-8)="","",INDEX('Fleet dates'!$G$9:$G$1008,$I149-8)))</x:f>
      </x:c>
      <x:c r="H149" s="50" t="str">
        <x:f>IF(141&gt;$H$4,"",IF(INDEX('Fleet dates'!$I$9:$I$1008,$I149-8)="","",INDEX('Fleet dates'!$I$9:$I$1008,$I149-8)))</x:f>
      </x:c>
      <x:c r="I149" t="str">
        <x:f>IF(141&gt;$H$4,"",MATCH(141,'Fleet dates'!$K$9:$K$1008,0)+8)</x:f>
      </x:c>
    </x:row>
    <x:row r="150" ht="36" customHeight="1">
      <x:c r="A150" s="50" t="str">
        <x:f>IF(142&gt;$H$4,"",IF(INDEX('Fleet dates'!$A$9:$A$1008,$I150-8)="","",INDEX('Fleet dates'!$A$9:$A$1008,$I150-8)))</x:f>
      </x:c>
      <x:c r="B150" s="50" t="str">
        <x:f>IF(142&gt;$H$4,"",IF(INDEX('Fleet dates'!$B$9:$B$1008,$I150-8)="","",INDEX('Fleet dates'!$B$9:$B$1008,$I150-8)))</x:f>
      </x:c>
      <x:c r="C150" s="51" t="str">
        <x:f>IF(142&gt;$H$4,"",IF(INDEX('Fleet dates'!$C$9:$C$1008,$I150-8)="","",INDEX('Fleet dates'!$C$9:$C$1008,$I150-8)))</x:f>
      </x:c>
      <x:c r="D150" s="51" t="str">
        <x:f>IF(142&gt;$H$4,"",IF(INDEX('Fleet dates'!$D$9:$D$1008,$I150-8)="","",INDEX('Fleet dates'!$D$9:$D$1008,$I150-8)))</x:f>
      </x:c>
      <x:c r="E150" s="51" t="str">
        <x:f>IF(142&gt;$H$4,"",IF(INDEX('Fleet dates'!$E$9:$E$1008,$I150-8)="","",INDEX('Fleet dates'!$E$9:$E$1008,$I150-8)))</x:f>
      </x:c>
      <x:c r="F150" s="51" t="str">
        <x:f>IF(142&gt;$H$4,"",IF(INDEX('Fleet dates'!$F$9:$F$1008,$I150-8)="","",INDEX('Fleet dates'!$F$9:$F$1008,$I150-8)))</x:f>
      </x:c>
      <x:c r="G150" s="50" t="str">
        <x:f>IF(142&gt;$H$4,"",IF(INDEX('Fleet dates'!$G$9:$G$1008,$I150-8)="","",INDEX('Fleet dates'!$G$9:$G$1008,$I150-8)))</x:f>
      </x:c>
      <x:c r="H150" s="50" t="str">
        <x:f>IF(142&gt;$H$4,"",IF(INDEX('Fleet dates'!$I$9:$I$1008,$I150-8)="","",INDEX('Fleet dates'!$I$9:$I$1008,$I150-8)))</x:f>
      </x:c>
      <x:c r="I150" t="str">
        <x:f>IF(142&gt;$H$4,"",MATCH(142,'Fleet dates'!$K$9:$K$1008,0)+8)</x:f>
      </x:c>
    </x:row>
    <x:row r="151" ht="36" customHeight="1">
      <x:c r="A151" s="50" t="str">
        <x:f>IF(143&gt;$H$4,"",IF(INDEX('Fleet dates'!$A$9:$A$1008,$I151-8)="","",INDEX('Fleet dates'!$A$9:$A$1008,$I151-8)))</x:f>
      </x:c>
      <x:c r="B151" s="50" t="str">
        <x:f>IF(143&gt;$H$4,"",IF(INDEX('Fleet dates'!$B$9:$B$1008,$I151-8)="","",INDEX('Fleet dates'!$B$9:$B$1008,$I151-8)))</x:f>
      </x:c>
      <x:c r="C151" s="51" t="str">
        <x:f>IF(143&gt;$H$4,"",IF(INDEX('Fleet dates'!$C$9:$C$1008,$I151-8)="","",INDEX('Fleet dates'!$C$9:$C$1008,$I151-8)))</x:f>
      </x:c>
      <x:c r="D151" s="51" t="str">
        <x:f>IF(143&gt;$H$4,"",IF(INDEX('Fleet dates'!$D$9:$D$1008,$I151-8)="","",INDEX('Fleet dates'!$D$9:$D$1008,$I151-8)))</x:f>
      </x:c>
      <x:c r="E151" s="51" t="str">
        <x:f>IF(143&gt;$H$4,"",IF(INDEX('Fleet dates'!$E$9:$E$1008,$I151-8)="","",INDEX('Fleet dates'!$E$9:$E$1008,$I151-8)))</x:f>
      </x:c>
      <x:c r="F151" s="51" t="str">
        <x:f>IF(143&gt;$H$4,"",IF(INDEX('Fleet dates'!$F$9:$F$1008,$I151-8)="","",INDEX('Fleet dates'!$F$9:$F$1008,$I151-8)))</x:f>
      </x:c>
      <x:c r="G151" s="50" t="str">
        <x:f>IF(143&gt;$H$4,"",IF(INDEX('Fleet dates'!$G$9:$G$1008,$I151-8)="","",INDEX('Fleet dates'!$G$9:$G$1008,$I151-8)))</x:f>
      </x:c>
      <x:c r="H151" s="50" t="str">
        <x:f>IF(143&gt;$H$4,"",IF(INDEX('Fleet dates'!$I$9:$I$1008,$I151-8)="","",INDEX('Fleet dates'!$I$9:$I$1008,$I151-8)))</x:f>
      </x:c>
      <x:c r="I151" t="str">
        <x:f>IF(143&gt;$H$4,"",MATCH(143,'Fleet dates'!$K$9:$K$1008,0)+8)</x:f>
      </x:c>
    </x:row>
    <x:row r="152" ht="36" customHeight="1">
      <x:c r="A152" s="50" t="str">
        <x:f>IF(144&gt;$H$4,"",IF(INDEX('Fleet dates'!$A$9:$A$1008,$I152-8)="","",INDEX('Fleet dates'!$A$9:$A$1008,$I152-8)))</x:f>
      </x:c>
      <x:c r="B152" s="50" t="str">
        <x:f>IF(144&gt;$H$4,"",IF(INDEX('Fleet dates'!$B$9:$B$1008,$I152-8)="","",INDEX('Fleet dates'!$B$9:$B$1008,$I152-8)))</x:f>
      </x:c>
      <x:c r="C152" s="51" t="str">
        <x:f>IF(144&gt;$H$4,"",IF(INDEX('Fleet dates'!$C$9:$C$1008,$I152-8)="","",INDEX('Fleet dates'!$C$9:$C$1008,$I152-8)))</x:f>
      </x:c>
      <x:c r="D152" s="51" t="str">
        <x:f>IF(144&gt;$H$4,"",IF(INDEX('Fleet dates'!$D$9:$D$1008,$I152-8)="","",INDEX('Fleet dates'!$D$9:$D$1008,$I152-8)))</x:f>
      </x:c>
      <x:c r="E152" s="51" t="str">
        <x:f>IF(144&gt;$H$4,"",IF(INDEX('Fleet dates'!$E$9:$E$1008,$I152-8)="","",INDEX('Fleet dates'!$E$9:$E$1008,$I152-8)))</x:f>
      </x:c>
      <x:c r="F152" s="51" t="str">
        <x:f>IF(144&gt;$H$4,"",IF(INDEX('Fleet dates'!$F$9:$F$1008,$I152-8)="","",INDEX('Fleet dates'!$F$9:$F$1008,$I152-8)))</x:f>
      </x:c>
      <x:c r="G152" s="50" t="str">
        <x:f>IF(144&gt;$H$4,"",IF(INDEX('Fleet dates'!$G$9:$G$1008,$I152-8)="","",INDEX('Fleet dates'!$G$9:$G$1008,$I152-8)))</x:f>
      </x:c>
      <x:c r="H152" s="50" t="str">
        <x:f>IF(144&gt;$H$4,"",IF(INDEX('Fleet dates'!$I$9:$I$1008,$I152-8)="","",INDEX('Fleet dates'!$I$9:$I$1008,$I152-8)))</x:f>
      </x:c>
      <x:c r="I152" t="str">
        <x:f>IF(144&gt;$H$4,"",MATCH(144,'Fleet dates'!$K$9:$K$1008,0)+8)</x:f>
      </x:c>
    </x:row>
    <x:row r="153" ht="36" customHeight="1">
      <x:c r="A153" s="50" t="str">
        <x:f>IF(145&gt;$H$4,"",IF(INDEX('Fleet dates'!$A$9:$A$1008,$I153-8)="","",INDEX('Fleet dates'!$A$9:$A$1008,$I153-8)))</x:f>
      </x:c>
      <x:c r="B153" s="50" t="str">
        <x:f>IF(145&gt;$H$4,"",IF(INDEX('Fleet dates'!$B$9:$B$1008,$I153-8)="","",INDEX('Fleet dates'!$B$9:$B$1008,$I153-8)))</x:f>
      </x:c>
      <x:c r="C153" s="51" t="str">
        <x:f>IF(145&gt;$H$4,"",IF(INDEX('Fleet dates'!$C$9:$C$1008,$I153-8)="","",INDEX('Fleet dates'!$C$9:$C$1008,$I153-8)))</x:f>
      </x:c>
      <x:c r="D153" s="51" t="str">
        <x:f>IF(145&gt;$H$4,"",IF(INDEX('Fleet dates'!$D$9:$D$1008,$I153-8)="","",INDEX('Fleet dates'!$D$9:$D$1008,$I153-8)))</x:f>
      </x:c>
      <x:c r="E153" s="51" t="str">
        <x:f>IF(145&gt;$H$4,"",IF(INDEX('Fleet dates'!$E$9:$E$1008,$I153-8)="","",INDEX('Fleet dates'!$E$9:$E$1008,$I153-8)))</x:f>
      </x:c>
      <x:c r="F153" s="51" t="str">
        <x:f>IF(145&gt;$H$4,"",IF(INDEX('Fleet dates'!$F$9:$F$1008,$I153-8)="","",INDEX('Fleet dates'!$F$9:$F$1008,$I153-8)))</x:f>
      </x:c>
      <x:c r="G153" s="50" t="str">
        <x:f>IF(145&gt;$H$4,"",IF(INDEX('Fleet dates'!$G$9:$G$1008,$I153-8)="","",INDEX('Fleet dates'!$G$9:$G$1008,$I153-8)))</x:f>
      </x:c>
      <x:c r="H153" s="50" t="str">
        <x:f>IF(145&gt;$H$4,"",IF(INDEX('Fleet dates'!$I$9:$I$1008,$I153-8)="","",INDEX('Fleet dates'!$I$9:$I$1008,$I153-8)))</x:f>
      </x:c>
      <x:c r="I153" t="str">
        <x:f>IF(145&gt;$H$4,"",MATCH(145,'Fleet dates'!$K$9:$K$1008,0)+8)</x:f>
      </x:c>
    </x:row>
    <x:row r="154" ht="36" customHeight="1">
      <x:c r="A154" s="50" t="str">
        <x:f>IF(146&gt;$H$4,"",IF(INDEX('Fleet dates'!$A$9:$A$1008,$I154-8)="","",INDEX('Fleet dates'!$A$9:$A$1008,$I154-8)))</x:f>
      </x:c>
      <x:c r="B154" s="50" t="str">
        <x:f>IF(146&gt;$H$4,"",IF(INDEX('Fleet dates'!$B$9:$B$1008,$I154-8)="","",INDEX('Fleet dates'!$B$9:$B$1008,$I154-8)))</x:f>
      </x:c>
      <x:c r="C154" s="51" t="str">
        <x:f>IF(146&gt;$H$4,"",IF(INDEX('Fleet dates'!$C$9:$C$1008,$I154-8)="","",INDEX('Fleet dates'!$C$9:$C$1008,$I154-8)))</x:f>
      </x:c>
      <x:c r="D154" s="51" t="str">
        <x:f>IF(146&gt;$H$4,"",IF(INDEX('Fleet dates'!$D$9:$D$1008,$I154-8)="","",INDEX('Fleet dates'!$D$9:$D$1008,$I154-8)))</x:f>
      </x:c>
      <x:c r="E154" s="51" t="str">
        <x:f>IF(146&gt;$H$4,"",IF(INDEX('Fleet dates'!$E$9:$E$1008,$I154-8)="","",INDEX('Fleet dates'!$E$9:$E$1008,$I154-8)))</x:f>
      </x:c>
      <x:c r="F154" s="51" t="str">
        <x:f>IF(146&gt;$H$4,"",IF(INDEX('Fleet dates'!$F$9:$F$1008,$I154-8)="","",INDEX('Fleet dates'!$F$9:$F$1008,$I154-8)))</x:f>
      </x:c>
      <x:c r="G154" s="50" t="str">
        <x:f>IF(146&gt;$H$4,"",IF(INDEX('Fleet dates'!$G$9:$G$1008,$I154-8)="","",INDEX('Fleet dates'!$G$9:$G$1008,$I154-8)))</x:f>
      </x:c>
      <x:c r="H154" s="50" t="str">
        <x:f>IF(146&gt;$H$4,"",IF(INDEX('Fleet dates'!$I$9:$I$1008,$I154-8)="","",INDEX('Fleet dates'!$I$9:$I$1008,$I154-8)))</x:f>
      </x:c>
      <x:c r="I154" t="str">
        <x:f>IF(146&gt;$H$4,"",MATCH(146,'Fleet dates'!$K$9:$K$1008,0)+8)</x:f>
      </x:c>
    </x:row>
    <x:row r="155" ht="36" customHeight="1">
      <x:c r="A155" s="50" t="str">
        <x:f>IF(147&gt;$H$4,"",IF(INDEX('Fleet dates'!$A$9:$A$1008,$I155-8)="","",INDEX('Fleet dates'!$A$9:$A$1008,$I155-8)))</x:f>
      </x:c>
      <x:c r="B155" s="50" t="str">
        <x:f>IF(147&gt;$H$4,"",IF(INDEX('Fleet dates'!$B$9:$B$1008,$I155-8)="","",INDEX('Fleet dates'!$B$9:$B$1008,$I155-8)))</x:f>
      </x:c>
      <x:c r="C155" s="51" t="str">
        <x:f>IF(147&gt;$H$4,"",IF(INDEX('Fleet dates'!$C$9:$C$1008,$I155-8)="","",INDEX('Fleet dates'!$C$9:$C$1008,$I155-8)))</x:f>
      </x:c>
      <x:c r="D155" s="51" t="str">
        <x:f>IF(147&gt;$H$4,"",IF(INDEX('Fleet dates'!$D$9:$D$1008,$I155-8)="","",INDEX('Fleet dates'!$D$9:$D$1008,$I155-8)))</x:f>
      </x:c>
      <x:c r="E155" s="51" t="str">
        <x:f>IF(147&gt;$H$4,"",IF(INDEX('Fleet dates'!$E$9:$E$1008,$I155-8)="","",INDEX('Fleet dates'!$E$9:$E$1008,$I155-8)))</x:f>
      </x:c>
      <x:c r="F155" s="51" t="str">
        <x:f>IF(147&gt;$H$4,"",IF(INDEX('Fleet dates'!$F$9:$F$1008,$I155-8)="","",INDEX('Fleet dates'!$F$9:$F$1008,$I155-8)))</x:f>
      </x:c>
      <x:c r="G155" s="50" t="str">
        <x:f>IF(147&gt;$H$4,"",IF(INDEX('Fleet dates'!$G$9:$G$1008,$I155-8)="","",INDEX('Fleet dates'!$G$9:$G$1008,$I155-8)))</x:f>
      </x:c>
      <x:c r="H155" s="50" t="str">
        <x:f>IF(147&gt;$H$4,"",IF(INDEX('Fleet dates'!$I$9:$I$1008,$I155-8)="","",INDEX('Fleet dates'!$I$9:$I$1008,$I155-8)))</x:f>
      </x:c>
      <x:c r="I155" t="str">
        <x:f>IF(147&gt;$H$4,"",MATCH(147,'Fleet dates'!$K$9:$K$1008,0)+8)</x:f>
      </x:c>
    </x:row>
    <x:row r="156" ht="36" customHeight="1">
      <x:c r="A156" s="50" t="str">
        <x:f>IF(148&gt;$H$4,"",IF(INDEX('Fleet dates'!$A$9:$A$1008,$I156-8)="","",INDEX('Fleet dates'!$A$9:$A$1008,$I156-8)))</x:f>
      </x:c>
      <x:c r="B156" s="50" t="str">
        <x:f>IF(148&gt;$H$4,"",IF(INDEX('Fleet dates'!$B$9:$B$1008,$I156-8)="","",INDEX('Fleet dates'!$B$9:$B$1008,$I156-8)))</x:f>
      </x:c>
      <x:c r="C156" s="51" t="str">
        <x:f>IF(148&gt;$H$4,"",IF(INDEX('Fleet dates'!$C$9:$C$1008,$I156-8)="","",INDEX('Fleet dates'!$C$9:$C$1008,$I156-8)))</x:f>
      </x:c>
      <x:c r="D156" s="51" t="str">
        <x:f>IF(148&gt;$H$4,"",IF(INDEX('Fleet dates'!$D$9:$D$1008,$I156-8)="","",INDEX('Fleet dates'!$D$9:$D$1008,$I156-8)))</x:f>
      </x:c>
      <x:c r="E156" s="51" t="str">
        <x:f>IF(148&gt;$H$4,"",IF(INDEX('Fleet dates'!$E$9:$E$1008,$I156-8)="","",INDEX('Fleet dates'!$E$9:$E$1008,$I156-8)))</x:f>
      </x:c>
      <x:c r="F156" s="51" t="str">
        <x:f>IF(148&gt;$H$4,"",IF(INDEX('Fleet dates'!$F$9:$F$1008,$I156-8)="","",INDEX('Fleet dates'!$F$9:$F$1008,$I156-8)))</x:f>
      </x:c>
      <x:c r="G156" s="50" t="str">
        <x:f>IF(148&gt;$H$4,"",IF(INDEX('Fleet dates'!$G$9:$G$1008,$I156-8)="","",INDEX('Fleet dates'!$G$9:$G$1008,$I156-8)))</x:f>
      </x:c>
      <x:c r="H156" s="50" t="str">
        <x:f>IF(148&gt;$H$4,"",IF(INDEX('Fleet dates'!$I$9:$I$1008,$I156-8)="","",INDEX('Fleet dates'!$I$9:$I$1008,$I156-8)))</x:f>
      </x:c>
      <x:c r="I156" t="str">
        <x:f>IF(148&gt;$H$4,"",MATCH(148,'Fleet dates'!$K$9:$K$1008,0)+8)</x:f>
      </x:c>
    </x:row>
    <x:row r="157" ht="36" customHeight="1">
      <x:c r="A157" s="50" t="str">
        <x:f>IF(149&gt;$H$4,"",IF(INDEX('Fleet dates'!$A$9:$A$1008,$I157-8)="","",INDEX('Fleet dates'!$A$9:$A$1008,$I157-8)))</x:f>
      </x:c>
      <x:c r="B157" s="50" t="str">
        <x:f>IF(149&gt;$H$4,"",IF(INDEX('Fleet dates'!$B$9:$B$1008,$I157-8)="","",INDEX('Fleet dates'!$B$9:$B$1008,$I157-8)))</x:f>
      </x:c>
      <x:c r="C157" s="51" t="str">
        <x:f>IF(149&gt;$H$4,"",IF(INDEX('Fleet dates'!$C$9:$C$1008,$I157-8)="","",INDEX('Fleet dates'!$C$9:$C$1008,$I157-8)))</x:f>
      </x:c>
      <x:c r="D157" s="51" t="str">
        <x:f>IF(149&gt;$H$4,"",IF(INDEX('Fleet dates'!$D$9:$D$1008,$I157-8)="","",INDEX('Fleet dates'!$D$9:$D$1008,$I157-8)))</x:f>
      </x:c>
      <x:c r="E157" s="51" t="str">
        <x:f>IF(149&gt;$H$4,"",IF(INDEX('Fleet dates'!$E$9:$E$1008,$I157-8)="","",INDEX('Fleet dates'!$E$9:$E$1008,$I157-8)))</x:f>
      </x:c>
      <x:c r="F157" s="51" t="str">
        <x:f>IF(149&gt;$H$4,"",IF(INDEX('Fleet dates'!$F$9:$F$1008,$I157-8)="","",INDEX('Fleet dates'!$F$9:$F$1008,$I157-8)))</x:f>
      </x:c>
      <x:c r="G157" s="50" t="str">
        <x:f>IF(149&gt;$H$4,"",IF(INDEX('Fleet dates'!$G$9:$G$1008,$I157-8)="","",INDEX('Fleet dates'!$G$9:$G$1008,$I157-8)))</x:f>
      </x:c>
      <x:c r="H157" s="50" t="str">
        <x:f>IF(149&gt;$H$4,"",IF(INDEX('Fleet dates'!$I$9:$I$1008,$I157-8)="","",INDEX('Fleet dates'!$I$9:$I$1008,$I157-8)))</x:f>
      </x:c>
      <x:c r="I157" t="str">
        <x:f>IF(149&gt;$H$4,"",MATCH(149,'Fleet dates'!$K$9:$K$1008,0)+8)</x:f>
      </x:c>
    </x:row>
    <x:row r="158" ht="36" customHeight="1">
      <x:c r="A158" s="50" t="str">
        <x:f>IF(150&gt;$H$4,"",IF(INDEX('Fleet dates'!$A$9:$A$1008,$I158-8)="","",INDEX('Fleet dates'!$A$9:$A$1008,$I158-8)))</x:f>
      </x:c>
      <x:c r="B158" s="50" t="str">
        <x:f>IF(150&gt;$H$4,"",IF(INDEX('Fleet dates'!$B$9:$B$1008,$I158-8)="","",INDEX('Fleet dates'!$B$9:$B$1008,$I158-8)))</x:f>
      </x:c>
      <x:c r="C158" s="51" t="str">
        <x:f>IF(150&gt;$H$4,"",IF(INDEX('Fleet dates'!$C$9:$C$1008,$I158-8)="","",INDEX('Fleet dates'!$C$9:$C$1008,$I158-8)))</x:f>
      </x:c>
      <x:c r="D158" s="51" t="str">
        <x:f>IF(150&gt;$H$4,"",IF(INDEX('Fleet dates'!$D$9:$D$1008,$I158-8)="","",INDEX('Fleet dates'!$D$9:$D$1008,$I158-8)))</x:f>
      </x:c>
      <x:c r="E158" s="51" t="str">
        <x:f>IF(150&gt;$H$4,"",IF(INDEX('Fleet dates'!$E$9:$E$1008,$I158-8)="","",INDEX('Fleet dates'!$E$9:$E$1008,$I158-8)))</x:f>
      </x:c>
      <x:c r="F158" s="51" t="str">
        <x:f>IF(150&gt;$H$4,"",IF(INDEX('Fleet dates'!$F$9:$F$1008,$I158-8)="","",INDEX('Fleet dates'!$F$9:$F$1008,$I158-8)))</x:f>
      </x:c>
      <x:c r="G158" s="50" t="str">
        <x:f>IF(150&gt;$H$4,"",IF(INDEX('Fleet dates'!$G$9:$G$1008,$I158-8)="","",INDEX('Fleet dates'!$G$9:$G$1008,$I158-8)))</x:f>
      </x:c>
      <x:c r="H158" s="50" t="str">
        <x:f>IF(150&gt;$H$4,"",IF(INDEX('Fleet dates'!$I$9:$I$1008,$I158-8)="","",INDEX('Fleet dates'!$I$9:$I$1008,$I158-8)))</x:f>
      </x:c>
      <x:c r="I158" t="str">
        <x:f>IF(150&gt;$H$4,"",MATCH(150,'Fleet dates'!$K$9:$K$1008,0)+8)</x:f>
      </x:c>
    </x:row>
    <x:row r="159" ht="36" customHeight="1">
      <x:c r="A159" s="50" t="str">
        <x:f>IF(151&gt;$H$4,"",IF(INDEX('Fleet dates'!$A$9:$A$1008,$I159-8)="","",INDEX('Fleet dates'!$A$9:$A$1008,$I159-8)))</x:f>
      </x:c>
      <x:c r="B159" s="50" t="str">
        <x:f>IF(151&gt;$H$4,"",IF(INDEX('Fleet dates'!$B$9:$B$1008,$I159-8)="","",INDEX('Fleet dates'!$B$9:$B$1008,$I159-8)))</x:f>
      </x:c>
      <x:c r="C159" s="51" t="str">
        <x:f>IF(151&gt;$H$4,"",IF(INDEX('Fleet dates'!$C$9:$C$1008,$I159-8)="","",INDEX('Fleet dates'!$C$9:$C$1008,$I159-8)))</x:f>
      </x:c>
      <x:c r="D159" s="51" t="str">
        <x:f>IF(151&gt;$H$4,"",IF(INDEX('Fleet dates'!$D$9:$D$1008,$I159-8)="","",INDEX('Fleet dates'!$D$9:$D$1008,$I159-8)))</x:f>
      </x:c>
      <x:c r="E159" s="51" t="str">
        <x:f>IF(151&gt;$H$4,"",IF(INDEX('Fleet dates'!$E$9:$E$1008,$I159-8)="","",INDEX('Fleet dates'!$E$9:$E$1008,$I159-8)))</x:f>
      </x:c>
      <x:c r="F159" s="51" t="str">
        <x:f>IF(151&gt;$H$4,"",IF(INDEX('Fleet dates'!$F$9:$F$1008,$I159-8)="","",INDEX('Fleet dates'!$F$9:$F$1008,$I159-8)))</x:f>
      </x:c>
      <x:c r="G159" s="50" t="str">
        <x:f>IF(151&gt;$H$4,"",IF(INDEX('Fleet dates'!$G$9:$G$1008,$I159-8)="","",INDEX('Fleet dates'!$G$9:$G$1008,$I159-8)))</x:f>
      </x:c>
      <x:c r="H159" s="50" t="str">
        <x:f>IF(151&gt;$H$4,"",IF(INDEX('Fleet dates'!$I$9:$I$1008,$I159-8)="","",INDEX('Fleet dates'!$I$9:$I$1008,$I159-8)))</x:f>
      </x:c>
      <x:c r="I159" t="str">
        <x:f>IF(151&gt;$H$4,"",MATCH(151,'Fleet dates'!$K$9:$K$1008,0)+8)</x:f>
      </x:c>
    </x:row>
    <x:row r="160" ht="36" customHeight="1">
      <x:c r="A160" s="50" t="str">
        <x:f>IF(152&gt;$H$4,"",IF(INDEX('Fleet dates'!$A$9:$A$1008,$I160-8)="","",INDEX('Fleet dates'!$A$9:$A$1008,$I160-8)))</x:f>
      </x:c>
      <x:c r="B160" s="50" t="str">
        <x:f>IF(152&gt;$H$4,"",IF(INDEX('Fleet dates'!$B$9:$B$1008,$I160-8)="","",INDEX('Fleet dates'!$B$9:$B$1008,$I160-8)))</x:f>
      </x:c>
      <x:c r="C160" s="51" t="str">
        <x:f>IF(152&gt;$H$4,"",IF(INDEX('Fleet dates'!$C$9:$C$1008,$I160-8)="","",INDEX('Fleet dates'!$C$9:$C$1008,$I160-8)))</x:f>
      </x:c>
      <x:c r="D160" s="51" t="str">
        <x:f>IF(152&gt;$H$4,"",IF(INDEX('Fleet dates'!$D$9:$D$1008,$I160-8)="","",INDEX('Fleet dates'!$D$9:$D$1008,$I160-8)))</x:f>
      </x:c>
      <x:c r="E160" s="51" t="str">
        <x:f>IF(152&gt;$H$4,"",IF(INDEX('Fleet dates'!$E$9:$E$1008,$I160-8)="","",INDEX('Fleet dates'!$E$9:$E$1008,$I160-8)))</x:f>
      </x:c>
      <x:c r="F160" s="51" t="str">
        <x:f>IF(152&gt;$H$4,"",IF(INDEX('Fleet dates'!$F$9:$F$1008,$I160-8)="","",INDEX('Fleet dates'!$F$9:$F$1008,$I160-8)))</x:f>
      </x:c>
      <x:c r="G160" s="50" t="str">
        <x:f>IF(152&gt;$H$4,"",IF(INDEX('Fleet dates'!$G$9:$G$1008,$I160-8)="","",INDEX('Fleet dates'!$G$9:$G$1008,$I160-8)))</x:f>
      </x:c>
      <x:c r="H160" s="50" t="str">
        <x:f>IF(152&gt;$H$4,"",IF(INDEX('Fleet dates'!$I$9:$I$1008,$I160-8)="","",INDEX('Fleet dates'!$I$9:$I$1008,$I160-8)))</x:f>
      </x:c>
      <x:c r="I160" t="str">
        <x:f>IF(152&gt;$H$4,"",MATCH(152,'Fleet dates'!$K$9:$K$1008,0)+8)</x:f>
      </x:c>
    </x:row>
    <x:row r="161" ht="36" customHeight="1">
      <x:c r="A161" s="50" t="str">
        <x:f>IF(153&gt;$H$4,"",IF(INDEX('Fleet dates'!$A$9:$A$1008,$I161-8)="","",INDEX('Fleet dates'!$A$9:$A$1008,$I161-8)))</x:f>
      </x:c>
      <x:c r="B161" s="50" t="str">
        <x:f>IF(153&gt;$H$4,"",IF(INDEX('Fleet dates'!$B$9:$B$1008,$I161-8)="","",INDEX('Fleet dates'!$B$9:$B$1008,$I161-8)))</x:f>
      </x:c>
      <x:c r="C161" s="51" t="str">
        <x:f>IF(153&gt;$H$4,"",IF(INDEX('Fleet dates'!$C$9:$C$1008,$I161-8)="","",INDEX('Fleet dates'!$C$9:$C$1008,$I161-8)))</x:f>
      </x:c>
      <x:c r="D161" s="51" t="str">
        <x:f>IF(153&gt;$H$4,"",IF(INDEX('Fleet dates'!$D$9:$D$1008,$I161-8)="","",INDEX('Fleet dates'!$D$9:$D$1008,$I161-8)))</x:f>
      </x:c>
      <x:c r="E161" s="51" t="str">
        <x:f>IF(153&gt;$H$4,"",IF(INDEX('Fleet dates'!$E$9:$E$1008,$I161-8)="","",INDEX('Fleet dates'!$E$9:$E$1008,$I161-8)))</x:f>
      </x:c>
      <x:c r="F161" s="51" t="str">
        <x:f>IF(153&gt;$H$4,"",IF(INDEX('Fleet dates'!$F$9:$F$1008,$I161-8)="","",INDEX('Fleet dates'!$F$9:$F$1008,$I161-8)))</x:f>
      </x:c>
      <x:c r="G161" s="50" t="str">
        <x:f>IF(153&gt;$H$4,"",IF(INDEX('Fleet dates'!$G$9:$G$1008,$I161-8)="","",INDEX('Fleet dates'!$G$9:$G$1008,$I161-8)))</x:f>
      </x:c>
      <x:c r="H161" s="50" t="str">
        <x:f>IF(153&gt;$H$4,"",IF(INDEX('Fleet dates'!$I$9:$I$1008,$I161-8)="","",INDEX('Fleet dates'!$I$9:$I$1008,$I161-8)))</x:f>
      </x:c>
      <x:c r="I161" t="str">
        <x:f>IF(153&gt;$H$4,"",MATCH(153,'Fleet dates'!$K$9:$K$1008,0)+8)</x:f>
      </x:c>
    </x:row>
    <x:row r="162" ht="36" customHeight="1">
      <x:c r="A162" s="50" t="str">
        <x:f>IF(154&gt;$H$4,"",IF(INDEX('Fleet dates'!$A$9:$A$1008,$I162-8)="","",INDEX('Fleet dates'!$A$9:$A$1008,$I162-8)))</x:f>
      </x:c>
      <x:c r="B162" s="50" t="str">
        <x:f>IF(154&gt;$H$4,"",IF(INDEX('Fleet dates'!$B$9:$B$1008,$I162-8)="","",INDEX('Fleet dates'!$B$9:$B$1008,$I162-8)))</x:f>
      </x:c>
      <x:c r="C162" s="51" t="str">
        <x:f>IF(154&gt;$H$4,"",IF(INDEX('Fleet dates'!$C$9:$C$1008,$I162-8)="","",INDEX('Fleet dates'!$C$9:$C$1008,$I162-8)))</x:f>
      </x:c>
      <x:c r="D162" s="51" t="str">
        <x:f>IF(154&gt;$H$4,"",IF(INDEX('Fleet dates'!$D$9:$D$1008,$I162-8)="","",INDEX('Fleet dates'!$D$9:$D$1008,$I162-8)))</x:f>
      </x:c>
      <x:c r="E162" s="51" t="str">
        <x:f>IF(154&gt;$H$4,"",IF(INDEX('Fleet dates'!$E$9:$E$1008,$I162-8)="","",INDEX('Fleet dates'!$E$9:$E$1008,$I162-8)))</x:f>
      </x:c>
      <x:c r="F162" s="51" t="str">
        <x:f>IF(154&gt;$H$4,"",IF(INDEX('Fleet dates'!$F$9:$F$1008,$I162-8)="","",INDEX('Fleet dates'!$F$9:$F$1008,$I162-8)))</x:f>
      </x:c>
      <x:c r="G162" s="50" t="str">
        <x:f>IF(154&gt;$H$4,"",IF(INDEX('Fleet dates'!$G$9:$G$1008,$I162-8)="","",INDEX('Fleet dates'!$G$9:$G$1008,$I162-8)))</x:f>
      </x:c>
      <x:c r="H162" s="50" t="str">
        <x:f>IF(154&gt;$H$4,"",IF(INDEX('Fleet dates'!$I$9:$I$1008,$I162-8)="","",INDEX('Fleet dates'!$I$9:$I$1008,$I162-8)))</x:f>
      </x:c>
      <x:c r="I162" t="str">
        <x:f>IF(154&gt;$H$4,"",MATCH(154,'Fleet dates'!$K$9:$K$1008,0)+8)</x:f>
      </x:c>
    </x:row>
    <x:row r="163" ht="36" customHeight="1">
      <x:c r="A163" s="50" t="str">
        <x:f>IF(155&gt;$H$4,"",IF(INDEX('Fleet dates'!$A$9:$A$1008,$I163-8)="","",INDEX('Fleet dates'!$A$9:$A$1008,$I163-8)))</x:f>
      </x:c>
      <x:c r="B163" s="50" t="str">
        <x:f>IF(155&gt;$H$4,"",IF(INDEX('Fleet dates'!$B$9:$B$1008,$I163-8)="","",INDEX('Fleet dates'!$B$9:$B$1008,$I163-8)))</x:f>
      </x:c>
      <x:c r="C163" s="51" t="str">
        <x:f>IF(155&gt;$H$4,"",IF(INDEX('Fleet dates'!$C$9:$C$1008,$I163-8)="","",INDEX('Fleet dates'!$C$9:$C$1008,$I163-8)))</x:f>
      </x:c>
      <x:c r="D163" s="51" t="str">
        <x:f>IF(155&gt;$H$4,"",IF(INDEX('Fleet dates'!$D$9:$D$1008,$I163-8)="","",INDEX('Fleet dates'!$D$9:$D$1008,$I163-8)))</x:f>
      </x:c>
      <x:c r="E163" s="51" t="str">
        <x:f>IF(155&gt;$H$4,"",IF(INDEX('Fleet dates'!$E$9:$E$1008,$I163-8)="","",INDEX('Fleet dates'!$E$9:$E$1008,$I163-8)))</x:f>
      </x:c>
      <x:c r="F163" s="51" t="str">
        <x:f>IF(155&gt;$H$4,"",IF(INDEX('Fleet dates'!$F$9:$F$1008,$I163-8)="","",INDEX('Fleet dates'!$F$9:$F$1008,$I163-8)))</x:f>
      </x:c>
      <x:c r="G163" s="50" t="str">
        <x:f>IF(155&gt;$H$4,"",IF(INDEX('Fleet dates'!$G$9:$G$1008,$I163-8)="","",INDEX('Fleet dates'!$G$9:$G$1008,$I163-8)))</x:f>
      </x:c>
      <x:c r="H163" s="50" t="str">
        <x:f>IF(155&gt;$H$4,"",IF(INDEX('Fleet dates'!$I$9:$I$1008,$I163-8)="","",INDEX('Fleet dates'!$I$9:$I$1008,$I163-8)))</x:f>
      </x:c>
      <x:c r="I163" t="str">
        <x:f>IF(155&gt;$H$4,"",MATCH(155,'Fleet dates'!$K$9:$K$1008,0)+8)</x:f>
      </x:c>
    </x:row>
    <x:row r="164" ht="36" customHeight="1">
      <x:c r="A164" s="50" t="str">
        <x:f>IF(156&gt;$H$4,"",IF(INDEX('Fleet dates'!$A$9:$A$1008,$I164-8)="","",INDEX('Fleet dates'!$A$9:$A$1008,$I164-8)))</x:f>
      </x:c>
      <x:c r="B164" s="50" t="str">
        <x:f>IF(156&gt;$H$4,"",IF(INDEX('Fleet dates'!$B$9:$B$1008,$I164-8)="","",INDEX('Fleet dates'!$B$9:$B$1008,$I164-8)))</x:f>
      </x:c>
      <x:c r="C164" s="51" t="str">
        <x:f>IF(156&gt;$H$4,"",IF(INDEX('Fleet dates'!$C$9:$C$1008,$I164-8)="","",INDEX('Fleet dates'!$C$9:$C$1008,$I164-8)))</x:f>
      </x:c>
      <x:c r="D164" s="51" t="str">
        <x:f>IF(156&gt;$H$4,"",IF(INDEX('Fleet dates'!$D$9:$D$1008,$I164-8)="","",INDEX('Fleet dates'!$D$9:$D$1008,$I164-8)))</x:f>
      </x:c>
      <x:c r="E164" s="51" t="str">
        <x:f>IF(156&gt;$H$4,"",IF(INDEX('Fleet dates'!$E$9:$E$1008,$I164-8)="","",INDEX('Fleet dates'!$E$9:$E$1008,$I164-8)))</x:f>
      </x:c>
      <x:c r="F164" s="51" t="str">
        <x:f>IF(156&gt;$H$4,"",IF(INDEX('Fleet dates'!$F$9:$F$1008,$I164-8)="","",INDEX('Fleet dates'!$F$9:$F$1008,$I164-8)))</x:f>
      </x:c>
      <x:c r="G164" s="50" t="str">
        <x:f>IF(156&gt;$H$4,"",IF(INDEX('Fleet dates'!$G$9:$G$1008,$I164-8)="","",INDEX('Fleet dates'!$G$9:$G$1008,$I164-8)))</x:f>
      </x:c>
      <x:c r="H164" s="50" t="str">
        <x:f>IF(156&gt;$H$4,"",IF(INDEX('Fleet dates'!$I$9:$I$1008,$I164-8)="","",INDEX('Fleet dates'!$I$9:$I$1008,$I164-8)))</x:f>
      </x:c>
      <x:c r="I164" t="str">
        <x:f>IF(156&gt;$H$4,"",MATCH(156,'Fleet dates'!$K$9:$K$1008,0)+8)</x:f>
      </x:c>
    </x:row>
    <x:row r="165" ht="36" customHeight="1">
      <x:c r="A165" s="50" t="str">
        <x:f>IF(157&gt;$H$4,"",IF(INDEX('Fleet dates'!$A$9:$A$1008,$I165-8)="","",INDEX('Fleet dates'!$A$9:$A$1008,$I165-8)))</x:f>
      </x:c>
      <x:c r="B165" s="50" t="str">
        <x:f>IF(157&gt;$H$4,"",IF(INDEX('Fleet dates'!$B$9:$B$1008,$I165-8)="","",INDEX('Fleet dates'!$B$9:$B$1008,$I165-8)))</x:f>
      </x:c>
      <x:c r="C165" s="51" t="str">
        <x:f>IF(157&gt;$H$4,"",IF(INDEX('Fleet dates'!$C$9:$C$1008,$I165-8)="","",INDEX('Fleet dates'!$C$9:$C$1008,$I165-8)))</x:f>
      </x:c>
      <x:c r="D165" s="51" t="str">
        <x:f>IF(157&gt;$H$4,"",IF(INDEX('Fleet dates'!$D$9:$D$1008,$I165-8)="","",INDEX('Fleet dates'!$D$9:$D$1008,$I165-8)))</x:f>
      </x:c>
      <x:c r="E165" s="51" t="str">
        <x:f>IF(157&gt;$H$4,"",IF(INDEX('Fleet dates'!$E$9:$E$1008,$I165-8)="","",INDEX('Fleet dates'!$E$9:$E$1008,$I165-8)))</x:f>
      </x:c>
      <x:c r="F165" s="51" t="str">
        <x:f>IF(157&gt;$H$4,"",IF(INDEX('Fleet dates'!$F$9:$F$1008,$I165-8)="","",INDEX('Fleet dates'!$F$9:$F$1008,$I165-8)))</x:f>
      </x:c>
      <x:c r="G165" s="50" t="str">
        <x:f>IF(157&gt;$H$4,"",IF(INDEX('Fleet dates'!$G$9:$G$1008,$I165-8)="","",INDEX('Fleet dates'!$G$9:$G$1008,$I165-8)))</x:f>
      </x:c>
      <x:c r="H165" s="50" t="str">
        <x:f>IF(157&gt;$H$4,"",IF(INDEX('Fleet dates'!$I$9:$I$1008,$I165-8)="","",INDEX('Fleet dates'!$I$9:$I$1008,$I165-8)))</x:f>
      </x:c>
      <x:c r="I165" t="str">
        <x:f>IF(157&gt;$H$4,"",MATCH(157,'Fleet dates'!$K$9:$K$1008,0)+8)</x:f>
      </x:c>
    </x:row>
    <x:row r="166" ht="36" customHeight="1">
      <x:c r="A166" s="50" t="str">
        <x:f>IF(158&gt;$H$4,"",IF(INDEX('Fleet dates'!$A$9:$A$1008,$I166-8)="","",INDEX('Fleet dates'!$A$9:$A$1008,$I166-8)))</x:f>
      </x:c>
      <x:c r="B166" s="50" t="str">
        <x:f>IF(158&gt;$H$4,"",IF(INDEX('Fleet dates'!$B$9:$B$1008,$I166-8)="","",INDEX('Fleet dates'!$B$9:$B$1008,$I166-8)))</x:f>
      </x:c>
      <x:c r="C166" s="51" t="str">
        <x:f>IF(158&gt;$H$4,"",IF(INDEX('Fleet dates'!$C$9:$C$1008,$I166-8)="","",INDEX('Fleet dates'!$C$9:$C$1008,$I166-8)))</x:f>
      </x:c>
      <x:c r="D166" s="51" t="str">
        <x:f>IF(158&gt;$H$4,"",IF(INDEX('Fleet dates'!$D$9:$D$1008,$I166-8)="","",INDEX('Fleet dates'!$D$9:$D$1008,$I166-8)))</x:f>
      </x:c>
      <x:c r="E166" s="51" t="str">
        <x:f>IF(158&gt;$H$4,"",IF(INDEX('Fleet dates'!$E$9:$E$1008,$I166-8)="","",INDEX('Fleet dates'!$E$9:$E$1008,$I166-8)))</x:f>
      </x:c>
      <x:c r="F166" s="51" t="str">
        <x:f>IF(158&gt;$H$4,"",IF(INDEX('Fleet dates'!$F$9:$F$1008,$I166-8)="","",INDEX('Fleet dates'!$F$9:$F$1008,$I166-8)))</x:f>
      </x:c>
      <x:c r="G166" s="50" t="str">
        <x:f>IF(158&gt;$H$4,"",IF(INDEX('Fleet dates'!$G$9:$G$1008,$I166-8)="","",INDEX('Fleet dates'!$G$9:$G$1008,$I166-8)))</x:f>
      </x:c>
      <x:c r="H166" s="50" t="str">
        <x:f>IF(158&gt;$H$4,"",IF(INDEX('Fleet dates'!$I$9:$I$1008,$I166-8)="","",INDEX('Fleet dates'!$I$9:$I$1008,$I166-8)))</x:f>
      </x:c>
      <x:c r="I166" t="str">
        <x:f>IF(158&gt;$H$4,"",MATCH(158,'Fleet dates'!$K$9:$K$1008,0)+8)</x:f>
      </x:c>
    </x:row>
    <x:row r="167" ht="36" customHeight="1">
      <x:c r="A167" s="50" t="str">
        <x:f>IF(159&gt;$H$4,"",IF(INDEX('Fleet dates'!$A$9:$A$1008,$I167-8)="","",INDEX('Fleet dates'!$A$9:$A$1008,$I167-8)))</x:f>
      </x:c>
      <x:c r="B167" s="50" t="str">
        <x:f>IF(159&gt;$H$4,"",IF(INDEX('Fleet dates'!$B$9:$B$1008,$I167-8)="","",INDEX('Fleet dates'!$B$9:$B$1008,$I167-8)))</x:f>
      </x:c>
      <x:c r="C167" s="51" t="str">
        <x:f>IF(159&gt;$H$4,"",IF(INDEX('Fleet dates'!$C$9:$C$1008,$I167-8)="","",INDEX('Fleet dates'!$C$9:$C$1008,$I167-8)))</x:f>
      </x:c>
      <x:c r="D167" s="51" t="str">
        <x:f>IF(159&gt;$H$4,"",IF(INDEX('Fleet dates'!$D$9:$D$1008,$I167-8)="","",INDEX('Fleet dates'!$D$9:$D$1008,$I167-8)))</x:f>
      </x:c>
      <x:c r="E167" s="51" t="str">
        <x:f>IF(159&gt;$H$4,"",IF(INDEX('Fleet dates'!$E$9:$E$1008,$I167-8)="","",INDEX('Fleet dates'!$E$9:$E$1008,$I167-8)))</x:f>
      </x:c>
      <x:c r="F167" s="51" t="str">
        <x:f>IF(159&gt;$H$4,"",IF(INDEX('Fleet dates'!$F$9:$F$1008,$I167-8)="","",INDEX('Fleet dates'!$F$9:$F$1008,$I167-8)))</x:f>
      </x:c>
      <x:c r="G167" s="50" t="str">
        <x:f>IF(159&gt;$H$4,"",IF(INDEX('Fleet dates'!$G$9:$G$1008,$I167-8)="","",INDEX('Fleet dates'!$G$9:$G$1008,$I167-8)))</x:f>
      </x:c>
      <x:c r="H167" s="50" t="str">
        <x:f>IF(159&gt;$H$4,"",IF(INDEX('Fleet dates'!$I$9:$I$1008,$I167-8)="","",INDEX('Fleet dates'!$I$9:$I$1008,$I167-8)))</x:f>
      </x:c>
      <x:c r="I167" t="str">
        <x:f>IF(159&gt;$H$4,"",MATCH(159,'Fleet dates'!$K$9:$K$1008,0)+8)</x:f>
      </x:c>
    </x:row>
    <x:row r="168" ht="36" customHeight="1">
      <x:c r="A168" s="50" t="str">
        <x:f>IF(160&gt;$H$4,"",IF(INDEX('Fleet dates'!$A$9:$A$1008,$I168-8)="","",INDEX('Fleet dates'!$A$9:$A$1008,$I168-8)))</x:f>
      </x:c>
      <x:c r="B168" s="50" t="str">
        <x:f>IF(160&gt;$H$4,"",IF(INDEX('Fleet dates'!$B$9:$B$1008,$I168-8)="","",INDEX('Fleet dates'!$B$9:$B$1008,$I168-8)))</x:f>
      </x:c>
      <x:c r="C168" s="51" t="str">
        <x:f>IF(160&gt;$H$4,"",IF(INDEX('Fleet dates'!$C$9:$C$1008,$I168-8)="","",INDEX('Fleet dates'!$C$9:$C$1008,$I168-8)))</x:f>
      </x:c>
      <x:c r="D168" s="51" t="str">
        <x:f>IF(160&gt;$H$4,"",IF(INDEX('Fleet dates'!$D$9:$D$1008,$I168-8)="","",INDEX('Fleet dates'!$D$9:$D$1008,$I168-8)))</x:f>
      </x:c>
      <x:c r="E168" s="51" t="str">
        <x:f>IF(160&gt;$H$4,"",IF(INDEX('Fleet dates'!$E$9:$E$1008,$I168-8)="","",INDEX('Fleet dates'!$E$9:$E$1008,$I168-8)))</x:f>
      </x:c>
      <x:c r="F168" s="51" t="str">
        <x:f>IF(160&gt;$H$4,"",IF(INDEX('Fleet dates'!$F$9:$F$1008,$I168-8)="","",INDEX('Fleet dates'!$F$9:$F$1008,$I168-8)))</x:f>
      </x:c>
      <x:c r="G168" s="50" t="str">
        <x:f>IF(160&gt;$H$4,"",IF(INDEX('Fleet dates'!$G$9:$G$1008,$I168-8)="","",INDEX('Fleet dates'!$G$9:$G$1008,$I168-8)))</x:f>
      </x:c>
      <x:c r="H168" s="50" t="str">
        <x:f>IF(160&gt;$H$4,"",IF(INDEX('Fleet dates'!$I$9:$I$1008,$I168-8)="","",INDEX('Fleet dates'!$I$9:$I$1008,$I168-8)))</x:f>
      </x:c>
      <x:c r="I168" t="str">
        <x:f>IF(160&gt;$H$4,"",MATCH(160,'Fleet dates'!$K$9:$K$1008,0)+8)</x:f>
      </x:c>
    </x:row>
    <x:row r="169" ht="36" customHeight="1">
      <x:c r="A169" s="50" t="str">
        <x:f>IF(161&gt;$H$4,"",IF(INDEX('Fleet dates'!$A$9:$A$1008,$I169-8)="","",INDEX('Fleet dates'!$A$9:$A$1008,$I169-8)))</x:f>
      </x:c>
      <x:c r="B169" s="50" t="str">
        <x:f>IF(161&gt;$H$4,"",IF(INDEX('Fleet dates'!$B$9:$B$1008,$I169-8)="","",INDEX('Fleet dates'!$B$9:$B$1008,$I169-8)))</x:f>
      </x:c>
      <x:c r="C169" s="51" t="str">
        <x:f>IF(161&gt;$H$4,"",IF(INDEX('Fleet dates'!$C$9:$C$1008,$I169-8)="","",INDEX('Fleet dates'!$C$9:$C$1008,$I169-8)))</x:f>
      </x:c>
      <x:c r="D169" s="51" t="str">
        <x:f>IF(161&gt;$H$4,"",IF(INDEX('Fleet dates'!$D$9:$D$1008,$I169-8)="","",INDEX('Fleet dates'!$D$9:$D$1008,$I169-8)))</x:f>
      </x:c>
      <x:c r="E169" s="51" t="str">
        <x:f>IF(161&gt;$H$4,"",IF(INDEX('Fleet dates'!$E$9:$E$1008,$I169-8)="","",INDEX('Fleet dates'!$E$9:$E$1008,$I169-8)))</x:f>
      </x:c>
      <x:c r="F169" s="51" t="str">
        <x:f>IF(161&gt;$H$4,"",IF(INDEX('Fleet dates'!$F$9:$F$1008,$I169-8)="","",INDEX('Fleet dates'!$F$9:$F$1008,$I169-8)))</x:f>
      </x:c>
      <x:c r="G169" s="50" t="str">
        <x:f>IF(161&gt;$H$4,"",IF(INDEX('Fleet dates'!$G$9:$G$1008,$I169-8)="","",INDEX('Fleet dates'!$G$9:$G$1008,$I169-8)))</x:f>
      </x:c>
      <x:c r="H169" s="50" t="str">
        <x:f>IF(161&gt;$H$4,"",IF(INDEX('Fleet dates'!$I$9:$I$1008,$I169-8)="","",INDEX('Fleet dates'!$I$9:$I$1008,$I169-8)))</x:f>
      </x:c>
      <x:c r="I169" t="str">
        <x:f>IF(161&gt;$H$4,"",MATCH(161,'Fleet dates'!$K$9:$K$1008,0)+8)</x:f>
      </x:c>
    </x:row>
    <x:row r="170" ht="36" customHeight="1">
      <x:c r="A170" s="50" t="str">
        <x:f>IF(162&gt;$H$4,"",IF(INDEX('Fleet dates'!$A$9:$A$1008,$I170-8)="","",INDEX('Fleet dates'!$A$9:$A$1008,$I170-8)))</x:f>
      </x:c>
      <x:c r="B170" s="50" t="str">
        <x:f>IF(162&gt;$H$4,"",IF(INDEX('Fleet dates'!$B$9:$B$1008,$I170-8)="","",INDEX('Fleet dates'!$B$9:$B$1008,$I170-8)))</x:f>
      </x:c>
      <x:c r="C170" s="51" t="str">
        <x:f>IF(162&gt;$H$4,"",IF(INDEX('Fleet dates'!$C$9:$C$1008,$I170-8)="","",INDEX('Fleet dates'!$C$9:$C$1008,$I170-8)))</x:f>
      </x:c>
      <x:c r="D170" s="51" t="str">
        <x:f>IF(162&gt;$H$4,"",IF(INDEX('Fleet dates'!$D$9:$D$1008,$I170-8)="","",INDEX('Fleet dates'!$D$9:$D$1008,$I170-8)))</x:f>
      </x:c>
      <x:c r="E170" s="51" t="str">
        <x:f>IF(162&gt;$H$4,"",IF(INDEX('Fleet dates'!$E$9:$E$1008,$I170-8)="","",INDEX('Fleet dates'!$E$9:$E$1008,$I170-8)))</x:f>
      </x:c>
      <x:c r="F170" s="51" t="str">
        <x:f>IF(162&gt;$H$4,"",IF(INDEX('Fleet dates'!$F$9:$F$1008,$I170-8)="","",INDEX('Fleet dates'!$F$9:$F$1008,$I170-8)))</x:f>
      </x:c>
      <x:c r="G170" s="50" t="str">
        <x:f>IF(162&gt;$H$4,"",IF(INDEX('Fleet dates'!$G$9:$G$1008,$I170-8)="","",INDEX('Fleet dates'!$G$9:$G$1008,$I170-8)))</x:f>
      </x:c>
      <x:c r="H170" s="50" t="str">
        <x:f>IF(162&gt;$H$4,"",IF(INDEX('Fleet dates'!$I$9:$I$1008,$I170-8)="","",INDEX('Fleet dates'!$I$9:$I$1008,$I170-8)))</x:f>
      </x:c>
      <x:c r="I170" t="str">
        <x:f>IF(162&gt;$H$4,"",MATCH(162,'Fleet dates'!$K$9:$K$1008,0)+8)</x:f>
      </x:c>
    </x:row>
    <x:row r="171" ht="36" customHeight="1">
      <x:c r="A171" s="50" t="str">
        <x:f>IF(163&gt;$H$4,"",IF(INDEX('Fleet dates'!$A$9:$A$1008,$I171-8)="","",INDEX('Fleet dates'!$A$9:$A$1008,$I171-8)))</x:f>
      </x:c>
      <x:c r="B171" s="50" t="str">
        <x:f>IF(163&gt;$H$4,"",IF(INDEX('Fleet dates'!$B$9:$B$1008,$I171-8)="","",INDEX('Fleet dates'!$B$9:$B$1008,$I171-8)))</x:f>
      </x:c>
      <x:c r="C171" s="51" t="str">
        <x:f>IF(163&gt;$H$4,"",IF(INDEX('Fleet dates'!$C$9:$C$1008,$I171-8)="","",INDEX('Fleet dates'!$C$9:$C$1008,$I171-8)))</x:f>
      </x:c>
      <x:c r="D171" s="51" t="str">
        <x:f>IF(163&gt;$H$4,"",IF(INDEX('Fleet dates'!$D$9:$D$1008,$I171-8)="","",INDEX('Fleet dates'!$D$9:$D$1008,$I171-8)))</x:f>
      </x:c>
      <x:c r="E171" s="51" t="str">
        <x:f>IF(163&gt;$H$4,"",IF(INDEX('Fleet dates'!$E$9:$E$1008,$I171-8)="","",INDEX('Fleet dates'!$E$9:$E$1008,$I171-8)))</x:f>
      </x:c>
      <x:c r="F171" s="51" t="str">
        <x:f>IF(163&gt;$H$4,"",IF(INDEX('Fleet dates'!$F$9:$F$1008,$I171-8)="","",INDEX('Fleet dates'!$F$9:$F$1008,$I171-8)))</x:f>
      </x:c>
      <x:c r="G171" s="50" t="str">
        <x:f>IF(163&gt;$H$4,"",IF(INDEX('Fleet dates'!$G$9:$G$1008,$I171-8)="","",INDEX('Fleet dates'!$G$9:$G$1008,$I171-8)))</x:f>
      </x:c>
      <x:c r="H171" s="50" t="str">
        <x:f>IF(163&gt;$H$4,"",IF(INDEX('Fleet dates'!$I$9:$I$1008,$I171-8)="","",INDEX('Fleet dates'!$I$9:$I$1008,$I171-8)))</x:f>
      </x:c>
      <x:c r="I171" t="str">
        <x:f>IF(163&gt;$H$4,"",MATCH(163,'Fleet dates'!$K$9:$K$1008,0)+8)</x:f>
      </x:c>
    </x:row>
    <x:row r="172" ht="36" customHeight="1">
      <x:c r="A172" s="50" t="str">
        <x:f>IF(164&gt;$H$4,"",IF(INDEX('Fleet dates'!$A$9:$A$1008,$I172-8)="","",INDEX('Fleet dates'!$A$9:$A$1008,$I172-8)))</x:f>
      </x:c>
      <x:c r="B172" s="50" t="str">
        <x:f>IF(164&gt;$H$4,"",IF(INDEX('Fleet dates'!$B$9:$B$1008,$I172-8)="","",INDEX('Fleet dates'!$B$9:$B$1008,$I172-8)))</x:f>
      </x:c>
      <x:c r="C172" s="51" t="str">
        <x:f>IF(164&gt;$H$4,"",IF(INDEX('Fleet dates'!$C$9:$C$1008,$I172-8)="","",INDEX('Fleet dates'!$C$9:$C$1008,$I172-8)))</x:f>
      </x:c>
      <x:c r="D172" s="51" t="str">
        <x:f>IF(164&gt;$H$4,"",IF(INDEX('Fleet dates'!$D$9:$D$1008,$I172-8)="","",INDEX('Fleet dates'!$D$9:$D$1008,$I172-8)))</x:f>
      </x:c>
      <x:c r="E172" s="51" t="str">
        <x:f>IF(164&gt;$H$4,"",IF(INDEX('Fleet dates'!$E$9:$E$1008,$I172-8)="","",INDEX('Fleet dates'!$E$9:$E$1008,$I172-8)))</x:f>
      </x:c>
      <x:c r="F172" s="51" t="str">
        <x:f>IF(164&gt;$H$4,"",IF(INDEX('Fleet dates'!$F$9:$F$1008,$I172-8)="","",INDEX('Fleet dates'!$F$9:$F$1008,$I172-8)))</x:f>
      </x:c>
      <x:c r="G172" s="50" t="str">
        <x:f>IF(164&gt;$H$4,"",IF(INDEX('Fleet dates'!$G$9:$G$1008,$I172-8)="","",INDEX('Fleet dates'!$G$9:$G$1008,$I172-8)))</x:f>
      </x:c>
      <x:c r="H172" s="50" t="str">
        <x:f>IF(164&gt;$H$4,"",IF(INDEX('Fleet dates'!$I$9:$I$1008,$I172-8)="","",INDEX('Fleet dates'!$I$9:$I$1008,$I172-8)))</x:f>
      </x:c>
      <x:c r="I172" t="str">
        <x:f>IF(164&gt;$H$4,"",MATCH(164,'Fleet dates'!$K$9:$K$1008,0)+8)</x:f>
      </x:c>
    </x:row>
    <x:row r="173" ht="36" customHeight="1">
      <x:c r="A173" s="50" t="str">
        <x:f>IF(165&gt;$H$4,"",IF(INDEX('Fleet dates'!$A$9:$A$1008,$I173-8)="","",INDEX('Fleet dates'!$A$9:$A$1008,$I173-8)))</x:f>
      </x:c>
      <x:c r="B173" s="50" t="str">
        <x:f>IF(165&gt;$H$4,"",IF(INDEX('Fleet dates'!$B$9:$B$1008,$I173-8)="","",INDEX('Fleet dates'!$B$9:$B$1008,$I173-8)))</x:f>
      </x:c>
      <x:c r="C173" s="51" t="str">
        <x:f>IF(165&gt;$H$4,"",IF(INDEX('Fleet dates'!$C$9:$C$1008,$I173-8)="","",INDEX('Fleet dates'!$C$9:$C$1008,$I173-8)))</x:f>
      </x:c>
      <x:c r="D173" s="51" t="str">
        <x:f>IF(165&gt;$H$4,"",IF(INDEX('Fleet dates'!$D$9:$D$1008,$I173-8)="","",INDEX('Fleet dates'!$D$9:$D$1008,$I173-8)))</x:f>
      </x:c>
      <x:c r="E173" s="51" t="str">
        <x:f>IF(165&gt;$H$4,"",IF(INDEX('Fleet dates'!$E$9:$E$1008,$I173-8)="","",INDEX('Fleet dates'!$E$9:$E$1008,$I173-8)))</x:f>
      </x:c>
      <x:c r="F173" s="51" t="str">
        <x:f>IF(165&gt;$H$4,"",IF(INDEX('Fleet dates'!$F$9:$F$1008,$I173-8)="","",INDEX('Fleet dates'!$F$9:$F$1008,$I173-8)))</x:f>
      </x:c>
      <x:c r="G173" s="50" t="str">
        <x:f>IF(165&gt;$H$4,"",IF(INDEX('Fleet dates'!$G$9:$G$1008,$I173-8)="","",INDEX('Fleet dates'!$G$9:$G$1008,$I173-8)))</x:f>
      </x:c>
      <x:c r="H173" s="50" t="str">
        <x:f>IF(165&gt;$H$4,"",IF(INDEX('Fleet dates'!$I$9:$I$1008,$I173-8)="","",INDEX('Fleet dates'!$I$9:$I$1008,$I173-8)))</x:f>
      </x:c>
      <x:c r="I173" t="str">
        <x:f>IF(165&gt;$H$4,"",MATCH(165,'Fleet dates'!$K$9:$K$1008,0)+8)</x:f>
      </x:c>
    </x:row>
    <x:row r="174" ht="36" customHeight="1">
      <x:c r="A174" s="50" t="str">
        <x:f>IF(166&gt;$H$4,"",IF(INDEX('Fleet dates'!$A$9:$A$1008,$I174-8)="","",INDEX('Fleet dates'!$A$9:$A$1008,$I174-8)))</x:f>
      </x:c>
      <x:c r="B174" s="50" t="str">
        <x:f>IF(166&gt;$H$4,"",IF(INDEX('Fleet dates'!$B$9:$B$1008,$I174-8)="","",INDEX('Fleet dates'!$B$9:$B$1008,$I174-8)))</x:f>
      </x:c>
      <x:c r="C174" s="51" t="str">
        <x:f>IF(166&gt;$H$4,"",IF(INDEX('Fleet dates'!$C$9:$C$1008,$I174-8)="","",INDEX('Fleet dates'!$C$9:$C$1008,$I174-8)))</x:f>
      </x:c>
      <x:c r="D174" s="51" t="str">
        <x:f>IF(166&gt;$H$4,"",IF(INDEX('Fleet dates'!$D$9:$D$1008,$I174-8)="","",INDEX('Fleet dates'!$D$9:$D$1008,$I174-8)))</x:f>
      </x:c>
      <x:c r="E174" s="51" t="str">
        <x:f>IF(166&gt;$H$4,"",IF(INDEX('Fleet dates'!$E$9:$E$1008,$I174-8)="","",INDEX('Fleet dates'!$E$9:$E$1008,$I174-8)))</x:f>
      </x:c>
      <x:c r="F174" s="51" t="str">
        <x:f>IF(166&gt;$H$4,"",IF(INDEX('Fleet dates'!$F$9:$F$1008,$I174-8)="","",INDEX('Fleet dates'!$F$9:$F$1008,$I174-8)))</x:f>
      </x:c>
      <x:c r="G174" s="50" t="str">
        <x:f>IF(166&gt;$H$4,"",IF(INDEX('Fleet dates'!$G$9:$G$1008,$I174-8)="","",INDEX('Fleet dates'!$G$9:$G$1008,$I174-8)))</x:f>
      </x:c>
      <x:c r="H174" s="50" t="str">
        <x:f>IF(166&gt;$H$4,"",IF(INDEX('Fleet dates'!$I$9:$I$1008,$I174-8)="","",INDEX('Fleet dates'!$I$9:$I$1008,$I174-8)))</x:f>
      </x:c>
      <x:c r="I174" t="str">
        <x:f>IF(166&gt;$H$4,"",MATCH(166,'Fleet dates'!$K$9:$K$1008,0)+8)</x:f>
      </x:c>
    </x:row>
    <x:row r="175" ht="36" customHeight="1">
      <x:c r="A175" s="50" t="str">
        <x:f>IF(167&gt;$H$4,"",IF(INDEX('Fleet dates'!$A$9:$A$1008,$I175-8)="","",INDEX('Fleet dates'!$A$9:$A$1008,$I175-8)))</x:f>
      </x:c>
      <x:c r="B175" s="50" t="str">
        <x:f>IF(167&gt;$H$4,"",IF(INDEX('Fleet dates'!$B$9:$B$1008,$I175-8)="","",INDEX('Fleet dates'!$B$9:$B$1008,$I175-8)))</x:f>
      </x:c>
      <x:c r="C175" s="51" t="str">
        <x:f>IF(167&gt;$H$4,"",IF(INDEX('Fleet dates'!$C$9:$C$1008,$I175-8)="","",INDEX('Fleet dates'!$C$9:$C$1008,$I175-8)))</x:f>
      </x:c>
      <x:c r="D175" s="51" t="str">
        <x:f>IF(167&gt;$H$4,"",IF(INDEX('Fleet dates'!$D$9:$D$1008,$I175-8)="","",INDEX('Fleet dates'!$D$9:$D$1008,$I175-8)))</x:f>
      </x:c>
      <x:c r="E175" s="51" t="str">
        <x:f>IF(167&gt;$H$4,"",IF(INDEX('Fleet dates'!$E$9:$E$1008,$I175-8)="","",INDEX('Fleet dates'!$E$9:$E$1008,$I175-8)))</x:f>
      </x:c>
      <x:c r="F175" s="51" t="str">
        <x:f>IF(167&gt;$H$4,"",IF(INDEX('Fleet dates'!$F$9:$F$1008,$I175-8)="","",INDEX('Fleet dates'!$F$9:$F$1008,$I175-8)))</x:f>
      </x:c>
      <x:c r="G175" s="50" t="str">
        <x:f>IF(167&gt;$H$4,"",IF(INDEX('Fleet dates'!$G$9:$G$1008,$I175-8)="","",INDEX('Fleet dates'!$G$9:$G$1008,$I175-8)))</x:f>
      </x:c>
      <x:c r="H175" s="50" t="str">
        <x:f>IF(167&gt;$H$4,"",IF(INDEX('Fleet dates'!$I$9:$I$1008,$I175-8)="","",INDEX('Fleet dates'!$I$9:$I$1008,$I175-8)))</x:f>
      </x:c>
      <x:c r="I175" t="str">
        <x:f>IF(167&gt;$H$4,"",MATCH(167,'Fleet dates'!$K$9:$K$1008,0)+8)</x:f>
      </x:c>
    </x:row>
    <x:row r="176" ht="36" customHeight="1">
      <x:c r="A176" s="50" t="str">
        <x:f>IF(168&gt;$H$4,"",IF(INDEX('Fleet dates'!$A$9:$A$1008,$I176-8)="","",INDEX('Fleet dates'!$A$9:$A$1008,$I176-8)))</x:f>
      </x:c>
      <x:c r="B176" s="50" t="str">
        <x:f>IF(168&gt;$H$4,"",IF(INDEX('Fleet dates'!$B$9:$B$1008,$I176-8)="","",INDEX('Fleet dates'!$B$9:$B$1008,$I176-8)))</x:f>
      </x:c>
      <x:c r="C176" s="51" t="str">
        <x:f>IF(168&gt;$H$4,"",IF(INDEX('Fleet dates'!$C$9:$C$1008,$I176-8)="","",INDEX('Fleet dates'!$C$9:$C$1008,$I176-8)))</x:f>
      </x:c>
      <x:c r="D176" s="51" t="str">
        <x:f>IF(168&gt;$H$4,"",IF(INDEX('Fleet dates'!$D$9:$D$1008,$I176-8)="","",INDEX('Fleet dates'!$D$9:$D$1008,$I176-8)))</x:f>
      </x:c>
      <x:c r="E176" s="51" t="str">
        <x:f>IF(168&gt;$H$4,"",IF(INDEX('Fleet dates'!$E$9:$E$1008,$I176-8)="","",INDEX('Fleet dates'!$E$9:$E$1008,$I176-8)))</x:f>
      </x:c>
      <x:c r="F176" s="51" t="str">
        <x:f>IF(168&gt;$H$4,"",IF(INDEX('Fleet dates'!$F$9:$F$1008,$I176-8)="","",INDEX('Fleet dates'!$F$9:$F$1008,$I176-8)))</x:f>
      </x:c>
      <x:c r="G176" s="50" t="str">
        <x:f>IF(168&gt;$H$4,"",IF(INDEX('Fleet dates'!$G$9:$G$1008,$I176-8)="","",INDEX('Fleet dates'!$G$9:$G$1008,$I176-8)))</x:f>
      </x:c>
      <x:c r="H176" s="50" t="str">
        <x:f>IF(168&gt;$H$4,"",IF(INDEX('Fleet dates'!$I$9:$I$1008,$I176-8)="","",INDEX('Fleet dates'!$I$9:$I$1008,$I176-8)))</x:f>
      </x:c>
      <x:c r="I176" t="str">
        <x:f>IF(168&gt;$H$4,"",MATCH(168,'Fleet dates'!$K$9:$K$1008,0)+8)</x:f>
      </x:c>
    </x:row>
    <x:row r="177" ht="36" customHeight="1">
      <x:c r="A177" s="50" t="str">
        <x:f>IF(169&gt;$H$4,"",IF(INDEX('Fleet dates'!$A$9:$A$1008,$I177-8)="","",INDEX('Fleet dates'!$A$9:$A$1008,$I177-8)))</x:f>
      </x:c>
      <x:c r="B177" s="50" t="str">
        <x:f>IF(169&gt;$H$4,"",IF(INDEX('Fleet dates'!$B$9:$B$1008,$I177-8)="","",INDEX('Fleet dates'!$B$9:$B$1008,$I177-8)))</x:f>
      </x:c>
      <x:c r="C177" s="51" t="str">
        <x:f>IF(169&gt;$H$4,"",IF(INDEX('Fleet dates'!$C$9:$C$1008,$I177-8)="","",INDEX('Fleet dates'!$C$9:$C$1008,$I177-8)))</x:f>
      </x:c>
      <x:c r="D177" s="51" t="str">
        <x:f>IF(169&gt;$H$4,"",IF(INDEX('Fleet dates'!$D$9:$D$1008,$I177-8)="","",INDEX('Fleet dates'!$D$9:$D$1008,$I177-8)))</x:f>
      </x:c>
      <x:c r="E177" s="51" t="str">
        <x:f>IF(169&gt;$H$4,"",IF(INDEX('Fleet dates'!$E$9:$E$1008,$I177-8)="","",INDEX('Fleet dates'!$E$9:$E$1008,$I177-8)))</x:f>
      </x:c>
      <x:c r="F177" s="51" t="str">
        <x:f>IF(169&gt;$H$4,"",IF(INDEX('Fleet dates'!$F$9:$F$1008,$I177-8)="","",INDEX('Fleet dates'!$F$9:$F$1008,$I177-8)))</x:f>
      </x:c>
      <x:c r="G177" s="50" t="str">
        <x:f>IF(169&gt;$H$4,"",IF(INDEX('Fleet dates'!$G$9:$G$1008,$I177-8)="","",INDEX('Fleet dates'!$G$9:$G$1008,$I177-8)))</x:f>
      </x:c>
      <x:c r="H177" s="50" t="str">
        <x:f>IF(169&gt;$H$4,"",IF(INDEX('Fleet dates'!$I$9:$I$1008,$I177-8)="","",INDEX('Fleet dates'!$I$9:$I$1008,$I177-8)))</x:f>
      </x:c>
      <x:c r="I177" t="str">
        <x:f>IF(169&gt;$H$4,"",MATCH(169,'Fleet dates'!$K$9:$K$1008,0)+8)</x:f>
      </x:c>
    </x:row>
    <x:row r="178" ht="36" customHeight="1">
      <x:c r="A178" s="50" t="str">
        <x:f>IF(170&gt;$H$4,"",IF(INDEX('Fleet dates'!$A$9:$A$1008,$I178-8)="","",INDEX('Fleet dates'!$A$9:$A$1008,$I178-8)))</x:f>
      </x:c>
      <x:c r="B178" s="50" t="str">
        <x:f>IF(170&gt;$H$4,"",IF(INDEX('Fleet dates'!$B$9:$B$1008,$I178-8)="","",INDEX('Fleet dates'!$B$9:$B$1008,$I178-8)))</x:f>
      </x:c>
      <x:c r="C178" s="51" t="str">
        <x:f>IF(170&gt;$H$4,"",IF(INDEX('Fleet dates'!$C$9:$C$1008,$I178-8)="","",INDEX('Fleet dates'!$C$9:$C$1008,$I178-8)))</x:f>
      </x:c>
      <x:c r="D178" s="51" t="str">
        <x:f>IF(170&gt;$H$4,"",IF(INDEX('Fleet dates'!$D$9:$D$1008,$I178-8)="","",INDEX('Fleet dates'!$D$9:$D$1008,$I178-8)))</x:f>
      </x:c>
      <x:c r="E178" s="51" t="str">
        <x:f>IF(170&gt;$H$4,"",IF(INDEX('Fleet dates'!$E$9:$E$1008,$I178-8)="","",INDEX('Fleet dates'!$E$9:$E$1008,$I178-8)))</x:f>
      </x:c>
      <x:c r="F178" s="51" t="str">
        <x:f>IF(170&gt;$H$4,"",IF(INDEX('Fleet dates'!$F$9:$F$1008,$I178-8)="","",INDEX('Fleet dates'!$F$9:$F$1008,$I178-8)))</x:f>
      </x:c>
      <x:c r="G178" s="50" t="str">
        <x:f>IF(170&gt;$H$4,"",IF(INDEX('Fleet dates'!$G$9:$G$1008,$I178-8)="","",INDEX('Fleet dates'!$G$9:$G$1008,$I178-8)))</x:f>
      </x:c>
      <x:c r="H178" s="50" t="str">
        <x:f>IF(170&gt;$H$4,"",IF(INDEX('Fleet dates'!$I$9:$I$1008,$I178-8)="","",INDEX('Fleet dates'!$I$9:$I$1008,$I178-8)))</x:f>
      </x:c>
      <x:c r="I178" t="str">
        <x:f>IF(170&gt;$H$4,"",MATCH(170,'Fleet dates'!$K$9:$K$1008,0)+8)</x:f>
      </x:c>
    </x:row>
    <x:row r="179" ht="36" customHeight="1">
      <x:c r="A179" s="50" t="str">
        <x:f>IF(171&gt;$H$4,"",IF(INDEX('Fleet dates'!$A$9:$A$1008,$I179-8)="","",INDEX('Fleet dates'!$A$9:$A$1008,$I179-8)))</x:f>
      </x:c>
      <x:c r="B179" s="50" t="str">
        <x:f>IF(171&gt;$H$4,"",IF(INDEX('Fleet dates'!$B$9:$B$1008,$I179-8)="","",INDEX('Fleet dates'!$B$9:$B$1008,$I179-8)))</x:f>
      </x:c>
      <x:c r="C179" s="51" t="str">
        <x:f>IF(171&gt;$H$4,"",IF(INDEX('Fleet dates'!$C$9:$C$1008,$I179-8)="","",INDEX('Fleet dates'!$C$9:$C$1008,$I179-8)))</x:f>
      </x:c>
      <x:c r="D179" s="51" t="str">
        <x:f>IF(171&gt;$H$4,"",IF(INDEX('Fleet dates'!$D$9:$D$1008,$I179-8)="","",INDEX('Fleet dates'!$D$9:$D$1008,$I179-8)))</x:f>
      </x:c>
      <x:c r="E179" s="51" t="str">
        <x:f>IF(171&gt;$H$4,"",IF(INDEX('Fleet dates'!$E$9:$E$1008,$I179-8)="","",INDEX('Fleet dates'!$E$9:$E$1008,$I179-8)))</x:f>
      </x:c>
      <x:c r="F179" s="51" t="str">
        <x:f>IF(171&gt;$H$4,"",IF(INDEX('Fleet dates'!$F$9:$F$1008,$I179-8)="","",INDEX('Fleet dates'!$F$9:$F$1008,$I179-8)))</x:f>
      </x:c>
      <x:c r="G179" s="50" t="str">
        <x:f>IF(171&gt;$H$4,"",IF(INDEX('Fleet dates'!$G$9:$G$1008,$I179-8)="","",INDEX('Fleet dates'!$G$9:$G$1008,$I179-8)))</x:f>
      </x:c>
      <x:c r="H179" s="50" t="str">
        <x:f>IF(171&gt;$H$4,"",IF(INDEX('Fleet dates'!$I$9:$I$1008,$I179-8)="","",INDEX('Fleet dates'!$I$9:$I$1008,$I179-8)))</x:f>
      </x:c>
      <x:c r="I179" t="str">
        <x:f>IF(171&gt;$H$4,"",MATCH(171,'Fleet dates'!$K$9:$K$1008,0)+8)</x:f>
      </x:c>
    </x:row>
    <x:row r="180" ht="36" customHeight="1">
      <x:c r="A180" s="50" t="str">
        <x:f>IF(172&gt;$H$4,"",IF(INDEX('Fleet dates'!$A$9:$A$1008,$I180-8)="","",INDEX('Fleet dates'!$A$9:$A$1008,$I180-8)))</x:f>
      </x:c>
      <x:c r="B180" s="50" t="str">
        <x:f>IF(172&gt;$H$4,"",IF(INDEX('Fleet dates'!$B$9:$B$1008,$I180-8)="","",INDEX('Fleet dates'!$B$9:$B$1008,$I180-8)))</x:f>
      </x:c>
      <x:c r="C180" s="51" t="str">
        <x:f>IF(172&gt;$H$4,"",IF(INDEX('Fleet dates'!$C$9:$C$1008,$I180-8)="","",INDEX('Fleet dates'!$C$9:$C$1008,$I180-8)))</x:f>
      </x:c>
      <x:c r="D180" s="51" t="str">
        <x:f>IF(172&gt;$H$4,"",IF(INDEX('Fleet dates'!$D$9:$D$1008,$I180-8)="","",INDEX('Fleet dates'!$D$9:$D$1008,$I180-8)))</x:f>
      </x:c>
      <x:c r="E180" s="51" t="str">
        <x:f>IF(172&gt;$H$4,"",IF(INDEX('Fleet dates'!$E$9:$E$1008,$I180-8)="","",INDEX('Fleet dates'!$E$9:$E$1008,$I180-8)))</x:f>
      </x:c>
      <x:c r="F180" s="51" t="str">
        <x:f>IF(172&gt;$H$4,"",IF(INDEX('Fleet dates'!$F$9:$F$1008,$I180-8)="","",INDEX('Fleet dates'!$F$9:$F$1008,$I180-8)))</x:f>
      </x:c>
      <x:c r="G180" s="50" t="str">
        <x:f>IF(172&gt;$H$4,"",IF(INDEX('Fleet dates'!$G$9:$G$1008,$I180-8)="","",INDEX('Fleet dates'!$G$9:$G$1008,$I180-8)))</x:f>
      </x:c>
      <x:c r="H180" s="50" t="str">
        <x:f>IF(172&gt;$H$4,"",IF(INDEX('Fleet dates'!$I$9:$I$1008,$I180-8)="","",INDEX('Fleet dates'!$I$9:$I$1008,$I180-8)))</x:f>
      </x:c>
      <x:c r="I180" t="str">
        <x:f>IF(172&gt;$H$4,"",MATCH(172,'Fleet dates'!$K$9:$K$1008,0)+8)</x:f>
      </x:c>
    </x:row>
    <x:row r="181" ht="36" customHeight="1">
      <x:c r="A181" s="50" t="str">
        <x:f>IF(173&gt;$H$4,"",IF(INDEX('Fleet dates'!$A$9:$A$1008,$I181-8)="","",INDEX('Fleet dates'!$A$9:$A$1008,$I181-8)))</x:f>
      </x:c>
      <x:c r="B181" s="50" t="str">
        <x:f>IF(173&gt;$H$4,"",IF(INDEX('Fleet dates'!$B$9:$B$1008,$I181-8)="","",INDEX('Fleet dates'!$B$9:$B$1008,$I181-8)))</x:f>
      </x:c>
      <x:c r="C181" s="51" t="str">
        <x:f>IF(173&gt;$H$4,"",IF(INDEX('Fleet dates'!$C$9:$C$1008,$I181-8)="","",INDEX('Fleet dates'!$C$9:$C$1008,$I181-8)))</x:f>
      </x:c>
      <x:c r="D181" s="51" t="str">
        <x:f>IF(173&gt;$H$4,"",IF(INDEX('Fleet dates'!$D$9:$D$1008,$I181-8)="","",INDEX('Fleet dates'!$D$9:$D$1008,$I181-8)))</x:f>
      </x:c>
      <x:c r="E181" s="51" t="str">
        <x:f>IF(173&gt;$H$4,"",IF(INDEX('Fleet dates'!$E$9:$E$1008,$I181-8)="","",INDEX('Fleet dates'!$E$9:$E$1008,$I181-8)))</x:f>
      </x:c>
      <x:c r="F181" s="51" t="str">
        <x:f>IF(173&gt;$H$4,"",IF(INDEX('Fleet dates'!$F$9:$F$1008,$I181-8)="","",INDEX('Fleet dates'!$F$9:$F$1008,$I181-8)))</x:f>
      </x:c>
      <x:c r="G181" s="50" t="str">
        <x:f>IF(173&gt;$H$4,"",IF(INDEX('Fleet dates'!$G$9:$G$1008,$I181-8)="","",INDEX('Fleet dates'!$G$9:$G$1008,$I181-8)))</x:f>
      </x:c>
      <x:c r="H181" s="50" t="str">
        <x:f>IF(173&gt;$H$4,"",IF(INDEX('Fleet dates'!$I$9:$I$1008,$I181-8)="","",INDEX('Fleet dates'!$I$9:$I$1008,$I181-8)))</x:f>
      </x:c>
      <x:c r="I181" t="str">
        <x:f>IF(173&gt;$H$4,"",MATCH(173,'Fleet dates'!$K$9:$K$1008,0)+8)</x:f>
      </x:c>
    </x:row>
    <x:row r="182" ht="36" customHeight="1">
      <x:c r="A182" s="50" t="str">
        <x:f>IF(174&gt;$H$4,"",IF(INDEX('Fleet dates'!$A$9:$A$1008,$I182-8)="","",INDEX('Fleet dates'!$A$9:$A$1008,$I182-8)))</x:f>
      </x:c>
      <x:c r="B182" s="50" t="str">
        <x:f>IF(174&gt;$H$4,"",IF(INDEX('Fleet dates'!$B$9:$B$1008,$I182-8)="","",INDEX('Fleet dates'!$B$9:$B$1008,$I182-8)))</x:f>
      </x:c>
      <x:c r="C182" s="51" t="str">
        <x:f>IF(174&gt;$H$4,"",IF(INDEX('Fleet dates'!$C$9:$C$1008,$I182-8)="","",INDEX('Fleet dates'!$C$9:$C$1008,$I182-8)))</x:f>
      </x:c>
      <x:c r="D182" s="51" t="str">
        <x:f>IF(174&gt;$H$4,"",IF(INDEX('Fleet dates'!$D$9:$D$1008,$I182-8)="","",INDEX('Fleet dates'!$D$9:$D$1008,$I182-8)))</x:f>
      </x:c>
      <x:c r="E182" s="51" t="str">
        <x:f>IF(174&gt;$H$4,"",IF(INDEX('Fleet dates'!$E$9:$E$1008,$I182-8)="","",INDEX('Fleet dates'!$E$9:$E$1008,$I182-8)))</x:f>
      </x:c>
      <x:c r="F182" s="51" t="str">
        <x:f>IF(174&gt;$H$4,"",IF(INDEX('Fleet dates'!$F$9:$F$1008,$I182-8)="","",INDEX('Fleet dates'!$F$9:$F$1008,$I182-8)))</x:f>
      </x:c>
      <x:c r="G182" s="50" t="str">
        <x:f>IF(174&gt;$H$4,"",IF(INDEX('Fleet dates'!$G$9:$G$1008,$I182-8)="","",INDEX('Fleet dates'!$G$9:$G$1008,$I182-8)))</x:f>
      </x:c>
      <x:c r="H182" s="50" t="str">
        <x:f>IF(174&gt;$H$4,"",IF(INDEX('Fleet dates'!$I$9:$I$1008,$I182-8)="","",INDEX('Fleet dates'!$I$9:$I$1008,$I182-8)))</x:f>
      </x:c>
      <x:c r="I182" t="str">
        <x:f>IF(174&gt;$H$4,"",MATCH(174,'Fleet dates'!$K$9:$K$1008,0)+8)</x:f>
      </x:c>
    </x:row>
    <x:row r="183" ht="36" customHeight="1">
      <x:c r="A183" s="50" t="str">
        <x:f>IF(175&gt;$H$4,"",IF(INDEX('Fleet dates'!$A$9:$A$1008,$I183-8)="","",INDEX('Fleet dates'!$A$9:$A$1008,$I183-8)))</x:f>
      </x:c>
      <x:c r="B183" s="50" t="str">
        <x:f>IF(175&gt;$H$4,"",IF(INDEX('Fleet dates'!$B$9:$B$1008,$I183-8)="","",INDEX('Fleet dates'!$B$9:$B$1008,$I183-8)))</x:f>
      </x:c>
      <x:c r="C183" s="51" t="str">
        <x:f>IF(175&gt;$H$4,"",IF(INDEX('Fleet dates'!$C$9:$C$1008,$I183-8)="","",INDEX('Fleet dates'!$C$9:$C$1008,$I183-8)))</x:f>
      </x:c>
      <x:c r="D183" s="51" t="str">
        <x:f>IF(175&gt;$H$4,"",IF(INDEX('Fleet dates'!$D$9:$D$1008,$I183-8)="","",INDEX('Fleet dates'!$D$9:$D$1008,$I183-8)))</x:f>
      </x:c>
      <x:c r="E183" s="51" t="str">
        <x:f>IF(175&gt;$H$4,"",IF(INDEX('Fleet dates'!$E$9:$E$1008,$I183-8)="","",INDEX('Fleet dates'!$E$9:$E$1008,$I183-8)))</x:f>
      </x:c>
      <x:c r="F183" s="51" t="str">
        <x:f>IF(175&gt;$H$4,"",IF(INDEX('Fleet dates'!$F$9:$F$1008,$I183-8)="","",INDEX('Fleet dates'!$F$9:$F$1008,$I183-8)))</x:f>
      </x:c>
      <x:c r="G183" s="50" t="str">
        <x:f>IF(175&gt;$H$4,"",IF(INDEX('Fleet dates'!$G$9:$G$1008,$I183-8)="","",INDEX('Fleet dates'!$G$9:$G$1008,$I183-8)))</x:f>
      </x:c>
      <x:c r="H183" s="50" t="str">
        <x:f>IF(175&gt;$H$4,"",IF(INDEX('Fleet dates'!$I$9:$I$1008,$I183-8)="","",INDEX('Fleet dates'!$I$9:$I$1008,$I183-8)))</x:f>
      </x:c>
      <x:c r="I183" t="str">
        <x:f>IF(175&gt;$H$4,"",MATCH(175,'Fleet dates'!$K$9:$K$1008,0)+8)</x:f>
      </x:c>
    </x:row>
    <x:row r="184" ht="36" customHeight="1">
      <x:c r="A184" s="50" t="str">
        <x:f>IF(176&gt;$H$4,"",IF(INDEX('Fleet dates'!$A$9:$A$1008,$I184-8)="","",INDEX('Fleet dates'!$A$9:$A$1008,$I184-8)))</x:f>
      </x:c>
      <x:c r="B184" s="50" t="str">
        <x:f>IF(176&gt;$H$4,"",IF(INDEX('Fleet dates'!$B$9:$B$1008,$I184-8)="","",INDEX('Fleet dates'!$B$9:$B$1008,$I184-8)))</x:f>
      </x:c>
      <x:c r="C184" s="51" t="str">
        <x:f>IF(176&gt;$H$4,"",IF(INDEX('Fleet dates'!$C$9:$C$1008,$I184-8)="","",INDEX('Fleet dates'!$C$9:$C$1008,$I184-8)))</x:f>
      </x:c>
      <x:c r="D184" s="51" t="str">
        <x:f>IF(176&gt;$H$4,"",IF(INDEX('Fleet dates'!$D$9:$D$1008,$I184-8)="","",INDEX('Fleet dates'!$D$9:$D$1008,$I184-8)))</x:f>
      </x:c>
      <x:c r="E184" s="51" t="str">
        <x:f>IF(176&gt;$H$4,"",IF(INDEX('Fleet dates'!$E$9:$E$1008,$I184-8)="","",INDEX('Fleet dates'!$E$9:$E$1008,$I184-8)))</x:f>
      </x:c>
      <x:c r="F184" s="51" t="str">
        <x:f>IF(176&gt;$H$4,"",IF(INDEX('Fleet dates'!$F$9:$F$1008,$I184-8)="","",INDEX('Fleet dates'!$F$9:$F$1008,$I184-8)))</x:f>
      </x:c>
      <x:c r="G184" s="50" t="str">
        <x:f>IF(176&gt;$H$4,"",IF(INDEX('Fleet dates'!$G$9:$G$1008,$I184-8)="","",INDEX('Fleet dates'!$G$9:$G$1008,$I184-8)))</x:f>
      </x:c>
      <x:c r="H184" s="50" t="str">
        <x:f>IF(176&gt;$H$4,"",IF(INDEX('Fleet dates'!$I$9:$I$1008,$I184-8)="","",INDEX('Fleet dates'!$I$9:$I$1008,$I184-8)))</x:f>
      </x:c>
      <x:c r="I184" t="str">
        <x:f>IF(176&gt;$H$4,"",MATCH(176,'Fleet dates'!$K$9:$K$1008,0)+8)</x:f>
      </x:c>
    </x:row>
    <x:row r="185" ht="36" customHeight="1">
      <x:c r="A185" s="50" t="str">
        <x:f>IF(177&gt;$H$4,"",IF(INDEX('Fleet dates'!$A$9:$A$1008,$I185-8)="","",INDEX('Fleet dates'!$A$9:$A$1008,$I185-8)))</x:f>
      </x:c>
      <x:c r="B185" s="50" t="str">
        <x:f>IF(177&gt;$H$4,"",IF(INDEX('Fleet dates'!$B$9:$B$1008,$I185-8)="","",INDEX('Fleet dates'!$B$9:$B$1008,$I185-8)))</x:f>
      </x:c>
      <x:c r="C185" s="51" t="str">
        <x:f>IF(177&gt;$H$4,"",IF(INDEX('Fleet dates'!$C$9:$C$1008,$I185-8)="","",INDEX('Fleet dates'!$C$9:$C$1008,$I185-8)))</x:f>
      </x:c>
      <x:c r="D185" s="51" t="str">
        <x:f>IF(177&gt;$H$4,"",IF(INDEX('Fleet dates'!$D$9:$D$1008,$I185-8)="","",INDEX('Fleet dates'!$D$9:$D$1008,$I185-8)))</x:f>
      </x:c>
      <x:c r="E185" s="51" t="str">
        <x:f>IF(177&gt;$H$4,"",IF(INDEX('Fleet dates'!$E$9:$E$1008,$I185-8)="","",INDEX('Fleet dates'!$E$9:$E$1008,$I185-8)))</x:f>
      </x:c>
      <x:c r="F185" s="51" t="str">
        <x:f>IF(177&gt;$H$4,"",IF(INDEX('Fleet dates'!$F$9:$F$1008,$I185-8)="","",INDEX('Fleet dates'!$F$9:$F$1008,$I185-8)))</x:f>
      </x:c>
      <x:c r="G185" s="50" t="str">
        <x:f>IF(177&gt;$H$4,"",IF(INDEX('Fleet dates'!$G$9:$G$1008,$I185-8)="","",INDEX('Fleet dates'!$G$9:$G$1008,$I185-8)))</x:f>
      </x:c>
      <x:c r="H185" s="50" t="str">
        <x:f>IF(177&gt;$H$4,"",IF(INDEX('Fleet dates'!$I$9:$I$1008,$I185-8)="","",INDEX('Fleet dates'!$I$9:$I$1008,$I185-8)))</x:f>
      </x:c>
      <x:c r="I185" t="str">
        <x:f>IF(177&gt;$H$4,"",MATCH(177,'Fleet dates'!$K$9:$K$1008,0)+8)</x:f>
      </x:c>
    </x:row>
    <x:row r="186" ht="36" customHeight="1">
      <x:c r="A186" s="50" t="str">
        <x:f>IF(178&gt;$H$4,"",IF(INDEX('Fleet dates'!$A$9:$A$1008,$I186-8)="","",INDEX('Fleet dates'!$A$9:$A$1008,$I186-8)))</x:f>
      </x:c>
      <x:c r="B186" s="50" t="str">
        <x:f>IF(178&gt;$H$4,"",IF(INDEX('Fleet dates'!$B$9:$B$1008,$I186-8)="","",INDEX('Fleet dates'!$B$9:$B$1008,$I186-8)))</x:f>
      </x:c>
      <x:c r="C186" s="51" t="str">
        <x:f>IF(178&gt;$H$4,"",IF(INDEX('Fleet dates'!$C$9:$C$1008,$I186-8)="","",INDEX('Fleet dates'!$C$9:$C$1008,$I186-8)))</x:f>
      </x:c>
      <x:c r="D186" s="51" t="str">
        <x:f>IF(178&gt;$H$4,"",IF(INDEX('Fleet dates'!$D$9:$D$1008,$I186-8)="","",INDEX('Fleet dates'!$D$9:$D$1008,$I186-8)))</x:f>
      </x:c>
      <x:c r="E186" s="51" t="str">
        <x:f>IF(178&gt;$H$4,"",IF(INDEX('Fleet dates'!$E$9:$E$1008,$I186-8)="","",INDEX('Fleet dates'!$E$9:$E$1008,$I186-8)))</x:f>
      </x:c>
      <x:c r="F186" s="51" t="str">
        <x:f>IF(178&gt;$H$4,"",IF(INDEX('Fleet dates'!$F$9:$F$1008,$I186-8)="","",INDEX('Fleet dates'!$F$9:$F$1008,$I186-8)))</x:f>
      </x:c>
      <x:c r="G186" s="50" t="str">
        <x:f>IF(178&gt;$H$4,"",IF(INDEX('Fleet dates'!$G$9:$G$1008,$I186-8)="","",INDEX('Fleet dates'!$G$9:$G$1008,$I186-8)))</x:f>
      </x:c>
      <x:c r="H186" s="50" t="str">
        <x:f>IF(178&gt;$H$4,"",IF(INDEX('Fleet dates'!$I$9:$I$1008,$I186-8)="","",INDEX('Fleet dates'!$I$9:$I$1008,$I186-8)))</x:f>
      </x:c>
      <x:c r="I186" t="str">
        <x:f>IF(178&gt;$H$4,"",MATCH(178,'Fleet dates'!$K$9:$K$1008,0)+8)</x:f>
      </x:c>
    </x:row>
    <x:row r="187" ht="36" customHeight="1">
      <x:c r="A187" s="50" t="str">
        <x:f>IF(179&gt;$H$4,"",IF(INDEX('Fleet dates'!$A$9:$A$1008,$I187-8)="","",INDEX('Fleet dates'!$A$9:$A$1008,$I187-8)))</x:f>
      </x:c>
      <x:c r="B187" s="50" t="str">
        <x:f>IF(179&gt;$H$4,"",IF(INDEX('Fleet dates'!$B$9:$B$1008,$I187-8)="","",INDEX('Fleet dates'!$B$9:$B$1008,$I187-8)))</x:f>
      </x:c>
      <x:c r="C187" s="51" t="str">
        <x:f>IF(179&gt;$H$4,"",IF(INDEX('Fleet dates'!$C$9:$C$1008,$I187-8)="","",INDEX('Fleet dates'!$C$9:$C$1008,$I187-8)))</x:f>
      </x:c>
      <x:c r="D187" s="51" t="str">
        <x:f>IF(179&gt;$H$4,"",IF(INDEX('Fleet dates'!$D$9:$D$1008,$I187-8)="","",INDEX('Fleet dates'!$D$9:$D$1008,$I187-8)))</x:f>
      </x:c>
      <x:c r="E187" s="51" t="str">
        <x:f>IF(179&gt;$H$4,"",IF(INDEX('Fleet dates'!$E$9:$E$1008,$I187-8)="","",INDEX('Fleet dates'!$E$9:$E$1008,$I187-8)))</x:f>
      </x:c>
      <x:c r="F187" s="51" t="str">
        <x:f>IF(179&gt;$H$4,"",IF(INDEX('Fleet dates'!$F$9:$F$1008,$I187-8)="","",INDEX('Fleet dates'!$F$9:$F$1008,$I187-8)))</x:f>
      </x:c>
      <x:c r="G187" s="50" t="str">
        <x:f>IF(179&gt;$H$4,"",IF(INDEX('Fleet dates'!$G$9:$G$1008,$I187-8)="","",INDEX('Fleet dates'!$G$9:$G$1008,$I187-8)))</x:f>
      </x:c>
      <x:c r="H187" s="50" t="str">
        <x:f>IF(179&gt;$H$4,"",IF(INDEX('Fleet dates'!$I$9:$I$1008,$I187-8)="","",INDEX('Fleet dates'!$I$9:$I$1008,$I187-8)))</x:f>
      </x:c>
      <x:c r="I187" t="str">
        <x:f>IF(179&gt;$H$4,"",MATCH(179,'Fleet dates'!$K$9:$K$1008,0)+8)</x:f>
      </x:c>
    </x:row>
    <x:row r="188" ht="36" customHeight="1">
      <x:c r="A188" s="50" t="str">
        <x:f>IF(180&gt;$H$4,"",IF(INDEX('Fleet dates'!$A$9:$A$1008,$I188-8)="","",INDEX('Fleet dates'!$A$9:$A$1008,$I188-8)))</x:f>
      </x:c>
      <x:c r="B188" s="50" t="str">
        <x:f>IF(180&gt;$H$4,"",IF(INDEX('Fleet dates'!$B$9:$B$1008,$I188-8)="","",INDEX('Fleet dates'!$B$9:$B$1008,$I188-8)))</x:f>
      </x:c>
      <x:c r="C188" s="51" t="str">
        <x:f>IF(180&gt;$H$4,"",IF(INDEX('Fleet dates'!$C$9:$C$1008,$I188-8)="","",INDEX('Fleet dates'!$C$9:$C$1008,$I188-8)))</x:f>
      </x:c>
      <x:c r="D188" s="51" t="str">
        <x:f>IF(180&gt;$H$4,"",IF(INDEX('Fleet dates'!$D$9:$D$1008,$I188-8)="","",INDEX('Fleet dates'!$D$9:$D$1008,$I188-8)))</x:f>
      </x:c>
      <x:c r="E188" s="51" t="str">
        <x:f>IF(180&gt;$H$4,"",IF(INDEX('Fleet dates'!$E$9:$E$1008,$I188-8)="","",INDEX('Fleet dates'!$E$9:$E$1008,$I188-8)))</x:f>
      </x:c>
      <x:c r="F188" s="51" t="str">
        <x:f>IF(180&gt;$H$4,"",IF(INDEX('Fleet dates'!$F$9:$F$1008,$I188-8)="","",INDEX('Fleet dates'!$F$9:$F$1008,$I188-8)))</x:f>
      </x:c>
      <x:c r="G188" s="50" t="str">
        <x:f>IF(180&gt;$H$4,"",IF(INDEX('Fleet dates'!$G$9:$G$1008,$I188-8)="","",INDEX('Fleet dates'!$G$9:$G$1008,$I188-8)))</x:f>
      </x:c>
      <x:c r="H188" s="50" t="str">
        <x:f>IF(180&gt;$H$4,"",IF(INDEX('Fleet dates'!$I$9:$I$1008,$I188-8)="","",INDEX('Fleet dates'!$I$9:$I$1008,$I188-8)))</x:f>
      </x:c>
      <x:c r="I188" t="str">
        <x:f>IF(180&gt;$H$4,"",MATCH(180,'Fleet dates'!$K$9:$K$1008,0)+8)</x:f>
      </x:c>
    </x:row>
    <x:row r="189" ht="36" customHeight="1">
      <x:c r="A189" s="50" t="str">
        <x:f>IF(181&gt;$H$4,"",IF(INDEX('Fleet dates'!$A$9:$A$1008,$I189-8)="","",INDEX('Fleet dates'!$A$9:$A$1008,$I189-8)))</x:f>
      </x:c>
      <x:c r="B189" s="50" t="str">
        <x:f>IF(181&gt;$H$4,"",IF(INDEX('Fleet dates'!$B$9:$B$1008,$I189-8)="","",INDEX('Fleet dates'!$B$9:$B$1008,$I189-8)))</x:f>
      </x:c>
      <x:c r="C189" s="51" t="str">
        <x:f>IF(181&gt;$H$4,"",IF(INDEX('Fleet dates'!$C$9:$C$1008,$I189-8)="","",INDEX('Fleet dates'!$C$9:$C$1008,$I189-8)))</x:f>
      </x:c>
      <x:c r="D189" s="51" t="str">
        <x:f>IF(181&gt;$H$4,"",IF(INDEX('Fleet dates'!$D$9:$D$1008,$I189-8)="","",INDEX('Fleet dates'!$D$9:$D$1008,$I189-8)))</x:f>
      </x:c>
      <x:c r="E189" s="51" t="str">
        <x:f>IF(181&gt;$H$4,"",IF(INDEX('Fleet dates'!$E$9:$E$1008,$I189-8)="","",INDEX('Fleet dates'!$E$9:$E$1008,$I189-8)))</x:f>
      </x:c>
      <x:c r="F189" s="51" t="str">
        <x:f>IF(181&gt;$H$4,"",IF(INDEX('Fleet dates'!$F$9:$F$1008,$I189-8)="","",INDEX('Fleet dates'!$F$9:$F$1008,$I189-8)))</x:f>
      </x:c>
      <x:c r="G189" s="50" t="str">
        <x:f>IF(181&gt;$H$4,"",IF(INDEX('Fleet dates'!$G$9:$G$1008,$I189-8)="","",INDEX('Fleet dates'!$G$9:$G$1008,$I189-8)))</x:f>
      </x:c>
      <x:c r="H189" s="50" t="str">
        <x:f>IF(181&gt;$H$4,"",IF(INDEX('Fleet dates'!$I$9:$I$1008,$I189-8)="","",INDEX('Fleet dates'!$I$9:$I$1008,$I189-8)))</x:f>
      </x:c>
      <x:c r="I189" t="str">
        <x:f>IF(181&gt;$H$4,"",MATCH(181,'Fleet dates'!$K$9:$K$1008,0)+8)</x:f>
      </x:c>
    </x:row>
    <x:row r="190" ht="36" customHeight="1">
      <x:c r="A190" s="50" t="str">
        <x:f>IF(182&gt;$H$4,"",IF(INDEX('Fleet dates'!$A$9:$A$1008,$I190-8)="","",INDEX('Fleet dates'!$A$9:$A$1008,$I190-8)))</x:f>
      </x:c>
      <x:c r="B190" s="50" t="str">
        <x:f>IF(182&gt;$H$4,"",IF(INDEX('Fleet dates'!$B$9:$B$1008,$I190-8)="","",INDEX('Fleet dates'!$B$9:$B$1008,$I190-8)))</x:f>
      </x:c>
      <x:c r="C190" s="51" t="str">
        <x:f>IF(182&gt;$H$4,"",IF(INDEX('Fleet dates'!$C$9:$C$1008,$I190-8)="","",INDEX('Fleet dates'!$C$9:$C$1008,$I190-8)))</x:f>
      </x:c>
      <x:c r="D190" s="51" t="str">
        <x:f>IF(182&gt;$H$4,"",IF(INDEX('Fleet dates'!$D$9:$D$1008,$I190-8)="","",INDEX('Fleet dates'!$D$9:$D$1008,$I190-8)))</x:f>
      </x:c>
      <x:c r="E190" s="51" t="str">
        <x:f>IF(182&gt;$H$4,"",IF(INDEX('Fleet dates'!$E$9:$E$1008,$I190-8)="","",INDEX('Fleet dates'!$E$9:$E$1008,$I190-8)))</x:f>
      </x:c>
      <x:c r="F190" s="51" t="str">
        <x:f>IF(182&gt;$H$4,"",IF(INDEX('Fleet dates'!$F$9:$F$1008,$I190-8)="","",INDEX('Fleet dates'!$F$9:$F$1008,$I190-8)))</x:f>
      </x:c>
      <x:c r="G190" s="50" t="str">
        <x:f>IF(182&gt;$H$4,"",IF(INDEX('Fleet dates'!$G$9:$G$1008,$I190-8)="","",INDEX('Fleet dates'!$G$9:$G$1008,$I190-8)))</x:f>
      </x:c>
      <x:c r="H190" s="50" t="str">
        <x:f>IF(182&gt;$H$4,"",IF(INDEX('Fleet dates'!$I$9:$I$1008,$I190-8)="","",INDEX('Fleet dates'!$I$9:$I$1008,$I190-8)))</x:f>
      </x:c>
      <x:c r="I190" t="str">
        <x:f>IF(182&gt;$H$4,"",MATCH(182,'Fleet dates'!$K$9:$K$1008,0)+8)</x:f>
      </x:c>
    </x:row>
    <x:row r="191" ht="36" customHeight="1">
      <x:c r="A191" s="50" t="str">
        <x:f>IF(183&gt;$H$4,"",IF(INDEX('Fleet dates'!$A$9:$A$1008,$I191-8)="","",INDEX('Fleet dates'!$A$9:$A$1008,$I191-8)))</x:f>
      </x:c>
      <x:c r="B191" s="50" t="str">
        <x:f>IF(183&gt;$H$4,"",IF(INDEX('Fleet dates'!$B$9:$B$1008,$I191-8)="","",INDEX('Fleet dates'!$B$9:$B$1008,$I191-8)))</x:f>
      </x:c>
      <x:c r="C191" s="51" t="str">
        <x:f>IF(183&gt;$H$4,"",IF(INDEX('Fleet dates'!$C$9:$C$1008,$I191-8)="","",INDEX('Fleet dates'!$C$9:$C$1008,$I191-8)))</x:f>
      </x:c>
      <x:c r="D191" s="51" t="str">
        <x:f>IF(183&gt;$H$4,"",IF(INDEX('Fleet dates'!$D$9:$D$1008,$I191-8)="","",INDEX('Fleet dates'!$D$9:$D$1008,$I191-8)))</x:f>
      </x:c>
      <x:c r="E191" s="51" t="str">
        <x:f>IF(183&gt;$H$4,"",IF(INDEX('Fleet dates'!$E$9:$E$1008,$I191-8)="","",INDEX('Fleet dates'!$E$9:$E$1008,$I191-8)))</x:f>
      </x:c>
      <x:c r="F191" s="51" t="str">
        <x:f>IF(183&gt;$H$4,"",IF(INDEX('Fleet dates'!$F$9:$F$1008,$I191-8)="","",INDEX('Fleet dates'!$F$9:$F$1008,$I191-8)))</x:f>
      </x:c>
      <x:c r="G191" s="50" t="str">
        <x:f>IF(183&gt;$H$4,"",IF(INDEX('Fleet dates'!$G$9:$G$1008,$I191-8)="","",INDEX('Fleet dates'!$G$9:$G$1008,$I191-8)))</x:f>
      </x:c>
      <x:c r="H191" s="50" t="str">
        <x:f>IF(183&gt;$H$4,"",IF(INDEX('Fleet dates'!$I$9:$I$1008,$I191-8)="","",INDEX('Fleet dates'!$I$9:$I$1008,$I191-8)))</x:f>
      </x:c>
      <x:c r="I191" t="str">
        <x:f>IF(183&gt;$H$4,"",MATCH(183,'Fleet dates'!$K$9:$K$1008,0)+8)</x:f>
      </x:c>
    </x:row>
    <x:row r="192" ht="36" customHeight="1">
      <x:c r="A192" s="50" t="str">
        <x:f>IF(184&gt;$H$4,"",IF(INDEX('Fleet dates'!$A$9:$A$1008,$I192-8)="","",INDEX('Fleet dates'!$A$9:$A$1008,$I192-8)))</x:f>
      </x:c>
      <x:c r="B192" s="50" t="str">
        <x:f>IF(184&gt;$H$4,"",IF(INDEX('Fleet dates'!$B$9:$B$1008,$I192-8)="","",INDEX('Fleet dates'!$B$9:$B$1008,$I192-8)))</x:f>
      </x:c>
      <x:c r="C192" s="51" t="str">
        <x:f>IF(184&gt;$H$4,"",IF(INDEX('Fleet dates'!$C$9:$C$1008,$I192-8)="","",INDEX('Fleet dates'!$C$9:$C$1008,$I192-8)))</x:f>
      </x:c>
      <x:c r="D192" s="51" t="str">
        <x:f>IF(184&gt;$H$4,"",IF(INDEX('Fleet dates'!$D$9:$D$1008,$I192-8)="","",INDEX('Fleet dates'!$D$9:$D$1008,$I192-8)))</x:f>
      </x:c>
      <x:c r="E192" s="51" t="str">
        <x:f>IF(184&gt;$H$4,"",IF(INDEX('Fleet dates'!$E$9:$E$1008,$I192-8)="","",INDEX('Fleet dates'!$E$9:$E$1008,$I192-8)))</x:f>
      </x:c>
      <x:c r="F192" s="51" t="str">
        <x:f>IF(184&gt;$H$4,"",IF(INDEX('Fleet dates'!$F$9:$F$1008,$I192-8)="","",INDEX('Fleet dates'!$F$9:$F$1008,$I192-8)))</x:f>
      </x:c>
      <x:c r="G192" s="50" t="str">
        <x:f>IF(184&gt;$H$4,"",IF(INDEX('Fleet dates'!$G$9:$G$1008,$I192-8)="","",INDEX('Fleet dates'!$G$9:$G$1008,$I192-8)))</x:f>
      </x:c>
      <x:c r="H192" s="50" t="str">
        <x:f>IF(184&gt;$H$4,"",IF(INDEX('Fleet dates'!$I$9:$I$1008,$I192-8)="","",INDEX('Fleet dates'!$I$9:$I$1008,$I192-8)))</x:f>
      </x:c>
      <x:c r="I192" t="str">
        <x:f>IF(184&gt;$H$4,"",MATCH(184,'Fleet dates'!$K$9:$K$1008,0)+8)</x:f>
      </x:c>
    </x:row>
    <x:row r="193" ht="36" customHeight="1">
      <x:c r="A193" s="50" t="str">
        <x:f>IF(185&gt;$H$4,"",IF(INDEX('Fleet dates'!$A$9:$A$1008,$I193-8)="","",INDEX('Fleet dates'!$A$9:$A$1008,$I193-8)))</x:f>
      </x:c>
      <x:c r="B193" s="50" t="str">
        <x:f>IF(185&gt;$H$4,"",IF(INDEX('Fleet dates'!$B$9:$B$1008,$I193-8)="","",INDEX('Fleet dates'!$B$9:$B$1008,$I193-8)))</x:f>
      </x:c>
      <x:c r="C193" s="51" t="str">
        <x:f>IF(185&gt;$H$4,"",IF(INDEX('Fleet dates'!$C$9:$C$1008,$I193-8)="","",INDEX('Fleet dates'!$C$9:$C$1008,$I193-8)))</x:f>
      </x:c>
      <x:c r="D193" s="51" t="str">
        <x:f>IF(185&gt;$H$4,"",IF(INDEX('Fleet dates'!$D$9:$D$1008,$I193-8)="","",INDEX('Fleet dates'!$D$9:$D$1008,$I193-8)))</x:f>
      </x:c>
      <x:c r="E193" s="51" t="str">
        <x:f>IF(185&gt;$H$4,"",IF(INDEX('Fleet dates'!$E$9:$E$1008,$I193-8)="","",INDEX('Fleet dates'!$E$9:$E$1008,$I193-8)))</x:f>
      </x:c>
      <x:c r="F193" s="51" t="str">
        <x:f>IF(185&gt;$H$4,"",IF(INDEX('Fleet dates'!$F$9:$F$1008,$I193-8)="","",INDEX('Fleet dates'!$F$9:$F$1008,$I193-8)))</x:f>
      </x:c>
      <x:c r="G193" s="50" t="str">
        <x:f>IF(185&gt;$H$4,"",IF(INDEX('Fleet dates'!$G$9:$G$1008,$I193-8)="","",INDEX('Fleet dates'!$G$9:$G$1008,$I193-8)))</x:f>
      </x:c>
      <x:c r="H193" s="50" t="str">
        <x:f>IF(185&gt;$H$4,"",IF(INDEX('Fleet dates'!$I$9:$I$1008,$I193-8)="","",INDEX('Fleet dates'!$I$9:$I$1008,$I193-8)))</x:f>
      </x:c>
      <x:c r="I193" t="str">
        <x:f>IF(185&gt;$H$4,"",MATCH(185,'Fleet dates'!$K$9:$K$1008,0)+8)</x:f>
      </x:c>
    </x:row>
    <x:row r="194" ht="36" customHeight="1">
      <x:c r="A194" s="50" t="str">
        <x:f>IF(186&gt;$H$4,"",IF(INDEX('Fleet dates'!$A$9:$A$1008,$I194-8)="","",INDEX('Fleet dates'!$A$9:$A$1008,$I194-8)))</x:f>
      </x:c>
      <x:c r="B194" s="50" t="str">
        <x:f>IF(186&gt;$H$4,"",IF(INDEX('Fleet dates'!$B$9:$B$1008,$I194-8)="","",INDEX('Fleet dates'!$B$9:$B$1008,$I194-8)))</x:f>
      </x:c>
      <x:c r="C194" s="51" t="str">
        <x:f>IF(186&gt;$H$4,"",IF(INDEX('Fleet dates'!$C$9:$C$1008,$I194-8)="","",INDEX('Fleet dates'!$C$9:$C$1008,$I194-8)))</x:f>
      </x:c>
      <x:c r="D194" s="51" t="str">
        <x:f>IF(186&gt;$H$4,"",IF(INDEX('Fleet dates'!$D$9:$D$1008,$I194-8)="","",INDEX('Fleet dates'!$D$9:$D$1008,$I194-8)))</x:f>
      </x:c>
      <x:c r="E194" s="51" t="str">
        <x:f>IF(186&gt;$H$4,"",IF(INDEX('Fleet dates'!$E$9:$E$1008,$I194-8)="","",INDEX('Fleet dates'!$E$9:$E$1008,$I194-8)))</x:f>
      </x:c>
      <x:c r="F194" s="51" t="str">
        <x:f>IF(186&gt;$H$4,"",IF(INDEX('Fleet dates'!$F$9:$F$1008,$I194-8)="","",INDEX('Fleet dates'!$F$9:$F$1008,$I194-8)))</x:f>
      </x:c>
      <x:c r="G194" s="50" t="str">
        <x:f>IF(186&gt;$H$4,"",IF(INDEX('Fleet dates'!$G$9:$G$1008,$I194-8)="","",INDEX('Fleet dates'!$G$9:$G$1008,$I194-8)))</x:f>
      </x:c>
      <x:c r="H194" s="50" t="str">
        <x:f>IF(186&gt;$H$4,"",IF(INDEX('Fleet dates'!$I$9:$I$1008,$I194-8)="","",INDEX('Fleet dates'!$I$9:$I$1008,$I194-8)))</x:f>
      </x:c>
      <x:c r="I194" t="str">
        <x:f>IF(186&gt;$H$4,"",MATCH(186,'Fleet dates'!$K$9:$K$1008,0)+8)</x:f>
      </x:c>
    </x:row>
    <x:row r="195" ht="36" customHeight="1">
      <x:c r="A195" s="50" t="str">
        <x:f>IF(187&gt;$H$4,"",IF(INDEX('Fleet dates'!$A$9:$A$1008,$I195-8)="","",INDEX('Fleet dates'!$A$9:$A$1008,$I195-8)))</x:f>
      </x:c>
      <x:c r="B195" s="50" t="str">
        <x:f>IF(187&gt;$H$4,"",IF(INDEX('Fleet dates'!$B$9:$B$1008,$I195-8)="","",INDEX('Fleet dates'!$B$9:$B$1008,$I195-8)))</x:f>
      </x:c>
      <x:c r="C195" s="51" t="str">
        <x:f>IF(187&gt;$H$4,"",IF(INDEX('Fleet dates'!$C$9:$C$1008,$I195-8)="","",INDEX('Fleet dates'!$C$9:$C$1008,$I195-8)))</x:f>
      </x:c>
      <x:c r="D195" s="51" t="str">
        <x:f>IF(187&gt;$H$4,"",IF(INDEX('Fleet dates'!$D$9:$D$1008,$I195-8)="","",INDEX('Fleet dates'!$D$9:$D$1008,$I195-8)))</x:f>
      </x:c>
      <x:c r="E195" s="51" t="str">
        <x:f>IF(187&gt;$H$4,"",IF(INDEX('Fleet dates'!$E$9:$E$1008,$I195-8)="","",INDEX('Fleet dates'!$E$9:$E$1008,$I195-8)))</x:f>
      </x:c>
      <x:c r="F195" s="51" t="str">
        <x:f>IF(187&gt;$H$4,"",IF(INDEX('Fleet dates'!$F$9:$F$1008,$I195-8)="","",INDEX('Fleet dates'!$F$9:$F$1008,$I195-8)))</x:f>
      </x:c>
      <x:c r="G195" s="50" t="str">
        <x:f>IF(187&gt;$H$4,"",IF(INDEX('Fleet dates'!$G$9:$G$1008,$I195-8)="","",INDEX('Fleet dates'!$G$9:$G$1008,$I195-8)))</x:f>
      </x:c>
      <x:c r="H195" s="50" t="str">
        <x:f>IF(187&gt;$H$4,"",IF(INDEX('Fleet dates'!$I$9:$I$1008,$I195-8)="","",INDEX('Fleet dates'!$I$9:$I$1008,$I195-8)))</x:f>
      </x:c>
      <x:c r="I195" t="str">
        <x:f>IF(187&gt;$H$4,"",MATCH(187,'Fleet dates'!$K$9:$K$1008,0)+8)</x:f>
      </x:c>
    </x:row>
    <x:row r="196" ht="36" customHeight="1">
      <x:c r="A196" s="50" t="str">
        <x:f>IF(188&gt;$H$4,"",IF(INDEX('Fleet dates'!$A$9:$A$1008,$I196-8)="","",INDEX('Fleet dates'!$A$9:$A$1008,$I196-8)))</x:f>
      </x:c>
      <x:c r="B196" s="50" t="str">
        <x:f>IF(188&gt;$H$4,"",IF(INDEX('Fleet dates'!$B$9:$B$1008,$I196-8)="","",INDEX('Fleet dates'!$B$9:$B$1008,$I196-8)))</x:f>
      </x:c>
      <x:c r="C196" s="51" t="str">
        <x:f>IF(188&gt;$H$4,"",IF(INDEX('Fleet dates'!$C$9:$C$1008,$I196-8)="","",INDEX('Fleet dates'!$C$9:$C$1008,$I196-8)))</x:f>
      </x:c>
      <x:c r="D196" s="51" t="str">
        <x:f>IF(188&gt;$H$4,"",IF(INDEX('Fleet dates'!$D$9:$D$1008,$I196-8)="","",INDEX('Fleet dates'!$D$9:$D$1008,$I196-8)))</x:f>
      </x:c>
      <x:c r="E196" s="51" t="str">
        <x:f>IF(188&gt;$H$4,"",IF(INDEX('Fleet dates'!$E$9:$E$1008,$I196-8)="","",INDEX('Fleet dates'!$E$9:$E$1008,$I196-8)))</x:f>
      </x:c>
      <x:c r="F196" s="51" t="str">
        <x:f>IF(188&gt;$H$4,"",IF(INDEX('Fleet dates'!$F$9:$F$1008,$I196-8)="","",INDEX('Fleet dates'!$F$9:$F$1008,$I196-8)))</x:f>
      </x:c>
      <x:c r="G196" s="50" t="str">
        <x:f>IF(188&gt;$H$4,"",IF(INDEX('Fleet dates'!$G$9:$G$1008,$I196-8)="","",INDEX('Fleet dates'!$G$9:$G$1008,$I196-8)))</x:f>
      </x:c>
      <x:c r="H196" s="50" t="str">
        <x:f>IF(188&gt;$H$4,"",IF(INDEX('Fleet dates'!$I$9:$I$1008,$I196-8)="","",INDEX('Fleet dates'!$I$9:$I$1008,$I196-8)))</x:f>
      </x:c>
      <x:c r="I196" t="str">
        <x:f>IF(188&gt;$H$4,"",MATCH(188,'Fleet dates'!$K$9:$K$1008,0)+8)</x:f>
      </x:c>
    </x:row>
    <x:row r="197" ht="36" customHeight="1">
      <x:c r="A197" s="50" t="str">
        <x:f>IF(189&gt;$H$4,"",IF(INDEX('Fleet dates'!$A$9:$A$1008,$I197-8)="","",INDEX('Fleet dates'!$A$9:$A$1008,$I197-8)))</x:f>
      </x:c>
      <x:c r="B197" s="50" t="str">
        <x:f>IF(189&gt;$H$4,"",IF(INDEX('Fleet dates'!$B$9:$B$1008,$I197-8)="","",INDEX('Fleet dates'!$B$9:$B$1008,$I197-8)))</x:f>
      </x:c>
      <x:c r="C197" s="51" t="str">
        <x:f>IF(189&gt;$H$4,"",IF(INDEX('Fleet dates'!$C$9:$C$1008,$I197-8)="","",INDEX('Fleet dates'!$C$9:$C$1008,$I197-8)))</x:f>
      </x:c>
      <x:c r="D197" s="51" t="str">
        <x:f>IF(189&gt;$H$4,"",IF(INDEX('Fleet dates'!$D$9:$D$1008,$I197-8)="","",INDEX('Fleet dates'!$D$9:$D$1008,$I197-8)))</x:f>
      </x:c>
      <x:c r="E197" s="51" t="str">
        <x:f>IF(189&gt;$H$4,"",IF(INDEX('Fleet dates'!$E$9:$E$1008,$I197-8)="","",INDEX('Fleet dates'!$E$9:$E$1008,$I197-8)))</x:f>
      </x:c>
      <x:c r="F197" s="51" t="str">
        <x:f>IF(189&gt;$H$4,"",IF(INDEX('Fleet dates'!$F$9:$F$1008,$I197-8)="","",INDEX('Fleet dates'!$F$9:$F$1008,$I197-8)))</x:f>
      </x:c>
      <x:c r="G197" s="50" t="str">
        <x:f>IF(189&gt;$H$4,"",IF(INDEX('Fleet dates'!$G$9:$G$1008,$I197-8)="","",INDEX('Fleet dates'!$G$9:$G$1008,$I197-8)))</x:f>
      </x:c>
      <x:c r="H197" s="50" t="str">
        <x:f>IF(189&gt;$H$4,"",IF(INDEX('Fleet dates'!$I$9:$I$1008,$I197-8)="","",INDEX('Fleet dates'!$I$9:$I$1008,$I197-8)))</x:f>
      </x:c>
      <x:c r="I197" t="str">
        <x:f>IF(189&gt;$H$4,"",MATCH(189,'Fleet dates'!$K$9:$K$1008,0)+8)</x:f>
      </x:c>
    </x:row>
    <x:row r="198" ht="36" customHeight="1">
      <x:c r="A198" s="50" t="str">
        <x:f>IF(190&gt;$H$4,"",IF(INDEX('Fleet dates'!$A$9:$A$1008,$I198-8)="","",INDEX('Fleet dates'!$A$9:$A$1008,$I198-8)))</x:f>
      </x:c>
      <x:c r="B198" s="50" t="str">
        <x:f>IF(190&gt;$H$4,"",IF(INDEX('Fleet dates'!$B$9:$B$1008,$I198-8)="","",INDEX('Fleet dates'!$B$9:$B$1008,$I198-8)))</x:f>
      </x:c>
      <x:c r="C198" s="51" t="str">
        <x:f>IF(190&gt;$H$4,"",IF(INDEX('Fleet dates'!$C$9:$C$1008,$I198-8)="","",INDEX('Fleet dates'!$C$9:$C$1008,$I198-8)))</x:f>
      </x:c>
      <x:c r="D198" s="51" t="str">
        <x:f>IF(190&gt;$H$4,"",IF(INDEX('Fleet dates'!$D$9:$D$1008,$I198-8)="","",INDEX('Fleet dates'!$D$9:$D$1008,$I198-8)))</x:f>
      </x:c>
      <x:c r="E198" s="51" t="str">
        <x:f>IF(190&gt;$H$4,"",IF(INDEX('Fleet dates'!$E$9:$E$1008,$I198-8)="","",INDEX('Fleet dates'!$E$9:$E$1008,$I198-8)))</x:f>
      </x:c>
      <x:c r="F198" s="51" t="str">
        <x:f>IF(190&gt;$H$4,"",IF(INDEX('Fleet dates'!$F$9:$F$1008,$I198-8)="","",INDEX('Fleet dates'!$F$9:$F$1008,$I198-8)))</x:f>
      </x:c>
      <x:c r="G198" s="50" t="str">
        <x:f>IF(190&gt;$H$4,"",IF(INDEX('Fleet dates'!$G$9:$G$1008,$I198-8)="","",INDEX('Fleet dates'!$G$9:$G$1008,$I198-8)))</x:f>
      </x:c>
      <x:c r="H198" s="50" t="str">
        <x:f>IF(190&gt;$H$4,"",IF(INDEX('Fleet dates'!$I$9:$I$1008,$I198-8)="","",INDEX('Fleet dates'!$I$9:$I$1008,$I198-8)))</x:f>
      </x:c>
      <x:c r="I198" t="str">
        <x:f>IF(190&gt;$H$4,"",MATCH(190,'Fleet dates'!$K$9:$K$1008,0)+8)</x:f>
      </x:c>
    </x:row>
    <x:row r="199" ht="36" customHeight="1">
      <x:c r="A199" s="50" t="str">
        <x:f>IF(191&gt;$H$4,"",IF(INDEX('Fleet dates'!$A$9:$A$1008,$I199-8)="","",INDEX('Fleet dates'!$A$9:$A$1008,$I199-8)))</x:f>
      </x:c>
      <x:c r="B199" s="50" t="str">
        <x:f>IF(191&gt;$H$4,"",IF(INDEX('Fleet dates'!$B$9:$B$1008,$I199-8)="","",INDEX('Fleet dates'!$B$9:$B$1008,$I199-8)))</x:f>
      </x:c>
      <x:c r="C199" s="51" t="str">
        <x:f>IF(191&gt;$H$4,"",IF(INDEX('Fleet dates'!$C$9:$C$1008,$I199-8)="","",INDEX('Fleet dates'!$C$9:$C$1008,$I199-8)))</x:f>
      </x:c>
      <x:c r="D199" s="51" t="str">
        <x:f>IF(191&gt;$H$4,"",IF(INDEX('Fleet dates'!$D$9:$D$1008,$I199-8)="","",INDEX('Fleet dates'!$D$9:$D$1008,$I199-8)))</x:f>
      </x:c>
      <x:c r="E199" s="51" t="str">
        <x:f>IF(191&gt;$H$4,"",IF(INDEX('Fleet dates'!$E$9:$E$1008,$I199-8)="","",INDEX('Fleet dates'!$E$9:$E$1008,$I199-8)))</x:f>
      </x:c>
      <x:c r="F199" s="51" t="str">
        <x:f>IF(191&gt;$H$4,"",IF(INDEX('Fleet dates'!$F$9:$F$1008,$I199-8)="","",INDEX('Fleet dates'!$F$9:$F$1008,$I199-8)))</x:f>
      </x:c>
      <x:c r="G199" s="50" t="str">
        <x:f>IF(191&gt;$H$4,"",IF(INDEX('Fleet dates'!$G$9:$G$1008,$I199-8)="","",INDEX('Fleet dates'!$G$9:$G$1008,$I199-8)))</x:f>
      </x:c>
      <x:c r="H199" s="50" t="str">
        <x:f>IF(191&gt;$H$4,"",IF(INDEX('Fleet dates'!$I$9:$I$1008,$I199-8)="","",INDEX('Fleet dates'!$I$9:$I$1008,$I199-8)))</x:f>
      </x:c>
      <x:c r="I199" t="str">
        <x:f>IF(191&gt;$H$4,"",MATCH(191,'Fleet dates'!$K$9:$K$1008,0)+8)</x:f>
      </x:c>
    </x:row>
    <x:row r="200" ht="36" customHeight="1">
      <x:c r="A200" s="50" t="str">
        <x:f>IF(192&gt;$H$4,"",IF(INDEX('Fleet dates'!$A$9:$A$1008,$I200-8)="","",INDEX('Fleet dates'!$A$9:$A$1008,$I200-8)))</x:f>
      </x:c>
      <x:c r="B200" s="50" t="str">
        <x:f>IF(192&gt;$H$4,"",IF(INDEX('Fleet dates'!$B$9:$B$1008,$I200-8)="","",INDEX('Fleet dates'!$B$9:$B$1008,$I200-8)))</x:f>
      </x:c>
      <x:c r="C200" s="51" t="str">
        <x:f>IF(192&gt;$H$4,"",IF(INDEX('Fleet dates'!$C$9:$C$1008,$I200-8)="","",INDEX('Fleet dates'!$C$9:$C$1008,$I200-8)))</x:f>
      </x:c>
      <x:c r="D200" s="51" t="str">
        <x:f>IF(192&gt;$H$4,"",IF(INDEX('Fleet dates'!$D$9:$D$1008,$I200-8)="","",INDEX('Fleet dates'!$D$9:$D$1008,$I200-8)))</x:f>
      </x:c>
      <x:c r="E200" s="51" t="str">
        <x:f>IF(192&gt;$H$4,"",IF(INDEX('Fleet dates'!$E$9:$E$1008,$I200-8)="","",INDEX('Fleet dates'!$E$9:$E$1008,$I200-8)))</x:f>
      </x:c>
      <x:c r="F200" s="51" t="str">
        <x:f>IF(192&gt;$H$4,"",IF(INDEX('Fleet dates'!$F$9:$F$1008,$I200-8)="","",INDEX('Fleet dates'!$F$9:$F$1008,$I200-8)))</x:f>
      </x:c>
      <x:c r="G200" s="50" t="str">
        <x:f>IF(192&gt;$H$4,"",IF(INDEX('Fleet dates'!$G$9:$G$1008,$I200-8)="","",INDEX('Fleet dates'!$G$9:$G$1008,$I200-8)))</x:f>
      </x:c>
      <x:c r="H200" s="50" t="str">
        <x:f>IF(192&gt;$H$4,"",IF(INDEX('Fleet dates'!$I$9:$I$1008,$I200-8)="","",INDEX('Fleet dates'!$I$9:$I$1008,$I200-8)))</x:f>
      </x:c>
      <x:c r="I200" t="str">
        <x:f>IF(192&gt;$H$4,"",MATCH(192,'Fleet dates'!$K$9:$K$1008,0)+8)</x:f>
      </x:c>
    </x:row>
    <x:row r="201" ht="36" customHeight="1">
      <x:c r="A201" s="50" t="str">
        <x:f>IF(193&gt;$H$4,"",IF(INDEX('Fleet dates'!$A$9:$A$1008,$I201-8)="","",INDEX('Fleet dates'!$A$9:$A$1008,$I201-8)))</x:f>
      </x:c>
      <x:c r="B201" s="50" t="str">
        <x:f>IF(193&gt;$H$4,"",IF(INDEX('Fleet dates'!$B$9:$B$1008,$I201-8)="","",INDEX('Fleet dates'!$B$9:$B$1008,$I201-8)))</x:f>
      </x:c>
      <x:c r="C201" s="51" t="str">
        <x:f>IF(193&gt;$H$4,"",IF(INDEX('Fleet dates'!$C$9:$C$1008,$I201-8)="","",INDEX('Fleet dates'!$C$9:$C$1008,$I201-8)))</x:f>
      </x:c>
      <x:c r="D201" s="51" t="str">
        <x:f>IF(193&gt;$H$4,"",IF(INDEX('Fleet dates'!$D$9:$D$1008,$I201-8)="","",INDEX('Fleet dates'!$D$9:$D$1008,$I201-8)))</x:f>
      </x:c>
      <x:c r="E201" s="51" t="str">
        <x:f>IF(193&gt;$H$4,"",IF(INDEX('Fleet dates'!$E$9:$E$1008,$I201-8)="","",INDEX('Fleet dates'!$E$9:$E$1008,$I201-8)))</x:f>
      </x:c>
      <x:c r="F201" s="51" t="str">
        <x:f>IF(193&gt;$H$4,"",IF(INDEX('Fleet dates'!$F$9:$F$1008,$I201-8)="","",INDEX('Fleet dates'!$F$9:$F$1008,$I201-8)))</x:f>
      </x:c>
      <x:c r="G201" s="50" t="str">
        <x:f>IF(193&gt;$H$4,"",IF(INDEX('Fleet dates'!$G$9:$G$1008,$I201-8)="","",INDEX('Fleet dates'!$G$9:$G$1008,$I201-8)))</x:f>
      </x:c>
      <x:c r="H201" s="50" t="str">
        <x:f>IF(193&gt;$H$4,"",IF(INDEX('Fleet dates'!$I$9:$I$1008,$I201-8)="","",INDEX('Fleet dates'!$I$9:$I$1008,$I201-8)))</x:f>
      </x:c>
      <x:c r="I201" t="str">
        <x:f>IF(193&gt;$H$4,"",MATCH(193,'Fleet dates'!$K$9:$K$1008,0)+8)</x:f>
      </x:c>
    </x:row>
    <x:row r="202" ht="36" customHeight="1">
      <x:c r="A202" s="50" t="str">
        <x:f>IF(194&gt;$H$4,"",IF(INDEX('Fleet dates'!$A$9:$A$1008,$I202-8)="","",INDEX('Fleet dates'!$A$9:$A$1008,$I202-8)))</x:f>
      </x:c>
      <x:c r="B202" s="50" t="str">
        <x:f>IF(194&gt;$H$4,"",IF(INDEX('Fleet dates'!$B$9:$B$1008,$I202-8)="","",INDEX('Fleet dates'!$B$9:$B$1008,$I202-8)))</x:f>
      </x:c>
      <x:c r="C202" s="51" t="str">
        <x:f>IF(194&gt;$H$4,"",IF(INDEX('Fleet dates'!$C$9:$C$1008,$I202-8)="","",INDEX('Fleet dates'!$C$9:$C$1008,$I202-8)))</x:f>
      </x:c>
      <x:c r="D202" s="51" t="str">
        <x:f>IF(194&gt;$H$4,"",IF(INDEX('Fleet dates'!$D$9:$D$1008,$I202-8)="","",INDEX('Fleet dates'!$D$9:$D$1008,$I202-8)))</x:f>
      </x:c>
      <x:c r="E202" s="51" t="str">
        <x:f>IF(194&gt;$H$4,"",IF(INDEX('Fleet dates'!$E$9:$E$1008,$I202-8)="","",INDEX('Fleet dates'!$E$9:$E$1008,$I202-8)))</x:f>
      </x:c>
      <x:c r="F202" s="51" t="str">
        <x:f>IF(194&gt;$H$4,"",IF(INDEX('Fleet dates'!$F$9:$F$1008,$I202-8)="","",INDEX('Fleet dates'!$F$9:$F$1008,$I202-8)))</x:f>
      </x:c>
      <x:c r="G202" s="50" t="str">
        <x:f>IF(194&gt;$H$4,"",IF(INDEX('Fleet dates'!$G$9:$G$1008,$I202-8)="","",INDEX('Fleet dates'!$G$9:$G$1008,$I202-8)))</x:f>
      </x:c>
      <x:c r="H202" s="50" t="str">
        <x:f>IF(194&gt;$H$4,"",IF(INDEX('Fleet dates'!$I$9:$I$1008,$I202-8)="","",INDEX('Fleet dates'!$I$9:$I$1008,$I202-8)))</x:f>
      </x:c>
      <x:c r="I202" t="str">
        <x:f>IF(194&gt;$H$4,"",MATCH(194,'Fleet dates'!$K$9:$K$1008,0)+8)</x:f>
      </x:c>
    </x:row>
    <x:row r="203" ht="36" customHeight="1">
      <x:c r="A203" s="50" t="str">
        <x:f>IF(195&gt;$H$4,"",IF(INDEX('Fleet dates'!$A$9:$A$1008,$I203-8)="","",INDEX('Fleet dates'!$A$9:$A$1008,$I203-8)))</x:f>
      </x:c>
      <x:c r="B203" s="50" t="str">
        <x:f>IF(195&gt;$H$4,"",IF(INDEX('Fleet dates'!$B$9:$B$1008,$I203-8)="","",INDEX('Fleet dates'!$B$9:$B$1008,$I203-8)))</x:f>
      </x:c>
      <x:c r="C203" s="51" t="str">
        <x:f>IF(195&gt;$H$4,"",IF(INDEX('Fleet dates'!$C$9:$C$1008,$I203-8)="","",INDEX('Fleet dates'!$C$9:$C$1008,$I203-8)))</x:f>
      </x:c>
      <x:c r="D203" s="51" t="str">
        <x:f>IF(195&gt;$H$4,"",IF(INDEX('Fleet dates'!$D$9:$D$1008,$I203-8)="","",INDEX('Fleet dates'!$D$9:$D$1008,$I203-8)))</x:f>
      </x:c>
      <x:c r="E203" s="51" t="str">
        <x:f>IF(195&gt;$H$4,"",IF(INDEX('Fleet dates'!$E$9:$E$1008,$I203-8)="","",INDEX('Fleet dates'!$E$9:$E$1008,$I203-8)))</x:f>
      </x:c>
      <x:c r="F203" s="51" t="str">
        <x:f>IF(195&gt;$H$4,"",IF(INDEX('Fleet dates'!$F$9:$F$1008,$I203-8)="","",INDEX('Fleet dates'!$F$9:$F$1008,$I203-8)))</x:f>
      </x:c>
      <x:c r="G203" s="50" t="str">
        <x:f>IF(195&gt;$H$4,"",IF(INDEX('Fleet dates'!$G$9:$G$1008,$I203-8)="","",INDEX('Fleet dates'!$G$9:$G$1008,$I203-8)))</x:f>
      </x:c>
      <x:c r="H203" s="50" t="str">
        <x:f>IF(195&gt;$H$4,"",IF(INDEX('Fleet dates'!$I$9:$I$1008,$I203-8)="","",INDEX('Fleet dates'!$I$9:$I$1008,$I203-8)))</x:f>
      </x:c>
      <x:c r="I203" t="str">
        <x:f>IF(195&gt;$H$4,"",MATCH(195,'Fleet dates'!$K$9:$K$1008,0)+8)</x:f>
      </x:c>
    </x:row>
    <x:row r="204" ht="36" customHeight="1">
      <x:c r="A204" s="50" t="str">
        <x:f>IF(196&gt;$H$4,"",IF(INDEX('Fleet dates'!$A$9:$A$1008,$I204-8)="","",INDEX('Fleet dates'!$A$9:$A$1008,$I204-8)))</x:f>
      </x:c>
      <x:c r="B204" s="50" t="str">
        <x:f>IF(196&gt;$H$4,"",IF(INDEX('Fleet dates'!$B$9:$B$1008,$I204-8)="","",INDEX('Fleet dates'!$B$9:$B$1008,$I204-8)))</x:f>
      </x:c>
      <x:c r="C204" s="51" t="str">
        <x:f>IF(196&gt;$H$4,"",IF(INDEX('Fleet dates'!$C$9:$C$1008,$I204-8)="","",INDEX('Fleet dates'!$C$9:$C$1008,$I204-8)))</x:f>
      </x:c>
      <x:c r="D204" s="51" t="str">
        <x:f>IF(196&gt;$H$4,"",IF(INDEX('Fleet dates'!$D$9:$D$1008,$I204-8)="","",INDEX('Fleet dates'!$D$9:$D$1008,$I204-8)))</x:f>
      </x:c>
      <x:c r="E204" s="51" t="str">
        <x:f>IF(196&gt;$H$4,"",IF(INDEX('Fleet dates'!$E$9:$E$1008,$I204-8)="","",INDEX('Fleet dates'!$E$9:$E$1008,$I204-8)))</x:f>
      </x:c>
      <x:c r="F204" s="51" t="str">
        <x:f>IF(196&gt;$H$4,"",IF(INDEX('Fleet dates'!$F$9:$F$1008,$I204-8)="","",INDEX('Fleet dates'!$F$9:$F$1008,$I204-8)))</x:f>
      </x:c>
      <x:c r="G204" s="50" t="str">
        <x:f>IF(196&gt;$H$4,"",IF(INDEX('Fleet dates'!$G$9:$G$1008,$I204-8)="","",INDEX('Fleet dates'!$G$9:$G$1008,$I204-8)))</x:f>
      </x:c>
      <x:c r="H204" s="50" t="str">
        <x:f>IF(196&gt;$H$4,"",IF(INDEX('Fleet dates'!$I$9:$I$1008,$I204-8)="","",INDEX('Fleet dates'!$I$9:$I$1008,$I204-8)))</x:f>
      </x:c>
      <x:c r="I204" t="str">
        <x:f>IF(196&gt;$H$4,"",MATCH(196,'Fleet dates'!$K$9:$K$1008,0)+8)</x:f>
      </x:c>
    </x:row>
    <x:row r="205" ht="36" customHeight="1">
      <x:c r="A205" s="50" t="str">
        <x:f>IF(197&gt;$H$4,"",IF(INDEX('Fleet dates'!$A$9:$A$1008,$I205-8)="","",INDEX('Fleet dates'!$A$9:$A$1008,$I205-8)))</x:f>
      </x:c>
      <x:c r="B205" s="50" t="str">
        <x:f>IF(197&gt;$H$4,"",IF(INDEX('Fleet dates'!$B$9:$B$1008,$I205-8)="","",INDEX('Fleet dates'!$B$9:$B$1008,$I205-8)))</x:f>
      </x:c>
      <x:c r="C205" s="51" t="str">
        <x:f>IF(197&gt;$H$4,"",IF(INDEX('Fleet dates'!$C$9:$C$1008,$I205-8)="","",INDEX('Fleet dates'!$C$9:$C$1008,$I205-8)))</x:f>
      </x:c>
      <x:c r="D205" s="51" t="str">
        <x:f>IF(197&gt;$H$4,"",IF(INDEX('Fleet dates'!$D$9:$D$1008,$I205-8)="","",INDEX('Fleet dates'!$D$9:$D$1008,$I205-8)))</x:f>
      </x:c>
      <x:c r="E205" s="51" t="str">
        <x:f>IF(197&gt;$H$4,"",IF(INDEX('Fleet dates'!$E$9:$E$1008,$I205-8)="","",INDEX('Fleet dates'!$E$9:$E$1008,$I205-8)))</x:f>
      </x:c>
      <x:c r="F205" s="51" t="str">
        <x:f>IF(197&gt;$H$4,"",IF(INDEX('Fleet dates'!$F$9:$F$1008,$I205-8)="","",INDEX('Fleet dates'!$F$9:$F$1008,$I205-8)))</x:f>
      </x:c>
      <x:c r="G205" s="50" t="str">
        <x:f>IF(197&gt;$H$4,"",IF(INDEX('Fleet dates'!$G$9:$G$1008,$I205-8)="","",INDEX('Fleet dates'!$G$9:$G$1008,$I205-8)))</x:f>
      </x:c>
      <x:c r="H205" s="50" t="str">
        <x:f>IF(197&gt;$H$4,"",IF(INDEX('Fleet dates'!$I$9:$I$1008,$I205-8)="","",INDEX('Fleet dates'!$I$9:$I$1008,$I205-8)))</x:f>
      </x:c>
      <x:c r="I205" t="str">
        <x:f>IF(197&gt;$H$4,"",MATCH(197,'Fleet dates'!$K$9:$K$1008,0)+8)</x:f>
      </x:c>
    </x:row>
    <x:row r="206" ht="36" customHeight="1">
      <x:c r="A206" s="50" t="str">
        <x:f>IF(198&gt;$H$4,"",IF(INDEX('Fleet dates'!$A$9:$A$1008,$I206-8)="","",INDEX('Fleet dates'!$A$9:$A$1008,$I206-8)))</x:f>
      </x:c>
      <x:c r="B206" s="50" t="str">
        <x:f>IF(198&gt;$H$4,"",IF(INDEX('Fleet dates'!$B$9:$B$1008,$I206-8)="","",INDEX('Fleet dates'!$B$9:$B$1008,$I206-8)))</x:f>
      </x:c>
      <x:c r="C206" s="51" t="str">
        <x:f>IF(198&gt;$H$4,"",IF(INDEX('Fleet dates'!$C$9:$C$1008,$I206-8)="","",INDEX('Fleet dates'!$C$9:$C$1008,$I206-8)))</x:f>
      </x:c>
      <x:c r="D206" s="51" t="str">
        <x:f>IF(198&gt;$H$4,"",IF(INDEX('Fleet dates'!$D$9:$D$1008,$I206-8)="","",INDEX('Fleet dates'!$D$9:$D$1008,$I206-8)))</x:f>
      </x:c>
      <x:c r="E206" s="51" t="str">
        <x:f>IF(198&gt;$H$4,"",IF(INDEX('Fleet dates'!$E$9:$E$1008,$I206-8)="","",INDEX('Fleet dates'!$E$9:$E$1008,$I206-8)))</x:f>
      </x:c>
      <x:c r="F206" s="51" t="str">
        <x:f>IF(198&gt;$H$4,"",IF(INDEX('Fleet dates'!$F$9:$F$1008,$I206-8)="","",INDEX('Fleet dates'!$F$9:$F$1008,$I206-8)))</x:f>
      </x:c>
      <x:c r="G206" s="50" t="str">
        <x:f>IF(198&gt;$H$4,"",IF(INDEX('Fleet dates'!$G$9:$G$1008,$I206-8)="","",INDEX('Fleet dates'!$G$9:$G$1008,$I206-8)))</x:f>
      </x:c>
      <x:c r="H206" s="50" t="str">
        <x:f>IF(198&gt;$H$4,"",IF(INDEX('Fleet dates'!$I$9:$I$1008,$I206-8)="","",INDEX('Fleet dates'!$I$9:$I$1008,$I206-8)))</x:f>
      </x:c>
      <x:c r="I206" t="str">
        <x:f>IF(198&gt;$H$4,"",MATCH(198,'Fleet dates'!$K$9:$K$1008,0)+8)</x:f>
      </x:c>
    </x:row>
    <x:row r="207" ht="36" customHeight="1">
      <x:c r="A207" s="50" t="str">
        <x:f>IF(199&gt;$H$4,"",IF(INDEX('Fleet dates'!$A$9:$A$1008,$I207-8)="","",INDEX('Fleet dates'!$A$9:$A$1008,$I207-8)))</x:f>
      </x:c>
      <x:c r="B207" s="50" t="str">
        <x:f>IF(199&gt;$H$4,"",IF(INDEX('Fleet dates'!$B$9:$B$1008,$I207-8)="","",INDEX('Fleet dates'!$B$9:$B$1008,$I207-8)))</x:f>
      </x:c>
      <x:c r="C207" s="51" t="str">
        <x:f>IF(199&gt;$H$4,"",IF(INDEX('Fleet dates'!$C$9:$C$1008,$I207-8)="","",INDEX('Fleet dates'!$C$9:$C$1008,$I207-8)))</x:f>
      </x:c>
      <x:c r="D207" s="51" t="str">
        <x:f>IF(199&gt;$H$4,"",IF(INDEX('Fleet dates'!$D$9:$D$1008,$I207-8)="","",INDEX('Fleet dates'!$D$9:$D$1008,$I207-8)))</x:f>
      </x:c>
      <x:c r="E207" s="51" t="str">
        <x:f>IF(199&gt;$H$4,"",IF(INDEX('Fleet dates'!$E$9:$E$1008,$I207-8)="","",INDEX('Fleet dates'!$E$9:$E$1008,$I207-8)))</x:f>
      </x:c>
      <x:c r="F207" s="51" t="str">
        <x:f>IF(199&gt;$H$4,"",IF(INDEX('Fleet dates'!$F$9:$F$1008,$I207-8)="","",INDEX('Fleet dates'!$F$9:$F$1008,$I207-8)))</x:f>
      </x:c>
      <x:c r="G207" s="50" t="str">
        <x:f>IF(199&gt;$H$4,"",IF(INDEX('Fleet dates'!$G$9:$G$1008,$I207-8)="","",INDEX('Fleet dates'!$G$9:$G$1008,$I207-8)))</x:f>
      </x:c>
      <x:c r="H207" s="50" t="str">
        <x:f>IF(199&gt;$H$4,"",IF(INDEX('Fleet dates'!$I$9:$I$1008,$I207-8)="","",INDEX('Fleet dates'!$I$9:$I$1008,$I207-8)))</x:f>
      </x:c>
      <x:c r="I207" t="str">
        <x:f>IF(199&gt;$H$4,"",MATCH(199,'Fleet dates'!$K$9:$K$1008,0)+8)</x:f>
      </x:c>
    </x:row>
    <x:row r="208" ht="36" customHeight="1">
      <x:c r="A208" s="50" t="str">
        <x:f>IF(200&gt;$H$4,"",IF(INDEX('Fleet dates'!$A$9:$A$1008,$I208-8)="","",INDEX('Fleet dates'!$A$9:$A$1008,$I208-8)))</x:f>
      </x:c>
      <x:c r="B208" s="50" t="str">
        <x:f>IF(200&gt;$H$4,"",IF(INDEX('Fleet dates'!$B$9:$B$1008,$I208-8)="","",INDEX('Fleet dates'!$B$9:$B$1008,$I208-8)))</x:f>
      </x:c>
      <x:c r="C208" s="51" t="str">
        <x:f>IF(200&gt;$H$4,"",IF(INDEX('Fleet dates'!$C$9:$C$1008,$I208-8)="","",INDEX('Fleet dates'!$C$9:$C$1008,$I208-8)))</x:f>
      </x:c>
      <x:c r="D208" s="51" t="str">
        <x:f>IF(200&gt;$H$4,"",IF(INDEX('Fleet dates'!$D$9:$D$1008,$I208-8)="","",INDEX('Fleet dates'!$D$9:$D$1008,$I208-8)))</x:f>
      </x:c>
      <x:c r="E208" s="51" t="str">
        <x:f>IF(200&gt;$H$4,"",IF(INDEX('Fleet dates'!$E$9:$E$1008,$I208-8)="","",INDEX('Fleet dates'!$E$9:$E$1008,$I208-8)))</x:f>
      </x:c>
      <x:c r="F208" s="51" t="str">
        <x:f>IF(200&gt;$H$4,"",IF(INDEX('Fleet dates'!$F$9:$F$1008,$I208-8)="","",INDEX('Fleet dates'!$F$9:$F$1008,$I208-8)))</x:f>
      </x:c>
      <x:c r="G208" s="50" t="str">
        <x:f>IF(200&gt;$H$4,"",IF(INDEX('Fleet dates'!$G$9:$G$1008,$I208-8)="","",INDEX('Fleet dates'!$G$9:$G$1008,$I208-8)))</x:f>
      </x:c>
      <x:c r="H208" s="50" t="str">
        <x:f>IF(200&gt;$H$4,"",IF(INDEX('Fleet dates'!$I$9:$I$1008,$I208-8)="","",INDEX('Fleet dates'!$I$9:$I$1008,$I208-8)))</x:f>
      </x:c>
      <x:c r="I208" t="str">
        <x:f>IF(200&gt;$H$4,"",MATCH(200,'Fleet dates'!$K$9:$K$1008,0)+8)</x:f>
      </x:c>
    </x:row>
    <x:row r="209" ht="36" customHeight="1">
      <x:c r="A209" s="50" t="str">
        <x:f>IF(201&gt;$H$4,"",IF(INDEX('Fleet dates'!$A$9:$A$1008,$I209-8)="","",INDEX('Fleet dates'!$A$9:$A$1008,$I209-8)))</x:f>
      </x:c>
      <x:c r="B209" s="50" t="str">
        <x:f>IF(201&gt;$H$4,"",IF(INDEX('Fleet dates'!$B$9:$B$1008,$I209-8)="","",INDEX('Fleet dates'!$B$9:$B$1008,$I209-8)))</x:f>
      </x:c>
      <x:c r="C209" s="51" t="str">
        <x:f>IF(201&gt;$H$4,"",IF(INDEX('Fleet dates'!$C$9:$C$1008,$I209-8)="","",INDEX('Fleet dates'!$C$9:$C$1008,$I209-8)))</x:f>
      </x:c>
      <x:c r="D209" s="51" t="str">
        <x:f>IF(201&gt;$H$4,"",IF(INDEX('Fleet dates'!$D$9:$D$1008,$I209-8)="","",INDEX('Fleet dates'!$D$9:$D$1008,$I209-8)))</x:f>
      </x:c>
      <x:c r="E209" s="51" t="str">
        <x:f>IF(201&gt;$H$4,"",IF(INDEX('Fleet dates'!$E$9:$E$1008,$I209-8)="","",INDEX('Fleet dates'!$E$9:$E$1008,$I209-8)))</x:f>
      </x:c>
      <x:c r="F209" s="51" t="str">
        <x:f>IF(201&gt;$H$4,"",IF(INDEX('Fleet dates'!$F$9:$F$1008,$I209-8)="","",INDEX('Fleet dates'!$F$9:$F$1008,$I209-8)))</x:f>
      </x:c>
      <x:c r="G209" s="50" t="str">
        <x:f>IF(201&gt;$H$4,"",IF(INDEX('Fleet dates'!$G$9:$G$1008,$I209-8)="","",INDEX('Fleet dates'!$G$9:$G$1008,$I209-8)))</x:f>
      </x:c>
      <x:c r="H209" s="50" t="str">
        <x:f>IF(201&gt;$H$4,"",IF(INDEX('Fleet dates'!$I$9:$I$1008,$I209-8)="","",INDEX('Fleet dates'!$I$9:$I$1008,$I209-8)))</x:f>
      </x:c>
      <x:c r="I209" t="str">
        <x:f>IF(201&gt;$H$4,"",MATCH(201,'Fleet dates'!$K$9:$K$1008,0)+8)</x:f>
      </x:c>
    </x:row>
    <x:row r="210" ht="36" customHeight="1">
      <x:c r="A210" s="50" t="str">
        <x:f>IF(202&gt;$H$4,"",IF(INDEX('Fleet dates'!$A$9:$A$1008,$I210-8)="","",INDEX('Fleet dates'!$A$9:$A$1008,$I210-8)))</x:f>
      </x:c>
      <x:c r="B210" s="50" t="str">
        <x:f>IF(202&gt;$H$4,"",IF(INDEX('Fleet dates'!$B$9:$B$1008,$I210-8)="","",INDEX('Fleet dates'!$B$9:$B$1008,$I210-8)))</x:f>
      </x:c>
      <x:c r="C210" s="51" t="str">
        <x:f>IF(202&gt;$H$4,"",IF(INDEX('Fleet dates'!$C$9:$C$1008,$I210-8)="","",INDEX('Fleet dates'!$C$9:$C$1008,$I210-8)))</x:f>
      </x:c>
      <x:c r="D210" s="51" t="str">
        <x:f>IF(202&gt;$H$4,"",IF(INDEX('Fleet dates'!$D$9:$D$1008,$I210-8)="","",INDEX('Fleet dates'!$D$9:$D$1008,$I210-8)))</x:f>
      </x:c>
      <x:c r="E210" s="51" t="str">
        <x:f>IF(202&gt;$H$4,"",IF(INDEX('Fleet dates'!$E$9:$E$1008,$I210-8)="","",INDEX('Fleet dates'!$E$9:$E$1008,$I210-8)))</x:f>
      </x:c>
      <x:c r="F210" s="51" t="str">
        <x:f>IF(202&gt;$H$4,"",IF(INDEX('Fleet dates'!$F$9:$F$1008,$I210-8)="","",INDEX('Fleet dates'!$F$9:$F$1008,$I210-8)))</x:f>
      </x:c>
      <x:c r="G210" s="50" t="str">
        <x:f>IF(202&gt;$H$4,"",IF(INDEX('Fleet dates'!$G$9:$G$1008,$I210-8)="","",INDEX('Fleet dates'!$G$9:$G$1008,$I210-8)))</x:f>
      </x:c>
      <x:c r="H210" s="50" t="str">
        <x:f>IF(202&gt;$H$4,"",IF(INDEX('Fleet dates'!$I$9:$I$1008,$I210-8)="","",INDEX('Fleet dates'!$I$9:$I$1008,$I210-8)))</x:f>
      </x:c>
      <x:c r="I210" t="str">
        <x:f>IF(202&gt;$H$4,"",MATCH(202,'Fleet dates'!$K$9:$K$1008,0)+8)</x:f>
      </x:c>
    </x:row>
    <x:row r="211" ht="36" customHeight="1">
      <x:c r="A211" s="50" t="str">
        <x:f>IF(203&gt;$H$4,"",IF(INDEX('Fleet dates'!$A$9:$A$1008,$I211-8)="","",INDEX('Fleet dates'!$A$9:$A$1008,$I211-8)))</x:f>
      </x:c>
      <x:c r="B211" s="50" t="str">
        <x:f>IF(203&gt;$H$4,"",IF(INDEX('Fleet dates'!$B$9:$B$1008,$I211-8)="","",INDEX('Fleet dates'!$B$9:$B$1008,$I211-8)))</x:f>
      </x:c>
      <x:c r="C211" s="51" t="str">
        <x:f>IF(203&gt;$H$4,"",IF(INDEX('Fleet dates'!$C$9:$C$1008,$I211-8)="","",INDEX('Fleet dates'!$C$9:$C$1008,$I211-8)))</x:f>
      </x:c>
      <x:c r="D211" s="51" t="str">
        <x:f>IF(203&gt;$H$4,"",IF(INDEX('Fleet dates'!$D$9:$D$1008,$I211-8)="","",INDEX('Fleet dates'!$D$9:$D$1008,$I211-8)))</x:f>
      </x:c>
      <x:c r="E211" s="51" t="str">
        <x:f>IF(203&gt;$H$4,"",IF(INDEX('Fleet dates'!$E$9:$E$1008,$I211-8)="","",INDEX('Fleet dates'!$E$9:$E$1008,$I211-8)))</x:f>
      </x:c>
      <x:c r="F211" s="51" t="str">
        <x:f>IF(203&gt;$H$4,"",IF(INDEX('Fleet dates'!$F$9:$F$1008,$I211-8)="","",INDEX('Fleet dates'!$F$9:$F$1008,$I211-8)))</x:f>
      </x:c>
      <x:c r="G211" s="50" t="str">
        <x:f>IF(203&gt;$H$4,"",IF(INDEX('Fleet dates'!$G$9:$G$1008,$I211-8)="","",INDEX('Fleet dates'!$G$9:$G$1008,$I211-8)))</x:f>
      </x:c>
      <x:c r="H211" s="50" t="str">
        <x:f>IF(203&gt;$H$4,"",IF(INDEX('Fleet dates'!$I$9:$I$1008,$I211-8)="","",INDEX('Fleet dates'!$I$9:$I$1008,$I211-8)))</x:f>
      </x:c>
      <x:c r="I211" t="str">
        <x:f>IF(203&gt;$H$4,"",MATCH(203,'Fleet dates'!$K$9:$K$1008,0)+8)</x:f>
      </x:c>
    </x:row>
    <x:row r="212" ht="36" customHeight="1">
      <x:c r="A212" s="50" t="str">
        <x:f>IF(204&gt;$H$4,"",IF(INDEX('Fleet dates'!$A$9:$A$1008,$I212-8)="","",INDEX('Fleet dates'!$A$9:$A$1008,$I212-8)))</x:f>
      </x:c>
      <x:c r="B212" s="50" t="str">
        <x:f>IF(204&gt;$H$4,"",IF(INDEX('Fleet dates'!$B$9:$B$1008,$I212-8)="","",INDEX('Fleet dates'!$B$9:$B$1008,$I212-8)))</x:f>
      </x:c>
      <x:c r="C212" s="51" t="str">
        <x:f>IF(204&gt;$H$4,"",IF(INDEX('Fleet dates'!$C$9:$C$1008,$I212-8)="","",INDEX('Fleet dates'!$C$9:$C$1008,$I212-8)))</x:f>
      </x:c>
      <x:c r="D212" s="51" t="str">
        <x:f>IF(204&gt;$H$4,"",IF(INDEX('Fleet dates'!$D$9:$D$1008,$I212-8)="","",INDEX('Fleet dates'!$D$9:$D$1008,$I212-8)))</x:f>
      </x:c>
      <x:c r="E212" s="51" t="str">
        <x:f>IF(204&gt;$H$4,"",IF(INDEX('Fleet dates'!$E$9:$E$1008,$I212-8)="","",INDEX('Fleet dates'!$E$9:$E$1008,$I212-8)))</x:f>
      </x:c>
      <x:c r="F212" s="51" t="str">
        <x:f>IF(204&gt;$H$4,"",IF(INDEX('Fleet dates'!$F$9:$F$1008,$I212-8)="","",INDEX('Fleet dates'!$F$9:$F$1008,$I212-8)))</x:f>
      </x:c>
      <x:c r="G212" s="50" t="str">
        <x:f>IF(204&gt;$H$4,"",IF(INDEX('Fleet dates'!$G$9:$G$1008,$I212-8)="","",INDEX('Fleet dates'!$G$9:$G$1008,$I212-8)))</x:f>
      </x:c>
      <x:c r="H212" s="50" t="str">
        <x:f>IF(204&gt;$H$4,"",IF(INDEX('Fleet dates'!$I$9:$I$1008,$I212-8)="","",INDEX('Fleet dates'!$I$9:$I$1008,$I212-8)))</x:f>
      </x:c>
      <x:c r="I212" t="str">
        <x:f>IF(204&gt;$H$4,"",MATCH(204,'Fleet dates'!$K$9:$K$1008,0)+8)</x:f>
      </x:c>
    </x:row>
    <x:row r="213" ht="36" customHeight="1">
      <x:c r="A213" s="50" t="str">
        <x:f>IF(205&gt;$H$4,"",IF(INDEX('Fleet dates'!$A$9:$A$1008,$I213-8)="","",INDEX('Fleet dates'!$A$9:$A$1008,$I213-8)))</x:f>
      </x:c>
      <x:c r="B213" s="50" t="str">
        <x:f>IF(205&gt;$H$4,"",IF(INDEX('Fleet dates'!$B$9:$B$1008,$I213-8)="","",INDEX('Fleet dates'!$B$9:$B$1008,$I213-8)))</x:f>
      </x:c>
      <x:c r="C213" s="51" t="str">
        <x:f>IF(205&gt;$H$4,"",IF(INDEX('Fleet dates'!$C$9:$C$1008,$I213-8)="","",INDEX('Fleet dates'!$C$9:$C$1008,$I213-8)))</x:f>
      </x:c>
      <x:c r="D213" s="51" t="str">
        <x:f>IF(205&gt;$H$4,"",IF(INDEX('Fleet dates'!$D$9:$D$1008,$I213-8)="","",INDEX('Fleet dates'!$D$9:$D$1008,$I213-8)))</x:f>
      </x:c>
      <x:c r="E213" s="51" t="str">
        <x:f>IF(205&gt;$H$4,"",IF(INDEX('Fleet dates'!$E$9:$E$1008,$I213-8)="","",INDEX('Fleet dates'!$E$9:$E$1008,$I213-8)))</x:f>
      </x:c>
      <x:c r="F213" s="51" t="str">
        <x:f>IF(205&gt;$H$4,"",IF(INDEX('Fleet dates'!$F$9:$F$1008,$I213-8)="","",INDEX('Fleet dates'!$F$9:$F$1008,$I213-8)))</x:f>
      </x:c>
      <x:c r="G213" s="50" t="str">
        <x:f>IF(205&gt;$H$4,"",IF(INDEX('Fleet dates'!$G$9:$G$1008,$I213-8)="","",INDEX('Fleet dates'!$G$9:$G$1008,$I213-8)))</x:f>
      </x:c>
      <x:c r="H213" s="50" t="str">
        <x:f>IF(205&gt;$H$4,"",IF(INDEX('Fleet dates'!$I$9:$I$1008,$I213-8)="","",INDEX('Fleet dates'!$I$9:$I$1008,$I213-8)))</x:f>
      </x:c>
      <x:c r="I213" t="str">
        <x:f>IF(205&gt;$H$4,"",MATCH(205,'Fleet dates'!$K$9:$K$1008,0)+8)</x:f>
      </x:c>
    </x:row>
    <x:row r="214" ht="36" customHeight="1">
      <x:c r="A214" s="50" t="str">
        <x:f>IF(206&gt;$H$4,"",IF(INDEX('Fleet dates'!$A$9:$A$1008,$I214-8)="","",INDEX('Fleet dates'!$A$9:$A$1008,$I214-8)))</x:f>
      </x:c>
      <x:c r="B214" s="50" t="str">
        <x:f>IF(206&gt;$H$4,"",IF(INDEX('Fleet dates'!$B$9:$B$1008,$I214-8)="","",INDEX('Fleet dates'!$B$9:$B$1008,$I214-8)))</x:f>
      </x:c>
      <x:c r="C214" s="51" t="str">
        <x:f>IF(206&gt;$H$4,"",IF(INDEX('Fleet dates'!$C$9:$C$1008,$I214-8)="","",INDEX('Fleet dates'!$C$9:$C$1008,$I214-8)))</x:f>
      </x:c>
      <x:c r="D214" s="51" t="str">
        <x:f>IF(206&gt;$H$4,"",IF(INDEX('Fleet dates'!$D$9:$D$1008,$I214-8)="","",INDEX('Fleet dates'!$D$9:$D$1008,$I214-8)))</x:f>
      </x:c>
      <x:c r="E214" s="51" t="str">
        <x:f>IF(206&gt;$H$4,"",IF(INDEX('Fleet dates'!$E$9:$E$1008,$I214-8)="","",INDEX('Fleet dates'!$E$9:$E$1008,$I214-8)))</x:f>
      </x:c>
      <x:c r="F214" s="51" t="str">
        <x:f>IF(206&gt;$H$4,"",IF(INDEX('Fleet dates'!$F$9:$F$1008,$I214-8)="","",INDEX('Fleet dates'!$F$9:$F$1008,$I214-8)))</x:f>
      </x:c>
      <x:c r="G214" s="50" t="str">
        <x:f>IF(206&gt;$H$4,"",IF(INDEX('Fleet dates'!$G$9:$G$1008,$I214-8)="","",INDEX('Fleet dates'!$G$9:$G$1008,$I214-8)))</x:f>
      </x:c>
      <x:c r="H214" s="50" t="str">
        <x:f>IF(206&gt;$H$4,"",IF(INDEX('Fleet dates'!$I$9:$I$1008,$I214-8)="","",INDEX('Fleet dates'!$I$9:$I$1008,$I214-8)))</x:f>
      </x:c>
      <x:c r="I214" t="str">
        <x:f>IF(206&gt;$H$4,"",MATCH(206,'Fleet dates'!$K$9:$K$1008,0)+8)</x:f>
      </x:c>
    </x:row>
    <x:row r="215" ht="36" customHeight="1">
      <x:c r="A215" s="50" t="str">
        <x:f>IF(207&gt;$H$4,"",IF(INDEX('Fleet dates'!$A$9:$A$1008,$I215-8)="","",INDEX('Fleet dates'!$A$9:$A$1008,$I215-8)))</x:f>
      </x:c>
      <x:c r="B215" s="50" t="str">
        <x:f>IF(207&gt;$H$4,"",IF(INDEX('Fleet dates'!$B$9:$B$1008,$I215-8)="","",INDEX('Fleet dates'!$B$9:$B$1008,$I215-8)))</x:f>
      </x:c>
      <x:c r="C215" s="51" t="str">
        <x:f>IF(207&gt;$H$4,"",IF(INDEX('Fleet dates'!$C$9:$C$1008,$I215-8)="","",INDEX('Fleet dates'!$C$9:$C$1008,$I215-8)))</x:f>
      </x:c>
      <x:c r="D215" s="51" t="str">
        <x:f>IF(207&gt;$H$4,"",IF(INDEX('Fleet dates'!$D$9:$D$1008,$I215-8)="","",INDEX('Fleet dates'!$D$9:$D$1008,$I215-8)))</x:f>
      </x:c>
      <x:c r="E215" s="51" t="str">
        <x:f>IF(207&gt;$H$4,"",IF(INDEX('Fleet dates'!$E$9:$E$1008,$I215-8)="","",INDEX('Fleet dates'!$E$9:$E$1008,$I215-8)))</x:f>
      </x:c>
      <x:c r="F215" s="51" t="str">
        <x:f>IF(207&gt;$H$4,"",IF(INDEX('Fleet dates'!$F$9:$F$1008,$I215-8)="","",INDEX('Fleet dates'!$F$9:$F$1008,$I215-8)))</x:f>
      </x:c>
      <x:c r="G215" s="50" t="str">
        <x:f>IF(207&gt;$H$4,"",IF(INDEX('Fleet dates'!$G$9:$G$1008,$I215-8)="","",INDEX('Fleet dates'!$G$9:$G$1008,$I215-8)))</x:f>
      </x:c>
      <x:c r="H215" s="50" t="str">
        <x:f>IF(207&gt;$H$4,"",IF(INDEX('Fleet dates'!$I$9:$I$1008,$I215-8)="","",INDEX('Fleet dates'!$I$9:$I$1008,$I215-8)))</x:f>
      </x:c>
      <x:c r="I215" t="str">
        <x:f>IF(207&gt;$H$4,"",MATCH(207,'Fleet dates'!$K$9:$K$1008,0)+8)</x:f>
      </x:c>
    </x:row>
    <x:row r="216" ht="36" customHeight="1">
      <x:c r="A216" s="50" t="str">
        <x:f>IF(208&gt;$H$4,"",IF(INDEX('Fleet dates'!$A$9:$A$1008,$I216-8)="","",INDEX('Fleet dates'!$A$9:$A$1008,$I216-8)))</x:f>
      </x:c>
      <x:c r="B216" s="50" t="str">
        <x:f>IF(208&gt;$H$4,"",IF(INDEX('Fleet dates'!$B$9:$B$1008,$I216-8)="","",INDEX('Fleet dates'!$B$9:$B$1008,$I216-8)))</x:f>
      </x:c>
      <x:c r="C216" s="51" t="str">
        <x:f>IF(208&gt;$H$4,"",IF(INDEX('Fleet dates'!$C$9:$C$1008,$I216-8)="","",INDEX('Fleet dates'!$C$9:$C$1008,$I216-8)))</x:f>
      </x:c>
      <x:c r="D216" s="51" t="str">
        <x:f>IF(208&gt;$H$4,"",IF(INDEX('Fleet dates'!$D$9:$D$1008,$I216-8)="","",INDEX('Fleet dates'!$D$9:$D$1008,$I216-8)))</x:f>
      </x:c>
      <x:c r="E216" s="51" t="str">
        <x:f>IF(208&gt;$H$4,"",IF(INDEX('Fleet dates'!$E$9:$E$1008,$I216-8)="","",INDEX('Fleet dates'!$E$9:$E$1008,$I216-8)))</x:f>
      </x:c>
      <x:c r="F216" s="51" t="str">
        <x:f>IF(208&gt;$H$4,"",IF(INDEX('Fleet dates'!$F$9:$F$1008,$I216-8)="","",INDEX('Fleet dates'!$F$9:$F$1008,$I216-8)))</x:f>
      </x:c>
      <x:c r="G216" s="50" t="str">
        <x:f>IF(208&gt;$H$4,"",IF(INDEX('Fleet dates'!$G$9:$G$1008,$I216-8)="","",INDEX('Fleet dates'!$G$9:$G$1008,$I216-8)))</x:f>
      </x:c>
      <x:c r="H216" s="50" t="str">
        <x:f>IF(208&gt;$H$4,"",IF(INDEX('Fleet dates'!$I$9:$I$1008,$I216-8)="","",INDEX('Fleet dates'!$I$9:$I$1008,$I216-8)))</x:f>
      </x:c>
      <x:c r="I216" t="str">
        <x:f>IF(208&gt;$H$4,"",MATCH(208,'Fleet dates'!$K$9:$K$1008,0)+8)</x:f>
      </x:c>
    </x:row>
    <x:row r="217" ht="36" customHeight="1">
      <x:c r="A217" s="50" t="str">
        <x:f>IF(209&gt;$H$4,"",IF(INDEX('Fleet dates'!$A$9:$A$1008,$I217-8)="","",INDEX('Fleet dates'!$A$9:$A$1008,$I217-8)))</x:f>
      </x:c>
      <x:c r="B217" s="50" t="str">
        <x:f>IF(209&gt;$H$4,"",IF(INDEX('Fleet dates'!$B$9:$B$1008,$I217-8)="","",INDEX('Fleet dates'!$B$9:$B$1008,$I217-8)))</x:f>
      </x:c>
      <x:c r="C217" s="51" t="str">
        <x:f>IF(209&gt;$H$4,"",IF(INDEX('Fleet dates'!$C$9:$C$1008,$I217-8)="","",INDEX('Fleet dates'!$C$9:$C$1008,$I217-8)))</x:f>
      </x:c>
      <x:c r="D217" s="51" t="str">
        <x:f>IF(209&gt;$H$4,"",IF(INDEX('Fleet dates'!$D$9:$D$1008,$I217-8)="","",INDEX('Fleet dates'!$D$9:$D$1008,$I217-8)))</x:f>
      </x:c>
      <x:c r="E217" s="51" t="str">
        <x:f>IF(209&gt;$H$4,"",IF(INDEX('Fleet dates'!$E$9:$E$1008,$I217-8)="","",INDEX('Fleet dates'!$E$9:$E$1008,$I217-8)))</x:f>
      </x:c>
      <x:c r="F217" s="51" t="str">
        <x:f>IF(209&gt;$H$4,"",IF(INDEX('Fleet dates'!$F$9:$F$1008,$I217-8)="","",INDEX('Fleet dates'!$F$9:$F$1008,$I217-8)))</x:f>
      </x:c>
      <x:c r="G217" s="50" t="str">
        <x:f>IF(209&gt;$H$4,"",IF(INDEX('Fleet dates'!$G$9:$G$1008,$I217-8)="","",INDEX('Fleet dates'!$G$9:$G$1008,$I217-8)))</x:f>
      </x:c>
      <x:c r="H217" s="50" t="str">
        <x:f>IF(209&gt;$H$4,"",IF(INDEX('Fleet dates'!$I$9:$I$1008,$I217-8)="","",INDEX('Fleet dates'!$I$9:$I$1008,$I217-8)))</x:f>
      </x:c>
      <x:c r="I217" t="str">
        <x:f>IF(209&gt;$H$4,"",MATCH(209,'Fleet dates'!$K$9:$K$1008,0)+8)</x:f>
      </x:c>
    </x:row>
    <x:row r="218" ht="36" customHeight="1">
      <x:c r="A218" s="50" t="str">
        <x:f>IF(210&gt;$H$4,"",IF(INDEX('Fleet dates'!$A$9:$A$1008,$I218-8)="","",INDEX('Fleet dates'!$A$9:$A$1008,$I218-8)))</x:f>
      </x:c>
      <x:c r="B218" s="50" t="str">
        <x:f>IF(210&gt;$H$4,"",IF(INDEX('Fleet dates'!$B$9:$B$1008,$I218-8)="","",INDEX('Fleet dates'!$B$9:$B$1008,$I218-8)))</x:f>
      </x:c>
      <x:c r="C218" s="51" t="str">
        <x:f>IF(210&gt;$H$4,"",IF(INDEX('Fleet dates'!$C$9:$C$1008,$I218-8)="","",INDEX('Fleet dates'!$C$9:$C$1008,$I218-8)))</x:f>
      </x:c>
      <x:c r="D218" s="51" t="str">
        <x:f>IF(210&gt;$H$4,"",IF(INDEX('Fleet dates'!$D$9:$D$1008,$I218-8)="","",INDEX('Fleet dates'!$D$9:$D$1008,$I218-8)))</x:f>
      </x:c>
      <x:c r="E218" s="51" t="str">
        <x:f>IF(210&gt;$H$4,"",IF(INDEX('Fleet dates'!$E$9:$E$1008,$I218-8)="","",INDEX('Fleet dates'!$E$9:$E$1008,$I218-8)))</x:f>
      </x:c>
      <x:c r="F218" s="51" t="str">
        <x:f>IF(210&gt;$H$4,"",IF(INDEX('Fleet dates'!$F$9:$F$1008,$I218-8)="","",INDEX('Fleet dates'!$F$9:$F$1008,$I218-8)))</x:f>
      </x:c>
      <x:c r="G218" s="50" t="str">
        <x:f>IF(210&gt;$H$4,"",IF(INDEX('Fleet dates'!$G$9:$G$1008,$I218-8)="","",INDEX('Fleet dates'!$G$9:$G$1008,$I218-8)))</x:f>
      </x:c>
      <x:c r="H218" s="50" t="str">
        <x:f>IF(210&gt;$H$4,"",IF(INDEX('Fleet dates'!$I$9:$I$1008,$I218-8)="","",INDEX('Fleet dates'!$I$9:$I$1008,$I218-8)))</x:f>
      </x:c>
      <x:c r="I218" t="str">
        <x:f>IF(210&gt;$H$4,"",MATCH(210,'Fleet dates'!$K$9:$K$1008,0)+8)</x:f>
      </x:c>
    </x:row>
    <x:row r="219" ht="36" customHeight="1">
      <x:c r="A219" s="50" t="str">
        <x:f>IF(211&gt;$H$4,"",IF(INDEX('Fleet dates'!$A$9:$A$1008,$I219-8)="","",INDEX('Fleet dates'!$A$9:$A$1008,$I219-8)))</x:f>
      </x:c>
      <x:c r="B219" s="50" t="str">
        <x:f>IF(211&gt;$H$4,"",IF(INDEX('Fleet dates'!$B$9:$B$1008,$I219-8)="","",INDEX('Fleet dates'!$B$9:$B$1008,$I219-8)))</x:f>
      </x:c>
      <x:c r="C219" s="51" t="str">
        <x:f>IF(211&gt;$H$4,"",IF(INDEX('Fleet dates'!$C$9:$C$1008,$I219-8)="","",INDEX('Fleet dates'!$C$9:$C$1008,$I219-8)))</x:f>
      </x:c>
      <x:c r="D219" s="51" t="str">
        <x:f>IF(211&gt;$H$4,"",IF(INDEX('Fleet dates'!$D$9:$D$1008,$I219-8)="","",INDEX('Fleet dates'!$D$9:$D$1008,$I219-8)))</x:f>
      </x:c>
      <x:c r="E219" s="51" t="str">
        <x:f>IF(211&gt;$H$4,"",IF(INDEX('Fleet dates'!$E$9:$E$1008,$I219-8)="","",INDEX('Fleet dates'!$E$9:$E$1008,$I219-8)))</x:f>
      </x:c>
      <x:c r="F219" s="51" t="str">
        <x:f>IF(211&gt;$H$4,"",IF(INDEX('Fleet dates'!$F$9:$F$1008,$I219-8)="","",INDEX('Fleet dates'!$F$9:$F$1008,$I219-8)))</x:f>
      </x:c>
      <x:c r="G219" s="50" t="str">
        <x:f>IF(211&gt;$H$4,"",IF(INDEX('Fleet dates'!$G$9:$G$1008,$I219-8)="","",INDEX('Fleet dates'!$G$9:$G$1008,$I219-8)))</x:f>
      </x:c>
      <x:c r="H219" s="50" t="str">
        <x:f>IF(211&gt;$H$4,"",IF(INDEX('Fleet dates'!$I$9:$I$1008,$I219-8)="","",INDEX('Fleet dates'!$I$9:$I$1008,$I219-8)))</x:f>
      </x:c>
      <x:c r="I219" t="str">
        <x:f>IF(211&gt;$H$4,"",MATCH(211,'Fleet dates'!$K$9:$K$1008,0)+8)</x:f>
      </x:c>
    </x:row>
    <x:row r="220" ht="36" customHeight="1">
      <x:c r="A220" s="50" t="str">
        <x:f>IF(212&gt;$H$4,"",IF(INDEX('Fleet dates'!$A$9:$A$1008,$I220-8)="","",INDEX('Fleet dates'!$A$9:$A$1008,$I220-8)))</x:f>
      </x:c>
      <x:c r="B220" s="50" t="str">
        <x:f>IF(212&gt;$H$4,"",IF(INDEX('Fleet dates'!$B$9:$B$1008,$I220-8)="","",INDEX('Fleet dates'!$B$9:$B$1008,$I220-8)))</x:f>
      </x:c>
      <x:c r="C220" s="51" t="str">
        <x:f>IF(212&gt;$H$4,"",IF(INDEX('Fleet dates'!$C$9:$C$1008,$I220-8)="","",INDEX('Fleet dates'!$C$9:$C$1008,$I220-8)))</x:f>
      </x:c>
      <x:c r="D220" s="51" t="str">
        <x:f>IF(212&gt;$H$4,"",IF(INDEX('Fleet dates'!$D$9:$D$1008,$I220-8)="","",INDEX('Fleet dates'!$D$9:$D$1008,$I220-8)))</x:f>
      </x:c>
      <x:c r="E220" s="51" t="str">
        <x:f>IF(212&gt;$H$4,"",IF(INDEX('Fleet dates'!$E$9:$E$1008,$I220-8)="","",INDEX('Fleet dates'!$E$9:$E$1008,$I220-8)))</x:f>
      </x:c>
      <x:c r="F220" s="51" t="str">
        <x:f>IF(212&gt;$H$4,"",IF(INDEX('Fleet dates'!$F$9:$F$1008,$I220-8)="","",INDEX('Fleet dates'!$F$9:$F$1008,$I220-8)))</x:f>
      </x:c>
      <x:c r="G220" s="50" t="str">
        <x:f>IF(212&gt;$H$4,"",IF(INDEX('Fleet dates'!$G$9:$G$1008,$I220-8)="","",INDEX('Fleet dates'!$G$9:$G$1008,$I220-8)))</x:f>
      </x:c>
      <x:c r="H220" s="50" t="str">
        <x:f>IF(212&gt;$H$4,"",IF(INDEX('Fleet dates'!$I$9:$I$1008,$I220-8)="","",INDEX('Fleet dates'!$I$9:$I$1008,$I220-8)))</x:f>
      </x:c>
      <x:c r="I220" t="str">
        <x:f>IF(212&gt;$H$4,"",MATCH(212,'Fleet dates'!$K$9:$K$1008,0)+8)</x:f>
      </x:c>
    </x:row>
    <x:row r="221" ht="36" customHeight="1">
      <x:c r="A221" s="50" t="str">
        <x:f>IF(213&gt;$H$4,"",IF(INDEX('Fleet dates'!$A$9:$A$1008,$I221-8)="","",INDEX('Fleet dates'!$A$9:$A$1008,$I221-8)))</x:f>
      </x:c>
      <x:c r="B221" s="50" t="str">
        <x:f>IF(213&gt;$H$4,"",IF(INDEX('Fleet dates'!$B$9:$B$1008,$I221-8)="","",INDEX('Fleet dates'!$B$9:$B$1008,$I221-8)))</x:f>
      </x:c>
      <x:c r="C221" s="51" t="str">
        <x:f>IF(213&gt;$H$4,"",IF(INDEX('Fleet dates'!$C$9:$C$1008,$I221-8)="","",INDEX('Fleet dates'!$C$9:$C$1008,$I221-8)))</x:f>
      </x:c>
      <x:c r="D221" s="51" t="str">
        <x:f>IF(213&gt;$H$4,"",IF(INDEX('Fleet dates'!$D$9:$D$1008,$I221-8)="","",INDEX('Fleet dates'!$D$9:$D$1008,$I221-8)))</x:f>
      </x:c>
      <x:c r="E221" s="51" t="str">
        <x:f>IF(213&gt;$H$4,"",IF(INDEX('Fleet dates'!$E$9:$E$1008,$I221-8)="","",INDEX('Fleet dates'!$E$9:$E$1008,$I221-8)))</x:f>
      </x:c>
      <x:c r="F221" s="51" t="str">
        <x:f>IF(213&gt;$H$4,"",IF(INDEX('Fleet dates'!$F$9:$F$1008,$I221-8)="","",INDEX('Fleet dates'!$F$9:$F$1008,$I221-8)))</x:f>
      </x:c>
      <x:c r="G221" s="50" t="str">
        <x:f>IF(213&gt;$H$4,"",IF(INDEX('Fleet dates'!$G$9:$G$1008,$I221-8)="","",INDEX('Fleet dates'!$G$9:$G$1008,$I221-8)))</x:f>
      </x:c>
      <x:c r="H221" s="50" t="str">
        <x:f>IF(213&gt;$H$4,"",IF(INDEX('Fleet dates'!$I$9:$I$1008,$I221-8)="","",INDEX('Fleet dates'!$I$9:$I$1008,$I221-8)))</x:f>
      </x:c>
      <x:c r="I221" t="str">
        <x:f>IF(213&gt;$H$4,"",MATCH(213,'Fleet dates'!$K$9:$K$1008,0)+8)</x:f>
      </x:c>
    </x:row>
    <x:row r="222" ht="36" customHeight="1">
      <x:c r="A222" s="50" t="str">
        <x:f>IF(214&gt;$H$4,"",IF(INDEX('Fleet dates'!$A$9:$A$1008,$I222-8)="","",INDEX('Fleet dates'!$A$9:$A$1008,$I222-8)))</x:f>
      </x:c>
      <x:c r="B222" s="50" t="str">
        <x:f>IF(214&gt;$H$4,"",IF(INDEX('Fleet dates'!$B$9:$B$1008,$I222-8)="","",INDEX('Fleet dates'!$B$9:$B$1008,$I222-8)))</x:f>
      </x:c>
      <x:c r="C222" s="51" t="str">
        <x:f>IF(214&gt;$H$4,"",IF(INDEX('Fleet dates'!$C$9:$C$1008,$I222-8)="","",INDEX('Fleet dates'!$C$9:$C$1008,$I222-8)))</x:f>
      </x:c>
      <x:c r="D222" s="51" t="str">
        <x:f>IF(214&gt;$H$4,"",IF(INDEX('Fleet dates'!$D$9:$D$1008,$I222-8)="","",INDEX('Fleet dates'!$D$9:$D$1008,$I222-8)))</x:f>
      </x:c>
      <x:c r="E222" s="51" t="str">
        <x:f>IF(214&gt;$H$4,"",IF(INDEX('Fleet dates'!$E$9:$E$1008,$I222-8)="","",INDEX('Fleet dates'!$E$9:$E$1008,$I222-8)))</x:f>
      </x:c>
      <x:c r="F222" s="51" t="str">
        <x:f>IF(214&gt;$H$4,"",IF(INDEX('Fleet dates'!$F$9:$F$1008,$I222-8)="","",INDEX('Fleet dates'!$F$9:$F$1008,$I222-8)))</x:f>
      </x:c>
      <x:c r="G222" s="50" t="str">
        <x:f>IF(214&gt;$H$4,"",IF(INDEX('Fleet dates'!$G$9:$G$1008,$I222-8)="","",INDEX('Fleet dates'!$G$9:$G$1008,$I222-8)))</x:f>
      </x:c>
      <x:c r="H222" s="50" t="str">
        <x:f>IF(214&gt;$H$4,"",IF(INDEX('Fleet dates'!$I$9:$I$1008,$I222-8)="","",INDEX('Fleet dates'!$I$9:$I$1008,$I222-8)))</x:f>
      </x:c>
      <x:c r="I222" t="str">
        <x:f>IF(214&gt;$H$4,"",MATCH(214,'Fleet dates'!$K$9:$K$1008,0)+8)</x:f>
      </x:c>
    </x:row>
    <x:row r="223" ht="36" customHeight="1">
      <x:c r="A223" s="50" t="str">
        <x:f>IF(215&gt;$H$4,"",IF(INDEX('Fleet dates'!$A$9:$A$1008,$I223-8)="","",INDEX('Fleet dates'!$A$9:$A$1008,$I223-8)))</x:f>
      </x:c>
      <x:c r="B223" s="50" t="str">
        <x:f>IF(215&gt;$H$4,"",IF(INDEX('Fleet dates'!$B$9:$B$1008,$I223-8)="","",INDEX('Fleet dates'!$B$9:$B$1008,$I223-8)))</x:f>
      </x:c>
      <x:c r="C223" s="51" t="str">
        <x:f>IF(215&gt;$H$4,"",IF(INDEX('Fleet dates'!$C$9:$C$1008,$I223-8)="","",INDEX('Fleet dates'!$C$9:$C$1008,$I223-8)))</x:f>
      </x:c>
      <x:c r="D223" s="51" t="str">
        <x:f>IF(215&gt;$H$4,"",IF(INDEX('Fleet dates'!$D$9:$D$1008,$I223-8)="","",INDEX('Fleet dates'!$D$9:$D$1008,$I223-8)))</x:f>
      </x:c>
      <x:c r="E223" s="51" t="str">
        <x:f>IF(215&gt;$H$4,"",IF(INDEX('Fleet dates'!$E$9:$E$1008,$I223-8)="","",INDEX('Fleet dates'!$E$9:$E$1008,$I223-8)))</x:f>
      </x:c>
      <x:c r="F223" s="51" t="str">
        <x:f>IF(215&gt;$H$4,"",IF(INDEX('Fleet dates'!$F$9:$F$1008,$I223-8)="","",INDEX('Fleet dates'!$F$9:$F$1008,$I223-8)))</x:f>
      </x:c>
      <x:c r="G223" s="50" t="str">
        <x:f>IF(215&gt;$H$4,"",IF(INDEX('Fleet dates'!$G$9:$G$1008,$I223-8)="","",INDEX('Fleet dates'!$G$9:$G$1008,$I223-8)))</x:f>
      </x:c>
      <x:c r="H223" s="50" t="str">
        <x:f>IF(215&gt;$H$4,"",IF(INDEX('Fleet dates'!$I$9:$I$1008,$I223-8)="","",INDEX('Fleet dates'!$I$9:$I$1008,$I223-8)))</x:f>
      </x:c>
      <x:c r="I223" t="str">
        <x:f>IF(215&gt;$H$4,"",MATCH(215,'Fleet dates'!$K$9:$K$1008,0)+8)</x:f>
      </x:c>
    </x:row>
    <x:row r="224" ht="36" customHeight="1">
      <x:c r="A224" s="50" t="str">
        <x:f>IF(216&gt;$H$4,"",IF(INDEX('Fleet dates'!$A$9:$A$1008,$I224-8)="","",INDEX('Fleet dates'!$A$9:$A$1008,$I224-8)))</x:f>
      </x:c>
      <x:c r="B224" s="50" t="str">
        <x:f>IF(216&gt;$H$4,"",IF(INDEX('Fleet dates'!$B$9:$B$1008,$I224-8)="","",INDEX('Fleet dates'!$B$9:$B$1008,$I224-8)))</x:f>
      </x:c>
      <x:c r="C224" s="51" t="str">
        <x:f>IF(216&gt;$H$4,"",IF(INDEX('Fleet dates'!$C$9:$C$1008,$I224-8)="","",INDEX('Fleet dates'!$C$9:$C$1008,$I224-8)))</x:f>
      </x:c>
      <x:c r="D224" s="51" t="str">
        <x:f>IF(216&gt;$H$4,"",IF(INDEX('Fleet dates'!$D$9:$D$1008,$I224-8)="","",INDEX('Fleet dates'!$D$9:$D$1008,$I224-8)))</x:f>
      </x:c>
      <x:c r="E224" s="51" t="str">
        <x:f>IF(216&gt;$H$4,"",IF(INDEX('Fleet dates'!$E$9:$E$1008,$I224-8)="","",INDEX('Fleet dates'!$E$9:$E$1008,$I224-8)))</x:f>
      </x:c>
      <x:c r="F224" s="51" t="str">
        <x:f>IF(216&gt;$H$4,"",IF(INDEX('Fleet dates'!$F$9:$F$1008,$I224-8)="","",INDEX('Fleet dates'!$F$9:$F$1008,$I224-8)))</x:f>
      </x:c>
      <x:c r="G224" s="50" t="str">
        <x:f>IF(216&gt;$H$4,"",IF(INDEX('Fleet dates'!$G$9:$G$1008,$I224-8)="","",INDEX('Fleet dates'!$G$9:$G$1008,$I224-8)))</x:f>
      </x:c>
      <x:c r="H224" s="50" t="str">
        <x:f>IF(216&gt;$H$4,"",IF(INDEX('Fleet dates'!$I$9:$I$1008,$I224-8)="","",INDEX('Fleet dates'!$I$9:$I$1008,$I224-8)))</x:f>
      </x:c>
      <x:c r="I224" t="str">
        <x:f>IF(216&gt;$H$4,"",MATCH(216,'Fleet dates'!$K$9:$K$1008,0)+8)</x:f>
      </x:c>
    </x:row>
    <x:row r="225" ht="36" customHeight="1">
      <x:c r="A225" s="50" t="str">
        <x:f>IF(217&gt;$H$4,"",IF(INDEX('Fleet dates'!$A$9:$A$1008,$I225-8)="","",INDEX('Fleet dates'!$A$9:$A$1008,$I225-8)))</x:f>
      </x:c>
      <x:c r="B225" s="50" t="str">
        <x:f>IF(217&gt;$H$4,"",IF(INDEX('Fleet dates'!$B$9:$B$1008,$I225-8)="","",INDEX('Fleet dates'!$B$9:$B$1008,$I225-8)))</x:f>
      </x:c>
      <x:c r="C225" s="51" t="str">
        <x:f>IF(217&gt;$H$4,"",IF(INDEX('Fleet dates'!$C$9:$C$1008,$I225-8)="","",INDEX('Fleet dates'!$C$9:$C$1008,$I225-8)))</x:f>
      </x:c>
      <x:c r="D225" s="51" t="str">
        <x:f>IF(217&gt;$H$4,"",IF(INDEX('Fleet dates'!$D$9:$D$1008,$I225-8)="","",INDEX('Fleet dates'!$D$9:$D$1008,$I225-8)))</x:f>
      </x:c>
      <x:c r="E225" s="51" t="str">
        <x:f>IF(217&gt;$H$4,"",IF(INDEX('Fleet dates'!$E$9:$E$1008,$I225-8)="","",INDEX('Fleet dates'!$E$9:$E$1008,$I225-8)))</x:f>
      </x:c>
      <x:c r="F225" s="51" t="str">
        <x:f>IF(217&gt;$H$4,"",IF(INDEX('Fleet dates'!$F$9:$F$1008,$I225-8)="","",INDEX('Fleet dates'!$F$9:$F$1008,$I225-8)))</x:f>
      </x:c>
      <x:c r="G225" s="50" t="str">
        <x:f>IF(217&gt;$H$4,"",IF(INDEX('Fleet dates'!$G$9:$G$1008,$I225-8)="","",INDEX('Fleet dates'!$G$9:$G$1008,$I225-8)))</x:f>
      </x:c>
      <x:c r="H225" s="50" t="str">
        <x:f>IF(217&gt;$H$4,"",IF(INDEX('Fleet dates'!$I$9:$I$1008,$I225-8)="","",INDEX('Fleet dates'!$I$9:$I$1008,$I225-8)))</x:f>
      </x:c>
      <x:c r="I225" t="str">
        <x:f>IF(217&gt;$H$4,"",MATCH(217,'Fleet dates'!$K$9:$K$1008,0)+8)</x:f>
      </x:c>
    </x:row>
    <x:row r="226" ht="36" customHeight="1">
      <x:c r="A226" s="50" t="str">
        <x:f>IF(218&gt;$H$4,"",IF(INDEX('Fleet dates'!$A$9:$A$1008,$I226-8)="","",INDEX('Fleet dates'!$A$9:$A$1008,$I226-8)))</x:f>
      </x:c>
      <x:c r="B226" s="50" t="str">
        <x:f>IF(218&gt;$H$4,"",IF(INDEX('Fleet dates'!$B$9:$B$1008,$I226-8)="","",INDEX('Fleet dates'!$B$9:$B$1008,$I226-8)))</x:f>
      </x:c>
      <x:c r="C226" s="51" t="str">
        <x:f>IF(218&gt;$H$4,"",IF(INDEX('Fleet dates'!$C$9:$C$1008,$I226-8)="","",INDEX('Fleet dates'!$C$9:$C$1008,$I226-8)))</x:f>
      </x:c>
      <x:c r="D226" s="51" t="str">
        <x:f>IF(218&gt;$H$4,"",IF(INDEX('Fleet dates'!$D$9:$D$1008,$I226-8)="","",INDEX('Fleet dates'!$D$9:$D$1008,$I226-8)))</x:f>
      </x:c>
      <x:c r="E226" s="51" t="str">
        <x:f>IF(218&gt;$H$4,"",IF(INDEX('Fleet dates'!$E$9:$E$1008,$I226-8)="","",INDEX('Fleet dates'!$E$9:$E$1008,$I226-8)))</x:f>
      </x:c>
      <x:c r="F226" s="51" t="str">
        <x:f>IF(218&gt;$H$4,"",IF(INDEX('Fleet dates'!$F$9:$F$1008,$I226-8)="","",INDEX('Fleet dates'!$F$9:$F$1008,$I226-8)))</x:f>
      </x:c>
      <x:c r="G226" s="50" t="str">
        <x:f>IF(218&gt;$H$4,"",IF(INDEX('Fleet dates'!$G$9:$G$1008,$I226-8)="","",INDEX('Fleet dates'!$G$9:$G$1008,$I226-8)))</x:f>
      </x:c>
      <x:c r="H226" s="50" t="str">
        <x:f>IF(218&gt;$H$4,"",IF(INDEX('Fleet dates'!$I$9:$I$1008,$I226-8)="","",INDEX('Fleet dates'!$I$9:$I$1008,$I226-8)))</x:f>
      </x:c>
      <x:c r="I226" t="str">
        <x:f>IF(218&gt;$H$4,"",MATCH(218,'Fleet dates'!$K$9:$K$1008,0)+8)</x:f>
      </x:c>
    </x:row>
    <x:row r="227" ht="36" customHeight="1">
      <x:c r="A227" s="50" t="str">
        <x:f>IF(219&gt;$H$4,"",IF(INDEX('Fleet dates'!$A$9:$A$1008,$I227-8)="","",INDEX('Fleet dates'!$A$9:$A$1008,$I227-8)))</x:f>
      </x:c>
      <x:c r="B227" s="50" t="str">
        <x:f>IF(219&gt;$H$4,"",IF(INDEX('Fleet dates'!$B$9:$B$1008,$I227-8)="","",INDEX('Fleet dates'!$B$9:$B$1008,$I227-8)))</x:f>
      </x:c>
      <x:c r="C227" s="51" t="str">
        <x:f>IF(219&gt;$H$4,"",IF(INDEX('Fleet dates'!$C$9:$C$1008,$I227-8)="","",INDEX('Fleet dates'!$C$9:$C$1008,$I227-8)))</x:f>
      </x:c>
      <x:c r="D227" s="51" t="str">
        <x:f>IF(219&gt;$H$4,"",IF(INDEX('Fleet dates'!$D$9:$D$1008,$I227-8)="","",INDEX('Fleet dates'!$D$9:$D$1008,$I227-8)))</x:f>
      </x:c>
      <x:c r="E227" s="51" t="str">
        <x:f>IF(219&gt;$H$4,"",IF(INDEX('Fleet dates'!$E$9:$E$1008,$I227-8)="","",INDEX('Fleet dates'!$E$9:$E$1008,$I227-8)))</x:f>
      </x:c>
      <x:c r="F227" s="51" t="str">
        <x:f>IF(219&gt;$H$4,"",IF(INDEX('Fleet dates'!$F$9:$F$1008,$I227-8)="","",INDEX('Fleet dates'!$F$9:$F$1008,$I227-8)))</x:f>
      </x:c>
      <x:c r="G227" s="50" t="str">
        <x:f>IF(219&gt;$H$4,"",IF(INDEX('Fleet dates'!$G$9:$G$1008,$I227-8)="","",INDEX('Fleet dates'!$G$9:$G$1008,$I227-8)))</x:f>
      </x:c>
      <x:c r="H227" s="50" t="str">
        <x:f>IF(219&gt;$H$4,"",IF(INDEX('Fleet dates'!$I$9:$I$1008,$I227-8)="","",INDEX('Fleet dates'!$I$9:$I$1008,$I227-8)))</x:f>
      </x:c>
      <x:c r="I227" t="str">
        <x:f>IF(219&gt;$H$4,"",MATCH(219,'Fleet dates'!$K$9:$K$1008,0)+8)</x:f>
      </x:c>
    </x:row>
    <x:row r="228" ht="36" customHeight="1">
      <x:c r="A228" s="50" t="str">
        <x:f>IF(220&gt;$H$4,"",IF(INDEX('Fleet dates'!$A$9:$A$1008,$I228-8)="","",INDEX('Fleet dates'!$A$9:$A$1008,$I228-8)))</x:f>
      </x:c>
      <x:c r="B228" s="50" t="str">
        <x:f>IF(220&gt;$H$4,"",IF(INDEX('Fleet dates'!$B$9:$B$1008,$I228-8)="","",INDEX('Fleet dates'!$B$9:$B$1008,$I228-8)))</x:f>
      </x:c>
      <x:c r="C228" s="51" t="str">
        <x:f>IF(220&gt;$H$4,"",IF(INDEX('Fleet dates'!$C$9:$C$1008,$I228-8)="","",INDEX('Fleet dates'!$C$9:$C$1008,$I228-8)))</x:f>
      </x:c>
      <x:c r="D228" s="51" t="str">
        <x:f>IF(220&gt;$H$4,"",IF(INDEX('Fleet dates'!$D$9:$D$1008,$I228-8)="","",INDEX('Fleet dates'!$D$9:$D$1008,$I228-8)))</x:f>
      </x:c>
      <x:c r="E228" s="51" t="str">
        <x:f>IF(220&gt;$H$4,"",IF(INDEX('Fleet dates'!$E$9:$E$1008,$I228-8)="","",INDEX('Fleet dates'!$E$9:$E$1008,$I228-8)))</x:f>
      </x:c>
      <x:c r="F228" s="51" t="str">
        <x:f>IF(220&gt;$H$4,"",IF(INDEX('Fleet dates'!$F$9:$F$1008,$I228-8)="","",INDEX('Fleet dates'!$F$9:$F$1008,$I228-8)))</x:f>
      </x:c>
      <x:c r="G228" s="50" t="str">
        <x:f>IF(220&gt;$H$4,"",IF(INDEX('Fleet dates'!$G$9:$G$1008,$I228-8)="","",INDEX('Fleet dates'!$G$9:$G$1008,$I228-8)))</x:f>
      </x:c>
      <x:c r="H228" s="50" t="str">
        <x:f>IF(220&gt;$H$4,"",IF(INDEX('Fleet dates'!$I$9:$I$1008,$I228-8)="","",INDEX('Fleet dates'!$I$9:$I$1008,$I228-8)))</x:f>
      </x:c>
      <x:c r="I228" t="str">
        <x:f>IF(220&gt;$H$4,"",MATCH(220,'Fleet dates'!$K$9:$K$1008,0)+8)</x:f>
      </x:c>
    </x:row>
    <x:row r="229" ht="36" customHeight="1">
      <x:c r="A229" s="50" t="str">
        <x:f>IF(221&gt;$H$4,"",IF(INDEX('Fleet dates'!$A$9:$A$1008,$I229-8)="","",INDEX('Fleet dates'!$A$9:$A$1008,$I229-8)))</x:f>
      </x:c>
      <x:c r="B229" s="50" t="str">
        <x:f>IF(221&gt;$H$4,"",IF(INDEX('Fleet dates'!$B$9:$B$1008,$I229-8)="","",INDEX('Fleet dates'!$B$9:$B$1008,$I229-8)))</x:f>
      </x:c>
      <x:c r="C229" s="51" t="str">
        <x:f>IF(221&gt;$H$4,"",IF(INDEX('Fleet dates'!$C$9:$C$1008,$I229-8)="","",INDEX('Fleet dates'!$C$9:$C$1008,$I229-8)))</x:f>
      </x:c>
      <x:c r="D229" s="51" t="str">
        <x:f>IF(221&gt;$H$4,"",IF(INDEX('Fleet dates'!$D$9:$D$1008,$I229-8)="","",INDEX('Fleet dates'!$D$9:$D$1008,$I229-8)))</x:f>
      </x:c>
      <x:c r="E229" s="51" t="str">
        <x:f>IF(221&gt;$H$4,"",IF(INDEX('Fleet dates'!$E$9:$E$1008,$I229-8)="","",INDEX('Fleet dates'!$E$9:$E$1008,$I229-8)))</x:f>
      </x:c>
      <x:c r="F229" s="51" t="str">
        <x:f>IF(221&gt;$H$4,"",IF(INDEX('Fleet dates'!$F$9:$F$1008,$I229-8)="","",INDEX('Fleet dates'!$F$9:$F$1008,$I229-8)))</x:f>
      </x:c>
      <x:c r="G229" s="50" t="str">
        <x:f>IF(221&gt;$H$4,"",IF(INDEX('Fleet dates'!$G$9:$G$1008,$I229-8)="","",INDEX('Fleet dates'!$G$9:$G$1008,$I229-8)))</x:f>
      </x:c>
      <x:c r="H229" s="50" t="str">
        <x:f>IF(221&gt;$H$4,"",IF(INDEX('Fleet dates'!$I$9:$I$1008,$I229-8)="","",INDEX('Fleet dates'!$I$9:$I$1008,$I229-8)))</x:f>
      </x:c>
      <x:c r="I229" t="str">
        <x:f>IF(221&gt;$H$4,"",MATCH(221,'Fleet dates'!$K$9:$K$1008,0)+8)</x:f>
      </x:c>
    </x:row>
    <x:row r="230" ht="36" customHeight="1">
      <x:c r="A230" s="50" t="str">
        <x:f>IF(222&gt;$H$4,"",IF(INDEX('Fleet dates'!$A$9:$A$1008,$I230-8)="","",INDEX('Fleet dates'!$A$9:$A$1008,$I230-8)))</x:f>
      </x:c>
      <x:c r="B230" s="50" t="str">
        <x:f>IF(222&gt;$H$4,"",IF(INDEX('Fleet dates'!$B$9:$B$1008,$I230-8)="","",INDEX('Fleet dates'!$B$9:$B$1008,$I230-8)))</x:f>
      </x:c>
      <x:c r="C230" s="51" t="str">
        <x:f>IF(222&gt;$H$4,"",IF(INDEX('Fleet dates'!$C$9:$C$1008,$I230-8)="","",INDEX('Fleet dates'!$C$9:$C$1008,$I230-8)))</x:f>
      </x:c>
      <x:c r="D230" s="51" t="str">
        <x:f>IF(222&gt;$H$4,"",IF(INDEX('Fleet dates'!$D$9:$D$1008,$I230-8)="","",INDEX('Fleet dates'!$D$9:$D$1008,$I230-8)))</x:f>
      </x:c>
      <x:c r="E230" s="51" t="str">
        <x:f>IF(222&gt;$H$4,"",IF(INDEX('Fleet dates'!$E$9:$E$1008,$I230-8)="","",INDEX('Fleet dates'!$E$9:$E$1008,$I230-8)))</x:f>
      </x:c>
      <x:c r="F230" s="51" t="str">
        <x:f>IF(222&gt;$H$4,"",IF(INDEX('Fleet dates'!$F$9:$F$1008,$I230-8)="","",INDEX('Fleet dates'!$F$9:$F$1008,$I230-8)))</x:f>
      </x:c>
      <x:c r="G230" s="50" t="str">
        <x:f>IF(222&gt;$H$4,"",IF(INDEX('Fleet dates'!$G$9:$G$1008,$I230-8)="","",INDEX('Fleet dates'!$G$9:$G$1008,$I230-8)))</x:f>
      </x:c>
      <x:c r="H230" s="50" t="str">
        <x:f>IF(222&gt;$H$4,"",IF(INDEX('Fleet dates'!$I$9:$I$1008,$I230-8)="","",INDEX('Fleet dates'!$I$9:$I$1008,$I230-8)))</x:f>
      </x:c>
      <x:c r="I230" t="str">
        <x:f>IF(222&gt;$H$4,"",MATCH(222,'Fleet dates'!$K$9:$K$1008,0)+8)</x:f>
      </x:c>
    </x:row>
    <x:row r="231" ht="36" customHeight="1">
      <x:c r="A231" s="50" t="str">
        <x:f>IF(223&gt;$H$4,"",IF(INDEX('Fleet dates'!$A$9:$A$1008,$I231-8)="","",INDEX('Fleet dates'!$A$9:$A$1008,$I231-8)))</x:f>
      </x:c>
      <x:c r="B231" s="50" t="str">
        <x:f>IF(223&gt;$H$4,"",IF(INDEX('Fleet dates'!$B$9:$B$1008,$I231-8)="","",INDEX('Fleet dates'!$B$9:$B$1008,$I231-8)))</x:f>
      </x:c>
      <x:c r="C231" s="51" t="str">
        <x:f>IF(223&gt;$H$4,"",IF(INDEX('Fleet dates'!$C$9:$C$1008,$I231-8)="","",INDEX('Fleet dates'!$C$9:$C$1008,$I231-8)))</x:f>
      </x:c>
      <x:c r="D231" s="51" t="str">
        <x:f>IF(223&gt;$H$4,"",IF(INDEX('Fleet dates'!$D$9:$D$1008,$I231-8)="","",INDEX('Fleet dates'!$D$9:$D$1008,$I231-8)))</x:f>
      </x:c>
      <x:c r="E231" s="51" t="str">
        <x:f>IF(223&gt;$H$4,"",IF(INDEX('Fleet dates'!$E$9:$E$1008,$I231-8)="","",INDEX('Fleet dates'!$E$9:$E$1008,$I231-8)))</x:f>
      </x:c>
      <x:c r="F231" s="51" t="str">
        <x:f>IF(223&gt;$H$4,"",IF(INDEX('Fleet dates'!$F$9:$F$1008,$I231-8)="","",INDEX('Fleet dates'!$F$9:$F$1008,$I231-8)))</x:f>
      </x:c>
      <x:c r="G231" s="50" t="str">
        <x:f>IF(223&gt;$H$4,"",IF(INDEX('Fleet dates'!$G$9:$G$1008,$I231-8)="","",INDEX('Fleet dates'!$G$9:$G$1008,$I231-8)))</x:f>
      </x:c>
      <x:c r="H231" s="50" t="str">
        <x:f>IF(223&gt;$H$4,"",IF(INDEX('Fleet dates'!$I$9:$I$1008,$I231-8)="","",INDEX('Fleet dates'!$I$9:$I$1008,$I231-8)))</x:f>
      </x:c>
      <x:c r="I231" t="str">
        <x:f>IF(223&gt;$H$4,"",MATCH(223,'Fleet dates'!$K$9:$K$1008,0)+8)</x:f>
      </x:c>
    </x:row>
    <x:row r="232" ht="36" customHeight="1">
      <x:c r="A232" s="50" t="str">
        <x:f>IF(224&gt;$H$4,"",IF(INDEX('Fleet dates'!$A$9:$A$1008,$I232-8)="","",INDEX('Fleet dates'!$A$9:$A$1008,$I232-8)))</x:f>
      </x:c>
      <x:c r="B232" s="50" t="str">
        <x:f>IF(224&gt;$H$4,"",IF(INDEX('Fleet dates'!$B$9:$B$1008,$I232-8)="","",INDEX('Fleet dates'!$B$9:$B$1008,$I232-8)))</x:f>
      </x:c>
      <x:c r="C232" s="51" t="str">
        <x:f>IF(224&gt;$H$4,"",IF(INDEX('Fleet dates'!$C$9:$C$1008,$I232-8)="","",INDEX('Fleet dates'!$C$9:$C$1008,$I232-8)))</x:f>
      </x:c>
      <x:c r="D232" s="51" t="str">
        <x:f>IF(224&gt;$H$4,"",IF(INDEX('Fleet dates'!$D$9:$D$1008,$I232-8)="","",INDEX('Fleet dates'!$D$9:$D$1008,$I232-8)))</x:f>
      </x:c>
      <x:c r="E232" s="51" t="str">
        <x:f>IF(224&gt;$H$4,"",IF(INDEX('Fleet dates'!$E$9:$E$1008,$I232-8)="","",INDEX('Fleet dates'!$E$9:$E$1008,$I232-8)))</x:f>
      </x:c>
      <x:c r="F232" s="51" t="str">
        <x:f>IF(224&gt;$H$4,"",IF(INDEX('Fleet dates'!$F$9:$F$1008,$I232-8)="","",INDEX('Fleet dates'!$F$9:$F$1008,$I232-8)))</x:f>
      </x:c>
      <x:c r="G232" s="50" t="str">
        <x:f>IF(224&gt;$H$4,"",IF(INDEX('Fleet dates'!$G$9:$G$1008,$I232-8)="","",INDEX('Fleet dates'!$G$9:$G$1008,$I232-8)))</x:f>
      </x:c>
      <x:c r="H232" s="50" t="str">
        <x:f>IF(224&gt;$H$4,"",IF(INDEX('Fleet dates'!$I$9:$I$1008,$I232-8)="","",INDEX('Fleet dates'!$I$9:$I$1008,$I232-8)))</x:f>
      </x:c>
      <x:c r="I232" t="str">
        <x:f>IF(224&gt;$H$4,"",MATCH(224,'Fleet dates'!$K$9:$K$1008,0)+8)</x:f>
      </x:c>
    </x:row>
    <x:row r="233" ht="36" customHeight="1">
      <x:c r="A233" s="50" t="str">
        <x:f>IF(225&gt;$H$4,"",IF(INDEX('Fleet dates'!$A$9:$A$1008,$I233-8)="","",INDEX('Fleet dates'!$A$9:$A$1008,$I233-8)))</x:f>
      </x:c>
      <x:c r="B233" s="50" t="str">
        <x:f>IF(225&gt;$H$4,"",IF(INDEX('Fleet dates'!$B$9:$B$1008,$I233-8)="","",INDEX('Fleet dates'!$B$9:$B$1008,$I233-8)))</x:f>
      </x:c>
      <x:c r="C233" s="51" t="str">
        <x:f>IF(225&gt;$H$4,"",IF(INDEX('Fleet dates'!$C$9:$C$1008,$I233-8)="","",INDEX('Fleet dates'!$C$9:$C$1008,$I233-8)))</x:f>
      </x:c>
      <x:c r="D233" s="51" t="str">
        <x:f>IF(225&gt;$H$4,"",IF(INDEX('Fleet dates'!$D$9:$D$1008,$I233-8)="","",INDEX('Fleet dates'!$D$9:$D$1008,$I233-8)))</x:f>
      </x:c>
      <x:c r="E233" s="51" t="str">
        <x:f>IF(225&gt;$H$4,"",IF(INDEX('Fleet dates'!$E$9:$E$1008,$I233-8)="","",INDEX('Fleet dates'!$E$9:$E$1008,$I233-8)))</x:f>
      </x:c>
      <x:c r="F233" s="51" t="str">
        <x:f>IF(225&gt;$H$4,"",IF(INDEX('Fleet dates'!$F$9:$F$1008,$I233-8)="","",INDEX('Fleet dates'!$F$9:$F$1008,$I233-8)))</x:f>
      </x:c>
      <x:c r="G233" s="50" t="str">
        <x:f>IF(225&gt;$H$4,"",IF(INDEX('Fleet dates'!$G$9:$G$1008,$I233-8)="","",INDEX('Fleet dates'!$G$9:$G$1008,$I233-8)))</x:f>
      </x:c>
      <x:c r="H233" s="50" t="str">
        <x:f>IF(225&gt;$H$4,"",IF(INDEX('Fleet dates'!$I$9:$I$1008,$I233-8)="","",INDEX('Fleet dates'!$I$9:$I$1008,$I233-8)))</x:f>
      </x:c>
      <x:c r="I233" t="str">
        <x:f>IF(225&gt;$H$4,"",MATCH(225,'Fleet dates'!$K$9:$K$1008,0)+8)</x:f>
      </x:c>
    </x:row>
    <x:row r="234" ht="36" customHeight="1">
      <x:c r="A234" s="50" t="str">
        <x:f>IF(226&gt;$H$4,"",IF(INDEX('Fleet dates'!$A$9:$A$1008,$I234-8)="","",INDEX('Fleet dates'!$A$9:$A$1008,$I234-8)))</x:f>
      </x:c>
      <x:c r="B234" s="50" t="str">
        <x:f>IF(226&gt;$H$4,"",IF(INDEX('Fleet dates'!$B$9:$B$1008,$I234-8)="","",INDEX('Fleet dates'!$B$9:$B$1008,$I234-8)))</x:f>
      </x:c>
      <x:c r="C234" s="51" t="str">
        <x:f>IF(226&gt;$H$4,"",IF(INDEX('Fleet dates'!$C$9:$C$1008,$I234-8)="","",INDEX('Fleet dates'!$C$9:$C$1008,$I234-8)))</x:f>
      </x:c>
      <x:c r="D234" s="51" t="str">
        <x:f>IF(226&gt;$H$4,"",IF(INDEX('Fleet dates'!$D$9:$D$1008,$I234-8)="","",INDEX('Fleet dates'!$D$9:$D$1008,$I234-8)))</x:f>
      </x:c>
      <x:c r="E234" s="51" t="str">
        <x:f>IF(226&gt;$H$4,"",IF(INDEX('Fleet dates'!$E$9:$E$1008,$I234-8)="","",INDEX('Fleet dates'!$E$9:$E$1008,$I234-8)))</x:f>
      </x:c>
      <x:c r="F234" s="51" t="str">
        <x:f>IF(226&gt;$H$4,"",IF(INDEX('Fleet dates'!$F$9:$F$1008,$I234-8)="","",INDEX('Fleet dates'!$F$9:$F$1008,$I234-8)))</x:f>
      </x:c>
      <x:c r="G234" s="50" t="str">
        <x:f>IF(226&gt;$H$4,"",IF(INDEX('Fleet dates'!$G$9:$G$1008,$I234-8)="","",INDEX('Fleet dates'!$G$9:$G$1008,$I234-8)))</x:f>
      </x:c>
      <x:c r="H234" s="50" t="str">
        <x:f>IF(226&gt;$H$4,"",IF(INDEX('Fleet dates'!$I$9:$I$1008,$I234-8)="","",INDEX('Fleet dates'!$I$9:$I$1008,$I234-8)))</x:f>
      </x:c>
      <x:c r="I234" t="str">
        <x:f>IF(226&gt;$H$4,"",MATCH(226,'Fleet dates'!$K$9:$K$1008,0)+8)</x:f>
      </x:c>
    </x:row>
    <x:row r="235" ht="36" customHeight="1">
      <x:c r="A235" s="50" t="str">
        <x:f>IF(227&gt;$H$4,"",IF(INDEX('Fleet dates'!$A$9:$A$1008,$I235-8)="","",INDEX('Fleet dates'!$A$9:$A$1008,$I235-8)))</x:f>
      </x:c>
      <x:c r="B235" s="50" t="str">
        <x:f>IF(227&gt;$H$4,"",IF(INDEX('Fleet dates'!$B$9:$B$1008,$I235-8)="","",INDEX('Fleet dates'!$B$9:$B$1008,$I235-8)))</x:f>
      </x:c>
      <x:c r="C235" s="51" t="str">
        <x:f>IF(227&gt;$H$4,"",IF(INDEX('Fleet dates'!$C$9:$C$1008,$I235-8)="","",INDEX('Fleet dates'!$C$9:$C$1008,$I235-8)))</x:f>
      </x:c>
      <x:c r="D235" s="51" t="str">
        <x:f>IF(227&gt;$H$4,"",IF(INDEX('Fleet dates'!$D$9:$D$1008,$I235-8)="","",INDEX('Fleet dates'!$D$9:$D$1008,$I235-8)))</x:f>
      </x:c>
      <x:c r="E235" s="51" t="str">
        <x:f>IF(227&gt;$H$4,"",IF(INDEX('Fleet dates'!$E$9:$E$1008,$I235-8)="","",INDEX('Fleet dates'!$E$9:$E$1008,$I235-8)))</x:f>
      </x:c>
      <x:c r="F235" s="51" t="str">
        <x:f>IF(227&gt;$H$4,"",IF(INDEX('Fleet dates'!$F$9:$F$1008,$I235-8)="","",INDEX('Fleet dates'!$F$9:$F$1008,$I235-8)))</x:f>
      </x:c>
      <x:c r="G235" s="50" t="str">
        <x:f>IF(227&gt;$H$4,"",IF(INDEX('Fleet dates'!$G$9:$G$1008,$I235-8)="","",INDEX('Fleet dates'!$G$9:$G$1008,$I235-8)))</x:f>
      </x:c>
      <x:c r="H235" s="50" t="str">
        <x:f>IF(227&gt;$H$4,"",IF(INDEX('Fleet dates'!$I$9:$I$1008,$I235-8)="","",INDEX('Fleet dates'!$I$9:$I$1008,$I235-8)))</x:f>
      </x:c>
      <x:c r="I235" t="str">
        <x:f>IF(227&gt;$H$4,"",MATCH(227,'Fleet dates'!$K$9:$K$1008,0)+8)</x:f>
      </x:c>
    </x:row>
    <x:row r="236" ht="36" customHeight="1">
      <x:c r="A236" s="50" t="str">
        <x:f>IF(228&gt;$H$4,"",IF(INDEX('Fleet dates'!$A$9:$A$1008,$I236-8)="","",INDEX('Fleet dates'!$A$9:$A$1008,$I236-8)))</x:f>
      </x:c>
      <x:c r="B236" s="50" t="str">
        <x:f>IF(228&gt;$H$4,"",IF(INDEX('Fleet dates'!$B$9:$B$1008,$I236-8)="","",INDEX('Fleet dates'!$B$9:$B$1008,$I236-8)))</x:f>
      </x:c>
      <x:c r="C236" s="51" t="str">
        <x:f>IF(228&gt;$H$4,"",IF(INDEX('Fleet dates'!$C$9:$C$1008,$I236-8)="","",INDEX('Fleet dates'!$C$9:$C$1008,$I236-8)))</x:f>
      </x:c>
      <x:c r="D236" s="51" t="str">
        <x:f>IF(228&gt;$H$4,"",IF(INDEX('Fleet dates'!$D$9:$D$1008,$I236-8)="","",INDEX('Fleet dates'!$D$9:$D$1008,$I236-8)))</x:f>
      </x:c>
      <x:c r="E236" s="51" t="str">
        <x:f>IF(228&gt;$H$4,"",IF(INDEX('Fleet dates'!$E$9:$E$1008,$I236-8)="","",INDEX('Fleet dates'!$E$9:$E$1008,$I236-8)))</x:f>
      </x:c>
      <x:c r="F236" s="51" t="str">
        <x:f>IF(228&gt;$H$4,"",IF(INDEX('Fleet dates'!$F$9:$F$1008,$I236-8)="","",INDEX('Fleet dates'!$F$9:$F$1008,$I236-8)))</x:f>
      </x:c>
      <x:c r="G236" s="50" t="str">
        <x:f>IF(228&gt;$H$4,"",IF(INDEX('Fleet dates'!$G$9:$G$1008,$I236-8)="","",INDEX('Fleet dates'!$G$9:$G$1008,$I236-8)))</x:f>
      </x:c>
      <x:c r="H236" s="50" t="str">
        <x:f>IF(228&gt;$H$4,"",IF(INDEX('Fleet dates'!$I$9:$I$1008,$I236-8)="","",INDEX('Fleet dates'!$I$9:$I$1008,$I236-8)))</x:f>
      </x:c>
      <x:c r="I236" t="str">
        <x:f>IF(228&gt;$H$4,"",MATCH(228,'Fleet dates'!$K$9:$K$1008,0)+8)</x:f>
      </x:c>
    </x:row>
    <x:row r="237" ht="36" customHeight="1">
      <x:c r="A237" s="50" t="str">
        <x:f>IF(229&gt;$H$4,"",IF(INDEX('Fleet dates'!$A$9:$A$1008,$I237-8)="","",INDEX('Fleet dates'!$A$9:$A$1008,$I237-8)))</x:f>
      </x:c>
      <x:c r="B237" s="50" t="str">
        <x:f>IF(229&gt;$H$4,"",IF(INDEX('Fleet dates'!$B$9:$B$1008,$I237-8)="","",INDEX('Fleet dates'!$B$9:$B$1008,$I237-8)))</x:f>
      </x:c>
      <x:c r="C237" s="51" t="str">
        <x:f>IF(229&gt;$H$4,"",IF(INDEX('Fleet dates'!$C$9:$C$1008,$I237-8)="","",INDEX('Fleet dates'!$C$9:$C$1008,$I237-8)))</x:f>
      </x:c>
      <x:c r="D237" s="51" t="str">
        <x:f>IF(229&gt;$H$4,"",IF(INDEX('Fleet dates'!$D$9:$D$1008,$I237-8)="","",INDEX('Fleet dates'!$D$9:$D$1008,$I237-8)))</x:f>
      </x:c>
      <x:c r="E237" s="51" t="str">
        <x:f>IF(229&gt;$H$4,"",IF(INDEX('Fleet dates'!$E$9:$E$1008,$I237-8)="","",INDEX('Fleet dates'!$E$9:$E$1008,$I237-8)))</x:f>
      </x:c>
      <x:c r="F237" s="51" t="str">
        <x:f>IF(229&gt;$H$4,"",IF(INDEX('Fleet dates'!$F$9:$F$1008,$I237-8)="","",INDEX('Fleet dates'!$F$9:$F$1008,$I237-8)))</x:f>
      </x:c>
      <x:c r="G237" s="50" t="str">
        <x:f>IF(229&gt;$H$4,"",IF(INDEX('Fleet dates'!$G$9:$G$1008,$I237-8)="","",INDEX('Fleet dates'!$G$9:$G$1008,$I237-8)))</x:f>
      </x:c>
      <x:c r="H237" s="50" t="str">
        <x:f>IF(229&gt;$H$4,"",IF(INDEX('Fleet dates'!$I$9:$I$1008,$I237-8)="","",INDEX('Fleet dates'!$I$9:$I$1008,$I237-8)))</x:f>
      </x:c>
      <x:c r="I237" t="str">
        <x:f>IF(229&gt;$H$4,"",MATCH(229,'Fleet dates'!$K$9:$K$1008,0)+8)</x:f>
      </x:c>
    </x:row>
    <x:row r="238" ht="36" customHeight="1">
      <x:c r="A238" s="50" t="str">
        <x:f>IF(230&gt;$H$4,"",IF(INDEX('Fleet dates'!$A$9:$A$1008,$I238-8)="","",INDEX('Fleet dates'!$A$9:$A$1008,$I238-8)))</x:f>
      </x:c>
      <x:c r="B238" s="50" t="str">
        <x:f>IF(230&gt;$H$4,"",IF(INDEX('Fleet dates'!$B$9:$B$1008,$I238-8)="","",INDEX('Fleet dates'!$B$9:$B$1008,$I238-8)))</x:f>
      </x:c>
      <x:c r="C238" s="51" t="str">
        <x:f>IF(230&gt;$H$4,"",IF(INDEX('Fleet dates'!$C$9:$C$1008,$I238-8)="","",INDEX('Fleet dates'!$C$9:$C$1008,$I238-8)))</x:f>
      </x:c>
      <x:c r="D238" s="51" t="str">
        <x:f>IF(230&gt;$H$4,"",IF(INDEX('Fleet dates'!$D$9:$D$1008,$I238-8)="","",INDEX('Fleet dates'!$D$9:$D$1008,$I238-8)))</x:f>
      </x:c>
      <x:c r="E238" s="51" t="str">
        <x:f>IF(230&gt;$H$4,"",IF(INDEX('Fleet dates'!$E$9:$E$1008,$I238-8)="","",INDEX('Fleet dates'!$E$9:$E$1008,$I238-8)))</x:f>
      </x:c>
      <x:c r="F238" s="51" t="str">
        <x:f>IF(230&gt;$H$4,"",IF(INDEX('Fleet dates'!$F$9:$F$1008,$I238-8)="","",INDEX('Fleet dates'!$F$9:$F$1008,$I238-8)))</x:f>
      </x:c>
      <x:c r="G238" s="50" t="str">
        <x:f>IF(230&gt;$H$4,"",IF(INDEX('Fleet dates'!$G$9:$G$1008,$I238-8)="","",INDEX('Fleet dates'!$G$9:$G$1008,$I238-8)))</x:f>
      </x:c>
      <x:c r="H238" s="50" t="str">
        <x:f>IF(230&gt;$H$4,"",IF(INDEX('Fleet dates'!$I$9:$I$1008,$I238-8)="","",INDEX('Fleet dates'!$I$9:$I$1008,$I238-8)))</x:f>
      </x:c>
      <x:c r="I238" t="str">
        <x:f>IF(230&gt;$H$4,"",MATCH(230,'Fleet dates'!$K$9:$K$1008,0)+8)</x:f>
      </x:c>
    </x:row>
    <x:row r="239" ht="36" customHeight="1">
      <x:c r="A239" s="50" t="str">
        <x:f>IF(231&gt;$H$4,"",IF(INDEX('Fleet dates'!$A$9:$A$1008,$I239-8)="","",INDEX('Fleet dates'!$A$9:$A$1008,$I239-8)))</x:f>
      </x:c>
      <x:c r="B239" s="50" t="str">
        <x:f>IF(231&gt;$H$4,"",IF(INDEX('Fleet dates'!$B$9:$B$1008,$I239-8)="","",INDEX('Fleet dates'!$B$9:$B$1008,$I239-8)))</x:f>
      </x:c>
      <x:c r="C239" s="51" t="str">
        <x:f>IF(231&gt;$H$4,"",IF(INDEX('Fleet dates'!$C$9:$C$1008,$I239-8)="","",INDEX('Fleet dates'!$C$9:$C$1008,$I239-8)))</x:f>
      </x:c>
      <x:c r="D239" s="51" t="str">
        <x:f>IF(231&gt;$H$4,"",IF(INDEX('Fleet dates'!$D$9:$D$1008,$I239-8)="","",INDEX('Fleet dates'!$D$9:$D$1008,$I239-8)))</x:f>
      </x:c>
      <x:c r="E239" s="51" t="str">
        <x:f>IF(231&gt;$H$4,"",IF(INDEX('Fleet dates'!$E$9:$E$1008,$I239-8)="","",INDEX('Fleet dates'!$E$9:$E$1008,$I239-8)))</x:f>
      </x:c>
      <x:c r="F239" s="51" t="str">
        <x:f>IF(231&gt;$H$4,"",IF(INDEX('Fleet dates'!$F$9:$F$1008,$I239-8)="","",INDEX('Fleet dates'!$F$9:$F$1008,$I239-8)))</x:f>
      </x:c>
      <x:c r="G239" s="50" t="str">
        <x:f>IF(231&gt;$H$4,"",IF(INDEX('Fleet dates'!$G$9:$G$1008,$I239-8)="","",INDEX('Fleet dates'!$G$9:$G$1008,$I239-8)))</x:f>
      </x:c>
      <x:c r="H239" s="50" t="str">
        <x:f>IF(231&gt;$H$4,"",IF(INDEX('Fleet dates'!$I$9:$I$1008,$I239-8)="","",INDEX('Fleet dates'!$I$9:$I$1008,$I239-8)))</x:f>
      </x:c>
      <x:c r="I239" t="str">
        <x:f>IF(231&gt;$H$4,"",MATCH(231,'Fleet dates'!$K$9:$K$1008,0)+8)</x:f>
      </x:c>
    </x:row>
    <x:row r="240" ht="36" customHeight="1">
      <x:c r="A240" s="50" t="str">
        <x:f>IF(232&gt;$H$4,"",IF(INDEX('Fleet dates'!$A$9:$A$1008,$I240-8)="","",INDEX('Fleet dates'!$A$9:$A$1008,$I240-8)))</x:f>
      </x:c>
      <x:c r="B240" s="50" t="str">
        <x:f>IF(232&gt;$H$4,"",IF(INDEX('Fleet dates'!$B$9:$B$1008,$I240-8)="","",INDEX('Fleet dates'!$B$9:$B$1008,$I240-8)))</x:f>
      </x:c>
      <x:c r="C240" s="51" t="str">
        <x:f>IF(232&gt;$H$4,"",IF(INDEX('Fleet dates'!$C$9:$C$1008,$I240-8)="","",INDEX('Fleet dates'!$C$9:$C$1008,$I240-8)))</x:f>
      </x:c>
      <x:c r="D240" s="51" t="str">
        <x:f>IF(232&gt;$H$4,"",IF(INDEX('Fleet dates'!$D$9:$D$1008,$I240-8)="","",INDEX('Fleet dates'!$D$9:$D$1008,$I240-8)))</x:f>
      </x:c>
      <x:c r="E240" s="51" t="str">
        <x:f>IF(232&gt;$H$4,"",IF(INDEX('Fleet dates'!$E$9:$E$1008,$I240-8)="","",INDEX('Fleet dates'!$E$9:$E$1008,$I240-8)))</x:f>
      </x:c>
      <x:c r="F240" s="51" t="str">
        <x:f>IF(232&gt;$H$4,"",IF(INDEX('Fleet dates'!$F$9:$F$1008,$I240-8)="","",INDEX('Fleet dates'!$F$9:$F$1008,$I240-8)))</x:f>
      </x:c>
      <x:c r="G240" s="50" t="str">
        <x:f>IF(232&gt;$H$4,"",IF(INDEX('Fleet dates'!$G$9:$G$1008,$I240-8)="","",INDEX('Fleet dates'!$G$9:$G$1008,$I240-8)))</x:f>
      </x:c>
      <x:c r="H240" s="50" t="str">
        <x:f>IF(232&gt;$H$4,"",IF(INDEX('Fleet dates'!$I$9:$I$1008,$I240-8)="","",INDEX('Fleet dates'!$I$9:$I$1008,$I240-8)))</x:f>
      </x:c>
      <x:c r="I240" t="str">
        <x:f>IF(232&gt;$H$4,"",MATCH(232,'Fleet dates'!$K$9:$K$1008,0)+8)</x:f>
      </x:c>
    </x:row>
    <x:row r="241" ht="36" customHeight="1">
      <x:c r="A241" s="50" t="str">
        <x:f>IF(233&gt;$H$4,"",IF(INDEX('Fleet dates'!$A$9:$A$1008,$I241-8)="","",INDEX('Fleet dates'!$A$9:$A$1008,$I241-8)))</x:f>
      </x:c>
      <x:c r="B241" s="50" t="str">
        <x:f>IF(233&gt;$H$4,"",IF(INDEX('Fleet dates'!$B$9:$B$1008,$I241-8)="","",INDEX('Fleet dates'!$B$9:$B$1008,$I241-8)))</x:f>
      </x:c>
      <x:c r="C241" s="51" t="str">
        <x:f>IF(233&gt;$H$4,"",IF(INDEX('Fleet dates'!$C$9:$C$1008,$I241-8)="","",INDEX('Fleet dates'!$C$9:$C$1008,$I241-8)))</x:f>
      </x:c>
      <x:c r="D241" s="51" t="str">
        <x:f>IF(233&gt;$H$4,"",IF(INDEX('Fleet dates'!$D$9:$D$1008,$I241-8)="","",INDEX('Fleet dates'!$D$9:$D$1008,$I241-8)))</x:f>
      </x:c>
      <x:c r="E241" s="51" t="str">
        <x:f>IF(233&gt;$H$4,"",IF(INDEX('Fleet dates'!$E$9:$E$1008,$I241-8)="","",INDEX('Fleet dates'!$E$9:$E$1008,$I241-8)))</x:f>
      </x:c>
      <x:c r="F241" s="51" t="str">
        <x:f>IF(233&gt;$H$4,"",IF(INDEX('Fleet dates'!$F$9:$F$1008,$I241-8)="","",INDEX('Fleet dates'!$F$9:$F$1008,$I241-8)))</x:f>
      </x:c>
      <x:c r="G241" s="50" t="str">
        <x:f>IF(233&gt;$H$4,"",IF(INDEX('Fleet dates'!$G$9:$G$1008,$I241-8)="","",INDEX('Fleet dates'!$G$9:$G$1008,$I241-8)))</x:f>
      </x:c>
      <x:c r="H241" s="50" t="str">
        <x:f>IF(233&gt;$H$4,"",IF(INDEX('Fleet dates'!$I$9:$I$1008,$I241-8)="","",INDEX('Fleet dates'!$I$9:$I$1008,$I241-8)))</x:f>
      </x:c>
      <x:c r="I241" t="str">
        <x:f>IF(233&gt;$H$4,"",MATCH(233,'Fleet dates'!$K$9:$K$1008,0)+8)</x:f>
      </x:c>
    </x:row>
    <x:row r="242" ht="36" customHeight="1">
      <x:c r="A242" s="50" t="str">
        <x:f>IF(234&gt;$H$4,"",IF(INDEX('Fleet dates'!$A$9:$A$1008,$I242-8)="","",INDEX('Fleet dates'!$A$9:$A$1008,$I242-8)))</x:f>
      </x:c>
      <x:c r="B242" s="50" t="str">
        <x:f>IF(234&gt;$H$4,"",IF(INDEX('Fleet dates'!$B$9:$B$1008,$I242-8)="","",INDEX('Fleet dates'!$B$9:$B$1008,$I242-8)))</x:f>
      </x:c>
      <x:c r="C242" s="51" t="str">
        <x:f>IF(234&gt;$H$4,"",IF(INDEX('Fleet dates'!$C$9:$C$1008,$I242-8)="","",INDEX('Fleet dates'!$C$9:$C$1008,$I242-8)))</x:f>
      </x:c>
      <x:c r="D242" s="51" t="str">
        <x:f>IF(234&gt;$H$4,"",IF(INDEX('Fleet dates'!$D$9:$D$1008,$I242-8)="","",INDEX('Fleet dates'!$D$9:$D$1008,$I242-8)))</x:f>
      </x:c>
      <x:c r="E242" s="51" t="str">
        <x:f>IF(234&gt;$H$4,"",IF(INDEX('Fleet dates'!$E$9:$E$1008,$I242-8)="","",INDEX('Fleet dates'!$E$9:$E$1008,$I242-8)))</x:f>
      </x:c>
      <x:c r="F242" s="51" t="str">
        <x:f>IF(234&gt;$H$4,"",IF(INDEX('Fleet dates'!$F$9:$F$1008,$I242-8)="","",INDEX('Fleet dates'!$F$9:$F$1008,$I242-8)))</x:f>
      </x:c>
      <x:c r="G242" s="50" t="str">
        <x:f>IF(234&gt;$H$4,"",IF(INDEX('Fleet dates'!$G$9:$G$1008,$I242-8)="","",INDEX('Fleet dates'!$G$9:$G$1008,$I242-8)))</x:f>
      </x:c>
      <x:c r="H242" s="50" t="str">
        <x:f>IF(234&gt;$H$4,"",IF(INDEX('Fleet dates'!$I$9:$I$1008,$I242-8)="","",INDEX('Fleet dates'!$I$9:$I$1008,$I242-8)))</x:f>
      </x:c>
      <x:c r="I242" t="str">
        <x:f>IF(234&gt;$H$4,"",MATCH(234,'Fleet dates'!$K$9:$K$1008,0)+8)</x:f>
      </x:c>
    </x:row>
    <x:row r="243" ht="36" customHeight="1">
      <x:c r="A243" s="50" t="str">
        <x:f>IF(235&gt;$H$4,"",IF(INDEX('Fleet dates'!$A$9:$A$1008,$I243-8)="","",INDEX('Fleet dates'!$A$9:$A$1008,$I243-8)))</x:f>
      </x:c>
      <x:c r="B243" s="50" t="str">
        <x:f>IF(235&gt;$H$4,"",IF(INDEX('Fleet dates'!$B$9:$B$1008,$I243-8)="","",INDEX('Fleet dates'!$B$9:$B$1008,$I243-8)))</x:f>
      </x:c>
      <x:c r="C243" s="51" t="str">
        <x:f>IF(235&gt;$H$4,"",IF(INDEX('Fleet dates'!$C$9:$C$1008,$I243-8)="","",INDEX('Fleet dates'!$C$9:$C$1008,$I243-8)))</x:f>
      </x:c>
      <x:c r="D243" s="51" t="str">
        <x:f>IF(235&gt;$H$4,"",IF(INDEX('Fleet dates'!$D$9:$D$1008,$I243-8)="","",INDEX('Fleet dates'!$D$9:$D$1008,$I243-8)))</x:f>
      </x:c>
      <x:c r="E243" s="51" t="str">
        <x:f>IF(235&gt;$H$4,"",IF(INDEX('Fleet dates'!$E$9:$E$1008,$I243-8)="","",INDEX('Fleet dates'!$E$9:$E$1008,$I243-8)))</x:f>
      </x:c>
      <x:c r="F243" s="51" t="str">
        <x:f>IF(235&gt;$H$4,"",IF(INDEX('Fleet dates'!$F$9:$F$1008,$I243-8)="","",INDEX('Fleet dates'!$F$9:$F$1008,$I243-8)))</x:f>
      </x:c>
      <x:c r="G243" s="50" t="str">
        <x:f>IF(235&gt;$H$4,"",IF(INDEX('Fleet dates'!$G$9:$G$1008,$I243-8)="","",INDEX('Fleet dates'!$G$9:$G$1008,$I243-8)))</x:f>
      </x:c>
      <x:c r="H243" s="50" t="str">
        <x:f>IF(235&gt;$H$4,"",IF(INDEX('Fleet dates'!$I$9:$I$1008,$I243-8)="","",INDEX('Fleet dates'!$I$9:$I$1008,$I243-8)))</x:f>
      </x:c>
      <x:c r="I243" t="str">
        <x:f>IF(235&gt;$H$4,"",MATCH(235,'Fleet dates'!$K$9:$K$1008,0)+8)</x:f>
      </x:c>
    </x:row>
    <x:row r="244" ht="36" customHeight="1">
      <x:c r="A244" s="50" t="str">
        <x:f>IF(236&gt;$H$4,"",IF(INDEX('Fleet dates'!$A$9:$A$1008,$I244-8)="","",INDEX('Fleet dates'!$A$9:$A$1008,$I244-8)))</x:f>
      </x:c>
      <x:c r="B244" s="50" t="str">
        <x:f>IF(236&gt;$H$4,"",IF(INDEX('Fleet dates'!$B$9:$B$1008,$I244-8)="","",INDEX('Fleet dates'!$B$9:$B$1008,$I244-8)))</x:f>
      </x:c>
      <x:c r="C244" s="51" t="str">
        <x:f>IF(236&gt;$H$4,"",IF(INDEX('Fleet dates'!$C$9:$C$1008,$I244-8)="","",INDEX('Fleet dates'!$C$9:$C$1008,$I244-8)))</x:f>
      </x:c>
      <x:c r="D244" s="51" t="str">
        <x:f>IF(236&gt;$H$4,"",IF(INDEX('Fleet dates'!$D$9:$D$1008,$I244-8)="","",INDEX('Fleet dates'!$D$9:$D$1008,$I244-8)))</x:f>
      </x:c>
      <x:c r="E244" s="51" t="str">
        <x:f>IF(236&gt;$H$4,"",IF(INDEX('Fleet dates'!$E$9:$E$1008,$I244-8)="","",INDEX('Fleet dates'!$E$9:$E$1008,$I244-8)))</x:f>
      </x:c>
      <x:c r="F244" s="51" t="str">
        <x:f>IF(236&gt;$H$4,"",IF(INDEX('Fleet dates'!$F$9:$F$1008,$I244-8)="","",INDEX('Fleet dates'!$F$9:$F$1008,$I244-8)))</x:f>
      </x:c>
      <x:c r="G244" s="50" t="str">
        <x:f>IF(236&gt;$H$4,"",IF(INDEX('Fleet dates'!$G$9:$G$1008,$I244-8)="","",INDEX('Fleet dates'!$G$9:$G$1008,$I244-8)))</x:f>
      </x:c>
      <x:c r="H244" s="50" t="str">
        <x:f>IF(236&gt;$H$4,"",IF(INDEX('Fleet dates'!$I$9:$I$1008,$I244-8)="","",INDEX('Fleet dates'!$I$9:$I$1008,$I244-8)))</x:f>
      </x:c>
      <x:c r="I244" t="str">
        <x:f>IF(236&gt;$H$4,"",MATCH(236,'Fleet dates'!$K$9:$K$1008,0)+8)</x:f>
      </x:c>
    </x:row>
    <x:row r="245" ht="36" customHeight="1">
      <x:c r="A245" s="50" t="str">
        <x:f>IF(237&gt;$H$4,"",IF(INDEX('Fleet dates'!$A$9:$A$1008,$I245-8)="","",INDEX('Fleet dates'!$A$9:$A$1008,$I245-8)))</x:f>
      </x:c>
      <x:c r="B245" s="50" t="str">
        <x:f>IF(237&gt;$H$4,"",IF(INDEX('Fleet dates'!$B$9:$B$1008,$I245-8)="","",INDEX('Fleet dates'!$B$9:$B$1008,$I245-8)))</x:f>
      </x:c>
      <x:c r="C245" s="51" t="str">
        <x:f>IF(237&gt;$H$4,"",IF(INDEX('Fleet dates'!$C$9:$C$1008,$I245-8)="","",INDEX('Fleet dates'!$C$9:$C$1008,$I245-8)))</x:f>
      </x:c>
      <x:c r="D245" s="51" t="str">
        <x:f>IF(237&gt;$H$4,"",IF(INDEX('Fleet dates'!$D$9:$D$1008,$I245-8)="","",INDEX('Fleet dates'!$D$9:$D$1008,$I245-8)))</x:f>
      </x:c>
      <x:c r="E245" s="51" t="str">
        <x:f>IF(237&gt;$H$4,"",IF(INDEX('Fleet dates'!$E$9:$E$1008,$I245-8)="","",INDEX('Fleet dates'!$E$9:$E$1008,$I245-8)))</x:f>
      </x:c>
      <x:c r="F245" s="51" t="str">
        <x:f>IF(237&gt;$H$4,"",IF(INDEX('Fleet dates'!$F$9:$F$1008,$I245-8)="","",INDEX('Fleet dates'!$F$9:$F$1008,$I245-8)))</x:f>
      </x:c>
      <x:c r="G245" s="50" t="str">
        <x:f>IF(237&gt;$H$4,"",IF(INDEX('Fleet dates'!$G$9:$G$1008,$I245-8)="","",INDEX('Fleet dates'!$G$9:$G$1008,$I245-8)))</x:f>
      </x:c>
      <x:c r="H245" s="50" t="str">
        <x:f>IF(237&gt;$H$4,"",IF(INDEX('Fleet dates'!$I$9:$I$1008,$I245-8)="","",INDEX('Fleet dates'!$I$9:$I$1008,$I245-8)))</x:f>
      </x:c>
      <x:c r="I245" t="str">
        <x:f>IF(237&gt;$H$4,"",MATCH(237,'Fleet dates'!$K$9:$K$1008,0)+8)</x:f>
      </x:c>
    </x:row>
    <x:row r="246" ht="36" customHeight="1">
      <x:c r="A246" s="50" t="str">
        <x:f>IF(238&gt;$H$4,"",IF(INDEX('Fleet dates'!$A$9:$A$1008,$I246-8)="","",INDEX('Fleet dates'!$A$9:$A$1008,$I246-8)))</x:f>
      </x:c>
      <x:c r="B246" s="50" t="str">
        <x:f>IF(238&gt;$H$4,"",IF(INDEX('Fleet dates'!$B$9:$B$1008,$I246-8)="","",INDEX('Fleet dates'!$B$9:$B$1008,$I246-8)))</x:f>
      </x:c>
      <x:c r="C246" s="51" t="str">
        <x:f>IF(238&gt;$H$4,"",IF(INDEX('Fleet dates'!$C$9:$C$1008,$I246-8)="","",INDEX('Fleet dates'!$C$9:$C$1008,$I246-8)))</x:f>
      </x:c>
      <x:c r="D246" s="51" t="str">
        <x:f>IF(238&gt;$H$4,"",IF(INDEX('Fleet dates'!$D$9:$D$1008,$I246-8)="","",INDEX('Fleet dates'!$D$9:$D$1008,$I246-8)))</x:f>
      </x:c>
      <x:c r="E246" s="51" t="str">
        <x:f>IF(238&gt;$H$4,"",IF(INDEX('Fleet dates'!$E$9:$E$1008,$I246-8)="","",INDEX('Fleet dates'!$E$9:$E$1008,$I246-8)))</x:f>
      </x:c>
      <x:c r="F246" s="51" t="str">
        <x:f>IF(238&gt;$H$4,"",IF(INDEX('Fleet dates'!$F$9:$F$1008,$I246-8)="","",INDEX('Fleet dates'!$F$9:$F$1008,$I246-8)))</x:f>
      </x:c>
      <x:c r="G246" s="50" t="str">
        <x:f>IF(238&gt;$H$4,"",IF(INDEX('Fleet dates'!$G$9:$G$1008,$I246-8)="","",INDEX('Fleet dates'!$G$9:$G$1008,$I246-8)))</x:f>
      </x:c>
      <x:c r="H246" s="50" t="str">
        <x:f>IF(238&gt;$H$4,"",IF(INDEX('Fleet dates'!$I$9:$I$1008,$I246-8)="","",INDEX('Fleet dates'!$I$9:$I$1008,$I246-8)))</x:f>
      </x:c>
      <x:c r="I246" t="str">
        <x:f>IF(238&gt;$H$4,"",MATCH(238,'Fleet dates'!$K$9:$K$1008,0)+8)</x:f>
      </x:c>
    </x:row>
    <x:row r="247" ht="36" customHeight="1">
      <x:c r="A247" s="50" t="str">
        <x:f>IF(239&gt;$H$4,"",IF(INDEX('Fleet dates'!$A$9:$A$1008,$I247-8)="","",INDEX('Fleet dates'!$A$9:$A$1008,$I247-8)))</x:f>
      </x:c>
      <x:c r="B247" s="50" t="str">
        <x:f>IF(239&gt;$H$4,"",IF(INDEX('Fleet dates'!$B$9:$B$1008,$I247-8)="","",INDEX('Fleet dates'!$B$9:$B$1008,$I247-8)))</x:f>
      </x:c>
      <x:c r="C247" s="51" t="str">
        <x:f>IF(239&gt;$H$4,"",IF(INDEX('Fleet dates'!$C$9:$C$1008,$I247-8)="","",INDEX('Fleet dates'!$C$9:$C$1008,$I247-8)))</x:f>
      </x:c>
      <x:c r="D247" s="51" t="str">
        <x:f>IF(239&gt;$H$4,"",IF(INDEX('Fleet dates'!$D$9:$D$1008,$I247-8)="","",INDEX('Fleet dates'!$D$9:$D$1008,$I247-8)))</x:f>
      </x:c>
      <x:c r="E247" s="51" t="str">
        <x:f>IF(239&gt;$H$4,"",IF(INDEX('Fleet dates'!$E$9:$E$1008,$I247-8)="","",INDEX('Fleet dates'!$E$9:$E$1008,$I247-8)))</x:f>
      </x:c>
      <x:c r="F247" s="51" t="str">
        <x:f>IF(239&gt;$H$4,"",IF(INDEX('Fleet dates'!$F$9:$F$1008,$I247-8)="","",INDEX('Fleet dates'!$F$9:$F$1008,$I247-8)))</x:f>
      </x:c>
      <x:c r="G247" s="50" t="str">
        <x:f>IF(239&gt;$H$4,"",IF(INDEX('Fleet dates'!$G$9:$G$1008,$I247-8)="","",INDEX('Fleet dates'!$G$9:$G$1008,$I247-8)))</x:f>
      </x:c>
      <x:c r="H247" s="50" t="str">
        <x:f>IF(239&gt;$H$4,"",IF(INDEX('Fleet dates'!$I$9:$I$1008,$I247-8)="","",INDEX('Fleet dates'!$I$9:$I$1008,$I247-8)))</x:f>
      </x:c>
      <x:c r="I247" t="str">
        <x:f>IF(239&gt;$H$4,"",MATCH(239,'Fleet dates'!$K$9:$K$1008,0)+8)</x:f>
      </x:c>
    </x:row>
    <x:row r="248" ht="36" customHeight="1">
      <x:c r="A248" s="50" t="str">
        <x:f>IF(240&gt;$H$4,"",IF(INDEX('Fleet dates'!$A$9:$A$1008,$I248-8)="","",INDEX('Fleet dates'!$A$9:$A$1008,$I248-8)))</x:f>
      </x:c>
      <x:c r="B248" s="50" t="str">
        <x:f>IF(240&gt;$H$4,"",IF(INDEX('Fleet dates'!$B$9:$B$1008,$I248-8)="","",INDEX('Fleet dates'!$B$9:$B$1008,$I248-8)))</x:f>
      </x:c>
      <x:c r="C248" s="51" t="str">
        <x:f>IF(240&gt;$H$4,"",IF(INDEX('Fleet dates'!$C$9:$C$1008,$I248-8)="","",INDEX('Fleet dates'!$C$9:$C$1008,$I248-8)))</x:f>
      </x:c>
      <x:c r="D248" s="51" t="str">
        <x:f>IF(240&gt;$H$4,"",IF(INDEX('Fleet dates'!$D$9:$D$1008,$I248-8)="","",INDEX('Fleet dates'!$D$9:$D$1008,$I248-8)))</x:f>
      </x:c>
      <x:c r="E248" s="51" t="str">
        <x:f>IF(240&gt;$H$4,"",IF(INDEX('Fleet dates'!$E$9:$E$1008,$I248-8)="","",INDEX('Fleet dates'!$E$9:$E$1008,$I248-8)))</x:f>
      </x:c>
      <x:c r="F248" s="51" t="str">
        <x:f>IF(240&gt;$H$4,"",IF(INDEX('Fleet dates'!$F$9:$F$1008,$I248-8)="","",INDEX('Fleet dates'!$F$9:$F$1008,$I248-8)))</x:f>
      </x:c>
      <x:c r="G248" s="50" t="str">
        <x:f>IF(240&gt;$H$4,"",IF(INDEX('Fleet dates'!$G$9:$G$1008,$I248-8)="","",INDEX('Fleet dates'!$G$9:$G$1008,$I248-8)))</x:f>
      </x:c>
      <x:c r="H248" s="50" t="str">
        <x:f>IF(240&gt;$H$4,"",IF(INDEX('Fleet dates'!$I$9:$I$1008,$I248-8)="","",INDEX('Fleet dates'!$I$9:$I$1008,$I248-8)))</x:f>
      </x:c>
      <x:c r="I248" t="str">
        <x:f>IF(240&gt;$H$4,"",MATCH(240,'Fleet dates'!$K$9:$K$1008,0)+8)</x:f>
      </x:c>
    </x:row>
    <x:row r="249" ht="36" customHeight="1">
      <x:c r="A249" s="50" t="str">
        <x:f>IF(241&gt;$H$4,"",IF(INDEX('Fleet dates'!$A$9:$A$1008,$I249-8)="","",INDEX('Fleet dates'!$A$9:$A$1008,$I249-8)))</x:f>
      </x:c>
      <x:c r="B249" s="50" t="str">
        <x:f>IF(241&gt;$H$4,"",IF(INDEX('Fleet dates'!$B$9:$B$1008,$I249-8)="","",INDEX('Fleet dates'!$B$9:$B$1008,$I249-8)))</x:f>
      </x:c>
      <x:c r="C249" s="51" t="str">
        <x:f>IF(241&gt;$H$4,"",IF(INDEX('Fleet dates'!$C$9:$C$1008,$I249-8)="","",INDEX('Fleet dates'!$C$9:$C$1008,$I249-8)))</x:f>
      </x:c>
      <x:c r="D249" s="51" t="str">
        <x:f>IF(241&gt;$H$4,"",IF(INDEX('Fleet dates'!$D$9:$D$1008,$I249-8)="","",INDEX('Fleet dates'!$D$9:$D$1008,$I249-8)))</x:f>
      </x:c>
      <x:c r="E249" s="51" t="str">
        <x:f>IF(241&gt;$H$4,"",IF(INDEX('Fleet dates'!$E$9:$E$1008,$I249-8)="","",INDEX('Fleet dates'!$E$9:$E$1008,$I249-8)))</x:f>
      </x:c>
      <x:c r="F249" s="51" t="str">
        <x:f>IF(241&gt;$H$4,"",IF(INDEX('Fleet dates'!$F$9:$F$1008,$I249-8)="","",INDEX('Fleet dates'!$F$9:$F$1008,$I249-8)))</x:f>
      </x:c>
      <x:c r="G249" s="50" t="str">
        <x:f>IF(241&gt;$H$4,"",IF(INDEX('Fleet dates'!$G$9:$G$1008,$I249-8)="","",INDEX('Fleet dates'!$G$9:$G$1008,$I249-8)))</x:f>
      </x:c>
      <x:c r="H249" s="50" t="str">
        <x:f>IF(241&gt;$H$4,"",IF(INDEX('Fleet dates'!$I$9:$I$1008,$I249-8)="","",INDEX('Fleet dates'!$I$9:$I$1008,$I249-8)))</x:f>
      </x:c>
      <x:c r="I249" t="str">
        <x:f>IF(241&gt;$H$4,"",MATCH(241,'Fleet dates'!$K$9:$K$1008,0)+8)</x:f>
      </x:c>
    </x:row>
    <x:row r="250" ht="36" customHeight="1">
      <x:c r="A250" s="50" t="str">
        <x:f>IF(242&gt;$H$4,"",IF(INDEX('Fleet dates'!$A$9:$A$1008,$I250-8)="","",INDEX('Fleet dates'!$A$9:$A$1008,$I250-8)))</x:f>
      </x:c>
      <x:c r="B250" s="50" t="str">
        <x:f>IF(242&gt;$H$4,"",IF(INDEX('Fleet dates'!$B$9:$B$1008,$I250-8)="","",INDEX('Fleet dates'!$B$9:$B$1008,$I250-8)))</x:f>
      </x:c>
      <x:c r="C250" s="51" t="str">
        <x:f>IF(242&gt;$H$4,"",IF(INDEX('Fleet dates'!$C$9:$C$1008,$I250-8)="","",INDEX('Fleet dates'!$C$9:$C$1008,$I250-8)))</x:f>
      </x:c>
      <x:c r="D250" s="51" t="str">
        <x:f>IF(242&gt;$H$4,"",IF(INDEX('Fleet dates'!$D$9:$D$1008,$I250-8)="","",INDEX('Fleet dates'!$D$9:$D$1008,$I250-8)))</x:f>
      </x:c>
      <x:c r="E250" s="51" t="str">
        <x:f>IF(242&gt;$H$4,"",IF(INDEX('Fleet dates'!$E$9:$E$1008,$I250-8)="","",INDEX('Fleet dates'!$E$9:$E$1008,$I250-8)))</x:f>
      </x:c>
      <x:c r="F250" s="51" t="str">
        <x:f>IF(242&gt;$H$4,"",IF(INDEX('Fleet dates'!$F$9:$F$1008,$I250-8)="","",INDEX('Fleet dates'!$F$9:$F$1008,$I250-8)))</x:f>
      </x:c>
      <x:c r="G250" s="50" t="str">
        <x:f>IF(242&gt;$H$4,"",IF(INDEX('Fleet dates'!$G$9:$G$1008,$I250-8)="","",INDEX('Fleet dates'!$G$9:$G$1008,$I250-8)))</x:f>
      </x:c>
      <x:c r="H250" s="50" t="str">
        <x:f>IF(242&gt;$H$4,"",IF(INDEX('Fleet dates'!$I$9:$I$1008,$I250-8)="","",INDEX('Fleet dates'!$I$9:$I$1008,$I250-8)))</x:f>
      </x:c>
      <x:c r="I250" t="str">
        <x:f>IF(242&gt;$H$4,"",MATCH(242,'Fleet dates'!$K$9:$K$1008,0)+8)</x:f>
      </x:c>
    </x:row>
    <x:row r="251" ht="36" customHeight="1">
      <x:c r="A251" s="50" t="str">
        <x:f>IF(243&gt;$H$4,"",IF(INDEX('Fleet dates'!$A$9:$A$1008,$I251-8)="","",INDEX('Fleet dates'!$A$9:$A$1008,$I251-8)))</x:f>
      </x:c>
      <x:c r="B251" s="50" t="str">
        <x:f>IF(243&gt;$H$4,"",IF(INDEX('Fleet dates'!$B$9:$B$1008,$I251-8)="","",INDEX('Fleet dates'!$B$9:$B$1008,$I251-8)))</x:f>
      </x:c>
      <x:c r="C251" s="51" t="str">
        <x:f>IF(243&gt;$H$4,"",IF(INDEX('Fleet dates'!$C$9:$C$1008,$I251-8)="","",INDEX('Fleet dates'!$C$9:$C$1008,$I251-8)))</x:f>
      </x:c>
      <x:c r="D251" s="51" t="str">
        <x:f>IF(243&gt;$H$4,"",IF(INDEX('Fleet dates'!$D$9:$D$1008,$I251-8)="","",INDEX('Fleet dates'!$D$9:$D$1008,$I251-8)))</x:f>
      </x:c>
      <x:c r="E251" s="51" t="str">
        <x:f>IF(243&gt;$H$4,"",IF(INDEX('Fleet dates'!$E$9:$E$1008,$I251-8)="","",INDEX('Fleet dates'!$E$9:$E$1008,$I251-8)))</x:f>
      </x:c>
      <x:c r="F251" s="51" t="str">
        <x:f>IF(243&gt;$H$4,"",IF(INDEX('Fleet dates'!$F$9:$F$1008,$I251-8)="","",INDEX('Fleet dates'!$F$9:$F$1008,$I251-8)))</x:f>
      </x:c>
      <x:c r="G251" s="50" t="str">
        <x:f>IF(243&gt;$H$4,"",IF(INDEX('Fleet dates'!$G$9:$G$1008,$I251-8)="","",INDEX('Fleet dates'!$G$9:$G$1008,$I251-8)))</x:f>
      </x:c>
      <x:c r="H251" s="50" t="str">
        <x:f>IF(243&gt;$H$4,"",IF(INDEX('Fleet dates'!$I$9:$I$1008,$I251-8)="","",INDEX('Fleet dates'!$I$9:$I$1008,$I251-8)))</x:f>
      </x:c>
      <x:c r="I251" t="str">
        <x:f>IF(243&gt;$H$4,"",MATCH(243,'Fleet dates'!$K$9:$K$1008,0)+8)</x:f>
      </x:c>
    </x:row>
    <x:row r="252" ht="36" customHeight="1">
      <x:c r="A252" s="50" t="str">
        <x:f>IF(244&gt;$H$4,"",IF(INDEX('Fleet dates'!$A$9:$A$1008,$I252-8)="","",INDEX('Fleet dates'!$A$9:$A$1008,$I252-8)))</x:f>
      </x:c>
      <x:c r="B252" s="50" t="str">
        <x:f>IF(244&gt;$H$4,"",IF(INDEX('Fleet dates'!$B$9:$B$1008,$I252-8)="","",INDEX('Fleet dates'!$B$9:$B$1008,$I252-8)))</x:f>
      </x:c>
      <x:c r="C252" s="51" t="str">
        <x:f>IF(244&gt;$H$4,"",IF(INDEX('Fleet dates'!$C$9:$C$1008,$I252-8)="","",INDEX('Fleet dates'!$C$9:$C$1008,$I252-8)))</x:f>
      </x:c>
      <x:c r="D252" s="51" t="str">
        <x:f>IF(244&gt;$H$4,"",IF(INDEX('Fleet dates'!$D$9:$D$1008,$I252-8)="","",INDEX('Fleet dates'!$D$9:$D$1008,$I252-8)))</x:f>
      </x:c>
      <x:c r="E252" s="51" t="str">
        <x:f>IF(244&gt;$H$4,"",IF(INDEX('Fleet dates'!$E$9:$E$1008,$I252-8)="","",INDEX('Fleet dates'!$E$9:$E$1008,$I252-8)))</x:f>
      </x:c>
      <x:c r="F252" s="51" t="str">
        <x:f>IF(244&gt;$H$4,"",IF(INDEX('Fleet dates'!$F$9:$F$1008,$I252-8)="","",INDEX('Fleet dates'!$F$9:$F$1008,$I252-8)))</x:f>
      </x:c>
      <x:c r="G252" s="50" t="str">
        <x:f>IF(244&gt;$H$4,"",IF(INDEX('Fleet dates'!$G$9:$G$1008,$I252-8)="","",INDEX('Fleet dates'!$G$9:$G$1008,$I252-8)))</x:f>
      </x:c>
      <x:c r="H252" s="50" t="str">
        <x:f>IF(244&gt;$H$4,"",IF(INDEX('Fleet dates'!$I$9:$I$1008,$I252-8)="","",INDEX('Fleet dates'!$I$9:$I$1008,$I252-8)))</x:f>
      </x:c>
      <x:c r="I252" t="str">
        <x:f>IF(244&gt;$H$4,"",MATCH(244,'Fleet dates'!$K$9:$K$1008,0)+8)</x:f>
      </x:c>
    </x:row>
    <x:row r="253" ht="36" customHeight="1">
      <x:c r="A253" s="50" t="str">
        <x:f>IF(245&gt;$H$4,"",IF(INDEX('Fleet dates'!$A$9:$A$1008,$I253-8)="","",INDEX('Fleet dates'!$A$9:$A$1008,$I253-8)))</x:f>
      </x:c>
      <x:c r="B253" s="50" t="str">
        <x:f>IF(245&gt;$H$4,"",IF(INDEX('Fleet dates'!$B$9:$B$1008,$I253-8)="","",INDEX('Fleet dates'!$B$9:$B$1008,$I253-8)))</x:f>
      </x:c>
      <x:c r="C253" s="51" t="str">
        <x:f>IF(245&gt;$H$4,"",IF(INDEX('Fleet dates'!$C$9:$C$1008,$I253-8)="","",INDEX('Fleet dates'!$C$9:$C$1008,$I253-8)))</x:f>
      </x:c>
      <x:c r="D253" s="51" t="str">
        <x:f>IF(245&gt;$H$4,"",IF(INDEX('Fleet dates'!$D$9:$D$1008,$I253-8)="","",INDEX('Fleet dates'!$D$9:$D$1008,$I253-8)))</x:f>
      </x:c>
      <x:c r="E253" s="51" t="str">
        <x:f>IF(245&gt;$H$4,"",IF(INDEX('Fleet dates'!$E$9:$E$1008,$I253-8)="","",INDEX('Fleet dates'!$E$9:$E$1008,$I253-8)))</x:f>
      </x:c>
      <x:c r="F253" s="51" t="str">
        <x:f>IF(245&gt;$H$4,"",IF(INDEX('Fleet dates'!$F$9:$F$1008,$I253-8)="","",INDEX('Fleet dates'!$F$9:$F$1008,$I253-8)))</x:f>
      </x:c>
      <x:c r="G253" s="50" t="str">
        <x:f>IF(245&gt;$H$4,"",IF(INDEX('Fleet dates'!$G$9:$G$1008,$I253-8)="","",INDEX('Fleet dates'!$G$9:$G$1008,$I253-8)))</x:f>
      </x:c>
      <x:c r="H253" s="50" t="str">
        <x:f>IF(245&gt;$H$4,"",IF(INDEX('Fleet dates'!$I$9:$I$1008,$I253-8)="","",INDEX('Fleet dates'!$I$9:$I$1008,$I253-8)))</x:f>
      </x:c>
      <x:c r="I253" t="str">
        <x:f>IF(245&gt;$H$4,"",MATCH(245,'Fleet dates'!$K$9:$K$1008,0)+8)</x:f>
      </x:c>
    </x:row>
    <x:row r="254" ht="36" customHeight="1">
      <x:c r="A254" s="50" t="str">
        <x:f>IF(246&gt;$H$4,"",IF(INDEX('Fleet dates'!$A$9:$A$1008,$I254-8)="","",INDEX('Fleet dates'!$A$9:$A$1008,$I254-8)))</x:f>
      </x:c>
      <x:c r="B254" s="50" t="str">
        <x:f>IF(246&gt;$H$4,"",IF(INDEX('Fleet dates'!$B$9:$B$1008,$I254-8)="","",INDEX('Fleet dates'!$B$9:$B$1008,$I254-8)))</x:f>
      </x:c>
      <x:c r="C254" s="51" t="str">
        <x:f>IF(246&gt;$H$4,"",IF(INDEX('Fleet dates'!$C$9:$C$1008,$I254-8)="","",INDEX('Fleet dates'!$C$9:$C$1008,$I254-8)))</x:f>
      </x:c>
      <x:c r="D254" s="51" t="str">
        <x:f>IF(246&gt;$H$4,"",IF(INDEX('Fleet dates'!$D$9:$D$1008,$I254-8)="","",INDEX('Fleet dates'!$D$9:$D$1008,$I254-8)))</x:f>
      </x:c>
      <x:c r="E254" s="51" t="str">
        <x:f>IF(246&gt;$H$4,"",IF(INDEX('Fleet dates'!$E$9:$E$1008,$I254-8)="","",INDEX('Fleet dates'!$E$9:$E$1008,$I254-8)))</x:f>
      </x:c>
      <x:c r="F254" s="51" t="str">
        <x:f>IF(246&gt;$H$4,"",IF(INDEX('Fleet dates'!$F$9:$F$1008,$I254-8)="","",INDEX('Fleet dates'!$F$9:$F$1008,$I254-8)))</x:f>
      </x:c>
      <x:c r="G254" s="50" t="str">
        <x:f>IF(246&gt;$H$4,"",IF(INDEX('Fleet dates'!$G$9:$G$1008,$I254-8)="","",INDEX('Fleet dates'!$G$9:$G$1008,$I254-8)))</x:f>
      </x:c>
      <x:c r="H254" s="50" t="str">
        <x:f>IF(246&gt;$H$4,"",IF(INDEX('Fleet dates'!$I$9:$I$1008,$I254-8)="","",INDEX('Fleet dates'!$I$9:$I$1008,$I254-8)))</x:f>
      </x:c>
      <x:c r="I254" t="str">
        <x:f>IF(246&gt;$H$4,"",MATCH(246,'Fleet dates'!$K$9:$K$1008,0)+8)</x:f>
      </x:c>
    </x:row>
    <x:row r="255" ht="36" customHeight="1">
      <x:c r="A255" s="50" t="str">
        <x:f>IF(247&gt;$H$4,"",IF(INDEX('Fleet dates'!$A$9:$A$1008,$I255-8)="","",INDEX('Fleet dates'!$A$9:$A$1008,$I255-8)))</x:f>
      </x:c>
      <x:c r="B255" s="50" t="str">
        <x:f>IF(247&gt;$H$4,"",IF(INDEX('Fleet dates'!$B$9:$B$1008,$I255-8)="","",INDEX('Fleet dates'!$B$9:$B$1008,$I255-8)))</x:f>
      </x:c>
      <x:c r="C255" s="51" t="str">
        <x:f>IF(247&gt;$H$4,"",IF(INDEX('Fleet dates'!$C$9:$C$1008,$I255-8)="","",INDEX('Fleet dates'!$C$9:$C$1008,$I255-8)))</x:f>
      </x:c>
      <x:c r="D255" s="51" t="str">
        <x:f>IF(247&gt;$H$4,"",IF(INDEX('Fleet dates'!$D$9:$D$1008,$I255-8)="","",INDEX('Fleet dates'!$D$9:$D$1008,$I255-8)))</x:f>
      </x:c>
      <x:c r="E255" s="51" t="str">
        <x:f>IF(247&gt;$H$4,"",IF(INDEX('Fleet dates'!$E$9:$E$1008,$I255-8)="","",INDEX('Fleet dates'!$E$9:$E$1008,$I255-8)))</x:f>
      </x:c>
      <x:c r="F255" s="51" t="str">
        <x:f>IF(247&gt;$H$4,"",IF(INDEX('Fleet dates'!$F$9:$F$1008,$I255-8)="","",INDEX('Fleet dates'!$F$9:$F$1008,$I255-8)))</x:f>
      </x:c>
      <x:c r="G255" s="50" t="str">
        <x:f>IF(247&gt;$H$4,"",IF(INDEX('Fleet dates'!$G$9:$G$1008,$I255-8)="","",INDEX('Fleet dates'!$G$9:$G$1008,$I255-8)))</x:f>
      </x:c>
      <x:c r="H255" s="50" t="str">
        <x:f>IF(247&gt;$H$4,"",IF(INDEX('Fleet dates'!$I$9:$I$1008,$I255-8)="","",INDEX('Fleet dates'!$I$9:$I$1008,$I255-8)))</x:f>
      </x:c>
      <x:c r="I255" t="str">
        <x:f>IF(247&gt;$H$4,"",MATCH(247,'Fleet dates'!$K$9:$K$1008,0)+8)</x:f>
      </x:c>
    </x:row>
    <x:row r="256" ht="36" customHeight="1">
      <x:c r="A256" s="50" t="str">
        <x:f>IF(248&gt;$H$4,"",IF(INDEX('Fleet dates'!$A$9:$A$1008,$I256-8)="","",INDEX('Fleet dates'!$A$9:$A$1008,$I256-8)))</x:f>
      </x:c>
      <x:c r="B256" s="50" t="str">
        <x:f>IF(248&gt;$H$4,"",IF(INDEX('Fleet dates'!$B$9:$B$1008,$I256-8)="","",INDEX('Fleet dates'!$B$9:$B$1008,$I256-8)))</x:f>
      </x:c>
      <x:c r="C256" s="51" t="str">
        <x:f>IF(248&gt;$H$4,"",IF(INDEX('Fleet dates'!$C$9:$C$1008,$I256-8)="","",INDEX('Fleet dates'!$C$9:$C$1008,$I256-8)))</x:f>
      </x:c>
      <x:c r="D256" s="51" t="str">
        <x:f>IF(248&gt;$H$4,"",IF(INDEX('Fleet dates'!$D$9:$D$1008,$I256-8)="","",INDEX('Fleet dates'!$D$9:$D$1008,$I256-8)))</x:f>
      </x:c>
      <x:c r="E256" s="51" t="str">
        <x:f>IF(248&gt;$H$4,"",IF(INDEX('Fleet dates'!$E$9:$E$1008,$I256-8)="","",INDEX('Fleet dates'!$E$9:$E$1008,$I256-8)))</x:f>
      </x:c>
      <x:c r="F256" s="51" t="str">
        <x:f>IF(248&gt;$H$4,"",IF(INDEX('Fleet dates'!$F$9:$F$1008,$I256-8)="","",INDEX('Fleet dates'!$F$9:$F$1008,$I256-8)))</x:f>
      </x:c>
      <x:c r="G256" s="50" t="str">
        <x:f>IF(248&gt;$H$4,"",IF(INDEX('Fleet dates'!$G$9:$G$1008,$I256-8)="","",INDEX('Fleet dates'!$G$9:$G$1008,$I256-8)))</x:f>
      </x:c>
      <x:c r="H256" s="50" t="str">
        <x:f>IF(248&gt;$H$4,"",IF(INDEX('Fleet dates'!$I$9:$I$1008,$I256-8)="","",INDEX('Fleet dates'!$I$9:$I$1008,$I256-8)))</x:f>
      </x:c>
      <x:c r="I256" t="str">
        <x:f>IF(248&gt;$H$4,"",MATCH(248,'Fleet dates'!$K$9:$K$1008,0)+8)</x:f>
      </x:c>
    </x:row>
    <x:row r="257" ht="36" customHeight="1">
      <x:c r="A257" s="50" t="str">
        <x:f>IF(249&gt;$H$4,"",IF(INDEX('Fleet dates'!$A$9:$A$1008,$I257-8)="","",INDEX('Fleet dates'!$A$9:$A$1008,$I257-8)))</x:f>
      </x:c>
      <x:c r="B257" s="50" t="str">
        <x:f>IF(249&gt;$H$4,"",IF(INDEX('Fleet dates'!$B$9:$B$1008,$I257-8)="","",INDEX('Fleet dates'!$B$9:$B$1008,$I257-8)))</x:f>
      </x:c>
      <x:c r="C257" s="51" t="str">
        <x:f>IF(249&gt;$H$4,"",IF(INDEX('Fleet dates'!$C$9:$C$1008,$I257-8)="","",INDEX('Fleet dates'!$C$9:$C$1008,$I257-8)))</x:f>
      </x:c>
      <x:c r="D257" s="51" t="str">
        <x:f>IF(249&gt;$H$4,"",IF(INDEX('Fleet dates'!$D$9:$D$1008,$I257-8)="","",INDEX('Fleet dates'!$D$9:$D$1008,$I257-8)))</x:f>
      </x:c>
      <x:c r="E257" s="51" t="str">
        <x:f>IF(249&gt;$H$4,"",IF(INDEX('Fleet dates'!$E$9:$E$1008,$I257-8)="","",INDEX('Fleet dates'!$E$9:$E$1008,$I257-8)))</x:f>
      </x:c>
      <x:c r="F257" s="51" t="str">
        <x:f>IF(249&gt;$H$4,"",IF(INDEX('Fleet dates'!$F$9:$F$1008,$I257-8)="","",INDEX('Fleet dates'!$F$9:$F$1008,$I257-8)))</x:f>
      </x:c>
      <x:c r="G257" s="50" t="str">
        <x:f>IF(249&gt;$H$4,"",IF(INDEX('Fleet dates'!$G$9:$G$1008,$I257-8)="","",INDEX('Fleet dates'!$G$9:$G$1008,$I257-8)))</x:f>
      </x:c>
      <x:c r="H257" s="50" t="str">
        <x:f>IF(249&gt;$H$4,"",IF(INDEX('Fleet dates'!$I$9:$I$1008,$I257-8)="","",INDEX('Fleet dates'!$I$9:$I$1008,$I257-8)))</x:f>
      </x:c>
      <x:c r="I257" t="str">
        <x:f>IF(249&gt;$H$4,"",MATCH(249,'Fleet dates'!$K$9:$K$1008,0)+8)</x:f>
      </x:c>
    </x:row>
    <x:row r="258" ht="36" customHeight="1">
      <x:c r="A258" s="50" t="str">
        <x:f>IF(250&gt;$H$4,"",IF(INDEX('Fleet dates'!$A$9:$A$1008,$I258-8)="","",INDEX('Fleet dates'!$A$9:$A$1008,$I258-8)))</x:f>
      </x:c>
      <x:c r="B258" s="50" t="str">
        <x:f>IF(250&gt;$H$4,"",IF(INDEX('Fleet dates'!$B$9:$B$1008,$I258-8)="","",INDEX('Fleet dates'!$B$9:$B$1008,$I258-8)))</x:f>
      </x:c>
      <x:c r="C258" s="51" t="str">
        <x:f>IF(250&gt;$H$4,"",IF(INDEX('Fleet dates'!$C$9:$C$1008,$I258-8)="","",INDEX('Fleet dates'!$C$9:$C$1008,$I258-8)))</x:f>
      </x:c>
      <x:c r="D258" s="51" t="str">
        <x:f>IF(250&gt;$H$4,"",IF(INDEX('Fleet dates'!$D$9:$D$1008,$I258-8)="","",INDEX('Fleet dates'!$D$9:$D$1008,$I258-8)))</x:f>
      </x:c>
      <x:c r="E258" s="51" t="str">
        <x:f>IF(250&gt;$H$4,"",IF(INDEX('Fleet dates'!$E$9:$E$1008,$I258-8)="","",INDEX('Fleet dates'!$E$9:$E$1008,$I258-8)))</x:f>
      </x:c>
      <x:c r="F258" s="51" t="str">
        <x:f>IF(250&gt;$H$4,"",IF(INDEX('Fleet dates'!$F$9:$F$1008,$I258-8)="","",INDEX('Fleet dates'!$F$9:$F$1008,$I258-8)))</x:f>
      </x:c>
      <x:c r="G258" s="50" t="str">
        <x:f>IF(250&gt;$H$4,"",IF(INDEX('Fleet dates'!$G$9:$G$1008,$I258-8)="","",INDEX('Fleet dates'!$G$9:$G$1008,$I258-8)))</x:f>
      </x:c>
      <x:c r="H258" s="50" t="str">
        <x:f>IF(250&gt;$H$4,"",IF(INDEX('Fleet dates'!$I$9:$I$1008,$I258-8)="","",INDEX('Fleet dates'!$I$9:$I$1008,$I258-8)))</x:f>
      </x:c>
      <x:c r="I258" t="str">
        <x:f>IF(250&gt;$H$4,"",MATCH(250,'Fleet dates'!$K$9:$K$1008,0)+8)</x:f>
      </x:c>
    </x:row>
    <x:row r="259" ht="36" customHeight="1">
      <x:c r="A259" s="50" t="str">
        <x:f>IF(251&gt;$H$4,"",IF(INDEX('Fleet dates'!$A$9:$A$1008,$I259-8)="","",INDEX('Fleet dates'!$A$9:$A$1008,$I259-8)))</x:f>
      </x:c>
      <x:c r="B259" s="50" t="str">
        <x:f>IF(251&gt;$H$4,"",IF(INDEX('Fleet dates'!$B$9:$B$1008,$I259-8)="","",INDEX('Fleet dates'!$B$9:$B$1008,$I259-8)))</x:f>
      </x:c>
      <x:c r="C259" s="51" t="str">
        <x:f>IF(251&gt;$H$4,"",IF(INDEX('Fleet dates'!$C$9:$C$1008,$I259-8)="","",INDEX('Fleet dates'!$C$9:$C$1008,$I259-8)))</x:f>
      </x:c>
      <x:c r="D259" s="51" t="str">
        <x:f>IF(251&gt;$H$4,"",IF(INDEX('Fleet dates'!$D$9:$D$1008,$I259-8)="","",INDEX('Fleet dates'!$D$9:$D$1008,$I259-8)))</x:f>
      </x:c>
      <x:c r="E259" s="51" t="str">
        <x:f>IF(251&gt;$H$4,"",IF(INDEX('Fleet dates'!$E$9:$E$1008,$I259-8)="","",INDEX('Fleet dates'!$E$9:$E$1008,$I259-8)))</x:f>
      </x:c>
      <x:c r="F259" s="51" t="str">
        <x:f>IF(251&gt;$H$4,"",IF(INDEX('Fleet dates'!$F$9:$F$1008,$I259-8)="","",INDEX('Fleet dates'!$F$9:$F$1008,$I259-8)))</x:f>
      </x:c>
      <x:c r="G259" s="50" t="str">
        <x:f>IF(251&gt;$H$4,"",IF(INDEX('Fleet dates'!$G$9:$G$1008,$I259-8)="","",INDEX('Fleet dates'!$G$9:$G$1008,$I259-8)))</x:f>
      </x:c>
      <x:c r="H259" s="50" t="str">
        <x:f>IF(251&gt;$H$4,"",IF(INDEX('Fleet dates'!$I$9:$I$1008,$I259-8)="","",INDEX('Fleet dates'!$I$9:$I$1008,$I259-8)))</x:f>
      </x:c>
      <x:c r="I259" t="str">
        <x:f>IF(251&gt;$H$4,"",MATCH(251,'Fleet dates'!$K$9:$K$1008,0)+8)</x:f>
      </x:c>
    </x:row>
    <x:row r="260" ht="36" customHeight="1">
      <x:c r="A260" s="50" t="str">
        <x:f>IF(252&gt;$H$4,"",IF(INDEX('Fleet dates'!$A$9:$A$1008,$I260-8)="","",INDEX('Fleet dates'!$A$9:$A$1008,$I260-8)))</x:f>
      </x:c>
      <x:c r="B260" s="50" t="str">
        <x:f>IF(252&gt;$H$4,"",IF(INDEX('Fleet dates'!$B$9:$B$1008,$I260-8)="","",INDEX('Fleet dates'!$B$9:$B$1008,$I260-8)))</x:f>
      </x:c>
      <x:c r="C260" s="51" t="str">
        <x:f>IF(252&gt;$H$4,"",IF(INDEX('Fleet dates'!$C$9:$C$1008,$I260-8)="","",INDEX('Fleet dates'!$C$9:$C$1008,$I260-8)))</x:f>
      </x:c>
      <x:c r="D260" s="51" t="str">
        <x:f>IF(252&gt;$H$4,"",IF(INDEX('Fleet dates'!$D$9:$D$1008,$I260-8)="","",INDEX('Fleet dates'!$D$9:$D$1008,$I260-8)))</x:f>
      </x:c>
      <x:c r="E260" s="51" t="str">
        <x:f>IF(252&gt;$H$4,"",IF(INDEX('Fleet dates'!$E$9:$E$1008,$I260-8)="","",INDEX('Fleet dates'!$E$9:$E$1008,$I260-8)))</x:f>
      </x:c>
      <x:c r="F260" s="51" t="str">
        <x:f>IF(252&gt;$H$4,"",IF(INDEX('Fleet dates'!$F$9:$F$1008,$I260-8)="","",INDEX('Fleet dates'!$F$9:$F$1008,$I260-8)))</x:f>
      </x:c>
      <x:c r="G260" s="50" t="str">
        <x:f>IF(252&gt;$H$4,"",IF(INDEX('Fleet dates'!$G$9:$G$1008,$I260-8)="","",INDEX('Fleet dates'!$G$9:$G$1008,$I260-8)))</x:f>
      </x:c>
      <x:c r="H260" s="50" t="str">
        <x:f>IF(252&gt;$H$4,"",IF(INDEX('Fleet dates'!$I$9:$I$1008,$I260-8)="","",INDEX('Fleet dates'!$I$9:$I$1008,$I260-8)))</x:f>
      </x:c>
      <x:c r="I260" t="str">
        <x:f>IF(252&gt;$H$4,"",MATCH(252,'Fleet dates'!$K$9:$K$1008,0)+8)</x:f>
      </x:c>
    </x:row>
    <x:row r="261" ht="36" customHeight="1">
      <x:c r="A261" s="50" t="str">
        <x:f>IF(253&gt;$H$4,"",IF(INDEX('Fleet dates'!$A$9:$A$1008,$I261-8)="","",INDEX('Fleet dates'!$A$9:$A$1008,$I261-8)))</x:f>
      </x:c>
      <x:c r="B261" s="50" t="str">
        <x:f>IF(253&gt;$H$4,"",IF(INDEX('Fleet dates'!$B$9:$B$1008,$I261-8)="","",INDEX('Fleet dates'!$B$9:$B$1008,$I261-8)))</x:f>
      </x:c>
      <x:c r="C261" s="51" t="str">
        <x:f>IF(253&gt;$H$4,"",IF(INDEX('Fleet dates'!$C$9:$C$1008,$I261-8)="","",INDEX('Fleet dates'!$C$9:$C$1008,$I261-8)))</x:f>
      </x:c>
      <x:c r="D261" s="51" t="str">
        <x:f>IF(253&gt;$H$4,"",IF(INDEX('Fleet dates'!$D$9:$D$1008,$I261-8)="","",INDEX('Fleet dates'!$D$9:$D$1008,$I261-8)))</x:f>
      </x:c>
      <x:c r="E261" s="51" t="str">
        <x:f>IF(253&gt;$H$4,"",IF(INDEX('Fleet dates'!$E$9:$E$1008,$I261-8)="","",INDEX('Fleet dates'!$E$9:$E$1008,$I261-8)))</x:f>
      </x:c>
      <x:c r="F261" s="51" t="str">
        <x:f>IF(253&gt;$H$4,"",IF(INDEX('Fleet dates'!$F$9:$F$1008,$I261-8)="","",INDEX('Fleet dates'!$F$9:$F$1008,$I261-8)))</x:f>
      </x:c>
      <x:c r="G261" s="50" t="str">
        <x:f>IF(253&gt;$H$4,"",IF(INDEX('Fleet dates'!$G$9:$G$1008,$I261-8)="","",INDEX('Fleet dates'!$G$9:$G$1008,$I261-8)))</x:f>
      </x:c>
      <x:c r="H261" s="50" t="str">
        <x:f>IF(253&gt;$H$4,"",IF(INDEX('Fleet dates'!$I$9:$I$1008,$I261-8)="","",INDEX('Fleet dates'!$I$9:$I$1008,$I261-8)))</x:f>
      </x:c>
      <x:c r="I261" t="str">
        <x:f>IF(253&gt;$H$4,"",MATCH(253,'Fleet dates'!$K$9:$K$1008,0)+8)</x:f>
      </x:c>
    </x:row>
    <x:row r="262" ht="36" customHeight="1">
      <x:c r="A262" s="50" t="str">
        <x:f>IF(254&gt;$H$4,"",IF(INDEX('Fleet dates'!$A$9:$A$1008,$I262-8)="","",INDEX('Fleet dates'!$A$9:$A$1008,$I262-8)))</x:f>
      </x:c>
      <x:c r="B262" s="50" t="str">
        <x:f>IF(254&gt;$H$4,"",IF(INDEX('Fleet dates'!$B$9:$B$1008,$I262-8)="","",INDEX('Fleet dates'!$B$9:$B$1008,$I262-8)))</x:f>
      </x:c>
      <x:c r="C262" s="51" t="str">
        <x:f>IF(254&gt;$H$4,"",IF(INDEX('Fleet dates'!$C$9:$C$1008,$I262-8)="","",INDEX('Fleet dates'!$C$9:$C$1008,$I262-8)))</x:f>
      </x:c>
      <x:c r="D262" s="51" t="str">
        <x:f>IF(254&gt;$H$4,"",IF(INDEX('Fleet dates'!$D$9:$D$1008,$I262-8)="","",INDEX('Fleet dates'!$D$9:$D$1008,$I262-8)))</x:f>
      </x:c>
      <x:c r="E262" s="51" t="str">
        <x:f>IF(254&gt;$H$4,"",IF(INDEX('Fleet dates'!$E$9:$E$1008,$I262-8)="","",INDEX('Fleet dates'!$E$9:$E$1008,$I262-8)))</x:f>
      </x:c>
      <x:c r="F262" s="51" t="str">
        <x:f>IF(254&gt;$H$4,"",IF(INDEX('Fleet dates'!$F$9:$F$1008,$I262-8)="","",INDEX('Fleet dates'!$F$9:$F$1008,$I262-8)))</x:f>
      </x:c>
      <x:c r="G262" s="50" t="str">
        <x:f>IF(254&gt;$H$4,"",IF(INDEX('Fleet dates'!$G$9:$G$1008,$I262-8)="","",INDEX('Fleet dates'!$G$9:$G$1008,$I262-8)))</x:f>
      </x:c>
      <x:c r="H262" s="50" t="str">
        <x:f>IF(254&gt;$H$4,"",IF(INDEX('Fleet dates'!$I$9:$I$1008,$I262-8)="","",INDEX('Fleet dates'!$I$9:$I$1008,$I262-8)))</x:f>
      </x:c>
      <x:c r="I262" t="str">
        <x:f>IF(254&gt;$H$4,"",MATCH(254,'Fleet dates'!$K$9:$K$1008,0)+8)</x:f>
      </x:c>
    </x:row>
    <x:row r="263" ht="36" customHeight="1">
      <x:c r="A263" s="50" t="str">
        <x:f>IF(255&gt;$H$4,"",IF(INDEX('Fleet dates'!$A$9:$A$1008,$I263-8)="","",INDEX('Fleet dates'!$A$9:$A$1008,$I263-8)))</x:f>
      </x:c>
      <x:c r="B263" s="50" t="str">
        <x:f>IF(255&gt;$H$4,"",IF(INDEX('Fleet dates'!$B$9:$B$1008,$I263-8)="","",INDEX('Fleet dates'!$B$9:$B$1008,$I263-8)))</x:f>
      </x:c>
      <x:c r="C263" s="51" t="str">
        <x:f>IF(255&gt;$H$4,"",IF(INDEX('Fleet dates'!$C$9:$C$1008,$I263-8)="","",INDEX('Fleet dates'!$C$9:$C$1008,$I263-8)))</x:f>
      </x:c>
      <x:c r="D263" s="51" t="str">
        <x:f>IF(255&gt;$H$4,"",IF(INDEX('Fleet dates'!$D$9:$D$1008,$I263-8)="","",INDEX('Fleet dates'!$D$9:$D$1008,$I263-8)))</x:f>
      </x:c>
      <x:c r="E263" s="51" t="str">
        <x:f>IF(255&gt;$H$4,"",IF(INDEX('Fleet dates'!$E$9:$E$1008,$I263-8)="","",INDEX('Fleet dates'!$E$9:$E$1008,$I263-8)))</x:f>
      </x:c>
      <x:c r="F263" s="51" t="str">
        <x:f>IF(255&gt;$H$4,"",IF(INDEX('Fleet dates'!$F$9:$F$1008,$I263-8)="","",INDEX('Fleet dates'!$F$9:$F$1008,$I263-8)))</x:f>
      </x:c>
      <x:c r="G263" s="50" t="str">
        <x:f>IF(255&gt;$H$4,"",IF(INDEX('Fleet dates'!$G$9:$G$1008,$I263-8)="","",INDEX('Fleet dates'!$G$9:$G$1008,$I263-8)))</x:f>
      </x:c>
      <x:c r="H263" s="50" t="str">
        <x:f>IF(255&gt;$H$4,"",IF(INDEX('Fleet dates'!$I$9:$I$1008,$I263-8)="","",INDEX('Fleet dates'!$I$9:$I$1008,$I263-8)))</x:f>
      </x:c>
      <x:c r="I263" t="str">
        <x:f>IF(255&gt;$H$4,"",MATCH(255,'Fleet dates'!$K$9:$K$1008,0)+8)</x:f>
      </x:c>
    </x:row>
    <x:row r="264" ht="36" customHeight="1">
      <x:c r="A264" s="50" t="str">
        <x:f>IF(256&gt;$H$4,"",IF(INDEX('Fleet dates'!$A$9:$A$1008,$I264-8)="","",INDEX('Fleet dates'!$A$9:$A$1008,$I264-8)))</x:f>
      </x:c>
      <x:c r="B264" s="50" t="str">
        <x:f>IF(256&gt;$H$4,"",IF(INDEX('Fleet dates'!$B$9:$B$1008,$I264-8)="","",INDEX('Fleet dates'!$B$9:$B$1008,$I264-8)))</x:f>
      </x:c>
      <x:c r="C264" s="51" t="str">
        <x:f>IF(256&gt;$H$4,"",IF(INDEX('Fleet dates'!$C$9:$C$1008,$I264-8)="","",INDEX('Fleet dates'!$C$9:$C$1008,$I264-8)))</x:f>
      </x:c>
      <x:c r="D264" s="51" t="str">
        <x:f>IF(256&gt;$H$4,"",IF(INDEX('Fleet dates'!$D$9:$D$1008,$I264-8)="","",INDEX('Fleet dates'!$D$9:$D$1008,$I264-8)))</x:f>
      </x:c>
      <x:c r="E264" s="51" t="str">
        <x:f>IF(256&gt;$H$4,"",IF(INDEX('Fleet dates'!$E$9:$E$1008,$I264-8)="","",INDEX('Fleet dates'!$E$9:$E$1008,$I264-8)))</x:f>
      </x:c>
      <x:c r="F264" s="51" t="str">
        <x:f>IF(256&gt;$H$4,"",IF(INDEX('Fleet dates'!$F$9:$F$1008,$I264-8)="","",INDEX('Fleet dates'!$F$9:$F$1008,$I264-8)))</x:f>
      </x:c>
      <x:c r="G264" s="50" t="str">
        <x:f>IF(256&gt;$H$4,"",IF(INDEX('Fleet dates'!$G$9:$G$1008,$I264-8)="","",INDEX('Fleet dates'!$G$9:$G$1008,$I264-8)))</x:f>
      </x:c>
      <x:c r="H264" s="50" t="str">
        <x:f>IF(256&gt;$H$4,"",IF(INDEX('Fleet dates'!$I$9:$I$1008,$I264-8)="","",INDEX('Fleet dates'!$I$9:$I$1008,$I264-8)))</x:f>
      </x:c>
      <x:c r="I264" t="str">
        <x:f>IF(256&gt;$H$4,"",MATCH(256,'Fleet dates'!$K$9:$K$1008,0)+8)</x:f>
      </x:c>
    </x:row>
    <x:row r="265" ht="36" customHeight="1">
      <x:c r="A265" s="50" t="str">
        <x:f>IF(257&gt;$H$4,"",IF(INDEX('Fleet dates'!$A$9:$A$1008,$I265-8)="","",INDEX('Fleet dates'!$A$9:$A$1008,$I265-8)))</x:f>
      </x:c>
      <x:c r="B265" s="50" t="str">
        <x:f>IF(257&gt;$H$4,"",IF(INDEX('Fleet dates'!$B$9:$B$1008,$I265-8)="","",INDEX('Fleet dates'!$B$9:$B$1008,$I265-8)))</x:f>
      </x:c>
      <x:c r="C265" s="51" t="str">
        <x:f>IF(257&gt;$H$4,"",IF(INDEX('Fleet dates'!$C$9:$C$1008,$I265-8)="","",INDEX('Fleet dates'!$C$9:$C$1008,$I265-8)))</x:f>
      </x:c>
      <x:c r="D265" s="51" t="str">
        <x:f>IF(257&gt;$H$4,"",IF(INDEX('Fleet dates'!$D$9:$D$1008,$I265-8)="","",INDEX('Fleet dates'!$D$9:$D$1008,$I265-8)))</x:f>
      </x:c>
      <x:c r="E265" s="51" t="str">
        <x:f>IF(257&gt;$H$4,"",IF(INDEX('Fleet dates'!$E$9:$E$1008,$I265-8)="","",INDEX('Fleet dates'!$E$9:$E$1008,$I265-8)))</x:f>
      </x:c>
      <x:c r="F265" s="51" t="str">
        <x:f>IF(257&gt;$H$4,"",IF(INDEX('Fleet dates'!$F$9:$F$1008,$I265-8)="","",INDEX('Fleet dates'!$F$9:$F$1008,$I265-8)))</x:f>
      </x:c>
      <x:c r="G265" s="50" t="str">
        <x:f>IF(257&gt;$H$4,"",IF(INDEX('Fleet dates'!$G$9:$G$1008,$I265-8)="","",INDEX('Fleet dates'!$G$9:$G$1008,$I265-8)))</x:f>
      </x:c>
      <x:c r="H265" s="50" t="str">
        <x:f>IF(257&gt;$H$4,"",IF(INDEX('Fleet dates'!$I$9:$I$1008,$I265-8)="","",INDEX('Fleet dates'!$I$9:$I$1008,$I265-8)))</x:f>
      </x:c>
      <x:c r="I265" t="str">
        <x:f>IF(257&gt;$H$4,"",MATCH(257,'Fleet dates'!$K$9:$K$1008,0)+8)</x:f>
      </x:c>
    </x:row>
    <x:row r="266" ht="36" customHeight="1">
      <x:c r="A266" s="50" t="str">
        <x:f>IF(258&gt;$H$4,"",IF(INDEX('Fleet dates'!$A$9:$A$1008,$I266-8)="","",INDEX('Fleet dates'!$A$9:$A$1008,$I266-8)))</x:f>
      </x:c>
      <x:c r="B266" s="50" t="str">
        <x:f>IF(258&gt;$H$4,"",IF(INDEX('Fleet dates'!$B$9:$B$1008,$I266-8)="","",INDEX('Fleet dates'!$B$9:$B$1008,$I266-8)))</x:f>
      </x:c>
      <x:c r="C266" s="51" t="str">
        <x:f>IF(258&gt;$H$4,"",IF(INDEX('Fleet dates'!$C$9:$C$1008,$I266-8)="","",INDEX('Fleet dates'!$C$9:$C$1008,$I266-8)))</x:f>
      </x:c>
      <x:c r="D266" s="51" t="str">
        <x:f>IF(258&gt;$H$4,"",IF(INDEX('Fleet dates'!$D$9:$D$1008,$I266-8)="","",INDEX('Fleet dates'!$D$9:$D$1008,$I266-8)))</x:f>
      </x:c>
      <x:c r="E266" s="51" t="str">
        <x:f>IF(258&gt;$H$4,"",IF(INDEX('Fleet dates'!$E$9:$E$1008,$I266-8)="","",INDEX('Fleet dates'!$E$9:$E$1008,$I266-8)))</x:f>
      </x:c>
      <x:c r="F266" s="51" t="str">
        <x:f>IF(258&gt;$H$4,"",IF(INDEX('Fleet dates'!$F$9:$F$1008,$I266-8)="","",INDEX('Fleet dates'!$F$9:$F$1008,$I266-8)))</x:f>
      </x:c>
      <x:c r="G266" s="50" t="str">
        <x:f>IF(258&gt;$H$4,"",IF(INDEX('Fleet dates'!$G$9:$G$1008,$I266-8)="","",INDEX('Fleet dates'!$G$9:$G$1008,$I266-8)))</x:f>
      </x:c>
      <x:c r="H266" s="50" t="str">
        <x:f>IF(258&gt;$H$4,"",IF(INDEX('Fleet dates'!$I$9:$I$1008,$I266-8)="","",INDEX('Fleet dates'!$I$9:$I$1008,$I266-8)))</x:f>
      </x:c>
      <x:c r="I266" t="str">
        <x:f>IF(258&gt;$H$4,"",MATCH(258,'Fleet dates'!$K$9:$K$1008,0)+8)</x:f>
      </x:c>
    </x:row>
    <x:row r="267" ht="36" customHeight="1">
      <x:c r="A267" s="50" t="str">
        <x:f>IF(259&gt;$H$4,"",IF(INDEX('Fleet dates'!$A$9:$A$1008,$I267-8)="","",INDEX('Fleet dates'!$A$9:$A$1008,$I267-8)))</x:f>
      </x:c>
      <x:c r="B267" s="50" t="str">
        <x:f>IF(259&gt;$H$4,"",IF(INDEX('Fleet dates'!$B$9:$B$1008,$I267-8)="","",INDEX('Fleet dates'!$B$9:$B$1008,$I267-8)))</x:f>
      </x:c>
      <x:c r="C267" s="51" t="str">
        <x:f>IF(259&gt;$H$4,"",IF(INDEX('Fleet dates'!$C$9:$C$1008,$I267-8)="","",INDEX('Fleet dates'!$C$9:$C$1008,$I267-8)))</x:f>
      </x:c>
      <x:c r="D267" s="51" t="str">
        <x:f>IF(259&gt;$H$4,"",IF(INDEX('Fleet dates'!$D$9:$D$1008,$I267-8)="","",INDEX('Fleet dates'!$D$9:$D$1008,$I267-8)))</x:f>
      </x:c>
      <x:c r="E267" s="51" t="str">
        <x:f>IF(259&gt;$H$4,"",IF(INDEX('Fleet dates'!$E$9:$E$1008,$I267-8)="","",INDEX('Fleet dates'!$E$9:$E$1008,$I267-8)))</x:f>
      </x:c>
      <x:c r="F267" s="51" t="str">
        <x:f>IF(259&gt;$H$4,"",IF(INDEX('Fleet dates'!$F$9:$F$1008,$I267-8)="","",INDEX('Fleet dates'!$F$9:$F$1008,$I267-8)))</x:f>
      </x:c>
      <x:c r="G267" s="50" t="str">
        <x:f>IF(259&gt;$H$4,"",IF(INDEX('Fleet dates'!$G$9:$G$1008,$I267-8)="","",INDEX('Fleet dates'!$G$9:$G$1008,$I267-8)))</x:f>
      </x:c>
      <x:c r="H267" s="50" t="str">
        <x:f>IF(259&gt;$H$4,"",IF(INDEX('Fleet dates'!$I$9:$I$1008,$I267-8)="","",INDEX('Fleet dates'!$I$9:$I$1008,$I267-8)))</x:f>
      </x:c>
      <x:c r="I267" t="str">
        <x:f>IF(259&gt;$H$4,"",MATCH(259,'Fleet dates'!$K$9:$K$1008,0)+8)</x:f>
      </x:c>
    </x:row>
    <x:row r="268" ht="36" customHeight="1">
      <x:c r="A268" s="50" t="str">
        <x:f>IF(260&gt;$H$4,"",IF(INDEX('Fleet dates'!$A$9:$A$1008,$I268-8)="","",INDEX('Fleet dates'!$A$9:$A$1008,$I268-8)))</x:f>
      </x:c>
      <x:c r="B268" s="50" t="str">
        <x:f>IF(260&gt;$H$4,"",IF(INDEX('Fleet dates'!$B$9:$B$1008,$I268-8)="","",INDEX('Fleet dates'!$B$9:$B$1008,$I268-8)))</x:f>
      </x:c>
      <x:c r="C268" s="51" t="str">
        <x:f>IF(260&gt;$H$4,"",IF(INDEX('Fleet dates'!$C$9:$C$1008,$I268-8)="","",INDEX('Fleet dates'!$C$9:$C$1008,$I268-8)))</x:f>
      </x:c>
      <x:c r="D268" s="51" t="str">
        <x:f>IF(260&gt;$H$4,"",IF(INDEX('Fleet dates'!$D$9:$D$1008,$I268-8)="","",INDEX('Fleet dates'!$D$9:$D$1008,$I268-8)))</x:f>
      </x:c>
      <x:c r="E268" s="51" t="str">
        <x:f>IF(260&gt;$H$4,"",IF(INDEX('Fleet dates'!$E$9:$E$1008,$I268-8)="","",INDEX('Fleet dates'!$E$9:$E$1008,$I268-8)))</x:f>
      </x:c>
      <x:c r="F268" s="51" t="str">
        <x:f>IF(260&gt;$H$4,"",IF(INDEX('Fleet dates'!$F$9:$F$1008,$I268-8)="","",INDEX('Fleet dates'!$F$9:$F$1008,$I268-8)))</x:f>
      </x:c>
      <x:c r="G268" s="50" t="str">
        <x:f>IF(260&gt;$H$4,"",IF(INDEX('Fleet dates'!$G$9:$G$1008,$I268-8)="","",INDEX('Fleet dates'!$G$9:$G$1008,$I268-8)))</x:f>
      </x:c>
      <x:c r="H268" s="50" t="str">
        <x:f>IF(260&gt;$H$4,"",IF(INDEX('Fleet dates'!$I$9:$I$1008,$I268-8)="","",INDEX('Fleet dates'!$I$9:$I$1008,$I268-8)))</x:f>
      </x:c>
      <x:c r="I268" t="str">
        <x:f>IF(260&gt;$H$4,"",MATCH(260,'Fleet dates'!$K$9:$K$1008,0)+8)</x:f>
      </x:c>
    </x:row>
    <x:row r="269" ht="36" customHeight="1">
      <x:c r="A269" s="50" t="str">
        <x:f>IF(261&gt;$H$4,"",IF(INDEX('Fleet dates'!$A$9:$A$1008,$I269-8)="","",INDEX('Fleet dates'!$A$9:$A$1008,$I269-8)))</x:f>
      </x:c>
      <x:c r="B269" s="50" t="str">
        <x:f>IF(261&gt;$H$4,"",IF(INDEX('Fleet dates'!$B$9:$B$1008,$I269-8)="","",INDEX('Fleet dates'!$B$9:$B$1008,$I269-8)))</x:f>
      </x:c>
      <x:c r="C269" s="51" t="str">
        <x:f>IF(261&gt;$H$4,"",IF(INDEX('Fleet dates'!$C$9:$C$1008,$I269-8)="","",INDEX('Fleet dates'!$C$9:$C$1008,$I269-8)))</x:f>
      </x:c>
      <x:c r="D269" s="51" t="str">
        <x:f>IF(261&gt;$H$4,"",IF(INDEX('Fleet dates'!$D$9:$D$1008,$I269-8)="","",INDEX('Fleet dates'!$D$9:$D$1008,$I269-8)))</x:f>
      </x:c>
      <x:c r="E269" s="51" t="str">
        <x:f>IF(261&gt;$H$4,"",IF(INDEX('Fleet dates'!$E$9:$E$1008,$I269-8)="","",INDEX('Fleet dates'!$E$9:$E$1008,$I269-8)))</x:f>
      </x:c>
      <x:c r="F269" s="51" t="str">
        <x:f>IF(261&gt;$H$4,"",IF(INDEX('Fleet dates'!$F$9:$F$1008,$I269-8)="","",INDEX('Fleet dates'!$F$9:$F$1008,$I269-8)))</x:f>
      </x:c>
      <x:c r="G269" s="50" t="str">
        <x:f>IF(261&gt;$H$4,"",IF(INDEX('Fleet dates'!$G$9:$G$1008,$I269-8)="","",INDEX('Fleet dates'!$G$9:$G$1008,$I269-8)))</x:f>
      </x:c>
      <x:c r="H269" s="50" t="str">
        <x:f>IF(261&gt;$H$4,"",IF(INDEX('Fleet dates'!$I$9:$I$1008,$I269-8)="","",INDEX('Fleet dates'!$I$9:$I$1008,$I269-8)))</x:f>
      </x:c>
      <x:c r="I269" t="str">
        <x:f>IF(261&gt;$H$4,"",MATCH(261,'Fleet dates'!$K$9:$K$1008,0)+8)</x:f>
      </x:c>
    </x:row>
    <x:row r="270" ht="36" customHeight="1">
      <x:c r="A270" s="50" t="str">
        <x:f>IF(262&gt;$H$4,"",IF(INDEX('Fleet dates'!$A$9:$A$1008,$I270-8)="","",INDEX('Fleet dates'!$A$9:$A$1008,$I270-8)))</x:f>
      </x:c>
      <x:c r="B270" s="50" t="str">
        <x:f>IF(262&gt;$H$4,"",IF(INDEX('Fleet dates'!$B$9:$B$1008,$I270-8)="","",INDEX('Fleet dates'!$B$9:$B$1008,$I270-8)))</x:f>
      </x:c>
      <x:c r="C270" s="51" t="str">
        <x:f>IF(262&gt;$H$4,"",IF(INDEX('Fleet dates'!$C$9:$C$1008,$I270-8)="","",INDEX('Fleet dates'!$C$9:$C$1008,$I270-8)))</x:f>
      </x:c>
      <x:c r="D270" s="51" t="str">
        <x:f>IF(262&gt;$H$4,"",IF(INDEX('Fleet dates'!$D$9:$D$1008,$I270-8)="","",INDEX('Fleet dates'!$D$9:$D$1008,$I270-8)))</x:f>
      </x:c>
      <x:c r="E270" s="51" t="str">
        <x:f>IF(262&gt;$H$4,"",IF(INDEX('Fleet dates'!$E$9:$E$1008,$I270-8)="","",INDEX('Fleet dates'!$E$9:$E$1008,$I270-8)))</x:f>
      </x:c>
      <x:c r="F270" s="51" t="str">
        <x:f>IF(262&gt;$H$4,"",IF(INDEX('Fleet dates'!$F$9:$F$1008,$I270-8)="","",INDEX('Fleet dates'!$F$9:$F$1008,$I270-8)))</x:f>
      </x:c>
      <x:c r="G270" s="50" t="str">
        <x:f>IF(262&gt;$H$4,"",IF(INDEX('Fleet dates'!$G$9:$G$1008,$I270-8)="","",INDEX('Fleet dates'!$G$9:$G$1008,$I270-8)))</x:f>
      </x:c>
      <x:c r="H270" s="50" t="str">
        <x:f>IF(262&gt;$H$4,"",IF(INDEX('Fleet dates'!$I$9:$I$1008,$I270-8)="","",INDEX('Fleet dates'!$I$9:$I$1008,$I270-8)))</x:f>
      </x:c>
      <x:c r="I270" t="str">
        <x:f>IF(262&gt;$H$4,"",MATCH(262,'Fleet dates'!$K$9:$K$1008,0)+8)</x:f>
      </x:c>
    </x:row>
    <x:row r="271" ht="36" customHeight="1">
      <x:c r="A271" s="50" t="str">
        <x:f>IF(263&gt;$H$4,"",IF(INDEX('Fleet dates'!$A$9:$A$1008,$I271-8)="","",INDEX('Fleet dates'!$A$9:$A$1008,$I271-8)))</x:f>
      </x:c>
      <x:c r="B271" s="50" t="str">
        <x:f>IF(263&gt;$H$4,"",IF(INDEX('Fleet dates'!$B$9:$B$1008,$I271-8)="","",INDEX('Fleet dates'!$B$9:$B$1008,$I271-8)))</x:f>
      </x:c>
      <x:c r="C271" s="51" t="str">
        <x:f>IF(263&gt;$H$4,"",IF(INDEX('Fleet dates'!$C$9:$C$1008,$I271-8)="","",INDEX('Fleet dates'!$C$9:$C$1008,$I271-8)))</x:f>
      </x:c>
      <x:c r="D271" s="51" t="str">
        <x:f>IF(263&gt;$H$4,"",IF(INDEX('Fleet dates'!$D$9:$D$1008,$I271-8)="","",INDEX('Fleet dates'!$D$9:$D$1008,$I271-8)))</x:f>
      </x:c>
      <x:c r="E271" s="51" t="str">
        <x:f>IF(263&gt;$H$4,"",IF(INDEX('Fleet dates'!$E$9:$E$1008,$I271-8)="","",INDEX('Fleet dates'!$E$9:$E$1008,$I271-8)))</x:f>
      </x:c>
      <x:c r="F271" s="51" t="str">
        <x:f>IF(263&gt;$H$4,"",IF(INDEX('Fleet dates'!$F$9:$F$1008,$I271-8)="","",INDEX('Fleet dates'!$F$9:$F$1008,$I271-8)))</x:f>
      </x:c>
      <x:c r="G271" s="50" t="str">
        <x:f>IF(263&gt;$H$4,"",IF(INDEX('Fleet dates'!$G$9:$G$1008,$I271-8)="","",INDEX('Fleet dates'!$G$9:$G$1008,$I271-8)))</x:f>
      </x:c>
      <x:c r="H271" s="50" t="str">
        <x:f>IF(263&gt;$H$4,"",IF(INDEX('Fleet dates'!$I$9:$I$1008,$I271-8)="","",INDEX('Fleet dates'!$I$9:$I$1008,$I271-8)))</x:f>
      </x:c>
      <x:c r="I271" t="str">
        <x:f>IF(263&gt;$H$4,"",MATCH(263,'Fleet dates'!$K$9:$K$1008,0)+8)</x:f>
      </x:c>
    </x:row>
    <x:row r="272" ht="36" customHeight="1">
      <x:c r="A272" s="50" t="str">
        <x:f>IF(264&gt;$H$4,"",IF(INDEX('Fleet dates'!$A$9:$A$1008,$I272-8)="","",INDEX('Fleet dates'!$A$9:$A$1008,$I272-8)))</x:f>
      </x:c>
      <x:c r="B272" s="50" t="str">
        <x:f>IF(264&gt;$H$4,"",IF(INDEX('Fleet dates'!$B$9:$B$1008,$I272-8)="","",INDEX('Fleet dates'!$B$9:$B$1008,$I272-8)))</x:f>
      </x:c>
      <x:c r="C272" s="51" t="str">
        <x:f>IF(264&gt;$H$4,"",IF(INDEX('Fleet dates'!$C$9:$C$1008,$I272-8)="","",INDEX('Fleet dates'!$C$9:$C$1008,$I272-8)))</x:f>
      </x:c>
      <x:c r="D272" s="51" t="str">
        <x:f>IF(264&gt;$H$4,"",IF(INDEX('Fleet dates'!$D$9:$D$1008,$I272-8)="","",INDEX('Fleet dates'!$D$9:$D$1008,$I272-8)))</x:f>
      </x:c>
      <x:c r="E272" s="51" t="str">
        <x:f>IF(264&gt;$H$4,"",IF(INDEX('Fleet dates'!$E$9:$E$1008,$I272-8)="","",INDEX('Fleet dates'!$E$9:$E$1008,$I272-8)))</x:f>
      </x:c>
      <x:c r="F272" s="51" t="str">
        <x:f>IF(264&gt;$H$4,"",IF(INDEX('Fleet dates'!$F$9:$F$1008,$I272-8)="","",INDEX('Fleet dates'!$F$9:$F$1008,$I272-8)))</x:f>
      </x:c>
      <x:c r="G272" s="50" t="str">
        <x:f>IF(264&gt;$H$4,"",IF(INDEX('Fleet dates'!$G$9:$G$1008,$I272-8)="","",INDEX('Fleet dates'!$G$9:$G$1008,$I272-8)))</x:f>
      </x:c>
      <x:c r="H272" s="50" t="str">
        <x:f>IF(264&gt;$H$4,"",IF(INDEX('Fleet dates'!$I$9:$I$1008,$I272-8)="","",INDEX('Fleet dates'!$I$9:$I$1008,$I272-8)))</x:f>
      </x:c>
      <x:c r="I272" t="str">
        <x:f>IF(264&gt;$H$4,"",MATCH(264,'Fleet dates'!$K$9:$K$1008,0)+8)</x:f>
      </x:c>
    </x:row>
    <x:row r="273" ht="36" customHeight="1">
      <x:c r="A273" s="50" t="str">
        <x:f>IF(265&gt;$H$4,"",IF(INDEX('Fleet dates'!$A$9:$A$1008,$I273-8)="","",INDEX('Fleet dates'!$A$9:$A$1008,$I273-8)))</x:f>
      </x:c>
      <x:c r="B273" s="50" t="str">
        <x:f>IF(265&gt;$H$4,"",IF(INDEX('Fleet dates'!$B$9:$B$1008,$I273-8)="","",INDEX('Fleet dates'!$B$9:$B$1008,$I273-8)))</x:f>
      </x:c>
      <x:c r="C273" s="51" t="str">
        <x:f>IF(265&gt;$H$4,"",IF(INDEX('Fleet dates'!$C$9:$C$1008,$I273-8)="","",INDEX('Fleet dates'!$C$9:$C$1008,$I273-8)))</x:f>
      </x:c>
      <x:c r="D273" s="51" t="str">
        <x:f>IF(265&gt;$H$4,"",IF(INDEX('Fleet dates'!$D$9:$D$1008,$I273-8)="","",INDEX('Fleet dates'!$D$9:$D$1008,$I273-8)))</x:f>
      </x:c>
      <x:c r="E273" s="51" t="str">
        <x:f>IF(265&gt;$H$4,"",IF(INDEX('Fleet dates'!$E$9:$E$1008,$I273-8)="","",INDEX('Fleet dates'!$E$9:$E$1008,$I273-8)))</x:f>
      </x:c>
      <x:c r="F273" s="51" t="str">
        <x:f>IF(265&gt;$H$4,"",IF(INDEX('Fleet dates'!$F$9:$F$1008,$I273-8)="","",INDEX('Fleet dates'!$F$9:$F$1008,$I273-8)))</x:f>
      </x:c>
      <x:c r="G273" s="50" t="str">
        <x:f>IF(265&gt;$H$4,"",IF(INDEX('Fleet dates'!$G$9:$G$1008,$I273-8)="","",INDEX('Fleet dates'!$G$9:$G$1008,$I273-8)))</x:f>
      </x:c>
      <x:c r="H273" s="50" t="str">
        <x:f>IF(265&gt;$H$4,"",IF(INDEX('Fleet dates'!$I$9:$I$1008,$I273-8)="","",INDEX('Fleet dates'!$I$9:$I$1008,$I273-8)))</x:f>
      </x:c>
      <x:c r="I273" t="str">
        <x:f>IF(265&gt;$H$4,"",MATCH(265,'Fleet dates'!$K$9:$K$1008,0)+8)</x:f>
      </x:c>
    </x:row>
    <x:row r="274" ht="36" customHeight="1">
      <x:c r="A274" s="50" t="str">
        <x:f>IF(266&gt;$H$4,"",IF(INDEX('Fleet dates'!$A$9:$A$1008,$I274-8)="","",INDEX('Fleet dates'!$A$9:$A$1008,$I274-8)))</x:f>
      </x:c>
      <x:c r="B274" s="50" t="str">
        <x:f>IF(266&gt;$H$4,"",IF(INDEX('Fleet dates'!$B$9:$B$1008,$I274-8)="","",INDEX('Fleet dates'!$B$9:$B$1008,$I274-8)))</x:f>
      </x:c>
      <x:c r="C274" s="51" t="str">
        <x:f>IF(266&gt;$H$4,"",IF(INDEX('Fleet dates'!$C$9:$C$1008,$I274-8)="","",INDEX('Fleet dates'!$C$9:$C$1008,$I274-8)))</x:f>
      </x:c>
      <x:c r="D274" s="51" t="str">
        <x:f>IF(266&gt;$H$4,"",IF(INDEX('Fleet dates'!$D$9:$D$1008,$I274-8)="","",INDEX('Fleet dates'!$D$9:$D$1008,$I274-8)))</x:f>
      </x:c>
      <x:c r="E274" s="51" t="str">
        <x:f>IF(266&gt;$H$4,"",IF(INDEX('Fleet dates'!$E$9:$E$1008,$I274-8)="","",INDEX('Fleet dates'!$E$9:$E$1008,$I274-8)))</x:f>
      </x:c>
      <x:c r="F274" s="51" t="str">
        <x:f>IF(266&gt;$H$4,"",IF(INDEX('Fleet dates'!$F$9:$F$1008,$I274-8)="","",INDEX('Fleet dates'!$F$9:$F$1008,$I274-8)))</x:f>
      </x:c>
      <x:c r="G274" s="50" t="str">
        <x:f>IF(266&gt;$H$4,"",IF(INDEX('Fleet dates'!$G$9:$G$1008,$I274-8)="","",INDEX('Fleet dates'!$G$9:$G$1008,$I274-8)))</x:f>
      </x:c>
      <x:c r="H274" s="50" t="str">
        <x:f>IF(266&gt;$H$4,"",IF(INDEX('Fleet dates'!$I$9:$I$1008,$I274-8)="","",INDEX('Fleet dates'!$I$9:$I$1008,$I274-8)))</x:f>
      </x:c>
      <x:c r="I274" t="str">
        <x:f>IF(266&gt;$H$4,"",MATCH(266,'Fleet dates'!$K$9:$K$1008,0)+8)</x:f>
      </x:c>
    </x:row>
    <x:row r="275" ht="36" customHeight="1">
      <x:c r="A275" s="50" t="str">
        <x:f>IF(267&gt;$H$4,"",IF(INDEX('Fleet dates'!$A$9:$A$1008,$I275-8)="","",INDEX('Fleet dates'!$A$9:$A$1008,$I275-8)))</x:f>
      </x:c>
      <x:c r="B275" s="50" t="str">
        <x:f>IF(267&gt;$H$4,"",IF(INDEX('Fleet dates'!$B$9:$B$1008,$I275-8)="","",INDEX('Fleet dates'!$B$9:$B$1008,$I275-8)))</x:f>
      </x:c>
      <x:c r="C275" s="51" t="str">
        <x:f>IF(267&gt;$H$4,"",IF(INDEX('Fleet dates'!$C$9:$C$1008,$I275-8)="","",INDEX('Fleet dates'!$C$9:$C$1008,$I275-8)))</x:f>
      </x:c>
      <x:c r="D275" s="51" t="str">
        <x:f>IF(267&gt;$H$4,"",IF(INDEX('Fleet dates'!$D$9:$D$1008,$I275-8)="","",INDEX('Fleet dates'!$D$9:$D$1008,$I275-8)))</x:f>
      </x:c>
      <x:c r="E275" s="51" t="str">
        <x:f>IF(267&gt;$H$4,"",IF(INDEX('Fleet dates'!$E$9:$E$1008,$I275-8)="","",INDEX('Fleet dates'!$E$9:$E$1008,$I275-8)))</x:f>
      </x:c>
      <x:c r="F275" s="51" t="str">
        <x:f>IF(267&gt;$H$4,"",IF(INDEX('Fleet dates'!$F$9:$F$1008,$I275-8)="","",INDEX('Fleet dates'!$F$9:$F$1008,$I275-8)))</x:f>
      </x:c>
      <x:c r="G275" s="50" t="str">
        <x:f>IF(267&gt;$H$4,"",IF(INDEX('Fleet dates'!$G$9:$G$1008,$I275-8)="","",INDEX('Fleet dates'!$G$9:$G$1008,$I275-8)))</x:f>
      </x:c>
      <x:c r="H275" s="50" t="str">
        <x:f>IF(267&gt;$H$4,"",IF(INDEX('Fleet dates'!$I$9:$I$1008,$I275-8)="","",INDEX('Fleet dates'!$I$9:$I$1008,$I275-8)))</x:f>
      </x:c>
      <x:c r="I275" t="str">
        <x:f>IF(267&gt;$H$4,"",MATCH(267,'Fleet dates'!$K$9:$K$1008,0)+8)</x:f>
      </x:c>
    </x:row>
    <x:row r="276" ht="36" customHeight="1">
      <x:c r="A276" s="50" t="str">
        <x:f>IF(268&gt;$H$4,"",IF(INDEX('Fleet dates'!$A$9:$A$1008,$I276-8)="","",INDEX('Fleet dates'!$A$9:$A$1008,$I276-8)))</x:f>
      </x:c>
      <x:c r="B276" s="50" t="str">
        <x:f>IF(268&gt;$H$4,"",IF(INDEX('Fleet dates'!$B$9:$B$1008,$I276-8)="","",INDEX('Fleet dates'!$B$9:$B$1008,$I276-8)))</x:f>
      </x:c>
      <x:c r="C276" s="51" t="str">
        <x:f>IF(268&gt;$H$4,"",IF(INDEX('Fleet dates'!$C$9:$C$1008,$I276-8)="","",INDEX('Fleet dates'!$C$9:$C$1008,$I276-8)))</x:f>
      </x:c>
      <x:c r="D276" s="51" t="str">
        <x:f>IF(268&gt;$H$4,"",IF(INDEX('Fleet dates'!$D$9:$D$1008,$I276-8)="","",INDEX('Fleet dates'!$D$9:$D$1008,$I276-8)))</x:f>
      </x:c>
      <x:c r="E276" s="51" t="str">
        <x:f>IF(268&gt;$H$4,"",IF(INDEX('Fleet dates'!$E$9:$E$1008,$I276-8)="","",INDEX('Fleet dates'!$E$9:$E$1008,$I276-8)))</x:f>
      </x:c>
      <x:c r="F276" s="51" t="str">
        <x:f>IF(268&gt;$H$4,"",IF(INDEX('Fleet dates'!$F$9:$F$1008,$I276-8)="","",INDEX('Fleet dates'!$F$9:$F$1008,$I276-8)))</x:f>
      </x:c>
      <x:c r="G276" s="50" t="str">
        <x:f>IF(268&gt;$H$4,"",IF(INDEX('Fleet dates'!$G$9:$G$1008,$I276-8)="","",INDEX('Fleet dates'!$G$9:$G$1008,$I276-8)))</x:f>
      </x:c>
      <x:c r="H276" s="50" t="str">
        <x:f>IF(268&gt;$H$4,"",IF(INDEX('Fleet dates'!$I$9:$I$1008,$I276-8)="","",INDEX('Fleet dates'!$I$9:$I$1008,$I276-8)))</x:f>
      </x:c>
      <x:c r="I276" t="str">
        <x:f>IF(268&gt;$H$4,"",MATCH(268,'Fleet dates'!$K$9:$K$1008,0)+8)</x:f>
      </x:c>
    </x:row>
    <x:row r="277" ht="36" customHeight="1">
      <x:c r="A277" s="50" t="str">
        <x:f>IF(269&gt;$H$4,"",IF(INDEX('Fleet dates'!$A$9:$A$1008,$I277-8)="","",INDEX('Fleet dates'!$A$9:$A$1008,$I277-8)))</x:f>
      </x:c>
      <x:c r="B277" s="50" t="str">
        <x:f>IF(269&gt;$H$4,"",IF(INDEX('Fleet dates'!$B$9:$B$1008,$I277-8)="","",INDEX('Fleet dates'!$B$9:$B$1008,$I277-8)))</x:f>
      </x:c>
      <x:c r="C277" s="51" t="str">
        <x:f>IF(269&gt;$H$4,"",IF(INDEX('Fleet dates'!$C$9:$C$1008,$I277-8)="","",INDEX('Fleet dates'!$C$9:$C$1008,$I277-8)))</x:f>
      </x:c>
      <x:c r="D277" s="51" t="str">
        <x:f>IF(269&gt;$H$4,"",IF(INDEX('Fleet dates'!$D$9:$D$1008,$I277-8)="","",INDEX('Fleet dates'!$D$9:$D$1008,$I277-8)))</x:f>
      </x:c>
      <x:c r="E277" s="51" t="str">
        <x:f>IF(269&gt;$H$4,"",IF(INDEX('Fleet dates'!$E$9:$E$1008,$I277-8)="","",INDEX('Fleet dates'!$E$9:$E$1008,$I277-8)))</x:f>
      </x:c>
      <x:c r="F277" s="51" t="str">
        <x:f>IF(269&gt;$H$4,"",IF(INDEX('Fleet dates'!$F$9:$F$1008,$I277-8)="","",INDEX('Fleet dates'!$F$9:$F$1008,$I277-8)))</x:f>
      </x:c>
      <x:c r="G277" s="50" t="str">
        <x:f>IF(269&gt;$H$4,"",IF(INDEX('Fleet dates'!$G$9:$G$1008,$I277-8)="","",INDEX('Fleet dates'!$G$9:$G$1008,$I277-8)))</x:f>
      </x:c>
      <x:c r="H277" s="50" t="str">
        <x:f>IF(269&gt;$H$4,"",IF(INDEX('Fleet dates'!$I$9:$I$1008,$I277-8)="","",INDEX('Fleet dates'!$I$9:$I$1008,$I277-8)))</x:f>
      </x:c>
      <x:c r="I277" t="str">
        <x:f>IF(269&gt;$H$4,"",MATCH(269,'Fleet dates'!$K$9:$K$1008,0)+8)</x:f>
      </x:c>
    </x:row>
    <x:row r="278" ht="36" customHeight="1">
      <x:c r="A278" s="50" t="str">
        <x:f>IF(270&gt;$H$4,"",IF(INDEX('Fleet dates'!$A$9:$A$1008,$I278-8)="","",INDEX('Fleet dates'!$A$9:$A$1008,$I278-8)))</x:f>
      </x:c>
      <x:c r="B278" s="50" t="str">
        <x:f>IF(270&gt;$H$4,"",IF(INDEX('Fleet dates'!$B$9:$B$1008,$I278-8)="","",INDEX('Fleet dates'!$B$9:$B$1008,$I278-8)))</x:f>
      </x:c>
      <x:c r="C278" s="51" t="str">
        <x:f>IF(270&gt;$H$4,"",IF(INDEX('Fleet dates'!$C$9:$C$1008,$I278-8)="","",INDEX('Fleet dates'!$C$9:$C$1008,$I278-8)))</x:f>
      </x:c>
      <x:c r="D278" s="51" t="str">
        <x:f>IF(270&gt;$H$4,"",IF(INDEX('Fleet dates'!$D$9:$D$1008,$I278-8)="","",INDEX('Fleet dates'!$D$9:$D$1008,$I278-8)))</x:f>
      </x:c>
      <x:c r="E278" s="51" t="str">
        <x:f>IF(270&gt;$H$4,"",IF(INDEX('Fleet dates'!$E$9:$E$1008,$I278-8)="","",INDEX('Fleet dates'!$E$9:$E$1008,$I278-8)))</x:f>
      </x:c>
      <x:c r="F278" s="51" t="str">
        <x:f>IF(270&gt;$H$4,"",IF(INDEX('Fleet dates'!$F$9:$F$1008,$I278-8)="","",INDEX('Fleet dates'!$F$9:$F$1008,$I278-8)))</x:f>
      </x:c>
      <x:c r="G278" s="50" t="str">
        <x:f>IF(270&gt;$H$4,"",IF(INDEX('Fleet dates'!$G$9:$G$1008,$I278-8)="","",INDEX('Fleet dates'!$G$9:$G$1008,$I278-8)))</x:f>
      </x:c>
      <x:c r="H278" s="50" t="str">
        <x:f>IF(270&gt;$H$4,"",IF(INDEX('Fleet dates'!$I$9:$I$1008,$I278-8)="","",INDEX('Fleet dates'!$I$9:$I$1008,$I278-8)))</x:f>
      </x:c>
      <x:c r="I278" t="str">
        <x:f>IF(270&gt;$H$4,"",MATCH(270,'Fleet dates'!$K$9:$K$1008,0)+8)</x:f>
      </x:c>
    </x:row>
    <x:row r="279" ht="36" customHeight="1">
      <x:c r="A279" s="50" t="str">
        <x:f>IF(271&gt;$H$4,"",IF(INDEX('Fleet dates'!$A$9:$A$1008,$I279-8)="","",INDEX('Fleet dates'!$A$9:$A$1008,$I279-8)))</x:f>
      </x:c>
      <x:c r="B279" s="50" t="str">
        <x:f>IF(271&gt;$H$4,"",IF(INDEX('Fleet dates'!$B$9:$B$1008,$I279-8)="","",INDEX('Fleet dates'!$B$9:$B$1008,$I279-8)))</x:f>
      </x:c>
      <x:c r="C279" s="51" t="str">
        <x:f>IF(271&gt;$H$4,"",IF(INDEX('Fleet dates'!$C$9:$C$1008,$I279-8)="","",INDEX('Fleet dates'!$C$9:$C$1008,$I279-8)))</x:f>
      </x:c>
      <x:c r="D279" s="51" t="str">
        <x:f>IF(271&gt;$H$4,"",IF(INDEX('Fleet dates'!$D$9:$D$1008,$I279-8)="","",INDEX('Fleet dates'!$D$9:$D$1008,$I279-8)))</x:f>
      </x:c>
      <x:c r="E279" s="51" t="str">
        <x:f>IF(271&gt;$H$4,"",IF(INDEX('Fleet dates'!$E$9:$E$1008,$I279-8)="","",INDEX('Fleet dates'!$E$9:$E$1008,$I279-8)))</x:f>
      </x:c>
      <x:c r="F279" s="51" t="str">
        <x:f>IF(271&gt;$H$4,"",IF(INDEX('Fleet dates'!$F$9:$F$1008,$I279-8)="","",INDEX('Fleet dates'!$F$9:$F$1008,$I279-8)))</x:f>
      </x:c>
      <x:c r="G279" s="50" t="str">
        <x:f>IF(271&gt;$H$4,"",IF(INDEX('Fleet dates'!$G$9:$G$1008,$I279-8)="","",INDEX('Fleet dates'!$G$9:$G$1008,$I279-8)))</x:f>
      </x:c>
      <x:c r="H279" s="50" t="str">
        <x:f>IF(271&gt;$H$4,"",IF(INDEX('Fleet dates'!$I$9:$I$1008,$I279-8)="","",INDEX('Fleet dates'!$I$9:$I$1008,$I279-8)))</x:f>
      </x:c>
      <x:c r="I279" t="str">
        <x:f>IF(271&gt;$H$4,"",MATCH(271,'Fleet dates'!$K$9:$K$1008,0)+8)</x:f>
      </x:c>
    </x:row>
    <x:row r="280" ht="36" customHeight="1">
      <x:c r="A280" s="50" t="str">
        <x:f>IF(272&gt;$H$4,"",IF(INDEX('Fleet dates'!$A$9:$A$1008,$I280-8)="","",INDEX('Fleet dates'!$A$9:$A$1008,$I280-8)))</x:f>
      </x:c>
      <x:c r="B280" s="50" t="str">
        <x:f>IF(272&gt;$H$4,"",IF(INDEX('Fleet dates'!$B$9:$B$1008,$I280-8)="","",INDEX('Fleet dates'!$B$9:$B$1008,$I280-8)))</x:f>
      </x:c>
      <x:c r="C280" s="51" t="str">
        <x:f>IF(272&gt;$H$4,"",IF(INDEX('Fleet dates'!$C$9:$C$1008,$I280-8)="","",INDEX('Fleet dates'!$C$9:$C$1008,$I280-8)))</x:f>
      </x:c>
      <x:c r="D280" s="51" t="str">
        <x:f>IF(272&gt;$H$4,"",IF(INDEX('Fleet dates'!$D$9:$D$1008,$I280-8)="","",INDEX('Fleet dates'!$D$9:$D$1008,$I280-8)))</x:f>
      </x:c>
      <x:c r="E280" s="51" t="str">
        <x:f>IF(272&gt;$H$4,"",IF(INDEX('Fleet dates'!$E$9:$E$1008,$I280-8)="","",INDEX('Fleet dates'!$E$9:$E$1008,$I280-8)))</x:f>
      </x:c>
      <x:c r="F280" s="51" t="str">
        <x:f>IF(272&gt;$H$4,"",IF(INDEX('Fleet dates'!$F$9:$F$1008,$I280-8)="","",INDEX('Fleet dates'!$F$9:$F$1008,$I280-8)))</x:f>
      </x:c>
      <x:c r="G280" s="50" t="str">
        <x:f>IF(272&gt;$H$4,"",IF(INDEX('Fleet dates'!$G$9:$G$1008,$I280-8)="","",INDEX('Fleet dates'!$G$9:$G$1008,$I280-8)))</x:f>
      </x:c>
      <x:c r="H280" s="50" t="str">
        <x:f>IF(272&gt;$H$4,"",IF(INDEX('Fleet dates'!$I$9:$I$1008,$I280-8)="","",INDEX('Fleet dates'!$I$9:$I$1008,$I280-8)))</x:f>
      </x:c>
      <x:c r="I280" t="str">
        <x:f>IF(272&gt;$H$4,"",MATCH(272,'Fleet dates'!$K$9:$K$1008,0)+8)</x:f>
      </x:c>
    </x:row>
    <x:row r="281" ht="36" customHeight="1">
      <x:c r="A281" s="50" t="str">
        <x:f>IF(273&gt;$H$4,"",IF(INDEX('Fleet dates'!$A$9:$A$1008,$I281-8)="","",INDEX('Fleet dates'!$A$9:$A$1008,$I281-8)))</x:f>
      </x:c>
      <x:c r="B281" s="50" t="str">
        <x:f>IF(273&gt;$H$4,"",IF(INDEX('Fleet dates'!$B$9:$B$1008,$I281-8)="","",INDEX('Fleet dates'!$B$9:$B$1008,$I281-8)))</x:f>
      </x:c>
      <x:c r="C281" s="51" t="str">
        <x:f>IF(273&gt;$H$4,"",IF(INDEX('Fleet dates'!$C$9:$C$1008,$I281-8)="","",INDEX('Fleet dates'!$C$9:$C$1008,$I281-8)))</x:f>
      </x:c>
      <x:c r="D281" s="51" t="str">
        <x:f>IF(273&gt;$H$4,"",IF(INDEX('Fleet dates'!$D$9:$D$1008,$I281-8)="","",INDEX('Fleet dates'!$D$9:$D$1008,$I281-8)))</x:f>
      </x:c>
      <x:c r="E281" s="51" t="str">
        <x:f>IF(273&gt;$H$4,"",IF(INDEX('Fleet dates'!$E$9:$E$1008,$I281-8)="","",INDEX('Fleet dates'!$E$9:$E$1008,$I281-8)))</x:f>
      </x:c>
      <x:c r="F281" s="51" t="str">
        <x:f>IF(273&gt;$H$4,"",IF(INDEX('Fleet dates'!$F$9:$F$1008,$I281-8)="","",INDEX('Fleet dates'!$F$9:$F$1008,$I281-8)))</x:f>
      </x:c>
      <x:c r="G281" s="50" t="str">
        <x:f>IF(273&gt;$H$4,"",IF(INDEX('Fleet dates'!$G$9:$G$1008,$I281-8)="","",INDEX('Fleet dates'!$G$9:$G$1008,$I281-8)))</x:f>
      </x:c>
      <x:c r="H281" s="50" t="str">
        <x:f>IF(273&gt;$H$4,"",IF(INDEX('Fleet dates'!$I$9:$I$1008,$I281-8)="","",INDEX('Fleet dates'!$I$9:$I$1008,$I281-8)))</x:f>
      </x:c>
      <x:c r="I281" t="str">
        <x:f>IF(273&gt;$H$4,"",MATCH(273,'Fleet dates'!$K$9:$K$1008,0)+8)</x:f>
      </x:c>
    </x:row>
    <x:row r="282" ht="36" customHeight="1">
      <x:c r="A282" s="50" t="str">
        <x:f>IF(274&gt;$H$4,"",IF(INDEX('Fleet dates'!$A$9:$A$1008,$I282-8)="","",INDEX('Fleet dates'!$A$9:$A$1008,$I282-8)))</x:f>
      </x:c>
      <x:c r="B282" s="50" t="str">
        <x:f>IF(274&gt;$H$4,"",IF(INDEX('Fleet dates'!$B$9:$B$1008,$I282-8)="","",INDEX('Fleet dates'!$B$9:$B$1008,$I282-8)))</x:f>
      </x:c>
      <x:c r="C282" s="51" t="str">
        <x:f>IF(274&gt;$H$4,"",IF(INDEX('Fleet dates'!$C$9:$C$1008,$I282-8)="","",INDEX('Fleet dates'!$C$9:$C$1008,$I282-8)))</x:f>
      </x:c>
      <x:c r="D282" s="51" t="str">
        <x:f>IF(274&gt;$H$4,"",IF(INDEX('Fleet dates'!$D$9:$D$1008,$I282-8)="","",INDEX('Fleet dates'!$D$9:$D$1008,$I282-8)))</x:f>
      </x:c>
      <x:c r="E282" s="51" t="str">
        <x:f>IF(274&gt;$H$4,"",IF(INDEX('Fleet dates'!$E$9:$E$1008,$I282-8)="","",INDEX('Fleet dates'!$E$9:$E$1008,$I282-8)))</x:f>
      </x:c>
      <x:c r="F282" s="51" t="str">
        <x:f>IF(274&gt;$H$4,"",IF(INDEX('Fleet dates'!$F$9:$F$1008,$I282-8)="","",INDEX('Fleet dates'!$F$9:$F$1008,$I282-8)))</x:f>
      </x:c>
      <x:c r="G282" s="50" t="str">
        <x:f>IF(274&gt;$H$4,"",IF(INDEX('Fleet dates'!$G$9:$G$1008,$I282-8)="","",INDEX('Fleet dates'!$G$9:$G$1008,$I282-8)))</x:f>
      </x:c>
      <x:c r="H282" s="50" t="str">
        <x:f>IF(274&gt;$H$4,"",IF(INDEX('Fleet dates'!$I$9:$I$1008,$I282-8)="","",INDEX('Fleet dates'!$I$9:$I$1008,$I282-8)))</x:f>
      </x:c>
      <x:c r="I282" t="str">
        <x:f>IF(274&gt;$H$4,"",MATCH(274,'Fleet dates'!$K$9:$K$1008,0)+8)</x:f>
      </x:c>
    </x:row>
    <x:row r="283" ht="36" customHeight="1">
      <x:c r="A283" s="50" t="str">
        <x:f>IF(275&gt;$H$4,"",IF(INDEX('Fleet dates'!$A$9:$A$1008,$I283-8)="","",INDEX('Fleet dates'!$A$9:$A$1008,$I283-8)))</x:f>
      </x:c>
      <x:c r="B283" s="50" t="str">
        <x:f>IF(275&gt;$H$4,"",IF(INDEX('Fleet dates'!$B$9:$B$1008,$I283-8)="","",INDEX('Fleet dates'!$B$9:$B$1008,$I283-8)))</x:f>
      </x:c>
      <x:c r="C283" s="51" t="str">
        <x:f>IF(275&gt;$H$4,"",IF(INDEX('Fleet dates'!$C$9:$C$1008,$I283-8)="","",INDEX('Fleet dates'!$C$9:$C$1008,$I283-8)))</x:f>
      </x:c>
      <x:c r="D283" s="51" t="str">
        <x:f>IF(275&gt;$H$4,"",IF(INDEX('Fleet dates'!$D$9:$D$1008,$I283-8)="","",INDEX('Fleet dates'!$D$9:$D$1008,$I283-8)))</x:f>
      </x:c>
      <x:c r="E283" s="51" t="str">
        <x:f>IF(275&gt;$H$4,"",IF(INDEX('Fleet dates'!$E$9:$E$1008,$I283-8)="","",INDEX('Fleet dates'!$E$9:$E$1008,$I283-8)))</x:f>
      </x:c>
      <x:c r="F283" s="51" t="str">
        <x:f>IF(275&gt;$H$4,"",IF(INDEX('Fleet dates'!$F$9:$F$1008,$I283-8)="","",INDEX('Fleet dates'!$F$9:$F$1008,$I283-8)))</x:f>
      </x:c>
      <x:c r="G283" s="50" t="str">
        <x:f>IF(275&gt;$H$4,"",IF(INDEX('Fleet dates'!$G$9:$G$1008,$I283-8)="","",INDEX('Fleet dates'!$G$9:$G$1008,$I283-8)))</x:f>
      </x:c>
      <x:c r="H283" s="50" t="str">
        <x:f>IF(275&gt;$H$4,"",IF(INDEX('Fleet dates'!$I$9:$I$1008,$I283-8)="","",INDEX('Fleet dates'!$I$9:$I$1008,$I283-8)))</x:f>
      </x:c>
      <x:c r="I283" t="str">
        <x:f>IF(275&gt;$H$4,"",MATCH(275,'Fleet dates'!$K$9:$K$1008,0)+8)</x:f>
      </x:c>
    </x:row>
    <x:row r="284" ht="36" customHeight="1">
      <x:c r="A284" s="50" t="str">
        <x:f>IF(276&gt;$H$4,"",IF(INDEX('Fleet dates'!$A$9:$A$1008,$I284-8)="","",INDEX('Fleet dates'!$A$9:$A$1008,$I284-8)))</x:f>
      </x:c>
      <x:c r="B284" s="50" t="str">
        <x:f>IF(276&gt;$H$4,"",IF(INDEX('Fleet dates'!$B$9:$B$1008,$I284-8)="","",INDEX('Fleet dates'!$B$9:$B$1008,$I284-8)))</x:f>
      </x:c>
      <x:c r="C284" s="51" t="str">
        <x:f>IF(276&gt;$H$4,"",IF(INDEX('Fleet dates'!$C$9:$C$1008,$I284-8)="","",INDEX('Fleet dates'!$C$9:$C$1008,$I284-8)))</x:f>
      </x:c>
      <x:c r="D284" s="51" t="str">
        <x:f>IF(276&gt;$H$4,"",IF(INDEX('Fleet dates'!$D$9:$D$1008,$I284-8)="","",INDEX('Fleet dates'!$D$9:$D$1008,$I284-8)))</x:f>
      </x:c>
      <x:c r="E284" s="51" t="str">
        <x:f>IF(276&gt;$H$4,"",IF(INDEX('Fleet dates'!$E$9:$E$1008,$I284-8)="","",INDEX('Fleet dates'!$E$9:$E$1008,$I284-8)))</x:f>
      </x:c>
      <x:c r="F284" s="51" t="str">
        <x:f>IF(276&gt;$H$4,"",IF(INDEX('Fleet dates'!$F$9:$F$1008,$I284-8)="","",INDEX('Fleet dates'!$F$9:$F$1008,$I284-8)))</x:f>
      </x:c>
      <x:c r="G284" s="50" t="str">
        <x:f>IF(276&gt;$H$4,"",IF(INDEX('Fleet dates'!$G$9:$G$1008,$I284-8)="","",INDEX('Fleet dates'!$G$9:$G$1008,$I284-8)))</x:f>
      </x:c>
      <x:c r="H284" s="50" t="str">
        <x:f>IF(276&gt;$H$4,"",IF(INDEX('Fleet dates'!$I$9:$I$1008,$I284-8)="","",INDEX('Fleet dates'!$I$9:$I$1008,$I284-8)))</x:f>
      </x:c>
      <x:c r="I284" t="str">
        <x:f>IF(276&gt;$H$4,"",MATCH(276,'Fleet dates'!$K$9:$K$1008,0)+8)</x:f>
      </x:c>
    </x:row>
    <x:row r="285" ht="36" customHeight="1">
      <x:c r="A285" s="50" t="str">
        <x:f>IF(277&gt;$H$4,"",IF(INDEX('Fleet dates'!$A$9:$A$1008,$I285-8)="","",INDEX('Fleet dates'!$A$9:$A$1008,$I285-8)))</x:f>
      </x:c>
      <x:c r="B285" s="50" t="str">
        <x:f>IF(277&gt;$H$4,"",IF(INDEX('Fleet dates'!$B$9:$B$1008,$I285-8)="","",INDEX('Fleet dates'!$B$9:$B$1008,$I285-8)))</x:f>
      </x:c>
      <x:c r="C285" s="51" t="str">
        <x:f>IF(277&gt;$H$4,"",IF(INDEX('Fleet dates'!$C$9:$C$1008,$I285-8)="","",INDEX('Fleet dates'!$C$9:$C$1008,$I285-8)))</x:f>
      </x:c>
      <x:c r="D285" s="51" t="str">
        <x:f>IF(277&gt;$H$4,"",IF(INDEX('Fleet dates'!$D$9:$D$1008,$I285-8)="","",INDEX('Fleet dates'!$D$9:$D$1008,$I285-8)))</x:f>
      </x:c>
      <x:c r="E285" s="51" t="str">
        <x:f>IF(277&gt;$H$4,"",IF(INDEX('Fleet dates'!$E$9:$E$1008,$I285-8)="","",INDEX('Fleet dates'!$E$9:$E$1008,$I285-8)))</x:f>
      </x:c>
      <x:c r="F285" s="51" t="str">
        <x:f>IF(277&gt;$H$4,"",IF(INDEX('Fleet dates'!$F$9:$F$1008,$I285-8)="","",INDEX('Fleet dates'!$F$9:$F$1008,$I285-8)))</x:f>
      </x:c>
      <x:c r="G285" s="50" t="str">
        <x:f>IF(277&gt;$H$4,"",IF(INDEX('Fleet dates'!$G$9:$G$1008,$I285-8)="","",INDEX('Fleet dates'!$G$9:$G$1008,$I285-8)))</x:f>
      </x:c>
      <x:c r="H285" s="50" t="str">
        <x:f>IF(277&gt;$H$4,"",IF(INDEX('Fleet dates'!$I$9:$I$1008,$I285-8)="","",INDEX('Fleet dates'!$I$9:$I$1008,$I285-8)))</x:f>
      </x:c>
      <x:c r="I285" t="str">
        <x:f>IF(277&gt;$H$4,"",MATCH(277,'Fleet dates'!$K$9:$K$1008,0)+8)</x:f>
      </x:c>
    </x:row>
    <x:row r="286" ht="36" customHeight="1">
      <x:c r="A286" s="50" t="str">
        <x:f>IF(278&gt;$H$4,"",IF(INDEX('Fleet dates'!$A$9:$A$1008,$I286-8)="","",INDEX('Fleet dates'!$A$9:$A$1008,$I286-8)))</x:f>
      </x:c>
      <x:c r="B286" s="50" t="str">
        <x:f>IF(278&gt;$H$4,"",IF(INDEX('Fleet dates'!$B$9:$B$1008,$I286-8)="","",INDEX('Fleet dates'!$B$9:$B$1008,$I286-8)))</x:f>
      </x:c>
      <x:c r="C286" s="51" t="str">
        <x:f>IF(278&gt;$H$4,"",IF(INDEX('Fleet dates'!$C$9:$C$1008,$I286-8)="","",INDEX('Fleet dates'!$C$9:$C$1008,$I286-8)))</x:f>
      </x:c>
      <x:c r="D286" s="51" t="str">
        <x:f>IF(278&gt;$H$4,"",IF(INDEX('Fleet dates'!$D$9:$D$1008,$I286-8)="","",INDEX('Fleet dates'!$D$9:$D$1008,$I286-8)))</x:f>
      </x:c>
      <x:c r="E286" s="51" t="str">
        <x:f>IF(278&gt;$H$4,"",IF(INDEX('Fleet dates'!$E$9:$E$1008,$I286-8)="","",INDEX('Fleet dates'!$E$9:$E$1008,$I286-8)))</x:f>
      </x:c>
      <x:c r="F286" s="51" t="str">
        <x:f>IF(278&gt;$H$4,"",IF(INDEX('Fleet dates'!$F$9:$F$1008,$I286-8)="","",INDEX('Fleet dates'!$F$9:$F$1008,$I286-8)))</x:f>
      </x:c>
      <x:c r="G286" s="50" t="str">
        <x:f>IF(278&gt;$H$4,"",IF(INDEX('Fleet dates'!$G$9:$G$1008,$I286-8)="","",INDEX('Fleet dates'!$G$9:$G$1008,$I286-8)))</x:f>
      </x:c>
      <x:c r="H286" s="50" t="str">
        <x:f>IF(278&gt;$H$4,"",IF(INDEX('Fleet dates'!$I$9:$I$1008,$I286-8)="","",INDEX('Fleet dates'!$I$9:$I$1008,$I286-8)))</x:f>
      </x:c>
      <x:c r="I286" t="str">
        <x:f>IF(278&gt;$H$4,"",MATCH(278,'Fleet dates'!$K$9:$K$1008,0)+8)</x:f>
      </x:c>
    </x:row>
    <x:row r="287" ht="36" customHeight="1">
      <x:c r="A287" s="50" t="str">
        <x:f>IF(279&gt;$H$4,"",IF(INDEX('Fleet dates'!$A$9:$A$1008,$I287-8)="","",INDEX('Fleet dates'!$A$9:$A$1008,$I287-8)))</x:f>
      </x:c>
      <x:c r="B287" s="50" t="str">
        <x:f>IF(279&gt;$H$4,"",IF(INDEX('Fleet dates'!$B$9:$B$1008,$I287-8)="","",INDEX('Fleet dates'!$B$9:$B$1008,$I287-8)))</x:f>
      </x:c>
      <x:c r="C287" s="51" t="str">
        <x:f>IF(279&gt;$H$4,"",IF(INDEX('Fleet dates'!$C$9:$C$1008,$I287-8)="","",INDEX('Fleet dates'!$C$9:$C$1008,$I287-8)))</x:f>
      </x:c>
      <x:c r="D287" s="51" t="str">
        <x:f>IF(279&gt;$H$4,"",IF(INDEX('Fleet dates'!$D$9:$D$1008,$I287-8)="","",INDEX('Fleet dates'!$D$9:$D$1008,$I287-8)))</x:f>
      </x:c>
      <x:c r="E287" s="51" t="str">
        <x:f>IF(279&gt;$H$4,"",IF(INDEX('Fleet dates'!$E$9:$E$1008,$I287-8)="","",INDEX('Fleet dates'!$E$9:$E$1008,$I287-8)))</x:f>
      </x:c>
      <x:c r="F287" s="51" t="str">
        <x:f>IF(279&gt;$H$4,"",IF(INDEX('Fleet dates'!$F$9:$F$1008,$I287-8)="","",INDEX('Fleet dates'!$F$9:$F$1008,$I287-8)))</x:f>
      </x:c>
      <x:c r="G287" s="50" t="str">
        <x:f>IF(279&gt;$H$4,"",IF(INDEX('Fleet dates'!$G$9:$G$1008,$I287-8)="","",INDEX('Fleet dates'!$G$9:$G$1008,$I287-8)))</x:f>
      </x:c>
      <x:c r="H287" s="50" t="str">
        <x:f>IF(279&gt;$H$4,"",IF(INDEX('Fleet dates'!$I$9:$I$1008,$I287-8)="","",INDEX('Fleet dates'!$I$9:$I$1008,$I287-8)))</x:f>
      </x:c>
      <x:c r="I287" t="str">
        <x:f>IF(279&gt;$H$4,"",MATCH(279,'Fleet dates'!$K$9:$K$1008,0)+8)</x:f>
      </x:c>
    </x:row>
    <x:row r="288" ht="36" customHeight="1">
      <x:c r="A288" s="50" t="str">
        <x:f>IF(280&gt;$H$4,"",IF(INDEX('Fleet dates'!$A$9:$A$1008,$I288-8)="","",INDEX('Fleet dates'!$A$9:$A$1008,$I288-8)))</x:f>
      </x:c>
      <x:c r="B288" s="50" t="str">
        <x:f>IF(280&gt;$H$4,"",IF(INDEX('Fleet dates'!$B$9:$B$1008,$I288-8)="","",INDEX('Fleet dates'!$B$9:$B$1008,$I288-8)))</x:f>
      </x:c>
      <x:c r="C288" s="51" t="str">
        <x:f>IF(280&gt;$H$4,"",IF(INDEX('Fleet dates'!$C$9:$C$1008,$I288-8)="","",INDEX('Fleet dates'!$C$9:$C$1008,$I288-8)))</x:f>
      </x:c>
      <x:c r="D288" s="51" t="str">
        <x:f>IF(280&gt;$H$4,"",IF(INDEX('Fleet dates'!$D$9:$D$1008,$I288-8)="","",INDEX('Fleet dates'!$D$9:$D$1008,$I288-8)))</x:f>
      </x:c>
      <x:c r="E288" s="51" t="str">
        <x:f>IF(280&gt;$H$4,"",IF(INDEX('Fleet dates'!$E$9:$E$1008,$I288-8)="","",INDEX('Fleet dates'!$E$9:$E$1008,$I288-8)))</x:f>
      </x:c>
      <x:c r="F288" s="51" t="str">
        <x:f>IF(280&gt;$H$4,"",IF(INDEX('Fleet dates'!$F$9:$F$1008,$I288-8)="","",INDEX('Fleet dates'!$F$9:$F$1008,$I288-8)))</x:f>
      </x:c>
      <x:c r="G288" s="50" t="str">
        <x:f>IF(280&gt;$H$4,"",IF(INDEX('Fleet dates'!$G$9:$G$1008,$I288-8)="","",INDEX('Fleet dates'!$G$9:$G$1008,$I288-8)))</x:f>
      </x:c>
      <x:c r="H288" s="50" t="str">
        <x:f>IF(280&gt;$H$4,"",IF(INDEX('Fleet dates'!$I$9:$I$1008,$I288-8)="","",INDEX('Fleet dates'!$I$9:$I$1008,$I288-8)))</x:f>
      </x:c>
      <x:c r="I288" t="str">
        <x:f>IF(280&gt;$H$4,"",MATCH(280,'Fleet dates'!$K$9:$K$1008,0)+8)</x:f>
      </x:c>
    </x:row>
    <x:row r="289" ht="36" customHeight="1">
      <x:c r="A289" s="50" t="str">
        <x:f>IF(281&gt;$H$4,"",IF(INDEX('Fleet dates'!$A$9:$A$1008,$I289-8)="","",INDEX('Fleet dates'!$A$9:$A$1008,$I289-8)))</x:f>
      </x:c>
      <x:c r="B289" s="50" t="str">
        <x:f>IF(281&gt;$H$4,"",IF(INDEX('Fleet dates'!$B$9:$B$1008,$I289-8)="","",INDEX('Fleet dates'!$B$9:$B$1008,$I289-8)))</x:f>
      </x:c>
      <x:c r="C289" s="51" t="str">
        <x:f>IF(281&gt;$H$4,"",IF(INDEX('Fleet dates'!$C$9:$C$1008,$I289-8)="","",INDEX('Fleet dates'!$C$9:$C$1008,$I289-8)))</x:f>
      </x:c>
      <x:c r="D289" s="51" t="str">
        <x:f>IF(281&gt;$H$4,"",IF(INDEX('Fleet dates'!$D$9:$D$1008,$I289-8)="","",INDEX('Fleet dates'!$D$9:$D$1008,$I289-8)))</x:f>
      </x:c>
      <x:c r="E289" s="51" t="str">
        <x:f>IF(281&gt;$H$4,"",IF(INDEX('Fleet dates'!$E$9:$E$1008,$I289-8)="","",INDEX('Fleet dates'!$E$9:$E$1008,$I289-8)))</x:f>
      </x:c>
      <x:c r="F289" s="51" t="str">
        <x:f>IF(281&gt;$H$4,"",IF(INDEX('Fleet dates'!$F$9:$F$1008,$I289-8)="","",INDEX('Fleet dates'!$F$9:$F$1008,$I289-8)))</x:f>
      </x:c>
      <x:c r="G289" s="50" t="str">
        <x:f>IF(281&gt;$H$4,"",IF(INDEX('Fleet dates'!$G$9:$G$1008,$I289-8)="","",INDEX('Fleet dates'!$G$9:$G$1008,$I289-8)))</x:f>
      </x:c>
      <x:c r="H289" s="50" t="str">
        <x:f>IF(281&gt;$H$4,"",IF(INDEX('Fleet dates'!$I$9:$I$1008,$I289-8)="","",INDEX('Fleet dates'!$I$9:$I$1008,$I289-8)))</x:f>
      </x:c>
      <x:c r="I289" t="str">
        <x:f>IF(281&gt;$H$4,"",MATCH(281,'Fleet dates'!$K$9:$K$1008,0)+8)</x:f>
      </x:c>
    </x:row>
    <x:row r="290" ht="36" customHeight="1">
      <x:c r="A290" s="50" t="str">
        <x:f>IF(282&gt;$H$4,"",IF(INDEX('Fleet dates'!$A$9:$A$1008,$I290-8)="","",INDEX('Fleet dates'!$A$9:$A$1008,$I290-8)))</x:f>
      </x:c>
      <x:c r="B290" s="50" t="str">
        <x:f>IF(282&gt;$H$4,"",IF(INDEX('Fleet dates'!$B$9:$B$1008,$I290-8)="","",INDEX('Fleet dates'!$B$9:$B$1008,$I290-8)))</x:f>
      </x:c>
      <x:c r="C290" s="51" t="str">
        <x:f>IF(282&gt;$H$4,"",IF(INDEX('Fleet dates'!$C$9:$C$1008,$I290-8)="","",INDEX('Fleet dates'!$C$9:$C$1008,$I290-8)))</x:f>
      </x:c>
      <x:c r="D290" s="51" t="str">
        <x:f>IF(282&gt;$H$4,"",IF(INDEX('Fleet dates'!$D$9:$D$1008,$I290-8)="","",INDEX('Fleet dates'!$D$9:$D$1008,$I290-8)))</x:f>
      </x:c>
      <x:c r="E290" s="51" t="str">
        <x:f>IF(282&gt;$H$4,"",IF(INDEX('Fleet dates'!$E$9:$E$1008,$I290-8)="","",INDEX('Fleet dates'!$E$9:$E$1008,$I290-8)))</x:f>
      </x:c>
      <x:c r="F290" s="51" t="str">
        <x:f>IF(282&gt;$H$4,"",IF(INDEX('Fleet dates'!$F$9:$F$1008,$I290-8)="","",INDEX('Fleet dates'!$F$9:$F$1008,$I290-8)))</x:f>
      </x:c>
      <x:c r="G290" s="50" t="str">
        <x:f>IF(282&gt;$H$4,"",IF(INDEX('Fleet dates'!$G$9:$G$1008,$I290-8)="","",INDEX('Fleet dates'!$G$9:$G$1008,$I290-8)))</x:f>
      </x:c>
      <x:c r="H290" s="50" t="str">
        <x:f>IF(282&gt;$H$4,"",IF(INDEX('Fleet dates'!$I$9:$I$1008,$I290-8)="","",INDEX('Fleet dates'!$I$9:$I$1008,$I290-8)))</x:f>
      </x:c>
      <x:c r="I290" t="str">
        <x:f>IF(282&gt;$H$4,"",MATCH(282,'Fleet dates'!$K$9:$K$1008,0)+8)</x:f>
      </x:c>
    </x:row>
    <x:row r="291" ht="36" customHeight="1">
      <x:c r="A291" s="50" t="str">
        <x:f>IF(283&gt;$H$4,"",IF(INDEX('Fleet dates'!$A$9:$A$1008,$I291-8)="","",INDEX('Fleet dates'!$A$9:$A$1008,$I291-8)))</x:f>
      </x:c>
      <x:c r="B291" s="50" t="str">
        <x:f>IF(283&gt;$H$4,"",IF(INDEX('Fleet dates'!$B$9:$B$1008,$I291-8)="","",INDEX('Fleet dates'!$B$9:$B$1008,$I291-8)))</x:f>
      </x:c>
      <x:c r="C291" s="51" t="str">
        <x:f>IF(283&gt;$H$4,"",IF(INDEX('Fleet dates'!$C$9:$C$1008,$I291-8)="","",INDEX('Fleet dates'!$C$9:$C$1008,$I291-8)))</x:f>
      </x:c>
      <x:c r="D291" s="51" t="str">
        <x:f>IF(283&gt;$H$4,"",IF(INDEX('Fleet dates'!$D$9:$D$1008,$I291-8)="","",INDEX('Fleet dates'!$D$9:$D$1008,$I291-8)))</x:f>
      </x:c>
      <x:c r="E291" s="51" t="str">
        <x:f>IF(283&gt;$H$4,"",IF(INDEX('Fleet dates'!$E$9:$E$1008,$I291-8)="","",INDEX('Fleet dates'!$E$9:$E$1008,$I291-8)))</x:f>
      </x:c>
      <x:c r="F291" s="51" t="str">
        <x:f>IF(283&gt;$H$4,"",IF(INDEX('Fleet dates'!$F$9:$F$1008,$I291-8)="","",INDEX('Fleet dates'!$F$9:$F$1008,$I291-8)))</x:f>
      </x:c>
      <x:c r="G291" s="50" t="str">
        <x:f>IF(283&gt;$H$4,"",IF(INDEX('Fleet dates'!$G$9:$G$1008,$I291-8)="","",INDEX('Fleet dates'!$G$9:$G$1008,$I291-8)))</x:f>
      </x:c>
      <x:c r="H291" s="50" t="str">
        <x:f>IF(283&gt;$H$4,"",IF(INDEX('Fleet dates'!$I$9:$I$1008,$I291-8)="","",INDEX('Fleet dates'!$I$9:$I$1008,$I291-8)))</x:f>
      </x:c>
      <x:c r="I291" t="str">
        <x:f>IF(283&gt;$H$4,"",MATCH(283,'Fleet dates'!$K$9:$K$1008,0)+8)</x:f>
      </x:c>
    </x:row>
    <x:row r="292" ht="36" customHeight="1">
      <x:c r="A292" s="50" t="str">
        <x:f>IF(284&gt;$H$4,"",IF(INDEX('Fleet dates'!$A$9:$A$1008,$I292-8)="","",INDEX('Fleet dates'!$A$9:$A$1008,$I292-8)))</x:f>
      </x:c>
      <x:c r="B292" s="50" t="str">
        <x:f>IF(284&gt;$H$4,"",IF(INDEX('Fleet dates'!$B$9:$B$1008,$I292-8)="","",INDEX('Fleet dates'!$B$9:$B$1008,$I292-8)))</x:f>
      </x:c>
      <x:c r="C292" s="51" t="str">
        <x:f>IF(284&gt;$H$4,"",IF(INDEX('Fleet dates'!$C$9:$C$1008,$I292-8)="","",INDEX('Fleet dates'!$C$9:$C$1008,$I292-8)))</x:f>
      </x:c>
      <x:c r="D292" s="51" t="str">
        <x:f>IF(284&gt;$H$4,"",IF(INDEX('Fleet dates'!$D$9:$D$1008,$I292-8)="","",INDEX('Fleet dates'!$D$9:$D$1008,$I292-8)))</x:f>
      </x:c>
      <x:c r="E292" s="51" t="str">
        <x:f>IF(284&gt;$H$4,"",IF(INDEX('Fleet dates'!$E$9:$E$1008,$I292-8)="","",INDEX('Fleet dates'!$E$9:$E$1008,$I292-8)))</x:f>
      </x:c>
      <x:c r="F292" s="51" t="str">
        <x:f>IF(284&gt;$H$4,"",IF(INDEX('Fleet dates'!$F$9:$F$1008,$I292-8)="","",INDEX('Fleet dates'!$F$9:$F$1008,$I292-8)))</x:f>
      </x:c>
      <x:c r="G292" s="50" t="str">
        <x:f>IF(284&gt;$H$4,"",IF(INDEX('Fleet dates'!$G$9:$G$1008,$I292-8)="","",INDEX('Fleet dates'!$G$9:$G$1008,$I292-8)))</x:f>
      </x:c>
      <x:c r="H292" s="50" t="str">
        <x:f>IF(284&gt;$H$4,"",IF(INDEX('Fleet dates'!$I$9:$I$1008,$I292-8)="","",INDEX('Fleet dates'!$I$9:$I$1008,$I292-8)))</x:f>
      </x:c>
      <x:c r="I292" t="str">
        <x:f>IF(284&gt;$H$4,"",MATCH(284,'Fleet dates'!$K$9:$K$1008,0)+8)</x:f>
      </x:c>
    </x:row>
    <x:row r="293" ht="36" customHeight="1">
      <x:c r="A293" s="50" t="str">
        <x:f>IF(285&gt;$H$4,"",IF(INDEX('Fleet dates'!$A$9:$A$1008,$I293-8)="","",INDEX('Fleet dates'!$A$9:$A$1008,$I293-8)))</x:f>
      </x:c>
      <x:c r="B293" s="50" t="str">
        <x:f>IF(285&gt;$H$4,"",IF(INDEX('Fleet dates'!$B$9:$B$1008,$I293-8)="","",INDEX('Fleet dates'!$B$9:$B$1008,$I293-8)))</x:f>
      </x:c>
      <x:c r="C293" s="51" t="str">
        <x:f>IF(285&gt;$H$4,"",IF(INDEX('Fleet dates'!$C$9:$C$1008,$I293-8)="","",INDEX('Fleet dates'!$C$9:$C$1008,$I293-8)))</x:f>
      </x:c>
      <x:c r="D293" s="51" t="str">
        <x:f>IF(285&gt;$H$4,"",IF(INDEX('Fleet dates'!$D$9:$D$1008,$I293-8)="","",INDEX('Fleet dates'!$D$9:$D$1008,$I293-8)))</x:f>
      </x:c>
      <x:c r="E293" s="51" t="str">
        <x:f>IF(285&gt;$H$4,"",IF(INDEX('Fleet dates'!$E$9:$E$1008,$I293-8)="","",INDEX('Fleet dates'!$E$9:$E$1008,$I293-8)))</x:f>
      </x:c>
      <x:c r="F293" s="51" t="str">
        <x:f>IF(285&gt;$H$4,"",IF(INDEX('Fleet dates'!$F$9:$F$1008,$I293-8)="","",INDEX('Fleet dates'!$F$9:$F$1008,$I293-8)))</x:f>
      </x:c>
      <x:c r="G293" s="50" t="str">
        <x:f>IF(285&gt;$H$4,"",IF(INDEX('Fleet dates'!$G$9:$G$1008,$I293-8)="","",INDEX('Fleet dates'!$G$9:$G$1008,$I293-8)))</x:f>
      </x:c>
      <x:c r="H293" s="50" t="str">
        <x:f>IF(285&gt;$H$4,"",IF(INDEX('Fleet dates'!$I$9:$I$1008,$I293-8)="","",INDEX('Fleet dates'!$I$9:$I$1008,$I293-8)))</x:f>
      </x:c>
      <x:c r="I293" t="str">
        <x:f>IF(285&gt;$H$4,"",MATCH(285,'Fleet dates'!$K$9:$K$1008,0)+8)</x:f>
      </x:c>
    </x:row>
    <x:row r="294" ht="36" customHeight="1">
      <x:c r="A294" s="50" t="str">
        <x:f>IF(286&gt;$H$4,"",IF(INDEX('Fleet dates'!$A$9:$A$1008,$I294-8)="","",INDEX('Fleet dates'!$A$9:$A$1008,$I294-8)))</x:f>
      </x:c>
      <x:c r="B294" s="50" t="str">
        <x:f>IF(286&gt;$H$4,"",IF(INDEX('Fleet dates'!$B$9:$B$1008,$I294-8)="","",INDEX('Fleet dates'!$B$9:$B$1008,$I294-8)))</x:f>
      </x:c>
      <x:c r="C294" s="51" t="str">
        <x:f>IF(286&gt;$H$4,"",IF(INDEX('Fleet dates'!$C$9:$C$1008,$I294-8)="","",INDEX('Fleet dates'!$C$9:$C$1008,$I294-8)))</x:f>
      </x:c>
      <x:c r="D294" s="51" t="str">
        <x:f>IF(286&gt;$H$4,"",IF(INDEX('Fleet dates'!$D$9:$D$1008,$I294-8)="","",INDEX('Fleet dates'!$D$9:$D$1008,$I294-8)))</x:f>
      </x:c>
      <x:c r="E294" s="51" t="str">
        <x:f>IF(286&gt;$H$4,"",IF(INDEX('Fleet dates'!$E$9:$E$1008,$I294-8)="","",INDEX('Fleet dates'!$E$9:$E$1008,$I294-8)))</x:f>
      </x:c>
      <x:c r="F294" s="51" t="str">
        <x:f>IF(286&gt;$H$4,"",IF(INDEX('Fleet dates'!$F$9:$F$1008,$I294-8)="","",INDEX('Fleet dates'!$F$9:$F$1008,$I294-8)))</x:f>
      </x:c>
      <x:c r="G294" s="50" t="str">
        <x:f>IF(286&gt;$H$4,"",IF(INDEX('Fleet dates'!$G$9:$G$1008,$I294-8)="","",INDEX('Fleet dates'!$G$9:$G$1008,$I294-8)))</x:f>
      </x:c>
      <x:c r="H294" s="50" t="str">
        <x:f>IF(286&gt;$H$4,"",IF(INDEX('Fleet dates'!$I$9:$I$1008,$I294-8)="","",INDEX('Fleet dates'!$I$9:$I$1008,$I294-8)))</x:f>
      </x:c>
      <x:c r="I294" t="str">
        <x:f>IF(286&gt;$H$4,"",MATCH(286,'Fleet dates'!$K$9:$K$1008,0)+8)</x:f>
      </x:c>
    </x:row>
    <x:row r="295" ht="36" customHeight="1">
      <x:c r="A295" s="50" t="str">
        <x:f>IF(287&gt;$H$4,"",IF(INDEX('Fleet dates'!$A$9:$A$1008,$I295-8)="","",INDEX('Fleet dates'!$A$9:$A$1008,$I295-8)))</x:f>
      </x:c>
      <x:c r="B295" s="50" t="str">
        <x:f>IF(287&gt;$H$4,"",IF(INDEX('Fleet dates'!$B$9:$B$1008,$I295-8)="","",INDEX('Fleet dates'!$B$9:$B$1008,$I295-8)))</x:f>
      </x:c>
      <x:c r="C295" s="51" t="str">
        <x:f>IF(287&gt;$H$4,"",IF(INDEX('Fleet dates'!$C$9:$C$1008,$I295-8)="","",INDEX('Fleet dates'!$C$9:$C$1008,$I295-8)))</x:f>
      </x:c>
      <x:c r="D295" s="51" t="str">
        <x:f>IF(287&gt;$H$4,"",IF(INDEX('Fleet dates'!$D$9:$D$1008,$I295-8)="","",INDEX('Fleet dates'!$D$9:$D$1008,$I295-8)))</x:f>
      </x:c>
      <x:c r="E295" s="51" t="str">
        <x:f>IF(287&gt;$H$4,"",IF(INDEX('Fleet dates'!$E$9:$E$1008,$I295-8)="","",INDEX('Fleet dates'!$E$9:$E$1008,$I295-8)))</x:f>
      </x:c>
      <x:c r="F295" s="51" t="str">
        <x:f>IF(287&gt;$H$4,"",IF(INDEX('Fleet dates'!$F$9:$F$1008,$I295-8)="","",INDEX('Fleet dates'!$F$9:$F$1008,$I295-8)))</x:f>
      </x:c>
      <x:c r="G295" s="50" t="str">
        <x:f>IF(287&gt;$H$4,"",IF(INDEX('Fleet dates'!$G$9:$G$1008,$I295-8)="","",INDEX('Fleet dates'!$G$9:$G$1008,$I295-8)))</x:f>
      </x:c>
      <x:c r="H295" s="50" t="str">
        <x:f>IF(287&gt;$H$4,"",IF(INDEX('Fleet dates'!$I$9:$I$1008,$I295-8)="","",INDEX('Fleet dates'!$I$9:$I$1008,$I295-8)))</x:f>
      </x:c>
      <x:c r="I295" t="str">
        <x:f>IF(287&gt;$H$4,"",MATCH(287,'Fleet dates'!$K$9:$K$1008,0)+8)</x:f>
      </x:c>
    </x:row>
    <x:row r="296" ht="36" customHeight="1">
      <x:c r="A296" s="50" t="str">
        <x:f>IF(288&gt;$H$4,"",IF(INDEX('Fleet dates'!$A$9:$A$1008,$I296-8)="","",INDEX('Fleet dates'!$A$9:$A$1008,$I296-8)))</x:f>
      </x:c>
      <x:c r="B296" s="50" t="str">
        <x:f>IF(288&gt;$H$4,"",IF(INDEX('Fleet dates'!$B$9:$B$1008,$I296-8)="","",INDEX('Fleet dates'!$B$9:$B$1008,$I296-8)))</x:f>
      </x:c>
      <x:c r="C296" s="51" t="str">
        <x:f>IF(288&gt;$H$4,"",IF(INDEX('Fleet dates'!$C$9:$C$1008,$I296-8)="","",INDEX('Fleet dates'!$C$9:$C$1008,$I296-8)))</x:f>
      </x:c>
      <x:c r="D296" s="51" t="str">
        <x:f>IF(288&gt;$H$4,"",IF(INDEX('Fleet dates'!$D$9:$D$1008,$I296-8)="","",INDEX('Fleet dates'!$D$9:$D$1008,$I296-8)))</x:f>
      </x:c>
      <x:c r="E296" s="51" t="str">
        <x:f>IF(288&gt;$H$4,"",IF(INDEX('Fleet dates'!$E$9:$E$1008,$I296-8)="","",INDEX('Fleet dates'!$E$9:$E$1008,$I296-8)))</x:f>
      </x:c>
      <x:c r="F296" s="51" t="str">
        <x:f>IF(288&gt;$H$4,"",IF(INDEX('Fleet dates'!$F$9:$F$1008,$I296-8)="","",INDEX('Fleet dates'!$F$9:$F$1008,$I296-8)))</x:f>
      </x:c>
      <x:c r="G296" s="50" t="str">
        <x:f>IF(288&gt;$H$4,"",IF(INDEX('Fleet dates'!$G$9:$G$1008,$I296-8)="","",INDEX('Fleet dates'!$G$9:$G$1008,$I296-8)))</x:f>
      </x:c>
      <x:c r="H296" s="50" t="str">
        <x:f>IF(288&gt;$H$4,"",IF(INDEX('Fleet dates'!$I$9:$I$1008,$I296-8)="","",INDEX('Fleet dates'!$I$9:$I$1008,$I296-8)))</x:f>
      </x:c>
      <x:c r="I296" t="str">
        <x:f>IF(288&gt;$H$4,"",MATCH(288,'Fleet dates'!$K$9:$K$1008,0)+8)</x:f>
      </x:c>
    </x:row>
    <x:row r="297" ht="36" customHeight="1">
      <x:c r="A297" s="50" t="str">
        <x:f>IF(289&gt;$H$4,"",IF(INDEX('Fleet dates'!$A$9:$A$1008,$I297-8)="","",INDEX('Fleet dates'!$A$9:$A$1008,$I297-8)))</x:f>
      </x:c>
      <x:c r="B297" s="50" t="str">
        <x:f>IF(289&gt;$H$4,"",IF(INDEX('Fleet dates'!$B$9:$B$1008,$I297-8)="","",INDEX('Fleet dates'!$B$9:$B$1008,$I297-8)))</x:f>
      </x:c>
      <x:c r="C297" s="51" t="str">
        <x:f>IF(289&gt;$H$4,"",IF(INDEX('Fleet dates'!$C$9:$C$1008,$I297-8)="","",INDEX('Fleet dates'!$C$9:$C$1008,$I297-8)))</x:f>
      </x:c>
      <x:c r="D297" s="51" t="str">
        <x:f>IF(289&gt;$H$4,"",IF(INDEX('Fleet dates'!$D$9:$D$1008,$I297-8)="","",INDEX('Fleet dates'!$D$9:$D$1008,$I297-8)))</x:f>
      </x:c>
      <x:c r="E297" s="51" t="str">
        <x:f>IF(289&gt;$H$4,"",IF(INDEX('Fleet dates'!$E$9:$E$1008,$I297-8)="","",INDEX('Fleet dates'!$E$9:$E$1008,$I297-8)))</x:f>
      </x:c>
      <x:c r="F297" s="51" t="str">
        <x:f>IF(289&gt;$H$4,"",IF(INDEX('Fleet dates'!$F$9:$F$1008,$I297-8)="","",INDEX('Fleet dates'!$F$9:$F$1008,$I297-8)))</x:f>
      </x:c>
      <x:c r="G297" s="50" t="str">
        <x:f>IF(289&gt;$H$4,"",IF(INDEX('Fleet dates'!$G$9:$G$1008,$I297-8)="","",INDEX('Fleet dates'!$G$9:$G$1008,$I297-8)))</x:f>
      </x:c>
      <x:c r="H297" s="50" t="str">
        <x:f>IF(289&gt;$H$4,"",IF(INDEX('Fleet dates'!$I$9:$I$1008,$I297-8)="","",INDEX('Fleet dates'!$I$9:$I$1008,$I297-8)))</x:f>
      </x:c>
      <x:c r="I297" t="str">
        <x:f>IF(289&gt;$H$4,"",MATCH(289,'Fleet dates'!$K$9:$K$1008,0)+8)</x:f>
      </x:c>
    </x:row>
    <x:row r="298" ht="36" customHeight="1">
      <x:c r="A298" s="50" t="str">
        <x:f>IF(290&gt;$H$4,"",IF(INDEX('Fleet dates'!$A$9:$A$1008,$I298-8)="","",INDEX('Fleet dates'!$A$9:$A$1008,$I298-8)))</x:f>
      </x:c>
      <x:c r="B298" s="50" t="str">
        <x:f>IF(290&gt;$H$4,"",IF(INDEX('Fleet dates'!$B$9:$B$1008,$I298-8)="","",INDEX('Fleet dates'!$B$9:$B$1008,$I298-8)))</x:f>
      </x:c>
      <x:c r="C298" s="51" t="str">
        <x:f>IF(290&gt;$H$4,"",IF(INDEX('Fleet dates'!$C$9:$C$1008,$I298-8)="","",INDEX('Fleet dates'!$C$9:$C$1008,$I298-8)))</x:f>
      </x:c>
      <x:c r="D298" s="51" t="str">
        <x:f>IF(290&gt;$H$4,"",IF(INDEX('Fleet dates'!$D$9:$D$1008,$I298-8)="","",INDEX('Fleet dates'!$D$9:$D$1008,$I298-8)))</x:f>
      </x:c>
      <x:c r="E298" s="51" t="str">
        <x:f>IF(290&gt;$H$4,"",IF(INDEX('Fleet dates'!$E$9:$E$1008,$I298-8)="","",INDEX('Fleet dates'!$E$9:$E$1008,$I298-8)))</x:f>
      </x:c>
      <x:c r="F298" s="51" t="str">
        <x:f>IF(290&gt;$H$4,"",IF(INDEX('Fleet dates'!$F$9:$F$1008,$I298-8)="","",INDEX('Fleet dates'!$F$9:$F$1008,$I298-8)))</x:f>
      </x:c>
      <x:c r="G298" s="50" t="str">
        <x:f>IF(290&gt;$H$4,"",IF(INDEX('Fleet dates'!$G$9:$G$1008,$I298-8)="","",INDEX('Fleet dates'!$G$9:$G$1008,$I298-8)))</x:f>
      </x:c>
      <x:c r="H298" s="50" t="str">
        <x:f>IF(290&gt;$H$4,"",IF(INDEX('Fleet dates'!$I$9:$I$1008,$I298-8)="","",INDEX('Fleet dates'!$I$9:$I$1008,$I298-8)))</x:f>
      </x:c>
      <x:c r="I298" t="str">
        <x:f>IF(290&gt;$H$4,"",MATCH(290,'Fleet dates'!$K$9:$K$1008,0)+8)</x:f>
      </x:c>
    </x:row>
    <x:row r="299" ht="36" customHeight="1">
      <x:c r="A299" s="50" t="str">
        <x:f>IF(291&gt;$H$4,"",IF(INDEX('Fleet dates'!$A$9:$A$1008,$I299-8)="","",INDEX('Fleet dates'!$A$9:$A$1008,$I299-8)))</x:f>
      </x:c>
      <x:c r="B299" s="50" t="str">
        <x:f>IF(291&gt;$H$4,"",IF(INDEX('Fleet dates'!$B$9:$B$1008,$I299-8)="","",INDEX('Fleet dates'!$B$9:$B$1008,$I299-8)))</x:f>
      </x:c>
      <x:c r="C299" s="51" t="str">
        <x:f>IF(291&gt;$H$4,"",IF(INDEX('Fleet dates'!$C$9:$C$1008,$I299-8)="","",INDEX('Fleet dates'!$C$9:$C$1008,$I299-8)))</x:f>
      </x:c>
      <x:c r="D299" s="51" t="str">
        <x:f>IF(291&gt;$H$4,"",IF(INDEX('Fleet dates'!$D$9:$D$1008,$I299-8)="","",INDEX('Fleet dates'!$D$9:$D$1008,$I299-8)))</x:f>
      </x:c>
      <x:c r="E299" s="51" t="str">
        <x:f>IF(291&gt;$H$4,"",IF(INDEX('Fleet dates'!$E$9:$E$1008,$I299-8)="","",INDEX('Fleet dates'!$E$9:$E$1008,$I299-8)))</x:f>
      </x:c>
      <x:c r="F299" s="51" t="str">
        <x:f>IF(291&gt;$H$4,"",IF(INDEX('Fleet dates'!$F$9:$F$1008,$I299-8)="","",INDEX('Fleet dates'!$F$9:$F$1008,$I299-8)))</x:f>
      </x:c>
      <x:c r="G299" s="50" t="str">
        <x:f>IF(291&gt;$H$4,"",IF(INDEX('Fleet dates'!$G$9:$G$1008,$I299-8)="","",INDEX('Fleet dates'!$G$9:$G$1008,$I299-8)))</x:f>
      </x:c>
      <x:c r="H299" s="50" t="str">
        <x:f>IF(291&gt;$H$4,"",IF(INDEX('Fleet dates'!$I$9:$I$1008,$I299-8)="","",INDEX('Fleet dates'!$I$9:$I$1008,$I299-8)))</x:f>
      </x:c>
      <x:c r="I299" t="str">
        <x:f>IF(291&gt;$H$4,"",MATCH(291,'Fleet dates'!$K$9:$K$1008,0)+8)</x:f>
      </x:c>
    </x:row>
    <x:row r="300" ht="36" customHeight="1">
      <x:c r="A300" s="50" t="str">
        <x:f>IF(292&gt;$H$4,"",IF(INDEX('Fleet dates'!$A$9:$A$1008,$I300-8)="","",INDEX('Fleet dates'!$A$9:$A$1008,$I300-8)))</x:f>
      </x:c>
      <x:c r="B300" s="50" t="str">
        <x:f>IF(292&gt;$H$4,"",IF(INDEX('Fleet dates'!$B$9:$B$1008,$I300-8)="","",INDEX('Fleet dates'!$B$9:$B$1008,$I300-8)))</x:f>
      </x:c>
      <x:c r="C300" s="51" t="str">
        <x:f>IF(292&gt;$H$4,"",IF(INDEX('Fleet dates'!$C$9:$C$1008,$I300-8)="","",INDEX('Fleet dates'!$C$9:$C$1008,$I300-8)))</x:f>
      </x:c>
      <x:c r="D300" s="51" t="str">
        <x:f>IF(292&gt;$H$4,"",IF(INDEX('Fleet dates'!$D$9:$D$1008,$I300-8)="","",INDEX('Fleet dates'!$D$9:$D$1008,$I300-8)))</x:f>
      </x:c>
      <x:c r="E300" s="51" t="str">
        <x:f>IF(292&gt;$H$4,"",IF(INDEX('Fleet dates'!$E$9:$E$1008,$I300-8)="","",INDEX('Fleet dates'!$E$9:$E$1008,$I300-8)))</x:f>
      </x:c>
      <x:c r="F300" s="51" t="str">
        <x:f>IF(292&gt;$H$4,"",IF(INDEX('Fleet dates'!$F$9:$F$1008,$I300-8)="","",INDEX('Fleet dates'!$F$9:$F$1008,$I300-8)))</x:f>
      </x:c>
      <x:c r="G300" s="50" t="str">
        <x:f>IF(292&gt;$H$4,"",IF(INDEX('Fleet dates'!$G$9:$G$1008,$I300-8)="","",INDEX('Fleet dates'!$G$9:$G$1008,$I300-8)))</x:f>
      </x:c>
      <x:c r="H300" s="50" t="str">
        <x:f>IF(292&gt;$H$4,"",IF(INDEX('Fleet dates'!$I$9:$I$1008,$I300-8)="","",INDEX('Fleet dates'!$I$9:$I$1008,$I300-8)))</x:f>
      </x:c>
      <x:c r="I300" t="str">
        <x:f>IF(292&gt;$H$4,"",MATCH(292,'Fleet dates'!$K$9:$K$1008,0)+8)</x:f>
      </x:c>
    </x:row>
    <x:row r="301" ht="36" customHeight="1">
      <x:c r="A301" s="50" t="str">
        <x:f>IF(293&gt;$H$4,"",IF(INDEX('Fleet dates'!$A$9:$A$1008,$I301-8)="","",INDEX('Fleet dates'!$A$9:$A$1008,$I301-8)))</x:f>
      </x:c>
      <x:c r="B301" s="50" t="str">
        <x:f>IF(293&gt;$H$4,"",IF(INDEX('Fleet dates'!$B$9:$B$1008,$I301-8)="","",INDEX('Fleet dates'!$B$9:$B$1008,$I301-8)))</x:f>
      </x:c>
      <x:c r="C301" s="51" t="str">
        <x:f>IF(293&gt;$H$4,"",IF(INDEX('Fleet dates'!$C$9:$C$1008,$I301-8)="","",INDEX('Fleet dates'!$C$9:$C$1008,$I301-8)))</x:f>
      </x:c>
      <x:c r="D301" s="51" t="str">
        <x:f>IF(293&gt;$H$4,"",IF(INDEX('Fleet dates'!$D$9:$D$1008,$I301-8)="","",INDEX('Fleet dates'!$D$9:$D$1008,$I301-8)))</x:f>
      </x:c>
      <x:c r="E301" s="51" t="str">
        <x:f>IF(293&gt;$H$4,"",IF(INDEX('Fleet dates'!$E$9:$E$1008,$I301-8)="","",INDEX('Fleet dates'!$E$9:$E$1008,$I301-8)))</x:f>
      </x:c>
      <x:c r="F301" s="51" t="str">
        <x:f>IF(293&gt;$H$4,"",IF(INDEX('Fleet dates'!$F$9:$F$1008,$I301-8)="","",INDEX('Fleet dates'!$F$9:$F$1008,$I301-8)))</x:f>
      </x:c>
      <x:c r="G301" s="50" t="str">
        <x:f>IF(293&gt;$H$4,"",IF(INDEX('Fleet dates'!$G$9:$G$1008,$I301-8)="","",INDEX('Fleet dates'!$G$9:$G$1008,$I301-8)))</x:f>
      </x:c>
      <x:c r="H301" s="50" t="str">
        <x:f>IF(293&gt;$H$4,"",IF(INDEX('Fleet dates'!$I$9:$I$1008,$I301-8)="","",INDEX('Fleet dates'!$I$9:$I$1008,$I301-8)))</x:f>
      </x:c>
      <x:c r="I301" t="str">
        <x:f>IF(293&gt;$H$4,"",MATCH(293,'Fleet dates'!$K$9:$K$1008,0)+8)</x:f>
      </x:c>
    </x:row>
    <x:row r="302" ht="36" customHeight="1">
      <x:c r="A302" s="50" t="str">
        <x:f>IF(294&gt;$H$4,"",IF(INDEX('Fleet dates'!$A$9:$A$1008,$I302-8)="","",INDEX('Fleet dates'!$A$9:$A$1008,$I302-8)))</x:f>
      </x:c>
      <x:c r="B302" s="50" t="str">
        <x:f>IF(294&gt;$H$4,"",IF(INDEX('Fleet dates'!$B$9:$B$1008,$I302-8)="","",INDEX('Fleet dates'!$B$9:$B$1008,$I302-8)))</x:f>
      </x:c>
      <x:c r="C302" s="51" t="str">
        <x:f>IF(294&gt;$H$4,"",IF(INDEX('Fleet dates'!$C$9:$C$1008,$I302-8)="","",INDEX('Fleet dates'!$C$9:$C$1008,$I302-8)))</x:f>
      </x:c>
      <x:c r="D302" s="51" t="str">
        <x:f>IF(294&gt;$H$4,"",IF(INDEX('Fleet dates'!$D$9:$D$1008,$I302-8)="","",INDEX('Fleet dates'!$D$9:$D$1008,$I302-8)))</x:f>
      </x:c>
      <x:c r="E302" s="51" t="str">
        <x:f>IF(294&gt;$H$4,"",IF(INDEX('Fleet dates'!$E$9:$E$1008,$I302-8)="","",INDEX('Fleet dates'!$E$9:$E$1008,$I302-8)))</x:f>
      </x:c>
      <x:c r="F302" s="51" t="str">
        <x:f>IF(294&gt;$H$4,"",IF(INDEX('Fleet dates'!$F$9:$F$1008,$I302-8)="","",INDEX('Fleet dates'!$F$9:$F$1008,$I302-8)))</x:f>
      </x:c>
      <x:c r="G302" s="50" t="str">
        <x:f>IF(294&gt;$H$4,"",IF(INDEX('Fleet dates'!$G$9:$G$1008,$I302-8)="","",INDEX('Fleet dates'!$G$9:$G$1008,$I302-8)))</x:f>
      </x:c>
      <x:c r="H302" s="50" t="str">
        <x:f>IF(294&gt;$H$4,"",IF(INDEX('Fleet dates'!$I$9:$I$1008,$I302-8)="","",INDEX('Fleet dates'!$I$9:$I$1008,$I302-8)))</x:f>
      </x:c>
      <x:c r="I302" t="str">
        <x:f>IF(294&gt;$H$4,"",MATCH(294,'Fleet dates'!$K$9:$K$1008,0)+8)</x:f>
      </x:c>
    </x:row>
    <x:row r="303" ht="36" customHeight="1">
      <x:c r="A303" s="50" t="str">
        <x:f>IF(295&gt;$H$4,"",IF(INDEX('Fleet dates'!$A$9:$A$1008,$I303-8)="","",INDEX('Fleet dates'!$A$9:$A$1008,$I303-8)))</x:f>
      </x:c>
      <x:c r="B303" s="50" t="str">
        <x:f>IF(295&gt;$H$4,"",IF(INDEX('Fleet dates'!$B$9:$B$1008,$I303-8)="","",INDEX('Fleet dates'!$B$9:$B$1008,$I303-8)))</x:f>
      </x:c>
      <x:c r="C303" s="51" t="str">
        <x:f>IF(295&gt;$H$4,"",IF(INDEX('Fleet dates'!$C$9:$C$1008,$I303-8)="","",INDEX('Fleet dates'!$C$9:$C$1008,$I303-8)))</x:f>
      </x:c>
      <x:c r="D303" s="51" t="str">
        <x:f>IF(295&gt;$H$4,"",IF(INDEX('Fleet dates'!$D$9:$D$1008,$I303-8)="","",INDEX('Fleet dates'!$D$9:$D$1008,$I303-8)))</x:f>
      </x:c>
      <x:c r="E303" s="51" t="str">
        <x:f>IF(295&gt;$H$4,"",IF(INDEX('Fleet dates'!$E$9:$E$1008,$I303-8)="","",INDEX('Fleet dates'!$E$9:$E$1008,$I303-8)))</x:f>
      </x:c>
      <x:c r="F303" s="51" t="str">
        <x:f>IF(295&gt;$H$4,"",IF(INDEX('Fleet dates'!$F$9:$F$1008,$I303-8)="","",INDEX('Fleet dates'!$F$9:$F$1008,$I303-8)))</x:f>
      </x:c>
      <x:c r="G303" s="50" t="str">
        <x:f>IF(295&gt;$H$4,"",IF(INDEX('Fleet dates'!$G$9:$G$1008,$I303-8)="","",INDEX('Fleet dates'!$G$9:$G$1008,$I303-8)))</x:f>
      </x:c>
      <x:c r="H303" s="50" t="str">
        <x:f>IF(295&gt;$H$4,"",IF(INDEX('Fleet dates'!$I$9:$I$1008,$I303-8)="","",INDEX('Fleet dates'!$I$9:$I$1008,$I303-8)))</x:f>
      </x:c>
      <x:c r="I303" t="str">
        <x:f>IF(295&gt;$H$4,"",MATCH(295,'Fleet dates'!$K$9:$K$1008,0)+8)</x:f>
      </x:c>
    </x:row>
    <x:row r="304" ht="36" customHeight="1">
      <x:c r="A304" s="50" t="str">
        <x:f>IF(296&gt;$H$4,"",IF(INDEX('Fleet dates'!$A$9:$A$1008,$I304-8)="","",INDEX('Fleet dates'!$A$9:$A$1008,$I304-8)))</x:f>
      </x:c>
      <x:c r="B304" s="50" t="str">
        <x:f>IF(296&gt;$H$4,"",IF(INDEX('Fleet dates'!$B$9:$B$1008,$I304-8)="","",INDEX('Fleet dates'!$B$9:$B$1008,$I304-8)))</x:f>
      </x:c>
      <x:c r="C304" s="51" t="str">
        <x:f>IF(296&gt;$H$4,"",IF(INDEX('Fleet dates'!$C$9:$C$1008,$I304-8)="","",INDEX('Fleet dates'!$C$9:$C$1008,$I304-8)))</x:f>
      </x:c>
      <x:c r="D304" s="51" t="str">
        <x:f>IF(296&gt;$H$4,"",IF(INDEX('Fleet dates'!$D$9:$D$1008,$I304-8)="","",INDEX('Fleet dates'!$D$9:$D$1008,$I304-8)))</x:f>
      </x:c>
      <x:c r="E304" s="51" t="str">
        <x:f>IF(296&gt;$H$4,"",IF(INDEX('Fleet dates'!$E$9:$E$1008,$I304-8)="","",INDEX('Fleet dates'!$E$9:$E$1008,$I304-8)))</x:f>
      </x:c>
      <x:c r="F304" s="51" t="str">
        <x:f>IF(296&gt;$H$4,"",IF(INDEX('Fleet dates'!$F$9:$F$1008,$I304-8)="","",INDEX('Fleet dates'!$F$9:$F$1008,$I304-8)))</x:f>
      </x:c>
      <x:c r="G304" s="50" t="str">
        <x:f>IF(296&gt;$H$4,"",IF(INDEX('Fleet dates'!$G$9:$G$1008,$I304-8)="","",INDEX('Fleet dates'!$G$9:$G$1008,$I304-8)))</x:f>
      </x:c>
      <x:c r="H304" s="50" t="str">
        <x:f>IF(296&gt;$H$4,"",IF(INDEX('Fleet dates'!$I$9:$I$1008,$I304-8)="","",INDEX('Fleet dates'!$I$9:$I$1008,$I304-8)))</x:f>
      </x:c>
      <x:c r="I304" t="str">
        <x:f>IF(296&gt;$H$4,"",MATCH(296,'Fleet dates'!$K$9:$K$1008,0)+8)</x:f>
      </x:c>
    </x:row>
    <x:row r="305" ht="36" customHeight="1">
      <x:c r="A305" s="50" t="str">
        <x:f>IF(297&gt;$H$4,"",IF(INDEX('Fleet dates'!$A$9:$A$1008,$I305-8)="","",INDEX('Fleet dates'!$A$9:$A$1008,$I305-8)))</x:f>
      </x:c>
      <x:c r="B305" s="50" t="str">
        <x:f>IF(297&gt;$H$4,"",IF(INDEX('Fleet dates'!$B$9:$B$1008,$I305-8)="","",INDEX('Fleet dates'!$B$9:$B$1008,$I305-8)))</x:f>
      </x:c>
      <x:c r="C305" s="51" t="str">
        <x:f>IF(297&gt;$H$4,"",IF(INDEX('Fleet dates'!$C$9:$C$1008,$I305-8)="","",INDEX('Fleet dates'!$C$9:$C$1008,$I305-8)))</x:f>
      </x:c>
      <x:c r="D305" s="51" t="str">
        <x:f>IF(297&gt;$H$4,"",IF(INDEX('Fleet dates'!$D$9:$D$1008,$I305-8)="","",INDEX('Fleet dates'!$D$9:$D$1008,$I305-8)))</x:f>
      </x:c>
      <x:c r="E305" s="51" t="str">
        <x:f>IF(297&gt;$H$4,"",IF(INDEX('Fleet dates'!$E$9:$E$1008,$I305-8)="","",INDEX('Fleet dates'!$E$9:$E$1008,$I305-8)))</x:f>
      </x:c>
      <x:c r="F305" s="51" t="str">
        <x:f>IF(297&gt;$H$4,"",IF(INDEX('Fleet dates'!$F$9:$F$1008,$I305-8)="","",INDEX('Fleet dates'!$F$9:$F$1008,$I305-8)))</x:f>
      </x:c>
      <x:c r="G305" s="50" t="str">
        <x:f>IF(297&gt;$H$4,"",IF(INDEX('Fleet dates'!$G$9:$G$1008,$I305-8)="","",INDEX('Fleet dates'!$G$9:$G$1008,$I305-8)))</x:f>
      </x:c>
      <x:c r="H305" s="50" t="str">
        <x:f>IF(297&gt;$H$4,"",IF(INDEX('Fleet dates'!$I$9:$I$1008,$I305-8)="","",INDEX('Fleet dates'!$I$9:$I$1008,$I305-8)))</x:f>
      </x:c>
      <x:c r="I305" t="str">
        <x:f>IF(297&gt;$H$4,"",MATCH(297,'Fleet dates'!$K$9:$K$1008,0)+8)</x:f>
      </x:c>
    </x:row>
    <x:row r="306" ht="36" customHeight="1">
      <x:c r="A306" s="50" t="str">
        <x:f>IF(298&gt;$H$4,"",IF(INDEX('Fleet dates'!$A$9:$A$1008,$I306-8)="","",INDEX('Fleet dates'!$A$9:$A$1008,$I306-8)))</x:f>
      </x:c>
      <x:c r="B306" s="50" t="str">
        <x:f>IF(298&gt;$H$4,"",IF(INDEX('Fleet dates'!$B$9:$B$1008,$I306-8)="","",INDEX('Fleet dates'!$B$9:$B$1008,$I306-8)))</x:f>
      </x:c>
      <x:c r="C306" s="51" t="str">
        <x:f>IF(298&gt;$H$4,"",IF(INDEX('Fleet dates'!$C$9:$C$1008,$I306-8)="","",INDEX('Fleet dates'!$C$9:$C$1008,$I306-8)))</x:f>
      </x:c>
      <x:c r="D306" s="51" t="str">
        <x:f>IF(298&gt;$H$4,"",IF(INDEX('Fleet dates'!$D$9:$D$1008,$I306-8)="","",INDEX('Fleet dates'!$D$9:$D$1008,$I306-8)))</x:f>
      </x:c>
      <x:c r="E306" s="51" t="str">
        <x:f>IF(298&gt;$H$4,"",IF(INDEX('Fleet dates'!$E$9:$E$1008,$I306-8)="","",INDEX('Fleet dates'!$E$9:$E$1008,$I306-8)))</x:f>
      </x:c>
      <x:c r="F306" s="51" t="str">
        <x:f>IF(298&gt;$H$4,"",IF(INDEX('Fleet dates'!$F$9:$F$1008,$I306-8)="","",INDEX('Fleet dates'!$F$9:$F$1008,$I306-8)))</x:f>
      </x:c>
      <x:c r="G306" s="50" t="str">
        <x:f>IF(298&gt;$H$4,"",IF(INDEX('Fleet dates'!$G$9:$G$1008,$I306-8)="","",INDEX('Fleet dates'!$G$9:$G$1008,$I306-8)))</x:f>
      </x:c>
      <x:c r="H306" s="50" t="str">
        <x:f>IF(298&gt;$H$4,"",IF(INDEX('Fleet dates'!$I$9:$I$1008,$I306-8)="","",INDEX('Fleet dates'!$I$9:$I$1008,$I306-8)))</x:f>
      </x:c>
      <x:c r="I306" t="str">
        <x:f>IF(298&gt;$H$4,"",MATCH(298,'Fleet dates'!$K$9:$K$1008,0)+8)</x:f>
      </x:c>
    </x:row>
    <x:row r="307" ht="36" customHeight="1">
      <x:c r="A307" s="50" t="str">
        <x:f>IF(299&gt;$H$4,"",IF(INDEX('Fleet dates'!$A$9:$A$1008,$I307-8)="","",INDEX('Fleet dates'!$A$9:$A$1008,$I307-8)))</x:f>
      </x:c>
      <x:c r="B307" s="50" t="str">
        <x:f>IF(299&gt;$H$4,"",IF(INDEX('Fleet dates'!$B$9:$B$1008,$I307-8)="","",INDEX('Fleet dates'!$B$9:$B$1008,$I307-8)))</x:f>
      </x:c>
      <x:c r="C307" s="51" t="str">
        <x:f>IF(299&gt;$H$4,"",IF(INDEX('Fleet dates'!$C$9:$C$1008,$I307-8)="","",INDEX('Fleet dates'!$C$9:$C$1008,$I307-8)))</x:f>
      </x:c>
      <x:c r="D307" s="51" t="str">
        <x:f>IF(299&gt;$H$4,"",IF(INDEX('Fleet dates'!$D$9:$D$1008,$I307-8)="","",INDEX('Fleet dates'!$D$9:$D$1008,$I307-8)))</x:f>
      </x:c>
      <x:c r="E307" s="51" t="str">
        <x:f>IF(299&gt;$H$4,"",IF(INDEX('Fleet dates'!$E$9:$E$1008,$I307-8)="","",INDEX('Fleet dates'!$E$9:$E$1008,$I307-8)))</x:f>
      </x:c>
      <x:c r="F307" s="51" t="str">
        <x:f>IF(299&gt;$H$4,"",IF(INDEX('Fleet dates'!$F$9:$F$1008,$I307-8)="","",INDEX('Fleet dates'!$F$9:$F$1008,$I307-8)))</x:f>
      </x:c>
      <x:c r="G307" s="50" t="str">
        <x:f>IF(299&gt;$H$4,"",IF(INDEX('Fleet dates'!$G$9:$G$1008,$I307-8)="","",INDEX('Fleet dates'!$G$9:$G$1008,$I307-8)))</x:f>
      </x:c>
      <x:c r="H307" s="50" t="str">
        <x:f>IF(299&gt;$H$4,"",IF(INDEX('Fleet dates'!$I$9:$I$1008,$I307-8)="","",INDEX('Fleet dates'!$I$9:$I$1008,$I307-8)))</x:f>
      </x:c>
      <x:c r="I307" t="str">
        <x:f>IF(299&gt;$H$4,"",MATCH(299,'Fleet dates'!$K$9:$K$1008,0)+8)</x:f>
      </x:c>
    </x:row>
    <x:row r="308" ht="36" customHeight="1">
      <x:c r="A308" s="50" t="str">
        <x:f>IF(300&gt;$H$4,"",IF(INDEX('Fleet dates'!$A$9:$A$1008,$I308-8)="","",INDEX('Fleet dates'!$A$9:$A$1008,$I308-8)))</x:f>
      </x:c>
      <x:c r="B308" s="50" t="str">
        <x:f>IF(300&gt;$H$4,"",IF(INDEX('Fleet dates'!$B$9:$B$1008,$I308-8)="","",INDEX('Fleet dates'!$B$9:$B$1008,$I308-8)))</x:f>
      </x:c>
      <x:c r="C308" s="51" t="str">
        <x:f>IF(300&gt;$H$4,"",IF(INDEX('Fleet dates'!$C$9:$C$1008,$I308-8)="","",INDEX('Fleet dates'!$C$9:$C$1008,$I308-8)))</x:f>
      </x:c>
      <x:c r="D308" s="51" t="str">
        <x:f>IF(300&gt;$H$4,"",IF(INDEX('Fleet dates'!$D$9:$D$1008,$I308-8)="","",INDEX('Fleet dates'!$D$9:$D$1008,$I308-8)))</x:f>
      </x:c>
      <x:c r="E308" s="51" t="str">
        <x:f>IF(300&gt;$H$4,"",IF(INDEX('Fleet dates'!$E$9:$E$1008,$I308-8)="","",INDEX('Fleet dates'!$E$9:$E$1008,$I308-8)))</x:f>
      </x:c>
      <x:c r="F308" s="51" t="str">
        <x:f>IF(300&gt;$H$4,"",IF(INDEX('Fleet dates'!$F$9:$F$1008,$I308-8)="","",INDEX('Fleet dates'!$F$9:$F$1008,$I308-8)))</x:f>
      </x:c>
      <x:c r="G308" s="50" t="str">
        <x:f>IF(300&gt;$H$4,"",IF(INDEX('Fleet dates'!$G$9:$G$1008,$I308-8)="","",INDEX('Fleet dates'!$G$9:$G$1008,$I308-8)))</x:f>
      </x:c>
      <x:c r="H308" s="50" t="str">
        <x:f>IF(300&gt;$H$4,"",IF(INDEX('Fleet dates'!$I$9:$I$1008,$I308-8)="","",INDEX('Fleet dates'!$I$9:$I$1008,$I308-8)))</x:f>
      </x:c>
      <x:c r="I308" t="str">
        <x:f>IF(300&gt;$H$4,"",MATCH(300,'Fleet dates'!$K$9:$K$1008,0)+8)</x:f>
      </x:c>
    </x:row>
    <x:row r="309" ht="36" customHeight="1">
      <x:c r="A309" s="50" t="str">
        <x:f>IF(301&gt;$H$4,"",IF(INDEX('Fleet dates'!$A$9:$A$1008,$I309-8)="","",INDEX('Fleet dates'!$A$9:$A$1008,$I309-8)))</x:f>
      </x:c>
      <x:c r="B309" s="50" t="str">
        <x:f>IF(301&gt;$H$4,"",IF(INDEX('Fleet dates'!$B$9:$B$1008,$I309-8)="","",INDEX('Fleet dates'!$B$9:$B$1008,$I309-8)))</x:f>
      </x:c>
      <x:c r="C309" s="51" t="str">
        <x:f>IF(301&gt;$H$4,"",IF(INDEX('Fleet dates'!$C$9:$C$1008,$I309-8)="","",INDEX('Fleet dates'!$C$9:$C$1008,$I309-8)))</x:f>
      </x:c>
      <x:c r="D309" s="51" t="str">
        <x:f>IF(301&gt;$H$4,"",IF(INDEX('Fleet dates'!$D$9:$D$1008,$I309-8)="","",INDEX('Fleet dates'!$D$9:$D$1008,$I309-8)))</x:f>
      </x:c>
      <x:c r="E309" s="51" t="str">
        <x:f>IF(301&gt;$H$4,"",IF(INDEX('Fleet dates'!$E$9:$E$1008,$I309-8)="","",INDEX('Fleet dates'!$E$9:$E$1008,$I309-8)))</x:f>
      </x:c>
      <x:c r="F309" s="51" t="str">
        <x:f>IF(301&gt;$H$4,"",IF(INDEX('Fleet dates'!$F$9:$F$1008,$I309-8)="","",INDEX('Fleet dates'!$F$9:$F$1008,$I309-8)))</x:f>
      </x:c>
      <x:c r="G309" s="50" t="str">
        <x:f>IF(301&gt;$H$4,"",IF(INDEX('Fleet dates'!$G$9:$G$1008,$I309-8)="","",INDEX('Fleet dates'!$G$9:$G$1008,$I309-8)))</x:f>
      </x:c>
      <x:c r="H309" s="50" t="str">
        <x:f>IF(301&gt;$H$4,"",IF(INDEX('Fleet dates'!$I$9:$I$1008,$I309-8)="","",INDEX('Fleet dates'!$I$9:$I$1008,$I309-8)))</x:f>
      </x:c>
      <x:c r="I309" t="str">
        <x:f>IF(301&gt;$H$4,"",MATCH(301,'Fleet dates'!$K$9:$K$1008,0)+8)</x:f>
      </x:c>
    </x:row>
    <x:row r="310" ht="36" customHeight="1">
      <x:c r="A310" s="50" t="str">
        <x:f>IF(302&gt;$H$4,"",IF(INDEX('Fleet dates'!$A$9:$A$1008,$I310-8)="","",INDEX('Fleet dates'!$A$9:$A$1008,$I310-8)))</x:f>
      </x:c>
      <x:c r="B310" s="50" t="str">
        <x:f>IF(302&gt;$H$4,"",IF(INDEX('Fleet dates'!$B$9:$B$1008,$I310-8)="","",INDEX('Fleet dates'!$B$9:$B$1008,$I310-8)))</x:f>
      </x:c>
      <x:c r="C310" s="51" t="str">
        <x:f>IF(302&gt;$H$4,"",IF(INDEX('Fleet dates'!$C$9:$C$1008,$I310-8)="","",INDEX('Fleet dates'!$C$9:$C$1008,$I310-8)))</x:f>
      </x:c>
      <x:c r="D310" s="51" t="str">
        <x:f>IF(302&gt;$H$4,"",IF(INDEX('Fleet dates'!$D$9:$D$1008,$I310-8)="","",INDEX('Fleet dates'!$D$9:$D$1008,$I310-8)))</x:f>
      </x:c>
      <x:c r="E310" s="51" t="str">
        <x:f>IF(302&gt;$H$4,"",IF(INDEX('Fleet dates'!$E$9:$E$1008,$I310-8)="","",INDEX('Fleet dates'!$E$9:$E$1008,$I310-8)))</x:f>
      </x:c>
      <x:c r="F310" s="51" t="str">
        <x:f>IF(302&gt;$H$4,"",IF(INDEX('Fleet dates'!$F$9:$F$1008,$I310-8)="","",INDEX('Fleet dates'!$F$9:$F$1008,$I310-8)))</x:f>
      </x:c>
      <x:c r="G310" s="50" t="str">
        <x:f>IF(302&gt;$H$4,"",IF(INDEX('Fleet dates'!$G$9:$G$1008,$I310-8)="","",INDEX('Fleet dates'!$G$9:$G$1008,$I310-8)))</x:f>
      </x:c>
      <x:c r="H310" s="50" t="str">
        <x:f>IF(302&gt;$H$4,"",IF(INDEX('Fleet dates'!$I$9:$I$1008,$I310-8)="","",INDEX('Fleet dates'!$I$9:$I$1008,$I310-8)))</x:f>
      </x:c>
      <x:c r="I310" t="str">
        <x:f>IF(302&gt;$H$4,"",MATCH(302,'Fleet dates'!$K$9:$K$1008,0)+8)</x:f>
      </x:c>
    </x:row>
    <x:row r="311" ht="36" customHeight="1">
      <x:c r="A311" s="50" t="str">
        <x:f>IF(303&gt;$H$4,"",IF(INDEX('Fleet dates'!$A$9:$A$1008,$I311-8)="","",INDEX('Fleet dates'!$A$9:$A$1008,$I311-8)))</x:f>
      </x:c>
      <x:c r="B311" s="50" t="str">
        <x:f>IF(303&gt;$H$4,"",IF(INDEX('Fleet dates'!$B$9:$B$1008,$I311-8)="","",INDEX('Fleet dates'!$B$9:$B$1008,$I311-8)))</x:f>
      </x:c>
      <x:c r="C311" s="51" t="str">
        <x:f>IF(303&gt;$H$4,"",IF(INDEX('Fleet dates'!$C$9:$C$1008,$I311-8)="","",INDEX('Fleet dates'!$C$9:$C$1008,$I311-8)))</x:f>
      </x:c>
      <x:c r="D311" s="51" t="str">
        <x:f>IF(303&gt;$H$4,"",IF(INDEX('Fleet dates'!$D$9:$D$1008,$I311-8)="","",INDEX('Fleet dates'!$D$9:$D$1008,$I311-8)))</x:f>
      </x:c>
      <x:c r="E311" s="51" t="str">
        <x:f>IF(303&gt;$H$4,"",IF(INDEX('Fleet dates'!$E$9:$E$1008,$I311-8)="","",INDEX('Fleet dates'!$E$9:$E$1008,$I311-8)))</x:f>
      </x:c>
      <x:c r="F311" s="51" t="str">
        <x:f>IF(303&gt;$H$4,"",IF(INDEX('Fleet dates'!$F$9:$F$1008,$I311-8)="","",INDEX('Fleet dates'!$F$9:$F$1008,$I311-8)))</x:f>
      </x:c>
      <x:c r="G311" s="50" t="str">
        <x:f>IF(303&gt;$H$4,"",IF(INDEX('Fleet dates'!$G$9:$G$1008,$I311-8)="","",INDEX('Fleet dates'!$G$9:$G$1008,$I311-8)))</x:f>
      </x:c>
      <x:c r="H311" s="50" t="str">
        <x:f>IF(303&gt;$H$4,"",IF(INDEX('Fleet dates'!$I$9:$I$1008,$I311-8)="","",INDEX('Fleet dates'!$I$9:$I$1008,$I311-8)))</x:f>
      </x:c>
      <x:c r="I311" t="str">
        <x:f>IF(303&gt;$H$4,"",MATCH(303,'Fleet dates'!$K$9:$K$1008,0)+8)</x:f>
      </x:c>
    </x:row>
    <x:row r="312" ht="36" customHeight="1">
      <x:c r="A312" s="50" t="str">
        <x:f>IF(304&gt;$H$4,"",IF(INDEX('Fleet dates'!$A$9:$A$1008,$I312-8)="","",INDEX('Fleet dates'!$A$9:$A$1008,$I312-8)))</x:f>
      </x:c>
      <x:c r="B312" s="50" t="str">
        <x:f>IF(304&gt;$H$4,"",IF(INDEX('Fleet dates'!$B$9:$B$1008,$I312-8)="","",INDEX('Fleet dates'!$B$9:$B$1008,$I312-8)))</x:f>
      </x:c>
      <x:c r="C312" s="51" t="str">
        <x:f>IF(304&gt;$H$4,"",IF(INDEX('Fleet dates'!$C$9:$C$1008,$I312-8)="","",INDEX('Fleet dates'!$C$9:$C$1008,$I312-8)))</x:f>
      </x:c>
      <x:c r="D312" s="51" t="str">
        <x:f>IF(304&gt;$H$4,"",IF(INDEX('Fleet dates'!$D$9:$D$1008,$I312-8)="","",INDEX('Fleet dates'!$D$9:$D$1008,$I312-8)))</x:f>
      </x:c>
      <x:c r="E312" s="51" t="str">
        <x:f>IF(304&gt;$H$4,"",IF(INDEX('Fleet dates'!$E$9:$E$1008,$I312-8)="","",INDEX('Fleet dates'!$E$9:$E$1008,$I312-8)))</x:f>
      </x:c>
      <x:c r="F312" s="51" t="str">
        <x:f>IF(304&gt;$H$4,"",IF(INDEX('Fleet dates'!$F$9:$F$1008,$I312-8)="","",INDEX('Fleet dates'!$F$9:$F$1008,$I312-8)))</x:f>
      </x:c>
      <x:c r="G312" s="50" t="str">
        <x:f>IF(304&gt;$H$4,"",IF(INDEX('Fleet dates'!$G$9:$G$1008,$I312-8)="","",INDEX('Fleet dates'!$G$9:$G$1008,$I312-8)))</x:f>
      </x:c>
      <x:c r="H312" s="50" t="str">
        <x:f>IF(304&gt;$H$4,"",IF(INDEX('Fleet dates'!$I$9:$I$1008,$I312-8)="","",INDEX('Fleet dates'!$I$9:$I$1008,$I312-8)))</x:f>
      </x:c>
      <x:c r="I312" t="str">
        <x:f>IF(304&gt;$H$4,"",MATCH(304,'Fleet dates'!$K$9:$K$1008,0)+8)</x:f>
      </x:c>
    </x:row>
    <x:row r="313" ht="36" customHeight="1">
      <x:c r="A313" s="50" t="str">
        <x:f>IF(305&gt;$H$4,"",IF(INDEX('Fleet dates'!$A$9:$A$1008,$I313-8)="","",INDEX('Fleet dates'!$A$9:$A$1008,$I313-8)))</x:f>
      </x:c>
      <x:c r="B313" s="50" t="str">
        <x:f>IF(305&gt;$H$4,"",IF(INDEX('Fleet dates'!$B$9:$B$1008,$I313-8)="","",INDEX('Fleet dates'!$B$9:$B$1008,$I313-8)))</x:f>
      </x:c>
      <x:c r="C313" s="51" t="str">
        <x:f>IF(305&gt;$H$4,"",IF(INDEX('Fleet dates'!$C$9:$C$1008,$I313-8)="","",INDEX('Fleet dates'!$C$9:$C$1008,$I313-8)))</x:f>
      </x:c>
      <x:c r="D313" s="51" t="str">
        <x:f>IF(305&gt;$H$4,"",IF(INDEX('Fleet dates'!$D$9:$D$1008,$I313-8)="","",INDEX('Fleet dates'!$D$9:$D$1008,$I313-8)))</x:f>
      </x:c>
      <x:c r="E313" s="51" t="str">
        <x:f>IF(305&gt;$H$4,"",IF(INDEX('Fleet dates'!$E$9:$E$1008,$I313-8)="","",INDEX('Fleet dates'!$E$9:$E$1008,$I313-8)))</x:f>
      </x:c>
      <x:c r="F313" s="51" t="str">
        <x:f>IF(305&gt;$H$4,"",IF(INDEX('Fleet dates'!$F$9:$F$1008,$I313-8)="","",INDEX('Fleet dates'!$F$9:$F$1008,$I313-8)))</x:f>
      </x:c>
      <x:c r="G313" s="50" t="str">
        <x:f>IF(305&gt;$H$4,"",IF(INDEX('Fleet dates'!$G$9:$G$1008,$I313-8)="","",INDEX('Fleet dates'!$G$9:$G$1008,$I313-8)))</x:f>
      </x:c>
      <x:c r="H313" s="50" t="str">
        <x:f>IF(305&gt;$H$4,"",IF(INDEX('Fleet dates'!$I$9:$I$1008,$I313-8)="","",INDEX('Fleet dates'!$I$9:$I$1008,$I313-8)))</x:f>
      </x:c>
      <x:c r="I313" t="str">
        <x:f>IF(305&gt;$H$4,"",MATCH(305,'Fleet dates'!$K$9:$K$1008,0)+8)</x:f>
      </x:c>
    </x:row>
    <x:row r="314" ht="36" customHeight="1">
      <x:c r="A314" s="50" t="str">
        <x:f>IF(306&gt;$H$4,"",IF(INDEX('Fleet dates'!$A$9:$A$1008,$I314-8)="","",INDEX('Fleet dates'!$A$9:$A$1008,$I314-8)))</x:f>
      </x:c>
      <x:c r="B314" s="50" t="str">
        <x:f>IF(306&gt;$H$4,"",IF(INDEX('Fleet dates'!$B$9:$B$1008,$I314-8)="","",INDEX('Fleet dates'!$B$9:$B$1008,$I314-8)))</x:f>
      </x:c>
      <x:c r="C314" s="51" t="str">
        <x:f>IF(306&gt;$H$4,"",IF(INDEX('Fleet dates'!$C$9:$C$1008,$I314-8)="","",INDEX('Fleet dates'!$C$9:$C$1008,$I314-8)))</x:f>
      </x:c>
      <x:c r="D314" s="51" t="str">
        <x:f>IF(306&gt;$H$4,"",IF(INDEX('Fleet dates'!$D$9:$D$1008,$I314-8)="","",INDEX('Fleet dates'!$D$9:$D$1008,$I314-8)))</x:f>
      </x:c>
      <x:c r="E314" s="51" t="str">
        <x:f>IF(306&gt;$H$4,"",IF(INDEX('Fleet dates'!$E$9:$E$1008,$I314-8)="","",INDEX('Fleet dates'!$E$9:$E$1008,$I314-8)))</x:f>
      </x:c>
      <x:c r="F314" s="51" t="str">
        <x:f>IF(306&gt;$H$4,"",IF(INDEX('Fleet dates'!$F$9:$F$1008,$I314-8)="","",INDEX('Fleet dates'!$F$9:$F$1008,$I314-8)))</x:f>
      </x:c>
      <x:c r="G314" s="50" t="str">
        <x:f>IF(306&gt;$H$4,"",IF(INDEX('Fleet dates'!$G$9:$G$1008,$I314-8)="","",INDEX('Fleet dates'!$G$9:$G$1008,$I314-8)))</x:f>
      </x:c>
      <x:c r="H314" s="50" t="str">
        <x:f>IF(306&gt;$H$4,"",IF(INDEX('Fleet dates'!$I$9:$I$1008,$I314-8)="","",INDEX('Fleet dates'!$I$9:$I$1008,$I314-8)))</x:f>
      </x:c>
      <x:c r="I314" t="str">
        <x:f>IF(306&gt;$H$4,"",MATCH(306,'Fleet dates'!$K$9:$K$1008,0)+8)</x:f>
      </x:c>
    </x:row>
    <x:row r="315" ht="36" customHeight="1">
      <x:c r="A315" s="50" t="str">
        <x:f>IF(307&gt;$H$4,"",IF(INDEX('Fleet dates'!$A$9:$A$1008,$I315-8)="","",INDEX('Fleet dates'!$A$9:$A$1008,$I315-8)))</x:f>
      </x:c>
      <x:c r="B315" s="50" t="str">
        <x:f>IF(307&gt;$H$4,"",IF(INDEX('Fleet dates'!$B$9:$B$1008,$I315-8)="","",INDEX('Fleet dates'!$B$9:$B$1008,$I315-8)))</x:f>
      </x:c>
      <x:c r="C315" s="51" t="str">
        <x:f>IF(307&gt;$H$4,"",IF(INDEX('Fleet dates'!$C$9:$C$1008,$I315-8)="","",INDEX('Fleet dates'!$C$9:$C$1008,$I315-8)))</x:f>
      </x:c>
      <x:c r="D315" s="51" t="str">
        <x:f>IF(307&gt;$H$4,"",IF(INDEX('Fleet dates'!$D$9:$D$1008,$I315-8)="","",INDEX('Fleet dates'!$D$9:$D$1008,$I315-8)))</x:f>
      </x:c>
      <x:c r="E315" s="51" t="str">
        <x:f>IF(307&gt;$H$4,"",IF(INDEX('Fleet dates'!$E$9:$E$1008,$I315-8)="","",INDEX('Fleet dates'!$E$9:$E$1008,$I315-8)))</x:f>
      </x:c>
      <x:c r="F315" s="51" t="str">
        <x:f>IF(307&gt;$H$4,"",IF(INDEX('Fleet dates'!$F$9:$F$1008,$I315-8)="","",INDEX('Fleet dates'!$F$9:$F$1008,$I315-8)))</x:f>
      </x:c>
      <x:c r="G315" s="50" t="str">
        <x:f>IF(307&gt;$H$4,"",IF(INDEX('Fleet dates'!$G$9:$G$1008,$I315-8)="","",INDEX('Fleet dates'!$G$9:$G$1008,$I315-8)))</x:f>
      </x:c>
      <x:c r="H315" s="50" t="str">
        <x:f>IF(307&gt;$H$4,"",IF(INDEX('Fleet dates'!$I$9:$I$1008,$I315-8)="","",INDEX('Fleet dates'!$I$9:$I$1008,$I315-8)))</x:f>
      </x:c>
      <x:c r="I315" t="str">
        <x:f>IF(307&gt;$H$4,"",MATCH(307,'Fleet dates'!$K$9:$K$1008,0)+8)</x:f>
      </x:c>
    </x:row>
    <x:row r="316" ht="36" customHeight="1">
      <x:c r="A316" s="50" t="str">
        <x:f>IF(308&gt;$H$4,"",IF(INDEX('Fleet dates'!$A$9:$A$1008,$I316-8)="","",INDEX('Fleet dates'!$A$9:$A$1008,$I316-8)))</x:f>
      </x:c>
      <x:c r="B316" s="50" t="str">
        <x:f>IF(308&gt;$H$4,"",IF(INDEX('Fleet dates'!$B$9:$B$1008,$I316-8)="","",INDEX('Fleet dates'!$B$9:$B$1008,$I316-8)))</x:f>
      </x:c>
      <x:c r="C316" s="51" t="str">
        <x:f>IF(308&gt;$H$4,"",IF(INDEX('Fleet dates'!$C$9:$C$1008,$I316-8)="","",INDEX('Fleet dates'!$C$9:$C$1008,$I316-8)))</x:f>
      </x:c>
      <x:c r="D316" s="51" t="str">
        <x:f>IF(308&gt;$H$4,"",IF(INDEX('Fleet dates'!$D$9:$D$1008,$I316-8)="","",INDEX('Fleet dates'!$D$9:$D$1008,$I316-8)))</x:f>
      </x:c>
      <x:c r="E316" s="51" t="str">
        <x:f>IF(308&gt;$H$4,"",IF(INDEX('Fleet dates'!$E$9:$E$1008,$I316-8)="","",INDEX('Fleet dates'!$E$9:$E$1008,$I316-8)))</x:f>
      </x:c>
      <x:c r="F316" s="51" t="str">
        <x:f>IF(308&gt;$H$4,"",IF(INDEX('Fleet dates'!$F$9:$F$1008,$I316-8)="","",INDEX('Fleet dates'!$F$9:$F$1008,$I316-8)))</x:f>
      </x:c>
      <x:c r="G316" s="50" t="str">
        <x:f>IF(308&gt;$H$4,"",IF(INDEX('Fleet dates'!$G$9:$G$1008,$I316-8)="","",INDEX('Fleet dates'!$G$9:$G$1008,$I316-8)))</x:f>
      </x:c>
      <x:c r="H316" s="50" t="str">
        <x:f>IF(308&gt;$H$4,"",IF(INDEX('Fleet dates'!$I$9:$I$1008,$I316-8)="","",INDEX('Fleet dates'!$I$9:$I$1008,$I316-8)))</x:f>
      </x:c>
      <x:c r="I316" t="str">
        <x:f>IF(308&gt;$H$4,"",MATCH(308,'Fleet dates'!$K$9:$K$1008,0)+8)</x:f>
      </x:c>
    </x:row>
    <x:row r="317" ht="36" customHeight="1">
      <x:c r="A317" s="50" t="str">
        <x:f>IF(309&gt;$H$4,"",IF(INDEX('Fleet dates'!$A$9:$A$1008,$I317-8)="","",INDEX('Fleet dates'!$A$9:$A$1008,$I317-8)))</x:f>
      </x:c>
      <x:c r="B317" s="50" t="str">
        <x:f>IF(309&gt;$H$4,"",IF(INDEX('Fleet dates'!$B$9:$B$1008,$I317-8)="","",INDEX('Fleet dates'!$B$9:$B$1008,$I317-8)))</x:f>
      </x:c>
      <x:c r="C317" s="51" t="str">
        <x:f>IF(309&gt;$H$4,"",IF(INDEX('Fleet dates'!$C$9:$C$1008,$I317-8)="","",INDEX('Fleet dates'!$C$9:$C$1008,$I317-8)))</x:f>
      </x:c>
      <x:c r="D317" s="51" t="str">
        <x:f>IF(309&gt;$H$4,"",IF(INDEX('Fleet dates'!$D$9:$D$1008,$I317-8)="","",INDEX('Fleet dates'!$D$9:$D$1008,$I317-8)))</x:f>
      </x:c>
      <x:c r="E317" s="51" t="str">
        <x:f>IF(309&gt;$H$4,"",IF(INDEX('Fleet dates'!$E$9:$E$1008,$I317-8)="","",INDEX('Fleet dates'!$E$9:$E$1008,$I317-8)))</x:f>
      </x:c>
      <x:c r="F317" s="51" t="str">
        <x:f>IF(309&gt;$H$4,"",IF(INDEX('Fleet dates'!$F$9:$F$1008,$I317-8)="","",INDEX('Fleet dates'!$F$9:$F$1008,$I317-8)))</x:f>
      </x:c>
      <x:c r="G317" s="50" t="str">
        <x:f>IF(309&gt;$H$4,"",IF(INDEX('Fleet dates'!$G$9:$G$1008,$I317-8)="","",INDEX('Fleet dates'!$G$9:$G$1008,$I317-8)))</x:f>
      </x:c>
      <x:c r="H317" s="50" t="str">
        <x:f>IF(309&gt;$H$4,"",IF(INDEX('Fleet dates'!$I$9:$I$1008,$I317-8)="","",INDEX('Fleet dates'!$I$9:$I$1008,$I317-8)))</x:f>
      </x:c>
      <x:c r="I317" t="str">
        <x:f>IF(309&gt;$H$4,"",MATCH(309,'Fleet dates'!$K$9:$K$1008,0)+8)</x:f>
      </x:c>
    </x:row>
    <x:row r="318" ht="36" customHeight="1">
      <x:c r="A318" s="50" t="str">
        <x:f>IF(310&gt;$H$4,"",IF(INDEX('Fleet dates'!$A$9:$A$1008,$I318-8)="","",INDEX('Fleet dates'!$A$9:$A$1008,$I318-8)))</x:f>
      </x:c>
      <x:c r="B318" s="50" t="str">
        <x:f>IF(310&gt;$H$4,"",IF(INDEX('Fleet dates'!$B$9:$B$1008,$I318-8)="","",INDEX('Fleet dates'!$B$9:$B$1008,$I318-8)))</x:f>
      </x:c>
      <x:c r="C318" s="51" t="str">
        <x:f>IF(310&gt;$H$4,"",IF(INDEX('Fleet dates'!$C$9:$C$1008,$I318-8)="","",INDEX('Fleet dates'!$C$9:$C$1008,$I318-8)))</x:f>
      </x:c>
      <x:c r="D318" s="51" t="str">
        <x:f>IF(310&gt;$H$4,"",IF(INDEX('Fleet dates'!$D$9:$D$1008,$I318-8)="","",INDEX('Fleet dates'!$D$9:$D$1008,$I318-8)))</x:f>
      </x:c>
      <x:c r="E318" s="51" t="str">
        <x:f>IF(310&gt;$H$4,"",IF(INDEX('Fleet dates'!$E$9:$E$1008,$I318-8)="","",INDEX('Fleet dates'!$E$9:$E$1008,$I318-8)))</x:f>
      </x:c>
      <x:c r="F318" s="51" t="str">
        <x:f>IF(310&gt;$H$4,"",IF(INDEX('Fleet dates'!$F$9:$F$1008,$I318-8)="","",INDEX('Fleet dates'!$F$9:$F$1008,$I318-8)))</x:f>
      </x:c>
      <x:c r="G318" s="50" t="str">
        <x:f>IF(310&gt;$H$4,"",IF(INDEX('Fleet dates'!$G$9:$G$1008,$I318-8)="","",INDEX('Fleet dates'!$G$9:$G$1008,$I318-8)))</x:f>
      </x:c>
      <x:c r="H318" s="50" t="str">
        <x:f>IF(310&gt;$H$4,"",IF(INDEX('Fleet dates'!$I$9:$I$1008,$I318-8)="","",INDEX('Fleet dates'!$I$9:$I$1008,$I318-8)))</x:f>
      </x:c>
      <x:c r="I318" t="str">
        <x:f>IF(310&gt;$H$4,"",MATCH(310,'Fleet dates'!$K$9:$K$1008,0)+8)</x:f>
      </x:c>
    </x:row>
    <x:row r="319" ht="36" customHeight="1">
      <x:c r="A319" s="50" t="str">
        <x:f>IF(311&gt;$H$4,"",IF(INDEX('Fleet dates'!$A$9:$A$1008,$I319-8)="","",INDEX('Fleet dates'!$A$9:$A$1008,$I319-8)))</x:f>
      </x:c>
      <x:c r="B319" s="50" t="str">
        <x:f>IF(311&gt;$H$4,"",IF(INDEX('Fleet dates'!$B$9:$B$1008,$I319-8)="","",INDEX('Fleet dates'!$B$9:$B$1008,$I319-8)))</x:f>
      </x:c>
      <x:c r="C319" s="51" t="str">
        <x:f>IF(311&gt;$H$4,"",IF(INDEX('Fleet dates'!$C$9:$C$1008,$I319-8)="","",INDEX('Fleet dates'!$C$9:$C$1008,$I319-8)))</x:f>
      </x:c>
      <x:c r="D319" s="51" t="str">
        <x:f>IF(311&gt;$H$4,"",IF(INDEX('Fleet dates'!$D$9:$D$1008,$I319-8)="","",INDEX('Fleet dates'!$D$9:$D$1008,$I319-8)))</x:f>
      </x:c>
      <x:c r="E319" s="51" t="str">
        <x:f>IF(311&gt;$H$4,"",IF(INDEX('Fleet dates'!$E$9:$E$1008,$I319-8)="","",INDEX('Fleet dates'!$E$9:$E$1008,$I319-8)))</x:f>
      </x:c>
      <x:c r="F319" s="51" t="str">
        <x:f>IF(311&gt;$H$4,"",IF(INDEX('Fleet dates'!$F$9:$F$1008,$I319-8)="","",INDEX('Fleet dates'!$F$9:$F$1008,$I319-8)))</x:f>
      </x:c>
      <x:c r="G319" s="50" t="str">
        <x:f>IF(311&gt;$H$4,"",IF(INDEX('Fleet dates'!$G$9:$G$1008,$I319-8)="","",INDEX('Fleet dates'!$G$9:$G$1008,$I319-8)))</x:f>
      </x:c>
      <x:c r="H319" s="50" t="str">
        <x:f>IF(311&gt;$H$4,"",IF(INDEX('Fleet dates'!$I$9:$I$1008,$I319-8)="","",INDEX('Fleet dates'!$I$9:$I$1008,$I319-8)))</x:f>
      </x:c>
      <x:c r="I319" t="str">
        <x:f>IF(311&gt;$H$4,"",MATCH(311,'Fleet dates'!$K$9:$K$1008,0)+8)</x:f>
      </x:c>
    </x:row>
    <x:row r="320" ht="36" customHeight="1">
      <x:c r="A320" s="50" t="str">
        <x:f>IF(312&gt;$H$4,"",IF(INDEX('Fleet dates'!$A$9:$A$1008,$I320-8)="","",INDEX('Fleet dates'!$A$9:$A$1008,$I320-8)))</x:f>
      </x:c>
      <x:c r="B320" s="50" t="str">
        <x:f>IF(312&gt;$H$4,"",IF(INDEX('Fleet dates'!$B$9:$B$1008,$I320-8)="","",INDEX('Fleet dates'!$B$9:$B$1008,$I320-8)))</x:f>
      </x:c>
      <x:c r="C320" s="51" t="str">
        <x:f>IF(312&gt;$H$4,"",IF(INDEX('Fleet dates'!$C$9:$C$1008,$I320-8)="","",INDEX('Fleet dates'!$C$9:$C$1008,$I320-8)))</x:f>
      </x:c>
      <x:c r="D320" s="51" t="str">
        <x:f>IF(312&gt;$H$4,"",IF(INDEX('Fleet dates'!$D$9:$D$1008,$I320-8)="","",INDEX('Fleet dates'!$D$9:$D$1008,$I320-8)))</x:f>
      </x:c>
      <x:c r="E320" s="51" t="str">
        <x:f>IF(312&gt;$H$4,"",IF(INDEX('Fleet dates'!$E$9:$E$1008,$I320-8)="","",INDEX('Fleet dates'!$E$9:$E$1008,$I320-8)))</x:f>
      </x:c>
      <x:c r="F320" s="51" t="str">
        <x:f>IF(312&gt;$H$4,"",IF(INDEX('Fleet dates'!$F$9:$F$1008,$I320-8)="","",INDEX('Fleet dates'!$F$9:$F$1008,$I320-8)))</x:f>
      </x:c>
      <x:c r="G320" s="50" t="str">
        <x:f>IF(312&gt;$H$4,"",IF(INDEX('Fleet dates'!$G$9:$G$1008,$I320-8)="","",INDEX('Fleet dates'!$G$9:$G$1008,$I320-8)))</x:f>
      </x:c>
      <x:c r="H320" s="50" t="str">
        <x:f>IF(312&gt;$H$4,"",IF(INDEX('Fleet dates'!$I$9:$I$1008,$I320-8)="","",INDEX('Fleet dates'!$I$9:$I$1008,$I320-8)))</x:f>
      </x:c>
      <x:c r="I320" t="str">
        <x:f>IF(312&gt;$H$4,"",MATCH(312,'Fleet dates'!$K$9:$K$1008,0)+8)</x:f>
      </x:c>
    </x:row>
    <x:row r="321" ht="36" customHeight="1">
      <x:c r="A321" s="50" t="str">
        <x:f>IF(313&gt;$H$4,"",IF(INDEX('Fleet dates'!$A$9:$A$1008,$I321-8)="","",INDEX('Fleet dates'!$A$9:$A$1008,$I321-8)))</x:f>
      </x:c>
      <x:c r="B321" s="50" t="str">
        <x:f>IF(313&gt;$H$4,"",IF(INDEX('Fleet dates'!$B$9:$B$1008,$I321-8)="","",INDEX('Fleet dates'!$B$9:$B$1008,$I321-8)))</x:f>
      </x:c>
      <x:c r="C321" s="51" t="str">
        <x:f>IF(313&gt;$H$4,"",IF(INDEX('Fleet dates'!$C$9:$C$1008,$I321-8)="","",INDEX('Fleet dates'!$C$9:$C$1008,$I321-8)))</x:f>
      </x:c>
      <x:c r="D321" s="51" t="str">
        <x:f>IF(313&gt;$H$4,"",IF(INDEX('Fleet dates'!$D$9:$D$1008,$I321-8)="","",INDEX('Fleet dates'!$D$9:$D$1008,$I321-8)))</x:f>
      </x:c>
      <x:c r="E321" s="51" t="str">
        <x:f>IF(313&gt;$H$4,"",IF(INDEX('Fleet dates'!$E$9:$E$1008,$I321-8)="","",INDEX('Fleet dates'!$E$9:$E$1008,$I321-8)))</x:f>
      </x:c>
      <x:c r="F321" s="51" t="str">
        <x:f>IF(313&gt;$H$4,"",IF(INDEX('Fleet dates'!$F$9:$F$1008,$I321-8)="","",INDEX('Fleet dates'!$F$9:$F$1008,$I321-8)))</x:f>
      </x:c>
      <x:c r="G321" s="50" t="str">
        <x:f>IF(313&gt;$H$4,"",IF(INDEX('Fleet dates'!$G$9:$G$1008,$I321-8)="","",INDEX('Fleet dates'!$G$9:$G$1008,$I321-8)))</x:f>
      </x:c>
      <x:c r="H321" s="50" t="str">
        <x:f>IF(313&gt;$H$4,"",IF(INDEX('Fleet dates'!$I$9:$I$1008,$I321-8)="","",INDEX('Fleet dates'!$I$9:$I$1008,$I321-8)))</x:f>
      </x:c>
      <x:c r="I321" t="str">
        <x:f>IF(313&gt;$H$4,"",MATCH(313,'Fleet dates'!$K$9:$K$1008,0)+8)</x:f>
      </x:c>
    </x:row>
    <x:row r="322" ht="36" customHeight="1">
      <x:c r="A322" s="50" t="str">
        <x:f>IF(314&gt;$H$4,"",IF(INDEX('Fleet dates'!$A$9:$A$1008,$I322-8)="","",INDEX('Fleet dates'!$A$9:$A$1008,$I322-8)))</x:f>
      </x:c>
      <x:c r="B322" s="50" t="str">
        <x:f>IF(314&gt;$H$4,"",IF(INDEX('Fleet dates'!$B$9:$B$1008,$I322-8)="","",INDEX('Fleet dates'!$B$9:$B$1008,$I322-8)))</x:f>
      </x:c>
      <x:c r="C322" s="51" t="str">
        <x:f>IF(314&gt;$H$4,"",IF(INDEX('Fleet dates'!$C$9:$C$1008,$I322-8)="","",INDEX('Fleet dates'!$C$9:$C$1008,$I322-8)))</x:f>
      </x:c>
      <x:c r="D322" s="51" t="str">
        <x:f>IF(314&gt;$H$4,"",IF(INDEX('Fleet dates'!$D$9:$D$1008,$I322-8)="","",INDEX('Fleet dates'!$D$9:$D$1008,$I322-8)))</x:f>
      </x:c>
      <x:c r="E322" s="51" t="str">
        <x:f>IF(314&gt;$H$4,"",IF(INDEX('Fleet dates'!$E$9:$E$1008,$I322-8)="","",INDEX('Fleet dates'!$E$9:$E$1008,$I322-8)))</x:f>
      </x:c>
      <x:c r="F322" s="51" t="str">
        <x:f>IF(314&gt;$H$4,"",IF(INDEX('Fleet dates'!$F$9:$F$1008,$I322-8)="","",INDEX('Fleet dates'!$F$9:$F$1008,$I322-8)))</x:f>
      </x:c>
      <x:c r="G322" s="50" t="str">
        <x:f>IF(314&gt;$H$4,"",IF(INDEX('Fleet dates'!$G$9:$G$1008,$I322-8)="","",INDEX('Fleet dates'!$G$9:$G$1008,$I322-8)))</x:f>
      </x:c>
      <x:c r="H322" s="50" t="str">
        <x:f>IF(314&gt;$H$4,"",IF(INDEX('Fleet dates'!$I$9:$I$1008,$I322-8)="","",INDEX('Fleet dates'!$I$9:$I$1008,$I322-8)))</x:f>
      </x:c>
      <x:c r="I322" t="str">
        <x:f>IF(314&gt;$H$4,"",MATCH(314,'Fleet dates'!$K$9:$K$1008,0)+8)</x:f>
      </x:c>
    </x:row>
    <x:row r="323" ht="36" customHeight="1">
      <x:c r="A323" s="50" t="str">
        <x:f>IF(315&gt;$H$4,"",IF(INDEX('Fleet dates'!$A$9:$A$1008,$I323-8)="","",INDEX('Fleet dates'!$A$9:$A$1008,$I323-8)))</x:f>
      </x:c>
      <x:c r="B323" s="50" t="str">
        <x:f>IF(315&gt;$H$4,"",IF(INDEX('Fleet dates'!$B$9:$B$1008,$I323-8)="","",INDEX('Fleet dates'!$B$9:$B$1008,$I323-8)))</x:f>
      </x:c>
      <x:c r="C323" s="51" t="str">
        <x:f>IF(315&gt;$H$4,"",IF(INDEX('Fleet dates'!$C$9:$C$1008,$I323-8)="","",INDEX('Fleet dates'!$C$9:$C$1008,$I323-8)))</x:f>
      </x:c>
      <x:c r="D323" s="51" t="str">
        <x:f>IF(315&gt;$H$4,"",IF(INDEX('Fleet dates'!$D$9:$D$1008,$I323-8)="","",INDEX('Fleet dates'!$D$9:$D$1008,$I323-8)))</x:f>
      </x:c>
      <x:c r="E323" s="51" t="str">
        <x:f>IF(315&gt;$H$4,"",IF(INDEX('Fleet dates'!$E$9:$E$1008,$I323-8)="","",INDEX('Fleet dates'!$E$9:$E$1008,$I323-8)))</x:f>
      </x:c>
      <x:c r="F323" s="51" t="str">
        <x:f>IF(315&gt;$H$4,"",IF(INDEX('Fleet dates'!$F$9:$F$1008,$I323-8)="","",INDEX('Fleet dates'!$F$9:$F$1008,$I323-8)))</x:f>
      </x:c>
      <x:c r="G323" s="50" t="str">
        <x:f>IF(315&gt;$H$4,"",IF(INDEX('Fleet dates'!$G$9:$G$1008,$I323-8)="","",INDEX('Fleet dates'!$G$9:$G$1008,$I323-8)))</x:f>
      </x:c>
      <x:c r="H323" s="50" t="str">
        <x:f>IF(315&gt;$H$4,"",IF(INDEX('Fleet dates'!$I$9:$I$1008,$I323-8)="","",INDEX('Fleet dates'!$I$9:$I$1008,$I323-8)))</x:f>
      </x:c>
      <x:c r="I323" t="str">
        <x:f>IF(315&gt;$H$4,"",MATCH(315,'Fleet dates'!$K$9:$K$1008,0)+8)</x:f>
      </x:c>
    </x:row>
    <x:row r="324" ht="36" customHeight="1">
      <x:c r="A324" s="50" t="str">
        <x:f>IF(316&gt;$H$4,"",IF(INDEX('Fleet dates'!$A$9:$A$1008,$I324-8)="","",INDEX('Fleet dates'!$A$9:$A$1008,$I324-8)))</x:f>
      </x:c>
      <x:c r="B324" s="50" t="str">
        <x:f>IF(316&gt;$H$4,"",IF(INDEX('Fleet dates'!$B$9:$B$1008,$I324-8)="","",INDEX('Fleet dates'!$B$9:$B$1008,$I324-8)))</x:f>
      </x:c>
      <x:c r="C324" s="51" t="str">
        <x:f>IF(316&gt;$H$4,"",IF(INDEX('Fleet dates'!$C$9:$C$1008,$I324-8)="","",INDEX('Fleet dates'!$C$9:$C$1008,$I324-8)))</x:f>
      </x:c>
      <x:c r="D324" s="51" t="str">
        <x:f>IF(316&gt;$H$4,"",IF(INDEX('Fleet dates'!$D$9:$D$1008,$I324-8)="","",INDEX('Fleet dates'!$D$9:$D$1008,$I324-8)))</x:f>
      </x:c>
      <x:c r="E324" s="51" t="str">
        <x:f>IF(316&gt;$H$4,"",IF(INDEX('Fleet dates'!$E$9:$E$1008,$I324-8)="","",INDEX('Fleet dates'!$E$9:$E$1008,$I324-8)))</x:f>
      </x:c>
      <x:c r="F324" s="51" t="str">
        <x:f>IF(316&gt;$H$4,"",IF(INDEX('Fleet dates'!$F$9:$F$1008,$I324-8)="","",INDEX('Fleet dates'!$F$9:$F$1008,$I324-8)))</x:f>
      </x:c>
      <x:c r="G324" s="50" t="str">
        <x:f>IF(316&gt;$H$4,"",IF(INDEX('Fleet dates'!$G$9:$G$1008,$I324-8)="","",INDEX('Fleet dates'!$G$9:$G$1008,$I324-8)))</x:f>
      </x:c>
      <x:c r="H324" s="50" t="str">
        <x:f>IF(316&gt;$H$4,"",IF(INDEX('Fleet dates'!$I$9:$I$1008,$I324-8)="","",INDEX('Fleet dates'!$I$9:$I$1008,$I324-8)))</x:f>
      </x:c>
      <x:c r="I324" t="str">
        <x:f>IF(316&gt;$H$4,"",MATCH(316,'Fleet dates'!$K$9:$K$1008,0)+8)</x:f>
      </x:c>
    </x:row>
    <x:row r="325" ht="36" customHeight="1">
      <x:c r="A325" s="50" t="str">
        <x:f>IF(317&gt;$H$4,"",IF(INDEX('Fleet dates'!$A$9:$A$1008,$I325-8)="","",INDEX('Fleet dates'!$A$9:$A$1008,$I325-8)))</x:f>
      </x:c>
      <x:c r="B325" s="50" t="str">
        <x:f>IF(317&gt;$H$4,"",IF(INDEX('Fleet dates'!$B$9:$B$1008,$I325-8)="","",INDEX('Fleet dates'!$B$9:$B$1008,$I325-8)))</x:f>
      </x:c>
      <x:c r="C325" s="51" t="str">
        <x:f>IF(317&gt;$H$4,"",IF(INDEX('Fleet dates'!$C$9:$C$1008,$I325-8)="","",INDEX('Fleet dates'!$C$9:$C$1008,$I325-8)))</x:f>
      </x:c>
      <x:c r="D325" s="51" t="str">
        <x:f>IF(317&gt;$H$4,"",IF(INDEX('Fleet dates'!$D$9:$D$1008,$I325-8)="","",INDEX('Fleet dates'!$D$9:$D$1008,$I325-8)))</x:f>
      </x:c>
      <x:c r="E325" s="51" t="str">
        <x:f>IF(317&gt;$H$4,"",IF(INDEX('Fleet dates'!$E$9:$E$1008,$I325-8)="","",INDEX('Fleet dates'!$E$9:$E$1008,$I325-8)))</x:f>
      </x:c>
      <x:c r="F325" s="51" t="str">
        <x:f>IF(317&gt;$H$4,"",IF(INDEX('Fleet dates'!$F$9:$F$1008,$I325-8)="","",INDEX('Fleet dates'!$F$9:$F$1008,$I325-8)))</x:f>
      </x:c>
      <x:c r="G325" s="50" t="str">
        <x:f>IF(317&gt;$H$4,"",IF(INDEX('Fleet dates'!$G$9:$G$1008,$I325-8)="","",INDEX('Fleet dates'!$G$9:$G$1008,$I325-8)))</x:f>
      </x:c>
      <x:c r="H325" s="50" t="str">
        <x:f>IF(317&gt;$H$4,"",IF(INDEX('Fleet dates'!$I$9:$I$1008,$I325-8)="","",INDEX('Fleet dates'!$I$9:$I$1008,$I325-8)))</x:f>
      </x:c>
      <x:c r="I325" t="str">
        <x:f>IF(317&gt;$H$4,"",MATCH(317,'Fleet dates'!$K$9:$K$1008,0)+8)</x:f>
      </x:c>
    </x:row>
    <x:row r="326" ht="36" customHeight="1">
      <x:c r="A326" s="50" t="str">
        <x:f>IF(318&gt;$H$4,"",IF(INDEX('Fleet dates'!$A$9:$A$1008,$I326-8)="","",INDEX('Fleet dates'!$A$9:$A$1008,$I326-8)))</x:f>
      </x:c>
      <x:c r="B326" s="50" t="str">
        <x:f>IF(318&gt;$H$4,"",IF(INDEX('Fleet dates'!$B$9:$B$1008,$I326-8)="","",INDEX('Fleet dates'!$B$9:$B$1008,$I326-8)))</x:f>
      </x:c>
      <x:c r="C326" s="51" t="str">
        <x:f>IF(318&gt;$H$4,"",IF(INDEX('Fleet dates'!$C$9:$C$1008,$I326-8)="","",INDEX('Fleet dates'!$C$9:$C$1008,$I326-8)))</x:f>
      </x:c>
      <x:c r="D326" s="51" t="str">
        <x:f>IF(318&gt;$H$4,"",IF(INDEX('Fleet dates'!$D$9:$D$1008,$I326-8)="","",INDEX('Fleet dates'!$D$9:$D$1008,$I326-8)))</x:f>
      </x:c>
      <x:c r="E326" s="51" t="str">
        <x:f>IF(318&gt;$H$4,"",IF(INDEX('Fleet dates'!$E$9:$E$1008,$I326-8)="","",INDEX('Fleet dates'!$E$9:$E$1008,$I326-8)))</x:f>
      </x:c>
      <x:c r="F326" s="51" t="str">
        <x:f>IF(318&gt;$H$4,"",IF(INDEX('Fleet dates'!$F$9:$F$1008,$I326-8)="","",INDEX('Fleet dates'!$F$9:$F$1008,$I326-8)))</x:f>
      </x:c>
      <x:c r="G326" s="50" t="str">
        <x:f>IF(318&gt;$H$4,"",IF(INDEX('Fleet dates'!$G$9:$G$1008,$I326-8)="","",INDEX('Fleet dates'!$G$9:$G$1008,$I326-8)))</x:f>
      </x:c>
      <x:c r="H326" s="50" t="str">
        <x:f>IF(318&gt;$H$4,"",IF(INDEX('Fleet dates'!$I$9:$I$1008,$I326-8)="","",INDEX('Fleet dates'!$I$9:$I$1008,$I326-8)))</x:f>
      </x:c>
      <x:c r="I326" t="str">
        <x:f>IF(318&gt;$H$4,"",MATCH(318,'Fleet dates'!$K$9:$K$1008,0)+8)</x:f>
      </x:c>
    </x:row>
    <x:row r="327" ht="36" customHeight="1">
      <x:c r="A327" s="50" t="str">
        <x:f>IF(319&gt;$H$4,"",IF(INDEX('Fleet dates'!$A$9:$A$1008,$I327-8)="","",INDEX('Fleet dates'!$A$9:$A$1008,$I327-8)))</x:f>
      </x:c>
      <x:c r="B327" s="50" t="str">
        <x:f>IF(319&gt;$H$4,"",IF(INDEX('Fleet dates'!$B$9:$B$1008,$I327-8)="","",INDEX('Fleet dates'!$B$9:$B$1008,$I327-8)))</x:f>
      </x:c>
      <x:c r="C327" s="51" t="str">
        <x:f>IF(319&gt;$H$4,"",IF(INDEX('Fleet dates'!$C$9:$C$1008,$I327-8)="","",INDEX('Fleet dates'!$C$9:$C$1008,$I327-8)))</x:f>
      </x:c>
      <x:c r="D327" s="51" t="str">
        <x:f>IF(319&gt;$H$4,"",IF(INDEX('Fleet dates'!$D$9:$D$1008,$I327-8)="","",INDEX('Fleet dates'!$D$9:$D$1008,$I327-8)))</x:f>
      </x:c>
      <x:c r="E327" s="51" t="str">
        <x:f>IF(319&gt;$H$4,"",IF(INDEX('Fleet dates'!$E$9:$E$1008,$I327-8)="","",INDEX('Fleet dates'!$E$9:$E$1008,$I327-8)))</x:f>
      </x:c>
      <x:c r="F327" s="51" t="str">
        <x:f>IF(319&gt;$H$4,"",IF(INDEX('Fleet dates'!$F$9:$F$1008,$I327-8)="","",INDEX('Fleet dates'!$F$9:$F$1008,$I327-8)))</x:f>
      </x:c>
      <x:c r="G327" s="50" t="str">
        <x:f>IF(319&gt;$H$4,"",IF(INDEX('Fleet dates'!$G$9:$G$1008,$I327-8)="","",INDEX('Fleet dates'!$G$9:$G$1008,$I327-8)))</x:f>
      </x:c>
      <x:c r="H327" s="50" t="str">
        <x:f>IF(319&gt;$H$4,"",IF(INDEX('Fleet dates'!$I$9:$I$1008,$I327-8)="","",INDEX('Fleet dates'!$I$9:$I$1008,$I327-8)))</x:f>
      </x:c>
      <x:c r="I327" t="str">
        <x:f>IF(319&gt;$H$4,"",MATCH(319,'Fleet dates'!$K$9:$K$1008,0)+8)</x:f>
      </x:c>
    </x:row>
    <x:row r="328" ht="36" customHeight="1">
      <x:c r="A328" s="50" t="str">
        <x:f>IF(320&gt;$H$4,"",IF(INDEX('Fleet dates'!$A$9:$A$1008,$I328-8)="","",INDEX('Fleet dates'!$A$9:$A$1008,$I328-8)))</x:f>
      </x:c>
      <x:c r="B328" s="50" t="str">
        <x:f>IF(320&gt;$H$4,"",IF(INDEX('Fleet dates'!$B$9:$B$1008,$I328-8)="","",INDEX('Fleet dates'!$B$9:$B$1008,$I328-8)))</x:f>
      </x:c>
      <x:c r="C328" s="51" t="str">
        <x:f>IF(320&gt;$H$4,"",IF(INDEX('Fleet dates'!$C$9:$C$1008,$I328-8)="","",INDEX('Fleet dates'!$C$9:$C$1008,$I328-8)))</x:f>
      </x:c>
      <x:c r="D328" s="51" t="str">
        <x:f>IF(320&gt;$H$4,"",IF(INDEX('Fleet dates'!$D$9:$D$1008,$I328-8)="","",INDEX('Fleet dates'!$D$9:$D$1008,$I328-8)))</x:f>
      </x:c>
      <x:c r="E328" s="51" t="str">
        <x:f>IF(320&gt;$H$4,"",IF(INDEX('Fleet dates'!$E$9:$E$1008,$I328-8)="","",INDEX('Fleet dates'!$E$9:$E$1008,$I328-8)))</x:f>
      </x:c>
      <x:c r="F328" s="51" t="str">
        <x:f>IF(320&gt;$H$4,"",IF(INDEX('Fleet dates'!$F$9:$F$1008,$I328-8)="","",INDEX('Fleet dates'!$F$9:$F$1008,$I328-8)))</x:f>
      </x:c>
      <x:c r="G328" s="50" t="str">
        <x:f>IF(320&gt;$H$4,"",IF(INDEX('Fleet dates'!$G$9:$G$1008,$I328-8)="","",INDEX('Fleet dates'!$G$9:$G$1008,$I328-8)))</x:f>
      </x:c>
      <x:c r="H328" s="50" t="str">
        <x:f>IF(320&gt;$H$4,"",IF(INDEX('Fleet dates'!$I$9:$I$1008,$I328-8)="","",INDEX('Fleet dates'!$I$9:$I$1008,$I328-8)))</x:f>
      </x:c>
      <x:c r="I328" t="str">
        <x:f>IF(320&gt;$H$4,"",MATCH(320,'Fleet dates'!$K$9:$K$1008,0)+8)</x:f>
      </x:c>
    </x:row>
    <x:row r="329" ht="36" customHeight="1">
      <x:c r="A329" s="50" t="str">
        <x:f>IF(321&gt;$H$4,"",IF(INDEX('Fleet dates'!$A$9:$A$1008,$I329-8)="","",INDEX('Fleet dates'!$A$9:$A$1008,$I329-8)))</x:f>
      </x:c>
      <x:c r="B329" s="50" t="str">
        <x:f>IF(321&gt;$H$4,"",IF(INDEX('Fleet dates'!$B$9:$B$1008,$I329-8)="","",INDEX('Fleet dates'!$B$9:$B$1008,$I329-8)))</x:f>
      </x:c>
      <x:c r="C329" s="51" t="str">
        <x:f>IF(321&gt;$H$4,"",IF(INDEX('Fleet dates'!$C$9:$C$1008,$I329-8)="","",INDEX('Fleet dates'!$C$9:$C$1008,$I329-8)))</x:f>
      </x:c>
      <x:c r="D329" s="51" t="str">
        <x:f>IF(321&gt;$H$4,"",IF(INDEX('Fleet dates'!$D$9:$D$1008,$I329-8)="","",INDEX('Fleet dates'!$D$9:$D$1008,$I329-8)))</x:f>
      </x:c>
      <x:c r="E329" s="51" t="str">
        <x:f>IF(321&gt;$H$4,"",IF(INDEX('Fleet dates'!$E$9:$E$1008,$I329-8)="","",INDEX('Fleet dates'!$E$9:$E$1008,$I329-8)))</x:f>
      </x:c>
      <x:c r="F329" s="51" t="str">
        <x:f>IF(321&gt;$H$4,"",IF(INDEX('Fleet dates'!$F$9:$F$1008,$I329-8)="","",INDEX('Fleet dates'!$F$9:$F$1008,$I329-8)))</x:f>
      </x:c>
      <x:c r="G329" s="50" t="str">
        <x:f>IF(321&gt;$H$4,"",IF(INDEX('Fleet dates'!$G$9:$G$1008,$I329-8)="","",INDEX('Fleet dates'!$G$9:$G$1008,$I329-8)))</x:f>
      </x:c>
      <x:c r="H329" s="50" t="str">
        <x:f>IF(321&gt;$H$4,"",IF(INDEX('Fleet dates'!$I$9:$I$1008,$I329-8)="","",INDEX('Fleet dates'!$I$9:$I$1008,$I329-8)))</x:f>
      </x:c>
      <x:c r="I329" t="str">
        <x:f>IF(321&gt;$H$4,"",MATCH(321,'Fleet dates'!$K$9:$K$1008,0)+8)</x:f>
      </x:c>
    </x:row>
    <x:row r="330" ht="36" customHeight="1">
      <x:c r="A330" s="50" t="str">
        <x:f>IF(322&gt;$H$4,"",IF(INDEX('Fleet dates'!$A$9:$A$1008,$I330-8)="","",INDEX('Fleet dates'!$A$9:$A$1008,$I330-8)))</x:f>
      </x:c>
      <x:c r="B330" s="50" t="str">
        <x:f>IF(322&gt;$H$4,"",IF(INDEX('Fleet dates'!$B$9:$B$1008,$I330-8)="","",INDEX('Fleet dates'!$B$9:$B$1008,$I330-8)))</x:f>
      </x:c>
      <x:c r="C330" s="51" t="str">
        <x:f>IF(322&gt;$H$4,"",IF(INDEX('Fleet dates'!$C$9:$C$1008,$I330-8)="","",INDEX('Fleet dates'!$C$9:$C$1008,$I330-8)))</x:f>
      </x:c>
      <x:c r="D330" s="51" t="str">
        <x:f>IF(322&gt;$H$4,"",IF(INDEX('Fleet dates'!$D$9:$D$1008,$I330-8)="","",INDEX('Fleet dates'!$D$9:$D$1008,$I330-8)))</x:f>
      </x:c>
      <x:c r="E330" s="51" t="str">
        <x:f>IF(322&gt;$H$4,"",IF(INDEX('Fleet dates'!$E$9:$E$1008,$I330-8)="","",INDEX('Fleet dates'!$E$9:$E$1008,$I330-8)))</x:f>
      </x:c>
      <x:c r="F330" s="51" t="str">
        <x:f>IF(322&gt;$H$4,"",IF(INDEX('Fleet dates'!$F$9:$F$1008,$I330-8)="","",INDEX('Fleet dates'!$F$9:$F$1008,$I330-8)))</x:f>
      </x:c>
      <x:c r="G330" s="50" t="str">
        <x:f>IF(322&gt;$H$4,"",IF(INDEX('Fleet dates'!$G$9:$G$1008,$I330-8)="","",INDEX('Fleet dates'!$G$9:$G$1008,$I330-8)))</x:f>
      </x:c>
      <x:c r="H330" s="50" t="str">
        <x:f>IF(322&gt;$H$4,"",IF(INDEX('Fleet dates'!$I$9:$I$1008,$I330-8)="","",INDEX('Fleet dates'!$I$9:$I$1008,$I330-8)))</x:f>
      </x:c>
      <x:c r="I330" t="str">
        <x:f>IF(322&gt;$H$4,"",MATCH(322,'Fleet dates'!$K$9:$K$1008,0)+8)</x:f>
      </x:c>
    </x:row>
    <x:row r="331" ht="36" customHeight="1">
      <x:c r="A331" s="50" t="str">
        <x:f>IF(323&gt;$H$4,"",IF(INDEX('Fleet dates'!$A$9:$A$1008,$I331-8)="","",INDEX('Fleet dates'!$A$9:$A$1008,$I331-8)))</x:f>
      </x:c>
      <x:c r="B331" s="50" t="str">
        <x:f>IF(323&gt;$H$4,"",IF(INDEX('Fleet dates'!$B$9:$B$1008,$I331-8)="","",INDEX('Fleet dates'!$B$9:$B$1008,$I331-8)))</x:f>
      </x:c>
      <x:c r="C331" s="51" t="str">
        <x:f>IF(323&gt;$H$4,"",IF(INDEX('Fleet dates'!$C$9:$C$1008,$I331-8)="","",INDEX('Fleet dates'!$C$9:$C$1008,$I331-8)))</x:f>
      </x:c>
      <x:c r="D331" s="51" t="str">
        <x:f>IF(323&gt;$H$4,"",IF(INDEX('Fleet dates'!$D$9:$D$1008,$I331-8)="","",INDEX('Fleet dates'!$D$9:$D$1008,$I331-8)))</x:f>
      </x:c>
      <x:c r="E331" s="51" t="str">
        <x:f>IF(323&gt;$H$4,"",IF(INDEX('Fleet dates'!$E$9:$E$1008,$I331-8)="","",INDEX('Fleet dates'!$E$9:$E$1008,$I331-8)))</x:f>
      </x:c>
      <x:c r="F331" s="51" t="str">
        <x:f>IF(323&gt;$H$4,"",IF(INDEX('Fleet dates'!$F$9:$F$1008,$I331-8)="","",INDEX('Fleet dates'!$F$9:$F$1008,$I331-8)))</x:f>
      </x:c>
      <x:c r="G331" s="50" t="str">
        <x:f>IF(323&gt;$H$4,"",IF(INDEX('Fleet dates'!$G$9:$G$1008,$I331-8)="","",INDEX('Fleet dates'!$G$9:$G$1008,$I331-8)))</x:f>
      </x:c>
      <x:c r="H331" s="50" t="str">
        <x:f>IF(323&gt;$H$4,"",IF(INDEX('Fleet dates'!$I$9:$I$1008,$I331-8)="","",INDEX('Fleet dates'!$I$9:$I$1008,$I331-8)))</x:f>
      </x:c>
      <x:c r="I331" t="str">
        <x:f>IF(323&gt;$H$4,"",MATCH(323,'Fleet dates'!$K$9:$K$1008,0)+8)</x:f>
      </x:c>
    </x:row>
    <x:row r="332" ht="36" customHeight="1">
      <x:c r="A332" s="50" t="str">
        <x:f>IF(324&gt;$H$4,"",IF(INDEX('Fleet dates'!$A$9:$A$1008,$I332-8)="","",INDEX('Fleet dates'!$A$9:$A$1008,$I332-8)))</x:f>
      </x:c>
      <x:c r="B332" s="50" t="str">
        <x:f>IF(324&gt;$H$4,"",IF(INDEX('Fleet dates'!$B$9:$B$1008,$I332-8)="","",INDEX('Fleet dates'!$B$9:$B$1008,$I332-8)))</x:f>
      </x:c>
      <x:c r="C332" s="51" t="str">
        <x:f>IF(324&gt;$H$4,"",IF(INDEX('Fleet dates'!$C$9:$C$1008,$I332-8)="","",INDEX('Fleet dates'!$C$9:$C$1008,$I332-8)))</x:f>
      </x:c>
      <x:c r="D332" s="51" t="str">
        <x:f>IF(324&gt;$H$4,"",IF(INDEX('Fleet dates'!$D$9:$D$1008,$I332-8)="","",INDEX('Fleet dates'!$D$9:$D$1008,$I332-8)))</x:f>
      </x:c>
      <x:c r="E332" s="51" t="str">
        <x:f>IF(324&gt;$H$4,"",IF(INDEX('Fleet dates'!$E$9:$E$1008,$I332-8)="","",INDEX('Fleet dates'!$E$9:$E$1008,$I332-8)))</x:f>
      </x:c>
      <x:c r="F332" s="51" t="str">
        <x:f>IF(324&gt;$H$4,"",IF(INDEX('Fleet dates'!$F$9:$F$1008,$I332-8)="","",INDEX('Fleet dates'!$F$9:$F$1008,$I332-8)))</x:f>
      </x:c>
      <x:c r="G332" s="50" t="str">
        <x:f>IF(324&gt;$H$4,"",IF(INDEX('Fleet dates'!$G$9:$G$1008,$I332-8)="","",INDEX('Fleet dates'!$G$9:$G$1008,$I332-8)))</x:f>
      </x:c>
      <x:c r="H332" s="50" t="str">
        <x:f>IF(324&gt;$H$4,"",IF(INDEX('Fleet dates'!$I$9:$I$1008,$I332-8)="","",INDEX('Fleet dates'!$I$9:$I$1008,$I332-8)))</x:f>
      </x:c>
      <x:c r="I332" t="str">
        <x:f>IF(324&gt;$H$4,"",MATCH(324,'Fleet dates'!$K$9:$K$1008,0)+8)</x:f>
      </x:c>
    </x:row>
    <x:row r="333" ht="36" customHeight="1">
      <x:c r="A333" s="50" t="str">
        <x:f>IF(325&gt;$H$4,"",IF(INDEX('Fleet dates'!$A$9:$A$1008,$I333-8)="","",INDEX('Fleet dates'!$A$9:$A$1008,$I333-8)))</x:f>
      </x:c>
      <x:c r="B333" s="50" t="str">
        <x:f>IF(325&gt;$H$4,"",IF(INDEX('Fleet dates'!$B$9:$B$1008,$I333-8)="","",INDEX('Fleet dates'!$B$9:$B$1008,$I333-8)))</x:f>
      </x:c>
      <x:c r="C333" s="51" t="str">
        <x:f>IF(325&gt;$H$4,"",IF(INDEX('Fleet dates'!$C$9:$C$1008,$I333-8)="","",INDEX('Fleet dates'!$C$9:$C$1008,$I333-8)))</x:f>
      </x:c>
      <x:c r="D333" s="51" t="str">
        <x:f>IF(325&gt;$H$4,"",IF(INDEX('Fleet dates'!$D$9:$D$1008,$I333-8)="","",INDEX('Fleet dates'!$D$9:$D$1008,$I333-8)))</x:f>
      </x:c>
      <x:c r="E333" s="51" t="str">
        <x:f>IF(325&gt;$H$4,"",IF(INDEX('Fleet dates'!$E$9:$E$1008,$I333-8)="","",INDEX('Fleet dates'!$E$9:$E$1008,$I333-8)))</x:f>
      </x:c>
      <x:c r="F333" s="51" t="str">
        <x:f>IF(325&gt;$H$4,"",IF(INDEX('Fleet dates'!$F$9:$F$1008,$I333-8)="","",INDEX('Fleet dates'!$F$9:$F$1008,$I333-8)))</x:f>
      </x:c>
      <x:c r="G333" s="50" t="str">
        <x:f>IF(325&gt;$H$4,"",IF(INDEX('Fleet dates'!$G$9:$G$1008,$I333-8)="","",INDEX('Fleet dates'!$G$9:$G$1008,$I333-8)))</x:f>
      </x:c>
      <x:c r="H333" s="50" t="str">
        <x:f>IF(325&gt;$H$4,"",IF(INDEX('Fleet dates'!$I$9:$I$1008,$I333-8)="","",INDEX('Fleet dates'!$I$9:$I$1008,$I333-8)))</x:f>
      </x:c>
      <x:c r="I333" t="str">
        <x:f>IF(325&gt;$H$4,"",MATCH(325,'Fleet dates'!$K$9:$K$1008,0)+8)</x:f>
      </x:c>
    </x:row>
    <x:row r="334" ht="36" customHeight="1">
      <x:c r="A334" s="50" t="str">
        <x:f>IF(326&gt;$H$4,"",IF(INDEX('Fleet dates'!$A$9:$A$1008,$I334-8)="","",INDEX('Fleet dates'!$A$9:$A$1008,$I334-8)))</x:f>
      </x:c>
      <x:c r="B334" s="50" t="str">
        <x:f>IF(326&gt;$H$4,"",IF(INDEX('Fleet dates'!$B$9:$B$1008,$I334-8)="","",INDEX('Fleet dates'!$B$9:$B$1008,$I334-8)))</x:f>
      </x:c>
      <x:c r="C334" s="51" t="str">
        <x:f>IF(326&gt;$H$4,"",IF(INDEX('Fleet dates'!$C$9:$C$1008,$I334-8)="","",INDEX('Fleet dates'!$C$9:$C$1008,$I334-8)))</x:f>
      </x:c>
      <x:c r="D334" s="51" t="str">
        <x:f>IF(326&gt;$H$4,"",IF(INDEX('Fleet dates'!$D$9:$D$1008,$I334-8)="","",INDEX('Fleet dates'!$D$9:$D$1008,$I334-8)))</x:f>
      </x:c>
      <x:c r="E334" s="51" t="str">
        <x:f>IF(326&gt;$H$4,"",IF(INDEX('Fleet dates'!$E$9:$E$1008,$I334-8)="","",INDEX('Fleet dates'!$E$9:$E$1008,$I334-8)))</x:f>
      </x:c>
      <x:c r="F334" s="51" t="str">
        <x:f>IF(326&gt;$H$4,"",IF(INDEX('Fleet dates'!$F$9:$F$1008,$I334-8)="","",INDEX('Fleet dates'!$F$9:$F$1008,$I334-8)))</x:f>
      </x:c>
      <x:c r="G334" s="50" t="str">
        <x:f>IF(326&gt;$H$4,"",IF(INDEX('Fleet dates'!$G$9:$G$1008,$I334-8)="","",INDEX('Fleet dates'!$G$9:$G$1008,$I334-8)))</x:f>
      </x:c>
      <x:c r="H334" s="50" t="str">
        <x:f>IF(326&gt;$H$4,"",IF(INDEX('Fleet dates'!$I$9:$I$1008,$I334-8)="","",INDEX('Fleet dates'!$I$9:$I$1008,$I334-8)))</x:f>
      </x:c>
      <x:c r="I334" t="str">
        <x:f>IF(326&gt;$H$4,"",MATCH(326,'Fleet dates'!$K$9:$K$1008,0)+8)</x:f>
      </x:c>
    </x:row>
    <x:row r="335" ht="36" customHeight="1">
      <x:c r="A335" s="50" t="str">
        <x:f>IF(327&gt;$H$4,"",IF(INDEX('Fleet dates'!$A$9:$A$1008,$I335-8)="","",INDEX('Fleet dates'!$A$9:$A$1008,$I335-8)))</x:f>
      </x:c>
      <x:c r="B335" s="50" t="str">
        <x:f>IF(327&gt;$H$4,"",IF(INDEX('Fleet dates'!$B$9:$B$1008,$I335-8)="","",INDEX('Fleet dates'!$B$9:$B$1008,$I335-8)))</x:f>
      </x:c>
      <x:c r="C335" s="51" t="str">
        <x:f>IF(327&gt;$H$4,"",IF(INDEX('Fleet dates'!$C$9:$C$1008,$I335-8)="","",INDEX('Fleet dates'!$C$9:$C$1008,$I335-8)))</x:f>
      </x:c>
      <x:c r="D335" s="51" t="str">
        <x:f>IF(327&gt;$H$4,"",IF(INDEX('Fleet dates'!$D$9:$D$1008,$I335-8)="","",INDEX('Fleet dates'!$D$9:$D$1008,$I335-8)))</x:f>
      </x:c>
      <x:c r="E335" s="51" t="str">
        <x:f>IF(327&gt;$H$4,"",IF(INDEX('Fleet dates'!$E$9:$E$1008,$I335-8)="","",INDEX('Fleet dates'!$E$9:$E$1008,$I335-8)))</x:f>
      </x:c>
      <x:c r="F335" s="51" t="str">
        <x:f>IF(327&gt;$H$4,"",IF(INDEX('Fleet dates'!$F$9:$F$1008,$I335-8)="","",INDEX('Fleet dates'!$F$9:$F$1008,$I335-8)))</x:f>
      </x:c>
      <x:c r="G335" s="50" t="str">
        <x:f>IF(327&gt;$H$4,"",IF(INDEX('Fleet dates'!$G$9:$G$1008,$I335-8)="","",INDEX('Fleet dates'!$G$9:$G$1008,$I335-8)))</x:f>
      </x:c>
      <x:c r="H335" s="50" t="str">
        <x:f>IF(327&gt;$H$4,"",IF(INDEX('Fleet dates'!$I$9:$I$1008,$I335-8)="","",INDEX('Fleet dates'!$I$9:$I$1008,$I335-8)))</x:f>
      </x:c>
      <x:c r="I335" t="str">
        <x:f>IF(327&gt;$H$4,"",MATCH(327,'Fleet dates'!$K$9:$K$1008,0)+8)</x:f>
      </x:c>
    </x:row>
    <x:row r="336" ht="36" customHeight="1">
      <x:c r="A336" s="50" t="str">
        <x:f>IF(328&gt;$H$4,"",IF(INDEX('Fleet dates'!$A$9:$A$1008,$I336-8)="","",INDEX('Fleet dates'!$A$9:$A$1008,$I336-8)))</x:f>
      </x:c>
      <x:c r="B336" s="50" t="str">
        <x:f>IF(328&gt;$H$4,"",IF(INDEX('Fleet dates'!$B$9:$B$1008,$I336-8)="","",INDEX('Fleet dates'!$B$9:$B$1008,$I336-8)))</x:f>
      </x:c>
      <x:c r="C336" s="51" t="str">
        <x:f>IF(328&gt;$H$4,"",IF(INDEX('Fleet dates'!$C$9:$C$1008,$I336-8)="","",INDEX('Fleet dates'!$C$9:$C$1008,$I336-8)))</x:f>
      </x:c>
      <x:c r="D336" s="51" t="str">
        <x:f>IF(328&gt;$H$4,"",IF(INDEX('Fleet dates'!$D$9:$D$1008,$I336-8)="","",INDEX('Fleet dates'!$D$9:$D$1008,$I336-8)))</x:f>
      </x:c>
      <x:c r="E336" s="51" t="str">
        <x:f>IF(328&gt;$H$4,"",IF(INDEX('Fleet dates'!$E$9:$E$1008,$I336-8)="","",INDEX('Fleet dates'!$E$9:$E$1008,$I336-8)))</x:f>
      </x:c>
      <x:c r="F336" s="51" t="str">
        <x:f>IF(328&gt;$H$4,"",IF(INDEX('Fleet dates'!$F$9:$F$1008,$I336-8)="","",INDEX('Fleet dates'!$F$9:$F$1008,$I336-8)))</x:f>
      </x:c>
      <x:c r="G336" s="50" t="str">
        <x:f>IF(328&gt;$H$4,"",IF(INDEX('Fleet dates'!$G$9:$G$1008,$I336-8)="","",INDEX('Fleet dates'!$G$9:$G$1008,$I336-8)))</x:f>
      </x:c>
      <x:c r="H336" s="50" t="str">
        <x:f>IF(328&gt;$H$4,"",IF(INDEX('Fleet dates'!$I$9:$I$1008,$I336-8)="","",INDEX('Fleet dates'!$I$9:$I$1008,$I336-8)))</x:f>
      </x:c>
      <x:c r="I336" t="str">
        <x:f>IF(328&gt;$H$4,"",MATCH(328,'Fleet dates'!$K$9:$K$1008,0)+8)</x:f>
      </x:c>
    </x:row>
    <x:row r="337" ht="36" customHeight="1">
      <x:c r="A337" s="50" t="str">
        <x:f>IF(329&gt;$H$4,"",IF(INDEX('Fleet dates'!$A$9:$A$1008,$I337-8)="","",INDEX('Fleet dates'!$A$9:$A$1008,$I337-8)))</x:f>
      </x:c>
      <x:c r="B337" s="50" t="str">
        <x:f>IF(329&gt;$H$4,"",IF(INDEX('Fleet dates'!$B$9:$B$1008,$I337-8)="","",INDEX('Fleet dates'!$B$9:$B$1008,$I337-8)))</x:f>
      </x:c>
      <x:c r="C337" s="51" t="str">
        <x:f>IF(329&gt;$H$4,"",IF(INDEX('Fleet dates'!$C$9:$C$1008,$I337-8)="","",INDEX('Fleet dates'!$C$9:$C$1008,$I337-8)))</x:f>
      </x:c>
      <x:c r="D337" s="51" t="str">
        <x:f>IF(329&gt;$H$4,"",IF(INDEX('Fleet dates'!$D$9:$D$1008,$I337-8)="","",INDEX('Fleet dates'!$D$9:$D$1008,$I337-8)))</x:f>
      </x:c>
      <x:c r="E337" s="51" t="str">
        <x:f>IF(329&gt;$H$4,"",IF(INDEX('Fleet dates'!$E$9:$E$1008,$I337-8)="","",INDEX('Fleet dates'!$E$9:$E$1008,$I337-8)))</x:f>
      </x:c>
      <x:c r="F337" s="51" t="str">
        <x:f>IF(329&gt;$H$4,"",IF(INDEX('Fleet dates'!$F$9:$F$1008,$I337-8)="","",INDEX('Fleet dates'!$F$9:$F$1008,$I337-8)))</x:f>
      </x:c>
      <x:c r="G337" s="50" t="str">
        <x:f>IF(329&gt;$H$4,"",IF(INDEX('Fleet dates'!$G$9:$G$1008,$I337-8)="","",INDEX('Fleet dates'!$G$9:$G$1008,$I337-8)))</x:f>
      </x:c>
      <x:c r="H337" s="50" t="str">
        <x:f>IF(329&gt;$H$4,"",IF(INDEX('Fleet dates'!$I$9:$I$1008,$I337-8)="","",INDEX('Fleet dates'!$I$9:$I$1008,$I337-8)))</x:f>
      </x:c>
      <x:c r="I337" t="str">
        <x:f>IF(329&gt;$H$4,"",MATCH(329,'Fleet dates'!$K$9:$K$1008,0)+8)</x:f>
      </x:c>
    </x:row>
    <x:row r="338" ht="36" customHeight="1">
      <x:c r="A338" s="50" t="str">
        <x:f>IF(330&gt;$H$4,"",IF(INDEX('Fleet dates'!$A$9:$A$1008,$I338-8)="","",INDEX('Fleet dates'!$A$9:$A$1008,$I338-8)))</x:f>
      </x:c>
      <x:c r="B338" s="50" t="str">
        <x:f>IF(330&gt;$H$4,"",IF(INDEX('Fleet dates'!$B$9:$B$1008,$I338-8)="","",INDEX('Fleet dates'!$B$9:$B$1008,$I338-8)))</x:f>
      </x:c>
      <x:c r="C338" s="51" t="str">
        <x:f>IF(330&gt;$H$4,"",IF(INDEX('Fleet dates'!$C$9:$C$1008,$I338-8)="","",INDEX('Fleet dates'!$C$9:$C$1008,$I338-8)))</x:f>
      </x:c>
      <x:c r="D338" s="51" t="str">
        <x:f>IF(330&gt;$H$4,"",IF(INDEX('Fleet dates'!$D$9:$D$1008,$I338-8)="","",INDEX('Fleet dates'!$D$9:$D$1008,$I338-8)))</x:f>
      </x:c>
      <x:c r="E338" s="51" t="str">
        <x:f>IF(330&gt;$H$4,"",IF(INDEX('Fleet dates'!$E$9:$E$1008,$I338-8)="","",INDEX('Fleet dates'!$E$9:$E$1008,$I338-8)))</x:f>
      </x:c>
      <x:c r="F338" s="51" t="str">
        <x:f>IF(330&gt;$H$4,"",IF(INDEX('Fleet dates'!$F$9:$F$1008,$I338-8)="","",INDEX('Fleet dates'!$F$9:$F$1008,$I338-8)))</x:f>
      </x:c>
      <x:c r="G338" s="50" t="str">
        <x:f>IF(330&gt;$H$4,"",IF(INDEX('Fleet dates'!$G$9:$G$1008,$I338-8)="","",INDEX('Fleet dates'!$G$9:$G$1008,$I338-8)))</x:f>
      </x:c>
      <x:c r="H338" s="50" t="str">
        <x:f>IF(330&gt;$H$4,"",IF(INDEX('Fleet dates'!$I$9:$I$1008,$I338-8)="","",INDEX('Fleet dates'!$I$9:$I$1008,$I338-8)))</x:f>
      </x:c>
      <x:c r="I338" t="str">
        <x:f>IF(330&gt;$H$4,"",MATCH(330,'Fleet dates'!$K$9:$K$1008,0)+8)</x:f>
      </x:c>
    </x:row>
    <x:row r="339" ht="36" customHeight="1">
      <x:c r="A339" s="50" t="str">
        <x:f>IF(331&gt;$H$4,"",IF(INDEX('Fleet dates'!$A$9:$A$1008,$I339-8)="","",INDEX('Fleet dates'!$A$9:$A$1008,$I339-8)))</x:f>
      </x:c>
      <x:c r="B339" s="50" t="str">
        <x:f>IF(331&gt;$H$4,"",IF(INDEX('Fleet dates'!$B$9:$B$1008,$I339-8)="","",INDEX('Fleet dates'!$B$9:$B$1008,$I339-8)))</x:f>
      </x:c>
      <x:c r="C339" s="51" t="str">
        <x:f>IF(331&gt;$H$4,"",IF(INDEX('Fleet dates'!$C$9:$C$1008,$I339-8)="","",INDEX('Fleet dates'!$C$9:$C$1008,$I339-8)))</x:f>
      </x:c>
      <x:c r="D339" s="51" t="str">
        <x:f>IF(331&gt;$H$4,"",IF(INDEX('Fleet dates'!$D$9:$D$1008,$I339-8)="","",INDEX('Fleet dates'!$D$9:$D$1008,$I339-8)))</x:f>
      </x:c>
      <x:c r="E339" s="51" t="str">
        <x:f>IF(331&gt;$H$4,"",IF(INDEX('Fleet dates'!$E$9:$E$1008,$I339-8)="","",INDEX('Fleet dates'!$E$9:$E$1008,$I339-8)))</x:f>
      </x:c>
      <x:c r="F339" s="51" t="str">
        <x:f>IF(331&gt;$H$4,"",IF(INDEX('Fleet dates'!$F$9:$F$1008,$I339-8)="","",INDEX('Fleet dates'!$F$9:$F$1008,$I339-8)))</x:f>
      </x:c>
      <x:c r="G339" s="50" t="str">
        <x:f>IF(331&gt;$H$4,"",IF(INDEX('Fleet dates'!$G$9:$G$1008,$I339-8)="","",INDEX('Fleet dates'!$G$9:$G$1008,$I339-8)))</x:f>
      </x:c>
      <x:c r="H339" s="50" t="str">
        <x:f>IF(331&gt;$H$4,"",IF(INDEX('Fleet dates'!$I$9:$I$1008,$I339-8)="","",INDEX('Fleet dates'!$I$9:$I$1008,$I339-8)))</x:f>
      </x:c>
      <x:c r="I339" t="str">
        <x:f>IF(331&gt;$H$4,"",MATCH(331,'Fleet dates'!$K$9:$K$1008,0)+8)</x:f>
      </x:c>
    </x:row>
    <x:row r="340" ht="36" customHeight="1">
      <x:c r="A340" s="50" t="str">
        <x:f>IF(332&gt;$H$4,"",IF(INDEX('Fleet dates'!$A$9:$A$1008,$I340-8)="","",INDEX('Fleet dates'!$A$9:$A$1008,$I340-8)))</x:f>
      </x:c>
      <x:c r="B340" s="50" t="str">
        <x:f>IF(332&gt;$H$4,"",IF(INDEX('Fleet dates'!$B$9:$B$1008,$I340-8)="","",INDEX('Fleet dates'!$B$9:$B$1008,$I340-8)))</x:f>
      </x:c>
      <x:c r="C340" s="51" t="str">
        <x:f>IF(332&gt;$H$4,"",IF(INDEX('Fleet dates'!$C$9:$C$1008,$I340-8)="","",INDEX('Fleet dates'!$C$9:$C$1008,$I340-8)))</x:f>
      </x:c>
      <x:c r="D340" s="51" t="str">
        <x:f>IF(332&gt;$H$4,"",IF(INDEX('Fleet dates'!$D$9:$D$1008,$I340-8)="","",INDEX('Fleet dates'!$D$9:$D$1008,$I340-8)))</x:f>
      </x:c>
      <x:c r="E340" s="51" t="str">
        <x:f>IF(332&gt;$H$4,"",IF(INDEX('Fleet dates'!$E$9:$E$1008,$I340-8)="","",INDEX('Fleet dates'!$E$9:$E$1008,$I340-8)))</x:f>
      </x:c>
      <x:c r="F340" s="51" t="str">
        <x:f>IF(332&gt;$H$4,"",IF(INDEX('Fleet dates'!$F$9:$F$1008,$I340-8)="","",INDEX('Fleet dates'!$F$9:$F$1008,$I340-8)))</x:f>
      </x:c>
      <x:c r="G340" s="50" t="str">
        <x:f>IF(332&gt;$H$4,"",IF(INDEX('Fleet dates'!$G$9:$G$1008,$I340-8)="","",INDEX('Fleet dates'!$G$9:$G$1008,$I340-8)))</x:f>
      </x:c>
      <x:c r="H340" s="50" t="str">
        <x:f>IF(332&gt;$H$4,"",IF(INDEX('Fleet dates'!$I$9:$I$1008,$I340-8)="","",INDEX('Fleet dates'!$I$9:$I$1008,$I340-8)))</x:f>
      </x:c>
      <x:c r="I340" t="str">
        <x:f>IF(332&gt;$H$4,"",MATCH(332,'Fleet dates'!$K$9:$K$1008,0)+8)</x:f>
      </x:c>
    </x:row>
    <x:row r="341" ht="36" customHeight="1">
      <x:c r="A341" s="50" t="str">
        <x:f>IF(333&gt;$H$4,"",IF(INDEX('Fleet dates'!$A$9:$A$1008,$I341-8)="","",INDEX('Fleet dates'!$A$9:$A$1008,$I341-8)))</x:f>
      </x:c>
      <x:c r="B341" s="50" t="str">
        <x:f>IF(333&gt;$H$4,"",IF(INDEX('Fleet dates'!$B$9:$B$1008,$I341-8)="","",INDEX('Fleet dates'!$B$9:$B$1008,$I341-8)))</x:f>
      </x:c>
      <x:c r="C341" s="51" t="str">
        <x:f>IF(333&gt;$H$4,"",IF(INDEX('Fleet dates'!$C$9:$C$1008,$I341-8)="","",INDEX('Fleet dates'!$C$9:$C$1008,$I341-8)))</x:f>
      </x:c>
      <x:c r="D341" s="51" t="str">
        <x:f>IF(333&gt;$H$4,"",IF(INDEX('Fleet dates'!$D$9:$D$1008,$I341-8)="","",INDEX('Fleet dates'!$D$9:$D$1008,$I341-8)))</x:f>
      </x:c>
      <x:c r="E341" s="51" t="str">
        <x:f>IF(333&gt;$H$4,"",IF(INDEX('Fleet dates'!$E$9:$E$1008,$I341-8)="","",INDEX('Fleet dates'!$E$9:$E$1008,$I341-8)))</x:f>
      </x:c>
      <x:c r="F341" s="51" t="str">
        <x:f>IF(333&gt;$H$4,"",IF(INDEX('Fleet dates'!$F$9:$F$1008,$I341-8)="","",INDEX('Fleet dates'!$F$9:$F$1008,$I341-8)))</x:f>
      </x:c>
      <x:c r="G341" s="50" t="str">
        <x:f>IF(333&gt;$H$4,"",IF(INDEX('Fleet dates'!$G$9:$G$1008,$I341-8)="","",INDEX('Fleet dates'!$G$9:$G$1008,$I341-8)))</x:f>
      </x:c>
      <x:c r="H341" s="50" t="str">
        <x:f>IF(333&gt;$H$4,"",IF(INDEX('Fleet dates'!$I$9:$I$1008,$I341-8)="","",INDEX('Fleet dates'!$I$9:$I$1008,$I341-8)))</x:f>
      </x:c>
      <x:c r="I341" t="str">
        <x:f>IF(333&gt;$H$4,"",MATCH(333,'Fleet dates'!$K$9:$K$1008,0)+8)</x:f>
      </x:c>
    </x:row>
    <x:row r="342" ht="36" customHeight="1">
      <x:c r="A342" s="50" t="str">
        <x:f>IF(334&gt;$H$4,"",IF(INDEX('Fleet dates'!$A$9:$A$1008,$I342-8)="","",INDEX('Fleet dates'!$A$9:$A$1008,$I342-8)))</x:f>
      </x:c>
      <x:c r="B342" s="50" t="str">
        <x:f>IF(334&gt;$H$4,"",IF(INDEX('Fleet dates'!$B$9:$B$1008,$I342-8)="","",INDEX('Fleet dates'!$B$9:$B$1008,$I342-8)))</x:f>
      </x:c>
      <x:c r="C342" s="51" t="str">
        <x:f>IF(334&gt;$H$4,"",IF(INDEX('Fleet dates'!$C$9:$C$1008,$I342-8)="","",INDEX('Fleet dates'!$C$9:$C$1008,$I342-8)))</x:f>
      </x:c>
      <x:c r="D342" s="51" t="str">
        <x:f>IF(334&gt;$H$4,"",IF(INDEX('Fleet dates'!$D$9:$D$1008,$I342-8)="","",INDEX('Fleet dates'!$D$9:$D$1008,$I342-8)))</x:f>
      </x:c>
      <x:c r="E342" s="51" t="str">
        <x:f>IF(334&gt;$H$4,"",IF(INDEX('Fleet dates'!$E$9:$E$1008,$I342-8)="","",INDEX('Fleet dates'!$E$9:$E$1008,$I342-8)))</x:f>
      </x:c>
      <x:c r="F342" s="51" t="str">
        <x:f>IF(334&gt;$H$4,"",IF(INDEX('Fleet dates'!$F$9:$F$1008,$I342-8)="","",INDEX('Fleet dates'!$F$9:$F$1008,$I342-8)))</x:f>
      </x:c>
      <x:c r="G342" s="50" t="str">
        <x:f>IF(334&gt;$H$4,"",IF(INDEX('Fleet dates'!$G$9:$G$1008,$I342-8)="","",INDEX('Fleet dates'!$G$9:$G$1008,$I342-8)))</x:f>
      </x:c>
      <x:c r="H342" s="50" t="str">
        <x:f>IF(334&gt;$H$4,"",IF(INDEX('Fleet dates'!$I$9:$I$1008,$I342-8)="","",INDEX('Fleet dates'!$I$9:$I$1008,$I342-8)))</x:f>
      </x:c>
      <x:c r="I342" t="str">
        <x:f>IF(334&gt;$H$4,"",MATCH(334,'Fleet dates'!$K$9:$K$1008,0)+8)</x:f>
      </x:c>
    </x:row>
    <x:row r="343" ht="36" customHeight="1">
      <x:c r="A343" s="50" t="str">
        <x:f>IF(335&gt;$H$4,"",IF(INDEX('Fleet dates'!$A$9:$A$1008,$I343-8)="","",INDEX('Fleet dates'!$A$9:$A$1008,$I343-8)))</x:f>
      </x:c>
      <x:c r="B343" s="50" t="str">
        <x:f>IF(335&gt;$H$4,"",IF(INDEX('Fleet dates'!$B$9:$B$1008,$I343-8)="","",INDEX('Fleet dates'!$B$9:$B$1008,$I343-8)))</x:f>
      </x:c>
      <x:c r="C343" s="51" t="str">
        <x:f>IF(335&gt;$H$4,"",IF(INDEX('Fleet dates'!$C$9:$C$1008,$I343-8)="","",INDEX('Fleet dates'!$C$9:$C$1008,$I343-8)))</x:f>
      </x:c>
      <x:c r="D343" s="51" t="str">
        <x:f>IF(335&gt;$H$4,"",IF(INDEX('Fleet dates'!$D$9:$D$1008,$I343-8)="","",INDEX('Fleet dates'!$D$9:$D$1008,$I343-8)))</x:f>
      </x:c>
      <x:c r="E343" s="51" t="str">
        <x:f>IF(335&gt;$H$4,"",IF(INDEX('Fleet dates'!$E$9:$E$1008,$I343-8)="","",INDEX('Fleet dates'!$E$9:$E$1008,$I343-8)))</x:f>
      </x:c>
      <x:c r="F343" s="51" t="str">
        <x:f>IF(335&gt;$H$4,"",IF(INDEX('Fleet dates'!$F$9:$F$1008,$I343-8)="","",INDEX('Fleet dates'!$F$9:$F$1008,$I343-8)))</x:f>
      </x:c>
      <x:c r="G343" s="50" t="str">
        <x:f>IF(335&gt;$H$4,"",IF(INDEX('Fleet dates'!$G$9:$G$1008,$I343-8)="","",INDEX('Fleet dates'!$G$9:$G$1008,$I343-8)))</x:f>
      </x:c>
      <x:c r="H343" s="50" t="str">
        <x:f>IF(335&gt;$H$4,"",IF(INDEX('Fleet dates'!$I$9:$I$1008,$I343-8)="","",INDEX('Fleet dates'!$I$9:$I$1008,$I343-8)))</x:f>
      </x:c>
      <x:c r="I343" t="str">
        <x:f>IF(335&gt;$H$4,"",MATCH(335,'Fleet dates'!$K$9:$K$1008,0)+8)</x:f>
      </x:c>
    </x:row>
    <x:row r="344" ht="36" customHeight="1">
      <x:c r="A344" s="50" t="str">
        <x:f>IF(336&gt;$H$4,"",IF(INDEX('Fleet dates'!$A$9:$A$1008,$I344-8)="","",INDEX('Fleet dates'!$A$9:$A$1008,$I344-8)))</x:f>
      </x:c>
      <x:c r="B344" s="50" t="str">
        <x:f>IF(336&gt;$H$4,"",IF(INDEX('Fleet dates'!$B$9:$B$1008,$I344-8)="","",INDEX('Fleet dates'!$B$9:$B$1008,$I344-8)))</x:f>
      </x:c>
      <x:c r="C344" s="51" t="str">
        <x:f>IF(336&gt;$H$4,"",IF(INDEX('Fleet dates'!$C$9:$C$1008,$I344-8)="","",INDEX('Fleet dates'!$C$9:$C$1008,$I344-8)))</x:f>
      </x:c>
      <x:c r="D344" s="51" t="str">
        <x:f>IF(336&gt;$H$4,"",IF(INDEX('Fleet dates'!$D$9:$D$1008,$I344-8)="","",INDEX('Fleet dates'!$D$9:$D$1008,$I344-8)))</x:f>
      </x:c>
      <x:c r="E344" s="51" t="str">
        <x:f>IF(336&gt;$H$4,"",IF(INDEX('Fleet dates'!$E$9:$E$1008,$I344-8)="","",INDEX('Fleet dates'!$E$9:$E$1008,$I344-8)))</x:f>
      </x:c>
      <x:c r="F344" s="51" t="str">
        <x:f>IF(336&gt;$H$4,"",IF(INDEX('Fleet dates'!$F$9:$F$1008,$I344-8)="","",INDEX('Fleet dates'!$F$9:$F$1008,$I344-8)))</x:f>
      </x:c>
      <x:c r="G344" s="50" t="str">
        <x:f>IF(336&gt;$H$4,"",IF(INDEX('Fleet dates'!$G$9:$G$1008,$I344-8)="","",INDEX('Fleet dates'!$G$9:$G$1008,$I344-8)))</x:f>
      </x:c>
      <x:c r="H344" s="50" t="str">
        <x:f>IF(336&gt;$H$4,"",IF(INDEX('Fleet dates'!$I$9:$I$1008,$I344-8)="","",INDEX('Fleet dates'!$I$9:$I$1008,$I344-8)))</x:f>
      </x:c>
      <x:c r="I344" t="str">
        <x:f>IF(336&gt;$H$4,"",MATCH(336,'Fleet dates'!$K$9:$K$1008,0)+8)</x:f>
      </x:c>
    </x:row>
    <x:row r="345" ht="36" customHeight="1">
      <x:c r="A345" s="50" t="str">
        <x:f>IF(337&gt;$H$4,"",IF(INDEX('Fleet dates'!$A$9:$A$1008,$I345-8)="","",INDEX('Fleet dates'!$A$9:$A$1008,$I345-8)))</x:f>
      </x:c>
      <x:c r="B345" s="50" t="str">
        <x:f>IF(337&gt;$H$4,"",IF(INDEX('Fleet dates'!$B$9:$B$1008,$I345-8)="","",INDEX('Fleet dates'!$B$9:$B$1008,$I345-8)))</x:f>
      </x:c>
      <x:c r="C345" s="51" t="str">
        <x:f>IF(337&gt;$H$4,"",IF(INDEX('Fleet dates'!$C$9:$C$1008,$I345-8)="","",INDEX('Fleet dates'!$C$9:$C$1008,$I345-8)))</x:f>
      </x:c>
      <x:c r="D345" s="51" t="str">
        <x:f>IF(337&gt;$H$4,"",IF(INDEX('Fleet dates'!$D$9:$D$1008,$I345-8)="","",INDEX('Fleet dates'!$D$9:$D$1008,$I345-8)))</x:f>
      </x:c>
      <x:c r="E345" s="51" t="str">
        <x:f>IF(337&gt;$H$4,"",IF(INDEX('Fleet dates'!$E$9:$E$1008,$I345-8)="","",INDEX('Fleet dates'!$E$9:$E$1008,$I345-8)))</x:f>
      </x:c>
      <x:c r="F345" s="51" t="str">
        <x:f>IF(337&gt;$H$4,"",IF(INDEX('Fleet dates'!$F$9:$F$1008,$I345-8)="","",INDEX('Fleet dates'!$F$9:$F$1008,$I345-8)))</x:f>
      </x:c>
      <x:c r="G345" s="50" t="str">
        <x:f>IF(337&gt;$H$4,"",IF(INDEX('Fleet dates'!$G$9:$G$1008,$I345-8)="","",INDEX('Fleet dates'!$G$9:$G$1008,$I345-8)))</x:f>
      </x:c>
      <x:c r="H345" s="50" t="str">
        <x:f>IF(337&gt;$H$4,"",IF(INDEX('Fleet dates'!$I$9:$I$1008,$I345-8)="","",INDEX('Fleet dates'!$I$9:$I$1008,$I345-8)))</x:f>
      </x:c>
      <x:c r="I345" t="str">
        <x:f>IF(337&gt;$H$4,"",MATCH(337,'Fleet dates'!$K$9:$K$1008,0)+8)</x:f>
      </x:c>
    </x:row>
    <x:row r="346" ht="36" customHeight="1">
      <x:c r="A346" s="50" t="str">
        <x:f>IF(338&gt;$H$4,"",IF(INDEX('Fleet dates'!$A$9:$A$1008,$I346-8)="","",INDEX('Fleet dates'!$A$9:$A$1008,$I346-8)))</x:f>
      </x:c>
      <x:c r="B346" s="50" t="str">
        <x:f>IF(338&gt;$H$4,"",IF(INDEX('Fleet dates'!$B$9:$B$1008,$I346-8)="","",INDEX('Fleet dates'!$B$9:$B$1008,$I346-8)))</x:f>
      </x:c>
      <x:c r="C346" s="51" t="str">
        <x:f>IF(338&gt;$H$4,"",IF(INDEX('Fleet dates'!$C$9:$C$1008,$I346-8)="","",INDEX('Fleet dates'!$C$9:$C$1008,$I346-8)))</x:f>
      </x:c>
      <x:c r="D346" s="51" t="str">
        <x:f>IF(338&gt;$H$4,"",IF(INDEX('Fleet dates'!$D$9:$D$1008,$I346-8)="","",INDEX('Fleet dates'!$D$9:$D$1008,$I346-8)))</x:f>
      </x:c>
      <x:c r="E346" s="51" t="str">
        <x:f>IF(338&gt;$H$4,"",IF(INDEX('Fleet dates'!$E$9:$E$1008,$I346-8)="","",INDEX('Fleet dates'!$E$9:$E$1008,$I346-8)))</x:f>
      </x:c>
      <x:c r="F346" s="51" t="str">
        <x:f>IF(338&gt;$H$4,"",IF(INDEX('Fleet dates'!$F$9:$F$1008,$I346-8)="","",INDEX('Fleet dates'!$F$9:$F$1008,$I346-8)))</x:f>
      </x:c>
      <x:c r="G346" s="50" t="str">
        <x:f>IF(338&gt;$H$4,"",IF(INDEX('Fleet dates'!$G$9:$G$1008,$I346-8)="","",INDEX('Fleet dates'!$G$9:$G$1008,$I346-8)))</x:f>
      </x:c>
      <x:c r="H346" s="50" t="str">
        <x:f>IF(338&gt;$H$4,"",IF(INDEX('Fleet dates'!$I$9:$I$1008,$I346-8)="","",INDEX('Fleet dates'!$I$9:$I$1008,$I346-8)))</x:f>
      </x:c>
      <x:c r="I346" t="str">
        <x:f>IF(338&gt;$H$4,"",MATCH(338,'Fleet dates'!$K$9:$K$1008,0)+8)</x:f>
      </x:c>
    </x:row>
    <x:row r="347" ht="36" customHeight="1">
      <x:c r="A347" s="50" t="str">
        <x:f>IF(339&gt;$H$4,"",IF(INDEX('Fleet dates'!$A$9:$A$1008,$I347-8)="","",INDEX('Fleet dates'!$A$9:$A$1008,$I347-8)))</x:f>
      </x:c>
      <x:c r="B347" s="50" t="str">
        <x:f>IF(339&gt;$H$4,"",IF(INDEX('Fleet dates'!$B$9:$B$1008,$I347-8)="","",INDEX('Fleet dates'!$B$9:$B$1008,$I347-8)))</x:f>
      </x:c>
      <x:c r="C347" s="51" t="str">
        <x:f>IF(339&gt;$H$4,"",IF(INDEX('Fleet dates'!$C$9:$C$1008,$I347-8)="","",INDEX('Fleet dates'!$C$9:$C$1008,$I347-8)))</x:f>
      </x:c>
      <x:c r="D347" s="51" t="str">
        <x:f>IF(339&gt;$H$4,"",IF(INDEX('Fleet dates'!$D$9:$D$1008,$I347-8)="","",INDEX('Fleet dates'!$D$9:$D$1008,$I347-8)))</x:f>
      </x:c>
      <x:c r="E347" s="51" t="str">
        <x:f>IF(339&gt;$H$4,"",IF(INDEX('Fleet dates'!$E$9:$E$1008,$I347-8)="","",INDEX('Fleet dates'!$E$9:$E$1008,$I347-8)))</x:f>
      </x:c>
      <x:c r="F347" s="51" t="str">
        <x:f>IF(339&gt;$H$4,"",IF(INDEX('Fleet dates'!$F$9:$F$1008,$I347-8)="","",INDEX('Fleet dates'!$F$9:$F$1008,$I347-8)))</x:f>
      </x:c>
      <x:c r="G347" s="50" t="str">
        <x:f>IF(339&gt;$H$4,"",IF(INDEX('Fleet dates'!$G$9:$G$1008,$I347-8)="","",INDEX('Fleet dates'!$G$9:$G$1008,$I347-8)))</x:f>
      </x:c>
      <x:c r="H347" s="50" t="str">
        <x:f>IF(339&gt;$H$4,"",IF(INDEX('Fleet dates'!$I$9:$I$1008,$I347-8)="","",INDEX('Fleet dates'!$I$9:$I$1008,$I347-8)))</x:f>
      </x:c>
      <x:c r="I347" t="str">
        <x:f>IF(339&gt;$H$4,"",MATCH(339,'Fleet dates'!$K$9:$K$1008,0)+8)</x:f>
      </x:c>
    </x:row>
    <x:row r="348" ht="36" customHeight="1">
      <x:c r="A348" s="50" t="str">
        <x:f>IF(340&gt;$H$4,"",IF(INDEX('Fleet dates'!$A$9:$A$1008,$I348-8)="","",INDEX('Fleet dates'!$A$9:$A$1008,$I348-8)))</x:f>
      </x:c>
      <x:c r="B348" s="50" t="str">
        <x:f>IF(340&gt;$H$4,"",IF(INDEX('Fleet dates'!$B$9:$B$1008,$I348-8)="","",INDEX('Fleet dates'!$B$9:$B$1008,$I348-8)))</x:f>
      </x:c>
      <x:c r="C348" s="51" t="str">
        <x:f>IF(340&gt;$H$4,"",IF(INDEX('Fleet dates'!$C$9:$C$1008,$I348-8)="","",INDEX('Fleet dates'!$C$9:$C$1008,$I348-8)))</x:f>
      </x:c>
      <x:c r="D348" s="51" t="str">
        <x:f>IF(340&gt;$H$4,"",IF(INDEX('Fleet dates'!$D$9:$D$1008,$I348-8)="","",INDEX('Fleet dates'!$D$9:$D$1008,$I348-8)))</x:f>
      </x:c>
      <x:c r="E348" s="51" t="str">
        <x:f>IF(340&gt;$H$4,"",IF(INDEX('Fleet dates'!$E$9:$E$1008,$I348-8)="","",INDEX('Fleet dates'!$E$9:$E$1008,$I348-8)))</x:f>
      </x:c>
      <x:c r="F348" s="51" t="str">
        <x:f>IF(340&gt;$H$4,"",IF(INDEX('Fleet dates'!$F$9:$F$1008,$I348-8)="","",INDEX('Fleet dates'!$F$9:$F$1008,$I348-8)))</x:f>
      </x:c>
      <x:c r="G348" s="50" t="str">
        <x:f>IF(340&gt;$H$4,"",IF(INDEX('Fleet dates'!$G$9:$G$1008,$I348-8)="","",INDEX('Fleet dates'!$G$9:$G$1008,$I348-8)))</x:f>
      </x:c>
      <x:c r="H348" s="50" t="str">
        <x:f>IF(340&gt;$H$4,"",IF(INDEX('Fleet dates'!$I$9:$I$1008,$I348-8)="","",INDEX('Fleet dates'!$I$9:$I$1008,$I348-8)))</x:f>
      </x:c>
      <x:c r="I348" t="str">
        <x:f>IF(340&gt;$H$4,"",MATCH(340,'Fleet dates'!$K$9:$K$1008,0)+8)</x:f>
      </x:c>
    </x:row>
    <x:row r="349" ht="36" customHeight="1">
      <x:c r="A349" s="50" t="str">
        <x:f>IF(341&gt;$H$4,"",IF(INDEX('Fleet dates'!$A$9:$A$1008,$I349-8)="","",INDEX('Fleet dates'!$A$9:$A$1008,$I349-8)))</x:f>
      </x:c>
      <x:c r="B349" s="50" t="str">
        <x:f>IF(341&gt;$H$4,"",IF(INDEX('Fleet dates'!$B$9:$B$1008,$I349-8)="","",INDEX('Fleet dates'!$B$9:$B$1008,$I349-8)))</x:f>
      </x:c>
      <x:c r="C349" s="51" t="str">
        <x:f>IF(341&gt;$H$4,"",IF(INDEX('Fleet dates'!$C$9:$C$1008,$I349-8)="","",INDEX('Fleet dates'!$C$9:$C$1008,$I349-8)))</x:f>
      </x:c>
      <x:c r="D349" s="51" t="str">
        <x:f>IF(341&gt;$H$4,"",IF(INDEX('Fleet dates'!$D$9:$D$1008,$I349-8)="","",INDEX('Fleet dates'!$D$9:$D$1008,$I349-8)))</x:f>
      </x:c>
      <x:c r="E349" s="51" t="str">
        <x:f>IF(341&gt;$H$4,"",IF(INDEX('Fleet dates'!$E$9:$E$1008,$I349-8)="","",INDEX('Fleet dates'!$E$9:$E$1008,$I349-8)))</x:f>
      </x:c>
      <x:c r="F349" s="51" t="str">
        <x:f>IF(341&gt;$H$4,"",IF(INDEX('Fleet dates'!$F$9:$F$1008,$I349-8)="","",INDEX('Fleet dates'!$F$9:$F$1008,$I349-8)))</x:f>
      </x:c>
      <x:c r="G349" s="50" t="str">
        <x:f>IF(341&gt;$H$4,"",IF(INDEX('Fleet dates'!$G$9:$G$1008,$I349-8)="","",INDEX('Fleet dates'!$G$9:$G$1008,$I349-8)))</x:f>
      </x:c>
      <x:c r="H349" s="50" t="str">
        <x:f>IF(341&gt;$H$4,"",IF(INDEX('Fleet dates'!$I$9:$I$1008,$I349-8)="","",INDEX('Fleet dates'!$I$9:$I$1008,$I349-8)))</x:f>
      </x:c>
      <x:c r="I349" t="str">
        <x:f>IF(341&gt;$H$4,"",MATCH(341,'Fleet dates'!$K$9:$K$1008,0)+8)</x:f>
      </x:c>
    </x:row>
    <x:row r="350" ht="36" customHeight="1">
      <x:c r="A350" s="50" t="str">
        <x:f>IF(342&gt;$H$4,"",IF(INDEX('Fleet dates'!$A$9:$A$1008,$I350-8)="","",INDEX('Fleet dates'!$A$9:$A$1008,$I350-8)))</x:f>
      </x:c>
      <x:c r="B350" s="50" t="str">
        <x:f>IF(342&gt;$H$4,"",IF(INDEX('Fleet dates'!$B$9:$B$1008,$I350-8)="","",INDEX('Fleet dates'!$B$9:$B$1008,$I350-8)))</x:f>
      </x:c>
      <x:c r="C350" s="51" t="str">
        <x:f>IF(342&gt;$H$4,"",IF(INDEX('Fleet dates'!$C$9:$C$1008,$I350-8)="","",INDEX('Fleet dates'!$C$9:$C$1008,$I350-8)))</x:f>
      </x:c>
      <x:c r="D350" s="51" t="str">
        <x:f>IF(342&gt;$H$4,"",IF(INDEX('Fleet dates'!$D$9:$D$1008,$I350-8)="","",INDEX('Fleet dates'!$D$9:$D$1008,$I350-8)))</x:f>
      </x:c>
      <x:c r="E350" s="51" t="str">
        <x:f>IF(342&gt;$H$4,"",IF(INDEX('Fleet dates'!$E$9:$E$1008,$I350-8)="","",INDEX('Fleet dates'!$E$9:$E$1008,$I350-8)))</x:f>
      </x:c>
      <x:c r="F350" s="51" t="str">
        <x:f>IF(342&gt;$H$4,"",IF(INDEX('Fleet dates'!$F$9:$F$1008,$I350-8)="","",INDEX('Fleet dates'!$F$9:$F$1008,$I350-8)))</x:f>
      </x:c>
      <x:c r="G350" s="50" t="str">
        <x:f>IF(342&gt;$H$4,"",IF(INDEX('Fleet dates'!$G$9:$G$1008,$I350-8)="","",INDEX('Fleet dates'!$G$9:$G$1008,$I350-8)))</x:f>
      </x:c>
      <x:c r="H350" s="50" t="str">
        <x:f>IF(342&gt;$H$4,"",IF(INDEX('Fleet dates'!$I$9:$I$1008,$I350-8)="","",INDEX('Fleet dates'!$I$9:$I$1008,$I350-8)))</x:f>
      </x:c>
      <x:c r="I350" t="str">
        <x:f>IF(342&gt;$H$4,"",MATCH(342,'Fleet dates'!$K$9:$K$1008,0)+8)</x:f>
      </x:c>
    </x:row>
    <x:row r="351" ht="36" customHeight="1">
      <x:c r="A351" s="50" t="str">
        <x:f>IF(343&gt;$H$4,"",IF(INDEX('Fleet dates'!$A$9:$A$1008,$I351-8)="","",INDEX('Fleet dates'!$A$9:$A$1008,$I351-8)))</x:f>
      </x:c>
      <x:c r="B351" s="50" t="str">
        <x:f>IF(343&gt;$H$4,"",IF(INDEX('Fleet dates'!$B$9:$B$1008,$I351-8)="","",INDEX('Fleet dates'!$B$9:$B$1008,$I351-8)))</x:f>
      </x:c>
      <x:c r="C351" s="51" t="str">
        <x:f>IF(343&gt;$H$4,"",IF(INDEX('Fleet dates'!$C$9:$C$1008,$I351-8)="","",INDEX('Fleet dates'!$C$9:$C$1008,$I351-8)))</x:f>
      </x:c>
      <x:c r="D351" s="51" t="str">
        <x:f>IF(343&gt;$H$4,"",IF(INDEX('Fleet dates'!$D$9:$D$1008,$I351-8)="","",INDEX('Fleet dates'!$D$9:$D$1008,$I351-8)))</x:f>
      </x:c>
      <x:c r="E351" s="51" t="str">
        <x:f>IF(343&gt;$H$4,"",IF(INDEX('Fleet dates'!$E$9:$E$1008,$I351-8)="","",INDEX('Fleet dates'!$E$9:$E$1008,$I351-8)))</x:f>
      </x:c>
      <x:c r="F351" s="51" t="str">
        <x:f>IF(343&gt;$H$4,"",IF(INDEX('Fleet dates'!$F$9:$F$1008,$I351-8)="","",INDEX('Fleet dates'!$F$9:$F$1008,$I351-8)))</x:f>
      </x:c>
      <x:c r="G351" s="50" t="str">
        <x:f>IF(343&gt;$H$4,"",IF(INDEX('Fleet dates'!$G$9:$G$1008,$I351-8)="","",INDEX('Fleet dates'!$G$9:$G$1008,$I351-8)))</x:f>
      </x:c>
      <x:c r="H351" s="50" t="str">
        <x:f>IF(343&gt;$H$4,"",IF(INDEX('Fleet dates'!$I$9:$I$1008,$I351-8)="","",INDEX('Fleet dates'!$I$9:$I$1008,$I351-8)))</x:f>
      </x:c>
      <x:c r="I351" t="str">
        <x:f>IF(343&gt;$H$4,"",MATCH(343,'Fleet dates'!$K$9:$K$1008,0)+8)</x:f>
      </x:c>
    </x:row>
    <x:row r="352" ht="36" customHeight="1">
      <x:c r="A352" s="50" t="str">
        <x:f>IF(344&gt;$H$4,"",IF(INDEX('Fleet dates'!$A$9:$A$1008,$I352-8)="","",INDEX('Fleet dates'!$A$9:$A$1008,$I352-8)))</x:f>
      </x:c>
      <x:c r="B352" s="50" t="str">
        <x:f>IF(344&gt;$H$4,"",IF(INDEX('Fleet dates'!$B$9:$B$1008,$I352-8)="","",INDEX('Fleet dates'!$B$9:$B$1008,$I352-8)))</x:f>
      </x:c>
      <x:c r="C352" s="51" t="str">
        <x:f>IF(344&gt;$H$4,"",IF(INDEX('Fleet dates'!$C$9:$C$1008,$I352-8)="","",INDEX('Fleet dates'!$C$9:$C$1008,$I352-8)))</x:f>
      </x:c>
      <x:c r="D352" s="51" t="str">
        <x:f>IF(344&gt;$H$4,"",IF(INDEX('Fleet dates'!$D$9:$D$1008,$I352-8)="","",INDEX('Fleet dates'!$D$9:$D$1008,$I352-8)))</x:f>
      </x:c>
      <x:c r="E352" s="51" t="str">
        <x:f>IF(344&gt;$H$4,"",IF(INDEX('Fleet dates'!$E$9:$E$1008,$I352-8)="","",INDEX('Fleet dates'!$E$9:$E$1008,$I352-8)))</x:f>
      </x:c>
      <x:c r="F352" s="51" t="str">
        <x:f>IF(344&gt;$H$4,"",IF(INDEX('Fleet dates'!$F$9:$F$1008,$I352-8)="","",INDEX('Fleet dates'!$F$9:$F$1008,$I352-8)))</x:f>
      </x:c>
      <x:c r="G352" s="50" t="str">
        <x:f>IF(344&gt;$H$4,"",IF(INDEX('Fleet dates'!$G$9:$G$1008,$I352-8)="","",INDEX('Fleet dates'!$G$9:$G$1008,$I352-8)))</x:f>
      </x:c>
      <x:c r="H352" s="50" t="str">
        <x:f>IF(344&gt;$H$4,"",IF(INDEX('Fleet dates'!$I$9:$I$1008,$I352-8)="","",INDEX('Fleet dates'!$I$9:$I$1008,$I352-8)))</x:f>
      </x:c>
      <x:c r="I352" t="str">
        <x:f>IF(344&gt;$H$4,"",MATCH(344,'Fleet dates'!$K$9:$K$1008,0)+8)</x:f>
      </x:c>
    </x:row>
    <x:row r="353" ht="36" customHeight="1">
      <x:c r="A353" s="50" t="str">
        <x:f>IF(345&gt;$H$4,"",IF(INDEX('Fleet dates'!$A$9:$A$1008,$I353-8)="","",INDEX('Fleet dates'!$A$9:$A$1008,$I353-8)))</x:f>
      </x:c>
      <x:c r="B353" s="50" t="str">
        <x:f>IF(345&gt;$H$4,"",IF(INDEX('Fleet dates'!$B$9:$B$1008,$I353-8)="","",INDEX('Fleet dates'!$B$9:$B$1008,$I353-8)))</x:f>
      </x:c>
      <x:c r="C353" s="51" t="str">
        <x:f>IF(345&gt;$H$4,"",IF(INDEX('Fleet dates'!$C$9:$C$1008,$I353-8)="","",INDEX('Fleet dates'!$C$9:$C$1008,$I353-8)))</x:f>
      </x:c>
      <x:c r="D353" s="51" t="str">
        <x:f>IF(345&gt;$H$4,"",IF(INDEX('Fleet dates'!$D$9:$D$1008,$I353-8)="","",INDEX('Fleet dates'!$D$9:$D$1008,$I353-8)))</x:f>
      </x:c>
      <x:c r="E353" s="51" t="str">
        <x:f>IF(345&gt;$H$4,"",IF(INDEX('Fleet dates'!$E$9:$E$1008,$I353-8)="","",INDEX('Fleet dates'!$E$9:$E$1008,$I353-8)))</x:f>
      </x:c>
      <x:c r="F353" s="51" t="str">
        <x:f>IF(345&gt;$H$4,"",IF(INDEX('Fleet dates'!$F$9:$F$1008,$I353-8)="","",INDEX('Fleet dates'!$F$9:$F$1008,$I353-8)))</x:f>
      </x:c>
      <x:c r="G353" s="50" t="str">
        <x:f>IF(345&gt;$H$4,"",IF(INDEX('Fleet dates'!$G$9:$G$1008,$I353-8)="","",INDEX('Fleet dates'!$G$9:$G$1008,$I353-8)))</x:f>
      </x:c>
      <x:c r="H353" s="50" t="str">
        <x:f>IF(345&gt;$H$4,"",IF(INDEX('Fleet dates'!$I$9:$I$1008,$I353-8)="","",INDEX('Fleet dates'!$I$9:$I$1008,$I353-8)))</x:f>
      </x:c>
      <x:c r="I353" t="str">
        <x:f>IF(345&gt;$H$4,"",MATCH(345,'Fleet dates'!$K$9:$K$1008,0)+8)</x:f>
      </x:c>
    </x:row>
    <x:row r="354" ht="36" customHeight="1">
      <x:c r="A354" s="50" t="str">
        <x:f>IF(346&gt;$H$4,"",IF(INDEX('Fleet dates'!$A$9:$A$1008,$I354-8)="","",INDEX('Fleet dates'!$A$9:$A$1008,$I354-8)))</x:f>
      </x:c>
      <x:c r="B354" s="50" t="str">
        <x:f>IF(346&gt;$H$4,"",IF(INDEX('Fleet dates'!$B$9:$B$1008,$I354-8)="","",INDEX('Fleet dates'!$B$9:$B$1008,$I354-8)))</x:f>
      </x:c>
      <x:c r="C354" s="51" t="str">
        <x:f>IF(346&gt;$H$4,"",IF(INDEX('Fleet dates'!$C$9:$C$1008,$I354-8)="","",INDEX('Fleet dates'!$C$9:$C$1008,$I354-8)))</x:f>
      </x:c>
      <x:c r="D354" s="51" t="str">
        <x:f>IF(346&gt;$H$4,"",IF(INDEX('Fleet dates'!$D$9:$D$1008,$I354-8)="","",INDEX('Fleet dates'!$D$9:$D$1008,$I354-8)))</x:f>
      </x:c>
      <x:c r="E354" s="51" t="str">
        <x:f>IF(346&gt;$H$4,"",IF(INDEX('Fleet dates'!$E$9:$E$1008,$I354-8)="","",INDEX('Fleet dates'!$E$9:$E$1008,$I354-8)))</x:f>
      </x:c>
      <x:c r="F354" s="51" t="str">
        <x:f>IF(346&gt;$H$4,"",IF(INDEX('Fleet dates'!$F$9:$F$1008,$I354-8)="","",INDEX('Fleet dates'!$F$9:$F$1008,$I354-8)))</x:f>
      </x:c>
      <x:c r="G354" s="50" t="str">
        <x:f>IF(346&gt;$H$4,"",IF(INDEX('Fleet dates'!$G$9:$G$1008,$I354-8)="","",INDEX('Fleet dates'!$G$9:$G$1008,$I354-8)))</x:f>
      </x:c>
      <x:c r="H354" s="50" t="str">
        <x:f>IF(346&gt;$H$4,"",IF(INDEX('Fleet dates'!$I$9:$I$1008,$I354-8)="","",INDEX('Fleet dates'!$I$9:$I$1008,$I354-8)))</x:f>
      </x:c>
      <x:c r="I354" t="str">
        <x:f>IF(346&gt;$H$4,"",MATCH(346,'Fleet dates'!$K$9:$K$1008,0)+8)</x:f>
      </x:c>
    </x:row>
    <x:row r="355" ht="36" customHeight="1">
      <x:c r="A355" s="50" t="str">
        <x:f>IF(347&gt;$H$4,"",IF(INDEX('Fleet dates'!$A$9:$A$1008,$I355-8)="","",INDEX('Fleet dates'!$A$9:$A$1008,$I355-8)))</x:f>
      </x:c>
      <x:c r="B355" s="50" t="str">
        <x:f>IF(347&gt;$H$4,"",IF(INDEX('Fleet dates'!$B$9:$B$1008,$I355-8)="","",INDEX('Fleet dates'!$B$9:$B$1008,$I355-8)))</x:f>
      </x:c>
      <x:c r="C355" s="51" t="str">
        <x:f>IF(347&gt;$H$4,"",IF(INDEX('Fleet dates'!$C$9:$C$1008,$I355-8)="","",INDEX('Fleet dates'!$C$9:$C$1008,$I355-8)))</x:f>
      </x:c>
      <x:c r="D355" s="51" t="str">
        <x:f>IF(347&gt;$H$4,"",IF(INDEX('Fleet dates'!$D$9:$D$1008,$I355-8)="","",INDEX('Fleet dates'!$D$9:$D$1008,$I355-8)))</x:f>
      </x:c>
      <x:c r="E355" s="51" t="str">
        <x:f>IF(347&gt;$H$4,"",IF(INDEX('Fleet dates'!$E$9:$E$1008,$I355-8)="","",INDEX('Fleet dates'!$E$9:$E$1008,$I355-8)))</x:f>
      </x:c>
      <x:c r="F355" s="51" t="str">
        <x:f>IF(347&gt;$H$4,"",IF(INDEX('Fleet dates'!$F$9:$F$1008,$I355-8)="","",INDEX('Fleet dates'!$F$9:$F$1008,$I355-8)))</x:f>
      </x:c>
      <x:c r="G355" s="50" t="str">
        <x:f>IF(347&gt;$H$4,"",IF(INDEX('Fleet dates'!$G$9:$G$1008,$I355-8)="","",INDEX('Fleet dates'!$G$9:$G$1008,$I355-8)))</x:f>
      </x:c>
      <x:c r="H355" s="50" t="str">
        <x:f>IF(347&gt;$H$4,"",IF(INDEX('Fleet dates'!$I$9:$I$1008,$I355-8)="","",INDEX('Fleet dates'!$I$9:$I$1008,$I355-8)))</x:f>
      </x:c>
      <x:c r="I355" t="str">
        <x:f>IF(347&gt;$H$4,"",MATCH(347,'Fleet dates'!$K$9:$K$1008,0)+8)</x:f>
      </x:c>
    </x:row>
    <x:row r="356" ht="36" customHeight="1">
      <x:c r="A356" s="50" t="str">
        <x:f>IF(348&gt;$H$4,"",IF(INDEX('Fleet dates'!$A$9:$A$1008,$I356-8)="","",INDEX('Fleet dates'!$A$9:$A$1008,$I356-8)))</x:f>
      </x:c>
      <x:c r="B356" s="50" t="str">
        <x:f>IF(348&gt;$H$4,"",IF(INDEX('Fleet dates'!$B$9:$B$1008,$I356-8)="","",INDEX('Fleet dates'!$B$9:$B$1008,$I356-8)))</x:f>
      </x:c>
      <x:c r="C356" s="51" t="str">
        <x:f>IF(348&gt;$H$4,"",IF(INDEX('Fleet dates'!$C$9:$C$1008,$I356-8)="","",INDEX('Fleet dates'!$C$9:$C$1008,$I356-8)))</x:f>
      </x:c>
      <x:c r="D356" s="51" t="str">
        <x:f>IF(348&gt;$H$4,"",IF(INDEX('Fleet dates'!$D$9:$D$1008,$I356-8)="","",INDEX('Fleet dates'!$D$9:$D$1008,$I356-8)))</x:f>
      </x:c>
      <x:c r="E356" s="51" t="str">
        <x:f>IF(348&gt;$H$4,"",IF(INDEX('Fleet dates'!$E$9:$E$1008,$I356-8)="","",INDEX('Fleet dates'!$E$9:$E$1008,$I356-8)))</x:f>
      </x:c>
      <x:c r="F356" s="51" t="str">
        <x:f>IF(348&gt;$H$4,"",IF(INDEX('Fleet dates'!$F$9:$F$1008,$I356-8)="","",INDEX('Fleet dates'!$F$9:$F$1008,$I356-8)))</x:f>
      </x:c>
      <x:c r="G356" s="50" t="str">
        <x:f>IF(348&gt;$H$4,"",IF(INDEX('Fleet dates'!$G$9:$G$1008,$I356-8)="","",INDEX('Fleet dates'!$G$9:$G$1008,$I356-8)))</x:f>
      </x:c>
      <x:c r="H356" s="50" t="str">
        <x:f>IF(348&gt;$H$4,"",IF(INDEX('Fleet dates'!$I$9:$I$1008,$I356-8)="","",INDEX('Fleet dates'!$I$9:$I$1008,$I356-8)))</x:f>
      </x:c>
      <x:c r="I356" t="str">
        <x:f>IF(348&gt;$H$4,"",MATCH(348,'Fleet dates'!$K$9:$K$1008,0)+8)</x:f>
      </x:c>
    </x:row>
    <x:row r="357" ht="36" customHeight="1">
      <x:c r="A357" s="50" t="str">
        <x:f>IF(349&gt;$H$4,"",IF(INDEX('Fleet dates'!$A$9:$A$1008,$I357-8)="","",INDEX('Fleet dates'!$A$9:$A$1008,$I357-8)))</x:f>
      </x:c>
      <x:c r="B357" s="50" t="str">
        <x:f>IF(349&gt;$H$4,"",IF(INDEX('Fleet dates'!$B$9:$B$1008,$I357-8)="","",INDEX('Fleet dates'!$B$9:$B$1008,$I357-8)))</x:f>
      </x:c>
      <x:c r="C357" s="51" t="str">
        <x:f>IF(349&gt;$H$4,"",IF(INDEX('Fleet dates'!$C$9:$C$1008,$I357-8)="","",INDEX('Fleet dates'!$C$9:$C$1008,$I357-8)))</x:f>
      </x:c>
      <x:c r="D357" s="51" t="str">
        <x:f>IF(349&gt;$H$4,"",IF(INDEX('Fleet dates'!$D$9:$D$1008,$I357-8)="","",INDEX('Fleet dates'!$D$9:$D$1008,$I357-8)))</x:f>
      </x:c>
      <x:c r="E357" s="51" t="str">
        <x:f>IF(349&gt;$H$4,"",IF(INDEX('Fleet dates'!$E$9:$E$1008,$I357-8)="","",INDEX('Fleet dates'!$E$9:$E$1008,$I357-8)))</x:f>
      </x:c>
      <x:c r="F357" s="51" t="str">
        <x:f>IF(349&gt;$H$4,"",IF(INDEX('Fleet dates'!$F$9:$F$1008,$I357-8)="","",INDEX('Fleet dates'!$F$9:$F$1008,$I357-8)))</x:f>
      </x:c>
      <x:c r="G357" s="50" t="str">
        <x:f>IF(349&gt;$H$4,"",IF(INDEX('Fleet dates'!$G$9:$G$1008,$I357-8)="","",INDEX('Fleet dates'!$G$9:$G$1008,$I357-8)))</x:f>
      </x:c>
      <x:c r="H357" s="50" t="str">
        <x:f>IF(349&gt;$H$4,"",IF(INDEX('Fleet dates'!$I$9:$I$1008,$I357-8)="","",INDEX('Fleet dates'!$I$9:$I$1008,$I357-8)))</x:f>
      </x:c>
      <x:c r="I357" t="str">
        <x:f>IF(349&gt;$H$4,"",MATCH(349,'Fleet dates'!$K$9:$K$1008,0)+8)</x:f>
      </x:c>
    </x:row>
    <x:row r="358" ht="36" customHeight="1">
      <x:c r="A358" s="50" t="str">
        <x:f>IF(350&gt;$H$4,"",IF(INDEX('Fleet dates'!$A$9:$A$1008,$I358-8)="","",INDEX('Fleet dates'!$A$9:$A$1008,$I358-8)))</x:f>
      </x:c>
      <x:c r="B358" s="50" t="str">
        <x:f>IF(350&gt;$H$4,"",IF(INDEX('Fleet dates'!$B$9:$B$1008,$I358-8)="","",INDEX('Fleet dates'!$B$9:$B$1008,$I358-8)))</x:f>
      </x:c>
      <x:c r="C358" s="51" t="str">
        <x:f>IF(350&gt;$H$4,"",IF(INDEX('Fleet dates'!$C$9:$C$1008,$I358-8)="","",INDEX('Fleet dates'!$C$9:$C$1008,$I358-8)))</x:f>
      </x:c>
      <x:c r="D358" s="51" t="str">
        <x:f>IF(350&gt;$H$4,"",IF(INDEX('Fleet dates'!$D$9:$D$1008,$I358-8)="","",INDEX('Fleet dates'!$D$9:$D$1008,$I358-8)))</x:f>
      </x:c>
      <x:c r="E358" s="51" t="str">
        <x:f>IF(350&gt;$H$4,"",IF(INDEX('Fleet dates'!$E$9:$E$1008,$I358-8)="","",INDEX('Fleet dates'!$E$9:$E$1008,$I358-8)))</x:f>
      </x:c>
      <x:c r="F358" s="51" t="str">
        <x:f>IF(350&gt;$H$4,"",IF(INDEX('Fleet dates'!$F$9:$F$1008,$I358-8)="","",INDEX('Fleet dates'!$F$9:$F$1008,$I358-8)))</x:f>
      </x:c>
      <x:c r="G358" s="50" t="str">
        <x:f>IF(350&gt;$H$4,"",IF(INDEX('Fleet dates'!$G$9:$G$1008,$I358-8)="","",INDEX('Fleet dates'!$G$9:$G$1008,$I358-8)))</x:f>
      </x:c>
      <x:c r="H358" s="50" t="str">
        <x:f>IF(350&gt;$H$4,"",IF(INDEX('Fleet dates'!$I$9:$I$1008,$I358-8)="","",INDEX('Fleet dates'!$I$9:$I$1008,$I358-8)))</x:f>
      </x:c>
      <x:c r="I358" t="str">
        <x:f>IF(350&gt;$H$4,"",MATCH(350,'Fleet dates'!$K$9:$K$1008,0)+8)</x:f>
      </x:c>
    </x:row>
    <x:row r="359" ht="36" customHeight="1">
      <x:c r="A359" s="50" t="str">
        <x:f>IF(351&gt;$H$4,"",IF(INDEX('Fleet dates'!$A$9:$A$1008,$I359-8)="","",INDEX('Fleet dates'!$A$9:$A$1008,$I359-8)))</x:f>
      </x:c>
      <x:c r="B359" s="50" t="str">
        <x:f>IF(351&gt;$H$4,"",IF(INDEX('Fleet dates'!$B$9:$B$1008,$I359-8)="","",INDEX('Fleet dates'!$B$9:$B$1008,$I359-8)))</x:f>
      </x:c>
      <x:c r="C359" s="51" t="str">
        <x:f>IF(351&gt;$H$4,"",IF(INDEX('Fleet dates'!$C$9:$C$1008,$I359-8)="","",INDEX('Fleet dates'!$C$9:$C$1008,$I359-8)))</x:f>
      </x:c>
      <x:c r="D359" s="51" t="str">
        <x:f>IF(351&gt;$H$4,"",IF(INDEX('Fleet dates'!$D$9:$D$1008,$I359-8)="","",INDEX('Fleet dates'!$D$9:$D$1008,$I359-8)))</x:f>
      </x:c>
      <x:c r="E359" s="51" t="str">
        <x:f>IF(351&gt;$H$4,"",IF(INDEX('Fleet dates'!$E$9:$E$1008,$I359-8)="","",INDEX('Fleet dates'!$E$9:$E$1008,$I359-8)))</x:f>
      </x:c>
      <x:c r="F359" s="51" t="str">
        <x:f>IF(351&gt;$H$4,"",IF(INDEX('Fleet dates'!$F$9:$F$1008,$I359-8)="","",INDEX('Fleet dates'!$F$9:$F$1008,$I359-8)))</x:f>
      </x:c>
      <x:c r="G359" s="50" t="str">
        <x:f>IF(351&gt;$H$4,"",IF(INDEX('Fleet dates'!$G$9:$G$1008,$I359-8)="","",INDEX('Fleet dates'!$G$9:$G$1008,$I359-8)))</x:f>
      </x:c>
      <x:c r="H359" s="50" t="str">
        <x:f>IF(351&gt;$H$4,"",IF(INDEX('Fleet dates'!$I$9:$I$1008,$I359-8)="","",INDEX('Fleet dates'!$I$9:$I$1008,$I359-8)))</x:f>
      </x:c>
      <x:c r="I359" t="str">
        <x:f>IF(351&gt;$H$4,"",MATCH(351,'Fleet dates'!$K$9:$K$1008,0)+8)</x:f>
      </x:c>
    </x:row>
    <x:row r="360" ht="36" customHeight="1">
      <x:c r="A360" s="50" t="str">
        <x:f>IF(352&gt;$H$4,"",IF(INDEX('Fleet dates'!$A$9:$A$1008,$I360-8)="","",INDEX('Fleet dates'!$A$9:$A$1008,$I360-8)))</x:f>
      </x:c>
      <x:c r="B360" s="50" t="str">
        <x:f>IF(352&gt;$H$4,"",IF(INDEX('Fleet dates'!$B$9:$B$1008,$I360-8)="","",INDEX('Fleet dates'!$B$9:$B$1008,$I360-8)))</x:f>
      </x:c>
      <x:c r="C360" s="51" t="str">
        <x:f>IF(352&gt;$H$4,"",IF(INDEX('Fleet dates'!$C$9:$C$1008,$I360-8)="","",INDEX('Fleet dates'!$C$9:$C$1008,$I360-8)))</x:f>
      </x:c>
      <x:c r="D360" s="51" t="str">
        <x:f>IF(352&gt;$H$4,"",IF(INDEX('Fleet dates'!$D$9:$D$1008,$I360-8)="","",INDEX('Fleet dates'!$D$9:$D$1008,$I360-8)))</x:f>
      </x:c>
      <x:c r="E360" s="51" t="str">
        <x:f>IF(352&gt;$H$4,"",IF(INDEX('Fleet dates'!$E$9:$E$1008,$I360-8)="","",INDEX('Fleet dates'!$E$9:$E$1008,$I360-8)))</x:f>
      </x:c>
      <x:c r="F360" s="51" t="str">
        <x:f>IF(352&gt;$H$4,"",IF(INDEX('Fleet dates'!$F$9:$F$1008,$I360-8)="","",INDEX('Fleet dates'!$F$9:$F$1008,$I360-8)))</x:f>
      </x:c>
      <x:c r="G360" s="50" t="str">
        <x:f>IF(352&gt;$H$4,"",IF(INDEX('Fleet dates'!$G$9:$G$1008,$I360-8)="","",INDEX('Fleet dates'!$G$9:$G$1008,$I360-8)))</x:f>
      </x:c>
      <x:c r="H360" s="50" t="str">
        <x:f>IF(352&gt;$H$4,"",IF(INDEX('Fleet dates'!$I$9:$I$1008,$I360-8)="","",INDEX('Fleet dates'!$I$9:$I$1008,$I360-8)))</x:f>
      </x:c>
      <x:c r="I360" t="str">
        <x:f>IF(352&gt;$H$4,"",MATCH(352,'Fleet dates'!$K$9:$K$1008,0)+8)</x:f>
      </x:c>
    </x:row>
    <x:row r="361" ht="36" customHeight="1">
      <x:c r="A361" s="50" t="str">
        <x:f>IF(353&gt;$H$4,"",IF(INDEX('Fleet dates'!$A$9:$A$1008,$I361-8)="","",INDEX('Fleet dates'!$A$9:$A$1008,$I361-8)))</x:f>
      </x:c>
      <x:c r="B361" s="50" t="str">
        <x:f>IF(353&gt;$H$4,"",IF(INDEX('Fleet dates'!$B$9:$B$1008,$I361-8)="","",INDEX('Fleet dates'!$B$9:$B$1008,$I361-8)))</x:f>
      </x:c>
      <x:c r="C361" s="51" t="str">
        <x:f>IF(353&gt;$H$4,"",IF(INDEX('Fleet dates'!$C$9:$C$1008,$I361-8)="","",INDEX('Fleet dates'!$C$9:$C$1008,$I361-8)))</x:f>
      </x:c>
      <x:c r="D361" s="51" t="str">
        <x:f>IF(353&gt;$H$4,"",IF(INDEX('Fleet dates'!$D$9:$D$1008,$I361-8)="","",INDEX('Fleet dates'!$D$9:$D$1008,$I361-8)))</x:f>
      </x:c>
      <x:c r="E361" s="51" t="str">
        <x:f>IF(353&gt;$H$4,"",IF(INDEX('Fleet dates'!$E$9:$E$1008,$I361-8)="","",INDEX('Fleet dates'!$E$9:$E$1008,$I361-8)))</x:f>
      </x:c>
      <x:c r="F361" s="51" t="str">
        <x:f>IF(353&gt;$H$4,"",IF(INDEX('Fleet dates'!$F$9:$F$1008,$I361-8)="","",INDEX('Fleet dates'!$F$9:$F$1008,$I361-8)))</x:f>
      </x:c>
      <x:c r="G361" s="50" t="str">
        <x:f>IF(353&gt;$H$4,"",IF(INDEX('Fleet dates'!$G$9:$G$1008,$I361-8)="","",INDEX('Fleet dates'!$G$9:$G$1008,$I361-8)))</x:f>
      </x:c>
      <x:c r="H361" s="50" t="str">
        <x:f>IF(353&gt;$H$4,"",IF(INDEX('Fleet dates'!$I$9:$I$1008,$I361-8)="","",INDEX('Fleet dates'!$I$9:$I$1008,$I361-8)))</x:f>
      </x:c>
      <x:c r="I361" t="str">
        <x:f>IF(353&gt;$H$4,"",MATCH(353,'Fleet dates'!$K$9:$K$1008,0)+8)</x:f>
      </x:c>
    </x:row>
    <x:row r="362" ht="36" customHeight="1">
      <x:c r="A362" s="50" t="str">
        <x:f>IF(354&gt;$H$4,"",IF(INDEX('Fleet dates'!$A$9:$A$1008,$I362-8)="","",INDEX('Fleet dates'!$A$9:$A$1008,$I362-8)))</x:f>
      </x:c>
      <x:c r="B362" s="50" t="str">
        <x:f>IF(354&gt;$H$4,"",IF(INDEX('Fleet dates'!$B$9:$B$1008,$I362-8)="","",INDEX('Fleet dates'!$B$9:$B$1008,$I362-8)))</x:f>
      </x:c>
      <x:c r="C362" s="51" t="str">
        <x:f>IF(354&gt;$H$4,"",IF(INDEX('Fleet dates'!$C$9:$C$1008,$I362-8)="","",INDEX('Fleet dates'!$C$9:$C$1008,$I362-8)))</x:f>
      </x:c>
      <x:c r="D362" s="51" t="str">
        <x:f>IF(354&gt;$H$4,"",IF(INDEX('Fleet dates'!$D$9:$D$1008,$I362-8)="","",INDEX('Fleet dates'!$D$9:$D$1008,$I362-8)))</x:f>
      </x:c>
      <x:c r="E362" s="51" t="str">
        <x:f>IF(354&gt;$H$4,"",IF(INDEX('Fleet dates'!$E$9:$E$1008,$I362-8)="","",INDEX('Fleet dates'!$E$9:$E$1008,$I362-8)))</x:f>
      </x:c>
      <x:c r="F362" s="51" t="str">
        <x:f>IF(354&gt;$H$4,"",IF(INDEX('Fleet dates'!$F$9:$F$1008,$I362-8)="","",INDEX('Fleet dates'!$F$9:$F$1008,$I362-8)))</x:f>
      </x:c>
      <x:c r="G362" s="50" t="str">
        <x:f>IF(354&gt;$H$4,"",IF(INDEX('Fleet dates'!$G$9:$G$1008,$I362-8)="","",INDEX('Fleet dates'!$G$9:$G$1008,$I362-8)))</x:f>
      </x:c>
      <x:c r="H362" s="50" t="str">
        <x:f>IF(354&gt;$H$4,"",IF(INDEX('Fleet dates'!$I$9:$I$1008,$I362-8)="","",INDEX('Fleet dates'!$I$9:$I$1008,$I362-8)))</x:f>
      </x:c>
      <x:c r="I362" t="str">
        <x:f>IF(354&gt;$H$4,"",MATCH(354,'Fleet dates'!$K$9:$K$1008,0)+8)</x:f>
      </x:c>
    </x:row>
    <x:row r="363" ht="36" customHeight="1">
      <x:c r="A363" s="50" t="str">
        <x:f>IF(355&gt;$H$4,"",IF(INDEX('Fleet dates'!$A$9:$A$1008,$I363-8)="","",INDEX('Fleet dates'!$A$9:$A$1008,$I363-8)))</x:f>
      </x:c>
      <x:c r="B363" s="50" t="str">
        <x:f>IF(355&gt;$H$4,"",IF(INDEX('Fleet dates'!$B$9:$B$1008,$I363-8)="","",INDEX('Fleet dates'!$B$9:$B$1008,$I363-8)))</x:f>
      </x:c>
      <x:c r="C363" s="51" t="str">
        <x:f>IF(355&gt;$H$4,"",IF(INDEX('Fleet dates'!$C$9:$C$1008,$I363-8)="","",INDEX('Fleet dates'!$C$9:$C$1008,$I363-8)))</x:f>
      </x:c>
      <x:c r="D363" s="51" t="str">
        <x:f>IF(355&gt;$H$4,"",IF(INDEX('Fleet dates'!$D$9:$D$1008,$I363-8)="","",INDEX('Fleet dates'!$D$9:$D$1008,$I363-8)))</x:f>
      </x:c>
      <x:c r="E363" s="51" t="str">
        <x:f>IF(355&gt;$H$4,"",IF(INDEX('Fleet dates'!$E$9:$E$1008,$I363-8)="","",INDEX('Fleet dates'!$E$9:$E$1008,$I363-8)))</x:f>
      </x:c>
      <x:c r="F363" s="51" t="str">
        <x:f>IF(355&gt;$H$4,"",IF(INDEX('Fleet dates'!$F$9:$F$1008,$I363-8)="","",INDEX('Fleet dates'!$F$9:$F$1008,$I363-8)))</x:f>
      </x:c>
      <x:c r="G363" s="50" t="str">
        <x:f>IF(355&gt;$H$4,"",IF(INDEX('Fleet dates'!$G$9:$G$1008,$I363-8)="","",INDEX('Fleet dates'!$G$9:$G$1008,$I363-8)))</x:f>
      </x:c>
      <x:c r="H363" s="50" t="str">
        <x:f>IF(355&gt;$H$4,"",IF(INDEX('Fleet dates'!$I$9:$I$1008,$I363-8)="","",INDEX('Fleet dates'!$I$9:$I$1008,$I363-8)))</x:f>
      </x:c>
      <x:c r="I363" t="str">
        <x:f>IF(355&gt;$H$4,"",MATCH(355,'Fleet dates'!$K$9:$K$1008,0)+8)</x:f>
      </x:c>
    </x:row>
    <x:row r="364" ht="36" customHeight="1">
      <x:c r="A364" s="50" t="str">
        <x:f>IF(356&gt;$H$4,"",IF(INDEX('Fleet dates'!$A$9:$A$1008,$I364-8)="","",INDEX('Fleet dates'!$A$9:$A$1008,$I364-8)))</x:f>
      </x:c>
      <x:c r="B364" s="50" t="str">
        <x:f>IF(356&gt;$H$4,"",IF(INDEX('Fleet dates'!$B$9:$B$1008,$I364-8)="","",INDEX('Fleet dates'!$B$9:$B$1008,$I364-8)))</x:f>
      </x:c>
      <x:c r="C364" s="51" t="str">
        <x:f>IF(356&gt;$H$4,"",IF(INDEX('Fleet dates'!$C$9:$C$1008,$I364-8)="","",INDEX('Fleet dates'!$C$9:$C$1008,$I364-8)))</x:f>
      </x:c>
      <x:c r="D364" s="51" t="str">
        <x:f>IF(356&gt;$H$4,"",IF(INDEX('Fleet dates'!$D$9:$D$1008,$I364-8)="","",INDEX('Fleet dates'!$D$9:$D$1008,$I364-8)))</x:f>
      </x:c>
      <x:c r="E364" s="51" t="str">
        <x:f>IF(356&gt;$H$4,"",IF(INDEX('Fleet dates'!$E$9:$E$1008,$I364-8)="","",INDEX('Fleet dates'!$E$9:$E$1008,$I364-8)))</x:f>
      </x:c>
      <x:c r="F364" s="51" t="str">
        <x:f>IF(356&gt;$H$4,"",IF(INDEX('Fleet dates'!$F$9:$F$1008,$I364-8)="","",INDEX('Fleet dates'!$F$9:$F$1008,$I364-8)))</x:f>
      </x:c>
      <x:c r="G364" s="50" t="str">
        <x:f>IF(356&gt;$H$4,"",IF(INDEX('Fleet dates'!$G$9:$G$1008,$I364-8)="","",INDEX('Fleet dates'!$G$9:$G$1008,$I364-8)))</x:f>
      </x:c>
      <x:c r="H364" s="50" t="str">
        <x:f>IF(356&gt;$H$4,"",IF(INDEX('Fleet dates'!$I$9:$I$1008,$I364-8)="","",INDEX('Fleet dates'!$I$9:$I$1008,$I364-8)))</x:f>
      </x:c>
      <x:c r="I364" t="str">
        <x:f>IF(356&gt;$H$4,"",MATCH(356,'Fleet dates'!$K$9:$K$1008,0)+8)</x:f>
      </x:c>
    </x:row>
    <x:row r="365" ht="36" customHeight="1">
      <x:c r="A365" s="50" t="str">
        <x:f>IF(357&gt;$H$4,"",IF(INDEX('Fleet dates'!$A$9:$A$1008,$I365-8)="","",INDEX('Fleet dates'!$A$9:$A$1008,$I365-8)))</x:f>
      </x:c>
      <x:c r="B365" s="50" t="str">
        <x:f>IF(357&gt;$H$4,"",IF(INDEX('Fleet dates'!$B$9:$B$1008,$I365-8)="","",INDEX('Fleet dates'!$B$9:$B$1008,$I365-8)))</x:f>
      </x:c>
      <x:c r="C365" s="51" t="str">
        <x:f>IF(357&gt;$H$4,"",IF(INDEX('Fleet dates'!$C$9:$C$1008,$I365-8)="","",INDEX('Fleet dates'!$C$9:$C$1008,$I365-8)))</x:f>
      </x:c>
      <x:c r="D365" s="51" t="str">
        <x:f>IF(357&gt;$H$4,"",IF(INDEX('Fleet dates'!$D$9:$D$1008,$I365-8)="","",INDEX('Fleet dates'!$D$9:$D$1008,$I365-8)))</x:f>
      </x:c>
      <x:c r="E365" s="51" t="str">
        <x:f>IF(357&gt;$H$4,"",IF(INDEX('Fleet dates'!$E$9:$E$1008,$I365-8)="","",INDEX('Fleet dates'!$E$9:$E$1008,$I365-8)))</x:f>
      </x:c>
      <x:c r="F365" s="51" t="str">
        <x:f>IF(357&gt;$H$4,"",IF(INDEX('Fleet dates'!$F$9:$F$1008,$I365-8)="","",INDEX('Fleet dates'!$F$9:$F$1008,$I365-8)))</x:f>
      </x:c>
      <x:c r="G365" s="50" t="str">
        <x:f>IF(357&gt;$H$4,"",IF(INDEX('Fleet dates'!$G$9:$G$1008,$I365-8)="","",INDEX('Fleet dates'!$G$9:$G$1008,$I365-8)))</x:f>
      </x:c>
      <x:c r="H365" s="50" t="str">
        <x:f>IF(357&gt;$H$4,"",IF(INDEX('Fleet dates'!$I$9:$I$1008,$I365-8)="","",INDEX('Fleet dates'!$I$9:$I$1008,$I365-8)))</x:f>
      </x:c>
      <x:c r="I365" t="str">
        <x:f>IF(357&gt;$H$4,"",MATCH(357,'Fleet dates'!$K$9:$K$1008,0)+8)</x:f>
      </x:c>
    </x:row>
    <x:row r="366" ht="36" customHeight="1">
      <x:c r="A366" s="50" t="str">
        <x:f>IF(358&gt;$H$4,"",IF(INDEX('Fleet dates'!$A$9:$A$1008,$I366-8)="","",INDEX('Fleet dates'!$A$9:$A$1008,$I366-8)))</x:f>
      </x:c>
      <x:c r="B366" s="50" t="str">
        <x:f>IF(358&gt;$H$4,"",IF(INDEX('Fleet dates'!$B$9:$B$1008,$I366-8)="","",INDEX('Fleet dates'!$B$9:$B$1008,$I366-8)))</x:f>
      </x:c>
      <x:c r="C366" s="51" t="str">
        <x:f>IF(358&gt;$H$4,"",IF(INDEX('Fleet dates'!$C$9:$C$1008,$I366-8)="","",INDEX('Fleet dates'!$C$9:$C$1008,$I366-8)))</x:f>
      </x:c>
      <x:c r="D366" s="51" t="str">
        <x:f>IF(358&gt;$H$4,"",IF(INDEX('Fleet dates'!$D$9:$D$1008,$I366-8)="","",INDEX('Fleet dates'!$D$9:$D$1008,$I366-8)))</x:f>
      </x:c>
      <x:c r="E366" s="51" t="str">
        <x:f>IF(358&gt;$H$4,"",IF(INDEX('Fleet dates'!$E$9:$E$1008,$I366-8)="","",INDEX('Fleet dates'!$E$9:$E$1008,$I366-8)))</x:f>
      </x:c>
      <x:c r="F366" s="51" t="str">
        <x:f>IF(358&gt;$H$4,"",IF(INDEX('Fleet dates'!$F$9:$F$1008,$I366-8)="","",INDEX('Fleet dates'!$F$9:$F$1008,$I366-8)))</x:f>
      </x:c>
      <x:c r="G366" s="50" t="str">
        <x:f>IF(358&gt;$H$4,"",IF(INDEX('Fleet dates'!$G$9:$G$1008,$I366-8)="","",INDEX('Fleet dates'!$G$9:$G$1008,$I366-8)))</x:f>
      </x:c>
      <x:c r="H366" s="50" t="str">
        <x:f>IF(358&gt;$H$4,"",IF(INDEX('Fleet dates'!$I$9:$I$1008,$I366-8)="","",INDEX('Fleet dates'!$I$9:$I$1008,$I366-8)))</x:f>
      </x:c>
      <x:c r="I366" t="str">
        <x:f>IF(358&gt;$H$4,"",MATCH(358,'Fleet dates'!$K$9:$K$1008,0)+8)</x:f>
      </x:c>
    </x:row>
    <x:row r="367" ht="36" customHeight="1">
      <x:c r="A367" s="50" t="str">
        <x:f>IF(359&gt;$H$4,"",IF(INDEX('Fleet dates'!$A$9:$A$1008,$I367-8)="","",INDEX('Fleet dates'!$A$9:$A$1008,$I367-8)))</x:f>
      </x:c>
      <x:c r="B367" s="50" t="str">
        <x:f>IF(359&gt;$H$4,"",IF(INDEX('Fleet dates'!$B$9:$B$1008,$I367-8)="","",INDEX('Fleet dates'!$B$9:$B$1008,$I367-8)))</x:f>
      </x:c>
      <x:c r="C367" s="51" t="str">
        <x:f>IF(359&gt;$H$4,"",IF(INDEX('Fleet dates'!$C$9:$C$1008,$I367-8)="","",INDEX('Fleet dates'!$C$9:$C$1008,$I367-8)))</x:f>
      </x:c>
      <x:c r="D367" s="51" t="str">
        <x:f>IF(359&gt;$H$4,"",IF(INDEX('Fleet dates'!$D$9:$D$1008,$I367-8)="","",INDEX('Fleet dates'!$D$9:$D$1008,$I367-8)))</x:f>
      </x:c>
      <x:c r="E367" s="51" t="str">
        <x:f>IF(359&gt;$H$4,"",IF(INDEX('Fleet dates'!$E$9:$E$1008,$I367-8)="","",INDEX('Fleet dates'!$E$9:$E$1008,$I367-8)))</x:f>
      </x:c>
      <x:c r="F367" s="51" t="str">
        <x:f>IF(359&gt;$H$4,"",IF(INDEX('Fleet dates'!$F$9:$F$1008,$I367-8)="","",INDEX('Fleet dates'!$F$9:$F$1008,$I367-8)))</x:f>
      </x:c>
      <x:c r="G367" s="50" t="str">
        <x:f>IF(359&gt;$H$4,"",IF(INDEX('Fleet dates'!$G$9:$G$1008,$I367-8)="","",INDEX('Fleet dates'!$G$9:$G$1008,$I367-8)))</x:f>
      </x:c>
      <x:c r="H367" s="50" t="str">
        <x:f>IF(359&gt;$H$4,"",IF(INDEX('Fleet dates'!$I$9:$I$1008,$I367-8)="","",INDEX('Fleet dates'!$I$9:$I$1008,$I367-8)))</x:f>
      </x:c>
      <x:c r="I367" t="str">
        <x:f>IF(359&gt;$H$4,"",MATCH(359,'Fleet dates'!$K$9:$K$1008,0)+8)</x:f>
      </x:c>
    </x:row>
    <x:row r="368" ht="36" customHeight="1">
      <x:c r="A368" s="50" t="str">
        <x:f>IF(360&gt;$H$4,"",IF(INDEX('Fleet dates'!$A$9:$A$1008,$I368-8)="","",INDEX('Fleet dates'!$A$9:$A$1008,$I368-8)))</x:f>
      </x:c>
      <x:c r="B368" s="50" t="str">
        <x:f>IF(360&gt;$H$4,"",IF(INDEX('Fleet dates'!$B$9:$B$1008,$I368-8)="","",INDEX('Fleet dates'!$B$9:$B$1008,$I368-8)))</x:f>
      </x:c>
      <x:c r="C368" s="51" t="str">
        <x:f>IF(360&gt;$H$4,"",IF(INDEX('Fleet dates'!$C$9:$C$1008,$I368-8)="","",INDEX('Fleet dates'!$C$9:$C$1008,$I368-8)))</x:f>
      </x:c>
      <x:c r="D368" s="51" t="str">
        <x:f>IF(360&gt;$H$4,"",IF(INDEX('Fleet dates'!$D$9:$D$1008,$I368-8)="","",INDEX('Fleet dates'!$D$9:$D$1008,$I368-8)))</x:f>
      </x:c>
      <x:c r="E368" s="51" t="str">
        <x:f>IF(360&gt;$H$4,"",IF(INDEX('Fleet dates'!$E$9:$E$1008,$I368-8)="","",INDEX('Fleet dates'!$E$9:$E$1008,$I368-8)))</x:f>
      </x:c>
      <x:c r="F368" s="51" t="str">
        <x:f>IF(360&gt;$H$4,"",IF(INDEX('Fleet dates'!$F$9:$F$1008,$I368-8)="","",INDEX('Fleet dates'!$F$9:$F$1008,$I368-8)))</x:f>
      </x:c>
      <x:c r="G368" s="50" t="str">
        <x:f>IF(360&gt;$H$4,"",IF(INDEX('Fleet dates'!$G$9:$G$1008,$I368-8)="","",INDEX('Fleet dates'!$G$9:$G$1008,$I368-8)))</x:f>
      </x:c>
      <x:c r="H368" s="50" t="str">
        <x:f>IF(360&gt;$H$4,"",IF(INDEX('Fleet dates'!$I$9:$I$1008,$I368-8)="","",INDEX('Fleet dates'!$I$9:$I$1008,$I368-8)))</x:f>
      </x:c>
      <x:c r="I368" t="str">
        <x:f>IF(360&gt;$H$4,"",MATCH(360,'Fleet dates'!$K$9:$K$1008,0)+8)</x:f>
      </x:c>
    </x:row>
    <x:row r="369" ht="36" customHeight="1">
      <x:c r="A369" s="50" t="str">
        <x:f>IF(361&gt;$H$4,"",IF(INDEX('Fleet dates'!$A$9:$A$1008,$I369-8)="","",INDEX('Fleet dates'!$A$9:$A$1008,$I369-8)))</x:f>
      </x:c>
      <x:c r="B369" s="50" t="str">
        <x:f>IF(361&gt;$H$4,"",IF(INDEX('Fleet dates'!$B$9:$B$1008,$I369-8)="","",INDEX('Fleet dates'!$B$9:$B$1008,$I369-8)))</x:f>
      </x:c>
      <x:c r="C369" s="51" t="str">
        <x:f>IF(361&gt;$H$4,"",IF(INDEX('Fleet dates'!$C$9:$C$1008,$I369-8)="","",INDEX('Fleet dates'!$C$9:$C$1008,$I369-8)))</x:f>
      </x:c>
      <x:c r="D369" s="51" t="str">
        <x:f>IF(361&gt;$H$4,"",IF(INDEX('Fleet dates'!$D$9:$D$1008,$I369-8)="","",INDEX('Fleet dates'!$D$9:$D$1008,$I369-8)))</x:f>
      </x:c>
      <x:c r="E369" s="51" t="str">
        <x:f>IF(361&gt;$H$4,"",IF(INDEX('Fleet dates'!$E$9:$E$1008,$I369-8)="","",INDEX('Fleet dates'!$E$9:$E$1008,$I369-8)))</x:f>
      </x:c>
      <x:c r="F369" s="51" t="str">
        <x:f>IF(361&gt;$H$4,"",IF(INDEX('Fleet dates'!$F$9:$F$1008,$I369-8)="","",INDEX('Fleet dates'!$F$9:$F$1008,$I369-8)))</x:f>
      </x:c>
      <x:c r="G369" s="50" t="str">
        <x:f>IF(361&gt;$H$4,"",IF(INDEX('Fleet dates'!$G$9:$G$1008,$I369-8)="","",INDEX('Fleet dates'!$G$9:$G$1008,$I369-8)))</x:f>
      </x:c>
      <x:c r="H369" s="50" t="str">
        <x:f>IF(361&gt;$H$4,"",IF(INDEX('Fleet dates'!$I$9:$I$1008,$I369-8)="","",INDEX('Fleet dates'!$I$9:$I$1008,$I369-8)))</x:f>
      </x:c>
      <x:c r="I369" t="str">
        <x:f>IF(361&gt;$H$4,"",MATCH(361,'Fleet dates'!$K$9:$K$1008,0)+8)</x:f>
      </x:c>
    </x:row>
    <x:row r="370" ht="36" customHeight="1">
      <x:c r="A370" s="50" t="str">
        <x:f>IF(362&gt;$H$4,"",IF(INDEX('Fleet dates'!$A$9:$A$1008,$I370-8)="","",INDEX('Fleet dates'!$A$9:$A$1008,$I370-8)))</x:f>
      </x:c>
      <x:c r="B370" s="50" t="str">
        <x:f>IF(362&gt;$H$4,"",IF(INDEX('Fleet dates'!$B$9:$B$1008,$I370-8)="","",INDEX('Fleet dates'!$B$9:$B$1008,$I370-8)))</x:f>
      </x:c>
      <x:c r="C370" s="51" t="str">
        <x:f>IF(362&gt;$H$4,"",IF(INDEX('Fleet dates'!$C$9:$C$1008,$I370-8)="","",INDEX('Fleet dates'!$C$9:$C$1008,$I370-8)))</x:f>
      </x:c>
      <x:c r="D370" s="51" t="str">
        <x:f>IF(362&gt;$H$4,"",IF(INDEX('Fleet dates'!$D$9:$D$1008,$I370-8)="","",INDEX('Fleet dates'!$D$9:$D$1008,$I370-8)))</x:f>
      </x:c>
      <x:c r="E370" s="51" t="str">
        <x:f>IF(362&gt;$H$4,"",IF(INDEX('Fleet dates'!$E$9:$E$1008,$I370-8)="","",INDEX('Fleet dates'!$E$9:$E$1008,$I370-8)))</x:f>
      </x:c>
      <x:c r="F370" s="51" t="str">
        <x:f>IF(362&gt;$H$4,"",IF(INDEX('Fleet dates'!$F$9:$F$1008,$I370-8)="","",INDEX('Fleet dates'!$F$9:$F$1008,$I370-8)))</x:f>
      </x:c>
      <x:c r="G370" s="50" t="str">
        <x:f>IF(362&gt;$H$4,"",IF(INDEX('Fleet dates'!$G$9:$G$1008,$I370-8)="","",INDEX('Fleet dates'!$G$9:$G$1008,$I370-8)))</x:f>
      </x:c>
      <x:c r="H370" s="50" t="str">
        <x:f>IF(362&gt;$H$4,"",IF(INDEX('Fleet dates'!$I$9:$I$1008,$I370-8)="","",INDEX('Fleet dates'!$I$9:$I$1008,$I370-8)))</x:f>
      </x:c>
      <x:c r="I370" t="str">
        <x:f>IF(362&gt;$H$4,"",MATCH(362,'Fleet dates'!$K$9:$K$1008,0)+8)</x:f>
      </x:c>
    </x:row>
    <x:row r="371" ht="36" customHeight="1">
      <x:c r="A371" s="50" t="str">
        <x:f>IF(363&gt;$H$4,"",IF(INDEX('Fleet dates'!$A$9:$A$1008,$I371-8)="","",INDEX('Fleet dates'!$A$9:$A$1008,$I371-8)))</x:f>
      </x:c>
      <x:c r="B371" s="50" t="str">
        <x:f>IF(363&gt;$H$4,"",IF(INDEX('Fleet dates'!$B$9:$B$1008,$I371-8)="","",INDEX('Fleet dates'!$B$9:$B$1008,$I371-8)))</x:f>
      </x:c>
      <x:c r="C371" s="51" t="str">
        <x:f>IF(363&gt;$H$4,"",IF(INDEX('Fleet dates'!$C$9:$C$1008,$I371-8)="","",INDEX('Fleet dates'!$C$9:$C$1008,$I371-8)))</x:f>
      </x:c>
      <x:c r="D371" s="51" t="str">
        <x:f>IF(363&gt;$H$4,"",IF(INDEX('Fleet dates'!$D$9:$D$1008,$I371-8)="","",INDEX('Fleet dates'!$D$9:$D$1008,$I371-8)))</x:f>
      </x:c>
      <x:c r="E371" s="51" t="str">
        <x:f>IF(363&gt;$H$4,"",IF(INDEX('Fleet dates'!$E$9:$E$1008,$I371-8)="","",INDEX('Fleet dates'!$E$9:$E$1008,$I371-8)))</x:f>
      </x:c>
      <x:c r="F371" s="51" t="str">
        <x:f>IF(363&gt;$H$4,"",IF(INDEX('Fleet dates'!$F$9:$F$1008,$I371-8)="","",INDEX('Fleet dates'!$F$9:$F$1008,$I371-8)))</x:f>
      </x:c>
      <x:c r="G371" s="50" t="str">
        <x:f>IF(363&gt;$H$4,"",IF(INDEX('Fleet dates'!$G$9:$G$1008,$I371-8)="","",INDEX('Fleet dates'!$G$9:$G$1008,$I371-8)))</x:f>
      </x:c>
      <x:c r="H371" s="50" t="str">
        <x:f>IF(363&gt;$H$4,"",IF(INDEX('Fleet dates'!$I$9:$I$1008,$I371-8)="","",INDEX('Fleet dates'!$I$9:$I$1008,$I371-8)))</x:f>
      </x:c>
      <x:c r="I371" t="str">
        <x:f>IF(363&gt;$H$4,"",MATCH(363,'Fleet dates'!$K$9:$K$1008,0)+8)</x:f>
      </x:c>
    </x:row>
    <x:row r="372" ht="36" customHeight="1">
      <x:c r="A372" s="50" t="str">
        <x:f>IF(364&gt;$H$4,"",IF(INDEX('Fleet dates'!$A$9:$A$1008,$I372-8)="","",INDEX('Fleet dates'!$A$9:$A$1008,$I372-8)))</x:f>
      </x:c>
      <x:c r="B372" s="50" t="str">
        <x:f>IF(364&gt;$H$4,"",IF(INDEX('Fleet dates'!$B$9:$B$1008,$I372-8)="","",INDEX('Fleet dates'!$B$9:$B$1008,$I372-8)))</x:f>
      </x:c>
      <x:c r="C372" s="51" t="str">
        <x:f>IF(364&gt;$H$4,"",IF(INDEX('Fleet dates'!$C$9:$C$1008,$I372-8)="","",INDEX('Fleet dates'!$C$9:$C$1008,$I372-8)))</x:f>
      </x:c>
      <x:c r="D372" s="51" t="str">
        <x:f>IF(364&gt;$H$4,"",IF(INDEX('Fleet dates'!$D$9:$D$1008,$I372-8)="","",INDEX('Fleet dates'!$D$9:$D$1008,$I372-8)))</x:f>
      </x:c>
      <x:c r="E372" s="51" t="str">
        <x:f>IF(364&gt;$H$4,"",IF(INDEX('Fleet dates'!$E$9:$E$1008,$I372-8)="","",INDEX('Fleet dates'!$E$9:$E$1008,$I372-8)))</x:f>
      </x:c>
      <x:c r="F372" s="51" t="str">
        <x:f>IF(364&gt;$H$4,"",IF(INDEX('Fleet dates'!$F$9:$F$1008,$I372-8)="","",INDEX('Fleet dates'!$F$9:$F$1008,$I372-8)))</x:f>
      </x:c>
      <x:c r="G372" s="50" t="str">
        <x:f>IF(364&gt;$H$4,"",IF(INDEX('Fleet dates'!$G$9:$G$1008,$I372-8)="","",INDEX('Fleet dates'!$G$9:$G$1008,$I372-8)))</x:f>
      </x:c>
      <x:c r="H372" s="50" t="str">
        <x:f>IF(364&gt;$H$4,"",IF(INDEX('Fleet dates'!$I$9:$I$1008,$I372-8)="","",INDEX('Fleet dates'!$I$9:$I$1008,$I372-8)))</x:f>
      </x:c>
      <x:c r="I372" t="str">
        <x:f>IF(364&gt;$H$4,"",MATCH(364,'Fleet dates'!$K$9:$K$1008,0)+8)</x:f>
      </x:c>
    </x:row>
    <x:row r="373" ht="36" customHeight="1">
      <x:c r="A373" s="50" t="str">
        <x:f>IF(365&gt;$H$4,"",IF(INDEX('Fleet dates'!$A$9:$A$1008,$I373-8)="","",INDEX('Fleet dates'!$A$9:$A$1008,$I373-8)))</x:f>
      </x:c>
      <x:c r="B373" s="50" t="str">
        <x:f>IF(365&gt;$H$4,"",IF(INDEX('Fleet dates'!$B$9:$B$1008,$I373-8)="","",INDEX('Fleet dates'!$B$9:$B$1008,$I373-8)))</x:f>
      </x:c>
      <x:c r="C373" s="51" t="str">
        <x:f>IF(365&gt;$H$4,"",IF(INDEX('Fleet dates'!$C$9:$C$1008,$I373-8)="","",INDEX('Fleet dates'!$C$9:$C$1008,$I373-8)))</x:f>
      </x:c>
      <x:c r="D373" s="51" t="str">
        <x:f>IF(365&gt;$H$4,"",IF(INDEX('Fleet dates'!$D$9:$D$1008,$I373-8)="","",INDEX('Fleet dates'!$D$9:$D$1008,$I373-8)))</x:f>
      </x:c>
      <x:c r="E373" s="51" t="str">
        <x:f>IF(365&gt;$H$4,"",IF(INDEX('Fleet dates'!$E$9:$E$1008,$I373-8)="","",INDEX('Fleet dates'!$E$9:$E$1008,$I373-8)))</x:f>
      </x:c>
      <x:c r="F373" s="51" t="str">
        <x:f>IF(365&gt;$H$4,"",IF(INDEX('Fleet dates'!$F$9:$F$1008,$I373-8)="","",INDEX('Fleet dates'!$F$9:$F$1008,$I373-8)))</x:f>
      </x:c>
      <x:c r="G373" s="50" t="str">
        <x:f>IF(365&gt;$H$4,"",IF(INDEX('Fleet dates'!$G$9:$G$1008,$I373-8)="","",INDEX('Fleet dates'!$G$9:$G$1008,$I373-8)))</x:f>
      </x:c>
      <x:c r="H373" s="50" t="str">
        <x:f>IF(365&gt;$H$4,"",IF(INDEX('Fleet dates'!$I$9:$I$1008,$I373-8)="","",INDEX('Fleet dates'!$I$9:$I$1008,$I373-8)))</x:f>
      </x:c>
      <x:c r="I373" t="str">
        <x:f>IF(365&gt;$H$4,"",MATCH(365,'Fleet dates'!$K$9:$K$1008,0)+8)</x:f>
      </x:c>
    </x:row>
    <x:row r="374" ht="36" customHeight="1">
      <x:c r="A374" s="50" t="str">
        <x:f>IF(366&gt;$H$4,"",IF(INDEX('Fleet dates'!$A$9:$A$1008,$I374-8)="","",INDEX('Fleet dates'!$A$9:$A$1008,$I374-8)))</x:f>
      </x:c>
      <x:c r="B374" s="50" t="str">
        <x:f>IF(366&gt;$H$4,"",IF(INDEX('Fleet dates'!$B$9:$B$1008,$I374-8)="","",INDEX('Fleet dates'!$B$9:$B$1008,$I374-8)))</x:f>
      </x:c>
      <x:c r="C374" s="51" t="str">
        <x:f>IF(366&gt;$H$4,"",IF(INDEX('Fleet dates'!$C$9:$C$1008,$I374-8)="","",INDEX('Fleet dates'!$C$9:$C$1008,$I374-8)))</x:f>
      </x:c>
      <x:c r="D374" s="51" t="str">
        <x:f>IF(366&gt;$H$4,"",IF(INDEX('Fleet dates'!$D$9:$D$1008,$I374-8)="","",INDEX('Fleet dates'!$D$9:$D$1008,$I374-8)))</x:f>
      </x:c>
      <x:c r="E374" s="51" t="str">
        <x:f>IF(366&gt;$H$4,"",IF(INDEX('Fleet dates'!$E$9:$E$1008,$I374-8)="","",INDEX('Fleet dates'!$E$9:$E$1008,$I374-8)))</x:f>
      </x:c>
      <x:c r="F374" s="51" t="str">
        <x:f>IF(366&gt;$H$4,"",IF(INDEX('Fleet dates'!$F$9:$F$1008,$I374-8)="","",INDEX('Fleet dates'!$F$9:$F$1008,$I374-8)))</x:f>
      </x:c>
      <x:c r="G374" s="50" t="str">
        <x:f>IF(366&gt;$H$4,"",IF(INDEX('Fleet dates'!$G$9:$G$1008,$I374-8)="","",INDEX('Fleet dates'!$G$9:$G$1008,$I374-8)))</x:f>
      </x:c>
      <x:c r="H374" s="50" t="str">
        <x:f>IF(366&gt;$H$4,"",IF(INDEX('Fleet dates'!$I$9:$I$1008,$I374-8)="","",INDEX('Fleet dates'!$I$9:$I$1008,$I374-8)))</x:f>
      </x:c>
      <x:c r="I374" t="str">
        <x:f>IF(366&gt;$H$4,"",MATCH(366,'Fleet dates'!$K$9:$K$1008,0)+8)</x:f>
      </x:c>
    </x:row>
    <x:row r="375" ht="36" customHeight="1">
      <x:c r="A375" s="50" t="str">
        <x:f>IF(367&gt;$H$4,"",IF(INDEX('Fleet dates'!$A$9:$A$1008,$I375-8)="","",INDEX('Fleet dates'!$A$9:$A$1008,$I375-8)))</x:f>
      </x:c>
      <x:c r="B375" s="50" t="str">
        <x:f>IF(367&gt;$H$4,"",IF(INDEX('Fleet dates'!$B$9:$B$1008,$I375-8)="","",INDEX('Fleet dates'!$B$9:$B$1008,$I375-8)))</x:f>
      </x:c>
      <x:c r="C375" s="51" t="str">
        <x:f>IF(367&gt;$H$4,"",IF(INDEX('Fleet dates'!$C$9:$C$1008,$I375-8)="","",INDEX('Fleet dates'!$C$9:$C$1008,$I375-8)))</x:f>
      </x:c>
      <x:c r="D375" s="51" t="str">
        <x:f>IF(367&gt;$H$4,"",IF(INDEX('Fleet dates'!$D$9:$D$1008,$I375-8)="","",INDEX('Fleet dates'!$D$9:$D$1008,$I375-8)))</x:f>
      </x:c>
      <x:c r="E375" s="51" t="str">
        <x:f>IF(367&gt;$H$4,"",IF(INDEX('Fleet dates'!$E$9:$E$1008,$I375-8)="","",INDEX('Fleet dates'!$E$9:$E$1008,$I375-8)))</x:f>
      </x:c>
      <x:c r="F375" s="51" t="str">
        <x:f>IF(367&gt;$H$4,"",IF(INDEX('Fleet dates'!$F$9:$F$1008,$I375-8)="","",INDEX('Fleet dates'!$F$9:$F$1008,$I375-8)))</x:f>
      </x:c>
      <x:c r="G375" s="50" t="str">
        <x:f>IF(367&gt;$H$4,"",IF(INDEX('Fleet dates'!$G$9:$G$1008,$I375-8)="","",INDEX('Fleet dates'!$G$9:$G$1008,$I375-8)))</x:f>
      </x:c>
      <x:c r="H375" s="50" t="str">
        <x:f>IF(367&gt;$H$4,"",IF(INDEX('Fleet dates'!$I$9:$I$1008,$I375-8)="","",INDEX('Fleet dates'!$I$9:$I$1008,$I375-8)))</x:f>
      </x:c>
      <x:c r="I375" t="str">
        <x:f>IF(367&gt;$H$4,"",MATCH(367,'Fleet dates'!$K$9:$K$1008,0)+8)</x:f>
      </x:c>
    </x:row>
    <x:row r="376" ht="36" customHeight="1">
      <x:c r="A376" s="50" t="str">
        <x:f>IF(368&gt;$H$4,"",IF(INDEX('Fleet dates'!$A$9:$A$1008,$I376-8)="","",INDEX('Fleet dates'!$A$9:$A$1008,$I376-8)))</x:f>
      </x:c>
      <x:c r="B376" s="50" t="str">
        <x:f>IF(368&gt;$H$4,"",IF(INDEX('Fleet dates'!$B$9:$B$1008,$I376-8)="","",INDEX('Fleet dates'!$B$9:$B$1008,$I376-8)))</x:f>
      </x:c>
      <x:c r="C376" s="51" t="str">
        <x:f>IF(368&gt;$H$4,"",IF(INDEX('Fleet dates'!$C$9:$C$1008,$I376-8)="","",INDEX('Fleet dates'!$C$9:$C$1008,$I376-8)))</x:f>
      </x:c>
      <x:c r="D376" s="51" t="str">
        <x:f>IF(368&gt;$H$4,"",IF(INDEX('Fleet dates'!$D$9:$D$1008,$I376-8)="","",INDEX('Fleet dates'!$D$9:$D$1008,$I376-8)))</x:f>
      </x:c>
      <x:c r="E376" s="51" t="str">
        <x:f>IF(368&gt;$H$4,"",IF(INDEX('Fleet dates'!$E$9:$E$1008,$I376-8)="","",INDEX('Fleet dates'!$E$9:$E$1008,$I376-8)))</x:f>
      </x:c>
      <x:c r="F376" s="51" t="str">
        <x:f>IF(368&gt;$H$4,"",IF(INDEX('Fleet dates'!$F$9:$F$1008,$I376-8)="","",INDEX('Fleet dates'!$F$9:$F$1008,$I376-8)))</x:f>
      </x:c>
      <x:c r="G376" s="50" t="str">
        <x:f>IF(368&gt;$H$4,"",IF(INDEX('Fleet dates'!$G$9:$G$1008,$I376-8)="","",INDEX('Fleet dates'!$G$9:$G$1008,$I376-8)))</x:f>
      </x:c>
      <x:c r="H376" s="50" t="str">
        <x:f>IF(368&gt;$H$4,"",IF(INDEX('Fleet dates'!$I$9:$I$1008,$I376-8)="","",INDEX('Fleet dates'!$I$9:$I$1008,$I376-8)))</x:f>
      </x:c>
      <x:c r="I376" t="str">
        <x:f>IF(368&gt;$H$4,"",MATCH(368,'Fleet dates'!$K$9:$K$1008,0)+8)</x:f>
      </x:c>
    </x:row>
    <x:row r="377" ht="36" customHeight="1">
      <x:c r="A377" s="50" t="str">
        <x:f>IF(369&gt;$H$4,"",IF(INDEX('Fleet dates'!$A$9:$A$1008,$I377-8)="","",INDEX('Fleet dates'!$A$9:$A$1008,$I377-8)))</x:f>
      </x:c>
      <x:c r="B377" s="50" t="str">
        <x:f>IF(369&gt;$H$4,"",IF(INDEX('Fleet dates'!$B$9:$B$1008,$I377-8)="","",INDEX('Fleet dates'!$B$9:$B$1008,$I377-8)))</x:f>
      </x:c>
      <x:c r="C377" s="51" t="str">
        <x:f>IF(369&gt;$H$4,"",IF(INDEX('Fleet dates'!$C$9:$C$1008,$I377-8)="","",INDEX('Fleet dates'!$C$9:$C$1008,$I377-8)))</x:f>
      </x:c>
      <x:c r="D377" s="51" t="str">
        <x:f>IF(369&gt;$H$4,"",IF(INDEX('Fleet dates'!$D$9:$D$1008,$I377-8)="","",INDEX('Fleet dates'!$D$9:$D$1008,$I377-8)))</x:f>
      </x:c>
      <x:c r="E377" s="51" t="str">
        <x:f>IF(369&gt;$H$4,"",IF(INDEX('Fleet dates'!$E$9:$E$1008,$I377-8)="","",INDEX('Fleet dates'!$E$9:$E$1008,$I377-8)))</x:f>
      </x:c>
      <x:c r="F377" s="51" t="str">
        <x:f>IF(369&gt;$H$4,"",IF(INDEX('Fleet dates'!$F$9:$F$1008,$I377-8)="","",INDEX('Fleet dates'!$F$9:$F$1008,$I377-8)))</x:f>
      </x:c>
      <x:c r="G377" s="50" t="str">
        <x:f>IF(369&gt;$H$4,"",IF(INDEX('Fleet dates'!$G$9:$G$1008,$I377-8)="","",INDEX('Fleet dates'!$G$9:$G$1008,$I377-8)))</x:f>
      </x:c>
      <x:c r="H377" s="50" t="str">
        <x:f>IF(369&gt;$H$4,"",IF(INDEX('Fleet dates'!$I$9:$I$1008,$I377-8)="","",INDEX('Fleet dates'!$I$9:$I$1008,$I377-8)))</x:f>
      </x:c>
      <x:c r="I377" t="str">
        <x:f>IF(369&gt;$H$4,"",MATCH(369,'Fleet dates'!$K$9:$K$1008,0)+8)</x:f>
      </x:c>
    </x:row>
    <x:row r="378" ht="36" customHeight="1">
      <x:c r="A378" s="50" t="str">
        <x:f>IF(370&gt;$H$4,"",IF(INDEX('Fleet dates'!$A$9:$A$1008,$I378-8)="","",INDEX('Fleet dates'!$A$9:$A$1008,$I378-8)))</x:f>
      </x:c>
      <x:c r="B378" s="50" t="str">
        <x:f>IF(370&gt;$H$4,"",IF(INDEX('Fleet dates'!$B$9:$B$1008,$I378-8)="","",INDEX('Fleet dates'!$B$9:$B$1008,$I378-8)))</x:f>
      </x:c>
      <x:c r="C378" s="51" t="str">
        <x:f>IF(370&gt;$H$4,"",IF(INDEX('Fleet dates'!$C$9:$C$1008,$I378-8)="","",INDEX('Fleet dates'!$C$9:$C$1008,$I378-8)))</x:f>
      </x:c>
      <x:c r="D378" s="51" t="str">
        <x:f>IF(370&gt;$H$4,"",IF(INDEX('Fleet dates'!$D$9:$D$1008,$I378-8)="","",INDEX('Fleet dates'!$D$9:$D$1008,$I378-8)))</x:f>
      </x:c>
      <x:c r="E378" s="51" t="str">
        <x:f>IF(370&gt;$H$4,"",IF(INDEX('Fleet dates'!$E$9:$E$1008,$I378-8)="","",INDEX('Fleet dates'!$E$9:$E$1008,$I378-8)))</x:f>
      </x:c>
      <x:c r="F378" s="51" t="str">
        <x:f>IF(370&gt;$H$4,"",IF(INDEX('Fleet dates'!$F$9:$F$1008,$I378-8)="","",INDEX('Fleet dates'!$F$9:$F$1008,$I378-8)))</x:f>
      </x:c>
      <x:c r="G378" s="50" t="str">
        <x:f>IF(370&gt;$H$4,"",IF(INDEX('Fleet dates'!$G$9:$G$1008,$I378-8)="","",INDEX('Fleet dates'!$G$9:$G$1008,$I378-8)))</x:f>
      </x:c>
      <x:c r="H378" s="50" t="str">
        <x:f>IF(370&gt;$H$4,"",IF(INDEX('Fleet dates'!$I$9:$I$1008,$I378-8)="","",INDEX('Fleet dates'!$I$9:$I$1008,$I378-8)))</x:f>
      </x:c>
      <x:c r="I378" t="str">
        <x:f>IF(370&gt;$H$4,"",MATCH(370,'Fleet dates'!$K$9:$K$1008,0)+8)</x:f>
      </x:c>
    </x:row>
    <x:row r="379" ht="36" customHeight="1">
      <x:c r="A379" s="50" t="str">
        <x:f>IF(371&gt;$H$4,"",IF(INDEX('Fleet dates'!$A$9:$A$1008,$I379-8)="","",INDEX('Fleet dates'!$A$9:$A$1008,$I379-8)))</x:f>
      </x:c>
      <x:c r="B379" s="50" t="str">
        <x:f>IF(371&gt;$H$4,"",IF(INDEX('Fleet dates'!$B$9:$B$1008,$I379-8)="","",INDEX('Fleet dates'!$B$9:$B$1008,$I379-8)))</x:f>
      </x:c>
      <x:c r="C379" s="51" t="str">
        <x:f>IF(371&gt;$H$4,"",IF(INDEX('Fleet dates'!$C$9:$C$1008,$I379-8)="","",INDEX('Fleet dates'!$C$9:$C$1008,$I379-8)))</x:f>
      </x:c>
      <x:c r="D379" s="51" t="str">
        <x:f>IF(371&gt;$H$4,"",IF(INDEX('Fleet dates'!$D$9:$D$1008,$I379-8)="","",INDEX('Fleet dates'!$D$9:$D$1008,$I379-8)))</x:f>
      </x:c>
      <x:c r="E379" s="51" t="str">
        <x:f>IF(371&gt;$H$4,"",IF(INDEX('Fleet dates'!$E$9:$E$1008,$I379-8)="","",INDEX('Fleet dates'!$E$9:$E$1008,$I379-8)))</x:f>
      </x:c>
      <x:c r="F379" s="51" t="str">
        <x:f>IF(371&gt;$H$4,"",IF(INDEX('Fleet dates'!$F$9:$F$1008,$I379-8)="","",INDEX('Fleet dates'!$F$9:$F$1008,$I379-8)))</x:f>
      </x:c>
      <x:c r="G379" s="50" t="str">
        <x:f>IF(371&gt;$H$4,"",IF(INDEX('Fleet dates'!$G$9:$G$1008,$I379-8)="","",INDEX('Fleet dates'!$G$9:$G$1008,$I379-8)))</x:f>
      </x:c>
      <x:c r="H379" s="50" t="str">
        <x:f>IF(371&gt;$H$4,"",IF(INDEX('Fleet dates'!$I$9:$I$1008,$I379-8)="","",INDEX('Fleet dates'!$I$9:$I$1008,$I379-8)))</x:f>
      </x:c>
      <x:c r="I379" t="str">
        <x:f>IF(371&gt;$H$4,"",MATCH(371,'Fleet dates'!$K$9:$K$1008,0)+8)</x:f>
      </x:c>
    </x:row>
    <x:row r="380" ht="36" customHeight="1">
      <x:c r="A380" s="50" t="str">
        <x:f>IF(372&gt;$H$4,"",IF(INDEX('Fleet dates'!$A$9:$A$1008,$I380-8)="","",INDEX('Fleet dates'!$A$9:$A$1008,$I380-8)))</x:f>
      </x:c>
      <x:c r="B380" s="50" t="str">
        <x:f>IF(372&gt;$H$4,"",IF(INDEX('Fleet dates'!$B$9:$B$1008,$I380-8)="","",INDEX('Fleet dates'!$B$9:$B$1008,$I380-8)))</x:f>
      </x:c>
      <x:c r="C380" s="51" t="str">
        <x:f>IF(372&gt;$H$4,"",IF(INDEX('Fleet dates'!$C$9:$C$1008,$I380-8)="","",INDEX('Fleet dates'!$C$9:$C$1008,$I380-8)))</x:f>
      </x:c>
      <x:c r="D380" s="51" t="str">
        <x:f>IF(372&gt;$H$4,"",IF(INDEX('Fleet dates'!$D$9:$D$1008,$I380-8)="","",INDEX('Fleet dates'!$D$9:$D$1008,$I380-8)))</x:f>
      </x:c>
      <x:c r="E380" s="51" t="str">
        <x:f>IF(372&gt;$H$4,"",IF(INDEX('Fleet dates'!$E$9:$E$1008,$I380-8)="","",INDEX('Fleet dates'!$E$9:$E$1008,$I380-8)))</x:f>
      </x:c>
      <x:c r="F380" s="51" t="str">
        <x:f>IF(372&gt;$H$4,"",IF(INDEX('Fleet dates'!$F$9:$F$1008,$I380-8)="","",INDEX('Fleet dates'!$F$9:$F$1008,$I380-8)))</x:f>
      </x:c>
      <x:c r="G380" s="50" t="str">
        <x:f>IF(372&gt;$H$4,"",IF(INDEX('Fleet dates'!$G$9:$G$1008,$I380-8)="","",INDEX('Fleet dates'!$G$9:$G$1008,$I380-8)))</x:f>
      </x:c>
      <x:c r="H380" s="50" t="str">
        <x:f>IF(372&gt;$H$4,"",IF(INDEX('Fleet dates'!$I$9:$I$1008,$I380-8)="","",INDEX('Fleet dates'!$I$9:$I$1008,$I380-8)))</x:f>
      </x:c>
      <x:c r="I380" t="str">
        <x:f>IF(372&gt;$H$4,"",MATCH(372,'Fleet dates'!$K$9:$K$1008,0)+8)</x:f>
      </x:c>
    </x:row>
    <x:row r="381" ht="36" customHeight="1">
      <x:c r="A381" s="50" t="str">
        <x:f>IF(373&gt;$H$4,"",IF(INDEX('Fleet dates'!$A$9:$A$1008,$I381-8)="","",INDEX('Fleet dates'!$A$9:$A$1008,$I381-8)))</x:f>
      </x:c>
      <x:c r="B381" s="50" t="str">
        <x:f>IF(373&gt;$H$4,"",IF(INDEX('Fleet dates'!$B$9:$B$1008,$I381-8)="","",INDEX('Fleet dates'!$B$9:$B$1008,$I381-8)))</x:f>
      </x:c>
      <x:c r="C381" s="51" t="str">
        <x:f>IF(373&gt;$H$4,"",IF(INDEX('Fleet dates'!$C$9:$C$1008,$I381-8)="","",INDEX('Fleet dates'!$C$9:$C$1008,$I381-8)))</x:f>
      </x:c>
      <x:c r="D381" s="51" t="str">
        <x:f>IF(373&gt;$H$4,"",IF(INDEX('Fleet dates'!$D$9:$D$1008,$I381-8)="","",INDEX('Fleet dates'!$D$9:$D$1008,$I381-8)))</x:f>
      </x:c>
      <x:c r="E381" s="51" t="str">
        <x:f>IF(373&gt;$H$4,"",IF(INDEX('Fleet dates'!$E$9:$E$1008,$I381-8)="","",INDEX('Fleet dates'!$E$9:$E$1008,$I381-8)))</x:f>
      </x:c>
      <x:c r="F381" s="51" t="str">
        <x:f>IF(373&gt;$H$4,"",IF(INDEX('Fleet dates'!$F$9:$F$1008,$I381-8)="","",INDEX('Fleet dates'!$F$9:$F$1008,$I381-8)))</x:f>
      </x:c>
      <x:c r="G381" s="50" t="str">
        <x:f>IF(373&gt;$H$4,"",IF(INDEX('Fleet dates'!$G$9:$G$1008,$I381-8)="","",INDEX('Fleet dates'!$G$9:$G$1008,$I381-8)))</x:f>
      </x:c>
      <x:c r="H381" s="50" t="str">
        <x:f>IF(373&gt;$H$4,"",IF(INDEX('Fleet dates'!$I$9:$I$1008,$I381-8)="","",INDEX('Fleet dates'!$I$9:$I$1008,$I381-8)))</x:f>
      </x:c>
      <x:c r="I381" t="str">
        <x:f>IF(373&gt;$H$4,"",MATCH(373,'Fleet dates'!$K$9:$K$1008,0)+8)</x:f>
      </x:c>
    </x:row>
    <x:row r="382" ht="36" customHeight="1">
      <x:c r="A382" s="50" t="str">
        <x:f>IF(374&gt;$H$4,"",IF(INDEX('Fleet dates'!$A$9:$A$1008,$I382-8)="","",INDEX('Fleet dates'!$A$9:$A$1008,$I382-8)))</x:f>
      </x:c>
      <x:c r="B382" s="50" t="str">
        <x:f>IF(374&gt;$H$4,"",IF(INDEX('Fleet dates'!$B$9:$B$1008,$I382-8)="","",INDEX('Fleet dates'!$B$9:$B$1008,$I382-8)))</x:f>
      </x:c>
      <x:c r="C382" s="51" t="str">
        <x:f>IF(374&gt;$H$4,"",IF(INDEX('Fleet dates'!$C$9:$C$1008,$I382-8)="","",INDEX('Fleet dates'!$C$9:$C$1008,$I382-8)))</x:f>
      </x:c>
      <x:c r="D382" s="51" t="str">
        <x:f>IF(374&gt;$H$4,"",IF(INDEX('Fleet dates'!$D$9:$D$1008,$I382-8)="","",INDEX('Fleet dates'!$D$9:$D$1008,$I382-8)))</x:f>
      </x:c>
      <x:c r="E382" s="51" t="str">
        <x:f>IF(374&gt;$H$4,"",IF(INDEX('Fleet dates'!$E$9:$E$1008,$I382-8)="","",INDEX('Fleet dates'!$E$9:$E$1008,$I382-8)))</x:f>
      </x:c>
      <x:c r="F382" s="51" t="str">
        <x:f>IF(374&gt;$H$4,"",IF(INDEX('Fleet dates'!$F$9:$F$1008,$I382-8)="","",INDEX('Fleet dates'!$F$9:$F$1008,$I382-8)))</x:f>
      </x:c>
      <x:c r="G382" s="50" t="str">
        <x:f>IF(374&gt;$H$4,"",IF(INDEX('Fleet dates'!$G$9:$G$1008,$I382-8)="","",INDEX('Fleet dates'!$G$9:$G$1008,$I382-8)))</x:f>
      </x:c>
      <x:c r="H382" s="50" t="str">
        <x:f>IF(374&gt;$H$4,"",IF(INDEX('Fleet dates'!$I$9:$I$1008,$I382-8)="","",INDEX('Fleet dates'!$I$9:$I$1008,$I382-8)))</x:f>
      </x:c>
      <x:c r="I382" t="str">
        <x:f>IF(374&gt;$H$4,"",MATCH(374,'Fleet dates'!$K$9:$K$1008,0)+8)</x:f>
      </x:c>
    </x:row>
    <x:row r="383" ht="36" customHeight="1">
      <x:c r="A383" s="50" t="str">
        <x:f>IF(375&gt;$H$4,"",IF(INDEX('Fleet dates'!$A$9:$A$1008,$I383-8)="","",INDEX('Fleet dates'!$A$9:$A$1008,$I383-8)))</x:f>
      </x:c>
      <x:c r="B383" s="50" t="str">
        <x:f>IF(375&gt;$H$4,"",IF(INDEX('Fleet dates'!$B$9:$B$1008,$I383-8)="","",INDEX('Fleet dates'!$B$9:$B$1008,$I383-8)))</x:f>
      </x:c>
      <x:c r="C383" s="51" t="str">
        <x:f>IF(375&gt;$H$4,"",IF(INDEX('Fleet dates'!$C$9:$C$1008,$I383-8)="","",INDEX('Fleet dates'!$C$9:$C$1008,$I383-8)))</x:f>
      </x:c>
      <x:c r="D383" s="51" t="str">
        <x:f>IF(375&gt;$H$4,"",IF(INDEX('Fleet dates'!$D$9:$D$1008,$I383-8)="","",INDEX('Fleet dates'!$D$9:$D$1008,$I383-8)))</x:f>
      </x:c>
      <x:c r="E383" s="51" t="str">
        <x:f>IF(375&gt;$H$4,"",IF(INDEX('Fleet dates'!$E$9:$E$1008,$I383-8)="","",INDEX('Fleet dates'!$E$9:$E$1008,$I383-8)))</x:f>
      </x:c>
      <x:c r="F383" s="51" t="str">
        <x:f>IF(375&gt;$H$4,"",IF(INDEX('Fleet dates'!$F$9:$F$1008,$I383-8)="","",INDEX('Fleet dates'!$F$9:$F$1008,$I383-8)))</x:f>
      </x:c>
      <x:c r="G383" s="50" t="str">
        <x:f>IF(375&gt;$H$4,"",IF(INDEX('Fleet dates'!$G$9:$G$1008,$I383-8)="","",INDEX('Fleet dates'!$G$9:$G$1008,$I383-8)))</x:f>
      </x:c>
      <x:c r="H383" s="50" t="str">
        <x:f>IF(375&gt;$H$4,"",IF(INDEX('Fleet dates'!$I$9:$I$1008,$I383-8)="","",INDEX('Fleet dates'!$I$9:$I$1008,$I383-8)))</x:f>
      </x:c>
      <x:c r="I383" t="str">
        <x:f>IF(375&gt;$H$4,"",MATCH(375,'Fleet dates'!$K$9:$K$1008,0)+8)</x:f>
      </x:c>
    </x:row>
    <x:row r="384" ht="36" customHeight="1">
      <x:c r="A384" s="50" t="str">
        <x:f>IF(376&gt;$H$4,"",IF(INDEX('Fleet dates'!$A$9:$A$1008,$I384-8)="","",INDEX('Fleet dates'!$A$9:$A$1008,$I384-8)))</x:f>
      </x:c>
      <x:c r="B384" s="50" t="str">
        <x:f>IF(376&gt;$H$4,"",IF(INDEX('Fleet dates'!$B$9:$B$1008,$I384-8)="","",INDEX('Fleet dates'!$B$9:$B$1008,$I384-8)))</x:f>
      </x:c>
      <x:c r="C384" s="51" t="str">
        <x:f>IF(376&gt;$H$4,"",IF(INDEX('Fleet dates'!$C$9:$C$1008,$I384-8)="","",INDEX('Fleet dates'!$C$9:$C$1008,$I384-8)))</x:f>
      </x:c>
      <x:c r="D384" s="51" t="str">
        <x:f>IF(376&gt;$H$4,"",IF(INDEX('Fleet dates'!$D$9:$D$1008,$I384-8)="","",INDEX('Fleet dates'!$D$9:$D$1008,$I384-8)))</x:f>
      </x:c>
      <x:c r="E384" s="51" t="str">
        <x:f>IF(376&gt;$H$4,"",IF(INDEX('Fleet dates'!$E$9:$E$1008,$I384-8)="","",INDEX('Fleet dates'!$E$9:$E$1008,$I384-8)))</x:f>
      </x:c>
      <x:c r="F384" s="51" t="str">
        <x:f>IF(376&gt;$H$4,"",IF(INDEX('Fleet dates'!$F$9:$F$1008,$I384-8)="","",INDEX('Fleet dates'!$F$9:$F$1008,$I384-8)))</x:f>
      </x:c>
      <x:c r="G384" s="50" t="str">
        <x:f>IF(376&gt;$H$4,"",IF(INDEX('Fleet dates'!$G$9:$G$1008,$I384-8)="","",INDEX('Fleet dates'!$G$9:$G$1008,$I384-8)))</x:f>
      </x:c>
      <x:c r="H384" s="50" t="str">
        <x:f>IF(376&gt;$H$4,"",IF(INDEX('Fleet dates'!$I$9:$I$1008,$I384-8)="","",INDEX('Fleet dates'!$I$9:$I$1008,$I384-8)))</x:f>
      </x:c>
      <x:c r="I384" t="str">
        <x:f>IF(376&gt;$H$4,"",MATCH(376,'Fleet dates'!$K$9:$K$1008,0)+8)</x:f>
      </x:c>
    </x:row>
    <x:row r="385" ht="36" customHeight="1">
      <x:c r="A385" s="50" t="str">
        <x:f>IF(377&gt;$H$4,"",IF(INDEX('Fleet dates'!$A$9:$A$1008,$I385-8)="","",INDEX('Fleet dates'!$A$9:$A$1008,$I385-8)))</x:f>
      </x:c>
      <x:c r="B385" s="50" t="str">
        <x:f>IF(377&gt;$H$4,"",IF(INDEX('Fleet dates'!$B$9:$B$1008,$I385-8)="","",INDEX('Fleet dates'!$B$9:$B$1008,$I385-8)))</x:f>
      </x:c>
      <x:c r="C385" s="51" t="str">
        <x:f>IF(377&gt;$H$4,"",IF(INDEX('Fleet dates'!$C$9:$C$1008,$I385-8)="","",INDEX('Fleet dates'!$C$9:$C$1008,$I385-8)))</x:f>
      </x:c>
      <x:c r="D385" s="51" t="str">
        <x:f>IF(377&gt;$H$4,"",IF(INDEX('Fleet dates'!$D$9:$D$1008,$I385-8)="","",INDEX('Fleet dates'!$D$9:$D$1008,$I385-8)))</x:f>
      </x:c>
      <x:c r="E385" s="51" t="str">
        <x:f>IF(377&gt;$H$4,"",IF(INDEX('Fleet dates'!$E$9:$E$1008,$I385-8)="","",INDEX('Fleet dates'!$E$9:$E$1008,$I385-8)))</x:f>
      </x:c>
      <x:c r="F385" s="51" t="str">
        <x:f>IF(377&gt;$H$4,"",IF(INDEX('Fleet dates'!$F$9:$F$1008,$I385-8)="","",INDEX('Fleet dates'!$F$9:$F$1008,$I385-8)))</x:f>
      </x:c>
      <x:c r="G385" s="50" t="str">
        <x:f>IF(377&gt;$H$4,"",IF(INDEX('Fleet dates'!$G$9:$G$1008,$I385-8)="","",INDEX('Fleet dates'!$G$9:$G$1008,$I385-8)))</x:f>
      </x:c>
      <x:c r="H385" s="50" t="str">
        <x:f>IF(377&gt;$H$4,"",IF(INDEX('Fleet dates'!$I$9:$I$1008,$I385-8)="","",INDEX('Fleet dates'!$I$9:$I$1008,$I385-8)))</x:f>
      </x:c>
      <x:c r="I385" t="str">
        <x:f>IF(377&gt;$H$4,"",MATCH(377,'Fleet dates'!$K$9:$K$1008,0)+8)</x:f>
      </x:c>
    </x:row>
    <x:row r="386" ht="36" customHeight="1">
      <x:c r="A386" s="50" t="str">
        <x:f>IF(378&gt;$H$4,"",IF(INDEX('Fleet dates'!$A$9:$A$1008,$I386-8)="","",INDEX('Fleet dates'!$A$9:$A$1008,$I386-8)))</x:f>
      </x:c>
      <x:c r="B386" s="50" t="str">
        <x:f>IF(378&gt;$H$4,"",IF(INDEX('Fleet dates'!$B$9:$B$1008,$I386-8)="","",INDEX('Fleet dates'!$B$9:$B$1008,$I386-8)))</x:f>
      </x:c>
      <x:c r="C386" s="51" t="str">
        <x:f>IF(378&gt;$H$4,"",IF(INDEX('Fleet dates'!$C$9:$C$1008,$I386-8)="","",INDEX('Fleet dates'!$C$9:$C$1008,$I386-8)))</x:f>
      </x:c>
      <x:c r="D386" s="51" t="str">
        <x:f>IF(378&gt;$H$4,"",IF(INDEX('Fleet dates'!$D$9:$D$1008,$I386-8)="","",INDEX('Fleet dates'!$D$9:$D$1008,$I386-8)))</x:f>
      </x:c>
      <x:c r="E386" s="51" t="str">
        <x:f>IF(378&gt;$H$4,"",IF(INDEX('Fleet dates'!$E$9:$E$1008,$I386-8)="","",INDEX('Fleet dates'!$E$9:$E$1008,$I386-8)))</x:f>
      </x:c>
      <x:c r="F386" s="51" t="str">
        <x:f>IF(378&gt;$H$4,"",IF(INDEX('Fleet dates'!$F$9:$F$1008,$I386-8)="","",INDEX('Fleet dates'!$F$9:$F$1008,$I386-8)))</x:f>
      </x:c>
      <x:c r="G386" s="50" t="str">
        <x:f>IF(378&gt;$H$4,"",IF(INDEX('Fleet dates'!$G$9:$G$1008,$I386-8)="","",INDEX('Fleet dates'!$G$9:$G$1008,$I386-8)))</x:f>
      </x:c>
      <x:c r="H386" s="50" t="str">
        <x:f>IF(378&gt;$H$4,"",IF(INDEX('Fleet dates'!$I$9:$I$1008,$I386-8)="","",INDEX('Fleet dates'!$I$9:$I$1008,$I386-8)))</x:f>
      </x:c>
      <x:c r="I386" t="str">
        <x:f>IF(378&gt;$H$4,"",MATCH(378,'Fleet dates'!$K$9:$K$1008,0)+8)</x:f>
      </x:c>
    </x:row>
    <x:row r="387" ht="36" customHeight="1">
      <x:c r="A387" s="50" t="str">
        <x:f>IF(379&gt;$H$4,"",IF(INDEX('Fleet dates'!$A$9:$A$1008,$I387-8)="","",INDEX('Fleet dates'!$A$9:$A$1008,$I387-8)))</x:f>
      </x:c>
      <x:c r="B387" s="50" t="str">
        <x:f>IF(379&gt;$H$4,"",IF(INDEX('Fleet dates'!$B$9:$B$1008,$I387-8)="","",INDEX('Fleet dates'!$B$9:$B$1008,$I387-8)))</x:f>
      </x:c>
      <x:c r="C387" s="51" t="str">
        <x:f>IF(379&gt;$H$4,"",IF(INDEX('Fleet dates'!$C$9:$C$1008,$I387-8)="","",INDEX('Fleet dates'!$C$9:$C$1008,$I387-8)))</x:f>
      </x:c>
      <x:c r="D387" s="51" t="str">
        <x:f>IF(379&gt;$H$4,"",IF(INDEX('Fleet dates'!$D$9:$D$1008,$I387-8)="","",INDEX('Fleet dates'!$D$9:$D$1008,$I387-8)))</x:f>
      </x:c>
      <x:c r="E387" s="51" t="str">
        <x:f>IF(379&gt;$H$4,"",IF(INDEX('Fleet dates'!$E$9:$E$1008,$I387-8)="","",INDEX('Fleet dates'!$E$9:$E$1008,$I387-8)))</x:f>
      </x:c>
      <x:c r="F387" s="51" t="str">
        <x:f>IF(379&gt;$H$4,"",IF(INDEX('Fleet dates'!$F$9:$F$1008,$I387-8)="","",INDEX('Fleet dates'!$F$9:$F$1008,$I387-8)))</x:f>
      </x:c>
      <x:c r="G387" s="50" t="str">
        <x:f>IF(379&gt;$H$4,"",IF(INDEX('Fleet dates'!$G$9:$G$1008,$I387-8)="","",INDEX('Fleet dates'!$G$9:$G$1008,$I387-8)))</x:f>
      </x:c>
      <x:c r="H387" s="50" t="str">
        <x:f>IF(379&gt;$H$4,"",IF(INDEX('Fleet dates'!$I$9:$I$1008,$I387-8)="","",INDEX('Fleet dates'!$I$9:$I$1008,$I387-8)))</x:f>
      </x:c>
      <x:c r="I387" t="str">
        <x:f>IF(379&gt;$H$4,"",MATCH(379,'Fleet dates'!$K$9:$K$1008,0)+8)</x:f>
      </x:c>
    </x:row>
    <x:row r="388" ht="36" customHeight="1">
      <x:c r="A388" s="50" t="str">
        <x:f>IF(380&gt;$H$4,"",IF(INDEX('Fleet dates'!$A$9:$A$1008,$I388-8)="","",INDEX('Fleet dates'!$A$9:$A$1008,$I388-8)))</x:f>
      </x:c>
      <x:c r="B388" s="50" t="str">
        <x:f>IF(380&gt;$H$4,"",IF(INDEX('Fleet dates'!$B$9:$B$1008,$I388-8)="","",INDEX('Fleet dates'!$B$9:$B$1008,$I388-8)))</x:f>
      </x:c>
      <x:c r="C388" s="51" t="str">
        <x:f>IF(380&gt;$H$4,"",IF(INDEX('Fleet dates'!$C$9:$C$1008,$I388-8)="","",INDEX('Fleet dates'!$C$9:$C$1008,$I388-8)))</x:f>
      </x:c>
      <x:c r="D388" s="51" t="str">
        <x:f>IF(380&gt;$H$4,"",IF(INDEX('Fleet dates'!$D$9:$D$1008,$I388-8)="","",INDEX('Fleet dates'!$D$9:$D$1008,$I388-8)))</x:f>
      </x:c>
      <x:c r="E388" s="51" t="str">
        <x:f>IF(380&gt;$H$4,"",IF(INDEX('Fleet dates'!$E$9:$E$1008,$I388-8)="","",INDEX('Fleet dates'!$E$9:$E$1008,$I388-8)))</x:f>
      </x:c>
      <x:c r="F388" s="51" t="str">
        <x:f>IF(380&gt;$H$4,"",IF(INDEX('Fleet dates'!$F$9:$F$1008,$I388-8)="","",INDEX('Fleet dates'!$F$9:$F$1008,$I388-8)))</x:f>
      </x:c>
      <x:c r="G388" s="50" t="str">
        <x:f>IF(380&gt;$H$4,"",IF(INDEX('Fleet dates'!$G$9:$G$1008,$I388-8)="","",INDEX('Fleet dates'!$G$9:$G$1008,$I388-8)))</x:f>
      </x:c>
      <x:c r="H388" s="50" t="str">
        <x:f>IF(380&gt;$H$4,"",IF(INDEX('Fleet dates'!$I$9:$I$1008,$I388-8)="","",INDEX('Fleet dates'!$I$9:$I$1008,$I388-8)))</x:f>
      </x:c>
      <x:c r="I388" t="str">
        <x:f>IF(380&gt;$H$4,"",MATCH(380,'Fleet dates'!$K$9:$K$1008,0)+8)</x:f>
      </x:c>
    </x:row>
    <x:row r="389" ht="36" customHeight="1">
      <x:c r="A389" s="50" t="str">
        <x:f>IF(381&gt;$H$4,"",IF(INDEX('Fleet dates'!$A$9:$A$1008,$I389-8)="","",INDEX('Fleet dates'!$A$9:$A$1008,$I389-8)))</x:f>
      </x:c>
      <x:c r="B389" s="50" t="str">
        <x:f>IF(381&gt;$H$4,"",IF(INDEX('Fleet dates'!$B$9:$B$1008,$I389-8)="","",INDEX('Fleet dates'!$B$9:$B$1008,$I389-8)))</x:f>
      </x:c>
      <x:c r="C389" s="51" t="str">
        <x:f>IF(381&gt;$H$4,"",IF(INDEX('Fleet dates'!$C$9:$C$1008,$I389-8)="","",INDEX('Fleet dates'!$C$9:$C$1008,$I389-8)))</x:f>
      </x:c>
      <x:c r="D389" s="51" t="str">
        <x:f>IF(381&gt;$H$4,"",IF(INDEX('Fleet dates'!$D$9:$D$1008,$I389-8)="","",INDEX('Fleet dates'!$D$9:$D$1008,$I389-8)))</x:f>
      </x:c>
      <x:c r="E389" s="51" t="str">
        <x:f>IF(381&gt;$H$4,"",IF(INDEX('Fleet dates'!$E$9:$E$1008,$I389-8)="","",INDEX('Fleet dates'!$E$9:$E$1008,$I389-8)))</x:f>
      </x:c>
      <x:c r="F389" s="51" t="str">
        <x:f>IF(381&gt;$H$4,"",IF(INDEX('Fleet dates'!$F$9:$F$1008,$I389-8)="","",INDEX('Fleet dates'!$F$9:$F$1008,$I389-8)))</x:f>
      </x:c>
      <x:c r="G389" s="50" t="str">
        <x:f>IF(381&gt;$H$4,"",IF(INDEX('Fleet dates'!$G$9:$G$1008,$I389-8)="","",INDEX('Fleet dates'!$G$9:$G$1008,$I389-8)))</x:f>
      </x:c>
      <x:c r="H389" s="50" t="str">
        <x:f>IF(381&gt;$H$4,"",IF(INDEX('Fleet dates'!$I$9:$I$1008,$I389-8)="","",INDEX('Fleet dates'!$I$9:$I$1008,$I389-8)))</x:f>
      </x:c>
      <x:c r="I389" t="str">
        <x:f>IF(381&gt;$H$4,"",MATCH(381,'Fleet dates'!$K$9:$K$1008,0)+8)</x:f>
      </x:c>
    </x:row>
    <x:row r="390" ht="36" customHeight="1">
      <x:c r="A390" s="50" t="str">
        <x:f>IF(382&gt;$H$4,"",IF(INDEX('Fleet dates'!$A$9:$A$1008,$I390-8)="","",INDEX('Fleet dates'!$A$9:$A$1008,$I390-8)))</x:f>
      </x:c>
      <x:c r="B390" s="50" t="str">
        <x:f>IF(382&gt;$H$4,"",IF(INDEX('Fleet dates'!$B$9:$B$1008,$I390-8)="","",INDEX('Fleet dates'!$B$9:$B$1008,$I390-8)))</x:f>
      </x:c>
      <x:c r="C390" s="51" t="str">
        <x:f>IF(382&gt;$H$4,"",IF(INDEX('Fleet dates'!$C$9:$C$1008,$I390-8)="","",INDEX('Fleet dates'!$C$9:$C$1008,$I390-8)))</x:f>
      </x:c>
      <x:c r="D390" s="51" t="str">
        <x:f>IF(382&gt;$H$4,"",IF(INDEX('Fleet dates'!$D$9:$D$1008,$I390-8)="","",INDEX('Fleet dates'!$D$9:$D$1008,$I390-8)))</x:f>
      </x:c>
      <x:c r="E390" s="51" t="str">
        <x:f>IF(382&gt;$H$4,"",IF(INDEX('Fleet dates'!$E$9:$E$1008,$I390-8)="","",INDEX('Fleet dates'!$E$9:$E$1008,$I390-8)))</x:f>
      </x:c>
      <x:c r="F390" s="51" t="str">
        <x:f>IF(382&gt;$H$4,"",IF(INDEX('Fleet dates'!$F$9:$F$1008,$I390-8)="","",INDEX('Fleet dates'!$F$9:$F$1008,$I390-8)))</x:f>
      </x:c>
      <x:c r="G390" s="50" t="str">
        <x:f>IF(382&gt;$H$4,"",IF(INDEX('Fleet dates'!$G$9:$G$1008,$I390-8)="","",INDEX('Fleet dates'!$G$9:$G$1008,$I390-8)))</x:f>
      </x:c>
      <x:c r="H390" s="50" t="str">
        <x:f>IF(382&gt;$H$4,"",IF(INDEX('Fleet dates'!$I$9:$I$1008,$I390-8)="","",INDEX('Fleet dates'!$I$9:$I$1008,$I390-8)))</x:f>
      </x:c>
      <x:c r="I390" t="str">
        <x:f>IF(382&gt;$H$4,"",MATCH(382,'Fleet dates'!$K$9:$K$1008,0)+8)</x:f>
      </x:c>
    </x:row>
    <x:row r="391" ht="36" customHeight="1">
      <x:c r="A391" s="50" t="str">
        <x:f>IF(383&gt;$H$4,"",IF(INDEX('Fleet dates'!$A$9:$A$1008,$I391-8)="","",INDEX('Fleet dates'!$A$9:$A$1008,$I391-8)))</x:f>
      </x:c>
      <x:c r="B391" s="50" t="str">
        <x:f>IF(383&gt;$H$4,"",IF(INDEX('Fleet dates'!$B$9:$B$1008,$I391-8)="","",INDEX('Fleet dates'!$B$9:$B$1008,$I391-8)))</x:f>
      </x:c>
      <x:c r="C391" s="51" t="str">
        <x:f>IF(383&gt;$H$4,"",IF(INDEX('Fleet dates'!$C$9:$C$1008,$I391-8)="","",INDEX('Fleet dates'!$C$9:$C$1008,$I391-8)))</x:f>
      </x:c>
      <x:c r="D391" s="51" t="str">
        <x:f>IF(383&gt;$H$4,"",IF(INDEX('Fleet dates'!$D$9:$D$1008,$I391-8)="","",INDEX('Fleet dates'!$D$9:$D$1008,$I391-8)))</x:f>
      </x:c>
      <x:c r="E391" s="51" t="str">
        <x:f>IF(383&gt;$H$4,"",IF(INDEX('Fleet dates'!$E$9:$E$1008,$I391-8)="","",INDEX('Fleet dates'!$E$9:$E$1008,$I391-8)))</x:f>
      </x:c>
      <x:c r="F391" s="51" t="str">
        <x:f>IF(383&gt;$H$4,"",IF(INDEX('Fleet dates'!$F$9:$F$1008,$I391-8)="","",INDEX('Fleet dates'!$F$9:$F$1008,$I391-8)))</x:f>
      </x:c>
      <x:c r="G391" s="50" t="str">
        <x:f>IF(383&gt;$H$4,"",IF(INDEX('Fleet dates'!$G$9:$G$1008,$I391-8)="","",INDEX('Fleet dates'!$G$9:$G$1008,$I391-8)))</x:f>
      </x:c>
      <x:c r="H391" s="50" t="str">
        <x:f>IF(383&gt;$H$4,"",IF(INDEX('Fleet dates'!$I$9:$I$1008,$I391-8)="","",INDEX('Fleet dates'!$I$9:$I$1008,$I391-8)))</x:f>
      </x:c>
      <x:c r="I391" t="str">
        <x:f>IF(383&gt;$H$4,"",MATCH(383,'Fleet dates'!$K$9:$K$1008,0)+8)</x:f>
      </x:c>
    </x:row>
    <x:row r="392" ht="36" customHeight="1">
      <x:c r="A392" s="50" t="str">
        <x:f>IF(384&gt;$H$4,"",IF(INDEX('Fleet dates'!$A$9:$A$1008,$I392-8)="","",INDEX('Fleet dates'!$A$9:$A$1008,$I392-8)))</x:f>
      </x:c>
      <x:c r="B392" s="50" t="str">
        <x:f>IF(384&gt;$H$4,"",IF(INDEX('Fleet dates'!$B$9:$B$1008,$I392-8)="","",INDEX('Fleet dates'!$B$9:$B$1008,$I392-8)))</x:f>
      </x:c>
      <x:c r="C392" s="51" t="str">
        <x:f>IF(384&gt;$H$4,"",IF(INDEX('Fleet dates'!$C$9:$C$1008,$I392-8)="","",INDEX('Fleet dates'!$C$9:$C$1008,$I392-8)))</x:f>
      </x:c>
      <x:c r="D392" s="51" t="str">
        <x:f>IF(384&gt;$H$4,"",IF(INDEX('Fleet dates'!$D$9:$D$1008,$I392-8)="","",INDEX('Fleet dates'!$D$9:$D$1008,$I392-8)))</x:f>
      </x:c>
      <x:c r="E392" s="51" t="str">
        <x:f>IF(384&gt;$H$4,"",IF(INDEX('Fleet dates'!$E$9:$E$1008,$I392-8)="","",INDEX('Fleet dates'!$E$9:$E$1008,$I392-8)))</x:f>
      </x:c>
      <x:c r="F392" s="51" t="str">
        <x:f>IF(384&gt;$H$4,"",IF(INDEX('Fleet dates'!$F$9:$F$1008,$I392-8)="","",INDEX('Fleet dates'!$F$9:$F$1008,$I392-8)))</x:f>
      </x:c>
      <x:c r="G392" s="50" t="str">
        <x:f>IF(384&gt;$H$4,"",IF(INDEX('Fleet dates'!$G$9:$G$1008,$I392-8)="","",INDEX('Fleet dates'!$G$9:$G$1008,$I392-8)))</x:f>
      </x:c>
      <x:c r="H392" s="50" t="str">
        <x:f>IF(384&gt;$H$4,"",IF(INDEX('Fleet dates'!$I$9:$I$1008,$I392-8)="","",INDEX('Fleet dates'!$I$9:$I$1008,$I392-8)))</x:f>
      </x:c>
      <x:c r="I392" t="str">
        <x:f>IF(384&gt;$H$4,"",MATCH(384,'Fleet dates'!$K$9:$K$1008,0)+8)</x:f>
      </x:c>
    </x:row>
    <x:row r="393" ht="36" customHeight="1">
      <x:c r="A393" s="50" t="str">
        <x:f>IF(385&gt;$H$4,"",IF(INDEX('Fleet dates'!$A$9:$A$1008,$I393-8)="","",INDEX('Fleet dates'!$A$9:$A$1008,$I393-8)))</x:f>
      </x:c>
      <x:c r="B393" s="50" t="str">
        <x:f>IF(385&gt;$H$4,"",IF(INDEX('Fleet dates'!$B$9:$B$1008,$I393-8)="","",INDEX('Fleet dates'!$B$9:$B$1008,$I393-8)))</x:f>
      </x:c>
      <x:c r="C393" s="51" t="str">
        <x:f>IF(385&gt;$H$4,"",IF(INDEX('Fleet dates'!$C$9:$C$1008,$I393-8)="","",INDEX('Fleet dates'!$C$9:$C$1008,$I393-8)))</x:f>
      </x:c>
      <x:c r="D393" s="51" t="str">
        <x:f>IF(385&gt;$H$4,"",IF(INDEX('Fleet dates'!$D$9:$D$1008,$I393-8)="","",INDEX('Fleet dates'!$D$9:$D$1008,$I393-8)))</x:f>
      </x:c>
      <x:c r="E393" s="51" t="str">
        <x:f>IF(385&gt;$H$4,"",IF(INDEX('Fleet dates'!$E$9:$E$1008,$I393-8)="","",INDEX('Fleet dates'!$E$9:$E$1008,$I393-8)))</x:f>
      </x:c>
      <x:c r="F393" s="51" t="str">
        <x:f>IF(385&gt;$H$4,"",IF(INDEX('Fleet dates'!$F$9:$F$1008,$I393-8)="","",INDEX('Fleet dates'!$F$9:$F$1008,$I393-8)))</x:f>
      </x:c>
      <x:c r="G393" s="50" t="str">
        <x:f>IF(385&gt;$H$4,"",IF(INDEX('Fleet dates'!$G$9:$G$1008,$I393-8)="","",INDEX('Fleet dates'!$G$9:$G$1008,$I393-8)))</x:f>
      </x:c>
      <x:c r="H393" s="50" t="str">
        <x:f>IF(385&gt;$H$4,"",IF(INDEX('Fleet dates'!$I$9:$I$1008,$I393-8)="","",INDEX('Fleet dates'!$I$9:$I$1008,$I393-8)))</x:f>
      </x:c>
      <x:c r="I393" t="str">
        <x:f>IF(385&gt;$H$4,"",MATCH(385,'Fleet dates'!$K$9:$K$1008,0)+8)</x:f>
      </x:c>
    </x:row>
    <x:row r="394" ht="36" customHeight="1">
      <x:c r="A394" s="50" t="str">
        <x:f>IF(386&gt;$H$4,"",IF(INDEX('Fleet dates'!$A$9:$A$1008,$I394-8)="","",INDEX('Fleet dates'!$A$9:$A$1008,$I394-8)))</x:f>
      </x:c>
      <x:c r="B394" s="50" t="str">
        <x:f>IF(386&gt;$H$4,"",IF(INDEX('Fleet dates'!$B$9:$B$1008,$I394-8)="","",INDEX('Fleet dates'!$B$9:$B$1008,$I394-8)))</x:f>
      </x:c>
      <x:c r="C394" s="51" t="str">
        <x:f>IF(386&gt;$H$4,"",IF(INDEX('Fleet dates'!$C$9:$C$1008,$I394-8)="","",INDEX('Fleet dates'!$C$9:$C$1008,$I394-8)))</x:f>
      </x:c>
      <x:c r="D394" s="51" t="str">
        <x:f>IF(386&gt;$H$4,"",IF(INDEX('Fleet dates'!$D$9:$D$1008,$I394-8)="","",INDEX('Fleet dates'!$D$9:$D$1008,$I394-8)))</x:f>
      </x:c>
      <x:c r="E394" s="51" t="str">
        <x:f>IF(386&gt;$H$4,"",IF(INDEX('Fleet dates'!$E$9:$E$1008,$I394-8)="","",INDEX('Fleet dates'!$E$9:$E$1008,$I394-8)))</x:f>
      </x:c>
      <x:c r="F394" s="51" t="str">
        <x:f>IF(386&gt;$H$4,"",IF(INDEX('Fleet dates'!$F$9:$F$1008,$I394-8)="","",INDEX('Fleet dates'!$F$9:$F$1008,$I394-8)))</x:f>
      </x:c>
      <x:c r="G394" s="50" t="str">
        <x:f>IF(386&gt;$H$4,"",IF(INDEX('Fleet dates'!$G$9:$G$1008,$I394-8)="","",INDEX('Fleet dates'!$G$9:$G$1008,$I394-8)))</x:f>
      </x:c>
      <x:c r="H394" s="50" t="str">
        <x:f>IF(386&gt;$H$4,"",IF(INDEX('Fleet dates'!$I$9:$I$1008,$I394-8)="","",INDEX('Fleet dates'!$I$9:$I$1008,$I394-8)))</x:f>
      </x:c>
      <x:c r="I394" t="str">
        <x:f>IF(386&gt;$H$4,"",MATCH(386,'Fleet dates'!$K$9:$K$1008,0)+8)</x:f>
      </x:c>
    </x:row>
    <x:row r="395" ht="36" customHeight="1">
      <x:c r="A395" s="50" t="str">
        <x:f>IF(387&gt;$H$4,"",IF(INDEX('Fleet dates'!$A$9:$A$1008,$I395-8)="","",INDEX('Fleet dates'!$A$9:$A$1008,$I395-8)))</x:f>
      </x:c>
      <x:c r="B395" s="50" t="str">
        <x:f>IF(387&gt;$H$4,"",IF(INDEX('Fleet dates'!$B$9:$B$1008,$I395-8)="","",INDEX('Fleet dates'!$B$9:$B$1008,$I395-8)))</x:f>
      </x:c>
      <x:c r="C395" s="51" t="str">
        <x:f>IF(387&gt;$H$4,"",IF(INDEX('Fleet dates'!$C$9:$C$1008,$I395-8)="","",INDEX('Fleet dates'!$C$9:$C$1008,$I395-8)))</x:f>
      </x:c>
      <x:c r="D395" s="51" t="str">
        <x:f>IF(387&gt;$H$4,"",IF(INDEX('Fleet dates'!$D$9:$D$1008,$I395-8)="","",INDEX('Fleet dates'!$D$9:$D$1008,$I395-8)))</x:f>
      </x:c>
      <x:c r="E395" s="51" t="str">
        <x:f>IF(387&gt;$H$4,"",IF(INDEX('Fleet dates'!$E$9:$E$1008,$I395-8)="","",INDEX('Fleet dates'!$E$9:$E$1008,$I395-8)))</x:f>
      </x:c>
      <x:c r="F395" s="51" t="str">
        <x:f>IF(387&gt;$H$4,"",IF(INDEX('Fleet dates'!$F$9:$F$1008,$I395-8)="","",INDEX('Fleet dates'!$F$9:$F$1008,$I395-8)))</x:f>
      </x:c>
      <x:c r="G395" s="50" t="str">
        <x:f>IF(387&gt;$H$4,"",IF(INDEX('Fleet dates'!$G$9:$G$1008,$I395-8)="","",INDEX('Fleet dates'!$G$9:$G$1008,$I395-8)))</x:f>
      </x:c>
      <x:c r="H395" s="50" t="str">
        <x:f>IF(387&gt;$H$4,"",IF(INDEX('Fleet dates'!$I$9:$I$1008,$I395-8)="","",INDEX('Fleet dates'!$I$9:$I$1008,$I395-8)))</x:f>
      </x:c>
      <x:c r="I395" t="str">
        <x:f>IF(387&gt;$H$4,"",MATCH(387,'Fleet dates'!$K$9:$K$1008,0)+8)</x:f>
      </x:c>
    </x:row>
    <x:row r="396" ht="36" customHeight="1">
      <x:c r="A396" s="50" t="str">
        <x:f>IF(388&gt;$H$4,"",IF(INDEX('Fleet dates'!$A$9:$A$1008,$I396-8)="","",INDEX('Fleet dates'!$A$9:$A$1008,$I396-8)))</x:f>
      </x:c>
      <x:c r="B396" s="50" t="str">
        <x:f>IF(388&gt;$H$4,"",IF(INDEX('Fleet dates'!$B$9:$B$1008,$I396-8)="","",INDEX('Fleet dates'!$B$9:$B$1008,$I396-8)))</x:f>
      </x:c>
      <x:c r="C396" s="51" t="str">
        <x:f>IF(388&gt;$H$4,"",IF(INDEX('Fleet dates'!$C$9:$C$1008,$I396-8)="","",INDEX('Fleet dates'!$C$9:$C$1008,$I396-8)))</x:f>
      </x:c>
      <x:c r="D396" s="51" t="str">
        <x:f>IF(388&gt;$H$4,"",IF(INDEX('Fleet dates'!$D$9:$D$1008,$I396-8)="","",INDEX('Fleet dates'!$D$9:$D$1008,$I396-8)))</x:f>
      </x:c>
      <x:c r="E396" s="51" t="str">
        <x:f>IF(388&gt;$H$4,"",IF(INDEX('Fleet dates'!$E$9:$E$1008,$I396-8)="","",INDEX('Fleet dates'!$E$9:$E$1008,$I396-8)))</x:f>
      </x:c>
      <x:c r="F396" s="51" t="str">
        <x:f>IF(388&gt;$H$4,"",IF(INDEX('Fleet dates'!$F$9:$F$1008,$I396-8)="","",INDEX('Fleet dates'!$F$9:$F$1008,$I396-8)))</x:f>
      </x:c>
      <x:c r="G396" s="50" t="str">
        <x:f>IF(388&gt;$H$4,"",IF(INDEX('Fleet dates'!$G$9:$G$1008,$I396-8)="","",INDEX('Fleet dates'!$G$9:$G$1008,$I396-8)))</x:f>
      </x:c>
      <x:c r="H396" s="50" t="str">
        <x:f>IF(388&gt;$H$4,"",IF(INDEX('Fleet dates'!$I$9:$I$1008,$I396-8)="","",INDEX('Fleet dates'!$I$9:$I$1008,$I396-8)))</x:f>
      </x:c>
      <x:c r="I396" t="str">
        <x:f>IF(388&gt;$H$4,"",MATCH(388,'Fleet dates'!$K$9:$K$1008,0)+8)</x:f>
      </x:c>
    </x:row>
    <x:row r="397" ht="36" customHeight="1">
      <x:c r="A397" s="50" t="str">
        <x:f>IF(389&gt;$H$4,"",IF(INDEX('Fleet dates'!$A$9:$A$1008,$I397-8)="","",INDEX('Fleet dates'!$A$9:$A$1008,$I397-8)))</x:f>
      </x:c>
      <x:c r="B397" s="50" t="str">
        <x:f>IF(389&gt;$H$4,"",IF(INDEX('Fleet dates'!$B$9:$B$1008,$I397-8)="","",INDEX('Fleet dates'!$B$9:$B$1008,$I397-8)))</x:f>
      </x:c>
      <x:c r="C397" s="51" t="str">
        <x:f>IF(389&gt;$H$4,"",IF(INDEX('Fleet dates'!$C$9:$C$1008,$I397-8)="","",INDEX('Fleet dates'!$C$9:$C$1008,$I397-8)))</x:f>
      </x:c>
      <x:c r="D397" s="51" t="str">
        <x:f>IF(389&gt;$H$4,"",IF(INDEX('Fleet dates'!$D$9:$D$1008,$I397-8)="","",INDEX('Fleet dates'!$D$9:$D$1008,$I397-8)))</x:f>
      </x:c>
      <x:c r="E397" s="51" t="str">
        <x:f>IF(389&gt;$H$4,"",IF(INDEX('Fleet dates'!$E$9:$E$1008,$I397-8)="","",INDEX('Fleet dates'!$E$9:$E$1008,$I397-8)))</x:f>
      </x:c>
      <x:c r="F397" s="51" t="str">
        <x:f>IF(389&gt;$H$4,"",IF(INDEX('Fleet dates'!$F$9:$F$1008,$I397-8)="","",INDEX('Fleet dates'!$F$9:$F$1008,$I397-8)))</x:f>
      </x:c>
      <x:c r="G397" s="50" t="str">
        <x:f>IF(389&gt;$H$4,"",IF(INDEX('Fleet dates'!$G$9:$G$1008,$I397-8)="","",INDEX('Fleet dates'!$G$9:$G$1008,$I397-8)))</x:f>
      </x:c>
      <x:c r="H397" s="50" t="str">
        <x:f>IF(389&gt;$H$4,"",IF(INDEX('Fleet dates'!$I$9:$I$1008,$I397-8)="","",INDEX('Fleet dates'!$I$9:$I$1008,$I397-8)))</x:f>
      </x:c>
      <x:c r="I397" t="str">
        <x:f>IF(389&gt;$H$4,"",MATCH(389,'Fleet dates'!$K$9:$K$1008,0)+8)</x:f>
      </x:c>
    </x:row>
    <x:row r="398" ht="36" customHeight="1">
      <x:c r="A398" s="50" t="str">
        <x:f>IF(390&gt;$H$4,"",IF(INDEX('Fleet dates'!$A$9:$A$1008,$I398-8)="","",INDEX('Fleet dates'!$A$9:$A$1008,$I398-8)))</x:f>
      </x:c>
      <x:c r="B398" s="50" t="str">
        <x:f>IF(390&gt;$H$4,"",IF(INDEX('Fleet dates'!$B$9:$B$1008,$I398-8)="","",INDEX('Fleet dates'!$B$9:$B$1008,$I398-8)))</x:f>
      </x:c>
      <x:c r="C398" s="51" t="str">
        <x:f>IF(390&gt;$H$4,"",IF(INDEX('Fleet dates'!$C$9:$C$1008,$I398-8)="","",INDEX('Fleet dates'!$C$9:$C$1008,$I398-8)))</x:f>
      </x:c>
      <x:c r="D398" s="51" t="str">
        <x:f>IF(390&gt;$H$4,"",IF(INDEX('Fleet dates'!$D$9:$D$1008,$I398-8)="","",INDEX('Fleet dates'!$D$9:$D$1008,$I398-8)))</x:f>
      </x:c>
      <x:c r="E398" s="51" t="str">
        <x:f>IF(390&gt;$H$4,"",IF(INDEX('Fleet dates'!$E$9:$E$1008,$I398-8)="","",INDEX('Fleet dates'!$E$9:$E$1008,$I398-8)))</x:f>
      </x:c>
      <x:c r="F398" s="51" t="str">
        <x:f>IF(390&gt;$H$4,"",IF(INDEX('Fleet dates'!$F$9:$F$1008,$I398-8)="","",INDEX('Fleet dates'!$F$9:$F$1008,$I398-8)))</x:f>
      </x:c>
      <x:c r="G398" s="50" t="str">
        <x:f>IF(390&gt;$H$4,"",IF(INDEX('Fleet dates'!$G$9:$G$1008,$I398-8)="","",INDEX('Fleet dates'!$G$9:$G$1008,$I398-8)))</x:f>
      </x:c>
      <x:c r="H398" s="50" t="str">
        <x:f>IF(390&gt;$H$4,"",IF(INDEX('Fleet dates'!$I$9:$I$1008,$I398-8)="","",INDEX('Fleet dates'!$I$9:$I$1008,$I398-8)))</x:f>
      </x:c>
      <x:c r="I398" t="str">
        <x:f>IF(390&gt;$H$4,"",MATCH(390,'Fleet dates'!$K$9:$K$1008,0)+8)</x:f>
      </x:c>
    </x:row>
    <x:row r="399" ht="36" customHeight="1">
      <x:c r="A399" s="50" t="str">
        <x:f>IF(391&gt;$H$4,"",IF(INDEX('Fleet dates'!$A$9:$A$1008,$I399-8)="","",INDEX('Fleet dates'!$A$9:$A$1008,$I399-8)))</x:f>
      </x:c>
      <x:c r="B399" s="50" t="str">
        <x:f>IF(391&gt;$H$4,"",IF(INDEX('Fleet dates'!$B$9:$B$1008,$I399-8)="","",INDEX('Fleet dates'!$B$9:$B$1008,$I399-8)))</x:f>
      </x:c>
      <x:c r="C399" s="51" t="str">
        <x:f>IF(391&gt;$H$4,"",IF(INDEX('Fleet dates'!$C$9:$C$1008,$I399-8)="","",INDEX('Fleet dates'!$C$9:$C$1008,$I399-8)))</x:f>
      </x:c>
      <x:c r="D399" s="51" t="str">
        <x:f>IF(391&gt;$H$4,"",IF(INDEX('Fleet dates'!$D$9:$D$1008,$I399-8)="","",INDEX('Fleet dates'!$D$9:$D$1008,$I399-8)))</x:f>
      </x:c>
      <x:c r="E399" s="51" t="str">
        <x:f>IF(391&gt;$H$4,"",IF(INDEX('Fleet dates'!$E$9:$E$1008,$I399-8)="","",INDEX('Fleet dates'!$E$9:$E$1008,$I399-8)))</x:f>
      </x:c>
      <x:c r="F399" s="51" t="str">
        <x:f>IF(391&gt;$H$4,"",IF(INDEX('Fleet dates'!$F$9:$F$1008,$I399-8)="","",INDEX('Fleet dates'!$F$9:$F$1008,$I399-8)))</x:f>
      </x:c>
      <x:c r="G399" s="50" t="str">
        <x:f>IF(391&gt;$H$4,"",IF(INDEX('Fleet dates'!$G$9:$G$1008,$I399-8)="","",INDEX('Fleet dates'!$G$9:$G$1008,$I399-8)))</x:f>
      </x:c>
      <x:c r="H399" s="50" t="str">
        <x:f>IF(391&gt;$H$4,"",IF(INDEX('Fleet dates'!$I$9:$I$1008,$I399-8)="","",INDEX('Fleet dates'!$I$9:$I$1008,$I399-8)))</x:f>
      </x:c>
      <x:c r="I399" t="str">
        <x:f>IF(391&gt;$H$4,"",MATCH(391,'Fleet dates'!$K$9:$K$1008,0)+8)</x:f>
      </x:c>
    </x:row>
    <x:row r="400" ht="36" customHeight="1">
      <x:c r="A400" s="50" t="str">
        <x:f>IF(392&gt;$H$4,"",IF(INDEX('Fleet dates'!$A$9:$A$1008,$I400-8)="","",INDEX('Fleet dates'!$A$9:$A$1008,$I400-8)))</x:f>
      </x:c>
      <x:c r="B400" s="50" t="str">
        <x:f>IF(392&gt;$H$4,"",IF(INDEX('Fleet dates'!$B$9:$B$1008,$I400-8)="","",INDEX('Fleet dates'!$B$9:$B$1008,$I400-8)))</x:f>
      </x:c>
      <x:c r="C400" s="51" t="str">
        <x:f>IF(392&gt;$H$4,"",IF(INDEX('Fleet dates'!$C$9:$C$1008,$I400-8)="","",INDEX('Fleet dates'!$C$9:$C$1008,$I400-8)))</x:f>
      </x:c>
      <x:c r="D400" s="51" t="str">
        <x:f>IF(392&gt;$H$4,"",IF(INDEX('Fleet dates'!$D$9:$D$1008,$I400-8)="","",INDEX('Fleet dates'!$D$9:$D$1008,$I400-8)))</x:f>
      </x:c>
      <x:c r="E400" s="51" t="str">
        <x:f>IF(392&gt;$H$4,"",IF(INDEX('Fleet dates'!$E$9:$E$1008,$I400-8)="","",INDEX('Fleet dates'!$E$9:$E$1008,$I400-8)))</x:f>
      </x:c>
      <x:c r="F400" s="51" t="str">
        <x:f>IF(392&gt;$H$4,"",IF(INDEX('Fleet dates'!$F$9:$F$1008,$I400-8)="","",INDEX('Fleet dates'!$F$9:$F$1008,$I400-8)))</x:f>
      </x:c>
      <x:c r="G400" s="50" t="str">
        <x:f>IF(392&gt;$H$4,"",IF(INDEX('Fleet dates'!$G$9:$G$1008,$I400-8)="","",INDEX('Fleet dates'!$G$9:$G$1008,$I400-8)))</x:f>
      </x:c>
      <x:c r="H400" s="50" t="str">
        <x:f>IF(392&gt;$H$4,"",IF(INDEX('Fleet dates'!$I$9:$I$1008,$I400-8)="","",INDEX('Fleet dates'!$I$9:$I$1008,$I400-8)))</x:f>
      </x:c>
      <x:c r="I400" t="str">
        <x:f>IF(392&gt;$H$4,"",MATCH(392,'Fleet dates'!$K$9:$K$1008,0)+8)</x:f>
      </x:c>
    </x:row>
    <x:row r="401" ht="36" customHeight="1">
      <x:c r="A401" s="50" t="str">
        <x:f>IF(393&gt;$H$4,"",IF(INDEX('Fleet dates'!$A$9:$A$1008,$I401-8)="","",INDEX('Fleet dates'!$A$9:$A$1008,$I401-8)))</x:f>
      </x:c>
      <x:c r="B401" s="50" t="str">
        <x:f>IF(393&gt;$H$4,"",IF(INDEX('Fleet dates'!$B$9:$B$1008,$I401-8)="","",INDEX('Fleet dates'!$B$9:$B$1008,$I401-8)))</x:f>
      </x:c>
      <x:c r="C401" s="51" t="str">
        <x:f>IF(393&gt;$H$4,"",IF(INDEX('Fleet dates'!$C$9:$C$1008,$I401-8)="","",INDEX('Fleet dates'!$C$9:$C$1008,$I401-8)))</x:f>
      </x:c>
      <x:c r="D401" s="51" t="str">
        <x:f>IF(393&gt;$H$4,"",IF(INDEX('Fleet dates'!$D$9:$D$1008,$I401-8)="","",INDEX('Fleet dates'!$D$9:$D$1008,$I401-8)))</x:f>
      </x:c>
      <x:c r="E401" s="51" t="str">
        <x:f>IF(393&gt;$H$4,"",IF(INDEX('Fleet dates'!$E$9:$E$1008,$I401-8)="","",INDEX('Fleet dates'!$E$9:$E$1008,$I401-8)))</x:f>
      </x:c>
      <x:c r="F401" s="51" t="str">
        <x:f>IF(393&gt;$H$4,"",IF(INDEX('Fleet dates'!$F$9:$F$1008,$I401-8)="","",INDEX('Fleet dates'!$F$9:$F$1008,$I401-8)))</x:f>
      </x:c>
      <x:c r="G401" s="50" t="str">
        <x:f>IF(393&gt;$H$4,"",IF(INDEX('Fleet dates'!$G$9:$G$1008,$I401-8)="","",INDEX('Fleet dates'!$G$9:$G$1008,$I401-8)))</x:f>
      </x:c>
      <x:c r="H401" s="50" t="str">
        <x:f>IF(393&gt;$H$4,"",IF(INDEX('Fleet dates'!$I$9:$I$1008,$I401-8)="","",INDEX('Fleet dates'!$I$9:$I$1008,$I401-8)))</x:f>
      </x:c>
      <x:c r="I401" t="str">
        <x:f>IF(393&gt;$H$4,"",MATCH(393,'Fleet dates'!$K$9:$K$1008,0)+8)</x:f>
      </x:c>
    </x:row>
    <x:row r="402" ht="36" customHeight="1">
      <x:c r="A402" s="50" t="str">
        <x:f>IF(394&gt;$H$4,"",IF(INDEX('Fleet dates'!$A$9:$A$1008,$I402-8)="","",INDEX('Fleet dates'!$A$9:$A$1008,$I402-8)))</x:f>
      </x:c>
      <x:c r="B402" s="50" t="str">
        <x:f>IF(394&gt;$H$4,"",IF(INDEX('Fleet dates'!$B$9:$B$1008,$I402-8)="","",INDEX('Fleet dates'!$B$9:$B$1008,$I402-8)))</x:f>
      </x:c>
      <x:c r="C402" s="51" t="str">
        <x:f>IF(394&gt;$H$4,"",IF(INDEX('Fleet dates'!$C$9:$C$1008,$I402-8)="","",INDEX('Fleet dates'!$C$9:$C$1008,$I402-8)))</x:f>
      </x:c>
      <x:c r="D402" s="51" t="str">
        <x:f>IF(394&gt;$H$4,"",IF(INDEX('Fleet dates'!$D$9:$D$1008,$I402-8)="","",INDEX('Fleet dates'!$D$9:$D$1008,$I402-8)))</x:f>
      </x:c>
      <x:c r="E402" s="51" t="str">
        <x:f>IF(394&gt;$H$4,"",IF(INDEX('Fleet dates'!$E$9:$E$1008,$I402-8)="","",INDEX('Fleet dates'!$E$9:$E$1008,$I402-8)))</x:f>
      </x:c>
      <x:c r="F402" s="51" t="str">
        <x:f>IF(394&gt;$H$4,"",IF(INDEX('Fleet dates'!$F$9:$F$1008,$I402-8)="","",INDEX('Fleet dates'!$F$9:$F$1008,$I402-8)))</x:f>
      </x:c>
      <x:c r="G402" s="50" t="str">
        <x:f>IF(394&gt;$H$4,"",IF(INDEX('Fleet dates'!$G$9:$G$1008,$I402-8)="","",INDEX('Fleet dates'!$G$9:$G$1008,$I402-8)))</x:f>
      </x:c>
      <x:c r="H402" s="50" t="str">
        <x:f>IF(394&gt;$H$4,"",IF(INDEX('Fleet dates'!$I$9:$I$1008,$I402-8)="","",INDEX('Fleet dates'!$I$9:$I$1008,$I402-8)))</x:f>
      </x:c>
      <x:c r="I402" t="str">
        <x:f>IF(394&gt;$H$4,"",MATCH(394,'Fleet dates'!$K$9:$K$1008,0)+8)</x:f>
      </x:c>
    </x:row>
    <x:row r="403" ht="36" customHeight="1">
      <x:c r="A403" s="50" t="str">
        <x:f>IF(395&gt;$H$4,"",IF(INDEX('Fleet dates'!$A$9:$A$1008,$I403-8)="","",INDEX('Fleet dates'!$A$9:$A$1008,$I403-8)))</x:f>
      </x:c>
      <x:c r="B403" s="50" t="str">
        <x:f>IF(395&gt;$H$4,"",IF(INDEX('Fleet dates'!$B$9:$B$1008,$I403-8)="","",INDEX('Fleet dates'!$B$9:$B$1008,$I403-8)))</x:f>
      </x:c>
      <x:c r="C403" s="51" t="str">
        <x:f>IF(395&gt;$H$4,"",IF(INDEX('Fleet dates'!$C$9:$C$1008,$I403-8)="","",INDEX('Fleet dates'!$C$9:$C$1008,$I403-8)))</x:f>
      </x:c>
      <x:c r="D403" s="51" t="str">
        <x:f>IF(395&gt;$H$4,"",IF(INDEX('Fleet dates'!$D$9:$D$1008,$I403-8)="","",INDEX('Fleet dates'!$D$9:$D$1008,$I403-8)))</x:f>
      </x:c>
      <x:c r="E403" s="51" t="str">
        <x:f>IF(395&gt;$H$4,"",IF(INDEX('Fleet dates'!$E$9:$E$1008,$I403-8)="","",INDEX('Fleet dates'!$E$9:$E$1008,$I403-8)))</x:f>
      </x:c>
      <x:c r="F403" s="51" t="str">
        <x:f>IF(395&gt;$H$4,"",IF(INDEX('Fleet dates'!$F$9:$F$1008,$I403-8)="","",INDEX('Fleet dates'!$F$9:$F$1008,$I403-8)))</x:f>
      </x:c>
      <x:c r="G403" s="50" t="str">
        <x:f>IF(395&gt;$H$4,"",IF(INDEX('Fleet dates'!$G$9:$G$1008,$I403-8)="","",INDEX('Fleet dates'!$G$9:$G$1008,$I403-8)))</x:f>
      </x:c>
      <x:c r="H403" s="50" t="str">
        <x:f>IF(395&gt;$H$4,"",IF(INDEX('Fleet dates'!$I$9:$I$1008,$I403-8)="","",INDEX('Fleet dates'!$I$9:$I$1008,$I403-8)))</x:f>
      </x:c>
      <x:c r="I403" t="str">
        <x:f>IF(395&gt;$H$4,"",MATCH(395,'Fleet dates'!$K$9:$K$1008,0)+8)</x:f>
      </x:c>
    </x:row>
    <x:row r="404" ht="36" customHeight="1">
      <x:c r="A404" s="50" t="str">
        <x:f>IF(396&gt;$H$4,"",IF(INDEX('Fleet dates'!$A$9:$A$1008,$I404-8)="","",INDEX('Fleet dates'!$A$9:$A$1008,$I404-8)))</x:f>
      </x:c>
      <x:c r="B404" s="50" t="str">
        <x:f>IF(396&gt;$H$4,"",IF(INDEX('Fleet dates'!$B$9:$B$1008,$I404-8)="","",INDEX('Fleet dates'!$B$9:$B$1008,$I404-8)))</x:f>
      </x:c>
      <x:c r="C404" s="51" t="str">
        <x:f>IF(396&gt;$H$4,"",IF(INDEX('Fleet dates'!$C$9:$C$1008,$I404-8)="","",INDEX('Fleet dates'!$C$9:$C$1008,$I404-8)))</x:f>
      </x:c>
      <x:c r="D404" s="51" t="str">
        <x:f>IF(396&gt;$H$4,"",IF(INDEX('Fleet dates'!$D$9:$D$1008,$I404-8)="","",INDEX('Fleet dates'!$D$9:$D$1008,$I404-8)))</x:f>
      </x:c>
      <x:c r="E404" s="51" t="str">
        <x:f>IF(396&gt;$H$4,"",IF(INDEX('Fleet dates'!$E$9:$E$1008,$I404-8)="","",INDEX('Fleet dates'!$E$9:$E$1008,$I404-8)))</x:f>
      </x:c>
      <x:c r="F404" s="51" t="str">
        <x:f>IF(396&gt;$H$4,"",IF(INDEX('Fleet dates'!$F$9:$F$1008,$I404-8)="","",INDEX('Fleet dates'!$F$9:$F$1008,$I404-8)))</x:f>
      </x:c>
      <x:c r="G404" s="50" t="str">
        <x:f>IF(396&gt;$H$4,"",IF(INDEX('Fleet dates'!$G$9:$G$1008,$I404-8)="","",INDEX('Fleet dates'!$G$9:$G$1008,$I404-8)))</x:f>
      </x:c>
      <x:c r="H404" s="50" t="str">
        <x:f>IF(396&gt;$H$4,"",IF(INDEX('Fleet dates'!$I$9:$I$1008,$I404-8)="","",INDEX('Fleet dates'!$I$9:$I$1008,$I404-8)))</x:f>
      </x:c>
      <x:c r="I404" t="str">
        <x:f>IF(396&gt;$H$4,"",MATCH(396,'Fleet dates'!$K$9:$K$1008,0)+8)</x:f>
      </x:c>
    </x:row>
    <x:row r="405" ht="36" customHeight="1">
      <x:c r="A405" s="50" t="str">
        <x:f>IF(397&gt;$H$4,"",IF(INDEX('Fleet dates'!$A$9:$A$1008,$I405-8)="","",INDEX('Fleet dates'!$A$9:$A$1008,$I405-8)))</x:f>
      </x:c>
      <x:c r="B405" s="50" t="str">
        <x:f>IF(397&gt;$H$4,"",IF(INDEX('Fleet dates'!$B$9:$B$1008,$I405-8)="","",INDEX('Fleet dates'!$B$9:$B$1008,$I405-8)))</x:f>
      </x:c>
      <x:c r="C405" s="51" t="str">
        <x:f>IF(397&gt;$H$4,"",IF(INDEX('Fleet dates'!$C$9:$C$1008,$I405-8)="","",INDEX('Fleet dates'!$C$9:$C$1008,$I405-8)))</x:f>
      </x:c>
      <x:c r="D405" s="51" t="str">
        <x:f>IF(397&gt;$H$4,"",IF(INDEX('Fleet dates'!$D$9:$D$1008,$I405-8)="","",INDEX('Fleet dates'!$D$9:$D$1008,$I405-8)))</x:f>
      </x:c>
      <x:c r="E405" s="51" t="str">
        <x:f>IF(397&gt;$H$4,"",IF(INDEX('Fleet dates'!$E$9:$E$1008,$I405-8)="","",INDEX('Fleet dates'!$E$9:$E$1008,$I405-8)))</x:f>
      </x:c>
      <x:c r="F405" s="51" t="str">
        <x:f>IF(397&gt;$H$4,"",IF(INDEX('Fleet dates'!$F$9:$F$1008,$I405-8)="","",INDEX('Fleet dates'!$F$9:$F$1008,$I405-8)))</x:f>
      </x:c>
      <x:c r="G405" s="50" t="str">
        <x:f>IF(397&gt;$H$4,"",IF(INDEX('Fleet dates'!$G$9:$G$1008,$I405-8)="","",INDEX('Fleet dates'!$G$9:$G$1008,$I405-8)))</x:f>
      </x:c>
      <x:c r="H405" s="50" t="str">
        <x:f>IF(397&gt;$H$4,"",IF(INDEX('Fleet dates'!$I$9:$I$1008,$I405-8)="","",INDEX('Fleet dates'!$I$9:$I$1008,$I405-8)))</x:f>
      </x:c>
      <x:c r="I405" t="str">
        <x:f>IF(397&gt;$H$4,"",MATCH(397,'Fleet dates'!$K$9:$K$1008,0)+8)</x:f>
      </x:c>
    </x:row>
    <x:row r="406" ht="36" customHeight="1">
      <x:c r="A406" s="50" t="str">
        <x:f>IF(398&gt;$H$4,"",IF(INDEX('Fleet dates'!$A$9:$A$1008,$I406-8)="","",INDEX('Fleet dates'!$A$9:$A$1008,$I406-8)))</x:f>
      </x:c>
      <x:c r="B406" s="50" t="str">
        <x:f>IF(398&gt;$H$4,"",IF(INDEX('Fleet dates'!$B$9:$B$1008,$I406-8)="","",INDEX('Fleet dates'!$B$9:$B$1008,$I406-8)))</x:f>
      </x:c>
      <x:c r="C406" s="51" t="str">
        <x:f>IF(398&gt;$H$4,"",IF(INDEX('Fleet dates'!$C$9:$C$1008,$I406-8)="","",INDEX('Fleet dates'!$C$9:$C$1008,$I406-8)))</x:f>
      </x:c>
      <x:c r="D406" s="51" t="str">
        <x:f>IF(398&gt;$H$4,"",IF(INDEX('Fleet dates'!$D$9:$D$1008,$I406-8)="","",INDEX('Fleet dates'!$D$9:$D$1008,$I406-8)))</x:f>
      </x:c>
      <x:c r="E406" s="51" t="str">
        <x:f>IF(398&gt;$H$4,"",IF(INDEX('Fleet dates'!$E$9:$E$1008,$I406-8)="","",INDEX('Fleet dates'!$E$9:$E$1008,$I406-8)))</x:f>
      </x:c>
      <x:c r="F406" s="51" t="str">
        <x:f>IF(398&gt;$H$4,"",IF(INDEX('Fleet dates'!$F$9:$F$1008,$I406-8)="","",INDEX('Fleet dates'!$F$9:$F$1008,$I406-8)))</x:f>
      </x:c>
      <x:c r="G406" s="50" t="str">
        <x:f>IF(398&gt;$H$4,"",IF(INDEX('Fleet dates'!$G$9:$G$1008,$I406-8)="","",INDEX('Fleet dates'!$G$9:$G$1008,$I406-8)))</x:f>
      </x:c>
      <x:c r="H406" s="50" t="str">
        <x:f>IF(398&gt;$H$4,"",IF(INDEX('Fleet dates'!$I$9:$I$1008,$I406-8)="","",INDEX('Fleet dates'!$I$9:$I$1008,$I406-8)))</x:f>
      </x:c>
      <x:c r="I406" t="str">
        <x:f>IF(398&gt;$H$4,"",MATCH(398,'Fleet dates'!$K$9:$K$1008,0)+8)</x:f>
      </x:c>
    </x:row>
    <x:row r="407" ht="36" customHeight="1">
      <x:c r="A407" s="50" t="str">
        <x:f>IF(399&gt;$H$4,"",IF(INDEX('Fleet dates'!$A$9:$A$1008,$I407-8)="","",INDEX('Fleet dates'!$A$9:$A$1008,$I407-8)))</x:f>
      </x:c>
      <x:c r="B407" s="50" t="str">
        <x:f>IF(399&gt;$H$4,"",IF(INDEX('Fleet dates'!$B$9:$B$1008,$I407-8)="","",INDEX('Fleet dates'!$B$9:$B$1008,$I407-8)))</x:f>
      </x:c>
      <x:c r="C407" s="51" t="str">
        <x:f>IF(399&gt;$H$4,"",IF(INDEX('Fleet dates'!$C$9:$C$1008,$I407-8)="","",INDEX('Fleet dates'!$C$9:$C$1008,$I407-8)))</x:f>
      </x:c>
      <x:c r="D407" s="51" t="str">
        <x:f>IF(399&gt;$H$4,"",IF(INDEX('Fleet dates'!$D$9:$D$1008,$I407-8)="","",INDEX('Fleet dates'!$D$9:$D$1008,$I407-8)))</x:f>
      </x:c>
      <x:c r="E407" s="51" t="str">
        <x:f>IF(399&gt;$H$4,"",IF(INDEX('Fleet dates'!$E$9:$E$1008,$I407-8)="","",INDEX('Fleet dates'!$E$9:$E$1008,$I407-8)))</x:f>
      </x:c>
      <x:c r="F407" s="51" t="str">
        <x:f>IF(399&gt;$H$4,"",IF(INDEX('Fleet dates'!$F$9:$F$1008,$I407-8)="","",INDEX('Fleet dates'!$F$9:$F$1008,$I407-8)))</x:f>
      </x:c>
      <x:c r="G407" s="50" t="str">
        <x:f>IF(399&gt;$H$4,"",IF(INDEX('Fleet dates'!$G$9:$G$1008,$I407-8)="","",INDEX('Fleet dates'!$G$9:$G$1008,$I407-8)))</x:f>
      </x:c>
      <x:c r="H407" s="50" t="str">
        <x:f>IF(399&gt;$H$4,"",IF(INDEX('Fleet dates'!$I$9:$I$1008,$I407-8)="","",INDEX('Fleet dates'!$I$9:$I$1008,$I407-8)))</x:f>
      </x:c>
      <x:c r="I407" t="str">
        <x:f>IF(399&gt;$H$4,"",MATCH(399,'Fleet dates'!$K$9:$K$1008,0)+8)</x:f>
      </x:c>
    </x:row>
    <x:row r="408" ht="36" customHeight="1">
      <x:c r="A408" s="50" t="str">
        <x:f>IF(400&gt;$H$4,"",IF(INDEX('Fleet dates'!$A$9:$A$1008,$I408-8)="","",INDEX('Fleet dates'!$A$9:$A$1008,$I408-8)))</x:f>
      </x:c>
      <x:c r="B408" s="50" t="str">
        <x:f>IF(400&gt;$H$4,"",IF(INDEX('Fleet dates'!$B$9:$B$1008,$I408-8)="","",INDEX('Fleet dates'!$B$9:$B$1008,$I408-8)))</x:f>
      </x:c>
      <x:c r="C408" s="51" t="str">
        <x:f>IF(400&gt;$H$4,"",IF(INDEX('Fleet dates'!$C$9:$C$1008,$I408-8)="","",INDEX('Fleet dates'!$C$9:$C$1008,$I408-8)))</x:f>
      </x:c>
      <x:c r="D408" s="51" t="str">
        <x:f>IF(400&gt;$H$4,"",IF(INDEX('Fleet dates'!$D$9:$D$1008,$I408-8)="","",INDEX('Fleet dates'!$D$9:$D$1008,$I408-8)))</x:f>
      </x:c>
      <x:c r="E408" s="51" t="str">
        <x:f>IF(400&gt;$H$4,"",IF(INDEX('Fleet dates'!$E$9:$E$1008,$I408-8)="","",INDEX('Fleet dates'!$E$9:$E$1008,$I408-8)))</x:f>
      </x:c>
      <x:c r="F408" s="51" t="str">
        <x:f>IF(400&gt;$H$4,"",IF(INDEX('Fleet dates'!$F$9:$F$1008,$I408-8)="","",INDEX('Fleet dates'!$F$9:$F$1008,$I408-8)))</x:f>
      </x:c>
      <x:c r="G408" s="50" t="str">
        <x:f>IF(400&gt;$H$4,"",IF(INDEX('Fleet dates'!$G$9:$G$1008,$I408-8)="","",INDEX('Fleet dates'!$G$9:$G$1008,$I408-8)))</x:f>
      </x:c>
      <x:c r="H408" s="50" t="str">
        <x:f>IF(400&gt;$H$4,"",IF(INDEX('Fleet dates'!$I$9:$I$1008,$I408-8)="","",INDEX('Fleet dates'!$I$9:$I$1008,$I408-8)))</x:f>
      </x:c>
      <x:c r="I408" t="str">
        <x:f>IF(400&gt;$H$4,"",MATCH(400,'Fleet dates'!$K$9:$K$1008,0)+8)</x:f>
      </x:c>
    </x:row>
    <x:row r="409" ht="36" customHeight="1">
      <x:c r="A409" s="50" t="str">
        <x:f>IF(401&gt;$H$4,"",IF(INDEX('Fleet dates'!$A$9:$A$1008,$I409-8)="","",INDEX('Fleet dates'!$A$9:$A$1008,$I409-8)))</x:f>
      </x:c>
      <x:c r="B409" s="50" t="str">
        <x:f>IF(401&gt;$H$4,"",IF(INDEX('Fleet dates'!$B$9:$B$1008,$I409-8)="","",INDEX('Fleet dates'!$B$9:$B$1008,$I409-8)))</x:f>
      </x:c>
      <x:c r="C409" s="51" t="str">
        <x:f>IF(401&gt;$H$4,"",IF(INDEX('Fleet dates'!$C$9:$C$1008,$I409-8)="","",INDEX('Fleet dates'!$C$9:$C$1008,$I409-8)))</x:f>
      </x:c>
      <x:c r="D409" s="51" t="str">
        <x:f>IF(401&gt;$H$4,"",IF(INDEX('Fleet dates'!$D$9:$D$1008,$I409-8)="","",INDEX('Fleet dates'!$D$9:$D$1008,$I409-8)))</x:f>
      </x:c>
      <x:c r="E409" s="51" t="str">
        <x:f>IF(401&gt;$H$4,"",IF(INDEX('Fleet dates'!$E$9:$E$1008,$I409-8)="","",INDEX('Fleet dates'!$E$9:$E$1008,$I409-8)))</x:f>
      </x:c>
      <x:c r="F409" s="51" t="str">
        <x:f>IF(401&gt;$H$4,"",IF(INDEX('Fleet dates'!$F$9:$F$1008,$I409-8)="","",INDEX('Fleet dates'!$F$9:$F$1008,$I409-8)))</x:f>
      </x:c>
      <x:c r="G409" s="50" t="str">
        <x:f>IF(401&gt;$H$4,"",IF(INDEX('Fleet dates'!$G$9:$G$1008,$I409-8)="","",INDEX('Fleet dates'!$G$9:$G$1008,$I409-8)))</x:f>
      </x:c>
      <x:c r="H409" s="50" t="str">
        <x:f>IF(401&gt;$H$4,"",IF(INDEX('Fleet dates'!$I$9:$I$1008,$I409-8)="","",INDEX('Fleet dates'!$I$9:$I$1008,$I409-8)))</x:f>
      </x:c>
      <x:c r="I409" t="str">
        <x:f>IF(401&gt;$H$4,"",MATCH(401,'Fleet dates'!$K$9:$K$1008,0)+8)</x:f>
      </x:c>
    </x:row>
    <x:row r="410" ht="36" customHeight="1">
      <x:c r="A410" s="50" t="str">
        <x:f>IF(402&gt;$H$4,"",IF(INDEX('Fleet dates'!$A$9:$A$1008,$I410-8)="","",INDEX('Fleet dates'!$A$9:$A$1008,$I410-8)))</x:f>
      </x:c>
      <x:c r="B410" s="50" t="str">
        <x:f>IF(402&gt;$H$4,"",IF(INDEX('Fleet dates'!$B$9:$B$1008,$I410-8)="","",INDEX('Fleet dates'!$B$9:$B$1008,$I410-8)))</x:f>
      </x:c>
      <x:c r="C410" s="51" t="str">
        <x:f>IF(402&gt;$H$4,"",IF(INDEX('Fleet dates'!$C$9:$C$1008,$I410-8)="","",INDEX('Fleet dates'!$C$9:$C$1008,$I410-8)))</x:f>
      </x:c>
      <x:c r="D410" s="51" t="str">
        <x:f>IF(402&gt;$H$4,"",IF(INDEX('Fleet dates'!$D$9:$D$1008,$I410-8)="","",INDEX('Fleet dates'!$D$9:$D$1008,$I410-8)))</x:f>
      </x:c>
      <x:c r="E410" s="51" t="str">
        <x:f>IF(402&gt;$H$4,"",IF(INDEX('Fleet dates'!$E$9:$E$1008,$I410-8)="","",INDEX('Fleet dates'!$E$9:$E$1008,$I410-8)))</x:f>
      </x:c>
      <x:c r="F410" s="51" t="str">
        <x:f>IF(402&gt;$H$4,"",IF(INDEX('Fleet dates'!$F$9:$F$1008,$I410-8)="","",INDEX('Fleet dates'!$F$9:$F$1008,$I410-8)))</x:f>
      </x:c>
      <x:c r="G410" s="50" t="str">
        <x:f>IF(402&gt;$H$4,"",IF(INDEX('Fleet dates'!$G$9:$G$1008,$I410-8)="","",INDEX('Fleet dates'!$G$9:$G$1008,$I410-8)))</x:f>
      </x:c>
      <x:c r="H410" s="50" t="str">
        <x:f>IF(402&gt;$H$4,"",IF(INDEX('Fleet dates'!$I$9:$I$1008,$I410-8)="","",INDEX('Fleet dates'!$I$9:$I$1008,$I410-8)))</x:f>
      </x:c>
      <x:c r="I410" t="str">
        <x:f>IF(402&gt;$H$4,"",MATCH(402,'Fleet dates'!$K$9:$K$1008,0)+8)</x:f>
      </x:c>
    </x:row>
    <x:row r="411" ht="36" customHeight="1">
      <x:c r="A411" s="50" t="str">
        <x:f>IF(403&gt;$H$4,"",IF(INDEX('Fleet dates'!$A$9:$A$1008,$I411-8)="","",INDEX('Fleet dates'!$A$9:$A$1008,$I411-8)))</x:f>
      </x:c>
      <x:c r="B411" s="50" t="str">
        <x:f>IF(403&gt;$H$4,"",IF(INDEX('Fleet dates'!$B$9:$B$1008,$I411-8)="","",INDEX('Fleet dates'!$B$9:$B$1008,$I411-8)))</x:f>
      </x:c>
      <x:c r="C411" s="51" t="str">
        <x:f>IF(403&gt;$H$4,"",IF(INDEX('Fleet dates'!$C$9:$C$1008,$I411-8)="","",INDEX('Fleet dates'!$C$9:$C$1008,$I411-8)))</x:f>
      </x:c>
      <x:c r="D411" s="51" t="str">
        <x:f>IF(403&gt;$H$4,"",IF(INDEX('Fleet dates'!$D$9:$D$1008,$I411-8)="","",INDEX('Fleet dates'!$D$9:$D$1008,$I411-8)))</x:f>
      </x:c>
      <x:c r="E411" s="51" t="str">
        <x:f>IF(403&gt;$H$4,"",IF(INDEX('Fleet dates'!$E$9:$E$1008,$I411-8)="","",INDEX('Fleet dates'!$E$9:$E$1008,$I411-8)))</x:f>
      </x:c>
      <x:c r="F411" s="51" t="str">
        <x:f>IF(403&gt;$H$4,"",IF(INDEX('Fleet dates'!$F$9:$F$1008,$I411-8)="","",INDEX('Fleet dates'!$F$9:$F$1008,$I411-8)))</x:f>
      </x:c>
      <x:c r="G411" s="50" t="str">
        <x:f>IF(403&gt;$H$4,"",IF(INDEX('Fleet dates'!$G$9:$G$1008,$I411-8)="","",INDEX('Fleet dates'!$G$9:$G$1008,$I411-8)))</x:f>
      </x:c>
      <x:c r="H411" s="50" t="str">
        <x:f>IF(403&gt;$H$4,"",IF(INDEX('Fleet dates'!$I$9:$I$1008,$I411-8)="","",INDEX('Fleet dates'!$I$9:$I$1008,$I411-8)))</x:f>
      </x:c>
      <x:c r="I411" t="str">
        <x:f>IF(403&gt;$H$4,"",MATCH(403,'Fleet dates'!$K$9:$K$1008,0)+8)</x:f>
      </x:c>
    </x:row>
    <x:row r="412" ht="36" customHeight="1">
      <x:c r="A412" s="50" t="str">
        <x:f>IF(404&gt;$H$4,"",IF(INDEX('Fleet dates'!$A$9:$A$1008,$I412-8)="","",INDEX('Fleet dates'!$A$9:$A$1008,$I412-8)))</x:f>
      </x:c>
      <x:c r="B412" s="50" t="str">
        <x:f>IF(404&gt;$H$4,"",IF(INDEX('Fleet dates'!$B$9:$B$1008,$I412-8)="","",INDEX('Fleet dates'!$B$9:$B$1008,$I412-8)))</x:f>
      </x:c>
      <x:c r="C412" s="51" t="str">
        <x:f>IF(404&gt;$H$4,"",IF(INDEX('Fleet dates'!$C$9:$C$1008,$I412-8)="","",INDEX('Fleet dates'!$C$9:$C$1008,$I412-8)))</x:f>
      </x:c>
      <x:c r="D412" s="51" t="str">
        <x:f>IF(404&gt;$H$4,"",IF(INDEX('Fleet dates'!$D$9:$D$1008,$I412-8)="","",INDEX('Fleet dates'!$D$9:$D$1008,$I412-8)))</x:f>
      </x:c>
      <x:c r="E412" s="51" t="str">
        <x:f>IF(404&gt;$H$4,"",IF(INDEX('Fleet dates'!$E$9:$E$1008,$I412-8)="","",INDEX('Fleet dates'!$E$9:$E$1008,$I412-8)))</x:f>
      </x:c>
      <x:c r="F412" s="51" t="str">
        <x:f>IF(404&gt;$H$4,"",IF(INDEX('Fleet dates'!$F$9:$F$1008,$I412-8)="","",INDEX('Fleet dates'!$F$9:$F$1008,$I412-8)))</x:f>
      </x:c>
      <x:c r="G412" s="50" t="str">
        <x:f>IF(404&gt;$H$4,"",IF(INDEX('Fleet dates'!$G$9:$G$1008,$I412-8)="","",INDEX('Fleet dates'!$G$9:$G$1008,$I412-8)))</x:f>
      </x:c>
      <x:c r="H412" s="50" t="str">
        <x:f>IF(404&gt;$H$4,"",IF(INDEX('Fleet dates'!$I$9:$I$1008,$I412-8)="","",INDEX('Fleet dates'!$I$9:$I$1008,$I412-8)))</x:f>
      </x:c>
      <x:c r="I412" t="str">
        <x:f>IF(404&gt;$H$4,"",MATCH(404,'Fleet dates'!$K$9:$K$1008,0)+8)</x:f>
      </x:c>
    </x:row>
    <x:row r="413" ht="36" customHeight="1">
      <x:c r="A413" s="50" t="str">
        <x:f>IF(405&gt;$H$4,"",IF(INDEX('Fleet dates'!$A$9:$A$1008,$I413-8)="","",INDEX('Fleet dates'!$A$9:$A$1008,$I413-8)))</x:f>
      </x:c>
      <x:c r="B413" s="50" t="str">
        <x:f>IF(405&gt;$H$4,"",IF(INDEX('Fleet dates'!$B$9:$B$1008,$I413-8)="","",INDEX('Fleet dates'!$B$9:$B$1008,$I413-8)))</x:f>
      </x:c>
      <x:c r="C413" s="51" t="str">
        <x:f>IF(405&gt;$H$4,"",IF(INDEX('Fleet dates'!$C$9:$C$1008,$I413-8)="","",INDEX('Fleet dates'!$C$9:$C$1008,$I413-8)))</x:f>
      </x:c>
      <x:c r="D413" s="51" t="str">
        <x:f>IF(405&gt;$H$4,"",IF(INDEX('Fleet dates'!$D$9:$D$1008,$I413-8)="","",INDEX('Fleet dates'!$D$9:$D$1008,$I413-8)))</x:f>
      </x:c>
      <x:c r="E413" s="51" t="str">
        <x:f>IF(405&gt;$H$4,"",IF(INDEX('Fleet dates'!$E$9:$E$1008,$I413-8)="","",INDEX('Fleet dates'!$E$9:$E$1008,$I413-8)))</x:f>
      </x:c>
      <x:c r="F413" s="51" t="str">
        <x:f>IF(405&gt;$H$4,"",IF(INDEX('Fleet dates'!$F$9:$F$1008,$I413-8)="","",INDEX('Fleet dates'!$F$9:$F$1008,$I413-8)))</x:f>
      </x:c>
      <x:c r="G413" s="50" t="str">
        <x:f>IF(405&gt;$H$4,"",IF(INDEX('Fleet dates'!$G$9:$G$1008,$I413-8)="","",INDEX('Fleet dates'!$G$9:$G$1008,$I413-8)))</x:f>
      </x:c>
      <x:c r="H413" s="50" t="str">
        <x:f>IF(405&gt;$H$4,"",IF(INDEX('Fleet dates'!$I$9:$I$1008,$I413-8)="","",INDEX('Fleet dates'!$I$9:$I$1008,$I413-8)))</x:f>
      </x:c>
      <x:c r="I413" t="str">
        <x:f>IF(405&gt;$H$4,"",MATCH(405,'Fleet dates'!$K$9:$K$1008,0)+8)</x:f>
      </x:c>
    </x:row>
    <x:row r="414" ht="36" customHeight="1">
      <x:c r="A414" s="50" t="str">
        <x:f>IF(406&gt;$H$4,"",IF(INDEX('Fleet dates'!$A$9:$A$1008,$I414-8)="","",INDEX('Fleet dates'!$A$9:$A$1008,$I414-8)))</x:f>
      </x:c>
      <x:c r="B414" s="50" t="str">
        <x:f>IF(406&gt;$H$4,"",IF(INDEX('Fleet dates'!$B$9:$B$1008,$I414-8)="","",INDEX('Fleet dates'!$B$9:$B$1008,$I414-8)))</x:f>
      </x:c>
      <x:c r="C414" s="51" t="str">
        <x:f>IF(406&gt;$H$4,"",IF(INDEX('Fleet dates'!$C$9:$C$1008,$I414-8)="","",INDEX('Fleet dates'!$C$9:$C$1008,$I414-8)))</x:f>
      </x:c>
      <x:c r="D414" s="51" t="str">
        <x:f>IF(406&gt;$H$4,"",IF(INDEX('Fleet dates'!$D$9:$D$1008,$I414-8)="","",INDEX('Fleet dates'!$D$9:$D$1008,$I414-8)))</x:f>
      </x:c>
      <x:c r="E414" s="51" t="str">
        <x:f>IF(406&gt;$H$4,"",IF(INDEX('Fleet dates'!$E$9:$E$1008,$I414-8)="","",INDEX('Fleet dates'!$E$9:$E$1008,$I414-8)))</x:f>
      </x:c>
      <x:c r="F414" s="51" t="str">
        <x:f>IF(406&gt;$H$4,"",IF(INDEX('Fleet dates'!$F$9:$F$1008,$I414-8)="","",INDEX('Fleet dates'!$F$9:$F$1008,$I414-8)))</x:f>
      </x:c>
      <x:c r="G414" s="50" t="str">
        <x:f>IF(406&gt;$H$4,"",IF(INDEX('Fleet dates'!$G$9:$G$1008,$I414-8)="","",INDEX('Fleet dates'!$G$9:$G$1008,$I414-8)))</x:f>
      </x:c>
      <x:c r="H414" s="50" t="str">
        <x:f>IF(406&gt;$H$4,"",IF(INDEX('Fleet dates'!$I$9:$I$1008,$I414-8)="","",INDEX('Fleet dates'!$I$9:$I$1008,$I414-8)))</x:f>
      </x:c>
      <x:c r="I414" t="str">
        <x:f>IF(406&gt;$H$4,"",MATCH(406,'Fleet dates'!$K$9:$K$1008,0)+8)</x:f>
      </x:c>
    </x:row>
    <x:row r="415" ht="36" customHeight="1">
      <x:c r="A415" s="50" t="str">
        <x:f>IF(407&gt;$H$4,"",IF(INDEX('Fleet dates'!$A$9:$A$1008,$I415-8)="","",INDEX('Fleet dates'!$A$9:$A$1008,$I415-8)))</x:f>
      </x:c>
      <x:c r="B415" s="50" t="str">
        <x:f>IF(407&gt;$H$4,"",IF(INDEX('Fleet dates'!$B$9:$B$1008,$I415-8)="","",INDEX('Fleet dates'!$B$9:$B$1008,$I415-8)))</x:f>
      </x:c>
      <x:c r="C415" s="51" t="str">
        <x:f>IF(407&gt;$H$4,"",IF(INDEX('Fleet dates'!$C$9:$C$1008,$I415-8)="","",INDEX('Fleet dates'!$C$9:$C$1008,$I415-8)))</x:f>
      </x:c>
      <x:c r="D415" s="51" t="str">
        <x:f>IF(407&gt;$H$4,"",IF(INDEX('Fleet dates'!$D$9:$D$1008,$I415-8)="","",INDEX('Fleet dates'!$D$9:$D$1008,$I415-8)))</x:f>
      </x:c>
      <x:c r="E415" s="51" t="str">
        <x:f>IF(407&gt;$H$4,"",IF(INDEX('Fleet dates'!$E$9:$E$1008,$I415-8)="","",INDEX('Fleet dates'!$E$9:$E$1008,$I415-8)))</x:f>
      </x:c>
      <x:c r="F415" s="51" t="str">
        <x:f>IF(407&gt;$H$4,"",IF(INDEX('Fleet dates'!$F$9:$F$1008,$I415-8)="","",INDEX('Fleet dates'!$F$9:$F$1008,$I415-8)))</x:f>
      </x:c>
      <x:c r="G415" s="50" t="str">
        <x:f>IF(407&gt;$H$4,"",IF(INDEX('Fleet dates'!$G$9:$G$1008,$I415-8)="","",INDEX('Fleet dates'!$G$9:$G$1008,$I415-8)))</x:f>
      </x:c>
      <x:c r="H415" s="50" t="str">
        <x:f>IF(407&gt;$H$4,"",IF(INDEX('Fleet dates'!$I$9:$I$1008,$I415-8)="","",INDEX('Fleet dates'!$I$9:$I$1008,$I415-8)))</x:f>
      </x:c>
      <x:c r="I415" t="str">
        <x:f>IF(407&gt;$H$4,"",MATCH(407,'Fleet dates'!$K$9:$K$1008,0)+8)</x:f>
      </x:c>
    </x:row>
    <x:row r="416" ht="36" customHeight="1">
      <x:c r="A416" s="50" t="str">
        <x:f>IF(408&gt;$H$4,"",IF(INDEX('Fleet dates'!$A$9:$A$1008,$I416-8)="","",INDEX('Fleet dates'!$A$9:$A$1008,$I416-8)))</x:f>
      </x:c>
      <x:c r="B416" s="50" t="str">
        <x:f>IF(408&gt;$H$4,"",IF(INDEX('Fleet dates'!$B$9:$B$1008,$I416-8)="","",INDEX('Fleet dates'!$B$9:$B$1008,$I416-8)))</x:f>
      </x:c>
      <x:c r="C416" s="51" t="str">
        <x:f>IF(408&gt;$H$4,"",IF(INDEX('Fleet dates'!$C$9:$C$1008,$I416-8)="","",INDEX('Fleet dates'!$C$9:$C$1008,$I416-8)))</x:f>
      </x:c>
      <x:c r="D416" s="51" t="str">
        <x:f>IF(408&gt;$H$4,"",IF(INDEX('Fleet dates'!$D$9:$D$1008,$I416-8)="","",INDEX('Fleet dates'!$D$9:$D$1008,$I416-8)))</x:f>
      </x:c>
      <x:c r="E416" s="51" t="str">
        <x:f>IF(408&gt;$H$4,"",IF(INDEX('Fleet dates'!$E$9:$E$1008,$I416-8)="","",INDEX('Fleet dates'!$E$9:$E$1008,$I416-8)))</x:f>
      </x:c>
      <x:c r="F416" s="51" t="str">
        <x:f>IF(408&gt;$H$4,"",IF(INDEX('Fleet dates'!$F$9:$F$1008,$I416-8)="","",INDEX('Fleet dates'!$F$9:$F$1008,$I416-8)))</x:f>
      </x:c>
      <x:c r="G416" s="50" t="str">
        <x:f>IF(408&gt;$H$4,"",IF(INDEX('Fleet dates'!$G$9:$G$1008,$I416-8)="","",INDEX('Fleet dates'!$G$9:$G$1008,$I416-8)))</x:f>
      </x:c>
      <x:c r="H416" s="50" t="str">
        <x:f>IF(408&gt;$H$4,"",IF(INDEX('Fleet dates'!$I$9:$I$1008,$I416-8)="","",INDEX('Fleet dates'!$I$9:$I$1008,$I416-8)))</x:f>
      </x:c>
      <x:c r="I416" t="str">
        <x:f>IF(408&gt;$H$4,"",MATCH(408,'Fleet dates'!$K$9:$K$1008,0)+8)</x:f>
      </x:c>
    </x:row>
    <x:row r="417" ht="36" customHeight="1">
      <x:c r="A417" s="50" t="str">
        <x:f>IF(409&gt;$H$4,"",IF(INDEX('Fleet dates'!$A$9:$A$1008,$I417-8)="","",INDEX('Fleet dates'!$A$9:$A$1008,$I417-8)))</x:f>
      </x:c>
      <x:c r="B417" s="50" t="str">
        <x:f>IF(409&gt;$H$4,"",IF(INDEX('Fleet dates'!$B$9:$B$1008,$I417-8)="","",INDEX('Fleet dates'!$B$9:$B$1008,$I417-8)))</x:f>
      </x:c>
      <x:c r="C417" s="51" t="str">
        <x:f>IF(409&gt;$H$4,"",IF(INDEX('Fleet dates'!$C$9:$C$1008,$I417-8)="","",INDEX('Fleet dates'!$C$9:$C$1008,$I417-8)))</x:f>
      </x:c>
      <x:c r="D417" s="51" t="str">
        <x:f>IF(409&gt;$H$4,"",IF(INDEX('Fleet dates'!$D$9:$D$1008,$I417-8)="","",INDEX('Fleet dates'!$D$9:$D$1008,$I417-8)))</x:f>
      </x:c>
      <x:c r="E417" s="51" t="str">
        <x:f>IF(409&gt;$H$4,"",IF(INDEX('Fleet dates'!$E$9:$E$1008,$I417-8)="","",INDEX('Fleet dates'!$E$9:$E$1008,$I417-8)))</x:f>
      </x:c>
      <x:c r="F417" s="51" t="str">
        <x:f>IF(409&gt;$H$4,"",IF(INDEX('Fleet dates'!$F$9:$F$1008,$I417-8)="","",INDEX('Fleet dates'!$F$9:$F$1008,$I417-8)))</x:f>
      </x:c>
      <x:c r="G417" s="50" t="str">
        <x:f>IF(409&gt;$H$4,"",IF(INDEX('Fleet dates'!$G$9:$G$1008,$I417-8)="","",INDEX('Fleet dates'!$G$9:$G$1008,$I417-8)))</x:f>
      </x:c>
      <x:c r="H417" s="50" t="str">
        <x:f>IF(409&gt;$H$4,"",IF(INDEX('Fleet dates'!$I$9:$I$1008,$I417-8)="","",INDEX('Fleet dates'!$I$9:$I$1008,$I417-8)))</x:f>
      </x:c>
      <x:c r="I417" t="str">
        <x:f>IF(409&gt;$H$4,"",MATCH(409,'Fleet dates'!$K$9:$K$1008,0)+8)</x:f>
      </x:c>
    </x:row>
    <x:row r="418" ht="36" customHeight="1">
      <x:c r="A418" s="50" t="str">
        <x:f>IF(410&gt;$H$4,"",IF(INDEX('Fleet dates'!$A$9:$A$1008,$I418-8)="","",INDEX('Fleet dates'!$A$9:$A$1008,$I418-8)))</x:f>
      </x:c>
      <x:c r="B418" s="50" t="str">
        <x:f>IF(410&gt;$H$4,"",IF(INDEX('Fleet dates'!$B$9:$B$1008,$I418-8)="","",INDEX('Fleet dates'!$B$9:$B$1008,$I418-8)))</x:f>
      </x:c>
      <x:c r="C418" s="51" t="str">
        <x:f>IF(410&gt;$H$4,"",IF(INDEX('Fleet dates'!$C$9:$C$1008,$I418-8)="","",INDEX('Fleet dates'!$C$9:$C$1008,$I418-8)))</x:f>
      </x:c>
      <x:c r="D418" s="51" t="str">
        <x:f>IF(410&gt;$H$4,"",IF(INDEX('Fleet dates'!$D$9:$D$1008,$I418-8)="","",INDEX('Fleet dates'!$D$9:$D$1008,$I418-8)))</x:f>
      </x:c>
      <x:c r="E418" s="51" t="str">
        <x:f>IF(410&gt;$H$4,"",IF(INDEX('Fleet dates'!$E$9:$E$1008,$I418-8)="","",INDEX('Fleet dates'!$E$9:$E$1008,$I418-8)))</x:f>
      </x:c>
      <x:c r="F418" s="51" t="str">
        <x:f>IF(410&gt;$H$4,"",IF(INDEX('Fleet dates'!$F$9:$F$1008,$I418-8)="","",INDEX('Fleet dates'!$F$9:$F$1008,$I418-8)))</x:f>
      </x:c>
      <x:c r="G418" s="50" t="str">
        <x:f>IF(410&gt;$H$4,"",IF(INDEX('Fleet dates'!$G$9:$G$1008,$I418-8)="","",INDEX('Fleet dates'!$G$9:$G$1008,$I418-8)))</x:f>
      </x:c>
      <x:c r="H418" s="50" t="str">
        <x:f>IF(410&gt;$H$4,"",IF(INDEX('Fleet dates'!$I$9:$I$1008,$I418-8)="","",INDEX('Fleet dates'!$I$9:$I$1008,$I418-8)))</x:f>
      </x:c>
      <x:c r="I418" t="str">
        <x:f>IF(410&gt;$H$4,"",MATCH(410,'Fleet dates'!$K$9:$K$1008,0)+8)</x:f>
      </x:c>
    </x:row>
    <x:row r="419" ht="36" customHeight="1">
      <x:c r="A419" s="50" t="str">
        <x:f>IF(411&gt;$H$4,"",IF(INDEX('Fleet dates'!$A$9:$A$1008,$I419-8)="","",INDEX('Fleet dates'!$A$9:$A$1008,$I419-8)))</x:f>
      </x:c>
      <x:c r="B419" s="50" t="str">
        <x:f>IF(411&gt;$H$4,"",IF(INDEX('Fleet dates'!$B$9:$B$1008,$I419-8)="","",INDEX('Fleet dates'!$B$9:$B$1008,$I419-8)))</x:f>
      </x:c>
      <x:c r="C419" s="51" t="str">
        <x:f>IF(411&gt;$H$4,"",IF(INDEX('Fleet dates'!$C$9:$C$1008,$I419-8)="","",INDEX('Fleet dates'!$C$9:$C$1008,$I419-8)))</x:f>
      </x:c>
      <x:c r="D419" s="51" t="str">
        <x:f>IF(411&gt;$H$4,"",IF(INDEX('Fleet dates'!$D$9:$D$1008,$I419-8)="","",INDEX('Fleet dates'!$D$9:$D$1008,$I419-8)))</x:f>
      </x:c>
      <x:c r="E419" s="51" t="str">
        <x:f>IF(411&gt;$H$4,"",IF(INDEX('Fleet dates'!$E$9:$E$1008,$I419-8)="","",INDEX('Fleet dates'!$E$9:$E$1008,$I419-8)))</x:f>
      </x:c>
      <x:c r="F419" s="51" t="str">
        <x:f>IF(411&gt;$H$4,"",IF(INDEX('Fleet dates'!$F$9:$F$1008,$I419-8)="","",INDEX('Fleet dates'!$F$9:$F$1008,$I419-8)))</x:f>
      </x:c>
      <x:c r="G419" s="50" t="str">
        <x:f>IF(411&gt;$H$4,"",IF(INDEX('Fleet dates'!$G$9:$G$1008,$I419-8)="","",INDEX('Fleet dates'!$G$9:$G$1008,$I419-8)))</x:f>
      </x:c>
      <x:c r="H419" s="50" t="str">
        <x:f>IF(411&gt;$H$4,"",IF(INDEX('Fleet dates'!$I$9:$I$1008,$I419-8)="","",INDEX('Fleet dates'!$I$9:$I$1008,$I419-8)))</x:f>
      </x:c>
      <x:c r="I419" t="str">
        <x:f>IF(411&gt;$H$4,"",MATCH(411,'Fleet dates'!$K$9:$K$1008,0)+8)</x:f>
      </x:c>
    </x:row>
    <x:row r="420" ht="36" customHeight="1">
      <x:c r="A420" s="50" t="str">
        <x:f>IF(412&gt;$H$4,"",IF(INDEX('Fleet dates'!$A$9:$A$1008,$I420-8)="","",INDEX('Fleet dates'!$A$9:$A$1008,$I420-8)))</x:f>
      </x:c>
      <x:c r="B420" s="50" t="str">
        <x:f>IF(412&gt;$H$4,"",IF(INDEX('Fleet dates'!$B$9:$B$1008,$I420-8)="","",INDEX('Fleet dates'!$B$9:$B$1008,$I420-8)))</x:f>
      </x:c>
      <x:c r="C420" s="51" t="str">
        <x:f>IF(412&gt;$H$4,"",IF(INDEX('Fleet dates'!$C$9:$C$1008,$I420-8)="","",INDEX('Fleet dates'!$C$9:$C$1008,$I420-8)))</x:f>
      </x:c>
      <x:c r="D420" s="51" t="str">
        <x:f>IF(412&gt;$H$4,"",IF(INDEX('Fleet dates'!$D$9:$D$1008,$I420-8)="","",INDEX('Fleet dates'!$D$9:$D$1008,$I420-8)))</x:f>
      </x:c>
      <x:c r="E420" s="51" t="str">
        <x:f>IF(412&gt;$H$4,"",IF(INDEX('Fleet dates'!$E$9:$E$1008,$I420-8)="","",INDEX('Fleet dates'!$E$9:$E$1008,$I420-8)))</x:f>
      </x:c>
      <x:c r="F420" s="51" t="str">
        <x:f>IF(412&gt;$H$4,"",IF(INDEX('Fleet dates'!$F$9:$F$1008,$I420-8)="","",INDEX('Fleet dates'!$F$9:$F$1008,$I420-8)))</x:f>
      </x:c>
      <x:c r="G420" s="50" t="str">
        <x:f>IF(412&gt;$H$4,"",IF(INDEX('Fleet dates'!$G$9:$G$1008,$I420-8)="","",INDEX('Fleet dates'!$G$9:$G$1008,$I420-8)))</x:f>
      </x:c>
      <x:c r="H420" s="50" t="str">
        <x:f>IF(412&gt;$H$4,"",IF(INDEX('Fleet dates'!$I$9:$I$1008,$I420-8)="","",INDEX('Fleet dates'!$I$9:$I$1008,$I420-8)))</x:f>
      </x:c>
      <x:c r="I420" t="str">
        <x:f>IF(412&gt;$H$4,"",MATCH(412,'Fleet dates'!$K$9:$K$1008,0)+8)</x:f>
      </x:c>
    </x:row>
    <x:row r="421" ht="36" customHeight="1">
      <x:c r="A421" s="50" t="str">
        <x:f>IF(413&gt;$H$4,"",IF(INDEX('Fleet dates'!$A$9:$A$1008,$I421-8)="","",INDEX('Fleet dates'!$A$9:$A$1008,$I421-8)))</x:f>
      </x:c>
      <x:c r="B421" s="50" t="str">
        <x:f>IF(413&gt;$H$4,"",IF(INDEX('Fleet dates'!$B$9:$B$1008,$I421-8)="","",INDEX('Fleet dates'!$B$9:$B$1008,$I421-8)))</x:f>
      </x:c>
      <x:c r="C421" s="51" t="str">
        <x:f>IF(413&gt;$H$4,"",IF(INDEX('Fleet dates'!$C$9:$C$1008,$I421-8)="","",INDEX('Fleet dates'!$C$9:$C$1008,$I421-8)))</x:f>
      </x:c>
      <x:c r="D421" s="51" t="str">
        <x:f>IF(413&gt;$H$4,"",IF(INDEX('Fleet dates'!$D$9:$D$1008,$I421-8)="","",INDEX('Fleet dates'!$D$9:$D$1008,$I421-8)))</x:f>
      </x:c>
      <x:c r="E421" s="51" t="str">
        <x:f>IF(413&gt;$H$4,"",IF(INDEX('Fleet dates'!$E$9:$E$1008,$I421-8)="","",INDEX('Fleet dates'!$E$9:$E$1008,$I421-8)))</x:f>
      </x:c>
      <x:c r="F421" s="51" t="str">
        <x:f>IF(413&gt;$H$4,"",IF(INDEX('Fleet dates'!$F$9:$F$1008,$I421-8)="","",INDEX('Fleet dates'!$F$9:$F$1008,$I421-8)))</x:f>
      </x:c>
      <x:c r="G421" s="50" t="str">
        <x:f>IF(413&gt;$H$4,"",IF(INDEX('Fleet dates'!$G$9:$G$1008,$I421-8)="","",INDEX('Fleet dates'!$G$9:$G$1008,$I421-8)))</x:f>
      </x:c>
      <x:c r="H421" s="50" t="str">
        <x:f>IF(413&gt;$H$4,"",IF(INDEX('Fleet dates'!$I$9:$I$1008,$I421-8)="","",INDEX('Fleet dates'!$I$9:$I$1008,$I421-8)))</x:f>
      </x:c>
      <x:c r="I421" t="str">
        <x:f>IF(413&gt;$H$4,"",MATCH(413,'Fleet dates'!$K$9:$K$1008,0)+8)</x:f>
      </x:c>
    </x:row>
    <x:row r="422" ht="36" customHeight="1">
      <x:c r="A422" s="50" t="str">
        <x:f>IF(414&gt;$H$4,"",IF(INDEX('Fleet dates'!$A$9:$A$1008,$I422-8)="","",INDEX('Fleet dates'!$A$9:$A$1008,$I422-8)))</x:f>
      </x:c>
      <x:c r="B422" s="50" t="str">
        <x:f>IF(414&gt;$H$4,"",IF(INDEX('Fleet dates'!$B$9:$B$1008,$I422-8)="","",INDEX('Fleet dates'!$B$9:$B$1008,$I422-8)))</x:f>
      </x:c>
      <x:c r="C422" s="51" t="str">
        <x:f>IF(414&gt;$H$4,"",IF(INDEX('Fleet dates'!$C$9:$C$1008,$I422-8)="","",INDEX('Fleet dates'!$C$9:$C$1008,$I422-8)))</x:f>
      </x:c>
      <x:c r="D422" s="51" t="str">
        <x:f>IF(414&gt;$H$4,"",IF(INDEX('Fleet dates'!$D$9:$D$1008,$I422-8)="","",INDEX('Fleet dates'!$D$9:$D$1008,$I422-8)))</x:f>
      </x:c>
      <x:c r="E422" s="51" t="str">
        <x:f>IF(414&gt;$H$4,"",IF(INDEX('Fleet dates'!$E$9:$E$1008,$I422-8)="","",INDEX('Fleet dates'!$E$9:$E$1008,$I422-8)))</x:f>
      </x:c>
      <x:c r="F422" s="51" t="str">
        <x:f>IF(414&gt;$H$4,"",IF(INDEX('Fleet dates'!$F$9:$F$1008,$I422-8)="","",INDEX('Fleet dates'!$F$9:$F$1008,$I422-8)))</x:f>
      </x:c>
      <x:c r="G422" s="50" t="str">
        <x:f>IF(414&gt;$H$4,"",IF(INDEX('Fleet dates'!$G$9:$G$1008,$I422-8)="","",INDEX('Fleet dates'!$G$9:$G$1008,$I422-8)))</x:f>
      </x:c>
      <x:c r="H422" s="50" t="str">
        <x:f>IF(414&gt;$H$4,"",IF(INDEX('Fleet dates'!$I$9:$I$1008,$I422-8)="","",INDEX('Fleet dates'!$I$9:$I$1008,$I422-8)))</x:f>
      </x:c>
      <x:c r="I422" t="str">
        <x:f>IF(414&gt;$H$4,"",MATCH(414,'Fleet dates'!$K$9:$K$1008,0)+8)</x:f>
      </x:c>
    </x:row>
    <x:row r="423" ht="36" customHeight="1">
      <x:c r="A423" s="50" t="str">
        <x:f>IF(415&gt;$H$4,"",IF(INDEX('Fleet dates'!$A$9:$A$1008,$I423-8)="","",INDEX('Fleet dates'!$A$9:$A$1008,$I423-8)))</x:f>
      </x:c>
      <x:c r="B423" s="50" t="str">
        <x:f>IF(415&gt;$H$4,"",IF(INDEX('Fleet dates'!$B$9:$B$1008,$I423-8)="","",INDEX('Fleet dates'!$B$9:$B$1008,$I423-8)))</x:f>
      </x:c>
      <x:c r="C423" s="51" t="str">
        <x:f>IF(415&gt;$H$4,"",IF(INDEX('Fleet dates'!$C$9:$C$1008,$I423-8)="","",INDEX('Fleet dates'!$C$9:$C$1008,$I423-8)))</x:f>
      </x:c>
      <x:c r="D423" s="51" t="str">
        <x:f>IF(415&gt;$H$4,"",IF(INDEX('Fleet dates'!$D$9:$D$1008,$I423-8)="","",INDEX('Fleet dates'!$D$9:$D$1008,$I423-8)))</x:f>
      </x:c>
      <x:c r="E423" s="51" t="str">
        <x:f>IF(415&gt;$H$4,"",IF(INDEX('Fleet dates'!$E$9:$E$1008,$I423-8)="","",INDEX('Fleet dates'!$E$9:$E$1008,$I423-8)))</x:f>
      </x:c>
      <x:c r="F423" s="51" t="str">
        <x:f>IF(415&gt;$H$4,"",IF(INDEX('Fleet dates'!$F$9:$F$1008,$I423-8)="","",INDEX('Fleet dates'!$F$9:$F$1008,$I423-8)))</x:f>
      </x:c>
      <x:c r="G423" s="50" t="str">
        <x:f>IF(415&gt;$H$4,"",IF(INDEX('Fleet dates'!$G$9:$G$1008,$I423-8)="","",INDEX('Fleet dates'!$G$9:$G$1008,$I423-8)))</x:f>
      </x:c>
      <x:c r="H423" s="50" t="str">
        <x:f>IF(415&gt;$H$4,"",IF(INDEX('Fleet dates'!$I$9:$I$1008,$I423-8)="","",INDEX('Fleet dates'!$I$9:$I$1008,$I423-8)))</x:f>
      </x:c>
      <x:c r="I423" t="str">
        <x:f>IF(415&gt;$H$4,"",MATCH(415,'Fleet dates'!$K$9:$K$1008,0)+8)</x:f>
      </x:c>
    </x:row>
    <x:row r="424" ht="36" customHeight="1">
      <x:c r="A424" s="50" t="str">
        <x:f>IF(416&gt;$H$4,"",IF(INDEX('Fleet dates'!$A$9:$A$1008,$I424-8)="","",INDEX('Fleet dates'!$A$9:$A$1008,$I424-8)))</x:f>
      </x:c>
      <x:c r="B424" s="50" t="str">
        <x:f>IF(416&gt;$H$4,"",IF(INDEX('Fleet dates'!$B$9:$B$1008,$I424-8)="","",INDEX('Fleet dates'!$B$9:$B$1008,$I424-8)))</x:f>
      </x:c>
      <x:c r="C424" s="51" t="str">
        <x:f>IF(416&gt;$H$4,"",IF(INDEX('Fleet dates'!$C$9:$C$1008,$I424-8)="","",INDEX('Fleet dates'!$C$9:$C$1008,$I424-8)))</x:f>
      </x:c>
      <x:c r="D424" s="51" t="str">
        <x:f>IF(416&gt;$H$4,"",IF(INDEX('Fleet dates'!$D$9:$D$1008,$I424-8)="","",INDEX('Fleet dates'!$D$9:$D$1008,$I424-8)))</x:f>
      </x:c>
      <x:c r="E424" s="51" t="str">
        <x:f>IF(416&gt;$H$4,"",IF(INDEX('Fleet dates'!$E$9:$E$1008,$I424-8)="","",INDEX('Fleet dates'!$E$9:$E$1008,$I424-8)))</x:f>
      </x:c>
      <x:c r="F424" s="51" t="str">
        <x:f>IF(416&gt;$H$4,"",IF(INDEX('Fleet dates'!$F$9:$F$1008,$I424-8)="","",INDEX('Fleet dates'!$F$9:$F$1008,$I424-8)))</x:f>
      </x:c>
      <x:c r="G424" s="50" t="str">
        <x:f>IF(416&gt;$H$4,"",IF(INDEX('Fleet dates'!$G$9:$G$1008,$I424-8)="","",INDEX('Fleet dates'!$G$9:$G$1008,$I424-8)))</x:f>
      </x:c>
      <x:c r="H424" s="50" t="str">
        <x:f>IF(416&gt;$H$4,"",IF(INDEX('Fleet dates'!$I$9:$I$1008,$I424-8)="","",INDEX('Fleet dates'!$I$9:$I$1008,$I424-8)))</x:f>
      </x:c>
      <x:c r="I424" t="str">
        <x:f>IF(416&gt;$H$4,"",MATCH(416,'Fleet dates'!$K$9:$K$1008,0)+8)</x:f>
      </x:c>
    </x:row>
    <x:row r="425" ht="36" customHeight="1">
      <x:c r="A425" s="50" t="str">
        <x:f>IF(417&gt;$H$4,"",IF(INDEX('Fleet dates'!$A$9:$A$1008,$I425-8)="","",INDEX('Fleet dates'!$A$9:$A$1008,$I425-8)))</x:f>
      </x:c>
      <x:c r="B425" s="50" t="str">
        <x:f>IF(417&gt;$H$4,"",IF(INDEX('Fleet dates'!$B$9:$B$1008,$I425-8)="","",INDEX('Fleet dates'!$B$9:$B$1008,$I425-8)))</x:f>
      </x:c>
      <x:c r="C425" s="51" t="str">
        <x:f>IF(417&gt;$H$4,"",IF(INDEX('Fleet dates'!$C$9:$C$1008,$I425-8)="","",INDEX('Fleet dates'!$C$9:$C$1008,$I425-8)))</x:f>
      </x:c>
      <x:c r="D425" s="51" t="str">
        <x:f>IF(417&gt;$H$4,"",IF(INDEX('Fleet dates'!$D$9:$D$1008,$I425-8)="","",INDEX('Fleet dates'!$D$9:$D$1008,$I425-8)))</x:f>
      </x:c>
      <x:c r="E425" s="51" t="str">
        <x:f>IF(417&gt;$H$4,"",IF(INDEX('Fleet dates'!$E$9:$E$1008,$I425-8)="","",INDEX('Fleet dates'!$E$9:$E$1008,$I425-8)))</x:f>
      </x:c>
      <x:c r="F425" s="51" t="str">
        <x:f>IF(417&gt;$H$4,"",IF(INDEX('Fleet dates'!$F$9:$F$1008,$I425-8)="","",INDEX('Fleet dates'!$F$9:$F$1008,$I425-8)))</x:f>
      </x:c>
      <x:c r="G425" s="50" t="str">
        <x:f>IF(417&gt;$H$4,"",IF(INDEX('Fleet dates'!$G$9:$G$1008,$I425-8)="","",INDEX('Fleet dates'!$G$9:$G$1008,$I425-8)))</x:f>
      </x:c>
      <x:c r="H425" s="50" t="str">
        <x:f>IF(417&gt;$H$4,"",IF(INDEX('Fleet dates'!$I$9:$I$1008,$I425-8)="","",INDEX('Fleet dates'!$I$9:$I$1008,$I425-8)))</x:f>
      </x:c>
      <x:c r="I425" t="str">
        <x:f>IF(417&gt;$H$4,"",MATCH(417,'Fleet dates'!$K$9:$K$1008,0)+8)</x:f>
      </x:c>
    </x:row>
    <x:row r="426" ht="36" customHeight="1">
      <x:c r="A426" s="50" t="str">
        <x:f>IF(418&gt;$H$4,"",IF(INDEX('Fleet dates'!$A$9:$A$1008,$I426-8)="","",INDEX('Fleet dates'!$A$9:$A$1008,$I426-8)))</x:f>
      </x:c>
      <x:c r="B426" s="50" t="str">
        <x:f>IF(418&gt;$H$4,"",IF(INDEX('Fleet dates'!$B$9:$B$1008,$I426-8)="","",INDEX('Fleet dates'!$B$9:$B$1008,$I426-8)))</x:f>
      </x:c>
      <x:c r="C426" s="51" t="str">
        <x:f>IF(418&gt;$H$4,"",IF(INDEX('Fleet dates'!$C$9:$C$1008,$I426-8)="","",INDEX('Fleet dates'!$C$9:$C$1008,$I426-8)))</x:f>
      </x:c>
      <x:c r="D426" s="51" t="str">
        <x:f>IF(418&gt;$H$4,"",IF(INDEX('Fleet dates'!$D$9:$D$1008,$I426-8)="","",INDEX('Fleet dates'!$D$9:$D$1008,$I426-8)))</x:f>
      </x:c>
      <x:c r="E426" s="51" t="str">
        <x:f>IF(418&gt;$H$4,"",IF(INDEX('Fleet dates'!$E$9:$E$1008,$I426-8)="","",INDEX('Fleet dates'!$E$9:$E$1008,$I426-8)))</x:f>
      </x:c>
      <x:c r="F426" s="51" t="str">
        <x:f>IF(418&gt;$H$4,"",IF(INDEX('Fleet dates'!$F$9:$F$1008,$I426-8)="","",INDEX('Fleet dates'!$F$9:$F$1008,$I426-8)))</x:f>
      </x:c>
      <x:c r="G426" s="50" t="str">
        <x:f>IF(418&gt;$H$4,"",IF(INDEX('Fleet dates'!$G$9:$G$1008,$I426-8)="","",INDEX('Fleet dates'!$G$9:$G$1008,$I426-8)))</x:f>
      </x:c>
      <x:c r="H426" s="50" t="str">
        <x:f>IF(418&gt;$H$4,"",IF(INDEX('Fleet dates'!$I$9:$I$1008,$I426-8)="","",INDEX('Fleet dates'!$I$9:$I$1008,$I426-8)))</x:f>
      </x:c>
      <x:c r="I426" t="str">
        <x:f>IF(418&gt;$H$4,"",MATCH(418,'Fleet dates'!$K$9:$K$1008,0)+8)</x:f>
      </x:c>
    </x:row>
    <x:row r="427" ht="36" customHeight="1">
      <x:c r="A427" s="50" t="str">
        <x:f>IF(419&gt;$H$4,"",IF(INDEX('Fleet dates'!$A$9:$A$1008,$I427-8)="","",INDEX('Fleet dates'!$A$9:$A$1008,$I427-8)))</x:f>
      </x:c>
      <x:c r="B427" s="50" t="str">
        <x:f>IF(419&gt;$H$4,"",IF(INDEX('Fleet dates'!$B$9:$B$1008,$I427-8)="","",INDEX('Fleet dates'!$B$9:$B$1008,$I427-8)))</x:f>
      </x:c>
      <x:c r="C427" s="51" t="str">
        <x:f>IF(419&gt;$H$4,"",IF(INDEX('Fleet dates'!$C$9:$C$1008,$I427-8)="","",INDEX('Fleet dates'!$C$9:$C$1008,$I427-8)))</x:f>
      </x:c>
      <x:c r="D427" s="51" t="str">
        <x:f>IF(419&gt;$H$4,"",IF(INDEX('Fleet dates'!$D$9:$D$1008,$I427-8)="","",INDEX('Fleet dates'!$D$9:$D$1008,$I427-8)))</x:f>
      </x:c>
      <x:c r="E427" s="51" t="str">
        <x:f>IF(419&gt;$H$4,"",IF(INDEX('Fleet dates'!$E$9:$E$1008,$I427-8)="","",INDEX('Fleet dates'!$E$9:$E$1008,$I427-8)))</x:f>
      </x:c>
      <x:c r="F427" s="51" t="str">
        <x:f>IF(419&gt;$H$4,"",IF(INDEX('Fleet dates'!$F$9:$F$1008,$I427-8)="","",INDEX('Fleet dates'!$F$9:$F$1008,$I427-8)))</x:f>
      </x:c>
      <x:c r="G427" s="50" t="str">
        <x:f>IF(419&gt;$H$4,"",IF(INDEX('Fleet dates'!$G$9:$G$1008,$I427-8)="","",INDEX('Fleet dates'!$G$9:$G$1008,$I427-8)))</x:f>
      </x:c>
      <x:c r="H427" s="50" t="str">
        <x:f>IF(419&gt;$H$4,"",IF(INDEX('Fleet dates'!$I$9:$I$1008,$I427-8)="","",INDEX('Fleet dates'!$I$9:$I$1008,$I427-8)))</x:f>
      </x:c>
      <x:c r="I427" t="str">
        <x:f>IF(419&gt;$H$4,"",MATCH(419,'Fleet dates'!$K$9:$K$1008,0)+8)</x:f>
      </x:c>
    </x:row>
    <x:row r="428" ht="36" customHeight="1">
      <x:c r="A428" s="50" t="str">
        <x:f>IF(420&gt;$H$4,"",IF(INDEX('Fleet dates'!$A$9:$A$1008,$I428-8)="","",INDEX('Fleet dates'!$A$9:$A$1008,$I428-8)))</x:f>
      </x:c>
      <x:c r="B428" s="50" t="str">
        <x:f>IF(420&gt;$H$4,"",IF(INDEX('Fleet dates'!$B$9:$B$1008,$I428-8)="","",INDEX('Fleet dates'!$B$9:$B$1008,$I428-8)))</x:f>
      </x:c>
      <x:c r="C428" s="51" t="str">
        <x:f>IF(420&gt;$H$4,"",IF(INDEX('Fleet dates'!$C$9:$C$1008,$I428-8)="","",INDEX('Fleet dates'!$C$9:$C$1008,$I428-8)))</x:f>
      </x:c>
      <x:c r="D428" s="51" t="str">
        <x:f>IF(420&gt;$H$4,"",IF(INDEX('Fleet dates'!$D$9:$D$1008,$I428-8)="","",INDEX('Fleet dates'!$D$9:$D$1008,$I428-8)))</x:f>
      </x:c>
      <x:c r="E428" s="51" t="str">
        <x:f>IF(420&gt;$H$4,"",IF(INDEX('Fleet dates'!$E$9:$E$1008,$I428-8)="","",INDEX('Fleet dates'!$E$9:$E$1008,$I428-8)))</x:f>
      </x:c>
      <x:c r="F428" s="51" t="str">
        <x:f>IF(420&gt;$H$4,"",IF(INDEX('Fleet dates'!$F$9:$F$1008,$I428-8)="","",INDEX('Fleet dates'!$F$9:$F$1008,$I428-8)))</x:f>
      </x:c>
      <x:c r="G428" s="50" t="str">
        <x:f>IF(420&gt;$H$4,"",IF(INDEX('Fleet dates'!$G$9:$G$1008,$I428-8)="","",INDEX('Fleet dates'!$G$9:$G$1008,$I428-8)))</x:f>
      </x:c>
      <x:c r="H428" s="50" t="str">
        <x:f>IF(420&gt;$H$4,"",IF(INDEX('Fleet dates'!$I$9:$I$1008,$I428-8)="","",INDEX('Fleet dates'!$I$9:$I$1008,$I428-8)))</x:f>
      </x:c>
      <x:c r="I428" t="str">
        <x:f>IF(420&gt;$H$4,"",MATCH(420,'Fleet dates'!$K$9:$K$1008,0)+8)</x:f>
      </x:c>
    </x:row>
    <x:row r="429" ht="36" customHeight="1">
      <x:c r="A429" s="50" t="str">
        <x:f>IF(421&gt;$H$4,"",IF(INDEX('Fleet dates'!$A$9:$A$1008,$I429-8)="","",INDEX('Fleet dates'!$A$9:$A$1008,$I429-8)))</x:f>
      </x:c>
      <x:c r="B429" s="50" t="str">
        <x:f>IF(421&gt;$H$4,"",IF(INDEX('Fleet dates'!$B$9:$B$1008,$I429-8)="","",INDEX('Fleet dates'!$B$9:$B$1008,$I429-8)))</x:f>
      </x:c>
      <x:c r="C429" s="51" t="str">
        <x:f>IF(421&gt;$H$4,"",IF(INDEX('Fleet dates'!$C$9:$C$1008,$I429-8)="","",INDEX('Fleet dates'!$C$9:$C$1008,$I429-8)))</x:f>
      </x:c>
      <x:c r="D429" s="51" t="str">
        <x:f>IF(421&gt;$H$4,"",IF(INDEX('Fleet dates'!$D$9:$D$1008,$I429-8)="","",INDEX('Fleet dates'!$D$9:$D$1008,$I429-8)))</x:f>
      </x:c>
      <x:c r="E429" s="51" t="str">
        <x:f>IF(421&gt;$H$4,"",IF(INDEX('Fleet dates'!$E$9:$E$1008,$I429-8)="","",INDEX('Fleet dates'!$E$9:$E$1008,$I429-8)))</x:f>
      </x:c>
      <x:c r="F429" s="51" t="str">
        <x:f>IF(421&gt;$H$4,"",IF(INDEX('Fleet dates'!$F$9:$F$1008,$I429-8)="","",INDEX('Fleet dates'!$F$9:$F$1008,$I429-8)))</x:f>
      </x:c>
      <x:c r="G429" s="50" t="str">
        <x:f>IF(421&gt;$H$4,"",IF(INDEX('Fleet dates'!$G$9:$G$1008,$I429-8)="","",INDEX('Fleet dates'!$G$9:$G$1008,$I429-8)))</x:f>
      </x:c>
      <x:c r="H429" s="50" t="str">
        <x:f>IF(421&gt;$H$4,"",IF(INDEX('Fleet dates'!$I$9:$I$1008,$I429-8)="","",INDEX('Fleet dates'!$I$9:$I$1008,$I429-8)))</x:f>
      </x:c>
      <x:c r="I429" t="str">
        <x:f>IF(421&gt;$H$4,"",MATCH(421,'Fleet dates'!$K$9:$K$1008,0)+8)</x:f>
      </x:c>
    </x:row>
    <x:row r="430" ht="36" customHeight="1">
      <x:c r="A430" s="50" t="str">
        <x:f>IF(422&gt;$H$4,"",IF(INDEX('Fleet dates'!$A$9:$A$1008,$I430-8)="","",INDEX('Fleet dates'!$A$9:$A$1008,$I430-8)))</x:f>
      </x:c>
      <x:c r="B430" s="50" t="str">
        <x:f>IF(422&gt;$H$4,"",IF(INDEX('Fleet dates'!$B$9:$B$1008,$I430-8)="","",INDEX('Fleet dates'!$B$9:$B$1008,$I430-8)))</x:f>
      </x:c>
      <x:c r="C430" s="51" t="str">
        <x:f>IF(422&gt;$H$4,"",IF(INDEX('Fleet dates'!$C$9:$C$1008,$I430-8)="","",INDEX('Fleet dates'!$C$9:$C$1008,$I430-8)))</x:f>
      </x:c>
      <x:c r="D430" s="51" t="str">
        <x:f>IF(422&gt;$H$4,"",IF(INDEX('Fleet dates'!$D$9:$D$1008,$I430-8)="","",INDEX('Fleet dates'!$D$9:$D$1008,$I430-8)))</x:f>
      </x:c>
      <x:c r="E430" s="51" t="str">
        <x:f>IF(422&gt;$H$4,"",IF(INDEX('Fleet dates'!$E$9:$E$1008,$I430-8)="","",INDEX('Fleet dates'!$E$9:$E$1008,$I430-8)))</x:f>
      </x:c>
      <x:c r="F430" s="51" t="str">
        <x:f>IF(422&gt;$H$4,"",IF(INDEX('Fleet dates'!$F$9:$F$1008,$I430-8)="","",INDEX('Fleet dates'!$F$9:$F$1008,$I430-8)))</x:f>
      </x:c>
      <x:c r="G430" s="50" t="str">
        <x:f>IF(422&gt;$H$4,"",IF(INDEX('Fleet dates'!$G$9:$G$1008,$I430-8)="","",INDEX('Fleet dates'!$G$9:$G$1008,$I430-8)))</x:f>
      </x:c>
      <x:c r="H430" s="50" t="str">
        <x:f>IF(422&gt;$H$4,"",IF(INDEX('Fleet dates'!$I$9:$I$1008,$I430-8)="","",INDEX('Fleet dates'!$I$9:$I$1008,$I430-8)))</x:f>
      </x:c>
      <x:c r="I430" t="str">
        <x:f>IF(422&gt;$H$4,"",MATCH(422,'Fleet dates'!$K$9:$K$1008,0)+8)</x:f>
      </x:c>
    </x:row>
    <x:row r="431" ht="36" customHeight="1">
      <x:c r="A431" s="50" t="str">
        <x:f>IF(423&gt;$H$4,"",IF(INDEX('Fleet dates'!$A$9:$A$1008,$I431-8)="","",INDEX('Fleet dates'!$A$9:$A$1008,$I431-8)))</x:f>
      </x:c>
      <x:c r="B431" s="50" t="str">
        <x:f>IF(423&gt;$H$4,"",IF(INDEX('Fleet dates'!$B$9:$B$1008,$I431-8)="","",INDEX('Fleet dates'!$B$9:$B$1008,$I431-8)))</x:f>
      </x:c>
      <x:c r="C431" s="51" t="str">
        <x:f>IF(423&gt;$H$4,"",IF(INDEX('Fleet dates'!$C$9:$C$1008,$I431-8)="","",INDEX('Fleet dates'!$C$9:$C$1008,$I431-8)))</x:f>
      </x:c>
      <x:c r="D431" s="51" t="str">
        <x:f>IF(423&gt;$H$4,"",IF(INDEX('Fleet dates'!$D$9:$D$1008,$I431-8)="","",INDEX('Fleet dates'!$D$9:$D$1008,$I431-8)))</x:f>
      </x:c>
      <x:c r="E431" s="51" t="str">
        <x:f>IF(423&gt;$H$4,"",IF(INDEX('Fleet dates'!$E$9:$E$1008,$I431-8)="","",INDEX('Fleet dates'!$E$9:$E$1008,$I431-8)))</x:f>
      </x:c>
      <x:c r="F431" s="51" t="str">
        <x:f>IF(423&gt;$H$4,"",IF(INDEX('Fleet dates'!$F$9:$F$1008,$I431-8)="","",INDEX('Fleet dates'!$F$9:$F$1008,$I431-8)))</x:f>
      </x:c>
      <x:c r="G431" s="50" t="str">
        <x:f>IF(423&gt;$H$4,"",IF(INDEX('Fleet dates'!$G$9:$G$1008,$I431-8)="","",INDEX('Fleet dates'!$G$9:$G$1008,$I431-8)))</x:f>
      </x:c>
      <x:c r="H431" s="50" t="str">
        <x:f>IF(423&gt;$H$4,"",IF(INDEX('Fleet dates'!$I$9:$I$1008,$I431-8)="","",INDEX('Fleet dates'!$I$9:$I$1008,$I431-8)))</x:f>
      </x:c>
      <x:c r="I431" t="str">
        <x:f>IF(423&gt;$H$4,"",MATCH(423,'Fleet dates'!$K$9:$K$1008,0)+8)</x:f>
      </x:c>
    </x:row>
    <x:row r="432" ht="36" customHeight="1">
      <x:c r="A432" s="50" t="str">
        <x:f>IF(424&gt;$H$4,"",IF(INDEX('Fleet dates'!$A$9:$A$1008,$I432-8)="","",INDEX('Fleet dates'!$A$9:$A$1008,$I432-8)))</x:f>
      </x:c>
      <x:c r="B432" s="50" t="str">
        <x:f>IF(424&gt;$H$4,"",IF(INDEX('Fleet dates'!$B$9:$B$1008,$I432-8)="","",INDEX('Fleet dates'!$B$9:$B$1008,$I432-8)))</x:f>
      </x:c>
      <x:c r="C432" s="51" t="str">
        <x:f>IF(424&gt;$H$4,"",IF(INDEX('Fleet dates'!$C$9:$C$1008,$I432-8)="","",INDEX('Fleet dates'!$C$9:$C$1008,$I432-8)))</x:f>
      </x:c>
      <x:c r="D432" s="51" t="str">
        <x:f>IF(424&gt;$H$4,"",IF(INDEX('Fleet dates'!$D$9:$D$1008,$I432-8)="","",INDEX('Fleet dates'!$D$9:$D$1008,$I432-8)))</x:f>
      </x:c>
      <x:c r="E432" s="51" t="str">
        <x:f>IF(424&gt;$H$4,"",IF(INDEX('Fleet dates'!$E$9:$E$1008,$I432-8)="","",INDEX('Fleet dates'!$E$9:$E$1008,$I432-8)))</x:f>
      </x:c>
      <x:c r="F432" s="51" t="str">
        <x:f>IF(424&gt;$H$4,"",IF(INDEX('Fleet dates'!$F$9:$F$1008,$I432-8)="","",INDEX('Fleet dates'!$F$9:$F$1008,$I432-8)))</x:f>
      </x:c>
      <x:c r="G432" s="50" t="str">
        <x:f>IF(424&gt;$H$4,"",IF(INDEX('Fleet dates'!$G$9:$G$1008,$I432-8)="","",INDEX('Fleet dates'!$G$9:$G$1008,$I432-8)))</x:f>
      </x:c>
      <x:c r="H432" s="50" t="str">
        <x:f>IF(424&gt;$H$4,"",IF(INDEX('Fleet dates'!$I$9:$I$1008,$I432-8)="","",INDEX('Fleet dates'!$I$9:$I$1008,$I432-8)))</x:f>
      </x:c>
      <x:c r="I432" t="str">
        <x:f>IF(424&gt;$H$4,"",MATCH(424,'Fleet dates'!$K$9:$K$1008,0)+8)</x:f>
      </x:c>
    </x:row>
    <x:row r="433" ht="36" customHeight="1">
      <x:c r="A433" s="50" t="str">
        <x:f>IF(425&gt;$H$4,"",IF(INDEX('Fleet dates'!$A$9:$A$1008,$I433-8)="","",INDEX('Fleet dates'!$A$9:$A$1008,$I433-8)))</x:f>
      </x:c>
      <x:c r="B433" s="50" t="str">
        <x:f>IF(425&gt;$H$4,"",IF(INDEX('Fleet dates'!$B$9:$B$1008,$I433-8)="","",INDEX('Fleet dates'!$B$9:$B$1008,$I433-8)))</x:f>
      </x:c>
      <x:c r="C433" s="51" t="str">
        <x:f>IF(425&gt;$H$4,"",IF(INDEX('Fleet dates'!$C$9:$C$1008,$I433-8)="","",INDEX('Fleet dates'!$C$9:$C$1008,$I433-8)))</x:f>
      </x:c>
      <x:c r="D433" s="51" t="str">
        <x:f>IF(425&gt;$H$4,"",IF(INDEX('Fleet dates'!$D$9:$D$1008,$I433-8)="","",INDEX('Fleet dates'!$D$9:$D$1008,$I433-8)))</x:f>
      </x:c>
      <x:c r="E433" s="51" t="str">
        <x:f>IF(425&gt;$H$4,"",IF(INDEX('Fleet dates'!$E$9:$E$1008,$I433-8)="","",INDEX('Fleet dates'!$E$9:$E$1008,$I433-8)))</x:f>
      </x:c>
      <x:c r="F433" s="51" t="str">
        <x:f>IF(425&gt;$H$4,"",IF(INDEX('Fleet dates'!$F$9:$F$1008,$I433-8)="","",INDEX('Fleet dates'!$F$9:$F$1008,$I433-8)))</x:f>
      </x:c>
      <x:c r="G433" s="50" t="str">
        <x:f>IF(425&gt;$H$4,"",IF(INDEX('Fleet dates'!$G$9:$G$1008,$I433-8)="","",INDEX('Fleet dates'!$G$9:$G$1008,$I433-8)))</x:f>
      </x:c>
      <x:c r="H433" s="50" t="str">
        <x:f>IF(425&gt;$H$4,"",IF(INDEX('Fleet dates'!$I$9:$I$1008,$I433-8)="","",INDEX('Fleet dates'!$I$9:$I$1008,$I433-8)))</x:f>
      </x:c>
      <x:c r="I433" t="str">
        <x:f>IF(425&gt;$H$4,"",MATCH(425,'Fleet dates'!$K$9:$K$1008,0)+8)</x:f>
      </x:c>
    </x:row>
    <x:row r="434" ht="36" customHeight="1">
      <x:c r="A434" s="50" t="str">
        <x:f>IF(426&gt;$H$4,"",IF(INDEX('Fleet dates'!$A$9:$A$1008,$I434-8)="","",INDEX('Fleet dates'!$A$9:$A$1008,$I434-8)))</x:f>
      </x:c>
      <x:c r="B434" s="50" t="str">
        <x:f>IF(426&gt;$H$4,"",IF(INDEX('Fleet dates'!$B$9:$B$1008,$I434-8)="","",INDEX('Fleet dates'!$B$9:$B$1008,$I434-8)))</x:f>
      </x:c>
      <x:c r="C434" s="51" t="str">
        <x:f>IF(426&gt;$H$4,"",IF(INDEX('Fleet dates'!$C$9:$C$1008,$I434-8)="","",INDEX('Fleet dates'!$C$9:$C$1008,$I434-8)))</x:f>
      </x:c>
      <x:c r="D434" s="51" t="str">
        <x:f>IF(426&gt;$H$4,"",IF(INDEX('Fleet dates'!$D$9:$D$1008,$I434-8)="","",INDEX('Fleet dates'!$D$9:$D$1008,$I434-8)))</x:f>
      </x:c>
      <x:c r="E434" s="51" t="str">
        <x:f>IF(426&gt;$H$4,"",IF(INDEX('Fleet dates'!$E$9:$E$1008,$I434-8)="","",INDEX('Fleet dates'!$E$9:$E$1008,$I434-8)))</x:f>
      </x:c>
      <x:c r="F434" s="51" t="str">
        <x:f>IF(426&gt;$H$4,"",IF(INDEX('Fleet dates'!$F$9:$F$1008,$I434-8)="","",INDEX('Fleet dates'!$F$9:$F$1008,$I434-8)))</x:f>
      </x:c>
      <x:c r="G434" s="50" t="str">
        <x:f>IF(426&gt;$H$4,"",IF(INDEX('Fleet dates'!$G$9:$G$1008,$I434-8)="","",INDEX('Fleet dates'!$G$9:$G$1008,$I434-8)))</x:f>
      </x:c>
      <x:c r="H434" s="50" t="str">
        <x:f>IF(426&gt;$H$4,"",IF(INDEX('Fleet dates'!$I$9:$I$1008,$I434-8)="","",INDEX('Fleet dates'!$I$9:$I$1008,$I434-8)))</x:f>
      </x:c>
      <x:c r="I434" t="str">
        <x:f>IF(426&gt;$H$4,"",MATCH(426,'Fleet dates'!$K$9:$K$1008,0)+8)</x:f>
      </x:c>
    </x:row>
    <x:row r="435" ht="36" customHeight="1">
      <x:c r="A435" s="50" t="str">
        <x:f>IF(427&gt;$H$4,"",IF(INDEX('Fleet dates'!$A$9:$A$1008,$I435-8)="","",INDEX('Fleet dates'!$A$9:$A$1008,$I435-8)))</x:f>
      </x:c>
      <x:c r="B435" s="50" t="str">
        <x:f>IF(427&gt;$H$4,"",IF(INDEX('Fleet dates'!$B$9:$B$1008,$I435-8)="","",INDEX('Fleet dates'!$B$9:$B$1008,$I435-8)))</x:f>
      </x:c>
      <x:c r="C435" s="51" t="str">
        <x:f>IF(427&gt;$H$4,"",IF(INDEX('Fleet dates'!$C$9:$C$1008,$I435-8)="","",INDEX('Fleet dates'!$C$9:$C$1008,$I435-8)))</x:f>
      </x:c>
      <x:c r="D435" s="51" t="str">
        <x:f>IF(427&gt;$H$4,"",IF(INDEX('Fleet dates'!$D$9:$D$1008,$I435-8)="","",INDEX('Fleet dates'!$D$9:$D$1008,$I435-8)))</x:f>
      </x:c>
      <x:c r="E435" s="51" t="str">
        <x:f>IF(427&gt;$H$4,"",IF(INDEX('Fleet dates'!$E$9:$E$1008,$I435-8)="","",INDEX('Fleet dates'!$E$9:$E$1008,$I435-8)))</x:f>
      </x:c>
      <x:c r="F435" s="51" t="str">
        <x:f>IF(427&gt;$H$4,"",IF(INDEX('Fleet dates'!$F$9:$F$1008,$I435-8)="","",INDEX('Fleet dates'!$F$9:$F$1008,$I435-8)))</x:f>
      </x:c>
      <x:c r="G435" s="50" t="str">
        <x:f>IF(427&gt;$H$4,"",IF(INDEX('Fleet dates'!$G$9:$G$1008,$I435-8)="","",INDEX('Fleet dates'!$G$9:$G$1008,$I435-8)))</x:f>
      </x:c>
      <x:c r="H435" s="50" t="str">
        <x:f>IF(427&gt;$H$4,"",IF(INDEX('Fleet dates'!$I$9:$I$1008,$I435-8)="","",INDEX('Fleet dates'!$I$9:$I$1008,$I435-8)))</x:f>
      </x:c>
      <x:c r="I435" t="str">
        <x:f>IF(427&gt;$H$4,"",MATCH(427,'Fleet dates'!$K$9:$K$1008,0)+8)</x:f>
      </x:c>
    </x:row>
    <x:row r="436" ht="36" customHeight="1">
      <x:c r="A436" s="50" t="str">
        <x:f>IF(428&gt;$H$4,"",IF(INDEX('Fleet dates'!$A$9:$A$1008,$I436-8)="","",INDEX('Fleet dates'!$A$9:$A$1008,$I436-8)))</x:f>
      </x:c>
      <x:c r="B436" s="50" t="str">
        <x:f>IF(428&gt;$H$4,"",IF(INDEX('Fleet dates'!$B$9:$B$1008,$I436-8)="","",INDEX('Fleet dates'!$B$9:$B$1008,$I436-8)))</x:f>
      </x:c>
      <x:c r="C436" s="51" t="str">
        <x:f>IF(428&gt;$H$4,"",IF(INDEX('Fleet dates'!$C$9:$C$1008,$I436-8)="","",INDEX('Fleet dates'!$C$9:$C$1008,$I436-8)))</x:f>
      </x:c>
      <x:c r="D436" s="51" t="str">
        <x:f>IF(428&gt;$H$4,"",IF(INDEX('Fleet dates'!$D$9:$D$1008,$I436-8)="","",INDEX('Fleet dates'!$D$9:$D$1008,$I436-8)))</x:f>
      </x:c>
      <x:c r="E436" s="51" t="str">
        <x:f>IF(428&gt;$H$4,"",IF(INDEX('Fleet dates'!$E$9:$E$1008,$I436-8)="","",INDEX('Fleet dates'!$E$9:$E$1008,$I436-8)))</x:f>
      </x:c>
      <x:c r="F436" s="51" t="str">
        <x:f>IF(428&gt;$H$4,"",IF(INDEX('Fleet dates'!$F$9:$F$1008,$I436-8)="","",INDEX('Fleet dates'!$F$9:$F$1008,$I436-8)))</x:f>
      </x:c>
      <x:c r="G436" s="50" t="str">
        <x:f>IF(428&gt;$H$4,"",IF(INDEX('Fleet dates'!$G$9:$G$1008,$I436-8)="","",INDEX('Fleet dates'!$G$9:$G$1008,$I436-8)))</x:f>
      </x:c>
      <x:c r="H436" s="50" t="str">
        <x:f>IF(428&gt;$H$4,"",IF(INDEX('Fleet dates'!$I$9:$I$1008,$I436-8)="","",INDEX('Fleet dates'!$I$9:$I$1008,$I436-8)))</x:f>
      </x:c>
      <x:c r="I436" t="str">
        <x:f>IF(428&gt;$H$4,"",MATCH(428,'Fleet dates'!$K$9:$K$1008,0)+8)</x:f>
      </x:c>
    </x:row>
    <x:row r="437" ht="36" customHeight="1">
      <x:c r="A437" s="50" t="str">
        <x:f>IF(429&gt;$H$4,"",IF(INDEX('Fleet dates'!$A$9:$A$1008,$I437-8)="","",INDEX('Fleet dates'!$A$9:$A$1008,$I437-8)))</x:f>
      </x:c>
      <x:c r="B437" s="50" t="str">
        <x:f>IF(429&gt;$H$4,"",IF(INDEX('Fleet dates'!$B$9:$B$1008,$I437-8)="","",INDEX('Fleet dates'!$B$9:$B$1008,$I437-8)))</x:f>
      </x:c>
      <x:c r="C437" s="51" t="str">
        <x:f>IF(429&gt;$H$4,"",IF(INDEX('Fleet dates'!$C$9:$C$1008,$I437-8)="","",INDEX('Fleet dates'!$C$9:$C$1008,$I437-8)))</x:f>
      </x:c>
      <x:c r="D437" s="51" t="str">
        <x:f>IF(429&gt;$H$4,"",IF(INDEX('Fleet dates'!$D$9:$D$1008,$I437-8)="","",INDEX('Fleet dates'!$D$9:$D$1008,$I437-8)))</x:f>
      </x:c>
      <x:c r="E437" s="51" t="str">
        <x:f>IF(429&gt;$H$4,"",IF(INDEX('Fleet dates'!$E$9:$E$1008,$I437-8)="","",INDEX('Fleet dates'!$E$9:$E$1008,$I437-8)))</x:f>
      </x:c>
      <x:c r="F437" s="51" t="str">
        <x:f>IF(429&gt;$H$4,"",IF(INDEX('Fleet dates'!$F$9:$F$1008,$I437-8)="","",INDEX('Fleet dates'!$F$9:$F$1008,$I437-8)))</x:f>
      </x:c>
      <x:c r="G437" s="50" t="str">
        <x:f>IF(429&gt;$H$4,"",IF(INDEX('Fleet dates'!$G$9:$G$1008,$I437-8)="","",INDEX('Fleet dates'!$G$9:$G$1008,$I437-8)))</x:f>
      </x:c>
      <x:c r="H437" s="50" t="str">
        <x:f>IF(429&gt;$H$4,"",IF(INDEX('Fleet dates'!$I$9:$I$1008,$I437-8)="","",INDEX('Fleet dates'!$I$9:$I$1008,$I437-8)))</x:f>
      </x:c>
      <x:c r="I437" t="str">
        <x:f>IF(429&gt;$H$4,"",MATCH(429,'Fleet dates'!$K$9:$K$1008,0)+8)</x:f>
      </x:c>
    </x:row>
    <x:row r="438" ht="36" customHeight="1">
      <x:c r="A438" s="50" t="str">
        <x:f>IF(430&gt;$H$4,"",IF(INDEX('Fleet dates'!$A$9:$A$1008,$I438-8)="","",INDEX('Fleet dates'!$A$9:$A$1008,$I438-8)))</x:f>
      </x:c>
      <x:c r="B438" s="50" t="str">
        <x:f>IF(430&gt;$H$4,"",IF(INDEX('Fleet dates'!$B$9:$B$1008,$I438-8)="","",INDEX('Fleet dates'!$B$9:$B$1008,$I438-8)))</x:f>
      </x:c>
      <x:c r="C438" s="51" t="str">
        <x:f>IF(430&gt;$H$4,"",IF(INDEX('Fleet dates'!$C$9:$C$1008,$I438-8)="","",INDEX('Fleet dates'!$C$9:$C$1008,$I438-8)))</x:f>
      </x:c>
      <x:c r="D438" s="51" t="str">
        <x:f>IF(430&gt;$H$4,"",IF(INDEX('Fleet dates'!$D$9:$D$1008,$I438-8)="","",INDEX('Fleet dates'!$D$9:$D$1008,$I438-8)))</x:f>
      </x:c>
      <x:c r="E438" s="51" t="str">
        <x:f>IF(430&gt;$H$4,"",IF(INDEX('Fleet dates'!$E$9:$E$1008,$I438-8)="","",INDEX('Fleet dates'!$E$9:$E$1008,$I438-8)))</x:f>
      </x:c>
      <x:c r="F438" s="51" t="str">
        <x:f>IF(430&gt;$H$4,"",IF(INDEX('Fleet dates'!$F$9:$F$1008,$I438-8)="","",INDEX('Fleet dates'!$F$9:$F$1008,$I438-8)))</x:f>
      </x:c>
      <x:c r="G438" s="50" t="str">
        <x:f>IF(430&gt;$H$4,"",IF(INDEX('Fleet dates'!$G$9:$G$1008,$I438-8)="","",INDEX('Fleet dates'!$G$9:$G$1008,$I438-8)))</x:f>
      </x:c>
      <x:c r="H438" s="50" t="str">
        <x:f>IF(430&gt;$H$4,"",IF(INDEX('Fleet dates'!$I$9:$I$1008,$I438-8)="","",INDEX('Fleet dates'!$I$9:$I$1008,$I438-8)))</x:f>
      </x:c>
      <x:c r="I438" t="str">
        <x:f>IF(430&gt;$H$4,"",MATCH(430,'Fleet dates'!$K$9:$K$1008,0)+8)</x:f>
      </x:c>
    </x:row>
    <x:row r="439" ht="36" customHeight="1">
      <x:c r="A439" s="50" t="str">
        <x:f>IF(431&gt;$H$4,"",IF(INDEX('Fleet dates'!$A$9:$A$1008,$I439-8)="","",INDEX('Fleet dates'!$A$9:$A$1008,$I439-8)))</x:f>
      </x:c>
      <x:c r="B439" s="50" t="str">
        <x:f>IF(431&gt;$H$4,"",IF(INDEX('Fleet dates'!$B$9:$B$1008,$I439-8)="","",INDEX('Fleet dates'!$B$9:$B$1008,$I439-8)))</x:f>
      </x:c>
      <x:c r="C439" s="51" t="str">
        <x:f>IF(431&gt;$H$4,"",IF(INDEX('Fleet dates'!$C$9:$C$1008,$I439-8)="","",INDEX('Fleet dates'!$C$9:$C$1008,$I439-8)))</x:f>
      </x:c>
      <x:c r="D439" s="51" t="str">
        <x:f>IF(431&gt;$H$4,"",IF(INDEX('Fleet dates'!$D$9:$D$1008,$I439-8)="","",INDEX('Fleet dates'!$D$9:$D$1008,$I439-8)))</x:f>
      </x:c>
      <x:c r="E439" s="51" t="str">
        <x:f>IF(431&gt;$H$4,"",IF(INDEX('Fleet dates'!$E$9:$E$1008,$I439-8)="","",INDEX('Fleet dates'!$E$9:$E$1008,$I439-8)))</x:f>
      </x:c>
      <x:c r="F439" s="51" t="str">
        <x:f>IF(431&gt;$H$4,"",IF(INDEX('Fleet dates'!$F$9:$F$1008,$I439-8)="","",INDEX('Fleet dates'!$F$9:$F$1008,$I439-8)))</x:f>
      </x:c>
      <x:c r="G439" s="50" t="str">
        <x:f>IF(431&gt;$H$4,"",IF(INDEX('Fleet dates'!$G$9:$G$1008,$I439-8)="","",INDEX('Fleet dates'!$G$9:$G$1008,$I439-8)))</x:f>
      </x:c>
      <x:c r="H439" s="50" t="str">
        <x:f>IF(431&gt;$H$4,"",IF(INDEX('Fleet dates'!$I$9:$I$1008,$I439-8)="","",INDEX('Fleet dates'!$I$9:$I$1008,$I439-8)))</x:f>
      </x:c>
      <x:c r="I439" t="str">
        <x:f>IF(431&gt;$H$4,"",MATCH(431,'Fleet dates'!$K$9:$K$1008,0)+8)</x:f>
      </x:c>
    </x:row>
    <x:row r="440" ht="36" customHeight="1">
      <x:c r="A440" s="50" t="str">
        <x:f>IF(432&gt;$H$4,"",IF(INDEX('Fleet dates'!$A$9:$A$1008,$I440-8)="","",INDEX('Fleet dates'!$A$9:$A$1008,$I440-8)))</x:f>
      </x:c>
      <x:c r="B440" s="50" t="str">
        <x:f>IF(432&gt;$H$4,"",IF(INDEX('Fleet dates'!$B$9:$B$1008,$I440-8)="","",INDEX('Fleet dates'!$B$9:$B$1008,$I440-8)))</x:f>
      </x:c>
      <x:c r="C440" s="51" t="str">
        <x:f>IF(432&gt;$H$4,"",IF(INDEX('Fleet dates'!$C$9:$C$1008,$I440-8)="","",INDEX('Fleet dates'!$C$9:$C$1008,$I440-8)))</x:f>
      </x:c>
      <x:c r="D440" s="51" t="str">
        <x:f>IF(432&gt;$H$4,"",IF(INDEX('Fleet dates'!$D$9:$D$1008,$I440-8)="","",INDEX('Fleet dates'!$D$9:$D$1008,$I440-8)))</x:f>
      </x:c>
      <x:c r="E440" s="51" t="str">
        <x:f>IF(432&gt;$H$4,"",IF(INDEX('Fleet dates'!$E$9:$E$1008,$I440-8)="","",INDEX('Fleet dates'!$E$9:$E$1008,$I440-8)))</x:f>
      </x:c>
      <x:c r="F440" s="51" t="str">
        <x:f>IF(432&gt;$H$4,"",IF(INDEX('Fleet dates'!$F$9:$F$1008,$I440-8)="","",INDEX('Fleet dates'!$F$9:$F$1008,$I440-8)))</x:f>
      </x:c>
      <x:c r="G440" s="50" t="str">
        <x:f>IF(432&gt;$H$4,"",IF(INDEX('Fleet dates'!$G$9:$G$1008,$I440-8)="","",INDEX('Fleet dates'!$G$9:$G$1008,$I440-8)))</x:f>
      </x:c>
      <x:c r="H440" s="50" t="str">
        <x:f>IF(432&gt;$H$4,"",IF(INDEX('Fleet dates'!$I$9:$I$1008,$I440-8)="","",INDEX('Fleet dates'!$I$9:$I$1008,$I440-8)))</x:f>
      </x:c>
      <x:c r="I440" t="str">
        <x:f>IF(432&gt;$H$4,"",MATCH(432,'Fleet dates'!$K$9:$K$1008,0)+8)</x:f>
      </x:c>
    </x:row>
    <x:row r="441" ht="36" customHeight="1">
      <x:c r="A441" s="50" t="str">
        <x:f>IF(433&gt;$H$4,"",IF(INDEX('Fleet dates'!$A$9:$A$1008,$I441-8)="","",INDEX('Fleet dates'!$A$9:$A$1008,$I441-8)))</x:f>
      </x:c>
      <x:c r="B441" s="50" t="str">
        <x:f>IF(433&gt;$H$4,"",IF(INDEX('Fleet dates'!$B$9:$B$1008,$I441-8)="","",INDEX('Fleet dates'!$B$9:$B$1008,$I441-8)))</x:f>
      </x:c>
      <x:c r="C441" s="51" t="str">
        <x:f>IF(433&gt;$H$4,"",IF(INDEX('Fleet dates'!$C$9:$C$1008,$I441-8)="","",INDEX('Fleet dates'!$C$9:$C$1008,$I441-8)))</x:f>
      </x:c>
      <x:c r="D441" s="51" t="str">
        <x:f>IF(433&gt;$H$4,"",IF(INDEX('Fleet dates'!$D$9:$D$1008,$I441-8)="","",INDEX('Fleet dates'!$D$9:$D$1008,$I441-8)))</x:f>
      </x:c>
      <x:c r="E441" s="51" t="str">
        <x:f>IF(433&gt;$H$4,"",IF(INDEX('Fleet dates'!$E$9:$E$1008,$I441-8)="","",INDEX('Fleet dates'!$E$9:$E$1008,$I441-8)))</x:f>
      </x:c>
      <x:c r="F441" s="51" t="str">
        <x:f>IF(433&gt;$H$4,"",IF(INDEX('Fleet dates'!$F$9:$F$1008,$I441-8)="","",INDEX('Fleet dates'!$F$9:$F$1008,$I441-8)))</x:f>
      </x:c>
      <x:c r="G441" s="50" t="str">
        <x:f>IF(433&gt;$H$4,"",IF(INDEX('Fleet dates'!$G$9:$G$1008,$I441-8)="","",INDEX('Fleet dates'!$G$9:$G$1008,$I441-8)))</x:f>
      </x:c>
      <x:c r="H441" s="50" t="str">
        <x:f>IF(433&gt;$H$4,"",IF(INDEX('Fleet dates'!$I$9:$I$1008,$I441-8)="","",INDEX('Fleet dates'!$I$9:$I$1008,$I441-8)))</x:f>
      </x:c>
      <x:c r="I441" t="str">
        <x:f>IF(433&gt;$H$4,"",MATCH(433,'Fleet dates'!$K$9:$K$1008,0)+8)</x:f>
      </x:c>
    </x:row>
    <x:row r="442" ht="36" customHeight="1">
      <x:c r="A442" s="50" t="str">
        <x:f>IF(434&gt;$H$4,"",IF(INDEX('Fleet dates'!$A$9:$A$1008,$I442-8)="","",INDEX('Fleet dates'!$A$9:$A$1008,$I442-8)))</x:f>
      </x:c>
      <x:c r="B442" s="50" t="str">
        <x:f>IF(434&gt;$H$4,"",IF(INDEX('Fleet dates'!$B$9:$B$1008,$I442-8)="","",INDEX('Fleet dates'!$B$9:$B$1008,$I442-8)))</x:f>
      </x:c>
      <x:c r="C442" s="51" t="str">
        <x:f>IF(434&gt;$H$4,"",IF(INDEX('Fleet dates'!$C$9:$C$1008,$I442-8)="","",INDEX('Fleet dates'!$C$9:$C$1008,$I442-8)))</x:f>
      </x:c>
      <x:c r="D442" s="51" t="str">
        <x:f>IF(434&gt;$H$4,"",IF(INDEX('Fleet dates'!$D$9:$D$1008,$I442-8)="","",INDEX('Fleet dates'!$D$9:$D$1008,$I442-8)))</x:f>
      </x:c>
      <x:c r="E442" s="51" t="str">
        <x:f>IF(434&gt;$H$4,"",IF(INDEX('Fleet dates'!$E$9:$E$1008,$I442-8)="","",INDEX('Fleet dates'!$E$9:$E$1008,$I442-8)))</x:f>
      </x:c>
      <x:c r="F442" s="51" t="str">
        <x:f>IF(434&gt;$H$4,"",IF(INDEX('Fleet dates'!$F$9:$F$1008,$I442-8)="","",INDEX('Fleet dates'!$F$9:$F$1008,$I442-8)))</x:f>
      </x:c>
      <x:c r="G442" s="50" t="str">
        <x:f>IF(434&gt;$H$4,"",IF(INDEX('Fleet dates'!$G$9:$G$1008,$I442-8)="","",INDEX('Fleet dates'!$G$9:$G$1008,$I442-8)))</x:f>
      </x:c>
      <x:c r="H442" s="50" t="str">
        <x:f>IF(434&gt;$H$4,"",IF(INDEX('Fleet dates'!$I$9:$I$1008,$I442-8)="","",INDEX('Fleet dates'!$I$9:$I$1008,$I442-8)))</x:f>
      </x:c>
      <x:c r="I442" t="str">
        <x:f>IF(434&gt;$H$4,"",MATCH(434,'Fleet dates'!$K$9:$K$1008,0)+8)</x:f>
      </x:c>
    </x:row>
    <x:row r="443" ht="36" customHeight="1">
      <x:c r="A443" s="50" t="str">
        <x:f>IF(435&gt;$H$4,"",IF(INDEX('Fleet dates'!$A$9:$A$1008,$I443-8)="","",INDEX('Fleet dates'!$A$9:$A$1008,$I443-8)))</x:f>
      </x:c>
      <x:c r="B443" s="50" t="str">
        <x:f>IF(435&gt;$H$4,"",IF(INDEX('Fleet dates'!$B$9:$B$1008,$I443-8)="","",INDEX('Fleet dates'!$B$9:$B$1008,$I443-8)))</x:f>
      </x:c>
      <x:c r="C443" s="51" t="str">
        <x:f>IF(435&gt;$H$4,"",IF(INDEX('Fleet dates'!$C$9:$C$1008,$I443-8)="","",INDEX('Fleet dates'!$C$9:$C$1008,$I443-8)))</x:f>
      </x:c>
      <x:c r="D443" s="51" t="str">
        <x:f>IF(435&gt;$H$4,"",IF(INDEX('Fleet dates'!$D$9:$D$1008,$I443-8)="","",INDEX('Fleet dates'!$D$9:$D$1008,$I443-8)))</x:f>
      </x:c>
      <x:c r="E443" s="51" t="str">
        <x:f>IF(435&gt;$H$4,"",IF(INDEX('Fleet dates'!$E$9:$E$1008,$I443-8)="","",INDEX('Fleet dates'!$E$9:$E$1008,$I443-8)))</x:f>
      </x:c>
      <x:c r="F443" s="51" t="str">
        <x:f>IF(435&gt;$H$4,"",IF(INDEX('Fleet dates'!$F$9:$F$1008,$I443-8)="","",INDEX('Fleet dates'!$F$9:$F$1008,$I443-8)))</x:f>
      </x:c>
      <x:c r="G443" s="50" t="str">
        <x:f>IF(435&gt;$H$4,"",IF(INDEX('Fleet dates'!$G$9:$G$1008,$I443-8)="","",INDEX('Fleet dates'!$G$9:$G$1008,$I443-8)))</x:f>
      </x:c>
      <x:c r="H443" s="50" t="str">
        <x:f>IF(435&gt;$H$4,"",IF(INDEX('Fleet dates'!$I$9:$I$1008,$I443-8)="","",INDEX('Fleet dates'!$I$9:$I$1008,$I443-8)))</x:f>
      </x:c>
      <x:c r="I443" t="str">
        <x:f>IF(435&gt;$H$4,"",MATCH(435,'Fleet dates'!$K$9:$K$1008,0)+8)</x:f>
      </x:c>
    </x:row>
    <x:row r="444" ht="36" customHeight="1">
      <x:c r="A444" s="50" t="str">
        <x:f>IF(436&gt;$H$4,"",IF(INDEX('Fleet dates'!$A$9:$A$1008,$I444-8)="","",INDEX('Fleet dates'!$A$9:$A$1008,$I444-8)))</x:f>
      </x:c>
      <x:c r="B444" s="50" t="str">
        <x:f>IF(436&gt;$H$4,"",IF(INDEX('Fleet dates'!$B$9:$B$1008,$I444-8)="","",INDEX('Fleet dates'!$B$9:$B$1008,$I444-8)))</x:f>
      </x:c>
      <x:c r="C444" s="51" t="str">
        <x:f>IF(436&gt;$H$4,"",IF(INDEX('Fleet dates'!$C$9:$C$1008,$I444-8)="","",INDEX('Fleet dates'!$C$9:$C$1008,$I444-8)))</x:f>
      </x:c>
      <x:c r="D444" s="51" t="str">
        <x:f>IF(436&gt;$H$4,"",IF(INDEX('Fleet dates'!$D$9:$D$1008,$I444-8)="","",INDEX('Fleet dates'!$D$9:$D$1008,$I444-8)))</x:f>
      </x:c>
      <x:c r="E444" s="51" t="str">
        <x:f>IF(436&gt;$H$4,"",IF(INDEX('Fleet dates'!$E$9:$E$1008,$I444-8)="","",INDEX('Fleet dates'!$E$9:$E$1008,$I444-8)))</x:f>
      </x:c>
      <x:c r="F444" s="51" t="str">
        <x:f>IF(436&gt;$H$4,"",IF(INDEX('Fleet dates'!$F$9:$F$1008,$I444-8)="","",INDEX('Fleet dates'!$F$9:$F$1008,$I444-8)))</x:f>
      </x:c>
      <x:c r="G444" s="50" t="str">
        <x:f>IF(436&gt;$H$4,"",IF(INDEX('Fleet dates'!$G$9:$G$1008,$I444-8)="","",INDEX('Fleet dates'!$G$9:$G$1008,$I444-8)))</x:f>
      </x:c>
      <x:c r="H444" s="50" t="str">
        <x:f>IF(436&gt;$H$4,"",IF(INDEX('Fleet dates'!$I$9:$I$1008,$I444-8)="","",INDEX('Fleet dates'!$I$9:$I$1008,$I444-8)))</x:f>
      </x:c>
      <x:c r="I444" t="str">
        <x:f>IF(436&gt;$H$4,"",MATCH(436,'Fleet dates'!$K$9:$K$1008,0)+8)</x:f>
      </x:c>
    </x:row>
    <x:row r="445" ht="36" customHeight="1">
      <x:c r="A445" s="50" t="str">
        <x:f>IF(437&gt;$H$4,"",IF(INDEX('Fleet dates'!$A$9:$A$1008,$I445-8)="","",INDEX('Fleet dates'!$A$9:$A$1008,$I445-8)))</x:f>
      </x:c>
      <x:c r="B445" s="50" t="str">
        <x:f>IF(437&gt;$H$4,"",IF(INDEX('Fleet dates'!$B$9:$B$1008,$I445-8)="","",INDEX('Fleet dates'!$B$9:$B$1008,$I445-8)))</x:f>
      </x:c>
      <x:c r="C445" s="51" t="str">
        <x:f>IF(437&gt;$H$4,"",IF(INDEX('Fleet dates'!$C$9:$C$1008,$I445-8)="","",INDEX('Fleet dates'!$C$9:$C$1008,$I445-8)))</x:f>
      </x:c>
      <x:c r="D445" s="51" t="str">
        <x:f>IF(437&gt;$H$4,"",IF(INDEX('Fleet dates'!$D$9:$D$1008,$I445-8)="","",INDEX('Fleet dates'!$D$9:$D$1008,$I445-8)))</x:f>
      </x:c>
      <x:c r="E445" s="51" t="str">
        <x:f>IF(437&gt;$H$4,"",IF(INDEX('Fleet dates'!$E$9:$E$1008,$I445-8)="","",INDEX('Fleet dates'!$E$9:$E$1008,$I445-8)))</x:f>
      </x:c>
      <x:c r="F445" s="51" t="str">
        <x:f>IF(437&gt;$H$4,"",IF(INDEX('Fleet dates'!$F$9:$F$1008,$I445-8)="","",INDEX('Fleet dates'!$F$9:$F$1008,$I445-8)))</x:f>
      </x:c>
      <x:c r="G445" s="50" t="str">
        <x:f>IF(437&gt;$H$4,"",IF(INDEX('Fleet dates'!$G$9:$G$1008,$I445-8)="","",INDEX('Fleet dates'!$G$9:$G$1008,$I445-8)))</x:f>
      </x:c>
      <x:c r="H445" s="50" t="str">
        <x:f>IF(437&gt;$H$4,"",IF(INDEX('Fleet dates'!$I$9:$I$1008,$I445-8)="","",INDEX('Fleet dates'!$I$9:$I$1008,$I445-8)))</x:f>
      </x:c>
      <x:c r="I445" t="str">
        <x:f>IF(437&gt;$H$4,"",MATCH(437,'Fleet dates'!$K$9:$K$1008,0)+8)</x:f>
      </x:c>
    </x:row>
    <x:row r="446" ht="36" customHeight="1">
      <x:c r="A446" s="50" t="str">
        <x:f>IF(438&gt;$H$4,"",IF(INDEX('Fleet dates'!$A$9:$A$1008,$I446-8)="","",INDEX('Fleet dates'!$A$9:$A$1008,$I446-8)))</x:f>
      </x:c>
      <x:c r="B446" s="50" t="str">
        <x:f>IF(438&gt;$H$4,"",IF(INDEX('Fleet dates'!$B$9:$B$1008,$I446-8)="","",INDEX('Fleet dates'!$B$9:$B$1008,$I446-8)))</x:f>
      </x:c>
      <x:c r="C446" s="51" t="str">
        <x:f>IF(438&gt;$H$4,"",IF(INDEX('Fleet dates'!$C$9:$C$1008,$I446-8)="","",INDEX('Fleet dates'!$C$9:$C$1008,$I446-8)))</x:f>
      </x:c>
      <x:c r="D446" s="51" t="str">
        <x:f>IF(438&gt;$H$4,"",IF(INDEX('Fleet dates'!$D$9:$D$1008,$I446-8)="","",INDEX('Fleet dates'!$D$9:$D$1008,$I446-8)))</x:f>
      </x:c>
      <x:c r="E446" s="51" t="str">
        <x:f>IF(438&gt;$H$4,"",IF(INDEX('Fleet dates'!$E$9:$E$1008,$I446-8)="","",INDEX('Fleet dates'!$E$9:$E$1008,$I446-8)))</x:f>
      </x:c>
      <x:c r="F446" s="51" t="str">
        <x:f>IF(438&gt;$H$4,"",IF(INDEX('Fleet dates'!$F$9:$F$1008,$I446-8)="","",INDEX('Fleet dates'!$F$9:$F$1008,$I446-8)))</x:f>
      </x:c>
      <x:c r="G446" s="50" t="str">
        <x:f>IF(438&gt;$H$4,"",IF(INDEX('Fleet dates'!$G$9:$G$1008,$I446-8)="","",INDEX('Fleet dates'!$G$9:$G$1008,$I446-8)))</x:f>
      </x:c>
      <x:c r="H446" s="50" t="str">
        <x:f>IF(438&gt;$H$4,"",IF(INDEX('Fleet dates'!$I$9:$I$1008,$I446-8)="","",INDEX('Fleet dates'!$I$9:$I$1008,$I446-8)))</x:f>
      </x:c>
      <x:c r="I446" t="str">
        <x:f>IF(438&gt;$H$4,"",MATCH(438,'Fleet dates'!$K$9:$K$1008,0)+8)</x:f>
      </x:c>
    </x:row>
    <x:row r="447" ht="36" customHeight="1">
      <x:c r="A447" s="50" t="str">
        <x:f>IF(439&gt;$H$4,"",IF(INDEX('Fleet dates'!$A$9:$A$1008,$I447-8)="","",INDEX('Fleet dates'!$A$9:$A$1008,$I447-8)))</x:f>
      </x:c>
      <x:c r="B447" s="50" t="str">
        <x:f>IF(439&gt;$H$4,"",IF(INDEX('Fleet dates'!$B$9:$B$1008,$I447-8)="","",INDEX('Fleet dates'!$B$9:$B$1008,$I447-8)))</x:f>
      </x:c>
      <x:c r="C447" s="51" t="str">
        <x:f>IF(439&gt;$H$4,"",IF(INDEX('Fleet dates'!$C$9:$C$1008,$I447-8)="","",INDEX('Fleet dates'!$C$9:$C$1008,$I447-8)))</x:f>
      </x:c>
      <x:c r="D447" s="51" t="str">
        <x:f>IF(439&gt;$H$4,"",IF(INDEX('Fleet dates'!$D$9:$D$1008,$I447-8)="","",INDEX('Fleet dates'!$D$9:$D$1008,$I447-8)))</x:f>
      </x:c>
      <x:c r="E447" s="51" t="str">
        <x:f>IF(439&gt;$H$4,"",IF(INDEX('Fleet dates'!$E$9:$E$1008,$I447-8)="","",INDEX('Fleet dates'!$E$9:$E$1008,$I447-8)))</x:f>
      </x:c>
      <x:c r="F447" s="51" t="str">
        <x:f>IF(439&gt;$H$4,"",IF(INDEX('Fleet dates'!$F$9:$F$1008,$I447-8)="","",INDEX('Fleet dates'!$F$9:$F$1008,$I447-8)))</x:f>
      </x:c>
      <x:c r="G447" s="50" t="str">
        <x:f>IF(439&gt;$H$4,"",IF(INDEX('Fleet dates'!$G$9:$G$1008,$I447-8)="","",INDEX('Fleet dates'!$G$9:$G$1008,$I447-8)))</x:f>
      </x:c>
      <x:c r="H447" s="50" t="str">
        <x:f>IF(439&gt;$H$4,"",IF(INDEX('Fleet dates'!$I$9:$I$1008,$I447-8)="","",INDEX('Fleet dates'!$I$9:$I$1008,$I447-8)))</x:f>
      </x:c>
      <x:c r="I447" t="str">
        <x:f>IF(439&gt;$H$4,"",MATCH(439,'Fleet dates'!$K$9:$K$1008,0)+8)</x:f>
      </x:c>
    </x:row>
    <x:row r="448" ht="36" customHeight="1">
      <x:c r="A448" s="50" t="str">
        <x:f>IF(440&gt;$H$4,"",IF(INDEX('Fleet dates'!$A$9:$A$1008,$I448-8)="","",INDEX('Fleet dates'!$A$9:$A$1008,$I448-8)))</x:f>
      </x:c>
      <x:c r="B448" s="50" t="str">
        <x:f>IF(440&gt;$H$4,"",IF(INDEX('Fleet dates'!$B$9:$B$1008,$I448-8)="","",INDEX('Fleet dates'!$B$9:$B$1008,$I448-8)))</x:f>
      </x:c>
      <x:c r="C448" s="51" t="str">
        <x:f>IF(440&gt;$H$4,"",IF(INDEX('Fleet dates'!$C$9:$C$1008,$I448-8)="","",INDEX('Fleet dates'!$C$9:$C$1008,$I448-8)))</x:f>
      </x:c>
      <x:c r="D448" s="51" t="str">
        <x:f>IF(440&gt;$H$4,"",IF(INDEX('Fleet dates'!$D$9:$D$1008,$I448-8)="","",INDEX('Fleet dates'!$D$9:$D$1008,$I448-8)))</x:f>
      </x:c>
      <x:c r="E448" s="51" t="str">
        <x:f>IF(440&gt;$H$4,"",IF(INDEX('Fleet dates'!$E$9:$E$1008,$I448-8)="","",INDEX('Fleet dates'!$E$9:$E$1008,$I448-8)))</x:f>
      </x:c>
      <x:c r="F448" s="51" t="str">
        <x:f>IF(440&gt;$H$4,"",IF(INDEX('Fleet dates'!$F$9:$F$1008,$I448-8)="","",INDEX('Fleet dates'!$F$9:$F$1008,$I448-8)))</x:f>
      </x:c>
      <x:c r="G448" s="50" t="str">
        <x:f>IF(440&gt;$H$4,"",IF(INDEX('Fleet dates'!$G$9:$G$1008,$I448-8)="","",INDEX('Fleet dates'!$G$9:$G$1008,$I448-8)))</x:f>
      </x:c>
      <x:c r="H448" s="50" t="str">
        <x:f>IF(440&gt;$H$4,"",IF(INDEX('Fleet dates'!$I$9:$I$1008,$I448-8)="","",INDEX('Fleet dates'!$I$9:$I$1008,$I448-8)))</x:f>
      </x:c>
      <x:c r="I448" t="str">
        <x:f>IF(440&gt;$H$4,"",MATCH(440,'Fleet dates'!$K$9:$K$1008,0)+8)</x:f>
      </x:c>
    </x:row>
    <x:row r="449" ht="36" customHeight="1">
      <x:c r="A449" s="50" t="str">
        <x:f>IF(441&gt;$H$4,"",IF(INDEX('Fleet dates'!$A$9:$A$1008,$I449-8)="","",INDEX('Fleet dates'!$A$9:$A$1008,$I449-8)))</x:f>
      </x:c>
      <x:c r="B449" s="50" t="str">
        <x:f>IF(441&gt;$H$4,"",IF(INDEX('Fleet dates'!$B$9:$B$1008,$I449-8)="","",INDEX('Fleet dates'!$B$9:$B$1008,$I449-8)))</x:f>
      </x:c>
      <x:c r="C449" s="51" t="str">
        <x:f>IF(441&gt;$H$4,"",IF(INDEX('Fleet dates'!$C$9:$C$1008,$I449-8)="","",INDEX('Fleet dates'!$C$9:$C$1008,$I449-8)))</x:f>
      </x:c>
      <x:c r="D449" s="51" t="str">
        <x:f>IF(441&gt;$H$4,"",IF(INDEX('Fleet dates'!$D$9:$D$1008,$I449-8)="","",INDEX('Fleet dates'!$D$9:$D$1008,$I449-8)))</x:f>
      </x:c>
      <x:c r="E449" s="51" t="str">
        <x:f>IF(441&gt;$H$4,"",IF(INDEX('Fleet dates'!$E$9:$E$1008,$I449-8)="","",INDEX('Fleet dates'!$E$9:$E$1008,$I449-8)))</x:f>
      </x:c>
      <x:c r="F449" s="51" t="str">
        <x:f>IF(441&gt;$H$4,"",IF(INDEX('Fleet dates'!$F$9:$F$1008,$I449-8)="","",INDEX('Fleet dates'!$F$9:$F$1008,$I449-8)))</x:f>
      </x:c>
      <x:c r="G449" s="50" t="str">
        <x:f>IF(441&gt;$H$4,"",IF(INDEX('Fleet dates'!$G$9:$G$1008,$I449-8)="","",INDEX('Fleet dates'!$G$9:$G$1008,$I449-8)))</x:f>
      </x:c>
      <x:c r="H449" s="50" t="str">
        <x:f>IF(441&gt;$H$4,"",IF(INDEX('Fleet dates'!$I$9:$I$1008,$I449-8)="","",INDEX('Fleet dates'!$I$9:$I$1008,$I449-8)))</x:f>
      </x:c>
      <x:c r="I449" t="str">
        <x:f>IF(441&gt;$H$4,"",MATCH(441,'Fleet dates'!$K$9:$K$1008,0)+8)</x:f>
      </x:c>
    </x:row>
    <x:row r="450" ht="36" customHeight="1">
      <x:c r="A450" s="50" t="str">
        <x:f>IF(442&gt;$H$4,"",IF(INDEX('Fleet dates'!$A$9:$A$1008,$I450-8)="","",INDEX('Fleet dates'!$A$9:$A$1008,$I450-8)))</x:f>
      </x:c>
      <x:c r="B450" s="50" t="str">
        <x:f>IF(442&gt;$H$4,"",IF(INDEX('Fleet dates'!$B$9:$B$1008,$I450-8)="","",INDEX('Fleet dates'!$B$9:$B$1008,$I450-8)))</x:f>
      </x:c>
      <x:c r="C450" s="51" t="str">
        <x:f>IF(442&gt;$H$4,"",IF(INDEX('Fleet dates'!$C$9:$C$1008,$I450-8)="","",INDEX('Fleet dates'!$C$9:$C$1008,$I450-8)))</x:f>
      </x:c>
      <x:c r="D450" s="51" t="str">
        <x:f>IF(442&gt;$H$4,"",IF(INDEX('Fleet dates'!$D$9:$D$1008,$I450-8)="","",INDEX('Fleet dates'!$D$9:$D$1008,$I450-8)))</x:f>
      </x:c>
      <x:c r="E450" s="51" t="str">
        <x:f>IF(442&gt;$H$4,"",IF(INDEX('Fleet dates'!$E$9:$E$1008,$I450-8)="","",INDEX('Fleet dates'!$E$9:$E$1008,$I450-8)))</x:f>
      </x:c>
      <x:c r="F450" s="51" t="str">
        <x:f>IF(442&gt;$H$4,"",IF(INDEX('Fleet dates'!$F$9:$F$1008,$I450-8)="","",INDEX('Fleet dates'!$F$9:$F$1008,$I450-8)))</x:f>
      </x:c>
      <x:c r="G450" s="50" t="str">
        <x:f>IF(442&gt;$H$4,"",IF(INDEX('Fleet dates'!$G$9:$G$1008,$I450-8)="","",INDEX('Fleet dates'!$G$9:$G$1008,$I450-8)))</x:f>
      </x:c>
      <x:c r="H450" s="50" t="str">
        <x:f>IF(442&gt;$H$4,"",IF(INDEX('Fleet dates'!$I$9:$I$1008,$I450-8)="","",INDEX('Fleet dates'!$I$9:$I$1008,$I450-8)))</x:f>
      </x:c>
      <x:c r="I450" t="str">
        <x:f>IF(442&gt;$H$4,"",MATCH(442,'Fleet dates'!$K$9:$K$1008,0)+8)</x:f>
      </x:c>
    </x:row>
    <x:row r="451" ht="36" customHeight="1">
      <x:c r="A451" s="50" t="str">
        <x:f>IF(443&gt;$H$4,"",IF(INDEX('Fleet dates'!$A$9:$A$1008,$I451-8)="","",INDEX('Fleet dates'!$A$9:$A$1008,$I451-8)))</x:f>
      </x:c>
      <x:c r="B451" s="50" t="str">
        <x:f>IF(443&gt;$H$4,"",IF(INDEX('Fleet dates'!$B$9:$B$1008,$I451-8)="","",INDEX('Fleet dates'!$B$9:$B$1008,$I451-8)))</x:f>
      </x:c>
      <x:c r="C451" s="51" t="str">
        <x:f>IF(443&gt;$H$4,"",IF(INDEX('Fleet dates'!$C$9:$C$1008,$I451-8)="","",INDEX('Fleet dates'!$C$9:$C$1008,$I451-8)))</x:f>
      </x:c>
      <x:c r="D451" s="51" t="str">
        <x:f>IF(443&gt;$H$4,"",IF(INDEX('Fleet dates'!$D$9:$D$1008,$I451-8)="","",INDEX('Fleet dates'!$D$9:$D$1008,$I451-8)))</x:f>
      </x:c>
      <x:c r="E451" s="51" t="str">
        <x:f>IF(443&gt;$H$4,"",IF(INDEX('Fleet dates'!$E$9:$E$1008,$I451-8)="","",INDEX('Fleet dates'!$E$9:$E$1008,$I451-8)))</x:f>
      </x:c>
      <x:c r="F451" s="51" t="str">
        <x:f>IF(443&gt;$H$4,"",IF(INDEX('Fleet dates'!$F$9:$F$1008,$I451-8)="","",INDEX('Fleet dates'!$F$9:$F$1008,$I451-8)))</x:f>
      </x:c>
      <x:c r="G451" s="50" t="str">
        <x:f>IF(443&gt;$H$4,"",IF(INDEX('Fleet dates'!$G$9:$G$1008,$I451-8)="","",INDEX('Fleet dates'!$G$9:$G$1008,$I451-8)))</x:f>
      </x:c>
      <x:c r="H451" s="50" t="str">
        <x:f>IF(443&gt;$H$4,"",IF(INDEX('Fleet dates'!$I$9:$I$1008,$I451-8)="","",INDEX('Fleet dates'!$I$9:$I$1008,$I451-8)))</x:f>
      </x:c>
      <x:c r="I451" t="str">
        <x:f>IF(443&gt;$H$4,"",MATCH(443,'Fleet dates'!$K$9:$K$1008,0)+8)</x:f>
      </x:c>
    </x:row>
    <x:row r="452" ht="36" customHeight="1">
      <x:c r="A452" s="50" t="str">
        <x:f>IF(444&gt;$H$4,"",IF(INDEX('Fleet dates'!$A$9:$A$1008,$I452-8)="","",INDEX('Fleet dates'!$A$9:$A$1008,$I452-8)))</x:f>
      </x:c>
      <x:c r="B452" s="50" t="str">
        <x:f>IF(444&gt;$H$4,"",IF(INDEX('Fleet dates'!$B$9:$B$1008,$I452-8)="","",INDEX('Fleet dates'!$B$9:$B$1008,$I452-8)))</x:f>
      </x:c>
      <x:c r="C452" s="51" t="str">
        <x:f>IF(444&gt;$H$4,"",IF(INDEX('Fleet dates'!$C$9:$C$1008,$I452-8)="","",INDEX('Fleet dates'!$C$9:$C$1008,$I452-8)))</x:f>
      </x:c>
      <x:c r="D452" s="51" t="str">
        <x:f>IF(444&gt;$H$4,"",IF(INDEX('Fleet dates'!$D$9:$D$1008,$I452-8)="","",INDEX('Fleet dates'!$D$9:$D$1008,$I452-8)))</x:f>
      </x:c>
      <x:c r="E452" s="51" t="str">
        <x:f>IF(444&gt;$H$4,"",IF(INDEX('Fleet dates'!$E$9:$E$1008,$I452-8)="","",INDEX('Fleet dates'!$E$9:$E$1008,$I452-8)))</x:f>
      </x:c>
      <x:c r="F452" s="51" t="str">
        <x:f>IF(444&gt;$H$4,"",IF(INDEX('Fleet dates'!$F$9:$F$1008,$I452-8)="","",INDEX('Fleet dates'!$F$9:$F$1008,$I452-8)))</x:f>
      </x:c>
      <x:c r="G452" s="50" t="str">
        <x:f>IF(444&gt;$H$4,"",IF(INDEX('Fleet dates'!$G$9:$G$1008,$I452-8)="","",INDEX('Fleet dates'!$G$9:$G$1008,$I452-8)))</x:f>
      </x:c>
      <x:c r="H452" s="50" t="str">
        <x:f>IF(444&gt;$H$4,"",IF(INDEX('Fleet dates'!$I$9:$I$1008,$I452-8)="","",INDEX('Fleet dates'!$I$9:$I$1008,$I452-8)))</x:f>
      </x:c>
      <x:c r="I452" t="str">
        <x:f>IF(444&gt;$H$4,"",MATCH(444,'Fleet dates'!$K$9:$K$1008,0)+8)</x:f>
      </x:c>
    </x:row>
    <x:row r="453" ht="36" customHeight="1">
      <x:c r="A453" s="50" t="str">
        <x:f>IF(445&gt;$H$4,"",IF(INDEX('Fleet dates'!$A$9:$A$1008,$I453-8)="","",INDEX('Fleet dates'!$A$9:$A$1008,$I453-8)))</x:f>
      </x:c>
      <x:c r="B453" s="50" t="str">
        <x:f>IF(445&gt;$H$4,"",IF(INDEX('Fleet dates'!$B$9:$B$1008,$I453-8)="","",INDEX('Fleet dates'!$B$9:$B$1008,$I453-8)))</x:f>
      </x:c>
      <x:c r="C453" s="51" t="str">
        <x:f>IF(445&gt;$H$4,"",IF(INDEX('Fleet dates'!$C$9:$C$1008,$I453-8)="","",INDEX('Fleet dates'!$C$9:$C$1008,$I453-8)))</x:f>
      </x:c>
      <x:c r="D453" s="51" t="str">
        <x:f>IF(445&gt;$H$4,"",IF(INDEX('Fleet dates'!$D$9:$D$1008,$I453-8)="","",INDEX('Fleet dates'!$D$9:$D$1008,$I453-8)))</x:f>
      </x:c>
      <x:c r="E453" s="51" t="str">
        <x:f>IF(445&gt;$H$4,"",IF(INDEX('Fleet dates'!$E$9:$E$1008,$I453-8)="","",INDEX('Fleet dates'!$E$9:$E$1008,$I453-8)))</x:f>
      </x:c>
      <x:c r="F453" s="51" t="str">
        <x:f>IF(445&gt;$H$4,"",IF(INDEX('Fleet dates'!$F$9:$F$1008,$I453-8)="","",INDEX('Fleet dates'!$F$9:$F$1008,$I453-8)))</x:f>
      </x:c>
      <x:c r="G453" s="50" t="str">
        <x:f>IF(445&gt;$H$4,"",IF(INDEX('Fleet dates'!$G$9:$G$1008,$I453-8)="","",INDEX('Fleet dates'!$G$9:$G$1008,$I453-8)))</x:f>
      </x:c>
      <x:c r="H453" s="50" t="str">
        <x:f>IF(445&gt;$H$4,"",IF(INDEX('Fleet dates'!$I$9:$I$1008,$I453-8)="","",INDEX('Fleet dates'!$I$9:$I$1008,$I453-8)))</x:f>
      </x:c>
      <x:c r="I453" t="str">
        <x:f>IF(445&gt;$H$4,"",MATCH(445,'Fleet dates'!$K$9:$K$1008,0)+8)</x:f>
      </x:c>
    </x:row>
    <x:row r="454" ht="36" customHeight="1">
      <x:c r="A454" s="50" t="str">
        <x:f>IF(446&gt;$H$4,"",IF(INDEX('Fleet dates'!$A$9:$A$1008,$I454-8)="","",INDEX('Fleet dates'!$A$9:$A$1008,$I454-8)))</x:f>
      </x:c>
      <x:c r="B454" s="50" t="str">
        <x:f>IF(446&gt;$H$4,"",IF(INDEX('Fleet dates'!$B$9:$B$1008,$I454-8)="","",INDEX('Fleet dates'!$B$9:$B$1008,$I454-8)))</x:f>
      </x:c>
      <x:c r="C454" s="51" t="str">
        <x:f>IF(446&gt;$H$4,"",IF(INDEX('Fleet dates'!$C$9:$C$1008,$I454-8)="","",INDEX('Fleet dates'!$C$9:$C$1008,$I454-8)))</x:f>
      </x:c>
      <x:c r="D454" s="51" t="str">
        <x:f>IF(446&gt;$H$4,"",IF(INDEX('Fleet dates'!$D$9:$D$1008,$I454-8)="","",INDEX('Fleet dates'!$D$9:$D$1008,$I454-8)))</x:f>
      </x:c>
      <x:c r="E454" s="51" t="str">
        <x:f>IF(446&gt;$H$4,"",IF(INDEX('Fleet dates'!$E$9:$E$1008,$I454-8)="","",INDEX('Fleet dates'!$E$9:$E$1008,$I454-8)))</x:f>
      </x:c>
      <x:c r="F454" s="51" t="str">
        <x:f>IF(446&gt;$H$4,"",IF(INDEX('Fleet dates'!$F$9:$F$1008,$I454-8)="","",INDEX('Fleet dates'!$F$9:$F$1008,$I454-8)))</x:f>
      </x:c>
      <x:c r="G454" s="50" t="str">
        <x:f>IF(446&gt;$H$4,"",IF(INDEX('Fleet dates'!$G$9:$G$1008,$I454-8)="","",INDEX('Fleet dates'!$G$9:$G$1008,$I454-8)))</x:f>
      </x:c>
      <x:c r="H454" s="50" t="str">
        <x:f>IF(446&gt;$H$4,"",IF(INDEX('Fleet dates'!$I$9:$I$1008,$I454-8)="","",INDEX('Fleet dates'!$I$9:$I$1008,$I454-8)))</x:f>
      </x:c>
      <x:c r="I454" t="str">
        <x:f>IF(446&gt;$H$4,"",MATCH(446,'Fleet dates'!$K$9:$K$1008,0)+8)</x:f>
      </x:c>
    </x:row>
    <x:row r="455" ht="36" customHeight="1">
      <x:c r="A455" s="50" t="str">
        <x:f>IF(447&gt;$H$4,"",IF(INDEX('Fleet dates'!$A$9:$A$1008,$I455-8)="","",INDEX('Fleet dates'!$A$9:$A$1008,$I455-8)))</x:f>
      </x:c>
      <x:c r="B455" s="50" t="str">
        <x:f>IF(447&gt;$H$4,"",IF(INDEX('Fleet dates'!$B$9:$B$1008,$I455-8)="","",INDEX('Fleet dates'!$B$9:$B$1008,$I455-8)))</x:f>
      </x:c>
      <x:c r="C455" s="51" t="str">
        <x:f>IF(447&gt;$H$4,"",IF(INDEX('Fleet dates'!$C$9:$C$1008,$I455-8)="","",INDEX('Fleet dates'!$C$9:$C$1008,$I455-8)))</x:f>
      </x:c>
      <x:c r="D455" s="51" t="str">
        <x:f>IF(447&gt;$H$4,"",IF(INDEX('Fleet dates'!$D$9:$D$1008,$I455-8)="","",INDEX('Fleet dates'!$D$9:$D$1008,$I455-8)))</x:f>
      </x:c>
      <x:c r="E455" s="51" t="str">
        <x:f>IF(447&gt;$H$4,"",IF(INDEX('Fleet dates'!$E$9:$E$1008,$I455-8)="","",INDEX('Fleet dates'!$E$9:$E$1008,$I455-8)))</x:f>
      </x:c>
      <x:c r="F455" s="51" t="str">
        <x:f>IF(447&gt;$H$4,"",IF(INDEX('Fleet dates'!$F$9:$F$1008,$I455-8)="","",INDEX('Fleet dates'!$F$9:$F$1008,$I455-8)))</x:f>
      </x:c>
      <x:c r="G455" s="50" t="str">
        <x:f>IF(447&gt;$H$4,"",IF(INDEX('Fleet dates'!$G$9:$G$1008,$I455-8)="","",INDEX('Fleet dates'!$G$9:$G$1008,$I455-8)))</x:f>
      </x:c>
      <x:c r="H455" s="50" t="str">
        <x:f>IF(447&gt;$H$4,"",IF(INDEX('Fleet dates'!$I$9:$I$1008,$I455-8)="","",INDEX('Fleet dates'!$I$9:$I$1008,$I455-8)))</x:f>
      </x:c>
      <x:c r="I455" t="str">
        <x:f>IF(447&gt;$H$4,"",MATCH(447,'Fleet dates'!$K$9:$K$1008,0)+8)</x:f>
      </x:c>
    </x:row>
    <x:row r="456" ht="36" customHeight="1">
      <x:c r="A456" s="50" t="str">
        <x:f>IF(448&gt;$H$4,"",IF(INDEX('Fleet dates'!$A$9:$A$1008,$I456-8)="","",INDEX('Fleet dates'!$A$9:$A$1008,$I456-8)))</x:f>
      </x:c>
      <x:c r="B456" s="50" t="str">
        <x:f>IF(448&gt;$H$4,"",IF(INDEX('Fleet dates'!$B$9:$B$1008,$I456-8)="","",INDEX('Fleet dates'!$B$9:$B$1008,$I456-8)))</x:f>
      </x:c>
      <x:c r="C456" s="51" t="str">
        <x:f>IF(448&gt;$H$4,"",IF(INDEX('Fleet dates'!$C$9:$C$1008,$I456-8)="","",INDEX('Fleet dates'!$C$9:$C$1008,$I456-8)))</x:f>
      </x:c>
      <x:c r="D456" s="51" t="str">
        <x:f>IF(448&gt;$H$4,"",IF(INDEX('Fleet dates'!$D$9:$D$1008,$I456-8)="","",INDEX('Fleet dates'!$D$9:$D$1008,$I456-8)))</x:f>
      </x:c>
      <x:c r="E456" s="51" t="str">
        <x:f>IF(448&gt;$H$4,"",IF(INDEX('Fleet dates'!$E$9:$E$1008,$I456-8)="","",INDEX('Fleet dates'!$E$9:$E$1008,$I456-8)))</x:f>
      </x:c>
      <x:c r="F456" s="51" t="str">
        <x:f>IF(448&gt;$H$4,"",IF(INDEX('Fleet dates'!$F$9:$F$1008,$I456-8)="","",INDEX('Fleet dates'!$F$9:$F$1008,$I456-8)))</x:f>
      </x:c>
      <x:c r="G456" s="50" t="str">
        <x:f>IF(448&gt;$H$4,"",IF(INDEX('Fleet dates'!$G$9:$G$1008,$I456-8)="","",INDEX('Fleet dates'!$G$9:$G$1008,$I456-8)))</x:f>
      </x:c>
      <x:c r="H456" s="50" t="str">
        <x:f>IF(448&gt;$H$4,"",IF(INDEX('Fleet dates'!$I$9:$I$1008,$I456-8)="","",INDEX('Fleet dates'!$I$9:$I$1008,$I456-8)))</x:f>
      </x:c>
      <x:c r="I456" t="str">
        <x:f>IF(448&gt;$H$4,"",MATCH(448,'Fleet dates'!$K$9:$K$1008,0)+8)</x:f>
      </x:c>
    </x:row>
    <x:row r="457" ht="36" customHeight="1">
      <x:c r="A457" s="50" t="str">
        <x:f>IF(449&gt;$H$4,"",IF(INDEX('Fleet dates'!$A$9:$A$1008,$I457-8)="","",INDEX('Fleet dates'!$A$9:$A$1008,$I457-8)))</x:f>
      </x:c>
      <x:c r="B457" s="50" t="str">
        <x:f>IF(449&gt;$H$4,"",IF(INDEX('Fleet dates'!$B$9:$B$1008,$I457-8)="","",INDEX('Fleet dates'!$B$9:$B$1008,$I457-8)))</x:f>
      </x:c>
      <x:c r="C457" s="51" t="str">
        <x:f>IF(449&gt;$H$4,"",IF(INDEX('Fleet dates'!$C$9:$C$1008,$I457-8)="","",INDEX('Fleet dates'!$C$9:$C$1008,$I457-8)))</x:f>
      </x:c>
      <x:c r="D457" s="51" t="str">
        <x:f>IF(449&gt;$H$4,"",IF(INDEX('Fleet dates'!$D$9:$D$1008,$I457-8)="","",INDEX('Fleet dates'!$D$9:$D$1008,$I457-8)))</x:f>
      </x:c>
      <x:c r="E457" s="51" t="str">
        <x:f>IF(449&gt;$H$4,"",IF(INDEX('Fleet dates'!$E$9:$E$1008,$I457-8)="","",INDEX('Fleet dates'!$E$9:$E$1008,$I457-8)))</x:f>
      </x:c>
      <x:c r="F457" s="51" t="str">
        <x:f>IF(449&gt;$H$4,"",IF(INDEX('Fleet dates'!$F$9:$F$1008,$I457-8)="","",INDEX('Fleet dates'!$F$9:$F$1008,$I457-8)))</x:f>
      </x:c>
      <x:c r="G457" s="50" t="str">
        <x:f>IF(449&gt;$H$4,"",IF(INDEX('Fleet dates'!$G$9:$G$1008,$I457-8)="","",INDEX('Fleet dates'!$G$9:$G$1008,$I457-8)))</x:f>
      </x:c>
      <x:c r="H457" s="50" t="str">
        <x:f>IF(449&gt;$H$4,"",IF(INDEX('Fleet dates'!$I$9:$I$1008,$I457-8)="","",INDEX('Fleet dates'!$I$9:$I$1008,$I457-8)))</x:f>
      </x:c>
      <x:c r="I457" t="str">
        <x:f>IF(449&gt;$H$4,"",MATCH(449,'Fleet dates'!$K$9:$K$1008,0)+8)</x:f>
      </x:c>
    </x:row>
    <x:row r="458" ht="36" customHeight="1">
      <x:c r="A458" s="50" t="str">
        <x:f>IF(450&gt;$H$4,"",IF(INDEX('Fleet dates'!$A$9:$A$1008,$I458-8)="","",INDEX('Fleet dates'!$A$9:$A$1008,$I458-8)))</x:f>
      </x:c>
      <x:c r="B458" s="50" t="str">
        <x:f>IF(450&gt;$H$4,"",IF(INDEX('Fleet dates'!$B$9:$B$1008,$I458-8)="","",INDEX('Fleet dates'!$B$9:$B$1008,$I458-8)))</x:f>
      </x:c>
      <x:c r="C458" s="51" t="str">
        <x:f>IF(450&gt;$H$4,"",IF(INDEX('Fleet dates'!$C$9:$C$1008,$I458-8)="","",INDEX('Fleet dates'!$C$9:$C$1008,$I458-8)))</x:f>
      </x:c>
      <x:c r="D458" s="51" t="str">
        <x:f>IF(450&gt;$H$4,"",IF(INDEX('Fleet dates'!$D$9:$D$1008,$I458-8)="","",INDEX('Fleet dates'!$D$9:$D$1008,$I458-8)))</x:f>
      </x:c>
      <x:c r="E458" s="51" t="str">
        <x:f>IF(450&gt;$H$4,"",IF(INDEX('Fleet dates'!$E$9:$E$1008,$I458-8)="","",INDEX('Fleet dates'!$E$9:$E$1008,$I458-8)))</x:f>
      </x:c>
      <x:c r="F458" s="51" t="str">
        <x:f>IF(450&gt;$H$4,"",IF(INDEX('Fleet dates'!$F$9:$F$1008,$I458-8)="","",INDEX('Fleet dates'!$F$9:$F$1008,$I458-8)))</x:f>
      </x:c>
      <x:c r="G458" s="50" t="str">
        <x:f>IF(450&gt;$H$4,"",IF(INDEX('Fleet dates'!$G$9:$G$1008,$I458-8)="","",INDEX('Fleet dates'!$G$9:$G$1008,$I458-8)))</x:f>
      </x:c>
      <x:c r="H458" s="50" t="str">
        <x:f>IF(450&gt;$H$4,"",IF(INDEX('Fleet dates'!$I$9:$I$1008,$I458-8)="","",INDEX('Fleet dates'!$I$9:$I$1008,$I458-8)))</x:f>
      </x:c>
      <x:c r="I458" t="str">
        <x:f>IF(450&gt;$H$4,"",MATCH(450,'Fleet dates'!$K$9:$K$1008,0)+8)</x:f>
      </x:c>
    </x:row>
    <x:row r="459" ht="36" customHeight="1">
      <x:c r="A459" s="50" t="str">
        <x:f>IF(451&gt;$H$4,"",IF(INDEX('Fleet dates'!$A$9:$A$1008,$I459-8)="","",INDEX('Fleet dates'!$A$9:$A$1008,$I459-8)))</x:f>
      </x:c>
      <x:c r="B459" s="50" t="str">
        <x:f>IF(451&gt;$H$4,"",IF(INDEX('Fleet dates'!$B$9:$B$1008,$I459-8)="","",INDEX('Fleet dates'!$B$9:$B$1008,$I459-8)))</x:f>
      </x:c>
      <x:c r="C459" s="51" t="str">
        <x:f>IF(451&gt;$H$4,"",IF(INDEX('Fleet dates'!$C$9:$C$1008,$I459-8)="","",INDEX('Fleet dates'!$C$9:$C$1008,$I459-8)))</x:f>
      </x:c>
      <x:c r="D459" s="51" t="str">
        <x:f>IF(451&gt;$H$4,"",IF(INDEX('Fleet dates'!$D$9:$D$1008,$I459-8)="","",INDEX('Fleet dates'!$D$9:$D$1008,$I459-8)))</x:f>
      </x:c>
      <x:c r="E459" s="51" t="str">
        <x:f>IF(451&gt;$H$4,"",IF(INDEX('Fleet dates'!$E$9:$E$1008,$I459-8)="","",INDEX('Fleet dates'!$E$9:$E$1008,$I459-8)))</x:f>
      </x:c>
      <x:c r="F459" s="51" t="str">
        <x:f>IF(451&gt;$H$4,"",IF(INDEX('Fleet dates'!$F$9:$F$1008,$I459-8)="","",INDEX('Fleet dates'!$F$9:$F$1008,$I459-8)))</x:f>
      </x:c>
      <x:c r="G459" s="50" t="str">
        <x:f>IF(451&gt;$H$4,"",IF(INDEX('Fleet dates'!$G$9:$G$1008,$I459-8)="","",INDEX('Fleet dates'!$G$9:$G$1008,$I459-8)))</x:f>
      </x:c>
      <x:c r="H459" s="50" t="str">
        <x:f>IF(451&gt;$H$4,"",IF(INDEX('Fleet dates'!$I$9:$I$1008,$I459-8)="","",INDEX('Fleet dates'!$I$9:$I$1008,$I459-8)))</x:f>
      </x:c>
      <x:c r="I459" t="str">
        <x:f>IF(451&gt;$H$4,"",MATCH(451,'Fleet dates'!$K$9:$K$1008,0)+8)</x:f>
      </x:c>
    </x:row>
    <x:row r="460" ht="36" customHeight="1">
      <x:c r="A460" s="50" t="str">
        <x:f>IF(452&gt;$H$4,"",IF(INDEX('Fleet dates'!$A$9:$A$1008,$I460-8)="","",INDEX('Fleet dates'!$A$9:$A$1008,$I460-8)))</x:f>
      </x:c>
      <x:c r="B460" s="50" t="str">
        <x:f>IF(452&gt;$H$4,"",IF(INDEX('Fleet dates'!$B$9:$B$1008,$I460-8)="","",INDEX('Fleet dates'!$B$9:$B$1008,$I460-8)))</x:f>
      </x:c>
      <x:c r="C460" s="51" t="str">
        <x:f>IF(452&gt;$H$4,"",IF(INDEX('Fleet dates'!$C$9:$C$1008,$I460-8)="","",INDEX('Fleet dates'!$C$9:$C$1008,$I460-8)))</x:f>
      </x:c>
      <x:c r="D460" s="51" t="str">
        <x:f>IF(452&gt;$H$4,"",IF(INDEX('Fleet dates'!$D$9:$D$1008,$I460-8)="","",INDEX('Fleet dates'!$D$9:$D$1008,$I460-8)))</x:f>
      </x:c>
      <x:c r="E460" s="51" t="str">
        <x:f>IF(452&gt;$H$4,"",IF(INDEX('Fleet dates'!$E$9:$E$1008,$I460-8)="","",INDEX('Fleet dates'!$E$9:$E$1008,$I460-8)))</x:f>
      </x:c>
      <x:c r="F460" s="51" t="str">
        <x:f>IF(452&gt;$H$4,"",IF(INDEX('Fleet dates'!$F$9:$F$1008,$I460-8)="","",INDEX('Fleet dates'!$F$9:$F$1008,$I460-8)))</x:f>
      </x:c>
      <x:c r="G460" s="50" t="str">
        <x:f>IF(452&gt;$H$4,"",IF(INDEX('Fleet dates'!$G$9:$G$1008,$I460-8)="","",INDEX('Fleet dates'!$G$9:$G$1008,$I460-8)))</x:f>
      </x:c>
      <x:c r="H460" s="50" t="str">
        <x:f>IF(452&gt;$H$4,"",IF(INDEX('Fleet dates'!$I$9:$I$1008,$I460-8)="","",INDEX('Fleet dates'!$I$9:$I$1008,$I460-8)))</x:f>
      </x:c>
      <x:c r="I460" t="str">
        <x:f>IF(452&gt;$H$4,"",MATCH(452,'Fleet dates'!$K$9:$K$1008,0)+8)</x:f>
      </x:c>
    </x:row>
    <x:row r="461" ht="36" customHeight="1">
      <x:c r="A461" s="50" t="str">
        <x:f>IF(453&gt;$H$4,"",IF(INDEX('Fleet dates'!$A$9:$A$1008,$I461-8)="","",INDEX('Fleet dates'!$A$9:$A$1008,$I461-8)))</x:f>
      </x:c>
      <x:c r="B461" s="50" t="str">
        <x:f>IF(453&gt;$H$4,"",IF(INDEX('Fleet dates'!$B$9:$B$1008,$I461-8)="","",INDEX('Fleet dates'!$B$9:$B$1008,$I461-8)))</x:f>
      </x:c>
      <x:c r="C461" s="51" t="str">
        <x:f>IF(453&gt;$H$4,"",IF(INDEX('Fleet dates'!$C$9:$C$1008,$I461-8)="","",INDEX('Fleet dates'!$C$9:$C$1008,$I461-8)))</x:f>
      </x:c>
      <x:c r="D461" s="51" t="str">
        <x:f>IF(453&gt;$H$4,"",IF(INDEX('Fleet dates'!$D$9:$D$1008,$I461-8)="","",INDEX('Fleet dates'!$D$9:$D$1008,$I461-8)))</x:f>
      </x:c>
      <x:c r="E461" s="51" t="str">
        <x:f>IF(453&gt;$H$4,"",IF(INDEX('Fleet dates'!$E$9:$E$1008,$I461-8)="","",INDEX('Fleet dates'!$E$9:$E$1008,$I461-8)))</x:f>
      </x:c>
      <x:c r="F461" s="51" t="str">
        <x:f>IF(453&gt;$H$4,"",IF(INDEX('Fleet dates'!$F$9:$F$1008,$I461-8)="","",INDEX('Fleet dates'!$F$9:$F$1008,$I461-8)))</x:f>
      </x:c>
      <x:c r="G461" s="50" t="str">
        <x:f>IF(453&gt;$H$4,"",IF(INDEX('Fleet dates'!$G$9:$G$1008,$I461-8)="","",INDEX('Fleet dates'!$G$9:$G$1008,$I461-8)))</x:f>
      </x:c>
      <x:c r="H461" s="50" t="str">
        <x:f>IF(453&gt;$H$4,"",IF(INDEX('Fleet dates'!$I$9:$I$1008,$I461-8)="","",INDEX('Fleet dates'!$I$9:$I$1008,$I461-8)))</x:f>
      </x:c>
      <x:c r="I461" t="str">
        <x:f>IF(453&gt;$H$4,"",MATCH(453,'Fleet dates'!$K$9:$K$1008,0)+8)</x:f>
      </x:c>
    </x:row>
    <x:row r="462" ht="36" customHeight="1">
      <x:c r="A462" s="50" t="str">
        <x:f>IF(454&gt;$H$4,"",IF(INDEX('Fleet dates'!$A$9:$A$1008,$I462-8)="","",INDEX('Fleet dates'!$A$9:$A$1008,$I462-8)))</x:f>
      </x:c>
      <x:c r="B462" s="50" t="str">
        <x:f>IF(454&gt;$H$4,"",IF(INDEX('Fleet dates'!$B$9:$B$1008,$I462-8)="","",INDEX('Fleet dates'!$B$9:$B$1008,$I462-8)))</x:f>
      </x:c>
      <x:c r="C462" s="51" t="str">
        <x:f>IF(454&gt;$H$4,"",IF(INDEX('Fleet dates'!$C$9:$C$1008,$I462-8)="","",INDEX('Fleet dates'!$C$9:$C$1008,$I462-8)))</x:f>
      </x:c>
      <x:c r="D462" s="51" t="str">
        <x:f>IF(454&gt;$H$4,"",IF(INDEX('Fleet dates'!$D$9:$D$1008,$I462-8)="","",INDEX('Fleet dates'!$D$9:$D$1008,$I462-8)))</x:f>
      </x:c>
      <x:c r="E462" s="51" t="str">
        <x:f>IF(454&gt;$H$4,"",IF(INDEX('Fleet dates'!$E$9:$E$1008,$I462-8)="","",INDEX('Fleet dates'!$E$9:$E$1008,$I462-8)))</x:f>
      </x:c>
      <x:c r="F462" s="51" t="str">
        <x:f>IF(454&gt;$H$4,"",IF(INDEX('Fleet dates'!$F$9:$F$1008,$I462-8)="","",INDEX('Fleet dates'!$F$9:$F$1008,$I462-8)))</x:f>
      </x:c>
      <x:c r="G462" s="50" t="str">
        <x:f>IF(454&gt;$H$4,"",IF(INDEX('Fleet dates'!$G$9:$G$1008,$I462-8)="","",INDEX('Fleet dates'!$G$9:$G$1008,$I462-8)))</x:f>
      </x:c>
      <x:c r="H462" s="50" t="str">
        <x:f>IF(454&gt;$H$4,"",IF(INDEX('Fleet dates'!$I$9:$I$1008,$I462-8)="","",INDEX('Fleet dates'!$I$9:$I$1008,$I462-8)))</x:f>
      </x:c>
      <x:c r="I462" t="str">
        <x:f>IF(454&gt;$H$4,"",MATCH(454,'Fleet dates'!$K$9:$K$1008,0)+8)</x:f>
      </x:c>
    </x:row>
    <x:row r="463" ht="36" customHeight="1">
      <x:c r="A463" s="50" t="str">
        <x:f>IF(455&gt;$H$4,"",IF(INDEX('Fleet dates'!$A$9:$A$1008,$I463-8)="","",INDEX('Fleet dates'!$A$9:$A$1008,$I463-8)))</x:f>
      </x:c>
      <x:c r="B463" s="50" t="str">
        <x:f>IF(455&gt;$H$4,"",IF(INDEX('Fleet dates'!$B$9:$B$1008,$I463-8)="","",INDEX('Fleet dates'!$B$9:$B$1008,$I463-8)))</x:f>
      </x:c>
      <x:c r="C463" s="51" t="str">
        <x:f>IF(455&gt;$H$4,"",IF(INDEX('Fleet dates'!$C$9:$C$1008,$I463-8)="","",INDEX('Fleet dates'!$C$9:$C$1008,$I463-8)))</x:f>
      </x:c>
      <x:c r="D463" s="51" t="str">
        <x:f>IF(455&gt;$H$4,"",IF(INDEX('Fleet dates'!$D$9:$D$1008,$I463-8)="","",INDEX('Fleet dates'!$D$9:$D$1008,$I463-8)))</x:f>
      </x:c>
      <x:c r="E463" s="51" t="str">
        <x:f>IF(455&gt;$H$4,"",IF(INDEX('Fleet dates'!$E$9:$E$1008,$I463-8)="","",INDEX('Fleet dates'!$E$9:$E$1008,$I463-8)))</x:f>
      </x:c>
      <x:c r="F463" s="51" t="str">
        <x:f>IF(455&gt;$H$4,"",IF(INDEX('Fleet dates'!$F$9:$F$1008,$I463-8)="","",INDEX('Fleet dates'!$F$9:$F$1008,$I463-8)))</x:f>
      </x:c>
      <x:c r="G463" s="50" t="str">
        <x:f>IF(455&gt;$H$4,"",IF(INDEX('Fleet dates'!$G$9:$G$1008,$I463-8)="","",INDEX('Fleet dates'!$G$9:$G$1008,$I463-8)))</x:f>
      </x:c>
      <x:c r="H463" s="50" t="str">
        <x:f>IF(455&gt;$H$4,"",IF(INDEX('Fleet dates'!$I$9:$I$1008,$I463-8)="","",INDEX('Fleet dates'!$I$9:$I$1008,$I463-8)))</x:f>
      </x:c>
      <x:c r="I463" t="str">
        <x:f>IF(455&gt;$H$4,"",MATCH(455,'Fleet dates'!$K$9:$K$1008,0)+8)</x:f>
      </x:c>
    </x:row>
    <x:row r="464" ht="36" customHeight="1">
      <x:c r="A464" s="50" t="str">
        <x:f>IF(456&gt;$H$4,"",IF(INDEX('Fleet dates'!$A$9:$A$1008,$I464-8)="","",INDEX('Fleet dates'!$A$9:$A$1008,$I464-8)))</x:f>
      </x:c>
      <x:c r="B464" s="50" t="str">
        <x:f>IF(456&gt;$H$4,"",IF(INDEX('Fleet dates'!$B$9:$B$1008,$I464-8)="","",INDEX('Fleet dates'!$B$9:$B$1008,$I464-8)))</x:f>
      </x:c>
      <x:c r="C464" s="51" t="str">
        <x:f>IF(456&gt;$H$4,"",IF(INDEX('Fleet dates'!$C$9:$C$1008,$I464-8)="","",INDEX('Fleet dates'!$C$9:$C$1008,$I464-8)))</x:f>
      </x:c>
      <x:c r="D464" s="51" t="str">
        <x:f>IF(456&gt;$H$4,"",IF(INDEX('Fleet dates'!$D$9:$D$1008,$I464-8)="","",INDEX('Fleet dates'!$D$9:$D$1008,$I464-8)))</x:f>
      </x:c>
      <x:c r="E464" s="51" t="str">
        <x:f>IF(456&gt;$H$4,"",IF(INDEX('Fleet dates'!$E$9:$E$1008,$I464-8)="","",INDEX('Fleet dates'!$E$9:$E$1008,$I464-8)))</x:f>
      </x:c>
      <x:c r="F464" s="51" t="str">
        <x:f>IF(456&gt;$H$4,"",IF(INDEX('Fleet dates'!$F$9:$F$1008,$I464-8)="","",INDEX('Fleet dates'!$F$9:$F$1008,$I464-8)))</x:f>
      </x:c>
      <x:c r="G464" s="50" t="str">
        <x:f>IF(456&gt;$H$4,"",IF(INDEX('Fleet dates'!$G$9:$G$1008,$I464-8)="","",INDEX('Fleet dates'!$G$9:$G$1008,$I464-8)))</x:f>
      </x:c>
      <x:c r="H464" s="50" t="str">
        <x:f>IF(456&gt;$H$4,"",IF(INDEX('Fleet dates'!$I$9:$I$1008,$I464-8)="","",INDEX('Fleet dates'!$I$9:$I$1008,$I464-8)))</x:f>
      </x:c>
      <x:c r="I464" t="str">
        <x:f>IF(456&gt;$H$4,"",MATCH(456,'Fleet dates'!$K$9:$K$1008,0)+8)</x:f>
      </x:c>
    </x:row>
    <x:row r="465" ht="36" customHeight="1">
      <x:c r="A465" s="50" t="str">
        <x:f>IF(457&gt;$H$4,"",IF(INDEX('Fleet dates'!$A$9:$A$1008,$I465-8)="","",INDEX('Fleet dates'!$A$9:$A$1008,$I465-8)))</x:f>
      </x:c>
      <x:c r="B465" s="50" t="str">
        <x:f>IF(457&gt;$H$4,"",IF(INDEX('Fleet dates'!$B$9:$B$1008,$I465-8)="","",INDEX('Fleet dates'!$B$9:$B$1008,$I465-8)))</x:f>
      </x:c>
      <x:c r="C465" s="51" t="str">
        <x:f>IF(457&gt;$H$4,"",IF(INDEX('Fleet dates'!$C$9:$C$1008,$I465-8)="","",INDEX('Fleet dates'!$C$9:$C$1008,$I465-8)))</x:f>
      </x:c>
      <x:c r="D465" s="51" t="str">
        <x:f>IF(457&gt;$H$4,"",IF(INDEX('Fleet dates'!$D$9:$D$1008,$I465-8)="","",INDEX('Fleet dates'!$D$9:$D$1008,$I465-8)))</x:f>
      </x:c>
      <x:c r="E465" s="51" t="str">
        <x:f>IF(457&gt;$H$4,"",IF(INDEX('Fleet dates'!$E$9:$E$1008,$I465-8)="","",INDEX('Fleet dates'!$E$9:$E$1008,$I465-8)))</x:f>
      </x:c>
      <x:c r="F465" s="51" t="str">
        <x:f>IF(457&gt;$H$4,"",IF(INDEX('Fleet dates'!$F$9:$F$1008,$I465-8)="","",INDEX('Fleet dates'!$F$9:$F$1008,$I465-8)))</x:f>
      </x:c>
      <x:c r="G465" s="50" t="str">
        <x:f>IF(457&gt;$H$4,"",IF(INDEX('Fleet dates'!$G$9:$G$1008,$I465-8)="","",INDEX('Fleet dates'!$G$9:$G$1008,$I465-8)))</x:f>
      </x:c>
      <x:c r="H465" s="50" t="str">
        <x:f>IF(457&gt;$H$4,"",IF(INDEX('Fleet dates'!$I$9:$I$1008,$I465-8)="","",INDEX('Fleet dates'!$I$9:$I$1008,$I465-8)))</x:f>
      </x:c>
      <x:c r="I465" t="str">
        <x:f>IF(457&gt;$H$4,"",MATCH(457,'Fleet dates'!$K$9:$K$1008,0)+8)</x:f>
      </x:c>
    </x:row>
    <x:row r="466" ht="36" customHeight="1">
      <x:c r="A466" s="50" t="str">
        <x:f>IF(458&gt;$H$4,"",IF(INDEX('Fleet dates'!$A$9:$A$1008,$I466-8)="","",INDEX('Fleet dates'!$A$9:$A$1008,$I466-8)))</x:f>
      </x:c>
      <x:c r="B466" s="50" t="str">
        <x:f>IF(458&gt;$H$4,"",IF(INDEX('Fleet dates'!$B$9:$B$1008,$I466-8)="","",INDEX('Fleet dates'!$B$9:$B$1008,$I466-8)))</x:f>
      </x:c>
      <x:c r="C466" s="51" t="str">
        <x:f>IF(458&gt;$H$4,"",IF(INDEX('Fleet dates'!$C$9:$C$1008,$I466-8)="","",INDEX('Fleet dates'!$C$9:$C$1008,$I466-8)))</x:f>
      </x:c>
      <x:c r="D466" s="51" t="str">
        <x:f>IF(458&gt;$H$4,"",IF(INDEX('Fleet dates'!$D$9:$D$1008,$I466-8)="","",INDEX('Fleet dates'!$D$9:$D$1008,$I466-8)))</x:f>
      </x:c>
      <x:c r="E466" s="51" t="str">
        <x:f>IF(458&gt;$H$4,"",IF(INDEX('Fleet dates'!$E$9:$E$1008,$I466-8)="","",INDEX('Fleet dates'!$E$9:$E$1008,$I466-8)))</x:f>
      </x:c>
      <x:c r="F466" s="51" t="str">
        <x:f>IF(458&gt;$H$4,"",IF(INDEX('Fleet dates'!$F$9:$F$1008,$I466-8)="","",INDEX('Fleet dates'!$F$9:$F$1008,$I466-8)))</x:f>
      </x:c>
      <x:c r="G466" s="50" t="str">
        <x:f>IF(458&gt;$H$4,"",IF(INDEX('Fleet dates'!$G$9:$G$1008,$I466-8)="","",INDEX('Fleet dates'!$G$9:$G$1008,$I466-8)))</x:f>
      </x:c>
      <x:c r="H466" s="50" t="str">
        <x:f>IF(458&gt;$H$4,"",IF(INDEX('Fleet dates'!$I$9:$I$1008,$I466-8)="","",INDEX('Fleet dates'!$I$9:$I$1008,$I466-8)))</x:f>
      </x:c>
      <x:c r="I466" t="str">
        <x:f>IF(458&gt;$H$4,"",MATCH(458,'Fleet dates'!$K$9:$K$1008,0)+8)</x:f>
      </x:c>
    </x:row>
    <x:row r="467" ht="36" customHeight="1">
      <x:c r="A467" s="50" t="str">
        <x:f>IF(459&gt;$H$4,"",IF(INDEX('Fleet dates'!$A$9:$A$1008,$I467-8)="","",INDEX('Fleet dates'!$A$9:$A$1008,$I467-8)))</x:f>
      </x:c>
      <x:c r="B467" s="50" t="str">
        <x:f>IF(459&gt;$H$4,"",IF(INDEX('Fleet dates'!$B$9:$B$1008,$I467-8)="","",INDEX('Fleet dates'!$B$9:$B$1008,$I467-8)))</x:f>
      </x:c>
      <x:c r="C467" s="51" t="str">
        <x:f>IF(459&gt;$H$4,"",IF(INDEX('Fleet dates'!$C$9:$C$1008,$I467-8)="","",INDEX('Fleet dates'!$C$9:$C$1008,$I467-8)))</x:f>
      </x:c>
      <x:c r="D467" s="51" t="str">
        <x:f>IF(459&gt;$H$4,"",IF(INDEX('Fleet dates'!$D$9:$D$1008,$I467-8)="","",INDEX('Fleet dates'!$D$9:$D$1008,$I467-8)))</x:f>
      </x:c>
      <x:c r="E467" s="51" t="str">
        <x:f>IF(459&gt;$H$4,"",IF(INDEX('Fleet dates'!$E$9:$E$1008,$I467-8)="","",INDEX('Fleet dates'!$E$9:$E$1008,$I467-8)))</x:f>
      </x:c>
      <x:c r="F467" s="51" t="str">
        <x:f>IF(459&gt;$H$4,"",IF(INDEX('Fleet dates'!$F$9:$F$1008,$I467-8)="","",INDEX('Fleet dates'!$F$9:$F$1008,$I467-8)))</x:f>
      </x:c>
      <x:c r="G467" s="50" t="str">
        <x:f>IF(459&gt;$H$4,"",IF(INDEX('Fleet dates'!$G$9:$G$1008,$I467-8)="","",INDEX('Fleet dates'!$G$9:$G$1008,$I467-8)))</x:f>
      </x:c>
      <x:c r="H467" s="50" t="str">
        <x:f>IF(459&gt;$H$4,"",IF(INDEX('Fleet dates'!$I$9:$I$1008,$I467-8)="","",INDEX('Fleet dates'!$I$9:$I$1008,$I467-8)))</x:f>
      </x:c>
      <x:c r="I467" t="str">
        <x:f>IF(459&gt;$H$4,"",MATCH(459,'Fleet dates'!$K$9:$K$1008,0)+8)</x:f>
      </x:c>
    </x:row>
    <x:row r="468" ht="36" customHeight="1">
      <x:c r="A468" s="50" t="str">
        <x:f>IF(460&gt;$H$4,"",IF(INDEX('Fleet dates'!$A$9:$A$1008,$I468-8)="","",INDEX('Fleet dates'!$A$9:$A$1008,$I468-8)))</x:f>
      </x:c>
      <x:c r="B468" s="50" t="str">
        <x:f>IF(460&gt;$H$4,"",IF(INDEX('Fleet dates'!$B$9:$B$1008,$I468-8)="","",INDEX('Fleet dates'!$B$9:$B$1008,$I468-8)))</x:f>
      </x:c>
      <x:c r="C468" s="51" t="str">
        <x:f>IF(460&gt;$H$4,"",IF(INDEX('Fleet dates'!$C$9:$C$1008,$I468-8)="","",INDEX('Fleet dates'!$C$9:$C$1008,$I468-8)))</x:f>
      </x:c>
      <x:c r="D468" s="51" t="str">
        <x:f>IF(460&gt;$H$4,"",IF(INDEX('Fleet dates'!$D$9:$D$1008,$I468-8)="","",INDEX('Fleet dates'!$D$9:$D$1008,$I468-8)))</x:f>
      </x:c>
      <x:c r="E468" s="51" t="str">
        <x:f>IF(460&gt;$H$4,"",IF(INDEX('Fleet dates'!$E$9:$E$1008,$I468-8)="","",INDEX('Fleet dates'!$E$9:$E$1008,$I468-8)))</x:f>
      </x:c>
      <x:c r="F468" s="51" t="str">
        <x:f>IF(460&gt;$H$4,"",IF(INDEX('Fleet dates'!$F$9:$F$1008,$I468-8)="","",INDEX('Fleet dates'!$F$9:$F$1008,$I468-8)))</x:f>
      </x:c>
      <x:c r="G468" s="50" t="str">
        <x:f>IF(460&gt;$H$4,"",IF(INDEX('Fleet dates'!$G$9:$G$1008,$I468-8)="","",INDEX('Fleet dates'!$G$9:$G$1008,$I468-8)))</x:f>
      </x:c>
      <x:c r="H468" s="50" t="str">
        <x:f>IF(460&gt;$H$4,"",IF(INDEX('Fleet dates'!$I$9:$I$1008,$I468-8)="","",INDEX('Fleet dates'!$I$9:$I$1008,$I468-8)))</x:f>
      </x:c>
      <x:c r="I468" t="str">
        <x:f>IF(460&gt;$H$4,"",MATCH(460,'Fleet dates'!$K$9:$K$1008,0)+8)</x:f>
      </x:c>
    </x:row>
    <x:row r="469" ht="36" customHeight="1">
      <x:c r="A469" s="50" t="str">
        <x:f>IF(461&gt;$H$4,"",IF(INDEX('Fleet dates'!$A$9:$A$1008,$I469-8)="","",INDEX('Fleet dates'!$A$9:$A$1008,$I469-8)))</x:f>
      </x:c>
      <x:c r="B469" s="50" t="str">
        <x:f>IF(461&gt;$H$4,"",IF(INDEX('Fleet dates'!$B$9:$B$1008,$I469-8)="","",INDEX('Fleet dates'!$B$9:$B$1008,$I469-8)))</x:f>
      </x:c>
      <x:c r="C469" s="51" t="str">
        <x:f>IF(461&gt;$H$4,"",IF(INDEX('Fleet dates'!$C$9:$C$1008,$I469-8)="","",INDEX('Fleet dates'!$C$9:$C$1008,$I469-8)))</x:f>
      </x:c>
      <x:c r="D469" s="51" t="str">
        <x:f>IF(461&gt;$H$4,"",IF(INDEX('Fleet dates'!$D$9:$D$1008,$I469-8)="","",INDEX('Fleet dates'!$D$9:$D$1008,$I469-8)))</x:f>
      </x:c>
      <x:c r="E469" s="51" t="str">
        <x:f>IF(461&gt;$H$4,"",IF(INDEX('Fleet dates'!$E$9:$E$1008,$I469-8)="","",INDEX('Fleet dates'!$E$9:$E$1008,$I469-8)))</x:f>
      </x:c>
      <x:c r="F469" s="51" t="str">
        <x:f>IF(461&gt;$H$4,"",IF(INDEX('Fleet dates'!$F$9:$F$1008,$I469-8)="","",INDEX('Fleet dates'!$F$9:$F$1008,$I469-8)))</x:f>
      </x:c>
      <x:c r="G469" s="50" t="str">
        <x:f>IF(461&gt;$H$4,"",IF(INDEX('Fleet dates'!$G$9:$G$1008,$I469-8)="","",INDEX('Fleet dates'!$G$9:$G$1008,$I469-8)))</x:f>
      </x:c>
      <x:c r="H469" s="50" t="str">
        <x:f>IF(461&gt;$H$4,"",IF(INDEX('Fleet dates'!$I$9:$I$1008,$I469-8)="","",INDEX('Fleet dates'!$I$9:$I$1008,$I469-8)))</x:f>
      </x:c>
      <x:c r="I469" t="str">
        <x:f>IF(461&gt;$H$4,"",MATCH(461,'Fleet dates'!$K$9:$K$1008,0)+8)</x:f>
      </x:c>
    </x:row>
    <x:row r="470" ht="36" customHeight="1">
      <x:c r="A470" s="50" t="str">
        <x:f>IF(462&gt;$H$4,"",IF(INDEX('Fleet dates'!$A$9:$A$1008,$I470-8)="","",INDEX('Fleet dates'!$A$9:$A$1008,$I470-8)))</x:f>
      </x:c>
      <x:c r="B470" s="50" t="str">
        <x:f>IF(462&gt;$H$4,"",IF(INDEX('Fleet dates'!$B$9:$B$1008,$I470-8)="","",INDEX('Fleet dates'!$B$9:$B$1008,$I470-8)))</x:f>
      </x:c>
      <x:c r="C470" s="51" t="str">
        <x:f>IF(462&gt;$H$4,"",IF(INDEX('Fleet dates'!$C$9:$C$1008,$I470-8)="","",INDEX('Fleet dates'!$C$9:$C$1008,$I470-8)))</x:f>
      </x:c>
      <x:c r="D470" s="51" t="str">
        <x:f>IF(462&gt;$H$4,"",IF(INDEX('Fleet dates'!$D$9:$D$1008,$I470-8)="","",INDEX('Fleet dates'!$D$9:$D$1008,$I470-8)))</x:f>
      </x:c>
      <x:c r="E470" s="51" t="str">
        <x:f>IF(462&gt;$H$4,"",IF(INDEX('Fleet dates'!$E$9:$E$1008,$I470-8)="","",INDEX('Fleet dates'!$E$9:$E$1008,$I470-8)))</x:f>
      </x:c>
      <x:c r="F470" s="51" t="str">
        <x:f>IF(462&gt;$H$4,"",IF(INDEX('Fleet dates'!$F$9:$F$1008,$I470-8)="","",INDEX('Fleet dates'!$F$9:$F$1008,$I470-8)))</x:f>
      </x:c>
      <x:c r="G470" s="50" t="str">
        <x:f>IF(462&gt;$H$4,"",IF(INDEX('Fleet dates'!$G$9:$G$1008,$I470-8)="","",INDEX('Fleet dates'!$G$9:$G$1008,$I470-8)))</x:f>
      </x:c>
      <x:c r="H470" s="50" t="str">
        <x:f>IF(462&gt;$H$4,"",IF(INDEX('Fleet dates'!$I$9:$I$1008,$I470-8)="","",INDEX('Fleet dates'!$I$9:$I$1008,$I470-8)))</x:f>
      </x:c>
      <x:c r="I470" t="str">
        <x:f>IF(462&gt;$H$4,"",MATCH(462,'Fleet dates'!$K$9:$K$1008,0)+8)</x:f>
      </x:c>
    </x:row>
    <x:row r="471" ht="36" customHeight="1">
      <x:c r="A471" s="50" t="str">
        <x:f>IF(463&gt;$H$4,"",IF(INDEX('Fleet dates'!$A$9:$A$1008,$I471-8)="","",INDEX('Fleet dates'!$A$9:$A$1008,$I471-8)))</x:f>
      </x:c>
      <x:c r="B471" s="50" t="str">
        <x:f>IF(463&gt;$H$4,"",IF(INDEX('Fleet dates'!$B$9:$B$1008,$I471-8)="","",INDEX('Fleet dates'!$B$9:$B$1008,$I471-8)))</x:f>
      </x:c>
      <x:c r="C471" s="51" t="str">
        <x:f>IF(463&gt;$H$4,"",IF(INDEX('Fleet dates'!$C$9:$C$1008,$I471-8)="","",INDEX('Fleet dates'!$C$9:$C$1008,$I471-8)))</x:f>
      </x:c>
      <x:c r="D471" s="51" t="str">
        <x:f>IF(463&gt;$H$4,"",IF(INDEX('Fleet dates'!$D$9:$D$1008,$I471-8)="","",INDEX('Fleet dates'!$D$9:$D$1008,$I471-8)))</x:f>
      </x:c>
      <x:c r="E471" s="51" t="str">
        <x:f>IF(463&gt;$H$4,"",IF(INDEX('Fleet dates'!$E$9:$E$1008,$I471-8)="","",INDEX('Fleet dates'!$E$9:$E$1008,$I471-8)))</x:f>
      </x:c>
      <x:c r="F471" s="51" t="str">
        <x:f>IF(463&gt;$H$4,"",IF(INDEX('Fleet dates'!$F$9:$F$1008,$I471-8)="","",INDEX('Fleet dates'!$F$9:$F$1008,$I471-8)))</x:f>
      </x:c>
      <x:c r="G471" s="50" t="str">
        <x:f>IF(463&gt;$H$4,"",IF(INDEX('Fleet dates'!$G$9:$G$1008,$I471-8)="","",INDEX('Fleet dates'!$G$9:$G$1008,$I471-8)))</x:f>
      </x:c>
      <x:c r="H471" s="50" t="str">
        <x:f>IF(463&gt;$H$4,"",IF(INDEX('Fleet dates'!$I$9:$I$1008,$I471-8)="","",INDEX('Fleet dates'!$I$9:$I$1008,$I471-8)))</x:f>
      </x:c>
      <x:c r="I471" t="str">
        <x:f>IF(463&gt;$H$4,"",MATCH(463,'Fleet dates'!$K$9:$K$1008,0)+8)</x:f>
      </x:c>
    </x:row>
    <x:row r="472" ht="36" customHeight="1">
      <x:c r="A472" s="50" t="str">
        <x:f>IF(464&gt;$H$4,"",IF(INDEX('Fleet dates'!$A$9:$A$1008,$I472-8)="","",INDEX('Fleet dates'!$A$9:$A$1008,$I472-8)))</x:f>
      </x:c>
      <x:c r="B472" s="50" t="str">
        <x:f>IF(464&gt;$H$4,"",IF(INDEX('Fleet dates'!$B$9:$B$1008,$I472-8)="","",INDEX('Fleet dates'!$B$9:$B$1008,$I472-8)))</x:f>
      </x:c>
      <x:c r="C472" s="51" t="str">
        <x:f>IF(464&gt;$H$4,"",IF(INDEX('Fleet dates'!$C$9:$C$1008,$I472-8)="","",INDEX('Fleet dates'!$C$9:$C$1008,$I472-8)))</x:f>
      </x:c>
      <x:c r="D472" s="51" t="str">
        <x:f>IF(464&gt;$H$4,"",IF(INDEX('Fleet dates'!$D$9:$D$1008,$I472-8)="","",INDEX('Fleet dates'!$D$9:$D$1008,$I472-8)))</x:f>
      </x:c>
      <x:c r="E472" s="51" t="str">
        <x:f>IF(464&gt;$H$4,"",IF(INDEX('Fleet dates'!$E$9:$E$1008,$I472-8)="","",INDEX('Fleet dates'!$E$9:$E$1008,$I472-8)))</x:f>
      </x:c>
      <x:c r="F472" s="51" t="str">
        <x:f>IF(464&gt;$H$4,"",IF(INDEX('Fleet dates'!$F$9:$F$1008,$I472-8)="","",INDEX('Fleet dates'!$F$9:$F$1008,$I472-8)))</x:f>
      </x:c>
      <x:c r="G472" s="50" t="str">
        <x:f>IF(464&gt;$H$4,"",IF(INDEX('Fleet dates'!$G$9:$G$1008,$I472-8)="","",INDEX('Fleet dates'!$G$9:$G$1008,$I472-8)))</x:f>
      </x:c>
      <x:c r="H472" s="50" t="str">
        <x:f>IF(464&gt;$H$4,"",IF(INDEX('Fleet dates'!$I$9:$I$1008,$I472-8)="","",INDEX('Fleet dates'!$I$9:$I$1008,$I472-8)))</x:f>
      </x:c>
      <x:c r="I472" t="str">
        <x:f>IF(464&gt;$H$4,"",MATCH(464,'Fleet dates'!$K$9:$K$1008,0)+8)</x:f>
      </x:c>
    </x:row>
    <x:row r="473" ht="36" customHeight="1">
      <x:c r="A473" s="50" t="str">
        <x:f>IF(465&gt;$H$4,"",IF(INDEX('Fleet dates'!$A$9:$A$1008,$I473-8)="","",INDEX('Fleet dates'!$A$9:$A$1008,$I473-8)))</x:f>
      </x:c>
      <x:c r="B473" s="50" t="str">
        <x:f>IF(465&gt;$H$4,"",IF(INDEX('Fleet dates'!$B$9:$B$1008,$I473-8)="","",INDEX('Fleet dates'!$B$9:$B$1008,$I473-8)))</x:f>
      </x:c>
      <x:c r="C473" s="51" t="str">
        <x:f>IF(465&gt;$H$4,"",IF(INDEX('Fleet dates'!$C$9:$C$1008,$I473-8)="","",INDEX('Fleet dates'!$C$9:$C$1008,$I473-8)))</x:f>
      </x:c>
      <x:c r="D473" s="51" t="str">
        <x:f>IF(465&gt;$H$4,"",IF(INDEX('Fleet dates'!$D$9:$D$1008,$I473-8)="","",INDEX('Fleet dates'!$D$9:$D$1008,$I473-8)))</x:f>
      </x:c>
      <x:c r="E473" s="51" t="str">
        <x:f>IF(465&gt;$H$4,"",IF(INDEX('Fleet dates'!$E$9:$E$1008,$I473-8)="","",INDEX('Fleet dates'!$E$9:$E$1008,$I473-8)))</x:f>
      </x:c>
      <x:c r="F473" s="51" t="str">
        <x:f>IF(465&gt;$H$4,"",IF(INDEX('Fleet dates'!$F$9:$F$1008,$I473-8)="","",INDEX('Fleet dates'!$F$9:$F$1008,$I473-8)))</x:f>
      </x:c>
      <x:c r="G473" s="50" t="str">
        <x:f>IF(465&gt;$H$4,"",IF(INDEX('Fleet dates'!$G$9:$G$1008,$I473-8)="","",INDEX('Fleet dates'!$G$9:$G$1008,$I473-8)))</x:f>
      </x:c>
      <x:c r="H473" s="50" t="str">
        <x:f>IF(465&gt;$H$4,"",IF(INDEX('Fleet dates'!$I$9:$I$1008,$I473-8)="","",INDEX('Fleet dates'!$I$9:$I$1008,$I473-8)))</x:f>
      </x:c>
      <x:c r="I473" t="str">
        <x:f>IF(465&gt;$H$4,"",MATCH(465,'Fleet dates'!$K$9:$K$1008,0)+8)</x:f>
      </x:c>
    </x:row>
    <x:row r="474" ht="36" customHeight="1">
      <x:c r="A474" s="50" t="str">
        <x:f>IF(466&gt;$H$4,"",IF(INDEX('Fleet dates'!$A$9:$A$1008,$I474-8)="","",INDEX('Fleet dates'!$A$9:$A$1008,$I474-8)))</x:f>
      </x:c>
      <x:c r="B474" s="50" t="str">
        <x:f>IF(466&gt;$H$4,"",IF(INDEX('Fleet dates'!$B$9:$B$1008,$I474-8)="","",INDEX('Fleet dates'!$B$9:$B$1008,$I474-8)))</x:f>
      </x:c>
      <x:c r="C474" s="51" t="str">
        <x:f>IF(466&gt;$H$4,"",IF(INDEX('Fleet dates'!$C$9:$C$1008,$I474-8)="","",INDEX('Fleet dates'!$C$9:$C$1008,$I474-8)))</x:f>
      </x:c>
      <x:c r="D474" s="51" t="str">
        <x:f>IF(466&gt;$H$4,"",IF(INDEX('Fleet dates'!$D$9:$D$1008,$I474-8)="","",INDEX('Fleet dates'!$D$9:$D$1008,$I474-8)))</x:f>
      </x:c>
      <x:c r="E474" s="51" t="str">
        <x:f>IF(466&gt;$H$4,"",IF(INDEX('Fleet dates'!$E$9:$E$1008,$I474-8)="","",INDEX('Fleet dates'!$E$9:$E$1008,$I474-8)))</x:f>
      </x:c>
      <x:c r="F474" s="51" t="str">
        <x:f>IF(466&gt;$H$4,"",IF(INDEX('Fleet dates'!$F$9:$F$1008,$I474-8)="","",INDEX('Fleet dates'!$F$9:$F$1008,$I474-8)))</x:f>
      </x:c>
      <x:c r="G474" s="50" t="str">
        <x:f>IF(466&gt;$H$4,"",IF(INDEX('Fleet dates'!$G$9:$G$1008,$I474-8)="","",INDEX('Fleet dates'!$G$9:$G$1008,$I474-8)))</x:f>
      </x:c>
      <x:c r="H474" s="50" t="str">
        <x:f>IF(466&gt;$H$4,"",IF(INDEX('Fleet dates'!$I$9:$I$1008,$I474-8)="","",INDEX('Fleet dates'!$I$9:$I$1008,$I474-8)))</x:f>
      </x:c>
      <x:c r="I474" t="str">
        <x:f>IF(466&gt;$H$4,"",MATCH(466,'Fleet dates'!$K$9:$K$1008,0)+8)</x:f>
      </x:c>
    </x:row>
    <x:row r="475" ht="36" customHeight="1">
      <x:c r="A475" s="50" t="str">
        <x:f>IF(467&gt;$H$4,"",IF(INDEX('Fleet dates'!$A$9:$A$1008,$I475-8)="","",INDEX('Fleet dates'!$A$9:$A$1008,$I475-8)))</x:f>
      </x:c>
      <x:c r="B475" s="50" t="str">
        <x:f>IF(467&gt;$H$4,"",IF(INDEX('Fleet dates'!$B$9:$B$1008,$I475-8)="","",INDEX('Fleet dates'!$B$9:$B$1008,$I475-8)))</x:f>
      </x:c>
      <x:c r="C475" s="51" t="str">
        <x:f>IF(467&gt;$H$4,"",IF(INDEX('Fleet dates'!$C$9:$C$1008,$I475-8)="","",INDEX('Fleet dates'!$C$9:$C$1008,$I475-8)))</x:f>
      </x:c>
      <x:c r="D475" s="51" t="str">
        <x:f>IF(467&gt;$H$4,"",IF(INDEX('Fleet dates'!$D$9:$D$1008,$I475-8)="","",INDEX('Fleet dates'!$D$9:$D$1008,$I475-8)))</x:f>
      </x:c>
      <x:c r="E475" s="51" t="str">
        <x:f>IF(467&gt;$H$4,"",IF(INDEX('Fleet dates'!$E$9:$E$1008,$I475-8)="","",INDEX('Fleet dates'!$E$9:$E$1008,$I475-8)))</x:f>
      </x:c>
      <x:c r="F475" s="51" t="str">
        <x:f>IF(467&gt;$H$4,"",IF(INDEX('Fleet dates'!$F$9:$F$1008,$I475-8)="","",INDEX('Fleet dates'!$F$9:$F$1008,$I475-8)))</x:f>
      </x:c>
      <x:c r="G475" s="50" t="str">
        <x:f>IF(467&gt;$H$4,"",IF(INDEX('Fleet dates'!$G$9:$G$1008,$I475-8)="","",INDEX('Fleet dates'!$G$9:$G$1008,$I475-8)))</x:f>
      </x:c>
      <x:c r="H475" s="50" t="str">
        <x:f>IF(467&gt;$H$4,"",IF(INDEX('Fleet dates'!$I$9:$I$1008,$I475-8)="","",INDEX('Fleet dates'!$I$9:$I$1008,$I475-8)))</x:f>
      </x:c>
      <x:c r="I475" t="str">
        <x:f>IF(467&gt;$H$4,"",MATCH(467,'Fleet dates'!$K$9:$K$1008,0)+8)</x:f>
      </x:c>
    </x:row>
    <x:row r="476" ht="36" customHeight="1">
      <x:c r="A476" s="50" t="str">
        <x:f>IF(468&gt;$H$4,"",IF(INDEX('Fleet dates'!$A$9:$A$1008,$I476-8)="","",INDEX('Fleet dates'!$A$9:$A$1008,$I476-8)))</x:f>
      </x:c>
      <x:c r="B476" s="50" t="str">
        <x:f>IF(468&gt;$H$4,"",IF(INDEX('Fleet dates'!$B$9:$B$1008,$I476-8)="","",INDEX('Fleet dates'!$B$9:$B$1008,$I476-8)))</x:f>
      </x:c>
      <x:c r="C476" s="51" t="str">
        <x:f>IF(468&gt;$H$4,"",IF(INDEX('Fleet dates'!$C$9:$C$1008,$I476-8)="","",INDEX('Fleet dates'!$C$9:$C$1008,$I476-8)))</x:f>
      </x:c>
      <x:c r="D476" s="51" t="str">
        <x:f>IF(468&gt;$H$4,"",IF(INDEX('Fleet dates'!$D$9:$D$1008,$I476-8)="","",INDEX('Fleet dates'!$D$9:$D$1008,$I476-8)))</x:f>
      </x:c>
      <x:c r="E476" s="51" t="str">
        <x:f>IF(468&gt;$H$4,"",IF(INDEX('Fleet dates'!$E$9:$E$1008,$I476-8)="","",INDEX('Fleet dates'!$E$9:$E$1008,$I476-8)))</x:f>
      </x:c>
      <x:c r="F476" s="51" t="str">
        <x:f>IF(468&gt;$H$4,"",IF(INDEX('Fleet dates'!$F$9:$F$1008,$I476-8)="","",INDEX('Fleet dates'!$F$9:$F$1008,$I476-8)))</x:f>
      </x:c>
      <x:c r="G476" s="50" t="str">
        <x:f>IF(468&gt;$H$4,"",IF(INDEX('Fleet dates'!$G$9:$G$1008,$I476-8)="","",INDEX('Fleet dates'!$G$9:$G$1008,$I476-8)))</x:f>
      </x:c>
      <x:c r="H476" s="50" t="str">
        <x:f>IF(468&gt;$H$4,"",IF(INDEX('Fleet dates'!$I$9:$I$1008,$I476-8)="","",INDEX('Fleet dates'!$I$9:$I$1008,$I476-8)))</x:f>
      </x:c>
      <x:c r="I476" t="str">
        <x:f>IF(468&gt;$H$4,"",MATCH(468,'Fleet dates'!$K$9:$K$1008,0)+8)</x:f>
      </x:c>
    </x:row>
    <x:row r="477" ht="36" customHeight="1">
      <x:c r="A477" s="50" t="str">
        <x:f>IF(469&gt;$H$4,"",IF(INDEX('Fleet dates'!$A$9:$A$1008,$I477-8)="","",INDEX('Fleet dates'!$A$9:$A$1008,$I477-8)))</x:f>
      </x:c>
      <x:c r="B477" s="50" t="str">
        <x:f>IF(469&gt;$H$4,"",IF(INDEX('Fleet dates'!$B$9:$B$1008,$I477-8)="","",INDEX('Fleet dates'!$B$9:$B$1008,$I477-8)))</x:f>
      </x:c>
      <x:c r="C477" s="51" t="str">
        <x:f>IF(469&gt;$H$4,"",IF(INDEX('Fleet dates'!$C$9:$C$1008,$I477-8)="","",INDEX('Fleet dates'!$C$9:$C$1008,$I477-8)))</x:f>
      </x:c>
      <x:c r="D477" s="51" t="str">
        <x:f>IF(469&gt;$H$4,"",IF(INDEX('Fleet dates'!$D$9:$D$1008,$I477-8)="","",INDEX('Fleet dates'!$D$9:$D$1008,$I477-8)))</x:f>
      </x:c>
      <x:c r="E477" s="51" t="str">
        <x:f>IF(469&gt;$H$4,"",IF(INDEX('Fleet dates'!$E$9:$E$1008,$I477-8)="","",INDEX('Fleet dates'!$E$9:$E$1008,$I477-8)))</x:f>
      </x:c>
      <x:c r="F477" s="51" t="str">
        <x:f>IF(469&gt;$H$4,"",IF(INDEX('Fleet dates'!$F$9:$F$1008,$I477-8)="","",INDEX('Fleet dates'!$F$9:$F$1008,$I477-8)))</x:f>
      </x:c>
      <x:c r="G477" s="50" t="str">
        <x:f>IF(469&gt;$H$4,"",IF(INDEX('Fleet dates'!$G$9:$G$1008,$I477-8)="","",INDEX('Fleet dates'!$G$9:$G$1008,$I477-8)))</x:f>
      </x:c>
      <x:c r="H477" s="50" t="str">
        <x:f>IF(469&gt;$H$4,"",IF(INDEX('Fleet dates'!$I$9:$I$1008,$I477-8)="","",INDEX('Fleet dates'!$I$9:$I$1008,$I477-8)))</x:f>
      </x:c>
      <x:c r="I477" t="str">
        <x:f>IF(469&gt;$H$4,"",MATCH(469,'Fleet dates'!$K$9:$K$1008,0)+8)</x:f>
      </x:c>
    </x:row>
    <x:row r="478" ht="36" customHeight="1">
      <x:c r="A478" s="50" t="str">
        <x:f>IF(470&gt;$H$4,"",IF(INDEX('Fleet dates'!$A$9:$A$1008,$I478-8)="","",INDEX('Fleet dates'!$A$9:$A$1008,$I478-8)))</x:f>
      </x:c>
      <x:c r="B478" s="50" t="str">
        <x:f>IF(470&gt;$H$4,"",IF(INDEX('Fleet dates'!$B$9:$B$1008,$I478-8)="","",INDEX('Fleet dates'!$B$9:$B$1008,$I478-8)))</x:f>
      </x:c>
      <x:c r="C478" s="51" t="str">
        <x:f>IF(470&gt;$H$4,"",IF(INDEX('Fleet dates'!$C$9:$C$1008,$I478-8)="","",INDEX('Fleet dates'!$C$9:$C$1008,$I478-8)))</x:f>
      </x:c>
      <x:c r="D478" s="51" t="str">
        <x:f>IF(470&gt;$H$4,"",IF(INDEX('Fleet dates'!$D$9:$D$1008,$I478-8)="","",INDEX('Fleet dates'!$D$9:$D$1008,$I478-8)))</x:f>
      </x:c>
      <x:c r="E478" s="51" t="str">
        <x:f>IF(470&gt;$H$4,"",IF(INDEX('Fleet dates'!$E$9:$E$1008,$I478-8)="","",INDEX('Fleet dates'!$E$9:$E$1008,$I478-8)))</x:f>
      </x:c>
      <x:c r="F478" s="51" t="str">
        <x:f>IF(470&gt;$H$4,"",IF(INDEX('Fleet dates'!$F$9:$F$1008,$I478-8)="","",INDEX('Fleet dates'!$F$9:$F$1008,$I478-8)))</x:f>
      </x:c>
      <x:c r="G478" s="50" t="str">
        <x:f>IF(470&gt;$H$4,"",IF(INDEX('Fleet dates'!$G$9:$G$1008,$I478-8)="","",INDEX('Fleet dates'!$G$9:$G$1008,$I478-8)))</x:f>
      </x:c>
      <x:c r="H478" s="50" t="str">
        <x:f>IF(470&gt;$H$4,"",IF(INDEX('Fleet dates'!$I$9:$I$1008,$I478-8)="","",INDEX('Fleet dates'!$I$9:$I$1008,$I478-8)))</x:f>
      </x:c>
      <x:c r="I478" t="str">
        <x:f>IF(470&gt;$H$4,"",MATCH(470,'Fleet dates'!$K$9:$K$1008,0)+8)</x:f>
      </x:c>
    </x:row>
    <x:row r="479" ht="36" customHeight="1">
      <x:c r="A479" s="50" t="str">
        <x:f>IF(471&gt;$H$4,"",IF(INDEX('Fleet dates'!$A$9:$A$1008,$I479-8)="","",INDEX('Fleet dates'!$A$9:$A$1008,$I479-8)))</x:f>
      </x:c>
      <x:c r="B479" s="50" t="str">
        <x:f>IF(471&gt;$H$4,"",IF(INDEX('Fleet dates'!$B$9:$B$1008,$I479-8)="","",INDEX('Fleet dates'!$B$9:$B$1008,$I479-8)))</x:f>
      </x:c>
      <x:c r="C479" s="51" t="str">
        <x:f>IF(471&gt;$H$4,"",IF(INDEX('Fleet dates'!$C$9:$C$1008,$I479-8)="","",INDEX('Fleet dates'!$C$9:$C$1008,$I479-8)))</x:f>
      </x:c>
      <x:c r="D479" s="51" t="str">
        <x:f>IF(471&gt;$H$4,"",IF(INDEX('Fleet dates'!$D$9:$D$1008,$I479-8)="","",INDEX('Fleet dates'!$D$9:$D$1008,$I479-8)))</x:f>
      </x:c>
      <x:c r="E479" s="51" t="str">
        <x:f>IF(471&gt;$H$4,"",IF(INDEX('Fleet dates'!$E$9:$E$1008,$I479-8)="","",INDEX('Fleet dates'!$E$9:$E$1008,$I479-8)))</x:f>
      </x:c>
      <x:c r="F479" s="51" t="str">
        <x:f>IF(471&gt;$H$4,"",IF(INDEX('Fleet dates'!$F$9:$F$1008,$I479-8)="","",INDEX('Fleet dates'!$F$9:$F$1008,$I479-8)))</x:f>
      </x:c>
      <x:c r="G479" s="50" t="str">
        <x:f>IF(471&gt;$H$4,"",IF(INDEX('Fleet dates'!$G$9:$G$1008,$I479-8)="","",INDEX('Fleet dates'!$G$9:$G$1008,$I479-8)))</x:f>
      </x:c>
      <x:c r="H479" s="50" t="str">
        <x:f>IF(471&gt;$H$4,"",IF(INDEX('Fleet dates'!$I$9:$I$1008,$I479-8)="","",INDEX('Fleet dates'!$I$9:$I$1008,$I479-8)))</x:f>
      </x:c>
      <x:c r="I479" t="str">
        <x:f>IF(471&gt;$H$4,"",MATCH(471,'Fleet dates'!$K$9:$K$1008,0)+8)</x:f>
      </x:c>
    </x:row>
    <x:row r="480" ht="36" customHeight="1">
      <x:c r="A480" s="50" t="str">
        <x:f>IF(472&gt;$H$4,"",IF(INDEX('Fleet dates'!$A$9:$A$1008,$I480-8)="","",INDEX('Fleet dates'!$A$9:$A$1008,$I480-8)))</x:f>
      </x:c>
      <x:c r="B480" s="50" t="str">
        <x:f>IF(472&gt;$H$4,"",IF(INDEX('Fleet dates'!$B$9:$B$1008,$I480-8)="","",INDEX('Fleet dates'!$B$9:$B$1008,$I480-8)))</x:f>
      </x:c>
      <x:c r="C480" s="51" t="str">
        <x:f>IF(472&gt;$H$4,"",IF(INDEX('Fleet dates'!$C$9:$C$1008,$I480-8)="","",INDEX('Fleet dates'!$C$9:$C$1008,$I480-8)))</x:f>
      </x:c>
      <x:c r="D480" s="51" t="str">
        <x:f>IF(472&gt;$H$4,"",IF(INDEX('Fleet dates'!$D$9:$D$1008,$I480-8)="","",INDEX('Fleet dates'!$D$9:$D$1008,$I480-8)))</x:f>
      </x:c>
      <x:c r="E480" s="51" t="str">
        <x:f>IF(472&gt;$H$4,"",IF(INDEX('Fleet dates'!$E$9:$E$1008,$I480-8)="","",INDEX('Fleet dates'!$E$9:$E$1008,$I480-8)))</x:f>
      </x:c>
      <x:c r="F480" s="51" t="str">
        <x:f>IF(472&gt;$H$4,"",IF(INDEX('Fleet dates'!$F$9:$F$1008,$I480-8)="","",INDEX('Fleet dates'!$F$9:$F$1008,$I480-8)))</x:f>
      </x:c>
      <x:c r="G480" s="50" t="str">
        <x:f>IF(472&gt;$H$4,"",IF(INDEX('Fleet dates'!$G$9:$G$1008,$I480-8)="","",INDEX('Fleet dates'!$G$9:$G$1008,$I480-8)))</x:f>
      </x:c>
      <x:c r="H480" s="50" t="str">
        <x:f>IF(472&gt;$H$4,"",IF(INDEX('Fleet dates'!$I$9:$I$1008,$I480-8)="","",INDEX('Fleet dates'!$I$9:$I$1008,$I480-8)))</x:f>
      </x:c>
      <x:c r="I480" t="str">
        <x:f>IF(472&gt;$H$4,"",MATCH(472,'Fleet dates'!$K$9:$K$1008,0)+8)</x:f>
      </x:c>
    </x:row>
    <x:row r="481" ht="36" customHeight="1">
      <x:c r="A481" s="50" t="str">
        <x:f>IF(473&gt;$H$4,"",IF(INDEX('Fleet dates'!$A$9:$A$1008,$I481-8)="","",INDEX('Fleet dates'!$A$9:$A$1008,$I481-8)))</x:f>
      </x:c>
      <x:c r="B481" s="50" t="str">
        <x:f>IF(473&gt;$H$4,"",IF(INDEX('Fleet dates'!$B$9:$B$1008,$I481-8)="","",INDEX('Fleet dates'!$B$9:$B$1008,$I481-8)))</x:f>
      </x:c>
      <x:c r="C481" s="51" t="str">
        <x:f>IF(473&gt;$H$4,"",IF(INDEX('Fleet dates'!$C$9:$C$1008,$I481-8)="","",INDEX('Fleet dates'!$C$9:$C$1008,$I481-8)))</x:f>
      </x:c>
      <x:c r="D481" s="51" t="str">
        <x:f>IF(473&gt;$H$4,"",IF(INDEX('Fleet dates'!$D$9:$D$1008,$I481-8)="","",INDEX('Fleet dates'!$D$9:$D$1008,$I481-8)))</x:f>
      </x:c>
      <x:c r="E481" s="51" t="str">
        <x:f>IF(473&gt;$H$4,"",IF(INDEX('Fleet dates'!$E$9:$E$1008,$I481-8)="","",INDEX('Fleet dates'!$E$9:$E$1008,$I481-8)))</x:f>
      </x:c>
      <x:c r="F481" s="51" t="str">
        <x:f>IF(473&gt;$H$4,"",IF(INDEX('Fleet dates'!$F$9:$F$1008,$I481-8)="","",INDEX('Fleet dates'!$F$9:$F$1008,$I481-8)))</x:f>
      </x:c>
      <x:c r="G481" s="50" t="str">
        <x:f>IF(473&gt;$H$4,"",IF(INDEX('Fleet dates'!$G$9:$G$1008,$I481-8)="","",INDEX('Fleet dates'!$G$9:$G$1008,$I481-8)))</x:f>
      </x:c>
      <x:c r="H481" s="50" t="str">
        <x:f>IF(473&gt;$H$4,"",IF(INDEX('Fleet dates'!$I$9:$I$1008,$I481-8)="","",INDEX('Fleet dates'!$I$9:$I$1008,$I481-8)))</x:f>
      </x:c>
      <x:c r="I481" t="str">
        <x:f>IF(473&gt;$H$4,"",MATCH(473,'Fleet dates'!$K$9:$K$1008,0)+8)</x:f>
      </x:c>
    </x:row>
    <x:row r="482" ht="36" customHeight="1">
      <x:c r="A482" s="50" t="str">
        <x:f>IF(474&gt;$H$4,"",IF(INDEX('Fleet dates'!$A$9:$A$1008,$I482-8)="","",INDEX('Fleet dates'!$A$9:$A$1008,$I482-8)))</x:f>
      </x:c>
      <x:c r="B482" s="50" t="str">
        <x:f>IF(474&gt;$H$4,"",IF(INDEX('Fleet dates'!$B$9:$B$1008,$I482-8)="","",INDEX('Fleet dates'!$B$9:$B$1008,$I482-8)))</x:f>
      </x:c>
      <x:c r="C482" s="51" t="str">
        <x:f>IF(474&gt;$H$4,"",IF(INDEX('Fleet dates'!$C$9:$C$1008,$I482-8)="","",INDEX('Fleet dates'!$C$9:$C$1008,$I482-8)))</x:f>
      </x:c>
      <x:c r="D482" s="51" t="str">
        <x:f>IF(474&gt;$H$4,"",IF(INDEX('Fleet dates'!$D$9:$D$1008,$I482-8)="","",INDEX('Fleet dates'!$D$9:$D$1008,$I482-8)))</x:f>
      </x:c>
      <x:c r="E482" s="51" t="str">
        <x:f>IF(474&gt;$H$4,"",IF(INDEX('Fleet dates'!$E$9:$E$1008,$I482-8)="","",INDEX('Fleet dates'!$E$9:$E$1008,$I482-8)))</x:f>
      </x:c>
      <x:c r="F482" s="51" t="str">
        <x:f>IF(474&gt;$H$4,"",IF(INDEX('Fleet dates'!$F$9:$F$1008,$I482-8)="","",INDEX('Fleet dates'!$F$9:$F$1008,$I482-8)))</x:f>
      </x:c>
      <x:c r="G482" s="50" t="str">
        <x:f>IF(474&gt;$H$4,"",IF(INDEX('Fleet dates'!$G$9:$G$1008,$I482-8)="","",INDEX('Fleet dates'!$G$9:$G$1008,$I482-8)))</x:f>
      </x:c>
      <x:c r="H482" s="50" t="str">
        <x:f>IF(474&gt;$H$4,"",IF(INDEX('Fleet dates'!$I$9:$I$1008,$I482-8)="","",INDEX('Fleet dates'!$I$9:$I$1008,$I482-8)))</x:f>
      </x:c>
      <x:c r="I482" t="str">
        <x:f>IF(474&gt;$H$4,"",MATCH(474,'Fleet dates'!$K$9:$K$1008,0)+8)</x:f>
      </x:c>
    </x:row>
    <x:row r="483" ht="36" customHeight="1">
      <x:c r="A483" s="50" t="str">
        <x:f>IF(475&gt;$H$4,"",IF(INDEX('Fleet dates'!$A$9:$A$1008,$I483-8)="","",INDEX('Fleet dates'!$A$9:$A$1008,$I483-8)))</x:f>
      </x:c>
      <x:c r="B483" s="50" t="str">
        <x:f>IF(475&gt;$H$4,"",IF(INDEX('Fleet dates'!$B$9:$B$1008,$I483-8)="","",INDEX('Fleet dates'!$B$9:$B$1008,$I483-8)))</x:f>
      </x:c>
      <x:c r="C483" s="51" t="str">
        <x:f>IF(475&gt;$H$4,"",IF(INDEX('Fleet dates'!$C$9:$C$1008,$I483-8)="","",INDEX('Fleet dates'!$C$9:$C$1008,$I483-8)))</x:f>
      </x:c>
      <x:c r="D483" s="51" t="str">
        <x:f>IF(475&gt;$H$4,"",IF(INDEX('Fleet dates'!$D$9:$D$1008,$I483-8)="","",INDEX('Fleet dates'!$D$9:$D$1008,$I483-8)))</x:f>
      </x:c>
      <x:c r="E483" s="51" t="str">
        <x:f>IF(475&gt;$H$4,"",IF(INDEX('Fleet dates'!$E$9:$E$1008,$I483-8)="","",INDEX('Fleet dates'!$E$9:$E$1008,$I483-8)))</x:f>
      </x:c>
      <x:c r="F483" s="51" t="str">
        <x:f>IF(475&gt;$H$4,"",IF(INDEX('Fleet dates'!$F$9:$F$1008,$I483-8)="","",INDEX('Fleet dates'!$F$9:$F$1008,$I483-8)))</x:f>
      </x:c>
      <x:c r="G483" s="50" t="str">
        <x:f>IF(475&gt;$H$4,"",IF(INDEX('Fleet dates'!$G$9:$G$1008,$I483-8)="","",INDEX('Fleet dates'!$G$9:$G$1008,$I483-8)))</x:f>
      </x:c>
      <x:c r="H483" s="50" t="str">
        <x:f>IF(475&gt;$H$4,"",IF(INDEX('Fleet dates'!$I$9:$I$1008,$I483-8)="","",INDEX('Fleet dates'!$I$9:$I$1008,$I483-8)))</x:f>
      </x:c>
      <x:c r="I483" t="str">
        <x:f>IF(475&gt;$H$4,"",MATCH(475,'Fleet dates'!$K$9:$K$1008,0)+8)</x:f>
      </x:c>
    </x:row>
    <x:row r="484" ht="36" customHeight="1">
      <x:c r="A484" s="50" t="str">
        <x:f>IF(476&gt;$H$4,"",IF(INDEX('Fleet dates'!$A$9:$A$1008,$I484-8)="","",INDEX('Fleet dates'!$A$9:$A$1008,$I484-8)))</x:f>
      </x:c>
      <x:c r="B484" s="50" t="str">
        <x:f>IF(476&gt;$H$4,"",IF(INDEX('Fleet dates'!$B$9:$B$1008,$I484-8)="","",INDEX('Fleet dates'!$B$9:$B$1008,$I484-8)))</x:f>
      </x:c>
      <x:c r="C484" s="51" t="str">
        <x:f>IF(476&gt;$H$4,"",IF(INDEX('Fleet dates'!$C$9:$C$1008,$I484-8)="","",INDEX('Fleet dates'!$C$9:$C$1008,$I484-8)))</x:f>
      </x:c>
      <x:c r="D484" s="51" t="str">
        <x:f>IF(476&gt;$H$4,"",IF(INDEX('Fleet dates'!$D$9:$D$1008,$I484-8)="","",INDEX('Fleet dates'!$D$9:$D$1008,$I484-8)))</x:f>
      </x:c>
      <x:c r="E484" s="51" t="str">
        <x:f>IF(476&gt;$H$4,"",IF(INDEX('Fleet dates'!$E$9:$E$1008,$I484-8)="","",INDEX('Fleet dates'!$E$9:$E$1008,$I484-8)))</x:f>
      </x:c>
      <x:c r="F484" s="51" t="str">
        <x:f>IF(476&gt;$H$4,"",IF(INDEX('Fleet dates'!$F$9:$F$1008,$I484-8)="","",INDEX('Fleet dates'!$F$9:$F$1008,$I484-8)))</x:f>
      </x:c>
      <x:c r="G484" s="50" t="str">
        <x:f>IF(476&gt;$H$4,"",IF(INDEX('Fleet dates'!$G$9:$G$1008,$I484-8)="","",INDEX('Fleet dates'!$G$9:$G$1008,$I484-8)))</x:f>
      </x:c>
      <x:c r="H484" s="50" t="str">
        <x:f>IF(476&gt;$H$4,"",IF(INDEX('Fleet dates'!$I$9:$I$1008,$I484-8)="","",INDEX('Fleet dates'!$I$9:$I$1008,$I484-8)))</x:f>
      </x:c>
      <x:c r="I484" t="str">
        <x:f>IF(476&gt;$H$4,"",MATCH(476,'Fleet dates'!$K$9:$K$1008,0)+8)</x:f>
      </x:c>
    </x:row>
    <x:row r="485" ht="36" customHeight="1">
      <x:c r="A485" s="50" t="str">
        <x:f>IF(477&gt;$H$4,"",IF(INDEX('Fleet dates'!$A$9:$A$1008,$I485-8)="","",INDEX('Fleet dates'!$A$9:$A$1008,$I485-8)))</x:f>
      </x:c>
      <x:c r="B485" s="50" t="str">
        <x:f>IF(477&gt;$H$4,"",IF(INDEX('Fleet dates'!$B$9:$B$1008,$I485-8)="","",INDEX('Fleet dates'!$B$9:$B$1008,$I485-8)))</x:f>
      </x:c>
      <x:c r="C485" s="51" t="str">
        <x:f>IF(477&gt;$H$4,"",IF(INDEX('Fleet dates'!$C$9:$C$1008,$I485-8)="","",INDEX('Fleet dates'!$C$9:$C$1008,$I485-8)))</x:f>
      </x:c>
      <x:c r="D485" s="51" t="str">
        <x:f>IF(477&gt;$H$4,"",IF(INDEX('Fleet dates'!$D$9:$D$1008,$I485-8)="","",INDEX('Fleet dates'!$D$9:$D$1008,$I485-8)))</x:f>
      </x:c>
      <x:c r="E485" s="51" t="str">
        <x:f>IF(477&gt;$H$4,"",IF(INDEX('Fleet dates'!$E$9:$E$1008,$I485-8)="","",INDEX('Fleet dates'!$E$9:$E$1008,$I485-8)))</x:f>
      </x:c>
      <x:c r="F485" s="51" t="str">
        <x:f>IF(477&gt;$H$4,"",IF(INDEX('Fleet dates'!$F$9:$F$1008,$I485-8)="","",INDEX('Fleet dates'!$F$9:$F$1008,$I485-8)))</x:f>
      </x:c>
      <x:c r="G485" s="50" t="str">
        <x:f>IF(477&gt;$H$4,"",IF(INDEX('Fleet dates'!$G$9:$G$1008,$I485-8)="","",INDEX('Fleet dates'!$G$9:$G$1008,$I485-8)))</x:f>
      </x:c>
      <x:c r="H485" s="50" t="str">
        <x:f>IF(477&gt;$H$4,"",IF(INDEX('Fleet dates'!$I$9:$I$1008,$I485-8)="","",INDEX('Fleet dates'!$I$9:$I$1008,$I485-8)))</x:f>
      </x:c>
      <x:c r="I485" t="str">
        <x:f>IF(477&gt;$H$4,"",MATCH(477,'Fleet dates'!$K$9:$K$1008,0)+8)</x:f>
      </x:c>
    </x:row>
    <x:row r="486" ht="36" customHeight="1">
      <x:c r="A486" s="50" t="str">
        <x:f>IF(478&gt;$H$4,"",IF(INDEX('Fleet dates'!$A$9:$A$1008,$I486-8)="","",INDEX('Fleet dates'!$A$9:$A$1008,$I486-8)))</x:f>
      </x:c>
      <x:c r="B486" s="50" t="str">
        <x:f>IF(478&gt;$H$4,"",IF(INDEX('Fleet dates'!$B$9:$B$1008,$I486-8)="","",INDEX('Fleet dates'!$B$9:$B$1008,$I486-8)))</x:f>
      </x:c>
      <x:c r="C486" s="51" t="str">
        <x:f>IF(478&gt;$H$4,"",IF(INDEX('Fleet dates'!$C$9:$C$1008,$I486-8)="","",INDEX('Fleet dates'!$C$9:$C$1008,$I486-8)))</x:f>
      </x:c>
      <x:c r="D486" s="51" t="str">
        <x:f>IF(478&gt;$H$4,"",IF(INDEX('Fleet dates'!$D$9:$D$1008,$I486-8)="","",INDEX('Fleet dates'!$D$9:$D$1008,$I486-8)))</x:f>
      </x:c>
      <x:c r="E486" s="51" t="str">
        <x:f>IF(478&gt;$H$4,"",IF(INDEX('Fleet dates'!$E$9:$E$1008,$I486-8)="","",INDEX('Fleet dates'!$E$9:$E$1008,$I486-8)))</x:f>
      </x:c>
      <x:c r="F486" s="51" t="str">
        <x:f>IF(478&gt;$H$4,"",IF(INDEX('Fleet dates'!$F$9:$F$1008,$I486-8)="","",INDEX('Fleet dates'!$F$9:$F$1008,$I486-8)))</x:f>
      </x:c>
      <x:c r="G486" s="50" t="str">
        <x:f>IF(478&gt;$H$4,"",IF(INDEX('Fleet dates'!$G$9:$G$1008,$I486-8)="","",INDEX('Fleet dates'!$G$9:$G$1008,$I486-8)))</x:f>
      </x:c>
      <x:c r="H486" s="50" t="str">
        <x:f>IF(478&gt;$H$4,"",IF(INDEX('Fleet dates'!$I$9:$I$1008,$I486-8)="","",INDEX('Fleet dates'!$I$9:$I$1008,$I486-8)))</x:f>
      </x:c>
      <x:c r="I486" t="str">
        <x:f>IF(478&gt;$H$4,"",MATCH(478,'Fleet dates'!$K$9:$K$1008,0)+8)</x:f>
      </x:c>
    </x:row>
    <x:row r="487" ht="36" customHeight="1">
      <x:c r="A487" s="50" t="str">
        <x:f>IF(479&gt;$H$4,"",IF(INDEX('Fleet dates'!$A$9:$A$1008,$I487-8)="","",INDEX('Fleet dates'!$A$9:$A$1008,$I487-8)))</x:f>
      </x:c>
      <x:c r="B487" s="50" t="str">
        <x:f>IF(479&gt;$H$4,"",IF(INDEX('Fleet dates'!$B$9:$B$1008,$I487-8)="","",INDEX('Fleet dates'!$B$9:$B$1008,$I487-8)))</x:f>
      </x:c>
      <x:c r="C487" s="51" t="str">
        <x:f>IF(479&gt;$H$4,"",IF(INDEX('Fleet dates'!$C$9:$C$1008,$I487-8)="","",INDEX('Fleet dates'!$C$9:$C$1008,$I487-8)))</x:f>
      </x:c>
      <x:c r="D487" s="51" t="str">
        <x:f>IF(479&gt;$H$4,"",IF(INDEX('Fleet dates'!$D$9:$D$1008,$I487-8)="","",INDEX('Fleet dates'!$D$9:$D$1008,$I487-8)))</x:f>
      </x:c>
      <x:c r="E487" s="51" t="str">
        <x:f>IF(479&gt;$H$4,"",IF(INDEX('Fleet dates'!$E$9:$E$1008,$I487-8)="","",INDEX('Fleet dates'!$E$9:$E$1008,$I487-8)))</x:f>
      </x:c>
      <x:c r="F487" s="51" t="str">
        <x:f>IF(479&gt;$H$4,"",IF(INDEX('Fleet dates'!$F$9:$F$1008,$I487-8)="","",INDEX('Fleet dates'!$F$9:$F$1008,$I487-8)))</x:f>
      </x:c>
      <x:c r="G487" s="50" t="str">
        <x:f>IF(479&gt;$H$4,"",IF(INDEX('Fleet dates'!$G$9:$G$1008,$I487-8)="","",INDEX('Fleet dates'!$G$9:$G$1008,$I487-8)))</x:f>
      </x:c>
      <x:c r="H487" s="50" t="str">
        <x:f>IF(479&gt;$H$4,"",IF(INDEX('Fleet dates'!$I$9:$I$1008,$I487-8)="","",INDEX('Fleet dates'!$I$9:$I$1008,$I487-8)))</x:f>
      </x:c>
      <x:c r="I487" t="str">
        <x:f>IF(479&gt;$H$4,"",MATCH(479,'Fleet dates'!$K$9:$K$1008,0)+8)</x:f>
      </x:c>
    </x:row>
    <x:row r="488" ht="36" customHeight="1">
      <x:c r="A488" s="50" t="str">
        <x:f>IF(480&gt;$H$4,"",IF(INDEX('Fleet dates'!$A$9:$A$1008,$I488-8)="","",INDEX('Fleet dates'!$A$9:$A$1008,$I488-8)))</x:f>
      </x:c>
      <x:c r="B488" s="50" t="str">
        <x:f>IF(480&gt;$H$4,"",IF(INDEX('Fleet dates'!$B$9:$B$1008,$I488-8)="","",INDEX('Fleet dates'!$B$9:$B$1008,$I488-8)))</x:f>
      </x:c>
      <x:c r="C488" s="51" t="str">
        <x:f>IF(480&gt;$H$4,"",IF(INDEX('Fleet dates'!$C$9:$C$1008,$I488-8)="","",INDEX('Fleet dates'!$C$9:$C$1008,$I488-8)))</x:f>
      </x:c>
      <x:c r="D488" s="51" t="str">
        <x:f>IF(480&gt;$H$4,"",IF(INDEX('Fleet dates'!$D$9:$D$1008,$I488-8)="","",INDEX('Fleet dates'!$D$9:$D$1008,$I488-8)))</x:f>
      </x:c>
      <x:c r="E488" s="51" t="str">
        <x:f>IF(480&gt;$H$4,"",IF(INDEX('Fleet dates'!$E$9:$E$1008,$I488-8)="","",INDEX('Fleet dates'!$E$9:$E$1008,$I488-8)))</x:f>
      </x:c>
      <x:c r="F488" s="51" t="str">
        <x:f>IF(480&gt;$H$4,"",IF(INDEX('Fleet dates'!$F$9:$F$1008,$I488-8)="","",INDEX('Fleet dates'!$F$9:$F$1008,$I488-8)))</x:f>
      </x:c>
      <x:c r="G488" s="50" t="str">
        <x:f>IF(480&gt;$H$4,"",IF(INDEX('Fleet dates'!$G$9:$G$1008,$I488-8)="","",INDEX('Fleet dates'!$G$9:$G$1008,$I488-8)))</x:f>
      </x:c>
      <x:c r="H488" s="50" t="str">
        <x:f>IF(480&gt;$H$4,"",IF(INDEX('Fleet dates'!$I$9:$I$1008,$I488-8)="","",INDEX('Fleet dates'!$I$9:$I$1008,$I488-8)))</x:f>
      </x:c>
      <x:c r="I488" t="str">
        <x:f>IF(480&gt;$H$4,"",MATCH(480,'Fleet dates'!$K$9:$K$1008,0)+8)</x:f>
      </x:c>
    </x:row>
    <x:row r="489" ht="36" customHeight="1">
      <x:c r="A489" s="50" t="str">
        <x:f>IF(481&gt;$H$4,"",IF(INDEX('Fleet dates'!$A$9:$A$1008,$I489-8)="","",INDEX('Fleet dates'!$A$9:$A$1008,$I489-8)))</x:f>
      </x:c>
      <x:c r="B489" s="50" t="str">
        <x:f>IF(481&gt;$H$4,"",IF(INDEX('Fleet dates'!$B$9:$B$1008,$I489-8)="","",INDEX('Fleet dates'!$B$9:$B$1008,$I489-8)))</x:f>
      </x:c>
      <x:c r="C489" s="51" t="str">
        <x:f>IF(481&gt;$H$4,"",IF(INDEX('Fleet dates'!$C$9:$C$1008,$I489-8)="","",INDEX('Fleet dates'!$C$9:$C$1008,$I489-8)))</x:f>
      </x:c>
      <x:c r="D489" s="51" t="str">
        <x:f>IF(481&gt;$H$4,"",IF(INDEX('Fleet dates'!$D$9:$D$1008,$I489-8)="","",INDEX('Fleet dates'!$D$9:$D$1008,$I489-8)))</x:f>
      </x:c>
      <x:c r="E489" s="51" t="str">
        <x:f>IF(481&gt;$H$4,"",IF(INDEX('Fleet dates'!$E$9:$E$1008,$I489-8)="","",INDEX('Fleet dates'!$E$9:$E$1008,$I489-8)))</x:f>
      </x:c>
      <x:c r="F489" s="51" t="str">
        <x:f>IF(481&gt;$H$4,"",IF(INDEX('Fleet dates'!$F$9:$F$1008,$I489-8)="","",INDEX('Fleet dates'!$F$9:$F$1008,$I489-8)))</x:f>
      </x:c>
      <x:c r="G489" s="50" t="str">
        <x:f>IF(481&gt;$H$4,"",IF(INDEX('Fleet dates'!$G$9:$G$1008,$I489-8)="","",INDEX('Fleet dates'!$G$9:$G$1008,$I489-8)))</x:f>
      </x:c>
      <x:c r="H489" s="50" t="str">
        <x:f>IF(481&gt;$H$4,"",IF(INDEX('Fleet dates'!$I$9:$I$1008,$I489-8)="","",INDEX('Fleet dates'!$I$9:$I$1008,$I489-8)))</x:f>
      </x:c>
      <x:c r="I489" t="str">
        <x:f>IF(481&gt;$H$4,"",MATCH(481,'Fleet dates'!$K$9:$K$1008,0)+8)</x:f>
      </x:c>
    </x:row>
    <x:row r="490" ht="36" customHeight="1">
      <x:c r="A490" s="50" t="str">
        <x:f>IF(482&gt;$H$4,"",IF(INDEX('Fleet dates'!$A$9:$A$1008,$I490-8)="","",INDEX('Fleet dates'!$A$9:$A$1008,$I490-8)))</x:f>
      </x:c>
      <x:c r="B490" s="50" t="str">
        <x:f>IF(482&gt;$H$4,"",IF(INDEX('Fleet dates'!$B$9:$B$1008,$I490-8)="","",INDEX('Fleet dates'!$B$9:$B$1008,$I490-8)))</x:f>
      </x:c>
      <x:c r="C490" s="51" t="str">
        <x:f>IF(482&gt;$H$4,"",IF(INDEX('Fleet dates'!$C$9:$C$1008,$I490-8)="","",INDEX('Fleet dates'!$C$9:$C$1008,$I490-8)))</x:f>
      </x:c>
      <x:c r="D490" s="51" t="str">
        <x:f>IF(482&gt;$H$4,"",IF(INDEX('Fleet dates'!$D$9:$D$1008,$I490-8)="","",INDEX('Fleet dates'!$D$9:$D$1008,$I490-8)))</x:f>
      </x:c>
      <x:c r="E490" s="51" t="str">
        <x:f>IF(482&gt;$H$4,"",IF(INDEX('Fleet dates'!$E$9:$E$1008,$I490-8)="","",INDEX('Fleet dates'!$E$9:$E$1008,$I490-8)))</x:f>
      </x:c>
      <x:c r="F490" s="51" t="str">
        <x:f>IF(482&gt;$H$4,"",IF(INDEX('Fleet dates'!$F$9:$F$1008,$I490-8)="","",INDEX('Fleet dates'!$F$9:$F$1008,$I490-8)))</x:f>
      </x:c>
      <x:c r="G490" s="50" t="str">
        <x:f>IF(482&gt;$H$4,"",IF(INDEX('Fleet dates'!$G$9:$G$1008,$I490-8)="","",INDEX('Fleet dates'!$G$9:$G$1008,$I490-8)))</x:f>
      </x:c>
      <x:c r="H490" s="50" t="str">
        <x:f>IF(482&gt;$H$4,"",IF(INDEX('Fleet dates'!$I$9:$I$1008,$I490-8)="","",INDEX('Fleet dates'!$I$9:$I$1008,$I490-8)))</x:f>
      </x:c>
      <x:c r="I490" t="str">
        <x:f>IF(482&gt;$H$4,"",MATCH(482,'Fleet dates'!$K$9:$K$1008,0)+8)</x:f>
      </x:c>
    </x:row>
    <x:row r="491" ht="36" customHeight="1">
      <x:c r="A491" s="50" t="str">
        <x:f>IF(483&gt;$H$4,"",IF(INDEX('Fleet dates'!$A$9:$A$1008,$I491-8)="","",INDEX('Fleet dates'!$A$9:$A$1008,$I491-8)))</x:f>
      </x:c>
      <x:c r="B491" s="50" t="str">
        <x:f>IF(483&gt;$H$4,"",IF(INDEX('Fleet dates'!$B$9:$B$1008,$I491-8)="","",INDEX('Fleet dates'!$B$9:$B$1008,$I491-8)))</x:f>
      </x:c>
      <x:c r="C491" s="51" t="str">
        <x:f>IF(483&gt;$H$4,"",IF(INDEX('Fleet dates'!$C$9:$C$1008,$I491-8)="","",INDEX('Fleet dates'!$C$9:$C$1008,$I491-8)))</x:f>
      </x:c>
      <x:c r="D491" s="51" t="str">
        <x:f>IF(483&gt;$H$4,"",IF(INDEX('Fleet dates'!$D$9:$D$1008,$I491-8)="","",INDEX('Fleet dates'!$D$9:$D$1008,$I491-8)))</x:f>
      </x:c>
      <x:c r="E491" s="51" t="str">
        <x:f>IF(483&gt;$H$4,"",IF(INDEX('Fleet dates'!$E$9:$E$1008,$I491-8)="","",INDEX('Fleet dates'!$E$9:$E$1008,$I491-8)))</x:f>
      </x:c>
      <x:c r="F491" s="51" t="str">
        <x:f>IF(483&gt;$H$4,"",IF(INDEX('Fleet dates'!$F$9:$F$1008,$I491-8)="","",INDEX('Fleet dates'!$F$9:$F$1008,$I491-8)))</x:f>
      </x:c>
      <x:c r="G491" s="50" t="str">
        <x:f>IF(483&gt;$H$4,"",IF(INDEX('Fleet dates'!$G$9:$G$1008,$I491-8)="","",INDEX('Fleet dates'!$G$9:$G$1008,$I491-8)))</x:f>
      </x:c>
      <x:c r="H491" s="50" t="str">
        <x:f>IF(483&gt;$H$4,"",IF(INDEX('Fleet dates'!$I$9:$I$1008,$I491-8)="","",INDEX('Fleet dates'!$I$9:$I$1008,$I491-8)))</x:f>
      </x:c>
      <x:c r="I491" t="str">
        <x:f>IF(483&gt;$H$4,"",MATCH(483,'Fleet dates'!$K$9:$K$1008,0)+8)</x:f>
      </x:c>
    </x:row>
    <x:row r="492" ht="36" customHeight="1">
      <x:c r="A492" s="50" t="str">
        <x:f>IF(484&gt;$H$4,"",IF(INDEX('Fleet dates'!$A$9:$A$1008,$I492-8)="","",INDEX('Fleet dates'!$A$9:$A$1008,$I492-8)))</x:f>
      </x:c>
      <x:c r="B492" s="50" t="str">
        <x:f>IF(484&gt;$H$4,"",IF(INDEX('Fleet dates'!$B$9:$B$1008,$I492-8)="","",INDEX('Fleet dates'!$B$9:$B$1008,$I492-8)))</x:f>
      </x:c>
      <x:c r="C492" s="51" t="str">
        <x:f>IF(484&gt;$H$4,"",IF(INDEX('Fleet dates'!$C$9:$C$1008,$I492-8)="","",INDEX('Fleet dates'!$C$9:$C$1008,$I492-8)))</x:f>
      </x:c>
      <x:c r="D492" s="51" t="str">
        <x:f>IF(484&gt;$H$4,"",IF(INDEX('Fleet dates'!$D$9:$D$1008,$I492-8)="","",INDEX('Fleet dates'!$D$9:$D$1008,$I492-8)))</x:f>
      </x:c>
      <x:c r="E492" s="51" t="str">
        <x:f>IF(484&gt;$H$4,"",IF(INDEX('Fleet dates'!$E$9:$E$1008,$I492-8)="","",INDEX('Fleet dates'!$E$9:$E$1008,$I492-8)))</x:f>
      </x:c>
      <x:c r="F492" s="51" t="str">
        <x:f>IF(484&gt;$H$4,"",IF(INDEX('Fleet dates'!$F$9:$F$1008,$I492-8)="","",INDEX('Fleet dates'!$F$9:$F$1008,$I492-8)))</x:f>
      </x:c>
      <x:c r="G492" s="50" t="str">
        <x:f>IF(484&gt;$H$4,"",IF(INDEX('Fleet dates'!$G$9:$G$1008,$I492-8)="","",INDEX('Fleet dates'!$G$9:$G$1008,$I492-8)))</x:f>
      </x:c>
      <x:c r="H492" s="50" t="str">
        <x:f>IF(484&gt;$H$4,"",IF(INDEX('Fleet dates'!$I$9:$I$1008,$I492-8)="","",INDEX('Fleet dates'!$I$9:$I$1008,$I492-8)))</x:f>
      </x:c>
      <x:c r="I492" t="str">
        <x:f>IF(484&gt;$H$4,"",MATCH(484,'Fleet dates'!$K$9:$K$1008,0)+8)</x:f>
      </x:c>
    </x:row>
    <x:row r="493" ht="36" customHeight="1">
      <x:c r="A493" s="50" t="str">
        <x:f>IF(485&gt;$H$4,"",IF(INDEX('Fleet dates'!$A$9:$A$1008,$I493-8)="","",INDEX('Fleet dates'!$A$9:$A$1008,$I493-8)))</x:f>
      </x:c>
      <x:c r="B493" s="50" t="str">
        <x:f>IF(485&gt;$H$4,"",IF(INDEX('Fleet dates'!$B$9:$B$1008,$I493-8)="","",INDEX('Fleet dates'!$B$9:$B$1008,$I493-8)))</x:f>
      </x:c>
      <x:c r="C493" s="51" t="str">
        <x:f>IF(485&gt;$H$4,"",IF(INDEX('Fleet dates'!$C$9:$C$1008,$I493-8)="","",INDEX('Fleet dates'!$C$9:$C$1008,$I493-8)))</x:f>
      </x:c>
      <x:c r="D493" s="51" t="str">
        <x:f>IF(485&gt;$H$4,"",IF(INDEX('Fleet dates'!$D$9:$D$1008,$I493-8)="","",INDEX('Fleet dates'!$D$9:$D$1008,$I493-8)))</x:f>
      </x:c>
      <x:c r="E493" s="51" t="str">
        <x:f>IF(485&gt;$H$4,"",IF(INDEX('Fleet dates'!$E$9:$E$1008,$I493-8)="","",INDEX('Fleet dates'!$E$9:$E$1008,$I493-8)))</x:f>
      </x:c>
      <x:c r="F493" s="51" t="str">
        <x:f>IF(485&gt;$H$4,"",IF(INDEX('Fleet dates'!$F$9:$F$1008,$I493-8)="","",INDEX('Fleet dates'!$F$9:$F$1008,$I493-8)))</x:f>
      </x:c>
      <x:c r="G493" s="50" t="str">
        <x:f>IF(485&gt;$H$4,"",IF(INDEX('Fleet dates'!$G$9:$G$1008,$I493-8)="","",INDEX('Fleet dates'!$G$9:$G$1008,$I493-8)))</x:f>
      </x:c>
      <x:c r="H493" s="50" t="str">
        <x:f>IF(485&gt;$H$4,"",IF(INDEX('Fleet dates'!$I$9:$I$1008,$I493-8)="","",INDEX('Fleet dates'!$I$9:$I$1008,$I493-8)))</x:f>
      </x:c>
      <x:c r="I493" t="str">
        <x:f>IF(485&gt;$H$4,"",MATCH(485,'Fleet dates'!$K$9:$K$1008,0)+8)</x:f>
      </x:c>
    </x:row>
    <x:row r="494" ht="36" customHeight="1">
      <x:c r="A494" s="50" t="str">
        <x:f>IF(486&gt;$H$4,"",IF(INDEX('Fleet dates'!$A$9:$A$1008,$I494-8)="","",INDEX('Fleet dates'!$A$9:$A$1008,$I494-8)))</x:f>
      </x:c>
      <x:c r="B494" s="50" t="str">
        <x:f>IF(486&gt;$H$4,"",IF(INDEX('Fleet dates'!$B$9:$B$1008,$I494-8)="","",INDEX('Fleet dates'!$B$9:$B$1008,$I494-8)))</x:f>
      </x:c>
      <x:c r="C494" s="51" t="str">
        <x:f>IF(486&gt;$H$4,"",IF(INDEX('Fleet dates'!$C$9:$C$1008,$I494-8)="","",INDEX('Fleet dates'!$C$9:$C$1008,$I494-8)))</x:f>
      </x:c>
      <x:c r="D494" s="51" t="str">
        <x:f>IF(486&gt;$H$4,"",IF(INDEX('Fleet dates'!$D$9:$D$1008,$I494-8)="","",INDEX('Fleet dates'!$D$9:$D$1008,$I494-8)))</x:f>
      </x:c>
      <x:c r="E494" s="51" t="str">
        <x:f>IF(486&gt;$H$4,"",IF(INDEX('Fleet dates'!$E$9:$E$1008,$I494-8)="","",INDEX('Fleet dates'!$E$9:$E$1008,$I494-8)))</x:f>
      </x:c>
      <x:c r="F494" s="51" t="str">
        <x:f>IF(486&gt;$H$4,"",IF(INDEX('Fleet dates'!$F$9:$F$1008,$I494-8)="","",INDEX('Fleet dates'!$F$9:$F$1008,$I494-8)))</x:f>
      </x:c>
      <x:c r="G494" s="50" t="str">
        <x:f>IF(486&gt;$H$4,"",IF(INDEX('Fleet dates'!$G$9:$G$1008,$I494-8)="","",INDEX('Fleet dates'!$G$9:$G$1008,$I494-8)))</x:f>
      </x:c>
      <x:c r="H494" s="50" t="str">
        <x:f>IF(486&gt;$H$4,"",IF(INDEX('Fleet dates'!$I$9:$I$1008,$I494-8)="","",INDEX('Fleet dates'!$I$9:$I$1008,$I494-8)))</x:f>
      </x:c>
      <x:c r="I494" t="str">
        <x:f>IF(486&gt;$H$4,"",MATCH(486,'Fleet dates'!$K$9:$K$1008,0)+8)</x:f>
      </x:c>
    </x:row>
    <x:row r="495" ht="36" customHeight="1">
      <x:c r="A495" s="50" t="str">
        <x:f>IF(487&gt;$H$4,"",IF(INDEX('Fleet dates'!$A$9:$A$1008,$I495-8)="","",INDEX('Fleet dates'!$A$9:$A$1008,$I495-8)))</x:f>
      </x:c>
      <x:c r="B495" s="50" t="str">
        <x:f>IF(487&gt;$H$4,"",IF(INDEX('Fleet dates'!$B$9:$B$1008,$I495-8)="","",INDEX('Fleet dates'!$B$9:$B$1008,$I495-8)))</x:f>
      </x:c>
      <x:c r="C495" s="51" t="str">
        <x:f>IF(487&gt;$H$4,"",IF(INDEX('Fleet dates'!$C$9:$C$1008,$I495-8)="","",INDEX('Fleet dates'!$C$9:$C$1008,$I495-8)))</x:f>
      </x:c>
      <x:c r="D495" s="51" t="str">
        <x:f>IF(487&gt;$H$4,"",IF(INDEX('Fleet dates'!$D$9:$D$1008,$I495-8)="","",INDEX('Fleet dates'!$D$9:$D$1008,$I495-8)))</x:f>
      </x:c>
      <x:c r="E495" s="51" t="str">
        <x:f>IF(487&gt;$H$4,"",IF(INDEX('Fleet dates'!$E$9:$E$1008,$I495-8)="","",INDEX('Fleet dates'!$E$9:$E$1008,$I495-8)))</x:f>
      </x:c>
      <x:c r="F495" s="51" t="str">
        <x:f>IF(487&gt;$H$4,"",IF(INDEX('Fleet dates'!$F$9:$F$1008,$I495-8)="","",INDEX('Fleet dates'!$F$9:$F$1008,$I495-8)))</x:f>
      </x:c>
      <x:c r="G495" s="50" t="str">
        <x:f>IF(487&gt;$H$4,"",IF(INDEX('Fleet dates'!$G$9:$G$1008,$I495-8)="","",INDEX('Fleet dates'!$G$9:$G$1008,$I495-8)))</x:f>
      </x:c>
      <x:c r="H495" s="50" t="str">
        <x:f>IF(487&gt;$H$4,"",IF(INDEX('Fleet dates'!$I$9:$I$1008,$I495-8)="","",INDEX('Fleet dates'!$I$9:$I$1008,$I495-8)))</x:f>
      </x:c>
      <x:c r="I495" t="str">
        <x:f>IF(487&gt;$H$4,"",MATCH(487,'Fleet dates'!$K$9:$K$1008,0)+8)</x:f>
      </x:c>
    </x:row>
    <x:row r="496" ht="36" customHeight="1">
      <x:c r="A496" s="50" t="str">
        <x:f>IF(488&gt;$H$4,"",IF(INDEX('Fleet dates'!$A$9:$A$1008,$I496-8)="","",INDEX('Fleet dates'!$A$9:$A$1008,$I496-8)))</x:f>
      </x:c>
      <x:c r="B496" s="50" t="str">
        <x:f>IF(488&gt;$H$4,"",IF(INDEX('Fleet dates'!$B$9:$B$1008,$I496-8)="","",INDEX('Fleet dates'!$B$9:$B$1008,$I496-8)))</x:f>
      </x:c>
      <x:c r="C496" s="51" t="str">
        <x:f>IF(488&gt;$H$4,"",IF(INDEX('Fleet dates'!$C$9:$C$1008,$I496-8)="","",INDEX('Fleet dates'!$C$9:$C$1008,$I496-8)))</x:f>
      </x:c>
      <x:c r="D496" s="51" t="str">
        <x:f>IF(488&gt;$H$4,"",IF(INDEX('Fleet dates'!$D$9:$D$1008,$I496-8)="","",INDEX('Fleet dates'!$D$9:$D$1008,$I496-8)))</x:f>
      </x:c>
      <x:c r="E496" s="51" t="str">
        <x:f>IF(488&gt;$H$4,"",IF(INDEX('Fleet dates'!$E$9:$E$1008,$I496-8)="","",INDEX('Fleet dates'!$E$9:$E$1008,$I496-8)))</x:f>
      </x:c>
      <x:c r="F496" s="51" t="str">
        <x:f>IF(488&gt;$H$4,"",IF(INDEX('Fleet dates'!$F$9:$F$1008,$I496-8)="","",INDEX('Fleet dates'!$F$9:$F$1008,$I496-8)))</x:f>
      </x:c>
      <x:c r="G496" s="50" t="str">
        <x:f>IF(488&gt;$H$4,"",IF(INDEX('Fleet dates'!$G$9:$G$1008,$I496-8)="","",INDEX('Fleet dates'!$G$9:$G$1008,$I496-8)))</x:f>
      </x:c>
      <x:c r="H496" s="50" t="str">
        <x:f>IF(488&gt;$H$4,"",IF(INDEX('Fleet dates'!$I$9:$I$1008,$I496-8)="","",INDEX('Fleet dates'!$I$9:$I$1008,$I496-8)))</x:f>
      </x:c>
      <x:c r="I496" t="str">
        <x:f>IF(488&gt;$H$4,"",MATCH(488,'Fleet dates'!$K$9:$K$1008,0)+8)</x:f>
      </x:c>
    </x:row>
    <x:row r="497" ht="36" customHeight="1">
      <x:c r="A497" s="50" t="str">
        <x:f>IF(489&gt;$H$4,"",IF(INDEX('Fleet dates'!$A$9:$A$1008,$I497-8)="","",INDEX('Fleet dates'!$A$9:$A$1008,$I497-8)))</x:f>
      </x:c>
      <x:c r="B497" s="50" t="str">
        <x:f>IF(489&gt;$H$4,"",IF(INDEX('Fleet dates'!$B$9:$B$1008,$I497-8)="","",INDEX('Fleet dates'!$B$9:$B$1008,$I497-8)))</x:f>
      </x:c>
      <x:c r="C497" s="51" t="str">
        <x:f>IF(489&gt;$H$4,"",IF(INDEX('Fleet dates'!$C$9:$C$1008,$I497-8)="","",INDEX('Fleet dates'!$C$9:$C$1008,$I497-8)))</x:f>
      </x:c>
      <x:c r="D497" s="51" t="str">
        <x:f>IF(489&gt;$H$4,"",IF(INDEX('Fleet dates'!$D$9:$D$1008,$I497-8)="","",INDEX('Fleet dates'!$D$9:$D$1008,$I497-8)))</x:f>
      </x:c>
      <x:c r="E497" s="51" t="str">
        <x:f>IF(489&gt;$H$4,"",IF(INDEX('Fleet dates'!$E$9:$E$1008,$I497-8)="","",INDEX('Fleet dates'!$E$9:$E$1008,$I497-8)))</x:f>
      </x:c>
      <x:c r="F497" s="51" t="str">
        <x:f>IF(489&gt;$H$4,"",IF(INDEX('Fleet dates'!$F$9:$F$1008,$I497-8)="","",INDEX('Fleet dates'!$F$9:$F$1008,$I497-8)))</x:f>
      </x:c>
      <x:c r="G497" s="50" t="str">
        <x:f>IF(489&gt;$H$4,"",IF(INDEX('Fleet dates'!$G$9:$G$1008,$I497-8)="","",INDEX('Fleet dates'!$G$9:$G$1008,$I497-8)))</x:f>
      </x:c>
      <x:c r="H497" s="50" t="str">
        <x:f>IF(489&gt;$H$4,"",IF(INDEX('Fleet dates'!$I$9:$I$1008,$I497-8)="","",INDEX('Fleet dates'!$I$9:$I$1008,$I497-8)))</x:f>
      </x:c>
      <x:c r="I497" t="str">
        <x:f>IF(489&gt;$H$4,"",MATCH(489,'Fleet dates'!$K$9:$K$1008,0)+8)</x:f>
      </x:c>
    </x:row>
    <x:row r="498" ht="36" customHeight="1">
      <x:c r="A498" s="50" t="str">
        <x:f>IF(490&gt;$H$4,"",IF(INDEX('Fleet dates'!$A$9:$A$1008,$I498-8)="","",INDEX('Fleet dates'!$A$9:$A$1008,$I498-8)))</x:f>
      </x:c>
      <x:c r="B498" s="50" t="str">
        <x:f>IF(490&gt;$H$4,"",IF(INDEX('Fleet dates'!$B$9:$B$1008,$I498-8)="","",INDEX('Fleet dates'!$B$9:$B$1008,$I498-8)))</x:f>
      </x:c>
      <x:c r="C498" s="51" t="str">
        <x:f>IF(490&gt;$H$4,"",IF(INDEX('Fleet dates'!$C$9:$C$1008,$I498-8)="","",INDEX('Fleet dates'!$C$9:$C$1008,$I498-8)))</x:f>
      </x:c>
      <x:c r="D498" s="51" t="str">
        <x:f>IF(490&gt;$H$4,"",IF(INDEX('Fleet dates'!$D$9:$D$1008,$I498-8)="","",INDEX('Fleet dates'!$D$9:$D$1008,$I498-8)))</x:f>
      </x:c>
      <x:c r="E498" s="51" t="str">
        <x:f>IF(490&gt;$H$4,"",IF(INDEX('Fleet dates'!$E$9:$E$1008,$I498-8)="","",INDEX('Fleet dates'!$E$9:$E$1008,$I498-8)))</x:f>
      </x:c>
      <x:c r="F498" s="51" t="str">
        <x:f>IF(490&gt;$H$4,"",IF(INDEX('Fleet dates'!$F$9:$F$1008,$I498-8)="","",INDEX('Fleet dates'!$F$9:$F$1008,$I498-8)))</x:f>
      </x:c>
      <x:c r="G498" s="50" t="str">
        <x:f>IF(490&gt;$H$4,"",IF(INDEX('Fleet dates'!$G$9:$G$1008,$I498-8)="","",INDEX('Fleet dates'!$G$9:$G$1008,$I498-8)))</x:f>
      </x:c>
      <x:c r="H498" s="50" t="str">
        <x:f>IF(490&gt;$H$4,"",IF(INDEX('Fleet dates'!$I$9:$I$1008,$I498-8)="","",INDEX('Fleet dates'!$I$9:$I$1008,$I498-8)))</x:f>
      </x:c>
      <x:c r="I498" t="str">
        <x:f>IF(490&gt;$H$4,"",MATCH(490,'Fleet dates'!$K$9:$K$1008,0)+8)</x:f>
      </x:c>
    </x:row>
    <x:row r="499" ht="36" customHeight="1">
      <x:c r="A499" s="50" t="str">
        <x:f>IF(491&gt;$H$4,"",IF(INDEX('Fleet dates'!$A$9:$A$1008,$I499-8)="","",INDEX('Fleet dates'!$A$9:$A$1008,$I499-8)))</x:f>
      </x:c>
      <x:c r="B499" s="50" t="str">
        <x:f>IF(491&gt;$H$4,"",IF(INDEX('Fleet dates'!$B$9:$B$1008,$I499-8)="","",INDEX('Fleet dates'!$B$9:$B$1008,$I499-8)))</x:f>
      </x:c>
      <x:c r="C499" s="51" t="str">
        <x:f>IF(491&gt;$H$4,"",IF(INDEX('Fleet dates'!$C$9:$C$1008,$I499-8)="","",INDEX('Fleet dates'!$C$9:$C$1008,$I499-8)))</x:f>
      </x:c>
      <x:c r="D499" s="51" t="str">
        <x:f>IF(491&gt;$H$4,"",IF(INDEX('Fleet dates'!$D$9:$D$1008,$I499-8)="","",INDEX('Fleet dates'!$D$9:$D$1008,$I499-8)))</x:f>
      </x:c>
      <x:c r="E499" s="51" t="str">
        <x:f>IF(491&gt;$H$4,"",IF(INDEX('Fleet dates'!$E$9:$E$1008,$I499-8)="","",INDEX('Fleet dates'!$E$9:$E$1008,$I499-8)))</x:f>
      </x:c>
      <x:c r="F499" s="51" t="str">
        <x:f>IF(491&gt;$H$4,"",IF(INDEX('Fleet dates'!$F$9:$F$1008,$I499-8)="","",INDEX('Fleet dates'!$F$9:$F$1008,$I499-8)))</x:f>
      </x:c>
      <x:c r="G499" s="50" t="str">
        <x:f>IF(491&gt;$H$4,"",IF(INDEX('Fleet dates'!$G$9:$G$1008,$I499-8)="","",INDEX('Fleet dates'!$G$9:$G$1008,$I499-8)))</x:f>
      </x:c>
      <x:c r="H499" s="50" t="str">
        <x:f>IF(491&gt;$H$4,"",IF(INDEX('Fleet dates'!$I$9:$I$1008,$I499-8)="","",INDEX('Fleet dates'!$I$9:$I$1008,$I499-8)))</x:f>
      </x:c>
      <x:c r="I499" t="str">
        <x:f>IF(491&gt;$H$4,"",MATCH(491,'Fleet dates'!$K$9:$K$1008,0)+8)</x:f>
      </x:c>
    </x:row>
    <x:row r="500" ht="36" customHeight="1">
      <x:c r="A500" s="50" t="str">
        <x:f>IF(492&gt;$H$4,"",IF(INDEX('Fleet dates'!$A$9:$A$1008,$I500-8)="","",INDEX('Fleet dates'!$A$9:$A$1008,$I500-8)))</x:f>
      </x:c>
      <x:c r="B500" s="50" t="str">
        <x:f>IF(492&gt;$H$4,"",IF(INDEX('Fleet dates'!$B$9:$B$1008,$I500-8)="","",INDEX('Fleet dates'!$B$9:$B$1008,$I500-8)))</x:f>
      </x:c>
      <x:c r="C500" s="51" t="str">
        <x:f>IF(492&gt;$H$4,"",IF(INDEX('Fleet dates'!$C$9:$C$1008,$I500-8)="","",INDEX('Fleet dates'!$C$9:$C$1008,$I500-8)))</x:f>
      </x:c>
      <x:c r="D500" s="51" t="str">
        <x:f>IF(492&gt;$H$4,"",IF(INDEX('Fleet dates'!$D$9:$D$1008,$I500-8)="","",INDEX('Fleet dates'!$D$9:$D$1008,$I500-8)))</x:f>
      </x:c>
      <x:c r="E500" s="51" t="str">
        <x:f>IF(492&gt;$H$4,"",IF(INDEX('Fleet dates'!$E$9:$E$1008,$I500-8)="","",INDEX('Fleet dates'!$E$9:$E$1008,$I500-8)))</x:f>
      </x:c>
      <x:c r="F500" s="51" t="str">
        <x:f>IF(492&gt;$H$4,"",IF(INDEX('Fleet dates'!$F$9:$F$1008,$I500-8)="","",INDEX('Fleet dates'!$F$9:$F$1008,$I500-8)))</x:f>
      </x:c>
      <x:c r="G500" s="50" t="str">
        <x:f>IF(492&gt;$H$4,"",IF(INDEX('Fleet dates'!$G$9:$G$1008,$I500-8)="","",INDEX('Fleet dates'!$G$9:$G$1008,$I500-8)))</x:f>
      </x:c>
      <x:c r="H500" s="50" t="str">
        <x:f>IF(492&gt;$H$4,"",IF(INDEX('Fleet dates'!$I$9:$I$1008,$I500-8)="","",INDEX('Fleet dates'!$I$9:$I$1008,$I500-8)))</x:f>
      </x:c>
      <x:c r="I500" t="str">
        <x:f>IF(492&gt;$H$4,"",MATCH(492,'Fleet dates'!$K$9:$K$1008,0)+8)</x:f>
      </x:c>
    </x:row>
    <x:row r="501" ht="36" customHeight="1">
      <x:c r="A501" s="50" t="str">
        <x:f>IF(493&gt;$H$4,"",IF(INDEX('Fleet dates'!$A$9:$A$1008,$I501-8)="","",INDEX('Fleet dates'!$A$9:$A$1008,$I501-8)))</x:f>
      </x:c>
      <x:c r="B501" s="50" t="str">
        <x:f>IF(493&gt;$H$4,"",IF(INDEX('Fleet dates'!$B$9:$B$1008,$I501-8)="","",INDEX('Fleet dates'!$B$9:$B$1008,$I501-8)))</x:f>
      </x:c>
      <x:c r="C501" s="51" t="str">
        <x:f>IF(493&gt;$H$4,"",IF(INDEX('Fleet dates'!$C$9:$C$1008,$I501-8)="","",INDEX('Fleet dates'!$C$9:$C$1008,$I501-8)))</x:f>
      </x:c>
      <x:c r="D501" s="51" t="str">
        <x:f>IF(493&gt;$H$4,"",IF(INDEX('Fleet dates'!$D$9:$D$1008,$I501-8)="","",INDEX('Fleet dates'!$D$9:$D$1008,$I501-8)))</x:f>
      </x:c>
      <x:c r="E501" s="51" t="str">
        <x:f>IF(493&gt;$H$4,"",IF(INDEX('Fleet dates'!$E$9:$E$1008,$I501-8)="","",INDEX('Fleet dates'!$E$9:$E$1008,$I501-8)))</x:f>
      </x:c>
      <x:c r="F501" s="51" t="str">
        <x:f>IF(493&gt;$H$4,"",IF(INDEX('Fleet dates'!$F$9:$F$1008,$I501-8)="","",INDEX('Fleet dates'!$F$9:$F$1008,$I501-8)))</x:f>
      </x:c>
      <x:c r="G501" s="50" t="str">
        <x:f>IF(493&gt;$H$4,"",IF(INDEX('Fleet dates'!$G$9:$G$1008,$I501-8)="","",INDEX('Fleet dates'!$G$9:$G$1008,$I501-8)))</x:f>
      </x:c>
      <x:c r="H501" s="50" t="str">
        <x:f>IF(493&gt;$H$4,"",IF(INDEX('Fleet dates'!$I$9:$I$1008,$I501-8)="","",INDEX('Fleet dates'!$I$9:$I$1008,$I501-8)))</x:f>
      </x:c>
      <x:c r="I501" t="str">
        <x:f>IF(493&gt;$H$4,"",MATCH(493,'Fleet dates'!$K$9:$K$1008,0)+8)</x:f>
      </x:c>
    </x:row>
    <x:row r="502" ht="36" customHeight="1">
      <x:c r="A502" s="50" t="str">
        <x:f>IF(494&gt;$H$4,"",IF(INDEX('Fleet dates'!$A$9:$A$1008,$I502-8)="","",INDEX('Fleet dates'!$A$9:$A$1008,$I502-8)))</x:f>
      </x:c>
      <x:c r="B502" s="50" t="str">
        <x:f>IF(494&gt;$H$4,"",IF(INDEX('Fleet dates'!$B$9:$B$1008,$I502-8)="","",INDEX('Fleet dates'!$B$9:$B$1008,$I502-8)))</x:f>
      </x:c>
      <x:c r="C502" s="51" t="str">
        <x:f>IF(494&gt;$H$4,"",IF(INDEX('Fleet dates'!$C$9:$C$1008,$I502-8)="","",INDEX('Fleet dates'!$C$9:$C$1008,$I502-8)))</x:f>
      </x:c>
      <x:c r="D502" s="51" t="str">
        <x:f>IF(494&gt;$H$4,"",IF(INDEX('Fleet dates'!$D$9:$D$1008,$I502-8)="","",INDEX('Fleet dates'!$D$9:$D$1008,$I502-8)))</x:f>
      </x:c>
      <x:c r="E502" s="51" t="str">
        <x:f>IF(494&gt;$H$4,"",IF(INDEX('Fleet dates'!$E$9:$E$1008,$I502-8)="","",INDEX('Fleet dates'!$E$9:$E$1008,$I502-8)))</x:f>
      </x:c>
      <x:c r="F502" s="51" t="str">
        <x:f>IF(494&gt;$H$4,"",IF(INDEX('Fleet dates'!$F$9:$F$1008,$I502-8)="","",INDEX('Fleet dates'!$F$9:$F$1008,$I502-8)))</x:f>
      </x:c>
      <x:c r="G502" s="50" t="str">
        <x:f>IF(494&gt;$H$4,"",IF(INDEX('Fleet dates'!$G$9:$G$1008,$I502-8)="","",INDEX('Fleet dates'!$G$9:$G$1008,$I502-8)))</x:f>
      </x:c>
      <x:c r="H502" s="50" t="str">
        <x:f>IF(494&gt;$H$4,"",IF(INDEX('Fleet dates'!$I$9:$I$1008,$I502-8)="","",INDEX('Fleet dates'!$I$9:$I$1008,$I502-8)))</x:f>
      </x:c>
      <x:c r="I502" t="str">
        <x:f>IF(494&gt;$H$4,"",MATCH(494,'Fleet dates'!$K$9:$K$1008,0)+8)</x:f>
      </x:c>
    </x:row>
    <x:row r="503" ht="36" customHeight="1">
      <x:c r="A503" s="50" t="str">
        <x:f>IF(495&gt;$H$4,"",IF(INDEX('Fleet dates'!$A$9:$A$1008,$I503-8)="","",INDEX('Fleet dates'!$A$9:$A$1008,$I503-8)))</x:f>
      </x:c>
      <x:c r="B503" s="50" t="str">
        <x:f>IF(495&gt;$H$4,"",IF(INDEX('Fleet dates'!$B$9:$B$1008,$I503-8)="","",INDEX('Fleet dates'!$B$9:$B$1008,$I503-8)))</x:f>
      </x:c>
      <x:c r="C503" s="51" t="str">
        <x:f>IF(495&gt;$H$4,"",IF(INDEX('Fleet dates'!$C$9:$C$1008,$I503-8)="","",INDEX('Fleet dates'!$C$9:$C$1008,$I503-8)))</x:f>
      </x:c>
      <x:c r="D503" s="51" t="str">
        <x:f>IF(495&gt;$H$4,"",IF(INDEX('Fleet dates'!$D$9:$D$1008,$I503-8)="","",INDEX('Fleet dates'!$D$9:$D$1008,$I503-8)))</x:f>
      </x:c>
      <x:c r="E503" s="51" t="str">
        <x:f>IF(495&gt;$H$4,"",IF(INDEX('Fleet dates'!$E$9:$E$1008,$I503-8)="","",INDEX('Fleet dates'!$E$9:$E$1008,$I503-8)))</x:f>
      </x:c>
      <x:c r="F503" s="51" t="str">
        <x:f>IF(495&gt;$H$4,"",IF(INDEX('Fleet dates'!$F$9:$F$1008,$I503-8)="","",INDEX('Fleet dates'!$F$9:$F$1008,$I503-8)))</x:f>
      </x:c>
      <x:c r="G503" s="50" t="str">
        <x:f>IF(495&gt;$H$4,"",IF(INDEX('Fleet dates'!$G$9:$G$1008,$I503-8)="","",INDEX('Fleet dates'!$G$9:$G$1008,$I503-8)))</x:f>
      </x:c>
      <x:c r="H503" s="50" t="str">
        <x:f>IF(495&gt;$H$4,"",IF(INDEX('Fleet dates'!$I$9:$I$1008,$I503-8)="","",INDEX('Fleet dates'!$I$9:$I$1008,$I503-8)))</x:f>
      </x:c>
      <x:c r="I503" t="str">
        <x:f>IF(495&gt;$H$4,"",MATCH(495,'Fleet dates'!$K$9:$K$1008,0)+8)</x:f>
      </x:c>
    </x:row>
    <x:row r="504" ht="36" customHeight="1">
      <x:c r="A504" s="50" t="str">
        <x:f>IF(496&gt;$H$4,"",IF(INDEX('Fleet dates'!$A$9:$A$1008,$I504-8)="","",INDEX('Fleet dates'!$A$9:$A$1008,$I504-8)))</x:f>
      </x:c>
      <x:c r="B504" s="50" t="str">
        <x:f>IF(496&gt;$H$4,"",IF(INDEX('Fleet dates'!$B$9:$B$1008,$I504-8)="","",INDEX('Fleet dates'!$B$9:$B$1008,$I504-8)))</x:f>
      </x:c>
      <x:c r="C504" s="51" t="str">
        <x:f>IF(496&gt;$H$4,"",IF(INDEX('Fleet dates'!$C$9:$C$1008,$I504-8)="","",INDEX('Fleet dates'!$C$9:$C$1008,$I504-8)))</x:f>
      </x:c>
      <x:c r="D504" s="51" t="str">
        <x:f>IF(496&gt;$H$4,"",IF(INDEX('Fleet dates'!$D$9:$D$1008,$I504-8)="","",INDEX('Fleet dates'!$D$9:$D$1008,$I504-8)))</x:f>
      </x:c>
      <x:c r="E504" s="51" t="str">
        <x:f>IF(496&gt;$H$4,"",IF(INDEX('Fleet dates'!$E$9:$E$1008,$I504-8)="","",INDEX('Fleet dates'!$E$9:$E$1008,$I504-8)))</x:f>
      </x:c>
      <x:c r="F504" s="51" t="str">
        <x:f>IF(496&gt;$H$4,"",IF(INDEX('Fleet dates'!$F$9:$F$1008,$I504-8)="","",INDEX('Fleet dates'!$F$9:$F$1008,$I504-8)))</x:f>
      </x:c>
      <x:c r="G504" s="50" t="str">
        <x:f>IF(496&gt;$H$4,"",IF(INDEX('Fleet dates'!$G$9:$G$1008,$I504-8)="","",INDEX('Fleet dates'!$G$9:$G$1008,$I504-8)))</x:f>
      </x:c>
      <x:c r="H504" s="50" t="str">
        <x:f>IF(496&gt;$H$4,"",IF(INDEX('Fleet dates'!$I$9:$I$1008,$I504-8)="","",INDEX('Fleet dates'!$I$9:$I$1008,$I504-8)))</x:f>
      </x:c>
      <x:c r="I504" t="str">
        <x:f>IF(496&gt;$H$4,"",MATCH(496,'Fleet dates'!$K$9:$K$1008,0)+8)</x:f>
      </x:c>
    </x:row>
    <x:row r="505" ht="36" customHeight="1">
      <x:c r="A505" s="50" t="str">
        <x:f>IF(497&gt;$H$4,"",IF(INDEX('Fleet dates'!$A$9:$A$1008,$I505-8)="","",INDEX('Fleet dates'!$A$9:$A$1008,$I505-8)))</x:f>
      </x:c>
      <x:c r="B505" s="50" t="str">
        <x:f>IF(497&gt;$H$4,"",IF(INDEX('Fleet dates'!$B$9:$B$1008,$I505-8)="","",INDEX('Fleet dates'!$B$9:$B$1008,$I505-8)))</x:f>
      </x:c>
      <x:c r="C505" s="51" t="str">
        <x:f>IF(497&gt;$H$4,"",IF(INDEX('Fleet dates'!$C$9:$C$1008,$I505-8)="","",INDEX('Fleet dates'!$C$9:$C$1008,$I505-8)))</x:f>
      </x:c>
      <x:c r="D505" s="51" t="str">
        <x:f>IF(497&gt;$H$4,"",IF(INDEX('Fleet dates'!$D$9:$D$1008,$I505-8)="","",INDEX('Fleet dates'!$D$9:$D$1008,$I505-8)))</x:f>
      </x:c>
      <x:c r="E505" s="51" t="str">
        <x:f>IF(497&gt;$H$4,"",IF(INDEX('Fleet dates'!$E$9:$E$1008,$I505-8)="","",INDEX('Fleet dates'!$E$9:$E$1008,$I505-8)))</x:f>
      </x:c>
      <x:c r="F505" s="51" t="str">
        <x:f>IF(497&gt;$H$4,"",IF(INDEX('Fleet dates'!$F$9:$F$1008,$I505-8)="","",INDEX('Fleet dates'!$F$9:$F$1008,$I505-8)))</x:f>
      </x:c>
      <x:c r="G505" s="50" t="str">
        <x:f>IF(497&gt;$H$4,"",IF(INDEX('Fleet dates'!$G$9:$G$1008,$I505-8)="","",INDEX('Fleet dates'!$G$9:$G$1008,$I505-8)))</x:f>
      </x:c>
      <x:c r="H505" s="50" t="str">
        <x:f>IF(497&gt;$H$4,"",IF(INDEX('Fleet dates'!$I$9:$I$1008,$I505-8)="","",INDEX('Fleet dates'!$I$9:$I$1008,$I505-8)))</x:f>
      </x:c>
      <x:c r="I505" t="str">
        <x:f>IF(497&gt;$H$4,"",MATCH(497,'Fleet dates'!$K$9:$K$1008,0)+8)</x:f>
      </x:c>
    </x:row>
    <x:row r="506" ht="36" customHeight="1">
      <x:c r="A506" s="50" t="str">
        <x:f>IF(498&gt;$H$4,"",IF(INDEX('Fleet dates'!$A$9:$A$1008,$I506-8)="","",INDEX('Fleet dates'!$A$9:$A$1008,$I506-8)))</x:f>
      </x:c>
      <x:c r="B506" s="50" t="str">
        <x:f>IF(498&gt;$H$4,"",IF(INDEX('Fleet dates'!$B$9:$B$1008,$I506-8)="","",INDEX('Fleet dates'!$B$9:$B$1008,$I506-8)))</x:f>
      </x:c>
      <x:c r="C506" s="51" t="str">
        <x:f>IF(498&gt;$H$4,"",IF(INDEX('Fleet dates'!$C$9:$C$1008,$I506-8)="","",INDEX('Fleet dates'!$C$9:$C$1008,$I506-8)))</x:f>
      </x:c>
      <x:c r="D506" s="51" t="str">
        <x:f>IF(498&gt;$H$4,"",IF(INDEX('Fleet dates'!$D$9:$D$1008,$I506-8)="","",INDEX('Fleet dates'!$D$9:$D$1008,$I506-8)))</x:f>
      </x:c>
      <x:c r="E506" s="51" t="str">
        <x:f>IF(498&gt;$H$4,"",IF(INDEX('Fleet dates'!$E$9:$E$1008,$I506-8)="","",INDEX('Fleet dates'!$E$9:$E$1008,$I506-8)))</x:f>
      </x:c>
      <x:c r="F506" s="51" t="str">
        <x:f>IF(498&gt;$H$4,"",IF(INDEX('Fleet dates'!$F$9:$F$1008,$I506-8)="","",INDEX('Fleet dates'!$F$9:$F$1008,$I506-8)))</x:f>
      </x:c>
      <x:c r="G506" s="50" t="str">
        <x:f>IF(498&gt;$H$4,"",IF(INDEX('Fleet dates'!$G$9:$G$1008,$I506-8)="","",INDEX('Fleet dates'!$G$9:$G$1008,$I506-8)))</x:f>
      </x:c>
      <x:c r="H506" s="50" t="str">
        <x:f>IF(498&gt;$H$4,"",IF(INDEX('Fleet dates'!$I$9:$I$1008,$I506-8)="","",INDEX('Fleet dates'!$I$9:$I$1008,$I506-8)))</x:f>
      </x:c>
      <x:c r="I506" t="str">
        <x:f>IF(498&gt;$H$4,"",MATCH(498,'Fleet dates'!$K$9:$K$1008,0)+8)</x:f>
      </x:c>
    </x:row>
    <x:row r="507" ht="36" customHeight="1">
      <x:c r="A507" s="50" t="str">
        <x:f>IF(499&gt;$H$4,"",IF(INDEX('Fleet dates'!$A$9:$A$1008,$I507-8)="","",INDEX('Fleet dates'!$A$9:$A$1008,$I507-8)))</x:f>
      </x:c>
      <x:c r="B507" s="50" t="str">
        <x:f>IF(499&gt;$H$4,"",IF(INDEX('Fleet dates'!$B$9:$B$1008,$I507-8)="","",INDEX('Fleet dates'!$B$9:$B$1008,$I507-8)))</x:f>
      </x:c>
      <x:c r="C507" s="51" t="str">
        <x:f>IF(499&gt;$H$4,"",IF(INDEX('Fleet dates'!$C$9:$C$1008,$I507-8)="","",INDEX('Fleet dates'!$C$9:$C$1008,$I507-8)))</x:f>
      </x:c>
      <x:c r="D507" s="51" t="str">
        <x:f>IF(499&gt;$H$4,"",IF(INDEX('Fleet dates'!$D$9:$D$1008,$I507-8)="","",INDEX('Fleet dates'!$D$9:$D$1008,$I507-8)))</x:f>
      </x:c>
      <x:c r="E507" s="51" t="str">
        <x:f>IF(499&gt;$H$4,"",IF(INDEX('Fleet dates'!$E$9:$E$1008,$I507-8)="","",INDEX('Fleet dates'!$E$9:$E$1008,$I507-8)))</x:f>
      </x:c>
      <x:c r="F507" s="51" t="str">
        <x:f>IF(499&gt;$H$4,"",IF(INDEX('Fleet dates'!$F$9:$F$1008,$I507-8)="","",INDEX('Fleet dates'!$F$9:$F$1008,$I507-8)))</x:f>
      </x:c>
      <x:c r="G507" s="50" t="str">
        <x:f>IF(499&gt;$H$4,"",IF(INDEX('Fleet dates'!$G$9:$G$1008,$I507-8)="","",INDEX('Fleet dates'!$G$9:$G$1008,$I507-8)))</x:f>
      </x:c>
      <x:c r="H507" s="50" t="str">
        <x:f>IF(499&gt;$H$4,"",IF(INDEX('Fleet dates'!$I$9:$I$1008,$I507-8)="","",INDEX('Fleet dates'!$I$9:$I$1008,$I507-8)))</x:f>
      </x:c>
      <x:c r="I507" t="str">
        <x:f>IF(499&gt;$H$4,"",MATCH(499,'Fleet dates'!$K$9:$K$1008,0)+8)</x:f>
      </x:c>
    </x:row>
    <x:row r="508" ht="36" customHeight="1">
      <x:c r="A508" s="50" t="str">
        <x:f>IF(500&gt;$H$4,"",IF(INDEX('Fleet dates'!$A$9:$A$1008,$I508-8)="","",INDEX('Fleet dates'!$A$9:$A$1008,$I508-8)))</x:f>
      </x:c>
      <x:c r="B508" s="50" t="str">
        <x:f>IF(500&gt;$H$4,"",IF(INDEX('Fleet dates'!$B$9:$B$1008,$I508-8)="","",INDEX('Fleet dates'!$B$9:$B$1008,$I508-8)))</x:f>
      </x:c>
      <x:c r="C508" s="51" t="str">
        <x:f>IF(500&gt;$H$4,"",IF(INDEX('Fleet dates'!$C$9:$C$1008,$I508-8)="","",INDEX('Fleet dates'!$C$9:$C$1008,$I508-8)))</x:f>
      </x:c>
      <x:c r="D508" s="51" t="str">
        <x:f>IF(500&gt;$H$4,"",IF(INDEX('Fleet dates'!$D$9:$D$1008,$I508-8)="","",INDEX('Fleet dates'!$D$9:$D$1008,$I508-8)))</x:f>
      </x:c>
      <x:c r="E508" s="51" t="str">
        <x:f>IF(500&gt;$H$4,"",IF(INDEX('Fleet dates'!$E$9:$E$1008,$I508-8)="","",INDEX('Fleet dates'!$E$9:$E$1008,$I508-8)))</x:f>
      </x:c>
      <x:c r="F508" s="51" t="str">
        <x:f>IF(500&gt;$H$4,"",IF(INDEX('Fleet dates'!$F$9:$F$1008,$I508-8)="","",INDEX('Fleet dates'!$F$9:$F$1008,$I508-8)))</x:f>
      </x:c>
      <x:c r="G508" s="50" t="str">
        <x:f>IF(500&gt;$H$4,"",IF(INDEX('Fleet dates'!$G$9:$G$1008,$I508-8)="","",INDEX('Fleet dates'!$G$9:$G$1008,$I508-8)))</x:f>
      </x:c>
      <x:c r="H508" s="50" t="str">
        <x:f>IF(500&gt;$H$4,"",IF(INDEX('Fleet dates'!$I$9:$I$1008,$I508-8)="","",INDEX('Fleet dates'!$I$9:$I$1008,$I508-8)))</x:f>
      </x:c>
      <x:c r="I508" t="str">
        <x:f>IF(500&gt;$H$4,"",MATCH(500,'Fleet dates'!$K$9:$K$1008,0)+8)</x:f>
      </x:c>
    </x:row>
    <x:row r="509" ht="36" customHeight="1">
      <x:c r="A509" s="50" t="str">
        <x:f>IF(501&gt;$H$4,"",IF(INDEX('Fleet dates'!$A$9:$A$1008,$I509-8)="","",INDEX('Fleet dates'!$A$9:$A$1008,$I509-8)))</x:f>
      </x:c>
      <x:c r="B509" s="50" t="str">
        <x:f>IF(501&gt;$H$4,"",IF(INDEX('Fleet dates'!$B$9:$B$1008,$I509-8)="","",INDEX('Fleet dates'!$B$9:$B$1008,$I509-8)))</x:f>
      </x:c>
      <x:c r="C509" s="51" t="str">
        <x:f>IF(501&gt;$H$4,"",IF(INDEX('Fleet dates'!$C$9:$C$1008,$I509-8)="","",INDEX('Fleet dates'!$C$9:$C$1008,$I509-8)))</x:f>
      </x:c>
      <x:c r="D509" s="51" t="str">
        <x:f>IF(501&gt;$H$4,"",IF(INDEX('Fleet dates'!$D$9:$D$1008,$I509-8)="","",INDEX('Fleet dates'!$D$9:$D$1008,$I509-8)))</x:f>
      </x:c>
      <x:c r="E509" s="51" t="str">
        <x:f>IF(501&gt;$H$4,"",IF(INDEX('Fleet dates'!$E$9:$E$1008,$I509-8)="","",INDEX('Fleet dates'!$E$9:$E$1008,$I509-8)))</x:f>
      </x:c>
      <x:c r="F509" s="51" t="str">
        <x:f>IF(501&gt;$H$4,"",IF(INDEX('Fleet dates'!$F$9:$F$1008,$I509-8)="","",INDEX('Fleet dates'!$F$9:$F$1008,$I509-8)))</x:f>
      </x:c>
      <x:c r="G509" s="50" t="str">
        <x:f>IF(501&gt;$H$4,"",IF(INDEX('Fleet dates'!$G$9:$G$1008,$I509-8)="","",INDEX('Fleet dates'!$G$9:$G$1008,$I509-8)))</x:f>
      </x:c>
      <x:c r="H509" s="50" t="str">
        <x:f>IF(501&gt;$H$4,"",IF(INDEX('Fleet dates'!$I$9:$I$1008,$I509-8)="","",INDEX('Fleet dates'!$I$9:$I$1008,$I509-8)))</x:f>
      </x:c>
      <x:c r="I509" t="str">
        <x:f>IF(501&gt;$H$4,"",MATCH(501,'Fleet dates'!$K$9:$K$1008,0)+8)</x:f>
      </x:c>
    </x:row>
    <x:row r="510" ht="36" customHeight="1">
      <x:c r="A510" s="50" t="str">
        <x:f>IF(502&gt;$H$4,"",IF(INDEX('Fleet dates'!$A$9:$A$1008,$I510-8)="","",INDEX('Fleet dates'!$A$9:$A$1008,$I510-8)))</x:f>
      </x:c>
      <x:c r="B510" s="50" t="str">
        <x:f>IF(502&gt;$H$4,"",IF(INDEX('Fleet dates'!$B$9:$B$1008,$I510-8)="","",INDEX('Fleet dates'!$B$9:$B$1008,$I510-8)))</x:f>
      </x:c>
      <x:c r="C510" s="51" t="str">
        <x:f>IF(502&gt;$H$4,"",IF(INDEX('Fleet dates'!$C$9:$C$1008,$I510-8)="","",INDEX('Fleet dates'!$C$9:$C$1008,$I510-8)))</x:f>
      </x:c>
      <x:c r="D510" s="51" t="str">
        <x:f>IF(502&gt;$H$4,"",IF(INDEX('Fleet dates'!$D$9:$D$1008,$I510-8)="","",INDEX('Fleet dates'!$D$9:$D$1008,$I510-8)))</x:f>
      </x:c>
      <x:c r="E510" s="51" t="str">
        <x:f>IF(502&gt;$H$4,"",IF(INDEX('Fleet dates'!$E$9:$E$1008,$I510-8)="","",INDEX('Fleet dates'!$E$9:$E$1008,$I510-8)))</x:f>
      </x:c>
      <x:c r="F510" s="51" t="str">
        <x:f>IF(502&gt;$H$4,"",IF(INDEX('Fleet dates'!$F$9:$F$1008,$I510-8)="","",INDEX('Fleet dates'!$F$9:$F$1008,$I510-8)))</x:f>
      </x:c>
      <x:c r="G510" s="50" t="str">
        <x:f>IF(502&gt;$H$4,"",IF(INDEX('Fleet dates'!$G$9:$G$1008,$I510-8)="","",INDEX('Fleet dates'!$G$9:$G$1008,$I510-8)))</x:f>
      </x:c>
      <x:c r="H510" s="50" t="str">
        <x:f>IF(502&gt;$H$4,"",IF(INDEX('Fleet dates'!$I$9:$I$1008,$I510-8)="","",INDEX('Fleet dates'!$I$9:$I$1008,$I510-8)))</x:f>
      </x:c>
      <x:c r="I510" t="str">
        <x:f>IF(502&gt;$H$4,"",MATCH(502,'Fleet dates'!$K$9:$K$1008,0)+8)</x:f>
      </x:c>
    </x:row>
    <x:row r="511" ht="36" customHeight="1">
      <x:c r="A511" s="50" t="str">
        <x:f>IF(503&gt;$H$4,"",IF(INDEX('Fleet dates'!$A$9:$A$1008,$I511-8)="","",INDEX('Fleet dates'!$A$9:$A$1008,$I511-8)))</x:f>
      </x:c>
      <x:c r="B511" s="50" t="str">
        <x:f>IF(503&gt;$H$4,"",IF(INDEX('Fleet dates'!$B$9:$B$1008,$I511-8)="","",INDEX('Fleet dates'!$B$9:$B$1008,$I511-8)))</x:f>
      </x:c>
      <x:c r="C511" s="51" t="str">
        <x:f>IF(503&gt;$H$4,"",IF(INDEX('Fleet dates'!$C$9:$C$1008,$I511-8)="","",INDEX('Fleet dates'!$C$9:$C$1008,$I511-8)))</x:f>
      </x:c>
      <x:c r="D511" s="51" t="str">
        <x:f>IF(503&gt;$H$4,"",IF(INDEX('Fleet dates'!$D$9:$D$1008,$I511-8)="","",INDEX('Fleet dates'!$D$9:$D$1008,$I511-8)))</x:f>
      </x:c>
      <x:c r="E511" s="51" t="str">
        <x:f>IF(503&gt;$H$4,"",IF(INDEX('Fleet dates'!$E$9:$E$1008,$I511-8)="","",INDEX('Fleet dates'!$E$9:$E$1008,$I511-8)))</x:f>
      </x:c>
      <x:c r="F511" s="51" t="str">
        <x:f>IF(503&gt;$H$4,"",IF(INDEX('Fleet dates'!$F$9:$F$1008,$I511-8)="","",INDEX('Fleet dates'!$F$9:$F$1008,$I511-8)))</x:f>
      </x:c>
      <x:c r="G511" s="50" t="str">
        <x:f>IF(503&gt;$H$4,"",IF(INDEX('Fleet dates'!$G$9:$G$1008,$I511-8)="","",INDEX('Fleet dates'!$G$9:$G$1008,$I511-8)))</x:f>
      </x:c>
      <x:c r="H511" s="50" t="str">
        <x:f>IF(503&gt;$H$4,"",IF(INDEX('Fleet dates'!$I$9:$I$1008,$I511-8)="","",INDEX('Fleet dates'!$I$9:$I$1008,$I511-8)))</x:f>
      </x:c>
      <x:c r="I511" t="str">
        <x:f>IF(503&gt;$H$4,"",MATCH(503,'Fleet dates'!$K$9:$K$1008,0)+8)</x:f>
      </x:c>
    </x:row>
    <x:row r="512" ht="36" customHeight="1">
      <x:c r="A512" s="50" t="str">
        <x:f>IF(504&gt;$H$4,"",IF(INDEX('Fleet dates'!$A$9:$A$1008,$I512-8)="","",INDEX('Fleet dates'!$A$9:$A$1008,$I512-8)))</x:f>
      </x:c>
      <x:c r="B512" s="50" t="str">
        <x:f>IF(504&gt;$H$4,"",IF(INDEX('Fleet dates'!$B$9:$B$1008,$I512-8)="","",INDEX('Fleet dates'!$B$9:$B$1008,$I512-8)))</x:f>
      </x:c>
      <x:c r="C512" s="51" t="str">
        <x:f>IF(504&gt;$H$4,"",IF(INDEX('Fleet dates'!$C$9:$C$1008,$I512-8)="","",INDEX('Fleet dates'!$C$9:$C$1008,$I512-8)))</x:f>
      </x:c>
      <x:c r="D512" s="51" t="str">
        <x:f>IF(504&gt;$H$4,"",IF(INDEX('Fleet dates'!$D$9:$D$1008,$I512-8)="","",INDEX('Fleet dates'!$D$9:$D$1008,$I512-8)))</x:f>
      </x:c>
      <x:c r="E512" s="51" t="str">
        <x:f>IF(504&gt;$H$4,"",IF(INDEX('Fleet dates'!$E$9:$E$1008,$I512-8)="","",INDEX('Fleet dates'!$E$9:$E$1008,$I512-8)))</x:f>
      </x:c>
      <x:c r="F512" s="51" t="str">
        <x:f>IF(504&gt;$H$4,"",IF(INDEX('Fleet dates'!$F$9:$F$1008,$I512-8)="","",INDEX('Fleet dates'!$F$9:$F$1008,$I512-8)))</x:f>
      </x:c>
      <x:c r="G512" s="50" t="str">
        <x:f>IF(504&gt;$H$4,"",IF(INDEX('Fleet dates'!$G$9:$G$1008,$I512-8)="","",INDEX('Fleet dates'!$G$9:$G$1008,$I512-8)))</x:f>
      </x:c>
      <x:c r="H512" s="50" t="str">
        <x:f>IF(504&gt;$H$4,"",IF(INDEX('Fleet dates'!$I$9:$I$1008,$I512-8)="","",INDEX('Fleet dates'!$I$9:$I$1008,$I512-8)))</x:f>
      </x:c>
      <x:c r="I512" t="str">
        <x:f>IF(504&gt;$H$4,"",MATCH(504,'Fleet dates'!$K$9:$K$1008,0)+8)</x:f>
      </x:c>
    </x:row>
    <x:row r="513" ht="36" customHeight="1">
      <x:c r="A513" s="50" t="str">
        <x:f>IF(505&gt;$H$4,"",IF(INDEX('Fleet dates'!$A$9:$A$1008,$I513-8)="","",INDEX('Fleet dates'!$A$9:$A$1008,$I513-8)))</x:f>
      </x:c>
      <x:c r="B513" s="50" t="str">
        <x:f>IF(505&gt;$H$4,"",IF(INDEX('Fleet dates'!$B$9:$B$1008,$I513-8)="","",INDEX('Fleet dates'!$B$9:$B$1008,$I513-8)))</x:f>
      </x:c>
      <x:c r="C513" s="51" t="str">
        <x:f>IF(505&gt;$H$4,"",IF(INDEX('Fleet dates'!$C$9:$C$1008,$I513-8)="","",INDEX('Fleet dates'!$C$9:$C$1008,$I513-8)))</x:f>
      </x:c>
      <x:c r="D513" s="51" t="str">
        <x:f>IF(505&gt;$H$4,"",IF(INDEX('Fleet dates'!$D$9:$D$1008,$I513-8)="","",INDEX('Fleet dates'!$D$9:$D$1008,$I513-8)))</x:f>
      </x:c>
      <x:c r="E513" s="51" t="str">
        <x:f>IF(505&gt;$H$4,"",IF(INDEX('Fleet dates'!$E$9:$E$1008,$I513-8)="","",INDEX('Fleet dates'!$E$9:$E$1008,$I513-8)))</x:f>
      </x:c>
      <x:c r="F513" s="51" t="str">
        <x:f>IF(505&gt;$H$4,"",IF(INDEX('Fleet dates'!$F$9:$F$1008,$I513-8)="","",INDEX('Fleet dates'!$F$9:$F$1008,$I513-8)))</x:f>
      </x:c>
      <x:c r="G513" s="50" t="str">
        <x:f>IF(505&gt;$H$4,"",IF(INDEX('Fleet dates'!$G$9:$G$1008,$I513-8)="","",INDEX('Fleet dates'!$G$9:$G$1008,$I513-8)))</x:f>
      </x:c>
      <x:c r="H513" s="50" t="str">
        <x:f>IF(505&gt;$H$4,"",IF(INDEX('Fleet dates'!$I$9:$I$1008,$I513-8)="","",INDEX('Fleet dates'!$I$9:$I$1008,$I513-8)))</x:f>
      </x:c>
      <x:c r="I513" t="str">
        <x:f>IF(505&gt;$H$4,"",MATCH(505,'Fleet dates'!$K$9:$K$1008,0)+8)</x:f>
      </x:c>
    </x:row>
    <x:row r="514" ht="36" customHeight="1">
      <x:c r="A514" s="50" t="str">
        <x:f>IF(506&gt;$H$4,"",IF(INDEX('Fleet dates'!$A$9:$A$1008,$I514-8)="","",INDEX('Fleet dates'!$A$9:$A$1008,$I514-8)))</x:f>
      </x:c>
      <x:c r="B514" s="50" t="str">
        <x:f>IF(506&gt;$H$4,"",IF(INDEX('Fleet dates'!$B$9:$B$1008,$I514-8)="","",INDEX('Fleet dates'!$B$9:$B$1008,$I514-8)))</x:f>
      </x:c>
      <x:c r="C514" s="51" t="str">
        <x:f>IF(506&gt;$H$4,"",IF(INDEX('Fleet dates'!$C$9:$C$1008,$I514-8)="","",INDEX('Fleet dates'!$C$9:$C$1008,$I514-8)))</x:f>
      </x:c>
      <x:c r="D514" s="51" t="str">
        <x:f>IF(506&gt;$H$4,"",IF(INDEX('Fleet dates'!$D$9:$D$1008,$I514-8)="","",INDEX('Fleet dates'!$D$9:$D$1008,$I514-8)))</x:f>
      </x:c>
      <x:c r="E514" s="51" t="str">
        <x:f>IF(506&gt;$H$4,"",IF(INDEX('Fleet dates'!$E$9:$E$1008,$I514-8)="","",INDEX('Fleet dates'!$E$9:$E$1008,$I514-8)))</x:f>
      </x:c>
      <x:c r="F514" s="51" t="str">
        <x:f>IF(506&gt;$H$4,"",IF(INDEX('Fleet dates'!$F$9:$F$1008,$I514-8)="","",INDEX('Fleet dates'!$F$9:$F$1008,$I514-8)))</x:f>
      </x:c>
      <x:c r="G514" s="50" t="str">
        <x:f>IF(506&gt;$H$4,"",IF(INDEX('Fleet dates'!$G$9:$G$1008,$I514-8)="","",INDEX('Fleet dates'!$G$9:$G$1008,$I514-8)))</x:f>
      </x:c>
      <x:c r="H514" s="50" t="str">
        <x:f>IF(506&gt;$H$4,"",IF(INDEX('Fleet dates'!$I$9:$I$1008,$I514-8)="","",INDEX('Fleet dates'!$I$9:$I$1008,$I514-8)))</x:f>
      </x:c>
      <x:c r="I514" t="str">
        <x:f>IF(506&gt;$H$4,"",MATCH(506,'Fleet dates'!$K$9:$K$1008,0)+8)</x:f>
      </x:c>
    </x:row>
    <x:row r="515" ht="36" customHeight="1">
      <x:c r="A515" s="50" t="str">
        <x:f>IF(507&gt;$H$4,"",IF(INDEX('Fleet dates'!$A$9:$A$1008,$I515-8)="","",INDEX('Fleet dates'!$A$9:$A$1008,$I515-8)))</x:f>
      </x:c>
      <x:c r="B515" s="50" t="str">
        <x:f>IF(507&gt;$H$4,"",IF(INDEX('Fleet dates'!$B$9:$B$1008,$I515-8)="","",INDEX('Fleet dates'!$B$9:$B$1008,$I515-8)))</x:f>
      </x:c>
      <x:c r="C515" s="51" t="str">
        <x:f>IF(507&gt;$H$4,"",IF(INDEX('Fleet dates'!$C$9:$C$1008,$I515-8)="","",INDEX('Fleet dates'!$C$9:$C$1008,$I515-8)))</x:f>
      </x:c>
      <x:c r="D515" s="51" t="str">
        <x:f>IF(507&gt;$H$4,"",IF(INDEX('Fleet dates'!$D$9:$D$1008,$I515-8)="","",INDEX('Fleet dates'!$D$9:$D$1008,$I515-8)))</x:f>
      </x:c>
      <x:c r="E515" s="51" t="str">
        <x:f>IF(507&gt;$H$4,"",IF(INDEX('Fleet dates'!$E$9:$E$1008,$I515-8)="","",INDEX('Fleet dates'!$E$9:$E$1008,$I515-8)))</x:f>
      </x:c>
      <x:c r="F515" s="51" t="str">
        <x:f>IF(507&gt;$H$4,"",IF(INDEX('Fleet dates'!$F$9:$F$1008,$I515-8)="","",INDEX('Fleet dates'!$F$9:$F$1008,$I515-8)))</x:f>
      </x:c>
      <x:c r="G515" s="50" t="str">
        <x:f>IF(507&gt;$H$4,"",IF(INDEX('Fleet dates'!$G$9:$G$1008,$I515-8)="","",INDEX('Fleet dates'!$G$9:$G$1008,$I515-8)))</x:f>
      </x:c>
      <x:c r="H515" s="50" t="str">
        <x:f>IF(507&gt;$H$4,"",IF(INDEX('Fleet dates'!$I$9:$I$1008,$I515-8)="","",INDEX('Fleet dates'!$I$9:$I$1008,$I515-8)))</x:f>
      </x:c>
      <x:c r="I515" t="str">
        <x:f>IF(507&gt;$H$4,"",MATCH(507,'Fleet dates'!$K$9:$K$1008,0)+8)</x:f>
      </x:c>
    </x:row>
    <x:row r="516" ht="36" customHeight="1">
      <x:c r="A516" s="50" t="str">
        <x:f>IF(508&gt;$H$4,"",IF(INDEX('Fleet dates'!$A$9:$A$1008,$I516-8)="","",INDEX('Fleet dates'!$A$9:$A$1008,$I516-8)))</x:f>
      </x:c>
      <x:c r="B516" s="50" t="str">
        <x:f>IF(508&gt;$H$4,"",IF(INDEX('Fleet dates'!$B$9:$B$1008,$I516-8)="","",INDEX('Fleet dates'!$B$9:$B$1008,$I516-8)))</x:f>
      </x:c>
      <x:c r="C516" s="51" t="str">
        <x:f>IF(508&gt;$H$4,"",IF(INDEX('Fleet dates'!$C$9:$C$1008,$I516-8)="","",INDEX('Fleet dates'!$C$9:$C$1008,$I516-8)))</x:f>
      </x:c>
      <x:c r="D516" s="51" t="str">
        <x:f>IF(508&gt;$H$4,"",IF(INDEX('Fleet dates'!$D$9:$D$1008,$I516-8)="","",INDEX('Fleet dates'!$D$9:$D$1008,$I516-8)))</x:f>
      </x:c>
      <x:c r="E516" s="51" t="str">
        <x:f>IF(508&gt;$H$4,"",IF(INDEX('Fleet dates'!$E$9:$E$1008,$I516-8)="","",INDEX('Fleet dates'!$E$9:$E$1008,$I516-8)))</x:f>
      </x:c>
      <x:c r="F516" s="51" t="str">
        <x:f>IF(508&gt;$H$4,"",IF(INDEX('Fleet dates'!$F$9:$F$1008,$I516-8)="","",INDEX('Fleet dates'!$F$9:$F$1008,$I516-8)))</x:f>
      </x:c>
      <x:c r="G516" s="50" t="str">
        <x:f>IF(508&gt;$H$4,"",IF(INDEX('Fleet dates'!$G$9:$G$1008,$I516-8)="","",INDEX('Fleet dates'!$G$9:$G$1008,$I516-8)))</x:f>
      </x:c>
      <x:c r="H516" s="50" t="str">
        <x:f>IF(508&gt;$H$4,"",IF(INDEX('Fleet dates'!$I$9:$I$1008,$I516-8)="","",INDEX('Fleet dates'!$I$9:$I$1008,$I516-8)))</x:f>
      </x:c>
      <x:c r="I516" t="str">
        <x:f>IF(508&gt;$H$4,"",MATCH(508,'Fleet dates'!$K$9:$K$1008,0)+8)</x:f>
      </x:c>
    </x:row>
    <x:row r="517" ht="36" customHeight="1">
      <x:c r="A517" s="50" t="str">
        <x:f>IF(509&gt;$H$4,"",IF(INDEX('Fleet dates'!$A$9:$A$1008,$I517-8)="","",INDEX('Fleet dates'!$A$9:$A$1008,$I517-8)))</x:f>
      </x:c>
      <x:c r="B517" s="50" t="str">
        <x:f>IF(509&gt;$H$4,"",IF(INDEX('Fleet dates'!$B$9:$B$1008,$I517-8)="","",INDEX('Fleet dates'!$B$9:$B$1008,$I517-8)))</x:f>
      </x:c>
      <x:c r="C517" s="51" t="str">
        <x:f>IF(509&gt;$H$4,"",IF(INDEX('Fleet dates'!$C$9:$C$1008,$I517-8)="","",INDEX('Fleet dates'!$C$9:$C$1008,$I517-8)))</x:f>
      </x:c>
      <x:c r="D517" s="51" t="str">
        <x:f>IF(509&gt;$H$4,"",IF(INDEX('Fleet dates'!$D$9:$D$1008,$I517-8)="","",INDEX('Fleet dates'!$D$9:$D$1008,$I517-8)))</x:f>
      </x:c>
      <x:c r="E517" s="51" t="str">
        <x:f>IF(509&gt;$H$4,"",IF(INDEX('Fleet dates'!$E$9:$E$1008,$I517-8)="","",INDEX('Fleet dates'!$E$9:$E$1008,$I517-8)))</x:f>
      </x:c>
      <x:c r="F517" s="51" t="str">
        <x:f>IF(509&gt;$H$4,"",IF(INDEX('Fleet dates'!$F$9:$F$1008,$I517-8)="","",INDEX('Fleet dates'!$F$9:$F$1008,$I517-8)))</x:f>
      </x:c>
      <x:c r="G517" s="50" t="str">
        <x:f>IF(509&gt;$H$4,"",IF(INDEX('Fleet dates'!$G$9:$G$1008,$I517-8)="","",INDEX('Fleet dates'!$G$9:$G$1008,$I517-8)))</x:f>
      </x:c>
      <x:c r="H517" s="50" t="str">
        <x:f>IF(509&gt;$H$4,"",IF(INDEX('Fleet dates'!$I$9:$I$1008,$I517-8)="","",INDEX('Fleet dates'!$I$9:$I$1008,$I517-8)))</x:f>
      </x:c>
      <x:c r="I517" t="str">
        <x:f>IF(509&gt;$H$4,"",MATCH(509,'Fleet dates'!$K$9:$K$1008,0)+8)</x:f>
      </x:c>
    </x:row>
    <x:row r="518" ht="36" customHeight="1">
      <x:c r="A518" s="50" t="str">
        <x:f>IF(510&gt;$H$4,"",IF(INDEX('Fleet dates'!$A$9:$A$1008,$I518-8)="","",INDEX('Fleet dates'!$A$9:$A$1008,$I518-8)))</x:f>
      </x:c>
      <x:c r="B518" s="50" t="str">
        <x:f>IF(510&gt;$H$4,"",IF(INDEX('Fleet dates'!$B$9:$B$1008,$I518-8)="","",INDEX('Fleet dates'!$B$9:$B$1008,$I518-8)))</x:f>
      </x:c>
      <x:c r="C518" s="51" t="str">
        <x:f>IF(510&gt;$H$4,"",IF(INDEX('Fleet dates'!$C$9:$C$1008,$I518-8)="","",INDEX('Fleet dates'!$C$9:$C$1008,$I518-8)))</x:f>
      </x:c>
      <x:c r="D518" s="51" t="str">
        <x:f>IF(510&gt;$H$4,"",IF(INDEX('Fleet dates'!$D$9:$D$1008,$I518-8)="","",INDEX('Fleet dates'!$D$9:$D$1008,$I518-8)))</x:f>
      </x:c>
      <x:c r="E518" s="51" t="str">
        <x:f>IF(510&gt;$H$4,"",IF(INDEX('Fleet dates'!$E$9:$E$1008,$I518-8)="","",INDEX('Fleet dates'!$E$9:$E$1008,$I518-8)))</x:f>
      </x:c>
      <x:c r="F518" s="51" t="str">
        <x:f>IF(510&gt;$H$4,"",IF(INDEX('Fleet dates'!$F$9:$F$1008,$I518-8)="","",INDEX('Fleet dates'!$F$9:$F$1008,$I518-8)))</x:f>
      </x:c>
      <x:c r="G518" s="50" t="str">
        <x:f>IF(510&gt;$H$4,"",IF(INDEX('Fleet dates'!$G$9:$G$1008,$I518-8)="","",INDEX('Fleet dates'!$G$9:$G$1008,$I518-8)))</x:f>
      </x:c>
      <x:c r="H518" s="50" t="str">
        <x:f>IF(510&gt;$H$4,"",IF(INDEX('Fleet dates'!$I$9:$I$1008,$I518-8)="","",INDEX('Fleet dates'!$I$9:$I$1008,$I518-8)))</x:f>
      </x:c>
      <x:c r="I518" t="str">
        <x:f>IF(510&gt;$H$4,"",MATCH(510,'Fleet dates'!$K$9:$K$1008,0)+8)</x:f>
      </x:c>
    </x:row>
    <x:row r="519" ht="36" customHeight="1">
      <x:c r="A519" s="50" t="str">
        <x:f>IF(511&gt;$H$4,"",IF(INDEX('Fleet dates'!$A$9:$A$1008,$I519-8)="","",INDEX('Fleet dates'!$A$9:$A$1008,$I519-8)))</x:f>
      </x:c>
      <x:c r="B519" s="50" t="str">
        <x:f>IF(511&gt;$H$4,"",IF(INDEX('Fleet dates'!$B$9:$B$1008,$I519-8)="","",INDEX('Fleet dates'!$B$9:$B$1008,$I519-8)))</x:f>
      </x:c>
      <x:c r="C519" s="51" t="str">
        <x:f>IF(511&gt;$H$4,"",IF(INDEX('Fleet dates'!$C$9:$C$1008,$I519-8)="","",INDEX('Fleet dates'!$C$9:$C$1008,$I519-8)))</x:f>
      </x:c>
      <x:c r="D519" s="51" t="str">
        <x:f>IF(511&gt;$H$4,"",IF(INDEX('Fleet dates'!$D$9:$D$1008,$I519-8)="","",INDEX('Fleet dates'!$D$9:$D$1008,$I519-8)))</x:f>
      </x:c>
      <x:c r="E519" s="51" t="str">
        <x:f>IF(511&gt;$H$4,"",IF(INDEX('Fleet dates'!$E$9:$E$1008,$I519-8)="","",INDEX('Fleet dates'!$E$9:$E$1008,$I519-8)))</x:f>
      </x:c>
      <x:c r="F519" s="51" t="str">
        <x:f>IF(511&gt;$H$4,"",IF(INDEX('Fleet dates'!$F$9:$F$1008,$I519-8)="","",INDEX('Fleet dates'!$F$9:$F$1008,$I519-8)))</x:f>
      </x:c>
      <x:c r="G519" s="50" t="str">
        <x:f>IF(511&gt;$H$4,"",IF(INDEX('Fleet dates'!$G$9:$G$1008,$I519-8)="","",INDEX('Fleet dates'!$G$9:$G$1008,$I519-8)))</x:f>
      </x:c>
      <x:c r="H519" s="50" t="str">
        <x:f>IF(511&gt;$H$4,"",IF(INDEX('Fleet dates'!$I$9:$I$1008,$I519-8)="","",INDEX('Fleet dates'!$I$9:$I$1008,$I519-8)))</x:f>
      </x:c>
      <x:c r="I519" t="str">
        <x:f>IF(511&gt;$H$4,"",MATCH(511,'Fleet dates'!$K$9:$K$1008,0)+8)</x:f>
      </x:c>
    </x:row>
    <x:row r="520" ht="36" customHeight="1">
      <x:c r="A520" s="50" t="str">
        <x:f>IF(512&gt;$H$4,"",IF(INDEX('Fleet dates'!$A$9:$A$1008,$I520-8)="","",INDEX('Fleet dates'!$A$9:$A$1008,$I520-8)))</x:f>
      </x:c>
      <x:c r="B520" s="50" t="str">
        <x:f>IF(512&gt;$H$4,"",IF(INDEX('Fleet dates'!$B$9:$B$1008,$I520-8)="","",INDEX('Fleet dates'!$B$9:$B$1008,$I520-8)))</x:f>
      </x:c>
      <x:c r="C520" s="51" t="str">
        <x:f>IF(512&gt;$H$4,"",IF(INDEX('Fleet dates'!$C$9:$C$1008,$I520-8)="","",INDEX('Fleet dates'!$C$9:$C$1008,$I520-8)))</x:f>
      </x:c>
      <x:c r="D520" s="51" t="str">
        <x:f>IF(512&gt;$H$4,"",IF(INDEX('Fleet dates'!$D$9:$D$1008,$I520-8)="","",INDEX('Fleet dates'!$D$9:$D$1008,$I520-8)))</x:f>
      </x:c>
      <x:c r="E520" s="51" t="str">
        <x:f>IF(512&gt;$H$4,"",IF(INDEX('Fleet dates'!$E$9:$E$1008,$I520-8)="","",INDEX('Fleet dates'!$E$9:$E$1008,$I520-8)))</x:f>
      </x:c>
      <x:c r="F520" s="51" t="str">
        <x:f>IF(512&gt;$H$4,"",IF(INDEX('Fleet dates'!$F$9:$F$1008,$I520-8)="","",INDEX('Fleet dates'!$F$9:$F$1008,$I520-8)))</x:f>
      </x:c>
      <x:c r="G520" s="50" t="str">
        <x:f>IF(512&gt;$H$4,"",IF(INDEX('Fleet dates'!$G$9:$G$1008,$I520-8)="","",INDEX('Fleet dates'!$G$9:$G$1008,$I520-8)))</x:f>
      </x:c>
      <x:c r="H520" s="50" t="str">
        <x:f>IF(512&gt;$H$4,"",IF(INDEX('Fleet dates'!$I$9:$I$1008,$I520-8)="","",INDEX('Fleet dates'!$I$9:$I$1008,$I520-8)))</x:f>
      </x:c>
      <x:c r="I520" t="str">
        <x:f>IF(512&gt;$H$4,"",MATCH(512,'Fleet dates'!$K$9:$K$1008,0)+8)</x:f>
      </x:c>
    </x:row>
    <x:row r="521" ht="36" customHeight="1">
      <x:c r="A521" s="50" t="str">
        <x:f>IF(513&gt;$H$4,"",IF(INDEX('Fleet dates'!$A$9:$A$1008,$I521-8)="","",INDEX('Fleet dates'!$A$9:$A$1008,$I521-8)))</x:f>
      </x:c>
      <x:c r="B521" s="50" t="str">
        <x:f>IF(513&gt;$H$4,"",IF(INDEX('Fleet dates'!$B$9:$B$1008,$I521-8)="","",INDEX('Fleet dates'!$B$9:$B$1008,$I521-8)))</x:f>
      </x:c>
      <x:c r="C521" s="51" t="str">
        <x:f>IF(513&gt;$H$4,"",IF(INDEX('Fleet dates'!$C$9:$C$1008,$I521-8)="","",INDEX('Fleet dates'!$C$9:$C$1008,$I521-8)))</x:f>
      </x:c>
      <x:c r="D521" s="51" t="str">
        <x:f>IF(513&gt;$H$4,"",IF(INDEX('Fleet dates'!$D$9:$D$1008,$I521-8)="","",INDEX('Fleet dates'!$D$9:$D$1008,$I521-8)))</x:f>
      </x:c>
      <x:c r="E521" s="51" t="str">
        <x:f>IF(513&gt;$H$4,"",IF(INDEX('Fleet dates'!$E$9:$E$1008,$I521-8)="","",INDEX('Fleet dates'!$E$9:$E$1008,$I521-8)))</x:f>
      </x:c>
      <x:c r="F521" s="51" t="str">
        <x:f>IF(513&gt;$H$4,"",IF(INDEX('Fleet dates'!$F$9:$F$1008,$I521-8)="","",INDEX('Fleet dates'!$F$9:$F$1008,$I521-8)))</x:f>
      </x:c>
      <x:c r="G521" s="50" t="str">
        <x:f>IF(513&gt;$H$4,"",IF(INDEX('Fleet dates'!$G$9:$G$1008,$I521-8)="","",INDEX('Fleet dates'!$G$9:$G$1008,$I521-8)))</x:f>
      </x:c>
      <x:c r="H521" s="50" t="str">
        <x:f>IF(513&gt;$H$4,"",IF(INDEX('Fleet dates'!$I$9:$I$1008,$I521-8)="","",INDEX('Fleet dates'!$I$9:$I$1008,$I521-8)))</x:f>
      </x:c>
      <x:c r="I521" t="str">
        <x:f>IF(513&gt;$H$4,"",MATCH(513,'Fleet dates'!$K$9:$K$1008,0)+8)</x:f>
      </x:c>
    </x:row>
    <x:row r="522" ht="36" customHeight="1">
      <x:c r="A522" s="50" t="str">
        <x:f>IF(514&gt;$H$4,"",IF(INDEX('Fleet dates'!$A$9:$A$1008,$I522-8)="","",INDEX('Fleet dates'!$A$9:$A$1008,$I522-8)))</x:f>
      </x:c>
      <x:c r="B522" s="50" t="str">
        <x:f>IF(514&gt;$H$4,"",IF(INDEX('Fleet dates'!$B$9:$B$1008,$I522-8)="","",INDEX('Fleet dates'!$B$9:$B$1008,$I522-8)))</x:f>
      </x:c>
      <x:c r="C522" s="51" t="str">
        <x:f>IF(514&gt;$H$4,"",IF(INDEX('Fleet dates'!$C$9:$C$1008,$I522-8)="","",INDEX('Fleet dates'!$C$9:$C$1008,$I522-8)))</x:f>
      </x:c>
      <x:c r="D522" s="51" t="str">
        <x:f>IF(514&gt;$H$4,"",IF(INDEX('Fleet dates'!$D$9:$D$1008,$I522-8)="","",INDEX('Fleet dates'!$D$9:$D$1008,$I522-8)))</x:f>
      </x:c>
      <x:c r="E522" s="51" t="str">
        <x:f>IF(514&gt;$H$4,"",IF(INDEX('Fleet dates'!$E$9:$E$1008,$I522-8)="","",INDEX('Fleet dates'!$E$9:$E$1008,$I522-8)))</x:f>
      </x:c>
      <x:c r="F522" s="51" t="str">
        <x:f>IF(514&gt;$H$4,"",IF(INDEX('Fleet dates'!$F$9:$F$1008,$I522-8)="","",INDEX('Fleet dates'!$F$9:$F$1008,$I522-8)))</x:f>
      </x:c>
      <x:c r="G522" s="50" t="str">
        <x:f>IF(514&gt;$H$4,"",IF(INDEX('Fleet dates'!$G$9:$G$1008,$I522-8)="","",INDEX('Fleet dates'!$G$9:$G$1008,$I522-8)))</x:f>
      </x:c>
      <x:c r="H522" s="50" t="str">
        <x:f>IF(514&gt;$H$4,"",IF(INDEX('Fleet dates'!$I$9:$I$1008,$I522-8)="","",INDEX('Fleet dates'!$I$9:$I$1008,$I522-8)))</x:f>
      </x:c>
      <x:c r="I522" t="str">
        <x:f>IF(514&gt;$H$4,"",MATCH(514,'Fleet dates'!$K$9:$K$1008,0)+8)</x:f>
      </x:c>
    </x:row>
    <x:row r="523" ht="36" customHeight="1">
      <x:c r="A523" s="50" t="str">
        <x:f>IF(515&gt;$H$4,"",IF(INDEX('Fleet dates'!$A$9:$A$1008,$I523-8)="","",INDEX('Fleet dates'!$A$9:$A$1008,$I523-8)))</x:f>
      </x:c>
      <x:c r="B523" s="50" t="str">
        <x:f>IF(515&gt;$H$4,"",IF(INDEX('Fleet dates'!$B$9:$B$1008,$I523-8)="","",INDEX('Fleet dates'!$B$9:$B$1008,$I523-8)))</x:f>
      </x:c>
      <x:c r="C523" s="51" t="str">
        <x:f>IF(515&gt;$H$4,"",IF(INDEX('Fleet dates'!$C$9:$C$1008,$I523-8)="","",INDEX('Fleet dates'!$C$9:$C$1008,$I523-8)))</x:f>
      </x:c>
      <x:c r="D523" s="51" t="str">
        <x:f>IF(515&gt;$H$4,"",IF(INDEX('Fleet dates'!$D$9:$D$1008,$I523-8)="","",INDEX('Fleet dates'!$D$9:$D$1008,$I523-8)))</x:f>
      </x:c>
      <x:c r="E523" s="51" t="str">
        <x:f>IF(515&gt;$H$4,"",IF(INDEX('Fleet dates'!$E$9:$E$1008,$I523-8)="","",INDEX('Fleet dates'!$E$9:$E$1008,$I523-8)))</x:f>
      </x:c>
      <x:c r="F523" s="51" t="str">
        <x:f>IF(515&gt;$H$4,"",IF(INDEX('Fleet dates'!$F$9:$F$1008,$I523-8)="","",INDEX('Fleet dates'!$F$9:$F$1008,$I523-8)))</x:f>
      </x:c>
      <x:c r="G523" s="50" t="str">
        <x:f>IF(515&gt;$H$4,"",IF(INDEX('Fleet dates'!$G$9:$G$1008,$I523-8)="","",INDEX('Fleet dates'!$G$9:$G$1008,$I523-8)))</x:f>
      </x:c>
      <x:c r="H523" s="50" t="str">
        <x:f>IF(515&gt;$H$4,"",IF(INDEX('Fleet dates'!$I$9:$I$1008,$I523-8)="","",INDEX('Fleet dates'!$I$9:$I$1008,$I523-8)))</x:f>
      </x:c>
      <x:c r="I523" t="str">
        <x:f>IF(515&gt;$H$4,"",MATCH(515,'Fleet dates'!$K$9:$K$1008,0)+8)</x:f>
      </x:c>
    </x:row>
    <x:row r="524" ht="36" customHeight="1">
      <x:c r="A524" s="50" t="str">
        <x:f>IF(516&gt;$H$4,"",IF(INDEX('Fleet dates'!$A$9:$A$1008,$I524-8)="","",INDEX('Fleet dates'!$A$9:$A$1008,$I524-8)))</x:f>
      </x:c>
      <x:c r="B524" s="50" t="str">
        <x:f>IF(516&gt;$H$4,"",IF(INDEX('Fleet dates'!$B$9:$B$1008,$I524-8)="","",INDEX('Fleet dates'!$B$9:$B$1008,$I524-8)))</x:f>
      </x:c>
      <x:c r="C524" s="51" t="str">
        <x:f>IF(516&gt;$H$4,"",IF(INDEX('Fleet dates'!$C$9:$C$1008,$I524-8)="","",INDEX('Fleet dates'!$C$9:$C$1008,$I524-8)))</x:f>
      </x:c>
      <x:c r="D524" s="51" t="str">
        <x:f>IF(516&gt;$H$4,"",IF(INDEX('Fleet dates'!$D$9:$D$1008,$I524-8)="","",INDEX('Fleet dates'!$D$9:$D$1008,$I524-8)))</x:f>
      </x:c>
      <x:c r="E524" s="51" t="str">
        <x:f>IF(516&gt;$H$4,"",IF(INDEX('Fleet dates'!$E$9:$E$1008,$I524-8)="","",INDEX('Fleet dates'!$E$9:$E$1008,$I524-8)))</x:f>
      </x:c>
      <x:c r="F524" s="51" t="str">
        <x:f>IF(516&gt;$H$4,"",IF(INDEX('Fleet dates'!$F$9:$F$1008,$I524-8)="","",INDEX('Fleet dates'!$F$9:$F$1008,$I524-8)))</x:f>
      </x:c>
      <x:c r="G524" s="50" t="str">
        <x:f>IF(516&gt;$H$4,"",IF(INDEX('Fleet dates'!$G$9:$G$1008,$I524-8)="","",INDEX('Fleet dates'!$G$9:$G$1008,$I524-8)))</x:f>
      </x:c>
      <x:c r="H524" s="50" t="str">
        <x:f>IF(516&gt;$H$4,"",IF(INDEX('Fleet dates'!$I$9:$I$1008,$I524-8)="","",INDEX('Fleet dates'!$I$9:$I$1008,$I524-8)))</x:f>
      </x:c>
      <x:c r="I524" t="str">
        <x:f>IF(516&gt;$H$4,"",MATCH(516,'Fleet dates'!$K$9:$K$1008,0)+8)</x:f>
      </x:c>
    </x:row>
    <x:row r="525" ht="36" customHeight="1">
      <x:c r="A525" s="50" t="str">
        <x:f>IF(517&gt;$H$4,"",IF(INDEX('Fleet dates'!$A$9:$A$1008,$I525-8)="","",INDEX('Fleet dates'!$A$9:$A$1008,$I525-8)))</x:f>
      </x:c>
      <x:c r="B525" s="50" t="str">
        <x:f>IF(517&gt;$H$4,"",IF(INDEX('Fleet dates'!$B$9:$B$1008,$I525-8)="","",INDEX('Fleet dates'!$B$9:$B$1008,$I525-8)))</x:f>
      </x:c>
      <x:c r="C525" s="51" t="str">
        <x:f>IF(517&gt;$H$4,"",IF(INDEX('Fleet dates'!$C$9:$C$1008,$I525-8)="","",INDEX('Fleet dates'!$C$9:$C$1008,$I525-8)))</x:f>
      </x:c>
      <x:c r="D525" s="51" t="str">
        <x:f>IF(517&gt;$H$4,"",IF(INDEX('Fleet dates'!$D$9:$D$1008,$I525-8)="","",INDEX('Fleet dates'!$D$9:$D$1008,$I525-8)))</x:f>
      </x:c>
      <x:c r="E525" s="51" t="str">
        <x:f>IF(517&gt;$H$4,"",IF(INDEX('Fleet dates'!$E$9:$E$1008,$I525-8)="","",INDEX('Fleet dates'!$E$9:$E$1008,$I525-8)))</x:f>
      </x:c>
      <x:c r="F525" s="51" t="str">
        <x:f>IF(517&gt;$H$4,"",IF(INDEX('Fleet dates'!$F$9:$F$1008,$I525-8)="","",INDEX('Fleet dates'!$F$9:$F$1008,$I525-8)))</x:f>
      </x:c>
      <x:c r="G525" s="50" t="str">
        <x:f>IF(517&gt;$H$4,"",IF(INDEX('Fleet dates'!$G$9:$G$1008,$I525-8)="","",INDEX('Fleet dates'!$G$9:$G$1008,$I525-8)))</x:f>
      </x:c>
      <x:c r="H525" s="50" t="str">
        <x:f>IF(517&gt;$H$4,"",IF(INDEX('Fleet dates'!$I$9:$I$1008,$I525-8)="","",INDEX('Fleet dates'!$I$9:$I$1008,$I525-8)))</x:f>
      </x:c>
      <x:c r="I525" t="str">
        <x:f>IF(517&gt;$H$4,"",MATCH(517,'Fleet dates'!$K$9:$K$1008,0)+8)</x:f>
      </x:c>
    </x:row>
    <x:row r="526" ht="36" customHeight="1">
      <x:c r="A526" s="50" t="str">
        <x:f>IF(518&gt;$H$4,"",IF(INDEX('Fleet dates'!$A$9:$A$1008,$I526-8)="","",INDEX('Fleet dates'!$A$9:$A$1008,$I526-8)))</x:f>
      </x:c>
      <x:c r="B526" s="50" t="str">
        <x:f>IF(518&gt;$H$4,"",IF(INDEX('Fleet dates'!$B$9:$B$1008,$I526-8)="","",INDEX('Fleet dates'!$B$9:$B$1008,$I526-8)))</x:f>
      </x:c>
      <x:c r="C526" s="51" t="str">
        <x:f>IF(518&gt;$H$4,"",IF(INDEX('Fleet dates'!$C$9:$C$1008,$I526-8)="","",INDEX('Fleet dates'!$C$9:$C$1008,$I526-8)))</x:f>
      </x:c>
      <x:c r="D526" s="51" t="str">
        <x:f>IF(518&gt;$H$4,"",IF(INDEX('Fleet dates'!$D$9:$D$1008,$I526-8)="","",INDEX('Fleet dates'!$D$9:$D$1008,$I526-8)))</x:f>
      </x:c>
      <x:c r="E526" s="51" t="str">
        <x:f>IF(518&gt;$H$4,"",IF(INDEX('Fleet dates'!$E$9:$E$1008,$I526-8)="","",INDEX('Fleet dates'!$E$9:$E$1008,$I526-8)))</x:f>
      </x:c>
      <x:c r="F526" s="51" t="str">
        <x:f>IF(518&gt;$H$4,"",IF(INDEX('Fleet dates'!$F$9:$F$1008,$I526-8)="","",INDEX('Fleet dates'!$F$9:$F$1008,$I526-8)))</x:f>
      </x:c>
      <x:c r="G526" s="50" t="str">
        <x:f>IF(518&gt;$H$4,"",IF(INDEX('Fleet dates'!$G$9:$G$1008,$I526-8)="","",INDEX('Fleet dates'!$G$9:$G$1008,$I526-8)))</x:f>
      </x:c>
      <x:c r="H526" s="50" t="str">
        <x:f>IF(518&gt;$H$4,"",IF(INDEX('Fleet dates'!$I$9:$I$1008,$I526-8)="","",INDEX('Fleet dates'!$I$9:$I$1008,$I526-8)))</x:f>
      </x:c>
      <x:c r="I526" t="str">
        <x:f>IF(518&gt;$H$4,"",MATCH(518,'Fleet dates'!$K$9:$K$1008,0)+8)</x:f>
      </x:c>
    </x:row>
    <x:row r="527" ht="36" customHeight="1">
      <x:c r="A527" s="50" t="str">
        <x:f>IF(519&gt;$H$4,"",IF(INDEX('Fleet dates'!$A$9:$A$1008,$I527-8)="","",INDEX('Fleet dates'!$A$9:$A$1008,$I527-8)))</x:f>
      </x:c>
      <x:c r="B527" s="50" t="str">
        <x:f>IF(519&gt;$H$4,"",IF(INDEX('Fleet dates'!$B$9:$B$1008,$I527-8)="","",INDEX('Fleet dates'!$B$9:$B$1008,$I527-8)))</x:f>
      </x:c>
      <x:c r="C527" s="51" t="str">
        <x:f>IF(519&gt;$H$4,"",IF(INDEX('Fleet dates'!$C$9:$C$1008,$I527-8)="","",INDEX('Fleet dates'!$C$9:$C$1008,$I527-8)))</x:f>
      </x:c>
      <x:c r="D527" s="51" t="str">
        <x:f>IF(519&gt;$H$4,"",IF(INDEX('Fleet dates'!$D$9:$D$1008,$I527-8)="","",INDEX('Fleet dates'!$D$9:$D$1008,$I527-8)))</x:f>
      </x:c>
      <x:c r="E527" s="51" t="str">
        <x:f>IF(519&gt;$H$4,"",IF(INDEX('Fleet dates'!$E$9:$E$1008,$I527-8)="","",INDEX('Fleet dates'!$E$9:$E$1008,$I527-8)))</x:f>
      </x:c>
      <x:c r="F527" s="51" t="str">
        <x:f>IF(519&gt;$H$4,"",IF(INDEX('Fleet dates'!$F$9:$F$1008,$I527-8)="","",INDEX('Fleet dates'!$F$9:$F$1008,$I527-8)))</x:f>
      </x:c>
      <x:c r="G527" s="50" t="str">
        <x:f>IF(519&gt;$H$4,"",IF(INDEX('Fleet dates'!$G$9:$G$1008,$I527-8)="","",INDEX('Fleet dates'!$G$9:$G$1008,$I527-8)))</x:f>
      </x:c>
      <x:c r="H527" s="50" t="str">
        <x:f>IF(519&gt;$H$4,"",IF(INDEX('Fleet dates'!$I$9:$I$1008,$I527-8)="","",INDEX('Fleet dates'!$I$9:$I$1008,$I527-8)))</x:f>
      </x:c>
      <x:c r="I527" t="str">
        <x:f>IF(519&gt;$H$4,"",MATCH(519,'Fleet dates'!$K$9:$K$1008,0)+8)</x:f>
      </x:c>
    </x:row>
    <x:row r="528" ht="36" customHeight="1">
      <x:c r="A528" s="50" t="str">
        <x:f>IF(520&gt;$H$4,"",IF(INDEX('Fleet dates'!$A$9:$A$1008,$I528-8)="","",INDEX('Fleet dates'!$A$9:$A$1008,$I528-8)))</x:f>
      </x:c>
      <x:c r="B528" s="50" t="str">
        <x:f>IF(520&gt;$H$4,"",IF(INDEX('Fleet dates'!$B$9:$B$1008,$I528-8)="","",INDEX('Fleet dates'!$B$9:$B$1008,$I528-8)))</x:f>
      </x:c>
      <x:c r="C528" s="51" t="str">
        <x:f>IF(520&gt;$H$4,"",IF(INDEX('Fleet dates'!$C$9:$C$1008,$I528-8)="","",INDEX('Fleet dates'!$C$9:$C$1008,$I528-8)))</x:f>
      </x:c>
      <x:c r="D528" s="51" t="str">
        <x:f>IF(520&gt;$H$4,"",IF(INDEX('Fleet dates'!$D$9:$D$1008,$I528-8)="","",INDEX('Fleet dates'!$D$9:$D$1008,$I528-8)))</x:f>
      </x:c>
      <x:c r="E528" s="51" t="str">
        <x:f>IF(520&gt;$H$4,"",IF(INDEX('Fleet dates'!$E$9:$E$1008,$I528-8)="","",INDEX('Fleet dates'!$E$9:$E$1008,$I528-8)))</x:f>
      </x:c>
      <x:c r="F528" s="51" t="str">
        <x:f>IF(520&gt;$H$4,"",IF(INDEX('Fleet dates'!$F$9:$F$1008,$I528-8)="","",INDEX('Fleet dates'!$F$9:$F$1008,$I528-8)))</x:f>
      </x:c>
      <x:c r="G528" s="50" t="str">
        <x:f>IF(520&gt;$H$4,"",IF(INDEX('Fleet dates'!$G$9:$G$1008,$I528-8)="","",INDEX('Fleet dates'!$G$9:$G$1008,$I528-8)))</x:f>
      </x:c>
      <x:c r="H528" s="50" t="str">
        <x:f>IF(520&gt;$H$4,"",IF(INDEX('Fleet dates'!$I$9:$I$1008,$I528-8)="","",INDEX('Fleet dates'!$I$9:$I$1008,$I528-8)))</x:f>
      </x:c>
      <x:c r="I528" t="str">
        <x:f>IF(520&gt;$H$4,"",MATCH(520,'Fleet dates'!$K$9:$K$1008,0)+8)</x:f>
      </x:c>
    </x:row>
    <x:row r="529" ht="36" customHeight="1">
      <x:c r="A529" s="50" t="str">
        <x:f>IF(521&gt;$H$4,"",IF(INDEX('Fleet dates'!$A$9:$A$1008,$I529-8)="","",INDEX('Fleet dates'!$A$9:$A$1008,$I529-8)))</x:f>
      </x:c>
      <x:c r="B529" s="50" t="str">
        <x:f>IF(521&gt;$H$4,"",IF(INDEX('Fleet dates'!$B$9:$B$1008,$I529-8)="","",INDEX('Fleet dates'!$B$9:$B$1008,$I529-8)))</x:f>
      </x:c>
      <x:c r="C529" s="51" t="str">
        <x:f>IF(521&gt;$H$4,"",IF(INDEX('Fleet dates'!$C$9:$C$1008,$I529-8)="","",INDEX('Fleet dates'!$C$9:$C$1008,$I529-8)))</x:f>
      </x:c>
      <x:c r="D529" s="51" t="str">
        <x:f>IF(521&gt;$H$4,"",IF(INDEX('Fleet dates'!$D$9:$D$1008,$I529-8)="","",INDEX('Fleet dates'!$D$9:$D$1008,$I529-8)))</x:f>
      </x:c>
      <x:c r="E529" s="51" t="str">
        <x:f>IF(521&gt;$H$4,"",IF(INDEX('Fleet dates'!$E$9:$E$1008,$I529-8)="","",INDEX('Fleet dates'!$E$9:$E$1008,$I529-8)))</x:f>
      </x:c>
      <x:c r="F529" s="51" t="str">
        <x:f>IF(521&gt;$H$4,"",IF(INDEX('Fleet dates'!$F$9:$F$1008,$I529-8)="","",INDEX('Fleet dates'!$F$9:$F$1008,$I529-8)))</x:f>
      </x:c>
      <x:c r="G529" s="50" t="str">
        <x:f>IF(521&gt;$H$4,"",IF(INDEX('Fleet dates'!$G$9:$G$1008,$I529-8)="","",INDEX('Fleet dates'!$G$9:$G$1008,$I529-8)))</x:f>
      </x:c>
      <x:c r="H529" s="50" t="str">
        <x:f>IF(521&gt;$H$4,"",IF(INDEX('Fleet dates'!$I$9:$I$1008,$I529-8)="","",INDEX('Fleet dates'!$I$9:$I$1008,$I529-8)))</x:f>
      </x:c>
      <x:c r="I529" t="str">
        <x:f>IF(521&gt;$H$4,"",MATCH(521,'Fleet dates'!$K$9:$K$1008,0)+8)</x:f>
      </x:c>
    </x:row>
    <x:row r="530" ht="36" customHeight="1">
      <x:c r="A530" s="50" t="str">
        <x:f>IF(522&gt;$H$4,"",IF(INDEX('Fleet dates'!$A$9:$A$1008,$I530-8)="","",INDEX('Fleet dates'!$A$9:$A$1008,$I530-8)))</x:f>
      </x:c>
      <x:c r="B530" s="50" t="str">
        <x:f>IF(522&gt;$H$4,"",IF(INDEX('Fleet dates'!$B$9:$B$1008,$I530-8)="","",INDEX('Fleet dates'!$B$9:$B$1008,$I530-8)))</x:f>
      </x:c>
      <x:c r="C530" s="51" t="str">
        <x:f>IF(522&gt;$H$4,"",IF(INDEX('Fleet dates'!$C$9:$C$1008,$I530-8)="","",INDEX('Fleet dates'!$C$9:$C$1008,$I530-8)))</x:f>
      </x:c>
      <x:c r="D530" s="51" t="str">
        <x:f>IF(522&gt;$H$4,"",IF(INDEX('Fleet dates'!$D$9:$D$1008,$I530-8)="","",INDEX('Fleet dates'!$D$9:$D$1008,$I530-8)))</x:f>
      </x:c>
      <x:c r="E530" s="51" t="str">
        <x:f>IF(522&gt;$H$4,"",IF(INDEX('Fleet dates'!$E$9:$E$1008,$I530-8)="","",INDEX('Fleet dates'!$E$9:$E$1008,$I530-8)))</x:f>
      </x:c>
      <x:c r="F530" s="51" t="str">
        <x:f>IF(522&gt;$H$4,"",IF(INDEX('Fleet dates'!$F$9:$F$1008,$I530-8)="","",INDEX('Fleet dates'!$F$9:$F$1008,$I530-8)))</x:f>
      </x:c>
      <x:c r="G530" s="50" t="str">
        <x:f>IF(522&gt;$H$4,"",IF(INDEX('Fleet dates'!$G$9:$G$1008,$I530-8)="","",INDEX('Fleet dates'!$G$9:$G$1008,$I530-8)))</x:f>
      </x:c>
      <x:c r="H530" s="50" t="str">
        <x:f>IF(522&gt;$H$4,"",IF(INDEX('Fleet dates'!$I$9:$I$1008,$I530-8)="","",INDEX('Fleet dates'!$I$9:$I$1008,$I530-8)))</x:f>
      </x:c>
      <x:c r="I530" t="str">
        <x:f>IF(522&gt;$H$4,"",MATCH(522,'Fleet dates'!$K$9:$K$1008,0)+8)</x:f>
      </x:c>
    </x:row>
    <x:row r="531" ht="36" customHeight="1">
      <x:c r="A531" s="50" t="str">
        <x:f>IF(523&gt;$H$4,"",IF(INDEX('Fleet dates'!$A$9:$A$1008,$I531-8)="","",INDEX('Fleet dates'!$A$9:$A$1008,$I531-8)))</x:f>
      </x:c>
      <x:c r="B531" s="50" t="str">
        <x:f>IF(523&gt;$H$4,"",IF(INDEX('Fleet dates'!$B$9:$B$1008,$I531-8)="","",INDEX('Fleet dates'!$B$9:$B$1008,$I531-8)))</x:f>
      </x:c>
      <x:c r="C531" s="51" t="str">
        <x:f>IF(523&gt;$H$4,"",IF(INDEX('Fleet dates'!$C$9:$C$1008,$I531-8)="","",INDEX('Fleet dates'!$C$9:$C$1008,$I531-8)))</x:f>
      </x:c>
      <x:c r="D531" s="51" t="str">
        <x:f>IF(523&gt;$H$4,"",IF(INDEX('Fleet dates'!$D$9:$D$1008,$I531-8)="","",INDEX('Fleet dates'!$D$9:$D$1008,$I531-8)))</x:f>
      </x:c>
      <x:c r="E531" s="51" t="str">
        <x:f>IF(523&gt;$H$4,"",IF(INDEX('Fleet dates'!$E$9:$E$1008,$I531-8)="","",INDEX('Fleet dates'!$E$9:$E$1008,$I531-8)))</x:f>
      </x:c>
      <x:c r="F531" s="51" t="str">
        <x:f>IF(523&gt;$H$4,"",IF(INDEX('Fleet dates'!$F$9:$F$1008,$I531-8)="","",INDEX('Fleet dates'!$F$9:$F$1008,$I531-8)))</x:f>
      </x:c>
      <x:c r="G531" s="50" t="str">
        <x:f>IF(523&gt;$H$4,"",IF(INDEX('Fleet dates'!$G$9:$G$1008,$I531-8)="","",INDEX('Fleet dates'!$G$9:$G$1008,$I531-8)))</x:f>
      </x:c>
      <x:c r="H531" s="50" t="str">
        <x:f>IF(523&gt;$H$4,"",IF(INDEX('Fleet dates'!$I$9:$I$1008,$I531-8)="","",INDEX('Fleet dates'!$I$9:$I$1008,$I531-8)))</x:f>
      </x:c>
      <x:c r="I531" t="str">
        <x:f>IF(523&gt;$H$4,"",MATCH(523,'Fleet dates'!$K$9:$K$1008,0)+8)</x:f>
      </x:c>
    </x:row>
    <x:row r="532" ht="36" customHeight="1">
      <x:c r="A532" s="50" t="str">
        <x:f>IF(524&gt;$H$4,"",IF(INDEX('Fleet dates'!$A$9:$A$1008,$I532-8)="","",INDEX('Fleet dates'!$A$9:$A$1008,$I532-8)))</x:f>
      </x:c>
      <x:c r="B532" s="50" t="str">
        <x:f>IF(524&gt;$H$4,"",IF(INDEX('Fleet dates'!$B$9:$B$1008,$I532-8)="","",INDEX('Fleet dates'!$B$9:$B$1008,$I532-8)))</x:f>
      </x:c>
      <x:c r="C532" s="51" t="str">
        <x:f>IF(524&gt;$H$4,"",IF(INDEX('Fleet dates'!$C$9:$C$1008,$I532-8)="","",INDEX('Fleet dates'!$C$9:$C$1008,$I532-8)))</x:f>
      </x:c>
      <x:c r="D532" s="51" t="str">
        <x:f>IF(524&gt;$H$4,"",IF(INDEX('Fleet dates'!$D$9:$D$1008,$I532-8)="","",INDEX('Fleet dates'!$D$9:$D$1008,$I532-8)))</x:f>
      </x:c>
      <x:c r="E532" s="51" t="str">
        <x:f>IF(524&gt;$H$4,"",IF(INDEX('Fleet dates'!$E$9:$E$1008,$I532-8)="","",INDEX('Fleet dates'!$E$9:$E$1008,$I532-8)))</x:f>
      </x:c>
      <x:c r="F532" s="51" t="str">
        <x:f>IF(524&gt;$H$4,"",IF(INDEX('Fleet dates'!$F$9:$F$1008,$I532-8)="","",INDEX('Fleet dates'!$F$9:$F$1008,$I532-8)))</x:f>
      </x:c>
      <x:c r="G532" s="50" t="str">
        <x:f>IF(524&gt;$H$4,"",IF(INDEX('Fleet dates'!$G$9:$G$1008,$I532-8)="","",INDEX('Fleet dates'!$G$9:$G$1008,$I532-8)))</x:f>
      </x:c>
      <x:c r="H532" s="50" t="str">
        <x:f>IF(524&gt;$H$4,"",IF(INDEX('Fleet dates'!$I$9:$I$1008,$I532-8)="","",INDEX('Fleet dates'!$I$9:$I$1008,$I532-8)))</x:f>
      </x:c>
      <x:c r="I532" t="str">
        <x:f>IF(524&gt;$H$4,"",MATCH(524,'Fleet dates'!$K$9:$K$1008,0)+8)</x:f>
      </x:c>
    </x:row>
    <x:row r="533" ht="36" customHeight="1">
      <x:c r="A533" s="50" t="str">
        <x:f>IF(525&gt;$H$4,"",IF(INDEX('Fleet dates'!$A$9:$A$1008,$I533-8)="","",INDEX('Fleet dates'!$A$9:$A$1008,$I533-8)))</x:f>
      </x:c>
      <x:c r="B533" s="50" t="str">
        <x:f>IF(525&gt;$H$4,"",IF(INDEX('Fleet dates'!$B$9:$B$1008,$I533-8)="","",INDEX('Fleet dates'!$B$9:$B$1008,$I533-8)))</x:f>
      </x:c>
      <x:c r="C533" s="51" t="str">
        <x:f>IF(525&gt;$H$4,"",IF(INDEX('Fleet dates'!$C$9:$C$1008,$I533-8)="","",INDEX('Fleet dates'!$C$9:$C$1008,$I533-8)))</x:f>
      </x:c>
      <x:c r="D533" s="51" t="str">
        <x:f>IF(525&gt;$H$4,"",IF(INDEX('Fleet dates'!$D$9:$D$1008,$I533-8)="","",INDEX('Fleet dates'!$D$9:$D$1008,$I533-8)))</x:f>
      </x:c>
      <x:c r="E533" s="51" t="str">
        <x:f>IF(525&gt;$H$4,"",IF(INDEX('Fleet dates'!$E$9:$E$1008,$I533-8)="","",INDEX('Fleet dates'!$E$9:$E$1008,$I533-8)))</x:f>
      </x:c>
      <x:c r="F533" s="51" t="str">
        <x:f>IF(525&gt;$H$4,"",IF(INDEX('Fleet dates'!$F$9:$F$1008,$I533-8)="","",INDEX('Fleet dates'!$F$9:$F$1008,$I533-8)))</x:f>
      </x:c>
      <x:c r="G533" s="50" t="str">
        <x:f>IF(525&gt;$H$4,"",IF(INDEX('Fleet dates'!$G$9:$G$1008,$I533-8)="","",INDEX('Fleet dates'!$G$9:$G$1008,$I533-8)))</x:f>
      </x:c>
      <x:c r="H533" s="50" t="str">
        <x:f>IF(525&gt;$H$4,"",IF(INDEX('Fleet dates'!$I$9:$I$1008,$I533-8)="","",INDEX('Fleet dates'!$I$9:$I$1008,$I533-8)))</x:f>
      </x:c>
      <x:c r="I533" t="str">
        <x:f>IF(525&gt;$H$4,"",MATCH(525,'Fleet dates'!$K$9:$K$1008,0)+8)</x:f>
      </x:c>
    </x:row>
    <x:row r="534" ht="36" customHeight="1">
      <x:c r="A534" s="50" t="str">
        <x:f>IF(526&gt;$H$4,"",IF(INDEX('Fleet dates'!$A$9:$A$1008,$I534-8)="","",INDEX('Fleet dates'!$A$9:$A$1008,$I534-8)))</x:f>
      </x:c>
      <x:c r="B534" s="50" t="str">
        <x:f>IF(526&gt;$H$4,"",IF(INDEX('Fleet dates'!$B$9:$B$1008,$I534-8)="","",INDEX('Fleet dates'!$B$9:$B$1008,$I534-8)))</x:f>
      </x:c>
      <x:c r="C534" s="51" t="str">
        <x:f>IF(526&gt;$H$4,"",IF(INDEX('Fleet dates'!$C$9:$C$1008,$I534-8)="","",INDEX('Fleet dates'!$C$9:$C$1008,$I534-8)))</x:f>
      </x:c>
      <x:c r="D534" s="51" t="str">
        <x:f>IF(526&gt;$H$4,"",IF(INDEX('Fleet dates'!$D$9:$D$1008,$I534-8)="","",INDEX('Fleet dates'!$D$9:$D$1008,$I534-8)))</x:f>
      </x:c>
      <x:c r="E534" s="51" t="str">
        <x:f>IF(526&gt;$H$4,"",IF(INDEX('Fleet dates'!$E$9:$E$1008,$I534-8)="","",INDEX('Fleet dates'!$E$9:$E$1008,$I534-8)))</x:f>
      </x:c>
      <x:c r="F534" s="51" t="str">
        <x:f>IF(526&gt;$H$4,"",IF(INDEX('Fleet dates'!$F$9:$F$1008,$I534-8)="","",INDEX('Fleet dates'!$F$9:$F$1008,$I534-8)))</x:f>
      </x:c>
      <x:c r="G534" s="50" t="str">
        <x:f>IF(526&gt;$H$4,"",IF(INDEX('Fleet dates'!$G$9:$G$1008,$I534-8)="","",INDEX('Fleet dates'!$G$9:$G$1008,$I534-8)))</x:f>
      </x:c>
      <x:c r="H534" s="50" t="str">
        <x:f>IF(526&gt;$H$4,"",IF(INDEX('Fleet dates'!$I$9:$I$1008,$I534-8)="","",INDEX('Fleet dates'!$I$9:$I$1008,$I534-8)))</x:f>
      </x:c>
      <x:c r="I534" t="str">
        <x:f>IF(526&gt;$H$4,"",MATCH(526,'Fleet dates'!$K$9:$K$1008,0)+8)</x:f>
      </x:c>
    </x:row>
    <x:row r="535" ht="36" customHeight="1">
      <x:c r="A535" s="50" t="str">
        <x:f>IF(527&gt;$H$4,"",IF(INDEX('Fleet dates'!$A$9:$A$1008,$I535-8)="","",INDEX('Fleet dates'!$A$9:$A$1008,$I535-8)))</x:f>
      </x:c>
      <x:c r="B535" s="50" t="str">
        <x:f>IF(527&gt;$H$4,"",IF(INDEX('Fleet dates'!$B$9:$B$1008,$I535-8)="","",INDEX('Fleet dates'!$B$9:$B$1008,$I535-8)))</x:f>
      </x:c>
      <x:c r="C535" s="51" t="str">
        <x:f>IF(527&gt;$H$4,"",IF(INDEX('Fleet dates'!$C$9:$C$1008,$I535-8)="","",INDEX('Fleet dates'!$C$9:$C$1008,$I535-8)))</x:f>
      </x:c>
      <x:c r="D535" s="51" t="str">
        <x:f>IF(527&gt;$H$4,"",IF(INDEX('Fleet dates'!$D$9:$D$1008,$I535-8)="","",INDEX('Fleet dates'!$D$9:$D$1008,$I535-8)))</x:f>
      </x:c>
      <x:c r="E535" s="51" t="str">
        <x:f>IF(527&gt;$H$4,"",IF(INDEX('Fleet dates'!$E$9:$E$1008,$I535-8)="","",INDEX('Fleet dates'!$E$9:$E$1008,$I535-8)))</x:f>
      </x:c>
      <x:c r="F535" s="51" t="str">
        <x:f>IF(527&gt;$H$4,"",IF(INDEX('Fleet dates'!$F$9:$F$1008,$I535-8)="","",INDEX('Fleet dates'!$F$9:$F$1008,$I535-8)))</x:f>
      </x:c>
      <x:c r="G535" s="50" t="str">
        <x:f>IF(527&gt;$H$4,"",IF(INDEX('Fleet dates'!$G$9:$G$1008,$I535-8)="","",INDEX('Fleet dates'!$G$9:$G$1008,$I535-8)))</x:f>
      </x:c>
      <x:c r="H535" s="50" t="str">
        <x:f>IF(527&gt;$H$4,"",IF(INDEX('Fleet dates'!$I$9:$I$1008,$I535-8)="","",INDEX('Fleet dates'!$I$9:$I$1008,$I535-8)))</x:f>
      </x:c>
      <x:c r="I535" t="str">
        <x:f>IF(527&gt;$H$4,"",MATCH(527,'Fleet dates'!$K$9:$K$1008,0)+8)</x:f>
      </x:c>
    </x:row>
    <x:row r="536" ht="36" customHeight="1">
      <x:c r="A536" s="50" t="str">
        <x:f>IF(528&gt;$H$4,"",IF(INDEX('Fleet dates'!$A$9:$A$1008,$I536-8)="","",INDEX('Fleet dates'!$A$9:$A$1008,$I536-8)))</x:f>
      </x:c>
      <x:c r="B536" s="50" t="str">
        <x:f>IF(528&gt;$H$4,"",IF(INDEX('Fleet dates'!$B$9:$B$1008,$I536-8)="","",INDEX('Fleet dates'!$B$9:$B$1008,$I536-8)))</x:f>
      </x:c>
      <x:c r="C536" s="51" t="str">
        <x:f>IF(528&gt;$H$4,"",IF(INDEX('Fleet dates'!$C$9:$C$1008,$I536-8)="","",INDEX('Fleet dates'!$C$9:$C$1008,$I536-8)))</x:f>
      </x:c>
      <x:c r="D536" s="51" t="str">
        <x:f>IF(528&gt;$H$4,"",IF(INDEX('Fleet dates'!$D$9:$D$1008,$I536-8)="","",INDEX('Fleet dates'!$D$9:$D$1008,$I536-8)))</x:f>
      </x:c>
      <x:c r="E536" s="51" t="str">
        <x:f>IF(528&gt;$H$4,"",IF(INDEX('Fleet dates'!$E$9:$E$1008,$I536-8)="","",INDEX('Fleet dates'!$E$9:$E$1008,$I536-8)))</x:f>
      </x:c>
      <x:c r="F536" s="51" t="str">
        <x:f>IF(528&gt;$H$4,"",IF(INDEX('Fleet dates'!$F$9:$F$1008,$I536-8)="","",INDEX('Fleet dates'!$F$9:$F$1008,$I536-8)))</x:f>
      </x:c>
      <x:c r="G536" s="50" t="str">
        <x:f>IF(528&gt;$H$4,"",IF(INDEX('Fleet dates'!$G$9:$G$1008,$I536-8)="","",INDEX('Fleet dates'!$G$9:$G$1008,$I536-8)))</x:f>
      </x:c>
      <x:c r="H536" s="50" t="str">
        <x:f>IF(528&gt;$H$4,"",IF(INDEX('Fleet dates'!$I$9:$I$1008,$I536-8)="","",INDEX('Fleet dates'!$I$9:$I$1008,$I536-8)))</x:f>
      </x:c>
      <x:c r="I536" t="str">
        <x:f>IF(528&gt;$H$4,"",MATCH(528,'Fleet dates'!$K$9:$K$1008,0)+8)</x:f>
      </x:c>
    </x:row>
    <x:row r="537" ht="36" customHeight="1">
      <x:c r="A537" s="50" t="str">
        <x:f>IF(529&gt;$H$4,"",IF(INDEX('Fleet dates'!$A$9:$A$1008,$I537-8)="","",INDEX('Fleet dates'!$A$9:$A$1008,$I537-8)))</x:f>
      </x:c>
      <x:c r="B537" s="50" t="str">
        <x:f>IF(529&gt;$H$4,"",IF(INDEX('Fleet dates'!$B$9:$B$1008,$I537-8)="","",INDEX('Fleet dates'!$B$9:$B$1008,$I537-8)))</x:f>
      </x:c>
      <x:c r="C537" s="51" t="str">
        <x:f>IF(529&gt;$H$4,"",IF(INDEX('Fleet dates'!$C$9:$C$1008,$I537-8)="","",INDEX('Fleet dates'!$C$9:$C$1008,$I537-8)))</x:f>
      </x:c>
      <x:c r="D537" s="51" t="str">
        <x:f>IF(529&gt;$H$4,"",IF(INDEX('Fleet dates'!$D$9:$D$1008,$I537-8)="","",INDEX('Fleet dates'!$D$9:$D$1008,$I537-8)))</x:f>
      </x:c>
      <x:c r="E537" s="51" t="str">
        <x:f>IF(529&gt;$H$4,"",IF(INDEX('Fleet dates'!$E$9:$E$1008,$I537-8)="","",INDEX('Fleet dates'!$E$9:$E$1008,$I537-8)))</x:f>
      </x:c>
      <x:c r="F537" s="51" t="str">
        <x:f>IF(529&gt;$H$4,"",IF(INDEX('Fleet dates'!$F$9:$F$1008,$I537-8)="","",INDEX('Fleet dates'!$F$9:$F$1008,$I537-8)))</x:f>
      </x:c>
      <x:c r="G537" s="50" t="str">
        <x:f>IF(529&gt;$H$4,"",IF(INDEX('Fleet dates'!$G$9:$G$1008,$I537-8)="","",INDEX('Fleet dates'!$G$9:$G$1008,$I537-8)))</x:f>
      </x:c>
      <x:c r="H537" s="50" t="str">
        <x:f>IF(529&gt;$H$4,"",IF(INDEX('Fleet dates'!$I$9:$I$1008,$I537-8)="","",INDEX('Fleet dates'!$I$9:$I$1008,$I537-8)))</x:f>
      </x:c>
      <x:c r="I537" t="str">
        <x:f>IF(529&gt;$H$4,"",MATCH(529,'Fleet dates'!$K$9:$K$1008,0)+8)</x:f>
      </x:c>
    </x:row>
    <x:row r="538" ht="36" customHeight="1">
      <x:c r="A538" s="50" t="str">
        <x:f>IF(530&gt;$H$4,"",IF(INDEX('Fleet dates'!$A$9:$A$1008,$I538-8)="","",INDEX('Fleet dates'!$A$9:$A$1008,$I538-8)))</x:f>
      </x:c>
      <x:c r="B538" s="50" t="str">
        <x:f>IF(530&gt;$H$4,"",IF(INDEX('Fleet dates'!$B$9:$B$1008,$I538-8)="","",INDEX('Fleet dates'!$B$9:$B$1008,$I538-8)))</x:f>
      </x:c>
      <x:c r="C538" s="51" t="str">
        <x:f>IF(530&gt;$H$4,"",IF(INDEX('Fleet dates'!$C$9:$C$1008,$I538-8)="","",INDEX('Fleet dates'!$C$9:$C$1008,$I538-8)))</x:f>
      </x:c>
      <x:c r="D538" s="51" t="str">
        <x:f>IF(530&gt;$H$4,"",IF(INDEX('Fleet dates'!$D$9:$D$1008,$I538-8)="","",INDEX('Fleet dates'!$D$9:$D$1008,$I538-8)))</x:f>
      </x:c>
      <x:c r="E538" s="51" t="str">
        <x:f>IF(530&gt;$H$4,"",IF(INDEX('Fleet dates'!$E$9:$E$1008,$I538-8)="","",INDEX('Fleet dates'!$E$9:$E$1008,$I538-8)))</x:f>
      </x:c>
      <x:c r="F538" s="51" t="str">
        <x:f>IF(530&gt;$H$4,"",IF(INDEX('Fleet dates'!$F$9:$F$1008,$I538-8)="","",INDEX('Fleet dates'!$F$9:$F$1008,$I538-8)))</x:f>
      </x:c>
      <x:c r="G538" s="50" t="str">
        <x:f>IF(530&gt;$H$4,"",IF(INDEX('Fleet dates'!$G$9:$G$1008,$I538-8)="","",INDEX('Fleet dates'!$G$9:$G$1008,$I538-8)))</x:f>
      </x:c>
      <x:c r="H538" s="50" t="str">
        <x:f>IF(530&gt;$H$4,"",IF(INDEX('Fleet dates'!$I$9:$I$1008,$I538-8)="","",INDEX('Fleet dates'!$I$9:$I$1008,$I538-8)))</x:f>
      </x:c>
      <x:c r="I538" t="str">
        <x:f>IF(530&gt;$H$4,"",MATCH(530,'Fleet dates'!$K$9:$K$1008,0)+8)</x:f>
      </x:c>
    </x:row>
    <x:row r="539" ht="36" customHeight="1">
      <x:c r="A539" s="50" t="str">
        <x:f>IF(531&gt;$H$4,"",IF(INDEX('Fleet dates'!$A$9:$A$1008,$I539-8)="","",INDEX('Fleet dates'!$A$9:$A$1008,$I539-8)))</x:f>
      </x:c>
      <x:c r="B539" s="50" t="str">
        <x:f>IF(531&gt;$H$4,"",IF(INDEX('Fleet dates'!$B$9:$B$1008,$I539-8)="","",INDEX('Fleet dates'!$B$9:$B$1008,$I539-8)))</x:f>
      </x:c>
      <x:c r="C539" s="51" t="str">
        <x:f>IF(531&gt;$H$4,"",IF(INDEX('Fleet dates'!$C$9:$C$1008,$I539-8)="","",INDEX('Fleet dates'!$C$9:$C$1008,$I539-8)))</x:f>
      </x:c>
      <x:c r="D539" s="51" t="str">
        <x:f>IF(531&gt;$H$4,"",IF(INDEX('Fleet dates'!$D$9:$D$1008,$I539-8)="","",INDEX('Fleet dates'!$D$9:$D$1008,$I539-8)))</x:f>
      </x:c>
      <x:c r="E539" s="51" t="str">
        <x:f>IF(531&gt;$H$4,"",IF(INDEX('Fleet dates'!$E$9:$E$1008,$I539-8)="","",INDEX('Fleet dates'!$E$9:$E$1008,$I539-8)))</x:f>
      </x:c>
      <x:c r="F539" s="51" t="str">
        <x:f>IF(531&gt;$H$4,"",IF(INDEX('Fleet dates'!$F$9:$F$1008,$I539-8)="","",INDEX('Fleet dates'!$F$9:$F$1008,$I539-8)))</x:f>
      </x:c>
      <x:c r="G539" s="50" t="str">
        <x:f>IF(531&gt;$H$4,"",IF(INDEX('Fleet dates'!$G$9:$G$1008,$I539-8)="","",INDEX('Fleet dates'!$G$9:$G$1008,$I539-8)))</x:f>
      </x:c>
      <x:c r="H539" s="50" t="str">
        <x:f>IF(531&gt;$H$4,"",IF(INDEX('Fleet dates'!$I$9:$I$1008,$I539-8)="","",INDEX('Fleet dates'!$I$9:$I$1008,$I539-8)))</x:f>
      </x:c>
      <x:c r="I539" t="str">
        <x:f>IF(531&gt;$H$4,"",MATCH(531,'Fleet dates'!$K$9:$K$1008,0)+8)</x:f>
      </x:c>
    </x:row>
    <x:row r="540" ht="36" customHeight="1">
      <x:c r="A540" s="50" t="str">
        <x:f>IF(532&gt;$H$4,"",IF(INDEX('Fleet dates'!$A$9:$A$1008,$I540-8)="","",INDEX('Fleet dates'!$A$9:$A$1008,$I540-8)))</x:f>
      </x:c>
      <x:c r="B540" s="50" t="str">
        <x:f>IF(532&gt;$H$4,"",IF(INDEX('Fleet dates'!$B$9:$B$1008,$I540-8)="","",INDEX('Fleet dates'!$B$9:$B$1008,$I540-8)))</x:f>
      </x:c>
      <x:c r="C540" s="51" t="str">
        <x:f>IF(532&gt;$H$4,"",IF(INDEX('Fleet dates'!$C$9:$C$1008,$I540-8)="","",INDEX('Fleet dates'!$C$9:$C$1008,$I540-8)))</x:f>
      </x:c>
      <x:c r="D540" s="51" t="str">
        <x:f>IF(532&gt;$H$4,"",IF(INDEX('Fleet dates'!$D$9:$D$1008,$I540-8)="","",INDEX('Fleet dates'!$D$9:$D$1008,$I540-8)))</x:f>
      </x:c>
      <x:c r="E540" s="51" t="str">
        <x:f>IF(532&gt;$H$4,"",IF(INDEX('Fleet dates'!$E$9:$E$1008,$I540-8)="","",INDEX('Fleet dates'!$E$9:$E$1008,$I540-8)))</x:f>
      </x:c>
      <x:c r="F540" s="51" t="str">
        <x:f>IF(532&gt;$H$4,"",IF(INDEX('Fleet dates'!$F$9:$F$1008,$I540-8)="","",INDEX('Fleet dates'!$F$9:$F$1008,$I540-8)))</x:f>
      </x:c>
      <x:c r="G540" s="50" t="str">
        <x:f>IF(532&gt;$H$4,"",IF(INDEX('Fleet dates'!$G$9:$G$1008,$I540-8)="","",INDEX('Fleet dates'!$G$9:$G$1008,$I540-8)))</x:f>
      </x:c>
      <x:c r="H540" s="50" t="str">
        <x:f>IF(532&gt;$H$4,"",IF(INDEX('Fleet dates'!$I$9:$I$1008,$I540-8)="","",INDEX('Fleet dates'!$I$9:$I$1008,$I540-8)))</x:f>
      </x:c>
      <x:c r="I540" t="str">
        <x:f>IF(532&gt;$H$4,"",MATCH(532,'Fleet dates'!$K$9:$K$1008,0)+8)</x:f>
      </x:c>
    </x:row>
    <x:row r="541" ht="36" customHeight="1">
      <x:c r="A541" s="50" t="str">
        <x:f>IF(533&gt;$H$4,"",IF(INDEX('Fleet dates'!$A$9:$A$1008,$I541-8)="","",INDEX('Fleet dates'!$A$9:$A$1008,$I541-8)))</x:f>
      </x:c>
      <x:c r="B541" s="50" t="str">
        <x:f>IF(533&gt;$H$4,"",IF(INDEX('Fleet dates'!$B$9:$B$1008,$I541-8)="","",INDEX('Fleet dates'!$B$9:$B$1008,$I541-8)))</x:f>
      </x:c>
      <x:c r="C541" s="51" t="str">
        <x:f>IF(533&gt;$H$4,"",IF(INDEX('Fleet dates'!$C$9:$C$1008,$I541-8)="","",INDEX('Fleet dates'!$C$9:$C$1008,$I541-8)))</x:f>
      </x:c>
      <x:c r="D541" s="51" t="str">
        <x:f>IF(533&gt;$H$4,"",IF(INDEX('Fleet dates'!$D$9:$D$1008,$I541-8)="","",INDEX('Fleet dates'!$D$9:$D$1008,$I541-8)))</x:f>
      </x:c>
      <x:c r="E541" s="51" t="str">
        <x:f>IF(533&gt;$H$4,"",IF(INDEX('Fleet dates'!$E$9:$E$1008,$I541-8)="","",INDEX('Fleet dates'!$E$9:$E$1008,$I541-8)))</x:f>
      </x:c>
      <x:c r="F541" s="51" t="str">
        <x:f>IF(533&gt;$H$4,"",IF(INDEX('Fleet dates'!$F$9:$F$1008,$I541-8)="","",INDEX('Fleet dates'!$F$9:$F$1008,$I541-8)))</x:f>
      </x:c>
      <x:c r="G541" s="50" t="str">
        <x:f>IF(533&gt;$H$4,"",IF(INDEX('Fleet dates'!$G$9:$G$1008,$I541-8)="","",INDEX('Fleet dates'!$G$9:$G$1008,$I541-8)))</x:f>
      </x:c>
      <x:c r="H541" s="50" t="str">
        <x:f>IF(533&gt;$H$4,"",IF(INDEX('Fleet dates'!$I$9:$I$1008,$I541-8)="","",INDEX('Fleet dates'!$I$9:$I$1008,$I541-8)))</x:f>
      </x:c>
      <x:c r="I541" t="str">
        <x:f>IF(533&gt;$H$4,"",MATCH(533,'Fleet dates'!$K$9:$K$1008,0)+8)</x:f>
      </x:c>
    </x:row>
    <x:row r="542" ht="36" customHeight="1">
      <x:c r="A542" s="50" t="str">
        <x:f>IF(534&gt;$H$4,"",IF(INDEX('Fleet dates'!$A$9:$A$1008,$I542-8)="","",INDEX('Fleet dates'!$A$9:$A$1008,$I542-8)))</x:f>
      </x:c>
      <x:c r="B542" s="50" t="str">
        <x:f>IF(534&gt;$H$4,"",IF(INDEX('Fleet dates'!$B$9:$B$1008,$I542-8)="","",INDEX('Fleet dates'!$B$9:$B$1008,$I542-8)))</x:f>
      </x:c>
      <x:c r="C542" s="51" t="str">
        <x:f>IF(534&gt;$H$4,"",IF(INDEX('Fleet dates'!$C$9:$C$1008,$I542-8)="","",INDEX('Fleet dates'!$C$9:$C$1008,$I542-8)))</x:f>
      </x:c>
      <x:c r="D542" s="51" t="str">
        <x:f>IF(534&gt;$H$4,"",IF(INDEX('Fleet dates'!$D$9:$D$1008,$I542-8)="","",INDEX('Fleet dates'!$D$9:$D$1008,$I542-8)))</x:f>
      </x:c>
      <x:c r="E542" s="51" t="str">
        <x:f>IF(534&gt;$H$4,"",IF(INDEX('Fleet dates'!$E$9:$E$1008,$I542-8)="","",INDEX('Fleet dates'!$E$9:$E$1008,$I542-8)))</x:f>
      </x:c>
      <x:c r="F542" s="51" t="str">
        <x:f>IF(534&gt;$H$4,"",IF(INDEX('Fleet dates'!$F$9:$F$1008,$I542-8)="","",INDEX('Fleet dates'!$F$9:$F$1008,$I542-8)))</x:f>
      </x:c>
      <x:c r="G542" s="50" t="str">
        <x:f>IF(534&gt;$H$4,"",IF(INDEX('Fleet dates'!$G$9:$G$1008,$I542-8)="","",INDEX('Fleet dates'!$G$9:$G$1008,$I542-8)))</x:f>
      </x:c>
      <x:c r="H542" s="50" t="str">
        <x:f>IF(534&gt;$H$4,"",IF(INDEX('Fleet dates'!$I$9:$I$1008,$I542-8)="","",INDEX('Fleet dates'!$I$9:$I$1008,$I542-8)))</x:f>
      </x:c>
      <x:c r="I542" t="str">
        <x:f>IF(534&gt;$H$4,"",MATCH(534,'Fleet dates'!$K$9:$K$1008,0)+8)</x:f>
      </x:c>
    </x:row>
    <x:row r="543" ht="36" customHeight="1">
      <x:c r="A543" s="50" t="str">
        <x:f>IF(535&gt;$H$4,"",IF(INDEX('Fleet dates'!$A$9:$A$1008,$I543-8)="","",INDEX('Fleet dates'!$A$9:$A$1008,$I543-8)))</x:f>
      </x:c>
      <x:c r="B543" s="50" t="str">
        <x:f>IF(535&gt;$H$4,"",IF(INDEX('Fleet dates'!$B$9:$B$1008,$I543-8)="","",INDEX('Fleet dates'!$B$9:$B$1008,$I543-8)))</x:f>
      </x:c>
      <x:c r="C543" s="51" t="str">
        <x:f>IF(535&gt;$H$4,"",IF(INDEX('Fleet dates'!$C$9:$C$1008,$I543-8)="","",INDEX('Fleet dates'!$C$9:$C$1008,$I543-8)))</x:f>
      </x:c>
      <x:c r="D543" s="51" t="str">
        <x:f>IF(535&gt;$H$4,"",IF(INDEX('Fleet dates'!$D$9:$D$1008,$I543-8)="","",INDEX('Fleet dates'!$D$9:$D$1008,$I543-8)))</x:f>
      </x:c>
      <x:c r="E543" s="51" t="str">
        <x:f>IF(535&gt;$H$4,"",IF(INDEX('Fleet dates'!$E$9:$E$1008,$I543-8)="","",INDEX('Fleet dates'!$E$9:$E$1008,$I543-8)))</x:f>
      </x:c>
      <x:c r="F543" s="51" t="str">
        <x:f>IF(535&gt;$H$4,"",IF(INDEX('Fleet dates'!$F$9:$F$1008,$I543-8)="","",INDEX('Fleet dates'!$F$9:$F$1008,$I543-8)))</x:f>
      </x:c>
      <x:c r="G543" s="50" t="str">
        <x:f>IF(535&gt;$H$4,"",IF(INDEX('Fleet dates'!$G$9:$G$1008,$I543-8)="","",INDEX('Fleet dates'!$G$9:$G$1008,$I543-8)))</x:f>
      </x:c>
      <x:c r="H543" s="50" t="str">
        <x:f>IF(535&gt;$H$4,"",IF(INDEX('Fleet dates'!$I$9:$I$1008,$I543-8)="","",INDEX('Fleet dates'!$I$9:$I$1008,$I543-8)))</x:f>
      </x:c>
      <x:c r="I543" t="str">
        <x:f>IF(535&gt;$H$4,"",MATCH(535,'Fleet dates'!$K$9:$K$1008,0)+8)</x:f>
      </x:c>
    </x:row>
    <x:row r="544" ht="36" customHeight="1">
      <x:c r="A544" s="50" t="str">
        <x:f>IF(536&gt;$H$4,"",IF(INDEX('Fleet dates'!$A$9:$A$1008,$I544-8)="","",INDEX('Fleet dates'!$A$9:$A$1008,$I544-8)))</x:f>
      </x:c>
      <x:c r="B544" s="50" t="str">
        <x:f>IF(536&gt;$H$4,"",IF(INDEX('Fleet dates'!$B$9:$B$1008,$I544-8)="","",INDEX('Fleet dates'!$B$9:$B$1008,$I544-8)))</x:f>
      </x:c>
      <x:c r="C544" s="51" t="str">
        <x:f>IF(536&gt;$H$4,"",IF(INDEX('Fleet dates'!$C$9:$C$1008,$I544-8)="","",INDEX('Fleet dates'!$C$9:$C$1008,$I544-8)))</x:f>
      </x:c>
      <x:c r="D544" s="51" t="str">
        <x:f>IF(536&gt;$H$4,"",IF(INDEX('Fleet dates'!$D$9:$D$1008,$I544-8)="","",INDEX('Fleet dates'!$D$9:$D$1008,$I544-8)))</x:f>
      </x:c>
      <x:c r="E544" s="51" t="str">
        <x:f>IF(536&gt;$H$4,"",IF(INDEX('Fleet dates'!$E$9:$E$1008,$I544-8)="","",INDEX('Fleet dates'!$E$9:$E$1008,$I544-8)))</x:f>
      </x:c>
      <x:c r="F544" s="51" t="str">
        <x:f>IF(536&gt;$H$4,"",IF(INDEX('Fleet dates'!$F$9:$F$1008,$I544-8)="","",INDEX('Fleet dates'!$F$9:$F$1008,$I544-8)))</x:f>
      </x:c>
      <x:c r="G544" s="50" t="str">
        <x:f>IF(536&gt;$H$4,"",IF(INDEX('Fleet dates'!$G$9:$G$1008,$I544-8)="","",INDEX('Fleet dates'!$G$9:$G$1008,$I544-8)))</x:f>
      </x:c>
      <x:c r="H544" s="50" t="str">
        <x:f>IF(536&gt;$H$4,"",IF(INDEX('Fleet dates'!$I$9:$I$1008,$I544-8)="","",INDEX('Fleet dates'!$I$9:$I$1008,$I544-8)))</x:f>
      </x:c>
      <x:c r="I544" t="str">
        <x:f>IF(536&gt;$H$4,"",MATCH(536,'Fleet dates'!$K$9:$K$1008,0)+8)</x:f>
      </x:c>
    </x:row>
    <x:row r="545" ht="36" customHeight="1">
      <x:c r="A545" s="50" t="str">
        <x:f>IF(537&gt;$H$4,"",IF(INDEX('Fleet dates'!$A$9:$A$1008,$I545-8)="","",INDEX('Fleet dates'!$A$9:$A$1008,$I545-8)))</x:f>
      </x:c>
      <x:c r="B545" s="50" t="str">
        <x:f>IF(537&gt;$H$4,"",IF(INDEX('Fleet dates'!$B$9:$B$1008,$I545-8)="","",INDEX('Fleet dates'!$B$9:$B$1008,$I545-8)))</x:f>
      </x:c>
      <x:c r="C545" s="51" t="str">
        <x:f>IF(537&gt;$H$4,"",IF(INDEX('Fleet dates'!$C$9:$C$1008,$I545-8)="","",INDEX('Fleet dates'!$C$9:$C$1008,$I545-8)))</x:f>
      </x:c>
      <x:c r="D545" s="51" t="str">
        <x:f>IF(537&gt;$H$4,"",IF(INDEX('Fleet dates'!$D$9:$D$1008,$I545-8)="","",INDEX('Fleet dates'!$D$9:$D$1008,$I545-8)))</x:f>
      </x:c>
      <x:c r="E545" s="51" t="str">
        <x:f>IF(537&gt;$H$4,"",IF(INDEX('Fleet dates'!$E$9:$E$1008,$I545-8)="","",INDEX('Fleet dates'!$E$9:$E$1008,$I545-8)))</x:f>
      </x:c>
      <x:c r="F545" s="51" t="str">
        <x:f>IF(537&gt;$H$4,"",IF(INDEX('Fleet dates'!$F$9:$F$1008,$I545-8)="","",INDEX('Fleet dates'!$F$9:$F$1008,$I545-8)))</x:f>
      </x:c>
      <x:c r="G545" s="50" t="str">
        <x:f>IF(537&gt;$H$4,"",IF(INDEX('Fleet dates'!$G$9:$G$1008,$I545-8)="","",INDEX('Fleet dates'!$G$9:$G$1008,$I545-8)))</x:f>
      </x:c>
      <x:c r="H545" s="50" t="str">
        <x:f>IF(537&gt;$H$4,"",IF(INDEX('Fleet dates'!$I$9:$I$1008,$I545-8)="","",INDEX('Fleet dates'!$I$9:$I$1008,$I545-8)))</x:f>
      </x:c>
      <x:c r="I545" t="str">
        <x:f>IF(537&gt;$H$4,"",MATCH(537,'Fleet dates'!$K$9:$K$1008,0)+8)</x:f>
      </x:c>
    </x:row>
    <x:row r="546" ht="36" customHeight="1">
      <x:c r="A546" s="50" t="str">
        <x:f>IF(538&gt;$H$4,"",IF(INDEX('Fleet dates'!$A$9:$A$1008,$I546-8)="","",INDEX('Fleet dates'!$A$9:$A$1008,$I546-8)))</x:f>
      </x:c>
      <x:c r="B546" s="50" t="str">
        <x:f>IF(538&gt;$H$4,"",IF(INDEX('Fleet dates'!$B$9:$B$1008,$I546-8)="","",INDEX('Fleet dates'!$B$9:$B$1008,$I546-8)))</x:f>
      </x:c>
      <x:c r="C546" s="51" t="str">
        <x:f>IF(538&gt;$H$4,"",IF(INDEX('Fleet dates'!$C$9:$C$1008,$I546-8)="","",INDEX('Fleet dates'!$C$9:$C$1008,$I546-8)))</x:f>
      </x:c>
      <x:c r="D546" s="51" t="str">
        <x:f>IF(538&gt;$H$4,"",IF(INDEX('Fleet dates'!$D$9:$D$1008,$I546-8)="","",INDEX('Fleet dates'!$D$9:$D$1008,$I546-8)))</x:f>
      </x:c>
      <x:c r="E546" s="51" t="str">
        <x:f>IF(538&gt;$H$4,"",IF(INDEX('Fleet dates'!$E$9:$E$1008,$I546-8)="","",INDEX('Fleet dates'!$E$9:$E$1008,$I546-8)))</x:f>
      </x:c>
      <x:c r="F546" s="51" t="str">
        <x:f>IF(538&gt;$H$4,"",IF(INDEX('Fleet dates'!$F$9:$F$1008,$I546-8)="","",INDEX('Fleet dates'!$F$9:$F$1008,$I546-8)))</x:f>
      </x:c>
      <x:c r="G546" s="50" t="str">
        <x:f>IF(538&gt;$H$4,"",IF(INDEX('Fleet dates'!$G$9:$G$1008,$I546-8)="","",INDEX('Fleet dates'!$G$9:$G$1008,$I546-8)))</x:f>
      </x:c>
      <x:c r="H546" s="50" t="str">
        <x:f>IF(538&gt;$H$4,"",IF(INDEX('Fleet dates'!$I$9:$I$1008,$I546-8)="","",INDEX('Fleet dates'!$I$9:$I$1008,$I546-8)))</x:f>
      </x:c>
      <x:c r="I546" t="str">
        <x:f>IF(538&gt;$H$4,"",MATCH(538,'Fleet dates'!$K$9:$K$1008,0)+8)</x:f>
      </x:c>
    </x:row>
    <x:row r="547" ht="36" customHeight="1">
      <x:c r="A547" s="50" t="str">
        <x:f>IF(539&gt;$H$4,"",IF(INDEX('Fleet dates'!$A$9:$A$1008,$I547-8)="","",INDEX('Fleet dates'!$A$9:$A$1008,$I547-8)))</x:f>
      </x:c>
      <x:c r="B547" s="50" t="str">
        <x:f>IF(539&gt;$H$4,"",IF(INDEX('Fleet dates'!$B$9:$B$1008,$I547-8)="","",INDEX('Fleet dates'!$B$9:$B$1008,$I547-8)))</x:f>
      </x:c>
      <x:c r="C547" s="51" t="str">
        <x:f>IF(539&gt;$H$4,"",IF(INDEX('Fleet dates'!$C$9:$C$1008,$I547-8)="","",INDEX('Fleet dates'!$C$9:$C$1008,$I547-8)))</x:f>
      </x:c>
      <x:c r="D547" s="51" t="str">
        <x:f>IF(539&gt;$H$4,"",IF(INDEX('Fleet dates'!$D$9:$D$1008,$I547-8)="","",INDEX('Fleet dates'!$D$9:$D$1008,$I547-8)))</x:f>
      </x:c>
      <x:c r="E547" s="51" t="str">
        <x:f>IF(539&gt;$H$4,"",IF(INDEX('Fleet dates'!$E$9:$E$1008,$I547-8)="","",INDEX('Fleet dates'!$E$9:$E$1008,$I547-8)))</x:f>
      </x:c>
      <x:c r="F547" s="51" t="str">
        <x:f>IF(539&gt;$H$4,"",IF(INDEX('Fleet dates'!$F$9:$F$1008,$I547-8)="","",INDEX('Fleet dates'!$F$9:$F$1008,$I547-8)))</x:f>
      </x:c>
      <x:c r="G547" s="50" t="str">
        <x:f>IF(539&gt;$H$4,"",IF(INDEX('Fleet dates'!$G$9:$G$1008,$I547-8)="","",INDEX('Fleet dates'!$G$9:$G$1008,$I547-8)))</x:f>
      </x:c>
      <x:c r="H547" s="50" t="str">
        <x:f>IF(539&gt;$H$4,"",IF(INDEX('Fleet dates'!$I$9:$I$1008,$I547-8)="","",INDEX('Fleet dates'!$I$9:$I$1008,$I547-8)))</x:f>
      </x:c>
      <x:c r="I547" t="str">
        <x:f>IF(539&gt;$H$4,"",MATCH(539,'Fleet dates'!$K$9:$K$1008,0)+8)</x:f>
      </x:c>
    </x:row>
    <x:row r="548" ht="36" customHeight="1">
      <x:c r="A548" s="50" t="str">
        <x:f>IF(540&gt;$H$4,"",IF(INDEX('Fleet dates'!$A$9:$A$1008,$I548-8)="","",INDEX('Fleet dates'!$A$9:$A$1008,$I548-8)))</x:f>
      </x:c>
      <x:c r="B548" s="50" t="str">
        <x:f>IF(540&gt;$H$4,"",IF(INDEX('Fleet dates'!$B$9:$B$1008,$I548-8)="","",INDEX('Fleet dates'!$B$9:$B$1008,$I548-8)))</x:f>
      </x:c>
      <x:c r="C548" s="51" t="str">
        <x:f>IF(540&gt;$H$4,"",IF(INDEX('Fleet dates'!$C$9:$C$1008,$I548-8)="","",INDEX('Fleet dates'!$C$9:$C$1008,$I548-8)))</x:f>
      </x:c>
      <x:c r="D548" s="51" t="str">
        <x:f>IF(540&gt;$H$4,"",IF(INDEX('Fleet dates'!$D$9:$D$1008,$I548-8)="","",INDEX('Fleet dates'!$D$9:$D$1008,$I548-8)))</x:f>
      </x:c>
      <x:c r="E548" s="51" t="str">
        <x:f>IF(540&gt;$H$4,"",IF(INDEX('Fleet dates'!$E$9:$E$1008,$I548-8)="","",INDEX('Fleet dates'!$E$9:$E$1008,$I548-8)))</x:f>
      </x:c>
      <x:c r="F548" s="51" t="str">
        <x:f>IF(540&gt;$H$4,"",IF(INDEX('Fleet dates'!$F$9:$F$1008,$I548-8)="","",INDEX('Fleet dates'!$F$9:$F$1008,$I548-8)))</x:f>
      </x:c>
      <x:c r="G548" s="50" t="str">
        <x:f>IF(540&gt;$H$4,"",IF(INDEX('Fleet dates'!$G$9:$G$1008,$I548-8)="","",INDEX('Fleet dates'!$G$9:$G$1008,$I548-8)))</x:f>
      </x:c>
      <x:c r="H548" s="50" t="str">
        <x:f>IF(540&gt;$H$4,"",IF(INDEX('Fleet dates'!$I$9:$I$1008,$I548-8)="","",INDEX('Fleet dates'!$I$9:$I$1008,$I548-8)))</x:f>
      </x:c>
      <x:c r="I548" t="str">
        <x:f>IF(540&gt;$H$4,"",MATCH(540,'Fleet dates'!$K$9:$K$1008,0)+8)</x:f>
      </x:c>
    </x:row>
    <x:row r="549" ht="36" customHeight="1">
      <x:c r="A549" s="50" t="str">
        <x:f>IF(541&gt;$H$4,"",IF(INDEX('Fleet dates'!$A$9:$A$1008,$I549-8)="","",INDEX('Fleet dates'!$A$9:$A$1008,$I549-8)))</x:f>
      </x:c>
      <x:c r="B549" s="50" t="str">
        <x:f>IF(541&gt;$H$4,"",IF(INDEX('Fleet dates'!$B$9:$B$1008,$I549-8)="","",INDEX('Fleet dates'!$B$9:$B$1008,$I549-8)))</x:f>
      </x:c>
      <x:c r="C549" s="51" t="str">
        <x:f>IF(541&gt;$H$4,"",IF(INDEX('Fleet dates'!$C$9:$C$1008,$I549-8)="","",INDEX('Fleet dates'!$C$9:$C$1008,$I549-8)))</x:f>
      </x:c>
      <x:c r="D549" s="51" t="str">
        <x:f>IF(541&gt;$H$4,"",IF(INDEX('Fleet dates'!$D$9:$D$1008,$I549-8)="","",INDEX('Fleet dates'!$D$9:$D$1008,$I549-8)))</x:f>
      </x:c>
      <x:c r="E549" s="51" t="str">
        <x:f>IF(541&gt;$H$4,"",IF(INDEX('Fleet dates'!$E$9:$E$1008,$I549-8)="","",INDEX('Fleet dates'!$E$9:$E$1008,$I549-8)))</x:f>
      </x:c>
      <x:c r="F549" s="51" t="str">
        <x:f>IF(541&gt;$H$4,"",IF(INDEX('Fleet dates'!$F$9:$F$1008,$I549-8)="","",INDEX('Fleet dates'!$F$9:$F$1008,$I549-8)))</x:f>
      </x:c>
      <x:c r="G549" s="50" t="str">
        <x:f>IF(541&gt;$H$4,"",IF(INDEX('Fleet dates'!$G$9:$G$1008,$I549-8)="","",INDEX('Fleet dates'!$G$9:$G$1008,$I549-8)))</x:f>
      </x:c>
      <x:c r="H549" s="50" t="str">
        <x:f>IF(541&gt;$H$4,"",IF(INDEX('Fleet dates'!$I$9:$I$1008,$I549-8)="","",INDEX('Fleet dates'!$I$9:$I$1008,$I549-8)))</x:f>
      </x:c>
      <x:c r="I549" t="str">
        <x:f>IF(541&gt;$H$4,"",MATCH(541,'Fleet dates'!$K$9:$K$1008,0)+8)</x:f>
      </x:c>
    </x:row>
    <x:row r="550" ht="36" customHeight="1">
      <x:c r="A550" s="50" t="str">
        <x:f>IF(542&gt;$H$4,"",IF(INDEX('Fleet dates'!$A$9:$A$1008,$I550-8)="","",INDEX('Fleet dates'!$A$9:$A$1008,$I550-8)))</x:f>
      </x:c>
      <x:c r="B550" s="50" t="str">
        <x:f>IF(542&gt;$H$4,"",IF(INDEX('Fleet dates'!$B$9:$B$1008,$I550-8)="","",INDEX('Fleet dates'!$B$9:$B$1008,$I550-8)))</x:f>
      </x:c>
      <x:c r="C550" s="51" t="str">
        <x:f>IF(542&gt;$H$4,"",IF(INDEX('Fleet dates'!$C$9:$C$1008,$I550-8)="","",INDEX('Fleet dates'!$C$9:$C$1008,$I550-8)))</x:f>
      </x:c>
      <x:c r="D550" s="51" t="str">
        <x:f>IF(542&gt;$H$4,"",IF(INDEX('Fleet dates'!$D$9:$D$1008,$I550-8)="","",INDEX('Fleet dates'!$D$9:$D$1008,$I550-8)))</x:f>
      </x:c>
      <x:c r="E550" s="51" t="str">
        <x:f>IF(542&gt;$H$4,"",IF(INDEX('Fleet dates'!$E$9:$E$1008,$I550-8)="","",INDEX('Fleet dates'!$E$9:$E$1008,$I550-8)))</x:f>
      </x:c>
      <x:c r="F550" s="51" t="str">
        <x:f>IF(542&gt;$H$4,"",IF(INDEX('Fleet dates'!$F$9:$F$1008,$I550-8)="","",INDEX('Fleet dates'!$F$9:$F$1008,$I550-8)))</x:f>
      </x:c>
      <x:c r="G550" s="50" t="str">
        <x:f>IF(542&gt;$H$4,"",IF(INDEX('Fleet dates'!$G$9:$G$1008,$I550-8)="","",INDEX('Fleet dates'!$G$9:$G$1008,$I550-8)))</x:f>
      </x:c>
      <x:c r="H550" s="50" t="str">
        <x:f>IF(542&gt;$H$4,"",IF(INDEX('Fleet dates'!$I$9:$I$1008,$I550-8)="","",INDEX('Fleet dates'!$I$9:$I$1008,$I550-8)))</x:f>
      </x:c>
      <x:c r="I550" t="str">
        <x:f>IF(542&gt;$H$4,"",MATCH(542,'Fleet dates'!$K$9:$K$1008,0)+8)</x:f>
      </x:c>
    </x:row>
    <x:row r="551" ht="36" customHeight="1">
      <x:c r="A551" s="50" t="str">
        <x:f>IF(543&gt;$H$4,"",IF(INDEX('Fleet dates'!$A$9:$A$1008,$I551-8)="","",INDEX('Fleet dates'!$A$9:$A$1008,$I551-8)))</x:f>
      </x:c>
      <x:c r="B551" s="50" t="str">
        <x:f>IF(543&gt;$H$4,"",IF(INDEX('Fleet dates'!$B$9:$B$1008,$I551-8)="","",INDEX('Fleet dates'!$B$9:$B$1008,$I551-8)))</x:f>
      </x:c>
      <x:c r="C551" s="51" t="str">
        <x:f>IF(543&gt;$H$4,"",IF(INDEX('Fleet dates'!$C$9:$C$1008,$I551-8)="","",INDEX('Fleet dates'!$C$9:$C$1008,$I551-8)))</x:f>
      </x:c>
      <x:c r="D551" s="51" t="str">
        <x:f>IF(543&gt;$H$4,"",IF(INDEX('Fleet dates'!$D$9:$D$1008,$I551-8)="","",INDEX('Fleet dates'!$D$9:$D$1008,$I551-8)))</x:f>
      </x:c>
      <x:c r="E551" s="51" t="str">
        <x:f>IF(543&gt;$H$4,"",IF(INDEX('Fleet dates'!$E$9:$E$1008,$I551-8)="","",INDEX('Fleet dates'!$E$9:$E$1008,$I551-8)))</x:f>
      </x:c>
      <x:c r="F551" s="51" t="str">
        <x:f>IF(543&gt;$H$4,"",IF(INDEX('Fleet dates'!$F$9:$F$1008,$I551-8)="","",INDEX('Fleet dates'!$F$9:$F$1008,$I551-8)))</x:f>
      </x:c>
      <x:c r="G551" s="50" t="str">
        <x:f>IF(543&gt;$H$4,"",IF(INDEX('Fleet dates'!$G$9:$G$1008,$I551-8)="","",INDEX('Fleet dates'!$G$9:$G$1008,$I551-8)))</x:f>
      </x:c>
      <x:c r="H551" s="50" t="str">
        <x:f>IF(543&gt;$H$4,"",IF(INDEX('Fleet dates'!$I$9:$I$1008,$I551-8)="","",INDEX('Fleet dates'!$I$9:$I$1008,$I551-8)))</x:f>
      </x:c>
      <x:c r="I551" t="str">
        <x:f>IF(543&gt;$H$4,"",MATCH(543,'Fleet dates'!$K$9:$K$1008,0)+8)</x:f>
      </x:c>
    </x:row>
    <x:row r="552" ht="36" customHeight="1">
      <x:c r="A552" s="50" t="str">
        <x:f>IF(544&gt;$H$4,"",IF(INDEX('Fleet dates'!$A$9:$A$1008,$I552-8)="","",INDEX('Fleet dates'!$A$9:$A$1008,$I552-8)))</x:f>
      </x:c>
      <x:c r="B552" s="50" t="str">
        <x:f>IF(544&gt;$H$4,"",IF(INDEX('Fleet dates'!$B$9:$B$1008,$I552-8)="","",INDEX('Fleet dates'!$B$9:$B$1008,$I552-8)))</x:f>
      </x:c>
      <x:c r="C552" s="51" t="str">
        <x:f>IF(544&gt;$H$4,"",IF(INDEX('Fleet dates'!$C$9:$C$1008,$I552-8)="","",INDEX('Fleet dates'!$C$9:$C$1008,$I552-8)))</x:f>
      </x:c>
      <x:c r="D552" s="51" t="str">
        <x:f>IF(544&gt;$H$4,"",IF(INDEX('Fleet dates'!$D$9:$D$1008,$I552-8)="","",INDEX('Fleet dates'!$D$9:$D$1008,$I552-8)))</x:f>
      </x:c>
      <x:c r="E552" s="51" t="str">
        <x:f>IF(544&gt;$H$4,"",IF(INDEX('Fleet dates'!$E$9:$E$1008,$I552-8)="","",INDEX('Fleet dates'!$E$9:$E$1008,$I552-8)))</x:f>
      </x:c>
      <x:c r="F552" s="51" t="str">
        <x:f>IF(544&gt;$H$4,"",IF(INDEX('Fleet dates'!$F$9:$F$1008,$I552-8)="","",INDEX('Fleet dates'!$F$9:$F$1008,$I552-8)))</x:f>
      </x:c>
      <x:c r="G552" s="50" t="str">
        <x:f>IF(544&gt;$H$4,"",IF(INDEX('Fleet dates'!$G$9:$G$1008,$I552-8)="","",INDEX('Fleet dates'!$G$9:$G$1008,$I552-8)))</x:f>
      </x:c>
      <x:c r="H552" s="50" t="str">
        <x:f>IF(544&gt;$H$4,"",IF(INDEX('Fleet dates'!$I$9:$I$1008,$I552-8)="","",INDEX('Fleet dates'!$I$9:$I$1008,$I552-8)))</x:f>
      </x:c>
      <x:c r="I552" t="str">
        <x:f>IF(544&gt;$H$4,"",MATCH(544,'Fleet dates'!$K$9:$K$1008,0)+8)</x:f>
      </x:c>
    </x:row>
    <x:row r="553" ht="36" customHeight="1">
      <x:c r="A553" s="50" t="str">
        <x:f>IF(545&gt;$H$4,"",IF(INDEX('Fleet dates'!$A$9:$A$1008,$I553-8)="","",INDEX('Fleet dates'!$A$9:$A$1008,$I553-8)))</x:f>
      </x:c>
      <x:c r="B553" s="50" t="str">
        <x:f>IF(545&gt;$H$4,"",IF(INDEX('Fleet dates'!$B$9:$B$1008,$I553-8)="","",INDEX('Fleet dates'!$B$9:$B$1008,$I553-8)))</x:f>
      </x:c>
      <x:c r="C553" s="51" t="str">
        <x:f>IF(545&gt;$H$4,"",IF(INDEX('Fleet dates'!$C$9:$C$1008,$I553-8)="","",INDEX('Fleet dates'!$C$9:$C$1008,$I553-8)))</x:f>
      </x:c>
      <x:c r="D553" s="51" t="str">
        <x:f>IF(545&gt;$H$4,"",IF(INDEX('Fleet dates'!$D$9:$D$1008,$I553-8)="","",INDEX('Fleet dates'!$D$9:$D$1008,$I553-8)))</x:f>
      </x:c>
      <x:c r="E553" s="51" t="str">
        <x:f>IF(545&gt;$H$4,"",IF(INDEX('Fleet dates'!$E$9:$E$1008,$I553-8)="","",INDEX('Fleet dates'!$E$9:$E$1008,$I553-8)))</x:f>
      </x:c>
      <x:c r="F553" s="51" t="str">
        <x:f>IF(545&gt;$H$4,"",IF(INDEX('Fleet dates'!$F$9:$F$1008,$I553-8)="","",INDEX('Fleet dates'!$F$9:$F$1008,$I553-8)))</x:f>
      </x:c>
      <x:c r="G553" s="50" t="str">
        <x:f>IF(545&gt;$H$4,"",IF(INDEX('Fleet dates'!$G$9:$G$1008,$I553-8)="","",INDEX('Fleet dates'!$G$9:$G$1008,$I553-8)))</x:f>
      </x:c>
      <x:c r="H553" s="50" t="str">
        <x:f>IF(545&gt;$H$4,"",IF(INDEX('Fleet dates'!$I$9:$I$1008,$I553-8)="","",INDEX('Fleet dates'!$I$9:$I$1008,$I553-8)))</x:f>
      </x:c>
      <x:c r="I553" t="str">
        <x:f>IF(545&gt;$H$4,"",MATCH(545,'Fleet dates'!$K$9:$K$1008,0)+8)</x:f>
      </x:c>
    </x:row>
    <x:row r="554" ht="36" customHeight="1">
      <x:c r="A554" s="50" t="str">
        <x:f>IF(546&gt;$H$4,"",IF(INDEX('Fleet dates'!$A$9:$A$1008,$I554-8)="","",INDEX('Fleet dates'!$A$9:$A$1008,$I554-8)))</x:f>
      </x:c>
      <x:c r="B554" s="50" t="str">
        <x:f>IF(546&gt;$H$4,"",IF(INDEX('Fleet dates'!$B$9:$B$1008,$I554-8)="","",INDEX('Fleet dates'!$B$9:$B$1008,$I554-8)))</x:f>
      </x:c>
      <x:c r="C554" s="51" t="str">
        <x:f>IF(546&gt;$H$4,"",IF(INDEX('Fleet dates'!$C$9:$C$1008,$I554-8)="","",INDEX('Fleet dates'!$C$9:$C$1008,$I554-8)))</x:f>
      </x:c>
      <x:c r="D554" s="51" t="str">
        <x:f>IF(546&gt;$H$4,"",IF(INDEX('Fleet dates'!$D$9:$D$1008,$I554-8)="","",INDEX('Fleet dates'!$D$9:$D$1008,$I554-8)))</x:f>
      </x:c>
      <x:c r="E554" s="51" t="str">
        <x:f>IF(546&gt;$H$4,"",IF(INDEX('Fleet dates'!$E$9:$E$1008,$I554-8)="","",INDEX('Fleet dates'!$E$9:$E$1008,$I554-8)))</x:f>
      </x:c>
      <x:c r="F554" s="51" t="str">
        <x:f>IF(546&gt;$H$4,"",IF(INDEX('Fleet dates'!$F$9:$F$1008,$I554-8)="","",INDEX('Fleet dates'!$F$9:$F$1008,$I554-8)))</x:f>
      </x:c>
      <x:c r="G554" s="50" t="str">
        <x:f>IF(546&gt;$H$4,"",IF(INDEX('Fleet dates'!$G$9:$G$1008,$I554-8)="","",INDEX('Fleet dates'!$G$9:$G$1008,$I554-8)))</x:f>
      </x:c>
      <x:c r="H554" s="50" t="str">
        <x:f>IF(546&gt;$H$4,"",IF(INDEX('Fleet dates'!$I$9:$I$1008,$I554-8)="","",INDEX('Fleet dates'!$I$9:$I$1008,$I554-8)))</x:f>
      </x:c>
      <x:c r="I554" t="str">
        <x:f>IF(546&gt;$H$4,"",MATCH(546,'Fleet dates'!$K$9:$K$1008,0)+8)</x:f>
      </x:c>
    </x:row>
    <x:row r="555" ht="36" customHeight="1">
      <x:c r="A555" s="50" t="str">
        <x:f>IF(547&gt;$H$4,"",IF(INDEX('Fleet dates'!$A$9:$A$1008,$I555-8)="","",INDEX('Fleet dates'!$A$9:$A$1008,$I555-8)))</x:f>
      </x:c>
      <x:c r="B555" s="50" t="str">
        <x:f>IF(547&gt;$H$4,"",IF(INDEX('Fleet dates'!$B$9:$B$1008,$I555-8)="","",INDEX('Fleet dates'!$B$9:$B$1008,$I555-8)))</x:f>
      </x:c>
      <x:c r="C555" s="51" t="str">
        <x:f>IF(547&gt;$H$4,"",IF(INDEX('Fleet dates'!$C$9:$C$1008,$I555-8)="","",INDEX('Fleet dates'!$C$9:$C$1008,$I555-8)))</x:f>
      </x:c>
      <x:c r="D555" s="51" t="str">
        <x:f>IF(547&gt;$H$4,"",IF(INDEX('Fleet dates'!$D$9:$D$1008,$I555-8)="","",INDEX('Fleet dates'!$D$9:$D$1008,$I555-8)))</x:f>
      </x:c>
      <x:c r="E555" s="51" t="str">
        <x:f>IF(547&gt;$H$4,"",IF(INDEX('Fleet dates'!$E$9:$E$1008,$I555-8)="","",INDEX('Fleet dates'!$E$9:$E$1008,$I555-8)))</x:f>
      </x:c>
      <x:c r="F555" s="51" t="str">
        <x:f>IF(547&gt;$H$4,"",IF(INDEX('Fleet dates'!$F$9:$F$1008,$I555-8)="","",INDEX('Fleet dates'!$F$9:$F$1008,$I555-8)))</x:f>
      </x:c>
      <x:c r="G555" s="50" t="str">
        <x:f>IF(547&gt;$H$4,"",IF(INDEX('Fleet dates'!$G$9:$G$1008,$I555-8)="","",INDEX('Fleet dates'!$G$9:$G$1008,$I555-8)))</x:f>
      </x:c>
      <x:c r="H555" s="50" t="str">
        <x:f>IF(547&gt;$H$4,"",IF(INDEX('Fleet dates'!$I$9:$I$1008,$I555-8)="","",INDEX('Fleet dates'!$I$9:$I$1008,$I555-8)))</x:f>
      </x:c>
      <x:c r="I555" t="str">
        <x:f>IF(547&gt;$H$4,"",MATCH(547,'Fleet dates'!$K$9:$K$1008,0)+8)</x:f>
      </x:c>
    </x:row>
    <x:row r="556" ht="36" customHeight="1">
      <x:c r="A556" s="50" t="str">
        <x:f>IF(548&gt;$H$4,"",IF(INDEX('Fleet dates'!$A$9:$A$1008,$I556-8)="","",INDEX('Fleet dates'!$A$9:$A$1008,$I556-8)))</x:f>
      </x:c>
      <x:c r="B556" s="50" t="str">
        <x:f>IF(548&gt;$H$4,"",IF(INDEX('Fleet dates'!$B$9:$B$1008,$I556-8)="","",INDEX('Fleet dates'!$B$9:$B$1008,$I556-8)))</x:f>
      </x:c>
      <x:c r="C556" s="51" t="str">
        <x:f>IF(548&gt;$H$4,"",IF(INDEX('Fleet dates'!$C$9:$C$1008,$I556-8)="","",INDEX('Fleet dates'!$C$9:$C$1008,$I556-8)))</x:f>
      </x:c>
      <x:c r="D556" s="51" t="str">
        <x:f>IF(548&gt;$H$4,"",IF(INDEX('Fleet dates'!$D$9:$D$1008,$I556-8)="","",INDEX('Fleet dates'!$D$9:$D$1008,$I556-8)))</x:f>
      </x:c>
      <x:c r="E556" s="51" t="str">
        <x:f>IF(548&gt;$H$4,"",IF(INDEX('Fleet dates'!$E$9:$E$1008,$I556-8)="","",INDEX('Fleet dates'!$E$9:$E$1008,$I556-8)))</x:f>
      </x:c>
      <x:c r="F556" s="51" t="str">
        <x:f>IF(548&gt;$H$4,"",IF(INDEX('Fleet dates'!$F$9:$F$1008,$I556-8)="","",INDEX('Fleet dates'!$F$9:$F$1008,$I556-8)))</x:f>
      </x:c>
      <x:c r="G556" s="50" t="str">
        <x:f>IF(548&gt;$H$4,"",IF(INDEX('Fleet dates'!$G$9:$G$1008,$I556-8)="","",INDEX('Fleet dates'!$G$9:$G$1008,$I556-8)))</x:f>
      </x:c>
      <x:c r="H556" s="50" t="str">
        <x:f>IF(548&gt;$H$4,"",IF(INDEX('Fleet dates'!$I$9:$I$1008,$I556-8)="","",INDEX('Fleet dates'!$I$9:$I$1008,$I556-8)))</x:f>
      </x:c>
      <x:c r="I556" t="str">
        <x:f>IF(548&gt;$H$4,"",MATCH(548,'Fleet dates'!$K$9:$K$1008,0)+8)</x:f>
      </x:c>
    </x:row>
    <x:row r="557" ht="36" customHeight="1">
      <x:c r="A557" s="50" t="str">
        <x:f>IF(549&gt;$H$4,"",IF(INDEX('Fleet dates'!$A$9:$A$1008,$I557-8)="","",INDEX('Fleet dates'!$A$9:$A$1008,$I557-8)))</x:f>
      </x:c>
      <x:c r="B557" s="50" t="str">
        <x:f>IF(549&gt;$H$4,"",IF(INDEX('Fleet dates'!$B$9:$B$1008,$I557-8)="","",INDEX('Fleet dates'!$B$9:$B$1008,$I557-8)))</x:f>
      </x:c>
      <x:c r="C557" s="51" t="str">
        <x:f>IF(549&gt;$H$4,"",IF(INDEX('Fleet dates'!$C$9:$C$1008,$I557-8)="","",INDEX('Fleet dates'!$C$9:$C$1008,$I557-8)))</x:f>
      </x:c>
      <x:c r="D557" s="51" t="str">
        <x:f>IF(549&gt;$H$4,"",IF(INDEX('Fleet dates'!$D$9:$D$1008,$I557-8)="","",INDEX('Fleet dates'!$D$9:$D$1008,$I557-8)))</x:f>
      </x:c>
      <x:c r="E557" s="51" t="str">
        <x:f>IF(549&gt;$H$4,"",IF(INDEX('Fleet dates'!$E$9:$E$1008,$I557-8)="","",INDEX('Fleet dates'!$E$9:$E$1008,$I557-8)))</x:f>
      </x:c>
      <x:c r="F557" s="51" t="str">
        <x:f>IF(549&gt;$H$4,"",IF(INDEX('Fleet dates'!$F$9:$F$1008,$I557-8)="","",INDEX('Fleet dates'!$F$9:$F$1008,$I557-8)))</x:f>
      </x:c>
      <x:c r="G557" s="50" t="str">
        <x:f>IF(549&gt;$H$4,"",IF(INDEX('Fleet dates'!$G$9:$G$1008,$I557-8)="","",INDEX('Fleet dates'!$G$9:$G$1008,$I557-8)))</x:f>
      </x:c>
      <x:c r="H557" s="50" t="str">
        <x:f>IF(549&gt;$H$4,"",IF(INDEX('Fleet dates'!$I$9:$I$1008,$I557-8)="","",INDEX('Fleet dates'!$I$9:$I$1008,$I557-8)))</x:f>
      </x:c>
      <x:c r="I557" t="str">
        <x:f>IF(549&gt;$H$4,"",MATCH(549,'Fleet dates'!$K$9:$K$1008,0)+8)</x:f>
      </x:c>
    </x:row>
    <x:row r="558" ht="36" customHeight="1">
      <x:c r="A558" s="50" t="str">
        <x:f>IF(550&gt;$H$4,"",IF(INDEX('Fleet dates'!$A$9:$A$1008,$I558-8)="","",INDEX('Fleet dates'!$A$9:$A$1008,$I558-8)))</x:f>
      </x:c>
      <x:c r="B558" s="50" t="str">
        <x:f>IF(550&gt;$H$4,"",IF(INDEX('Fleet dates'!$B$9:$B$1008,$I558-8)="","",INDEX('Fleet dates'!$B$9:$B$1008,$I558-8)))</x:f>
      </x:c>
      <x:c r="C558" s="51" t="str">
        <x:f>IF(550&gt;$H$4,"",IF(INDEX('Fleet dates'!$C$9:$C$1008,$I558-8)="","",INDEX('Fleet dates'!$C$9:$C$1008,$I558-8)))</x:f>
      </x:c>
      <x:c r="D558" s="51" t="str">
        <x:f>IF(550&gt;$H$4,"",IF(INDEX('Fleet dates'!$D$9:$D$1008,$I558-8)="","",INDEX('Fleet dates'!$D$9:$D$1008,$I558-8)))</x:f>
      </x:c>
      <x:c r="E558" s="51" t="str">
        <x:f>IF(550&gt;$H$4,"",IF(INDEX('Fleet dates'!$E$9:$E$1008,$I558-8)="","",INDEX('Fleet dates'!$E$9:$E$1008,$I558-8)))</x:f>
      </x:c>
      <x:c r="F558" s="51" t="str">
        <x:f>IF(550&gt;$H$4,"",IF(INDEX('Fleet dates'!$F$9:$F$1008,$I558-8)="","",INDEX('Fleet dates'!$F$9:$F$1008,$I558-8)))</x:f>
      </x:c>
      <x:c r="G558" s="50" t="str">
        <x:f>IF(550&gt;$H$4,"",IF(INDEX('Fleet dates'!$G$9:$G$1008,$I558-8)="","",INDEX('Fleet dates'!$G$9:$G$1008,$I558-8)))</x:f>
      </x:c>
      <x:c r="H558" s="50" t="str">
        <x:f>IF(550&gt;$H$4,"",IF(INDEX('Fleet dates'!$I$9:$I$1008,$I558-8)="","",INDEX('Fleet dates'!$I$9:$I$1008,$I558-8)))</x:f>
      </x:c>
      <x:c r="I558" t="str">
        <x:f>IF(550&gt;$H$4,"",MATCH(550,'Fleet dates'!$K$9:$K$1008,0)+8)</x:f>
      </x:c>
    </x:row>
    <x:row r="559" ht="36" customHeight="1">
      <x:c r="A559" s="50" t="str">
        <x:f>IF(551&gt;$H$4,"",IF(INDEX('Fleet dates'!$A$9:$A$1008,$I559-8)="","",INDEX('Fleet dates'!$A$9:$A$1008,$I559-8)))</x:f>
      </x:c>
      <x:c r="B559" s="50" t="str">
        <x:f>IF(551&gt;$H$4,"",IF(INDEX('Fleet dates'!$B$9:$B$1008,$I559-8)="","",INDEX('Fleet dates'!$B$9:$B$1008,$I559-8)))</x:f>
      </x:c>
      <x:c r="C559" s="51" t="str">
        <x:f>IF(551&gt;$H$4,"",IF(INDEX('Fleet dates'!$C$9:$C$1008,$I559-8)="","",INDEX('Fleet dates'!$C$9:$C$1008,$I559-8)))</x:f>
      </x:c>
      <x:c r="D559" s="51" t="str">
        <x:f>IF(551&gt;$H$4,"",IF(INDEX('Fleet dates'!$D$9:$D$1008,$I559-8)="","",INDEX('Fleet dates'!$D$9:$D$1008,$I559-8)))</x:f>
      </x:c>
      <x:c r="E559" s="51" t="str">
        <x:f>IF(551&gt;$H$4,"",IF(INDEX('Fleet dates'!$E$9:$E$1008,$I559-8)="","",INDEX('Fleet dates'!$E$9:$E$1008,$I559-8)))</x:f>
      </x:c>
      <x:c r="F559" s="51" t="str">
        <x:f>IF(551&gt;$H$4,"",IF(INDEX('Fleet dates'!$F$9:$F$1008,$I559-8)="","",INDEX('Fleet dates'!$F$9:$F$1008,$I559-8)))</x:f>
      </x:c>
      <x:c r="G559" s="50" t="str">
        <x:f>IF(551&gt;$H$4,"",IF(INDEX('Fleet dates'!$G$9:$G$1008,$I559-8)="","",INDEX('Fleet dates'!$G$9:$G$1008,$I559-8)))</x:f>
      </x:c>
      <x:c r="H559" s="50" t="str">
        <x:f>IF(551&gt;$H$4,"",IF(INDEX('Fleet dates'!$I$9:$I$1008,$I559-8)="","",INDEX('Fleet dates'!$I$9:$I$1008,$I559-8)))</x:f>
      </x:c>
      <x:c r="I559" t="str">
        <x:f>IF(551&gt;$H$4,"",MATCH(551,'Fleet dates'!$K$9:$K$1008,0)+8)</x:f>
      </x:c>
    </x:row>
    <x:row r="560" ht="36" customHeight="1">
      <x:c r="A560" s="50" t="str">
        <x:f>IF(552&gt;$H$4,"",IF(INDEX('Fleet dates'!$A$9:$A$1008,$I560-8)="","",INDEX('Fleet dates'!$A$9:$A$1008,$I560-8)))</x:f>
      </x:c>
      <x:c r="B560" s="50" t="str">
        <x:f>IF(552&gt;$H$4,"",IF(INDEX('Fleet dates'!$B$9:$B$1008,$I560-8)="","",INDEX('Fleet dates'!$B$9:$B$1008,$I560-8)))</x:f>
      </x:c>
      <x:c r="C560" s="51" t="str">
        <x:f>IF(552&gt;$H$4,"",IF(INDEX('Fleet dates'!$C$9:$C$1008,$I560-8)="","",INDEX('Fleet dates'!$C$9:$C$1008,$I560-8)))</x:f>
      </x:c>
      <x:c r="D560" s="51" t="str">
        <x:f>IF(552&gt;$H$4,"",IF(INDEX('Fleet dates'!$D$9:$D$1008,$I560-8)="","",INDEX('Fleet dates'!$D$9:$D$1008,$I560-8)))</x:f>
      </x:c>
      <x:c r="E560" s="51" t="str">
        <x:f>IF(552&gt;$H$4,"",IF(INDEX('Fleet dates'!$E$9:$E$1008,$I560-8)="","",INDEX('Fleet dates'!$E$9:$E$1008,$I560-8)))</x:f>
      </x:c>
      <x:c r="F560" s="51" t="str">
        <x:f>IF(552&gt;$H$4,"",IF(INDEX('Fleet dates'!$F$9:$F$1008,$I560-8)="","",INDEX('Fleet dates'!$F$9:$F$1008,$I560-8)))</x:f>
      </x:c>
      <x:c r="G560" s="50" t="str">
        <x:f>IF(552&gt;$H$4,"",IF(INDEX('Fleet dates'!$G$9:$G$1008,$I560-8)="","",INDEX('Fleet dates'!$G$9:$G$1008,$I560-8)))</x:f>
      </x:c>
      <x:c r="H560" s="50" t="str">
        <x:f>IF(552&gt;$H$4,"",IF(INDEX('Fleet dates'!$I$9:$I$1008,$I560-8)="","",INDEX('Fleet dates'!$I$9:$I$1008,$I560-8)))</x:f>
      </x:c>
      <x:c r="I560" t="str">
        <x:f>IF(552&gt;$H$4,"",MATCH(552,'Fleet dates'!$K$9:$K$1008,0)+8)</x:f>
      </x:c>
    </x:row>
    <x:row r="561" ht="36" customHeight="1">
      <x:c r="A561" s="50" t="str">
        <x:f>IF(553&gt;$H$4,"",IF(INDEX('Fleet dates'!$A$9:$A$1008,$I561-8)="","",INDEX('Fleet dates'!$A$9:$A$1008,$I561-8)))</x:f>
      </x:c>
      <x:c r="B561" s="50" t="str">
        <x:f>IF(553&gt;$H$4,"",IF(INDEX('Fleet dates'!$B$9:$B$1008,$I561-8)="","",INDEX('Fleet dates'!$B$9:$B$1008,$I561-8)))</x:f>
      </x:c>
      <x:c r="C561" s="51" t="str">
        <x:f>IF(553&gt;$H$4,"",IF(INDEX('Fleet dates'!$C$9:$C$1008,$I561-8)="","",INDEX('Fleet dates'!$C$9:$C$1008,$I561-8)))</x:f>
      </x:c>
      <x:c r="D561" s="51" t="str">
        <x:f>IF(553&gt;$H$4,"",IF(INDEX('Fleet dates'!$D$9:$D$1008,$I561-8)="","",INDEX('Fleet dates'!$D$9:$D$1008,$I561-8)))</x:f>
      </x:c>
      <x:c r="E561" s="51" t="str">
        <x:f>IF(553&gt;$H$4,"",IF(INDEX('Fleet dates'!$E$9:$E$1008,$I561-8)="","",INDEX('Fleet dates'!$E$9:$E$1008,$I561-8)))</x:f>
      </x:c>
      <x:c r="F561" s="51" t="str">
        <x:f>IF(553&gt;$H$4,"",IF(INDEX('Fleet dates'!$F$9:$F$1008,$I561-8)="","",INDEX('Fleet dates'!$F$9:$F$1008,$I561-8)))</x:f>
      </x:c>
      <x:c r="G561" s="50" t="str">
        <x:f>IF(553&gt;$H$4,"",IF(INDEX('Fleet dates'!$G$9:$G$1008,$I561-8)="","",INDEX('Fleet dates'!$G$9:$G$1008,$I561-8)))</x:f>
      </x:c>
      <x:c r="H561" s="50" t="str">
        <x:f>IF(553&gt;$H$4,"",IF(INDEX('Fleet dates'!$I$9:$I$1008,$I561-8)="","",INDEX('Fleet dates'!$I$9:$I$1008,$I561-8)))</x:f>
      </x:c>
      <x:c r="I561" t="str">
        <x:f>IF(553&gt;$H$4,"",MATCH(553,'Fleet dates'!$K$9:$K$1008,0)+8)</x:f>
      </x:c>
    </x:row>
    <x:row r="562" ht="36" customHeight="1">
      <x:c r="A562" s="50" t="str">
        <x:f>IF(554&gt;$H$4,"",IF(INDEX('Fleet dates'!$A$9:$A$1008,$I562-8)="","",INDEX('Fleet dates'!$A$9:$A$1008,$I562-8)))</x:f>
      </x:c>
      <x:c r="B562" s="50" t="str">
        <x:f>IF(554&gt;$H$4,"",IF(INDEX('Fleet dates'!$B$9:$B$1008,$I562-8)="","",INDEX('Fleet dates'!$B$9:$B$1008,$I562-8)))</x:f>
      </x:c>
      <x:c r="C562" s="51" t="str">
        <x:f>IF(554&gt;$H$4,"",IF(INDEX('Fleet dates'!$C$9:$C$1008,$I562-8)="","",INDEX('Fleet dates'!$C$9:$C$1008,$I562-8)))</x:f>
      </x:c>
      <x:c r="D562" s="51" t="str">
        <x:f>IF(554&gt;$H$4,"",IF(INDEX('Fleet dates'!$D$9:$D$1008,$I562-8)="","",INDEX('Fleet dates'!$D$9:$D$1008,$I562-8)))</x:f>
      </x:c>
      <x:c r="E562" s="51" t="str">
        <x:f>IF(554&gt;$H$4,"",IF(INDEX('Fleet dates'!$E$9:$E$1008,$I562-8)="","",INDEX('Fleet dates'!$E$9:$E$1008,$I562-8)))</x:f>
      </x:c>
      <x:c r="F562" s="51" t="str">
        <x:f>IF(554&gt;$H$4,"",IF(INDEX('Fleet dates'!$F$9:$F$1008,$I562-8)="","",INDEX('Fleet dates'!$F$9:$F$1008,$I562-8)))</x:f>
      </x:c>
      <x:c r="G562" s="50" t="str">
        <x:f>IF(554&gt;$H$4,"",IF(INDEX('Fleet dates'!$G$9:$G$1008,$I562-8)="","",INDEX('Fleet dates'!$G$9:$G$1008,$I562-8)))</x:f>
      </x:c>
      <x:c r="H562" s="50" t="str">
        <x:f>IF(554&gt;$H$4,"",IF(INDEX('Fleet dates'!$I$9:$I$1008,$I562-8)="","",INDEX('Fleet dates'!$I$9:$I$1008,$I562-8)))</x:f>
      </x:c>
      <x:c r="I562" t="str">
        <x:f>IF(554&gt;$H$4,"",MATCH(554,'Fleet dates'!$K$9:$K$1008,0)+8)</x:f>
      </x:c>
    </x:row>
    <x:row r="563" ht="36" customHeight="1">
      <x:c r="A563" s="50" t="str">
        <x:f>IF(555&gt;$H$4,"",IF(INDEX('Fleet dates'!$A$9:$A$1008,$I563-8)="","",INDEX('Fleet dates'!$A$9:$A$1008,$I563-8)))</x:f>
      </x:c>
      <x:c r="B563" s="50" t="str">
        <x:f>IF(555&gt;$H$4,"",IF(INDEX('Fleet dates'!$B$9:$B$1008,$I563-8)="","",INDEX('Fleet dates'!$B$9:$B$1008,$I563-8)))</x:f>
      </x:c>
      <x:c r="C563" s="51" t="str">
        <x:f>IF(555&gt;$H$4,"",IF(INDEX('Fleet dates'!$C$9:$C$1008,$I563-8)="","",INDEX('Fleet dates'!$C$9:$C$1008,$I563-8)))</x:f>
      </x:c>
      <x:c r="D563" s="51" t="str">
        <x:f>IF(555&gt;$H$4,"",IF(INDEX('Fleet dates'!$D$9:$D$1008,$I563-8)="","",INDEX('Fleet dates'!$D$9:$D$1008,$I563-8)))</x:f>
      </x:c>
      <x:c r="E563" s="51" t="str">
        <x:f>IF(555&gt;$H$4,"",IF(INDEX('Fleet dates'!$E$9:$E$1008,$I563-8)="","",INDEX('Fleet dates'!$E$9:$E$1008,$I563-8)))</x:f>
      </x:c>
      <x:c r="F563" s="51" t="str">
        <x:f>IF(555&gt;$H$4,"",IF(INDEX('Fleet dates'!$F$9:$F$1008,$I563-8)="","",INDEX('Fleet dates'!$F$9:$F$1008,$I563-8)))</x:f>
      </x:c>
      <x:c r="G563" s="50" t="str">
        <x:f>IF(555&gt;$H$4,"",IF(INDEX('Fleet dates'!$G$9:$G$1008,$I563-8)="","",INDEX('Fleet dates'!$G$9:$G$1008,$I563-8)))</x:f>
      </x:c>
      <x:c r="H563" s="50" t="str">
        <x:f>IF(555&gt;$H$4,"",IF(INDEX('Fleet dates'!$I$9:$I$1008,$I563-8)="","",INDEX('Fleet dates'!$I$9:$I$1008,$I563-8)))</x:f>
      </x:c>
      <x:c r="I563" t="str">
        <x:f>IF(555&gt;$H$4,"",MATCH(555,'Fleet dates'!$K$9:$K$1008,0)+8)</x:f>
      </x:c>
    </x:row>
    <x:row r="564" ht="36" customHeight="1">
      <x:c r="A564" s="50" t="str">
        <x:f>IF(556&gt;$H$4,"",IF(INDEX('Fleet dates'!$A$9:$A$1008,$I564-8)="","",INDEX('Fleet dates'!$A$9:$A$1008,$I564-8)))</x:f>
      </x:c>
      <x:c r="B564" s="50" t="str">
        <x:f>IF(556&gt;$H$4,"",IF(INDEX('Fleet dates'!$B$9:$B$1008,$I564-8)="","",INDEX('Fleet dates'!$B$9:$B$1008,$I564-8)))</x:f>
      </x:c>
      <x:c r="C564" s="51" t="str">
        <x:f>IF(556&gt;$H$4,"",IF(INDEX('Fleet dates'!$C$9:$C$1008,$I564-8)="","",INDEX('Fleet dates'!$C$9:$C$1008,$I564-8)))</x:f>
      </x:c>
      <x:c r="D564" s="51" t="str">
        <x:f>IF(556&gt;$H$4,"",IF(INDEX('Fleet dates'!$D$9:$D$1008,$I564-8)="","",INDEX('Fleet dates'!$D$9:$D$1008,$I564-8)))</x:f>
      </x:c>
      <x:c r="E564" s="51" t="str">
        <x:f>IF(556&gt;$H$4,"",IF(INDEX('Fleet dates'!$E$9:$E$1008,$I564-8)="","",INDEX('Fleet dates'!$E$9:$E$1008,$I564-8)))</x:f>
      </x:c>
      <x:c r="F564" s="51" t="str">
        <x:f>IF(556&gt;$H$4,"",IF(INDEX('Fleet dates'!$F$9:$F$1008,$I564-8)="","",INDEX('Fleet dates'!$F$9:$F$1008,$I564-8)))</x:f>
      </x:c>
      <x:c r="G564" s="50" t="str">
        <x:f>IF(556&gt;$H$4,"",IF(INDEX('Fleet dates'!$G$9:$G$1008,$I564-8)="","",INDEX('Fleet dates'!$G$9:$G$1008,$I564-8)))</x:f>
      </x:c>
      <x:c r="H564" s="50" t="str">
        <x:f>IF(556&gt;$H$4,"",IF(INDEX('Fleet dates'!$I$9:$I$1008,$I564-8)="","",INDEX('Fleet dates'!$I$9:$I$1008,$I564-8)))</x:f>
      </x:c>
      <x:c r="I564" t="str">
        <x:f>IF(556&gt;$H$4,"",MATCH(556,'Fleet dates'!$K$9:$K$1008,0)+8)</x:f>
      </x:c>
    </x:row>
    <x:row r="565" ht="36" customHeight="1">
      <x:c r="A565" s="50" t="str">
        <x:f>IF(557&gt;$H$4,"",IF(INDEX('Fleet dates'!$A$9:$A$1008,$I565-8)="","",INDEX('Fleet dates'!$A$9:$A$1008,$I565-8)))</x:f>
      </x:c>
      <x:c r="B565" s="50" t="str">
        <x:f>IF(557&gt;$H$4,"",IF(INDEX('Fleet dates'!$B$9:$B$1008,$I565-8)="","",INDEX('Fleet dates'!$B$9:$B$1008,$I565-8)))</x:f>
      </x:c>
      <x:c r="C565" s="51" t="str">
        <x:f>IF(557&gt;$H$4,"",IF(INDEX('Fleet dates'!$C$9:$C$1008,$I565-8)="","",INDEX('Fleet dates'!$C$9:$C$1008,$I565-8)))</x:f>
      </x:c>
      <x:c r="D565" s="51" t="str">
        <x:f>IF(557&gt;$H$4,"",IF(INDEX('Fleet dates'!$D$9:$D$1008,$I565-8)="","",INDEX('Fleet dates'!$D$9:$D$1008,$I565-8)))</x:f>
      </x:c>
      <x:c r="E565" s="51" t="str">
        <x:f>IF(557&gt;$H$4,"",IF(INDEX('Fleet dates'!$E$9:$E$1008,$I565-8)="","",INDEX('Fleet dates'!$E$9:$E$1008,$I565-8)))</x:f>
      </x:c>
      <x:c r="F565" s="51" t="str">
        <x:f>IF(557&gt;$H$4,"",IF(INDEX('Fleet dates'!$F$9:$F$1008,$I565-8)="","",INDEX('Fleet dates'!$F$9:$F$1008,$I565-8)))</x:f>
      </x:c>
      <x:c r="G565" s="50" t="str">
        <x:f>IF(557&gt;$H$4,"",IF(INDEX('Fleet dates'!$G$9:$G$1008,$I565-8)="","",INDEX('Fleet dates'!$G$9:$G$1008,$I565-8)))</x:f>
      </x:c>
      <x:c r="H565" s="50" t="str">
        <x:f>IF(557&gt;$H$4,"",IF(INDEX('Fleet dates'!$I$9:$I$1008,$I565-8)="","",INDEX('Fleet dates'!$I$9:$I$1008,$I565-8)))</x:f>
      </x:c>
      <x:c r="I565" t="str">
        <x:f>IF(557&gt;$H$4,"",MATCH(557,'Fleet dates'!$K$9:$K$1008,0)+8)</x:f>
      </x:c>
    </x:row>
    <x:row r="566" ht="36" customHeight="1">
      <x:c r="A566" s="50" t="str">
        <x:f>IF(558&gt;$H$4,"",IF(INDEX('Fleet dates'!$A$9:$A$1008,$I566-8)="","",INDEX('Fleet dates'!$A$9:$A$1008,$I566-8)))</x:f>
      </x:c>
      <x:c r="B566" s="50" t="str">
        <x:f>IF(558&gt;$H$4,"",IF(INDEX('Fleet dates'!$B$9:$B$1008,$I566-8)="","",INDEX('Fleet dates'!$B$9:$B$1008,$I566-8)))</x:f>
      </x:c>
      <x:c r="C566" s="51" t="str">
        <x:f>IF(558&gt;$H$4,"",IF(INDEX('Fleet dates'!$C$9:$C$1008,$I566-8)="","",INDEX('Fleet dates'!$C$9:$C$1008,$I566-8)))</x:f>
      </x:c>
      <x:c r="D566" s="51" t="str">
        <x:f>IF(558&gt;$H$4,"",IF(INDEX('Fleet dates'!$D$9:$D$1008,$I566-8)="","",INDEX('Fleet dates'!$D$9:$D$1008,$I566-8)))</x:f>
      </x:c>
      <x:c r="E566" s="51" t="str">
        <x:f>IF(558&gt;$H$4,"",IF(INDEX('Fleet dates'!$E$9:$E$1008,$I566-8)="","",INDEX('Fleet dates'!$E$9:$E$1008,$I566-8)))</x:f>
      </x:c>
      <x:c r="F566" s="51" t="str">
        <x:f>IF(558&gt;$H$4,"",IF(INDEX('Fleet dates'!$F$9:$F$1008,$I566-8)="","",INDEX('Fleet dates'!$F$9:$F$1008,$I566-8)))</x:f>
      </x:c>
      <x:c r="G566" s="50" t="str">
        <x:f>IF(558&gt;$H$4,"",IF(INDEX('Fleet dates'!$G$9:$G$1008,$I566-8)="","",INDEX('Fleet dates'!$G$9:$G$1008,$I566-8)))</x:f>
      </x:c>
      <x:c r="H566" s="50" t="str">
        <x:f>IF(558&gt;$H$4,"",IF(INDEX('Fleet dates'!$I$9:$I$1008,$I566-8)="","",INDEX('Fleet dates'!$I$9:$I$1008,$I566-8)))</x:f>
      </x:c>
      <x:c r="I566" t="str">
        <x:f>IF(558&gt;$H$4,"",MATCH(558,'Fleet dates'!$K$9:$K$1008,0)+8)</x:f>
      </x:c>
    </x:row>
    <x:row r="567" ht="36" customHeight="1">
      <x:c r="A567" s="50" t="str">
        <x:f>IF(559&gt;$H$4,"",IF(INDEX('Fleet dates'!$A$9:$A$1008,$I567-8)="","",INDEX('Fleet dates'!$A$9:$A$1008,$I567-8)))</x:f>
      </x:c>
      <x:c r="B567" s="50" t="str">
        <x:f>IF(559&gt;$H$4,"",IF(INDEX('Fleet dates'!$B$9:$B$1008,$I567-8)="","",INDEX('Fleet dates'!$B$9:$B$1008,$I567-8)))</x:f>
      </x:c>
      <x:c r="C567" s="51" t="str">
        <x:f>IF(559&gt;$H$4,"",IF(INDEX('Fleet dates'!$C$9:$C$1008,$I567-8)="","",INDEX('Fleet dates'!$C$9:$C$1008,$I567-8)))</x:f>
      </x:c>
      <x:c r="D567" s="51" t="str">
        <x:f>IF(559&gt;$H$4,"",IF(INDEX('Fleet dates'!$D$9:$D$1008,$I567-8)="","",INDEX('Fleet dates'!$D$9:$D$1008,$I567-8)))</x:f>
      </x:c>
      <x:c r="E567" s="51" t="str">
        <x:f>IF(559&gt;$H$4,"",IF(INDEX('Fleet dates'!$E$9:$E$1008,$I567-8)="","",INDEX('Fleet dates'!$E$9:$E$1008,$I567-8)))</x:f>
      </x:c>
      <x:c r="F567" s="51" t="str">
        <x:f>IF(559&gt;$H$4,"",IF(INDEX('Fleet dates'!$F$9:$F$1008,$I567-8)="","",INDEX('Fleet dates'!$F$9:$F$1008,$I567-8)))</x:f>
      </x:c>
      <x:c r="G567" s="50" t="str">
        <x:f>IF(559&gt;$H$4,"",IF(INDEX('Fleet dates'!$G$9:$G$1008,$I567-8)="","",INDEX('Fleet dates'!$G$9:$G$1008,$I567-8)))</x:f>
      </x:c>
      <x:c r="H567" s="50" t="str">
        <x:f>IF(559&gt;$H$4,"",IF(INDEX('Fleet dates'!$I$9:$I$1008,$I567-8)="","",INDEX('Fleet dates'!$I$9:$I$1008,$I567-8)))</x:f>
      </x:c>
      <x:c r="I567" t="str">
        <x:f>IF(559&gt;$H$4,"",MATCH(559,'Fleet dates'!$K$9:$K$1008,0)+8)</x:f>
      </x:c>
    </x:row>
    <x:row r="568" ht="36" customHeight="1">
      <x:c r="A568" s="50" t="str">
        <x:f>IF(560&gt;$H$4,"",IF(INDEX('Fleet dates'!$A$9:$A$1008,$I568-8)="","",INDEX('Fleet dates'!$A$9:$A$1008,$I568-8)))</x:f>
      </x:c>
      <x:c r="B568" s="50" t="str">
        <x:f>IF(560&gt;$H$4,"",IF(INDEX('Fleet dates'!$B$9:$B$1008,$I568-8)="","",INDEX('Fleet dates'!$B$9:$B$1008,$I568-8)))</x:f>
      </x:c>
      <x:c r="C568" s="51" t="str">
        <x:f>IF(560&gt;$H$4,"",IF(INDEX('Fleet dates'!$C$9:$C$1008,$I568-8)="","",INDEX('Fleet dates'!$C$9:$C$1008,$I568-8)))</x:f>
      </x:c>
      <x:c r="D568" s="51" t="str">
        <x:f>IF(560&gt;$H$4,"",IF(INDEX('Fleet dates'!$D$9:$D$1008,$I568-8)="","",INDEX('Fleet dates'!$D$9:$D$1008,$I568-8)))</x:f>
      </x:c>
      <x:c r="E568" s="51" t="str">
        <x:f>IF(560&gt;$H$4,"",IF(INDEX('Fleet dates'!$E$9:$E$1008,$I568-8)="","",INDEX('Fleet dates'!$E$9:$E$1008,$I568-8)))</x:f>
      </x:c>
      <x:c r="F568" s="51" t="str">
        <x:f>IF(560&gt;$H$4,"",IF(INDEX('Fleet dates'!$F$9:$F$1008,$I568-8)="","",INDEX('Fleet dates'!$F$9:$F$1008,$I568-8)))</x:f>
      </x:c>
      <x:c r="G568" s="50" t="str">
        <x:f>IF(560&gt;$H$4,"",IF(INDEX('Fleet dates'!$G$9:$G$1008,$I568-8)="","",INDEX('Fleet dates'!$G$9:$G$1008,$I568-8)))</x:f>
      </x:c>
      <x:c r="H568" s="50" t="str">
        <x:f>IF(560&gt;$H$4,"",IF(INDEX('Fleet dates'!$I$9:$I$1008,$I568-8)="","",INDEX('Fleet dates'!$I$9:$I$1008,$I568-8)))</x:f>
      </x:c>
      <x:c r="I568" t="str">
        <x:f>IF(560&gt;$H$4,"",MATCH(560,'Fleet dates'!$K$9:$K$1008,0)+8)</x:f>
      </x:c>
    </x:row>
    <x:row r="569" ht="36" customHeight="1">
      <x:c r="A569" s="50" t="str">
        <x:f>IF(561&gt;$H$4,"",IF(INDEX('Fleet dates'!$A$9:$A$1008,$I569-8)="","",INDEX('Fleet dates'!$A$9:$A$1008,$I569-8)))</x:f>
      </x:c>
      <x:c r="B569" s="50" t="str">
        <x:f>IF(561&gt;$H$4,"",IF(INDEX('Fleet dates'!$B$9:$B$1008,$I569-8)="","",INDEX('Fleet dates'!$B$9:$B$1008,$I569-8)))</x:f>
      </x:c>
      <x:c r="C569" s="51" t="str">
        <x:f>IF(561&gt;$H$4,"",IF(INDEX('Fleet dates'!$C$9:$C$1008,$I569-8)="","",INDEX('Fleet dates'!$C$9:$C$1008,$I569-8)))</x:f>
      </x:c>
      <x:c r="D569" s="51" t="str">
        <x:f>IF(561&gt;$H$4,"",IF(INDEX('Fleet dates'!$D$9:$D$1008,$I569-8)="","",INDEX('Fleet dates'!$D$9:$D$1008,$I569-8)))</x:f>
      </x:c>
      <x:c r="E569" s="51" t="str">
        <x:f>IF(561&gt;$H$4,"",IF(INDEX('Fleet dates'!$E$9:$E$1008,$I569-8)="","",INDEX('Fleet dates'!$E$9:$E$1008,$I569-8)))</x:f>
      </x:c>
      <x:c r="F569" s="51" t="str">
        <x:f>IF(561&gt;$H$4,"",IF(INDEX('Fleet dates'!$F$9:$F$1008,$I569-8)="","",INDEX('Fleet dates'!$F$9:$F$1008,$I569-8)))</x:f>
      </x:c>
      <x:c r="G569" s="50" t="str">
        <x:f>IF(561&gt;$H$4,"",IF(INDEX('Fleet dates'!$G$9:$G$1008,$I569-8)="","",INDEX('Fleet dates'!$G$9:$G$1008,$I569-8)))</x:f>
      </x:c>
      <x:c r="H569" s="50" t="str">
        <x:f>IF(561&gt;$H$4,"",IF(INDEX('Fleet dates'!$I$9:$I$1008,$I569-8)="","",INDEX('Fleet dates'!$I$9:$I$1008,$I569-8)))</x:f>
      </x:c>
      <x:c r="I569" t="str">
        <x:f>IF(561&gt;$H$4,"",MATCH(561,'Fleet dates'!$K$9:$K$1008,0)+8)</x:f>
      </x:c>
    </x:row>
    <x:row r="570" ht="36" customHeight="1">
      <x:c r="A570" s="50" t="str">
        <x:f>IF(562&gt;$H$4,"",IF(INDEX('Fleet dates'!$A$9:$A$1008,$I570-8)="","",INDEX('Fleet dates'!$A$9:$A$1008,$I570-8)))</x:f>
      </x:c>
      <x:c r="B570" s="50" t="str">
        <x:f>IF(562&gt;$H$4,"",IF(INDEX('Fleet dates'!$B$9:$B$1008,$I570-8)="","",INDEX('Fleet dates'!$B$9:$B$1008,$I570-8)))</x:f>
      </x:c>
      <x:c r="C570" s="51" t="str">
        <x:f>IF(562&gt;$H$4,"",IF(INDEX('Fleet dates'!$C$9:$C$1008,$I570-8)="","",INDEX('Fleet dates'!$C$9:$C$1008,$I570-8)))</x:f>
      </x:c>
      <x:c r="D570" s="51" t="str">
        <x:f>IF(562&gt;$H$4,"",IF(INDEX('Fleet dates'!$D$9:$D$1008,$I570-8)="","",INDEX('Fleet dates'!$D$9:$D$1008,$I570-8)))</x:f>
      </x:c>
      <x:c r="E570" s="51" t="str">
        <x:f>IF(562&gt;$H$4,"",IF(INDEX('Fleet dates'!$E$9:$E$1008,$I570-8)="","",INDEX('Fleet dates'!$E$9:$E$1008,$I570-8)))</x:f>
      </x:c>
      <x:c r="F570" s="51" t="str">
        <x:f>IF(562&gt;$H$4,"",IF(INDEX('Fleet dates'!$F$9:$F$1008,$I570-8)="","",INDEX('Fleet dates'!$F$9:$F$1008,$I570-8)))</x:f>
      </x:c>
      <x:c r="G570" s="50" t="str">
        <x:f>IF(562&gt;$H$4,"",IF(INDEX('Fleet dates'!$G$9:$G$1008,$I570-8)="","",INDEX('Fleet dates'!$G$9:$G$1008,$I570-8)))</x:f>
      </x:c>
      <x:c r="H570" s="50" t="str">
        <x:f>IF(562&gt;$H$4,"",IF(INDEX('Fleet dates'!$I$9:$I$1008,$I570-8)="","",INDEX('Fleet dates'!$I$9:$I$1008,$I570-8)))</x:f>
      </x:c>
      <x:c r="I570" t="str">
        <x:f>IF(562&gt;$H$4,"",MATCH(562,'Fleet dates'!$K$9:$K$1008,0)+8)</x:f>
      </x:c>
    </x:row>
    <x:row r="571" ht="36" customHeight="1">
      <x:c r="A571" s="50" t="str">
        <x:f>IF(563&gt;$H$4,"",IF(INDEX('Fleet dates'!$A$9:$A$1008,$I571-8)="","",INDEX('Fleet dates'!$A$9:$A$1008,$I571-8)))</x:f>
      </x:c>
      <x:c r="B571" s="50" t="str">
        <x:f>IF(563&gt;$H$4,"",IF(INDEX('Fleet dates'!$B$9:$B$1008,$I571-8)="","",INDEX('Fleet dates'!$B$9:$B$1008,$I571-8)))</x:f>
      </x:c>
      <x:c r="C571" s="51" t="str">
        <x:f>IF(563&gt;$H$4,"",IF(INDEX('Fleet dates'!$C$9:$C$1008,$I571-8)="","",INDEX('Fleet dates'!$C$9:$C$1008,$I571-8)))</x:f>
      </x:c>
      <x:c r="D571" s="51" t="str">
        <x:f>IF(563&gt;$H$4,"",IF(INDEX('Fleet dates'!$D$9:$D$1008,$I571-8)="","",INDEX('Fleet dates'!$D$9:$D$1008,$I571-8)))</x:f>
      </x:c>
      <x:c r="E571" s="51" t="str">
        <x:f>IF(563&gt;$H$4,"",IF(INDEX('Fleet dates'!$E$9:$E$1008,$I571-8)="","",INDEX('Fleet dates'!$E$9:$E$1008,$I571-8)))</x:f>
      </x:c>
      <x:c r="F571" s="51" t="str">
        <x:f>IF(563&gt;$H$4,"",IF(INDEX('Fleet dates'!$F$9:$F$1008,$I571-8)="","",INDEX('Fleet dates'!$F$9:$F$1008,$I571-8)))</x:f>
      </x:c>
      <x:c r="G571" s="50" t="str">
        <x:f>IF(563&gt;$H$4,"",IF(INDEX('Fleet dates'!$G$9:$G$1008,$I571-8)="","",INDEX('Fleet dates'!$G$9:$G$1008,$I571-8)))</x:f>
      </x:c>
      <x:c r="H571" s="50" t="str">
        <x:f>IF(563&gt;$H$4,"",IF(INDEX('Fleet dates'!$I$9:$I$1008,$I571-8)="","",INDEX('Fleet dates'!$I$9:$I$1008,$I571-8)))</x:f>
      </x:c>
      <x:c r="I571" t="str">
        <x:f>IF(563&gt;$H$4,"",MATCH(563,'Fleet dates'!$K$9:$K$1008,0)+8)</x:f>
      </x:c>
    </x:row>
    <x:row r="572" ht="36" customHeight="1">
      <x:c r="A572" s="50" t="str">
        <x:f>IF(564&gt;$H$4,"",IF(INDEX('Fleet dates'!$A$9:$A$1008,$I572-8)="","",INDEX('Fleet dates'!$A$9:$A$1008,$I572-8)))</x:f>
      </x:c>
      <x:c r="B572" s="50" t="str">
        <x:f>IF(564&gt;$H$4,"",IF(INDEX('Fleet dates'!$B$9:$B$1008,$I572-8)="","",INDEX('Fleet dates'!$B$9:$B$1008,$I572-8)))</x:f>
      </x:c>
      <x:c r="C572" s="51" t="str">
        <x:f>IF(564&gt;$H$4,"",IF(INDEX('Fleet dates'!$C$9:$C$1008,$I572-8)="","",INDEX('Fleet dates'!$C$9:$C$1008,$I572-8)))</x:f>
      </x:c>
      <x:c r="D572" s="51" t="str">
        <x:f>IF(564&gt;$H$4,"",IF(INDEX('Fleet dates'!$D$9:$D$1008,$I572-8)="","",INDEX('Fleet dates'!$D$9:$D$1008,$I572-8)))</x:f>
      </x:c>
      <x:c r="E572" s="51" t="str">
        <x:f>IF(564&gt;$H$4,"",IF(INDEX('Fleet dates'!$E$9:$E$1008,$I572-8)="","",INDEX('Fleet dates'!$E$9:$E$1008,$I572-8)))</x:f>
      </x:c>
      <x:c r="F572" s="51" t="str">
        <x:f>IF(564&gt;$H$4,"",IF(INDEX('Fleet dates'!$F$9:$F$1008,$I572-8)="","",INDEX('Fleet dates'!$F$9:$F$1008,$I572-8)))</x:f>
      </x:c>
      <x:c r="G572" s="50" t="str">
        <x:f>IF(564&gt;$H$4,"",IF(INDEX('Fleet dates'!$G$9:$G$1008,$I572-8)="","",INDEX('Fleet dates'!$G$9:$G$1008,$I572-8)))</x:f>
      </x:c>
      <x:c r="H572" s="50" t="str">
        <x:f>IF(564&gt;$H$4,"",IF(INDEX('Fleet dates'!$I$9:$I$1008,$I572-8)="","",INDEX('Fleet dates'!$I$9:$I$1008,$I572-8)))</x:f>
      </x:c>
      <x:c r="I572" t="str">
        <x:f>IF(564&gt;$H$4,"",MATCH(564,'Fleet dates'!$K$9:$K$1008,0)+8)</x:f>
      </x:c>
    </x:row>
    <x:row r="573" ht="36" customHeight="1">
      <x:c r="A573" s="50" t="str">
        <x:f>IF(565&gt;$H$4,"",IF(INDEX('Fleet dates'!$A$9:$A$1008,$I573-8)="","",INDEX('Fleet dates'!$A$9:$A$1008,$I573-8)))</x:f>
      </x:c>
      <x:c r="B573" s="50" t="str">
        <x:f>IF(565&gt;$H$4,"",IF(INDEX('Fleet dates'!$B$9:$B$1008,$I573-8)="","",INDEX('Fleet dates'!$B$9:$B$1008,$I573-8)))</x:f>
      </x:c>
      <x:c r="C573" s="51" t="str">
        <x:f>IF(565&gt;$H$4,"",IF(INDEX('Fleet dates'!$C$9:$C$1008,$I573-8)="","",INDEX('Fleet dates'!$C$9:$C$1008,$I573-8)))</x:f>
      </x:c>
      <x:c r="D573" s="51" t="str">
        <x:f>IF(565&gt;$H$4,"",IF(INDEX('Fleet dates'!$D$9:$D$1008,$I573-8)="","",INDEX('Fleet dates'!$D$9:$D$1008,$I573-8)))</x:f>
      </x:c>
      <x:c r="E573" s="51" t="str">
        <x:f>IF(565&gt;$H$4,"",IF(INDEX('Fleet dates'!$E$9:$E$1008,$I573-8)="","",INDEX('Fleet dates'!$E$9:$E$1008,$I573-8)))</x:f>
      </x:c>
      <x:c r="F573" s="51" t="str">
        <x:f>IF(565&gt;$H$4,"",IF(INDEX('Fleet dates'!$F$9:$F$1008,$I573-8)="","",INDEX('Fleet dates'!$F$9:$F$1008,$I573-8)))</x:f>
      </x:c>
      <x:c r="G573" s="50" t="str">
        <x:f>IF(565&gt;$H$4,"",IF(INDEX('Fleet dates'!$G$9:$G$1008,$I573-8)="","",INDEX('Fleet dates'!$G$9:$G$1008,$I573-8)))</x:f>
      </x:c>
      <x:c r="H573" s="50" t="str">
        <x:f>IF(565&gt;$H$4,"",IF(INDEX('Fleet dates'!$I$9:$I$1008,$I573-8)="","",INDEX('Fleet dates'!$I$9:$I$1008,$I573-8)))</x:f>
      </x:c>
      <x:c r="I573" t="str">
        <x:f>IF(565&gt;$H$4,"",MATCH(565,'Fleet dates'!$K$9:$K$1008,0)+8)</x:f>
      </x:c>
    </x:row>
    <x:row r="574" ht="36" customHeight="1">
      <x:c r="A574" s="50" t="str">
        <x:f>IF(566&gt;$H$4,"",IF(INDEX('Fleet dates'!$A$9:$A$1008,$I574-8)="","",INDEX('Fleet dates'!$A$9:$A$1008,$I574-8)))</x:f>
      </x:c>
      <x:c r="B574" s="50" t="str">
        <x:f>IF(566&gt;$H$4,"",IF(INDEX('Fleet dates'!$B$9:$B$1008,$I574-8)="","",INDEX('Fleet dates'!$B$9:$B$1008,$I574-8)))</x:f>
      </x:c>
      <x:c r="C574" s="51" t="str">
        <x:f>IF(566&gt;$H$4,"",IF(INDEX('Fleet dates'!$C$9:$C$1008,$I574-8)="","",INDEX('Fleet dates'!$C$9:$C$1008,$I574-8)))</x:f>
      </x:c>
      <x:c r="D574" s="51" t="str">
        <x:f>IF(566&gt;$H$4,"",IF(INDEX('Fleet dates'!$D$9:$D$1008,$I574-8)="","",INDEX('Fleet dates'!$D$9:$D$1008,$I574-8)))</x:f>
      </x:c>
      <x:c r="E574" s="51" t="str">
        <x:f>IF(566&gt;$H$4,"",IF(INDEX('Fleet dates'!$E$9:$E$1008,$I574-8)="","",INDEX('Fleet dates'!$E$9:$E$1008,$I574-8)))</x:f>
      </x:c>
      <x:c r="F574" s="51" t="str">
        <x:f>IF(566&gt;$H$4,"",IF(INDEX('Fleet dates'!$F$9:$F$1008,$I574-8)="","",INDEX('Fleet dates'!$F$9:$F$1008,$I574-8)))</x:f>
      </x:c>
      <x:c r="G574" s="50" t="str">
        <x:f>IF(566&gt;$H$4,"",IF(INDEX('Fleet dates'!$G$9:$G$1008,$I574-8)="","",INDEX('Fleet dates'!$G$9:$G$1008,$I574-8)))</x:f>
      </x:c>
      <x:c r="H574" s="50" t="str">
        <x:f>IF(566&gt;$H$4,"",IF(INDEX('Fleet dates'!$I$9:$I$1008,$I574-8)="","",INDEX('Fleet dates'!$I$9:$I$1008,$I574-8)))</x:f>
      </x:c>
      <x:c r="I574" t="str">
        <x:f>IF(566&gt;$H$4,"",MATCH(566,'Fleet dates'!$K$9:$K$1008,0)+8)</x:f>
      </x:c>
    </x:row>
    <x:row r="575" ht="36" customHeight="1">
      <x:c r="A575" s="50" t="str">
        <x:f>IF(567&gt;$H$4,"",IF(INDEX('Fleet dates'!$A$9:$A$1008,$I575-8)="","",INDEX('Fleet dates'!$A$9:$A$1008,$I575-8)))</x:f>
      </x:c>
      <x:c r="B575" s="50" t="str">
        <x:f>IF(567&gt;$H$4,"",IF(INDEX('Fleet dates'!$B$9:$B$1008,$I575-8)="","",INDEX('Fleet dates'!$B$9:$B$1008,$I575-8)))</x:f>
      </x:c>
      <x:c r="C575" s="51" t="str">
        <x:f>IF(567&gt;$H$4,"",IF(INDEX('Fleet dates'!$C$9:$C$1008,$I575-8)="","",INDEX('Fleet dates'!$C$9:$C$1008,$I575-8)))</x:f>
      </x:c>
      <x:c r="D575" s="51" t="str">
        <x:f>IF(567&gt;$H$4,"",IF(INDEX('Fleet dates'!$D$9:$D$1008,$I575-8)="","",INDEX('Fleet dates'!$D$9:$D$1008,$I575-8)))</x:f>
      </x:c>
      <x:c r="E575" s="51" t="str">
        <x:f>IF(567&gt;$H$4,"",IF(INDEX('Fleet dates'!$E$9:$E$1008,$I575-8)="","",INDEX('Fleet dates'!$E$9:$E$1008,$I575-8)))</x:f>
      </x:c>
      <x:c r="F575" s="51" t="str">
        <x:f>IF(567&gt;$H$4,"",IF(INDEX('Fleet dates'!$F$9:$F$1008,$I575-8)="","",INDEX('Fleet dates'!$F$9:$F$1008,$I575-8)))</x:f>
      </x:c>
      <x:c r="G575" s="50" t="str">
        <x:f>IF(567&gt;$H$4,"",IF(INDEX('Fleet dates'!$G$9:$G$1008,$I575-8)="","",INDEX('Fleet dates'!$G$9:$G$1008,$I575-8)))</x:f>
      </x:c>
      <x:c r="H575" s="50" t="str">
        <x:f>IF(567&gt;$H$4,"",IF(INDEX('Fleet dates'!$I$9:$I$1008,$I575-8)="","",INDEX('Fleet dates'!$I$9:$I$1008,$I575-8)))</x:f>
      </x:c>
      <x:c r="I575" t="str">
        <x:f>IF(567&gt;$H$4,"",MATCH(567,'Fleet dates'!$K$9:$K$1008,0)+8)</x:f>
      </x:c>
    </x:row>
    <x:row r="576" ht="36" customHeight="1">
      <x:c r="A576" s="50" t="str">
        <x:f>IF(568&gt;$H$4,"",IF(INDEX('Fleet dates'!$A$9:$A$1008,$I576-8)="","",INDEX('Fleet dates'!$A$9:$A$1008,$I576-8)))</x:f>
      </x:c>
      <x:c r="B576" s="50" t="str">
        <x:f>IF(568&gt;$H$4,"",IF(INDEX('Fleet dates'!$B$9:$B$1008,$I576-8)="","",INDEX('Fleet dates'!$B$9:$B$1008,$I576-8)))</x:f>
      </x:c>
      <x:c r="C576" s="51" t="str">
        <x:f>IF(568&gt;$H$4,"",IF(INDEX('Fleet dates'!$C$9:$C$1008,$I576-8)="","",INDEX('Fleet dates'!$C$9:$C$1008,$I576-8)))</x:f>
      </x:c>
      <x:c r="D576" s="51" t="str">
        <x:f>IF(568&gt;$H$4,"",IF(INDEX('Fleet dates'!$D$9:$D$1008,$I576-8)="","",INDEX('Fleet dates'!$D$9:$D$1008,$I576-8)))</x:f>
      </x:c>
      <x:c r="E576" s="51" t="str">
        <x:f>IF(568&gt;$H$4,"",IF(INDEX('Fleet dates'!$E$9:$E$1008,$I576-8)="","",INDEX('Fleet dates'!$E$9:$E$1008,$I576-8)))</x:f>
      </x:c>
      <x:c r="F576" s="51" t="str">
        <x:f>IF(568&gt;$H$4,"",IF(INDEX('Fleet dates'!$F$9:$F$1008,$I576-8)="","",INDEX('Fleet dates'!$F$9:$F$1008,$I576-8)))</x:f>
      </x:c>
      <x:c r="G576" s="50" t="str">
        <x:f>IF(568&gt;$H$4,"",IF(INDEX('Fleet dates'!$G$9:$G$1008,$I576-8)="","",INDEX('Fleet dates'!$G$9:$G$1008,$I576-8)))</x:f>
      </x:c>
      <x:c r="H576" s="50" t="str">
        <x:f>IF(568&gt;$H$4,"",IF(INDEX('Fleet dates'!$I$9:$I$1008,$I576-8)="","",INDEX('Fleet dates'!$I$9:$I$1008,$I576-8)))</x:f>
      </x:c>
      <x:c r="I576" t="str">
        <x:f>IF(568&gt;$H$4,"",MATCH(568,'Fleet dates'!$K$9:$K$1008,0)+8)</x:f>
      </x:c>
    </x:row>
    <x:row r="577" ht="36" customHeight="1">
      <x:c r="A577" s="50" t="str">
        <x:f>IF(569&gt;$H$4,"",IF(INDEX('Fleet dates'!$A$9:$A$1008,$I577-8)="","",INDEX('Fleet dates'!$A$9:$A$1008,$I577-8)))</x:f>
      </x:c>
      <x:c r="B577" s="50" t="str">
        <x:f>IF(569&gt;$H$4,"",IF(INDEX('Fleet dates'!$B$9:$B$1008,$I577-8)="","",INDEX('Fleet dates'!$B$9:$B$1008,$I577-8)))</x:f>
      </x:c>
      <x:c r="C577" s="51" t="str">
        <x:f>IF(569&gt;$H$4,"",IF(INDEX('Fleet dates'!$C$9:$C$1008,$I577-8)="","",INDEX('Fleet dates'!$C$9:$C$1008,$I577-8)))</x:f>
      </x:c>
      <x:c r="D577" s="51" t="str">
        <x:f>IF(569&gt;$H$4,"",IF(INDEX('Fleet dates'!$D$9:$D$1008,$I577-8)="","",INDEX('Fleet dates'!$D$9:$D$1008,$I577-8)))</x:f>
      </x:c>
      <x:c r="E577" s="51" t="str">
        <x:f>IF(569&gt;$H$4,"",IF(INDEX('Fleet dates'!$E$9:$E$1008,$I577-8)="","",INDEX('Fleet dates'!$E$9:$E$1008,$I577-8)))</x:f>
      </x:c>
      <x:c r="F577" s="51" t="str">
        <x:f>IF(569&gt;$H$4,"",IF(INDEX('Fleet dates'!$F$9:$F$1008,$I577-8)="","",INDEX('Fleet dates'!$F$9:$F$1008,$I577-8)))</x:f>
      </x:c>
      <x:c r="G577" s="50" t="str">
        <x:f>IF(569&gt;$H$4,"",IF(INDEX('Fleet dates'!$G$9:$G$1008,$I577-8)="","",INDEX('Fleet dates'!$G$9:$G$1008,$I577-8)))</x:f>
      </x:c>
      <x:c r="H577" s="50" t="str">
        <x:f>IF(569&gt;$H$4,"",IF(INDEX('Fleet dates'!$I$9:$I$1008,$I577-8)="","",INDEX('Fleet dates'!$I$9:$I$1008,$I577-8)))</x:f>
      </x:c>
      <x:c r="I577" t="str">
        <x:f>IF(569&gt;$H$4,"",MATCH(569,'Fleet dates'!$K$9:$K$1008,0)+8)</x:f>
      </x:c>
    </x:row>
    <x:row r="578" ht="36" customHeight="1">
      <x:c r="A578" s="50" t="str">
        <x:f>IF(570&gt;$H$4,"",IF(INDEX('Fleet dates'!$A$9:$A$1008,$I578-8)="","",INDEX('Fleet dates'!$A$9:$A$1008,$I578-8)))</x:f>
      </x:c>
      <x:c r="B578" s="50" t="str">
        <x:f>IF(570&gt;$H$4,"",IF(INDEX('Fleet dates'!$B$9:$B$1008,$I578-8)="","",INDEX('Fleet dates'!$B$9:$B$1008,$I578-8)))</x:f>
      </x:c>
      <x:c r="C578" s="51" t="str">
        <x:f>IF(570&gt;$H$4,"",IF(INDEX('Fleet dates'!$C$9:$C$1008,$I578-8)="","",INDEX('Fleet dates'!$C$9:$C$1008,$I578-8)))</x:f>
      </x:c>
      <x:c r="D578" s="51" t="str">
        <x:f>IF(570&gt;$H$4,"",IF(INDEX('Fleet dates'!$D$9:$D$1008,$I578-8)="","",INDEX('Fleet dates'!$D$9:$D$1008,$I578-8)))</x:f>
      </x:c>
      <x:c r="E578" s="51" t="str">
        <x:f>IF(570&gt;$H$4,"",IF(INDEX('Fleet dates'!$E$9:$E$1008,$I578-8)="","",INDEX('Fleet dates'!$E$9:$E$1008,$I578-8)))</x:f>
      </x:c>
      <x:c r="F578" s="51" t="str">
        <x:f>IF(570&gt;$H$4,"",IF(INDEX('Fleet dates'!$F$9:$F$1008,$I578-8)="","",INDEX('Fleet dates'!$F$9:$F$1008,$I578-8)))</x:f>
      </x:c>
      <x:c r="G578" s="50" t="str">
        <x:f>IF(570&gt;$H$4,"",IF(INDEX('Fleet dates'!$G$9:$G$1008,$I578-8)="","",INDEX('Fleet dates'!$G$9:$G$1008,$I578-8)))</x:f>
      </x:c>
      <x:c r="H578" s="50" t="str">
        <x:f>IF(570&gt;$H$4,"",IF(INDEX('Fleet dates'!$I$9:$I$1008,$I578-8)="","",INDEX('Fleet dates'!$I$9:$I$1008,$I578-8)))</x:f>
      </x:c>
      <x:c r="I578" t="str">
        <x:f>IF(570&gt;$H$4,"",MATCH(570,'Fleet dates'!$K$9:$K$1008,0)+8)</x:f>
      </x:c>
    </x:row>
    <x:row r="579" ht="36" customHeight="1">
      <x:c r="A579" s="50" t="str">
        <x:f>IF(571&gt;$H$4,"",IF(INDEX('Fleet dates'!$A$9:$A$1008,$I579-8)="","",INDEX('Fleet dates'!$A$9:$A$1008,$I579-8)))</x:f>
      </x:c>
      <x:c r="B579" s="50" t="str">
        <x:f>IF(571&gt;$H$4,"",IF(INDEX('Fleet dates'!$B$9:$B$1008,$I579-8)="","",INDEX('Fleet dates'!$B$9:$B$1008,$I579-8)))</x:f>
      </x:c>
      <x:c r="C579" s="51" t="str">
        <x:f>IF(571&gt;$H$4,"",IF(INDEX('Fleet dates'!$C$9:$C$1008,$I579-8)="","",INDEX('Fleet dates'!$C$9:$C$1008,$I579-8)))</x:f>
      </x:c>
      <x:c r="D579" s="51" t="str">
        <x:f>IF(571&gt;$H$4,"",IF(INDEX('Fleet dates'!$D$9:$D$1008,$I579-8)="","",INDEX('Fleet dates'!$D$9:$D$1008,$I579-8)))</x:f>
      </x:c>
      <x:c r="E579" s="51" t="str">
        <x:f>IF(571&gt;$H$4,"",IF(INDEX('Fleet dates'!$E$9:$E$1008,$I579-8)="","",INDEX('Fleet dates'!$E$9:$E$1008,$I579-8)))</x:f>
      </x:c>
      <x:c r="F579" s="51" t="str">
        <x:f>IF(571&gt;$H$4,"",IF(INDEX('Fleet dates'!$F$9:$F$1008,$I579-8)="","",INDEX('Fleet dates'!$F$9:$F$1008,$I579-8)))</x:f>
      </x:c>
      <x:c r="G579" s="50" t="str">
        <x:f>IF(571&gt;$H$4,"",IF(INDEX('Fleet dates'!$G$9:$G$1008,$I579-8)="","",INDEX('Fleet dates'!$G$9:$G$1008,$I579-8)))</x:f>
      </x:c>
      <x:c r="H579" s="50" t="str">
        <x:f>IF(571&gt;$H$4,"",IF(INDEX('Fleet dates'!$I$9:$I$1008,$I579-8)="","",INDEX('Fleet dates'!$I$9:$I$1008,$I579-8)))</x:f>
      </x:c>
      <x:c r="I579" t="str">
        <x:f>IF(571&gt;$H$4,"",MATCH(571,'Fleet dates'!$K$9:$K$1008,0)+8)</x:f>
      </x:c>
    </x:row>
    <x:row r="580" ht="36" customHeight="1">
      <x:c r="A580" s="50" t="str">
        <x:f>IF(572&gt;$H$4,"",IF(INDEX('Fleet dates'!$A$9:$A$1008,$I580-8)="","",INDEX('Fleet dates'!$A$9:$A$1008,$I580-8)))</x:f>
      </x:c>
      <x:c r="B580" s="50" t="str">
        <x:f>IF(572&gt;$H$4,"",IF(INDEX('Fleet dates'!$B$9:$B$1008,$I580-8)="","",INDEX('Fleet dates'!$B$9:$B$1008,$I580-8)))</x:f>
      </x:c>
      <x:c r="C580" s="51" t="str">
        <x:f>IF(572&gt;$H$4,"",IF(INDEX('Fleet dates'!$C$9:$C$1008,$I580-8)="","",INDEX('Fleet dates'!$C$9:$C$1008,$I580-8)))</x:f>
      </x:c>
      <x:c r="D580" s="51" t="str">
        <x:f>IF(572&gt;$H$4,"",IF(INDEX('Fleet dates'!$D$9:$D$1008,$I580-8)="","",INDEX('Fleet dates'!$D$9:$D$1008,$I580-8)))</x:f>
      </x:c>
      <x:c r="E580" s="51" t="str">
        <x:f>IF(572&gt;$H$4,"",IF(INDEX('Fleet dates'!$E$9:$E$1008,$I580-8)="","",INDEX('Fleet dates'!$E$9:$E$1008,$I580-8)))</x:f>
      </x:c>
      <x:c r="F580" s="51" t="str">
        <x:f>IF(572&gt;$H$4,"",IF(INDEX('Fleet dates'!$F$9:$F$1008,$I580-8)="","",INDEX('Fleet dates'!$F$9:$F$1008,$I580-8)))</x:f>
      </x:c>
      <x:c r="G580" s="50" t="str">
        <x:f>IF(572&gt;$H$4,"",IF(INDEX('Fleet dates'!$G$9:$G$1008,$I580-8)="","",INDEX('Fleet dates'!$G$9:$G$1008,$I580-8)))</x:f>
      </x:c>
      <x:c r="H580" s="50" t="str">
        <x:f>IF(572&gt;$H$4,"",IF(INDEX('Fleet dates'!$I$9:$I$1008,$I580-8)="","",INDEX('Fleet dates'!$I$9:$I$1008,$I580-8)))</x:f>
      </x:c>
      <x:c r="I580" t="str">
        <x:f>IF(572&gt;$H$4,"",MATCH(572,'Fleet dates'!$K$9:$K$1008,0)+8)</x:f>
      </x:c>
    </x:row>
    <x:row r="581" ht="36" customHeight="1">
      <x:c r="A581" s="50" t="str">
        <x:f>IF(573&gt;$H$4,"",IF(INDEX('Fleet dates'!$A$9:$A$1008,$I581-8)="","",INDEX('Fleet dates'!$A$9:$A$1008,$I581-8)))</x:f>
      </x:c>
      <x:c r="B581" s="50" t="str">
        <x:f>IF(573&gt;$H$4,"",IF(INDEX('Fleet dates'!$B$9:$B$1008,$I581-8)="","",INDEX('Fleet dates'!$B$9:$B$1008,$I581-8)))</x:f>
      </x:c>
      <x:c r="C581" s="51" t="str">
        <x:f>IF(573&gt;$H$4,"",IF(INDEX('Fleet dates'!$C$9:$C$1008,$I581-8)="","",INDEX('Fleet dates'!$C$9:$C$1008,$I581-8)))</x:f>
      </x:c>
      <x:c r="D581" s="51" t="str">
        <x:f>IF(573&gt;$H$4,"",IF(INDEX('Fleet dates'!$D$9:$D$1008,$I581-8)="","",INDEX('Fleet dates'!$D$9:$D$1008,$I581-8)))</x:f>
      </x:c>
      <x:c r="E581" s="51" t="str">
        <x:f>IF(573&gt;$H$4,"",IF(INDEX('Fleet dates'!$E$9:$E$1008,$I581-8)="","",INDEX('Fleet dates'!$E$9:$E$1008,$I581-8)))</x:f>
      </x:c>
      <x:c r="F581" s="51" t="str">
        <x:f>IF(573&gt;$H$4,"",IF(INDEX('Fleet dates'!$F$9:$F$1008,$I581-8)="","",INDEX('Fleet dates'!$F$9:$F$1008,$I581-8)))</x:f>
      </x:c>
      <x:c r="G581" s="50" t="str">
        <x:f>IF(573&gt;$H$4,"",IF(INDEX('Fleet dates'!$G$9:$G$1008,$I581-8)="","",INDEX('Fleet dates'!$G$9:$G$1008,$I581-8)))</x:f>
      </x:c>
      <x:c r="H581" s="50" t="str">
        <x:f>IF(573&gt;$H$4,"",IF(INDEX('Fleet dates'!$I$9:$I$1008,$I581-8)="","",INDEX('Fleet dates'!$I$9:$I$1008,$I581-8)))</x:f>
      </x:c>
      <x:c r="I581" t="str">
        <x:f>IF(573&gt;$H$4,"",MATCH(573,'Fleet dates'!$K$9:$K$1008,0)+8)</x:f>
      </x:c>
    </x:row>
    <x:row r="582" ht="36" customHeight="1">
      <x:c r="A582" s="50" t="str">
        <x:f>IF(574&gt;$H$4,"",IF(INDEX('Fleet dates'!$A$9:$A$1008,$I582-8)="","",INDEX('Fleet dates'!$A$9:$A$1008,$I582-8)))</x:f>
      </x:c>
      <x:c r="B582" s="50" t="str">
        <x:f>IF(574&gt;$H$4,"",IF(INDEX('Fleet dates'!$B$9:$B$1008,$I582-8)="","",INDEX('Fleet dates'!$B$9:$B$1008,$I582-8)))</x:f>
      </x:c>
      <x:c r="C582" s="51" t="str">
        <x:f>IF(574&gt;$H$4,"",IF(INDEX('Fleet dates'!$C$9:$C$1008,$I582-8)="","",INDEX('Fleet dates'!$C$9:$C$1008,$I582-8)))</x:f>
      </x:c>
      <x:c r="D582" s="51" t="str">
        <x:f>IF(574&gt;$H$4,"",IF(INDEX('Fleet dates'!$D$9:$D$1008,$I582-8)="","",INDEX('Fleet dates'!$D$9:$D$1008,$I582-8)))</x:f>
      </x:c>
      <x:c r="E582" s="51" t="str">
        <x:f>IF(574&gt;$H$4,"",IF(INDEX('Fleet dates'!$E$9:$E$1008,$I582-8)="","",INDEX('Fleet dates'!$E$9:$E$1008,$I582-8)))</x:f>
      </x:c>
      <x:c r="F582" s="51" t="str">
        <x:f>IF(574&gt;$H$4,"",IF(INDEX('Fleet dates'!$F$9:$F$1008,$I582-8)="","",INDEX('Fleet dates'!$F$9:$F$1008,$I582-8)))</x:f>
      </x:c>
      <x:c r="G582" s="50" t="str">
        <x:f>IF(574&gt;$H$4,"",IF(INDEX('Fleet dates'!$G$9:$G$1008,$I582-8)="","",INDEX('Fleet dates'!$G$9:$G$1008,$I582-8)))</x:f>
      </x:c>
      <x:c r="H582" s="50" t="str">
        <x:f>IF(574&gt;$H$4,"",IF(INDEX('Fleet dates'!$I$9:$I$1008,$I582-8)="","",INDEX('Fleet dates'!$I$9:$I$1008,$I582-8)))</x:f>
      </x:c>
      <x:c r="I582" t="str">
        <x:f>IF(574&gt;$H$4,"",MATCH(574,'Fleet dates'!$K$9:$K$1008,0)+8)</x:f>
      </x:c>
    </x:row>
    <x:row r="583" ht="36" customHeight="1">
      <x:c r="A583" s="50" t="str">
        <x:f>IF(575&gt;$H$4,"",IF(INDEX('Fleet dates'!$A$9:$A$1008,$I583-8)="","",INDEX('Fleet dates'!$A$9:$A$1008,$I583-8)))</x:f>
      </x:c>
      <x:c r="B583" s="50" t="str">
        <x:f>IF(575&gt;$H$4,"",IF(INDEX('Fleet dates'!$B$9:$B$1008,$I583-8)="","",INDEX('Fleet dates'!$B$9:$B$1008,$I583-8)))</x:f>
      </x:c>
      <x:c r="C583" s="51" t="str">
        <x:f>IF(575&gt;$H$4,"",IF(INDEX('Fleet dates'!$C$9:$C$1008,$I583-8)="","",INDEX('Fleet dates'!$C$9:$C$1008,$I583-8)))</x:f>
      </x:c>
      <x:c r="D583" s="51" t="str">
        <x:f>IF(575&gt;$H$4,"",IF(INDEX('Fleet dates'!$D$9:$D$1008,$I583-8)="","",INDEX('Fleet dates'!$D$9:$D$1008,$I583-8)))</x:f>
      </x:c>
      <x:c r="E583" s="51" t="str">
        <x:f>IF(575&gt;$H$4,"",IF(INDEX('Fleet dates'!$E$9:$E$1008,$I583-8)="","",INDEX('Fleet dates'!$E$9:$E$1008,$I583-8)))</x:f>
      </x:c>
      <x:c r="F583" s="51" t="str">
        <x:f>IF(575&gt;$H$4,"",IF(INDEX('Fleet dates'!$F$9:$F$1008,$I583-8)="","",INDEX('Fleet dates'!$F$9:$F$1008,$I583-8)))</x:f>
      </x:c>
      <x:c r="G583" s="50" t="str">
        <x:f>IF(575&gt;$H$4,"",IF(INDEX('Fleet dates'!$G$9:$G$1008,$I583-8)="","",INDEX('Fleet dates'!$G$9:$G$1008,$I583-8)))</x:f>
      </x:c>
      <x:c r="H583" s="50" t="str">
        <x:f>IF(575&gt;$H$4,"",IF(INDEX('Fleet dates'!$I$9:$I$1008,$I583-8)="","",INDEX('Fleet dates'!$I$9:$I$1008,$I583-8)))</x:f>
      </x:c>
      <x:c r="I583" t="str">
        <x:f>IF(575&gt;$H$4,"",MATCH(575,'Fleet dates'!$K$9:$K$1008,0)+8)</x:f>
      </x:c>
    </x:row>
    <x:row r="584" ht="36" customHeight="1">
      <x:c r="A584" s="50" t="str">
        <x:f>IF(576&gt;$H$4,"",IF(INDEX('Fleet dates'!$A$9:$A$1008,$I584-8)="","",INDEX('Fleet dates'!$A$9:$A$1008,$I584-8)))</x:f>
      </x:c>
      <x:c r="B584" s="50" t="str">
        <x:f>IF(576&gt;$H$4,"",IF(INDEX('Fleet dates'!$B$9:$B$1008,$I584-8)="","",INDEX('Fleet dates'!$B$9:$B$1008,$I584-8)))</x:f>
      </x:c>
      <x:c r="C584" s="51" t="str">
        <x:f>IF(576&gt;$H$4,"",IF(INDEX('Fleet dates'!$C$9:$C$1008,$I584-8)="","",INDEX('Fleet dates'!$C$9:$C$1008,$I584-8)))</x:f>
      </x:c>
      <x:c r="D584" s="51" t="str">
        <x:f>IF(576&gt;$H$4,"",IF(INDEX('Fleet dates'!$D$9:$D$1008,$I584-8)="","",INDEX('Fleet dates'!$D$9:$D$1008,$I584-8)))</x:f>
      </x:c>
      <x:c r="E584" s="51" t="str">
        <x:f>IF(576&gt;$H$4,"",IF(INDEX('Fleet dates'!$E$9:$E$1008,$I584-8)="","",INDEX('Fleet dates'!$E$9:$E$1008,$I584-8)))</x:f>
      </x:c>
      <x:c r="F584" s="51" t="str">
        <x:f>IF(576&gt;$H$4,"",IF(INDEX('Fleet dates'!$F$9:$F$1008,$I584-8)="","",INDEX('Fleet dates'!$F$9:$F$1008,$I584-8)))</x:f>
      </x:c>
      <x:c r="G584" s="50" t="str">
        <x:f>IF(576&gt;$H$4,"",IF(INDEX('Fleet dates'!$G$9:$G$1008,$I584-8)="","",INDEX('Fleet dates'!$G$9:$G$1008,$I584-8)))</x:f>
      </x:c>
      <x:c r="H584" s="50" t="str">
        <x:f>IF(576&gt;$H$4,"",IF(INDEX('Fleet dates'!$I$9:$I$1008,$I584-8)="","",INDEX('Fleet dates'!$I$9:$I$1008,$I584-8)))</x:f>
      </x:c>
      <x:c r="I584" t="str">
        <x:f>IF(576&gt;$H$4,"",MATCH(576,'Fleet dates'!$K$9:$K$1008,0)+8)</x:f>
      </x:c>
    </x:row>
    <x:row r="585" ht="36" customHeight="1">
      <x:c r="A585" s="50" t="str">
        <x:f>IF(577&gt;$H$4,"",IF(INDEX('Fleet dates'!$A$9:$A$1008,$I585-8)="","",INDEX('Fleet dates'!$A$9:$A$1008,$I585-8)))</x:f>
      </x:c>
      <x:c r="B585" s="50" t="str">
        <x:f>IF(577&gt;$H$4,"",IF(INDEX('Fleet dates'!$B$9:$B$1008,$I585-8)="","",INDEX('Fleet dates'!$B$9:$B$1008,$I585-8)))</x:f>
      </x:c>
      <x:c r="C585" s="51" t="str">
        <x:f>IF(577&gt;$H$4,"",IF(INDEX('Fleet dates'!$C$9:$C$1008,$I585-8)="","",INDEX('Fleet dates'!$C$9:$C$1008,$I585-8)))</x:f>
      </x:c>
      <x:c r="D585" s="51" t="str">
        <x:f>IF(577&gt;$H$4,"",IF(INDEX('Fleet dates'!$D$9:$D$1008,$I585-8)="","",INDEX('Fleet dates'!$D$9:$D$1008,$I585-8)))</x:f>
      </x:c>
      <x:c r="E585" s="51" t="str">
        <x:f>IF(577&gt;$H$4,"",IF(INDEX('Fleet dates'!$E$9:$E$1008,$I585-8)="","",INDEX('Fleet dates'!$E$9:$E$1008,$I585-8)))</x:f>
      </x:c>
      <x:c r="F585" s="51" t="str">
        <x:f>IF(577&gt;$H$4,"",IF(INDEX('Fleet dates'!$F$9:$F$1008,$I585-8)="","",INDEX('Fleet dates'!$F$9:$F$1008,$I585-8)))</x:f>
      </x:c>
      <x:c r="G585" s="50" t="str">
        <x:f>IF(577&gt;$H$4,"",IF(INDEX('Fleet dates'!$G$9:$G$1008,$I585-8)="","",INDEX('Fleet dates'!$G$9:$G$1008,$I585-8)))</x:f>
      </x:c>
      <x:c r="H585" s="50" t="str">
        <x:f>IF(577&gt;$H$4,"",IF(INDEX('Fleet dates'!$I$9:$I$1008,$I585-8)="","",INDEX('Fleet dates'!$I$9:$I$1008,$I585-8)))</x:f>
      </x:c>
      <x:c r="I585" t="str">
        <x:f>IF(577&gt;$H$4,"",MATCH(577,'Fleet dates'!$K$9:$K$1008,0)+8)</x:f>
      </x:c>
    </x:row>
    <x:row r="586" ht="36" customHeight="1">
      <x:c r="A586" s="50" t="str">
        <x:f>IF(578&gt;$H$4,"",IF(INDEX('Fleet dates'!$A$9:$A$1008,$I586-8)="","",INDEX('Fleet dates'!$A$9:$A$1008,$I586-8)))</x:f>
      </x:c>
      <x:c r="B586" s="50" t="str">
        <x:f>IF(578&gt;$H$4,"",IF(INDEX('Fleet dates'!$B$9:$B$1008,$I586-8)="","",INDEX('Fleet dates'!$B$9:$B$1008,$I586-8)))</x:f>
      </x:c>
      <x:c r="C586" s="51" t="str">
        <x:f>IF(578&gt;$H$4,"",IF(INDEX('Fleet dates'!$C$9:$C$1008,$I586-8)="","",INDEX('Fleet dates'!$C$9:$C$1008,$I586-8)))</x:f>
      </x:c>
      <x:c r="D586" s="51" t="str">
        <x:f>IF(578&gt;$H$4,"",IF(INDEX('Fleet dates'!$D$9:$D$1008,$I586-8)="","",INDEX('Fleet dates'!$D$9:$D$1008,$I586-8)))</x:f>
      </x:c>
      <x:c r="E586" s="51" t="str">
        <x:f>IF(578&gt;$H$4,"",IF(INDEX('Fleet dates'!$E$9:$E$1008,$I586-8)="","",INDEX('Fleet dates'!$E$9:$E$1008,$I586-8)))</x:f>
      </x:c>
      <x:c r="F586" s="51" t="str">
        <x:f>IF(578&gt;$H$4,"",IF(INDEX('Fleet dates'!$F$9:$F$1008,$I586-8)="","",INDEX('Fleet dates'!$F$9:$F$1008,$I586-8)))</x:f>
      </x:c>
      <x:c r="G586" s="50" t="str">
        <x:f>IF(578&gt;$H$4,"",IF(INDEX('Fleet dates'!$G$9:$G$1008,$I586-8)="","",INDEX('Fleet dates'!$G$9:$G$1008,$I586-8)))</x:f>
      </x:c>
      <x:c r="H586" s="50" t="str">
        <x:f>IF(578&gt;$H$4,"",IF(INDEX('Fleet dates'!$I$9:$I$1008,$I586-8)="","",INDEX('Fleet dates'!$I$9:$I$1008,$I586-8)))</x:f>
      </x:c>
      <x:c r="I586" t="str">
        <x:f>IF(578&gt;$H$4,"",MATCH(578,'Fleet dates'!$K$9:$K$1008,0)+8)</x:f>
      </x:c>
    </x:row>
    <x:row r="587" ht="36" customHeight="1">
      <x:c r="A587" s="50" t="str">
        <x:f>IF(579&gt;$H$4,"",IF(INDEX('Fleet dates'!$A$9:$A$1008,$I587-8)="","",INDEX('Fleet dates'!$A$9:$A$1008,$I587-8)))</x:f>
      </x:c>
      <x:c r="B587" s="50" t="str">
        <x:f>IF(579&gt;$H$4,"",IF(INDEX('Fleet dates'!$B$9:$B$1008,$I587-8)="","",INDEX('Fleet dates'!$B$9:$B$1008,$I587-8)))</x:f>
      </x:c>
      <x:c r="C587" s="51" t="str">
        <x:f>IF(579&gt;$H$4,"",IF(INDEX('Fleet dates'!$C$9:$C$1008,$I587-8)="","",INDEX('Fleet dates'!$C$9:$C$1008,$I587-8)))</x:f>
      </x:c>
      <x:c r="D587" s="51" t="str">
        <x:f>IF(579&gt;$H$4,"",IF(INDEX('Fleet dates'!$D$9:$D$1008,$I587-8)="","",INDEX('Fleet dates'!$D$9:$D$1008,$I587-8)))</x:f>
      </x:c>
      <x:c r="E587" s="51" t="str">
        <x:f>IF(579&gt;$H$4,"",IF(INDEX('Fleet dates'!$E$9:$E$1008,$I587-8)="","",INDEX('Fleet dates'!$E$9:$E$1008,$I587-8)))</x:f>
      </x:c>
      <x:c r="F587" s="51" t="str">
        <x:f>IF(579&gt;$H$4,"",IF(INDEX('Fleet dates'!$F$9:$F$1008,$I587-8)="","",INDEX('Fleet dates'!$F$9:$F$1008,$I587-8)))</x:f>
      </x:c>
      <x:c r="G587" s="50" t="str">
        <x:f>IF(579&gt;$H$4,"",IF(INDEX('Fleet dates'!$G$9:$G$1008,$I587-8)="","",INDEX('Fleet dates'!$G$9:$G$1008,$I587-8)))</x:f>
      </x:c>
      <x:c r="H587" s="50" t="str">
        <x:f>IF(579&gt;$H$4,"",IF(INDEX('Fleet dates'!$I$9:$I$1008,$I587-8)="","",INDEX('Fleet dates'!$I$9:$I$1008,$I587-8)))</x:f>
      </x:c>
      <x:c r="I587" t="str">
        <x:f>IF(579&gt;$H$4,"",MATCH(579,'Fleet dates'!$K$9:$K$1008,0)+8)</x:f>
      </x:c>
    </x:row>
    <x:row r="588" ht="36" customHeight="1">
      <x:c r="A588" s="50" t="str">
        <x:f>IF(580&gt;$H$4,"",IF(INDEX('Fleet dates'!$A$9:$A$1008,$I588-8)="","",INDEX('Fleet dates'!$A$9:$A$1008,$I588-8)))</x:f>
      </x:c>
      <x:c r="B588" s="50" t="str">
        <x:f>IF(580&gt;$H$4,"",IF(INDEX('Fleet dates'!$B$9:$B$1008,$I588-8)="","",INDEX('Fleet dates'!$B$9:$B$1008,$I588-8)))</x:f>
      </x:c>
      <x:c r="C588" s="51" t="str">
        <x:f>IF(580&gt;$H$4,"",IF(INDEX('Fleet dates'!$C$9:$C$1008,$I588-8)="","",INDEX('Fleet dates'!$C$9:$C$1008,$I588-8)))</x:f>
      </x:c>
      <x:c r="D588" s="51" t="str">
        <x:f>IF(580&gt;$H$4,"",IF(INDEX('Fleet dates'!$D$9:$D$1008,$I588-8)="","",INDEX('Fleet dates'!$D$9:$D$1008,$I588-8)))</x:f>
      </x:c>
      <x:c r="E588" s="51" t="str">
        <x:f>IF(580&gt;$H$4,"",IF(INDEX('Fleet dates'!$E$9:$E$1008,$I588-8)="","",INDEX('Fleet dates'!$E$9:$E$1008,$I588-8)))</x:f>
      </x:c>
      <x:c r="F588" s="51" t="str">
        <x:f>IF(580&gt;$H$4,"",IF(INDEX('Fleet dates'!$F$9:$F$1008,$I588-8)="","",INDEX('Fleet dates'!$F$9:$F$1008,$I588-8)))</x:f>
      </x:c>
      <x:c r="G588" s="50" t="str">
        <x:f>IF(580&gt;$H$4,"",IF(INDEX('Fleet dates'!$G$9:$G$1008,$I588-8)="","",INDEX('Fleet dates'!$G$9:$G$1008,$I588-8)))</x:f>
      </x:c>
      <x:c r="H588" s="50" t="str">
        <x:f>IF(580&gt;$H$4,"",IF(INDEX('Fleet dates'!$I$9:$I$1008,$I588-8)="","",INDEX('Fleet dates'!$I$9:$I$1008,$I588-8)))</x:f>
      </x:c>
      <x:c r="I588" t="str">
        <x:f>IF(580&gt;$H$4,"",MATCH(580,'Fleet dates'!$K$9:$K$1008,0)+8)</x:f>
      </x:c>
    </x:row>
    <x:row r="589" ht="36" customHeight="1">
      <x:c r="A589" s="50" t="str">
        <x:f>IF(581&gt;$H$4,"",IF(INDEX('Fleet dates'!$A$9:$A$1008,$I589-8)="","",INDEX('Fleet dates'!$A$9:$A$1008,$I589-8)))</x:f>
      </x:c>
      <x:c r="B589" s="50" t="str">
        <x:f>IF(581&gt;$H$4,"",IF(INDEX('Fleet dates'!$B$9:$B$1008,$I589-8)="","",INDEX('Fleet dates'!$B$9:$B$1008,$I589-8)))</x:f>
      </x:c>
      <x:c r="C589" s="51" t="str">
        <x:f>IF(581&gt;$H$4,"",IF(INDEX('Fleet dates'!$C$9:$C$1008,$I589-8)="","",INDEX('Fleet dates'!$C$9:$C$1008,$I589-8)))</x:f>
      </x:c>
      <x:c r="D589" s="51" t="str">
        <x:f>IF(581&gt;$H$4,"",IF(INDEX('Fleet dates'!$D$9:$D$1008,$I589-8)="","",INDEX('Fleet dates'!$D$9:$D$1008,$I589-8)))</x:f>
      </x:c>
      <x:c r="E589" s="51" t="str">
        <x:f>IF(581&gt;$H$4,"",IF(INDEX('Fleet dates'!$E$9:$E$1008,$I589-8)="","",INDEX('Fleet dates'!$E$9:$E$1008,$I589-8)))</x:f>
      </x:c>
      <x:c r="F589" s="51" t="str">
        <x:f>IF(581&gt;$H$4,"",IF(INDEX('Fleet dates'!$F$9:$F$1008,$I589-8)="","",INDEX('Fleet dates'!$F$9:$F$1008,$I589-8)))</x:f>
      </x:c>
      <x:c r="G589" s="50" t="str">
        <x:f>IF(581&gt;$H$4,"",IF(INDEX('Fleet dates'!$G$9:$G$1008,$I589-8)="","",INDEX('Fleet dates'!$G$9:$G$1008,$I589-8)))</x:f>
      </x:c>
      <x:c r="H589" s="50" t="str">
        <x:f>IF(581&gt;$H$4,"",IF(INDEX('Fleet dates'!$I$9:$I$1008,$I589-8)="","",INDEX('Fleet dates'!$I$9:$I$1008,$I589-8)))</x:f>
      </x:c>
      <x:c r="I589" t="str">
        <x:f>IF(581&gt;$H$4,"",MATCH(581,'Fleet dates'!$K$9:$K$1008,0)+8)</x:f>
      </x:c>
    </x:row>
    <x:row r="590" ht="36" customHeight="1">
      <x:c r="A590" s="50" t="str">
        <x:f>IF(582&gt;$H$4,"",IF(INDEX('Fleet dates'!$A$9:$A$1008,$I590-8)="","",INDEX('Fleet dates'!$A$9:$A$1008,$I590-8)))</x:f>
      </x:c>
      <x:c r="B590" s="50" t="str">
        <x:f>IF(582&gt;$H$4,"",IF(INDEX('Fleet dates'!$B$9:$B$1008,$I590-8)="","",INDEX('Fleet dates'!$B$9:$B$1008,$I590-8)))</x:f>
      </x:c>
      <x:c r="C590" s="51" t="str">
        <x:f>IF(582&gt;$H$4,"",IF(INDEX('Fleet dates'!$C$9:$C$1008,$I590-8)="","",INDEX('Fleet dates'!$C$9:$C$1008,$I590-8)))</x:f>
      </x:c>
      <x:c r="D590" s="51" t="str">
        <x:f>IF(582&gt;$H$4,"",IF(INDEX('Fleet dates'!$D$9:$D$1008,$I590-8)="","",INDEX('Fleet dates'!$D$9:$D$1008,$I590-8)))</x:f>
      </x:c>
      <x:c r="E590" s="51" t="str">
        <x:f>IF(582&gt;$H$4,"",IF(INDEX('Fleet dates'!$E$9:$E$1008,$I590-8)="","",INDEX('Fleet dates'!$E$9:$E$1008,$I590-8)))</x:f>
      </x:c>
      <x:c r="F590" s="51" t="str">
        <x:f>IF(582&gt;$H$4,"",IF(INDEX('Fleet dates'!$F$9:$F$1008,$I590-8)="","",INDEX('Fleet dates'!$F$9:$F$1008,$I590-8)))</x:f>
      </x:c>
      <x:c r="G590" s="50" t="str">
        <x:f>IF(582&gt;$H$4,"",IF(INDEX('Fleet dates'!$G$9:$G$1008,$I590-8)="","",INDEX('Fleet dates'!$G$9:$G$1008,$I590-8)))</x:f>
      </x:c>
      <x:c r="H590" s="50" t="str">
        <x:f>IF(582&gt;$H$4,"",IF(INDEX('Fleet dates'!$I$9:$I$1008,$I590-8)="","",INDEX('Fleet dates'!$I$9:$I$1008,$I590-8)))</x:f>
      </x:c>
      <x:c r="I590" t="str">
        <x:f>IF(582&gt;$H$4,"",MATCH(582,'Fleet dates'!$K$9:$K$1008,0)+8)</x:f>
      </x:c>
    </x:row>
    <x:row r="591" ht="36" customHeight="1">
      <x:c r="A591" s="50" t="str">
        <x:f>IF(583&gt;$H$4,"",IF(INDEX('Fleet dates'!$A$9:$A$1008,$I591-8)="","",INDEX('Fleet dates'!$A$9:$A$1008,$I591-8)))</x:f>
      </x:c>
      <x:c r="B591" s="50" t="str">
        <x:f>IF(583&gt;$H$4,"",IF(INDEX('Fleet dates'!$B$9:$B$1008,$I591-8)="","",INDEX('Fleet dates'!$B$9:$B$1008,$I591-8)))</x:f>
      </x:c>
      <x:c r="C591" s="51" t="str">
        <x:f>IF(583&gt;$H$4,"",IF(INDEX('Fleet dates'!$C$9:$C$1008,$I591-8)="","",INDEX('Fleet dates'!$C$9:$C$1008,$I591-8)))</x:f>
      </x:c>
      <x:c r="D591" s="51" t="str">
        <x:f>IF(583&gt;$H$4,"",IF(INDEX('Fleet dates'!$D$9:$D$1008,$I591-8)="","",INDEX('Fleet dates'!$D$9:$D$1008,$I591-8)))</x:f>
      </x:c>
      <x:c r="E591" s="51" t="str">
        <x:f>IF(583&gt;$H$4,"",IF(INDEX('Fleet dates'!$E$9:$E$1008,$I591-8)="","",INDEX('Fleet dates'!$E$9:$E$1008,$I591-8)))</x:f>
      </x:c>
      <x:c r="F591" s="51" t="str">
        <x:f>IF(583&gt;$H$4,"",IF(INDEX('Fleet dates'!$F$9:$F$1008,$I591-8)="","",INDEX('Fleet dates'!$F$9:$F$1008,$I591-8)))</x:f>
      </x:c>
      <x:c r="G591" s="50" t="str">
        <x:f>IF(583&gt;$H$4,"",IF(INDEX('Fleet dates'!$G$9:$G$1008,$I591-8)="","",INDEX('Fleet dates'!$G$9:$G$1008,$I591-8)))</x:f>
      </x:c>
      <x:c r="H591" s="50" t="str">
        <x:f>IF(583&gt;$H$4,"",IF(INDEX('Fleet dates'!$I$9:$I$1008,$I591-8)="","",INDEX('Fleet dates'!$I$9:$I$1008,$I591-8)))</x:f>
      </x:c>
      <x:c r="I591" t="str">
        <x:f>IF(583&gt;$H$4,"",MATCH(583,'Fleet dates'!$K$9:$K$1008,0)+8)</x:f>
      </x:c>
    </x:row>
    <x:row r="592" ht="36" customHeight="1">
      <x:c r="A592" s="50" t="str">
        <x:f>IF(584&gt;$H$4,"",IF(INDEX('Fleet dates'!$A$9:$A$1008,$I592-8)="","",INDEX('Fleet dates'!$A$9:$A$1008,$I592-8)))</x:f>
      </x:c>
      <x:c r="B592" s="50" t="str">
        <x:f>IF(584&gt;$H$4,"",IF(INDEX('Fleet dates'!$B$9:$B$1008,$I592-8)="","",INDEX('Fleet dates'!$B$9:$B$1008,$I592-8)))</x:f>
      </x:c>
      <x:c r="C592" s="51" t="str">
        <x:f>IF(584&gt;$H$4,"",IF(INDEX('Fleet dates'!$C$9:$C$1008,$I592-8)="","",INDEX('Fleet dates'!$C$9:$C$1008,$I592-8)))</x:f>
      </x:c>
      <x:c r="D592" s="51" t="str">
        <x:f>IF(584&gt;$H$4,"",IF(INDEX('Fleet dates'!$D$9:$D$1008,$I592-8)="","",INDEX('Fleet dates'!$D$9:$D$1008,$I592-8)))</x:f>
      </x:c>
      <x:c r="E592" s="51" t="str">
        <x:f>IF(584&gt;$H$4,"",IF(INDEX('Fleet dates'!$E$9:$E$1008,$I592-8)="","",INDEX('Fleet dates'!$E$9:$E$1008,$I592-8)))</x:f>
      </x:c>
      <x:c r="F592" s="51" t="str">
        <x:f>IF(584&gt;$H$4,"",IF(INDEX('Fleet dates'!$F$9:$F$1008,$I592-8)="","",INDEX('Fleet dates'!$F$9:$F$1008,$I592-8)))</x:f>
      </x:c>
      <x:c r="G592" s="50" t="str">
        <x:f>IF(584&gt;$H$4,"",IF(INDEX('Fleet dates'!$G$9:$G$1008,$I592-8)="","",INDEX('Fleet dates'!$G$9:$G$1008,$I592-8)))</x:f>
      </x:c>
      <x:c r="H592" s="50" t="str">
        <x:f>IF(584&gt;$H$4,"",IF(INDEX('Fleet dates'!$I$9:$I$1008,$I592-8)="","",INDEX('Fleet dates'!$I$9:$I$1008,$I592-8)))</x:f>
      </x:c>
      <x:c r="I592" t="str">
        <x:f>IF(584&gt;$H$4,"",MATCH(584,'Fleet dates'!$K$9:$K$1008,0)+8)</x:f>
      </x:c>
    </x:row>
    <x:row r="593" ht="36" customHeight="1">
      <x:c r="A593" s="50" t="str">
        <x:f>IF(585&gt;$H$4,"",IF(INDEX('Fleet dates'!$A$9:$A$1008,$I593-8)="","",INDEX('Fleet dates'!$A$9:$A$1008,$I593-8)))</x:f>
      </x:c>
      <x:c r="B593" s="50" t="str">
        <x:f>IF(585&gt;$H$4,"",IF(INDEX('Fleet dates'!$B$9:$B$1008,$I593-8)="","",INDEX('Fleet dates'!$B$9:$B$1008,$I593-8)))</x:f>
      </x:c>
      <x:c r="C593" s="51" t="str">
        <x:f>IF(585&gt;$H$4,"",IF(INDEX('Fleet dates'!$C$9:$C$1008,$I593-8)="","",INDEX('Fleet dates'!$C$9:$C$1008,$I593-8)))</x:f>
      </x:c>
      <x:c r="D593" s="51" t="str">
        <x:f>IF(585&gt;$H$4,"",IF(INDEX('Fleet dates'!$D$9:$D$1008,$I593-8)="","",INDEX('Fleet dates'!$D$9:$D$1008,$I593-8)))</x:f>
      </x:c>
      <x:c r="E593" s="51" t="str">
        <x:f>IF(585&gt;$H$4,"",IF(INDEX('Fleet dates'!$E$9:$E$1008,$I593-8)="","",INDEX('Fleet dates'!$E$9:$E$1008,$I593-8)))</x:f>
      </x:c>
      <x:c r="F593" s="51" t="str">
        <x:f>IF(585&gt;$H$4,"",IF(INDEX('Fleet dates'!$F$9:$F$1008,$I593-8)="","",INDEX('Fleet dates'!$F$9:$F$1008,$I593-8)))</x:f>
      </x:c>
      <x:c r="G593" s="50" t="str">
        <x:f>IF(585&gt;$H$4,"",IF(INDEX('Fleet dates'!$G$9:$G$1008,$I593-8)="","",INDEX('Fleet dates'!$G$9:$G$1008,$I593-8)))</x:f>
      </x:c>
      <x:c r="H593" s="50" t="str">
        <x:f>IF(585&gt;$H$4,"",IF(INDEX('Fleet dates'!$I$9:$I$1008,$I593-8)="","",INDEX('Fleet dates'!$I$9:$I$1008,$I593-8)))</x:f>
      </x:c>
      <x:c r="I593" t="str">
        <x:f>IF(585&gt;$H$4,"",MATCH(585,'Fleet dates'!$K$9:$K$1008,0)+8)</x:f>
      </x:c>
    </x:row>
    <x:row r="594" ht="36" customHeight="1">
      <x:c r="A594" s="50" t="str">
        <x:f>IF(586&gt;$H$4,"",IF(INDEX('Fleet dates'!$A$9:$A$1008,$I594-8)="","",INDEX('Fleet dates'!$A$9:$A$1008,$I594-8)))</x:f>
      </x:c>
      <x:c r="B594" s="50" t="str">
        <x:f>IF(586&gt;$H$4,"",IF(INDEX('Fleet dates'!$B$9:$B$1008,$I594-8)="","",INDEX('Fleet dates'!$B$9:$B$1008,$I594-8)))</x:f>
      </x:c>
      <x:c r="C594" s="51" t="str">
        <x:f>IF(586&gt;$H$4,"",IF(INDEX('Fleet dates'!$C$9:$C$1008,$I594-8)="","",INDEX('Fleet dates'!$C$9:$C$1008,$I594-8)))</x:f>
      </x:c>
      <x:c r="D594" s="51" t="str">
        <x:f>IF(586&gt;$H$4,"",IF(INDEX('Fleet dates'!$D$9:$D$1008,$I594-8)="","",INDEX('Fleet dates'!$D$9:$D$1008,$I594-8)))</x:f>
      </x:c>
      <x:c r="E594" s="51" t="str">
        <x:f>IF(586&gt;$H$4,"",IF(INDEX('Fleet dates'!$E$9:$E$1008,$I594-8)="","",INDEX('Fleet dates'!$E$9:$E$1008,$I594-8)))</x:f>
      </x:c>
      <x:c r="F594" s="51" t="str">
        <x:f>IF(586&gt;$H$4,"",IF(INDEX('Fleet dates'!$F$9:$F$1008,$I594-8)="","",INDEX('Fleet dates'!$F$9:$F$1008,$I594-8)))</x:f>
      </x:c>
      <x:c r="G594" s="50" t="str">
        <x:f>IF(586&gt;$H$4,"",IF(INDEX('Fleet dates'!$G$9:$G$1008,$I594-8)="","",INDEX('Fleet dates'!$G$9:$G$1008,$I594-8)))</x:f>
      </x:c>
      <x:c r="H594" s="50" t="str">
        <x:f>IF(586&gt;$H$4,"",IF(INDEX('Fleet dates'!$I$9:$I$1008,$I594-8)="","",INDEX('Fleet dates'!$I$9:$I$1008,$I594-8)))</x:f>
      </x:c>
      <x:c r="I594" t="str">
        <x:f>IF(586&gt;$H$4,"",MATCH(586,'Fleet dates'!$K$9:$K$1008,0)+8)</x:f>
      </x:c>
    </x:row>
    <x:row r="595" ht="36" customHeight="1">
      <x:c r="A595" s="50" t="str">
        <x:f>IF(587&gt;$H$4,"",IF(INDEX('Fleet dates'!$A$9:$A$1008,$I595-8)="","",INDEX('Fleet dates'!$A$9:$A$1008,$I595-8)))</x:f>
      </x:c>
      <x:c r="B595" s="50" t="str">
        <x:f>IF(587&gt;$H$4,"",IF(INDEX('Fleet dates'!$B$9:$B$1008,$I595-8)="","",INDEX('Fleet dates'!$B$9:$B$1008,$I595-8)))</x:f>
      </x:c>
      <x:c r="C595" s="51" t="str">
        <x:f>IF(587&gt;$H$4,"",IF(INDEX('Fleet dates'!$C$9:$C$1008,$I595-8)="","",INDEX('Fleet dates'!$C$9:$C$1008,$I595-8)))</x:f>
      </x:c>
      <x:c r="D595" s="51" t="str">
        <x:f>IF(587&gt;$H$4,"",IF(INDEX('Fleet dates'!$D$9:$D$1008,$I595-8)="","",INDEX('Fleet dates'!$D$9:$D$1008,$I595-8)))</x:f>
      </x:c>
      <x:c r="E595" s="51" t="str">
        <x:f>IF(587&gt;$H$4,"",IF(INDEX('Fleet dates'!$E$9:$E$1008,$I595-8)="","",INDEX('Fleet dates'!$E$9:$E$1008,$I595-8)))</x:f>
      </x:c>
      <x:c r="F595" s="51" t="str">
        <x:f>IF(587&gt;$H$4,"",IF(INDEX('Fleet dates'!$F$9:$F$1008,$I595-8)="","",INDEX('Fleet dates'!$F$9:$F$1008,$I595-8)))</x:f>
      </x:c>
      <x:c r="G595" s="50" t="str">
        <x:f>IF(587&gt;$H$4,"",IF(INDEX('Fleet dates'!$G$9:$G$1008,$I595-8)="","",INDEX('Fleet dates'!$G$9:$G$1008,$I595-8)))</x:f>
      </x:c>
      <x:c r="H595" s="50" t="str">
        <x:f>IF(587&gt;$H$4,"",IF(INDEX('Fleet dates'!$I$9:$I$1008,$I595-8)="","",INDEX('Fleet dates'!$I$9:$I$1008,$I595-8)))</x:f>
      </x:c>
      <x:c r="I595" t="str">
        <x:f>IF(587&gt;$H$4,"",MATCH(587,'Fleet dates'!$K$9:$K$1008,0)+8)</x:f>
      </x:c>
    </x:row>
    <x:row r="596" ht="36" customHeight="1">
      <x:c r="A596" s="50" t="str">
        <x:f>IF(588&gt;$H$4,"",IF(INDEX('Fleet dates'!$A$9:$A$1008,$I596-8)="","",INDEX('Fleet dates'!$A$9:$A$1008,$I596-8)))</x:f>
      </x:c>
      <x:c r="B596" s="50" t="str">
        <x:f>IF(588&gt;$H$4,"",IF(INDEX('Fleet dates'!$B$9:$B$1008,$I596-8)="","",INDEX('Fleet dates'!$B$9:$B$1008,$I596-8)))</x:f>
      </x:c>
      <x:c r="C596" s="51" t="str">
        <x:f>IF(588&gt;$H$4,"",IF(INDEX('Fleet dates'!$C$9:$C$1008,$I596-8)="","",INDEX('Fleet dates'!$C$9:$C$1008,$I596-8)))</x:f>
      </x:c>
      <x:c r="D596" s="51" t="str">
        <x:f>IF(588&gt;$H$4,"",IF(INDEX('Fleet dates'!$D$9:$D$1008,$I596-8)="","",INDEX('Fleet dates'!$D$9:$D$1008,$I596-8)))</x:f>
      </x:c>
      <x:c r="E596" s="51" t="str">
        <x:f>IF(588&gt;$H$4,"",IF(INDEX('Fleet dates'!$E$9:$E$1008,$I596-8)="","",INDEX('Fleet dates'!$E$9:$E$1008,$I596-8)))</x:f>
      </x:c>
      <x:c r="F596" s="51" t="str">
        <x:f>IF(588&gt;$H$4,"",IF(INDEX('Fleet dates'!$F$9:$F$1008,$I596-8)="","",INDEX('Fleet dates'!$F$9:$F$1008,$I596-8)))</x:f>
      </x:c>
      <x:c r="G596" s="50" t="str">
        <x:f>IF(588&gt;$H$4,"",IF(INDEX('Fleet dates'!$G$9:$G$1008,$I596-8)="","",INDEX('Fleet dates'!$G$9:$G$1008,$I596-8)))</x:f>
      </x:c>
      <x:c r="H596" s="50" t="str">
        <x:f>IF(588&gt;$H$4,"",IF(INDEX('Fleet dates'!$I$9:$I$1008,$I596-8)="","",INDEX('Fleet dates'!$I$9:$I$1008,$I596-8)))</x:f>
      </x:c>
      <x:c r="I596" t="str">
        <x:f>IF(588&gt;$H$4,"",MATCH(588,'Fleet dates'!$K$9:$K$1008,0)+8)</x:f>
      </x:c>
    </x:row>
    <x:row r="597" ht="36" customHeight="1">
      <x:c r="A597" s="50" t="str">
        <x:f>IF(589&gt;$H$4,"",IF(INDEX('Fleet dates'!$A$9:$A$1008,$I597-8)="","",INDEX('Fleet dates'!$A$9:$A$1008,$I597-8)))</x:f>
      </x:c>
      <x:c r="B597" s="50" t="str">
        <x:f>IF(589&gt;$H$4,"",IF(INDEX('Fleet dates'!$B$9:$B$1008,$I597-8)="","",INDEX('Fleet dates'!$B$9:$B$1008,$I597-8)))</x:f>
      </x:c>
      <x:c r="C597" s="51" t="str">
        <x:f>IF(589&gt;$H$4,"",IF(INDEX('Fleet dates'!$C$9:$C$1008,$I597-8)="","",INDEX('Fleet dates'!$C$9:$C$1008,$I597-8)))</x:f>
      </x:c>
      <x:c r="D597" s="51" t="str">
        <x:f>IF(589&gt;$H$4,"",IF(INDEX('Fleet dates'!$D$9:$D$1008,$I597-8)="","",INDEX('Fleet dates'!$D$9:$D$1008,$I597-8)))</x:f>
      </x:c>
      <x:c r="E597" s="51" t="str">
        <x:f>IF(589&gt;$H$4,"",IF(INDEX('Fleet dates'!$E$9:$E$1008,$I597-8)="","",INDEX('Fleet dates'!$E$9:$E$1008,$I597-8)))</x:f>
      </x:c>
      <x:c r="F597" s="51" t="str">
        <x:f>IF(589&gt;$H$4,"",IF(INDEX('Fleet dates'!$F$9:$F$1008,$I597-8)="","",INDEX('Fleet dates'!$F$9:$F$1008,$I597-8)))</x:f>
      </x:c>
      <x:c r="G597" s="50" t="str">
        <x:f>IF(589&gt;$H$4,"",IF(INDEX('Fleet dates'!$G$9:$G$1008,$I597-8)="","",INDEX('Fleet dates'!$G$9:$G$1008,$I597-8)))</x:f>
      </x:c>
      <x:c r="H597" s="50" t="str">
        <x:f>IF(589&gt;$H$4,"",IF(INDEX('Fleet dates'!$I$9:$I$1008,$I597-8)="","",INDEX('Fleet dates'!$I$9:$I$1008,$I597-8)))</x:f>
      </x:c>
      <x:c r="I597" t="str">
        <x:f>IF(589&gt;$H$4,"",MATCH(589,'Fleet dates'!$K$9:$K$1008,0)+8)</x:f>
      </x:c>
    </x:row>
    <x:row r="598" ht="36" customHeight="1">
      <x:c r="A598" s="50" t="str">
        <x:f>IF(590&gt;$H$4,"",IF(INDEX('Fleet dates'!$A$9:$A$1008,$I598-8)="","",INDEX('Fleet dates'!$A$9:$A$1008,$I598-8)))</x:f>
      </x:c>
      <x:c r="B598" s="50" t="str">
        <x:f>IF(590&gt;$H$4,"",IF(INDEX('Fleet dates'!$B$9:$B$1008,$I598-8)="","",INDEX('Fleet dates'!$B$9:$B$1008,$I598-8)))</x:f>
      </x:c>
      <x:c r="C598" s="51" t="str">
        <x:f>IF(590&gt;$H$4,"",IF(INDEX('Fleet dates'!$C$9:$C$1008,$I598-8)="","",INDEX('Fleet dates'!$C$9:$C$1008,$I598-8)))</x:f>
      </x:c>
      <x:c r="D598" s="51" t="str">
        <x:f>IF(590&gt;$H$4,"",IF(INDEX('Fleet dates'!$D$9:$D$1008,$I598-8)="","",INDEX('Fleet dates'!$D$9:$D$1008,$I598-8)))</x:f>
      </x:c>
      <x:c r="E598" s="51" t="str">
        <x:f>IF(590&gt;$H$4,"",IF(INDEX('Fleet dates'!$E$9:$E$1008,$I598-8)="","",INDEX('Fleet dates'!$E$9:$E$1008,$I598-8)))</x:f>
      </x:c>
      <x:c r="F598" s="51" t="str">
        <x:f>IF(590&gt;$H$4,"",IF(INDEX('Fleet dates'!$F$9:$F$1008,$I598-8)="","",INDEX('Fleet dates'!$F$9:$F$1008,$I598-8)))</x:f>
      </x:c>
      <x:c r="G598" s="50" t="str">
        <x:f>IF(590&gt;$H$4,"",IF(INDEX('Fleet dates'!$G$9:$G$1008,$I598-8)="","",INDEX('Fleet dates'!$G$9:$G$1008,$I598-8)))</x:f>
      </x:c>
      <x:c r="H598" s="50" t="str">
        <x:f>IF(590&gt;$H$4,"",IF(INDEX('Fleet dates'!$I$9:$I$1008,$I598-8)="","",INDEX('Fleet dates'!$I$9:$I$1008,$I598-8)))</x:f>
      </x:c>
      <x:c r="I598" t="str">
        <x:f>IF(590&gt;$H$4,"",MATCH(590,'Fleet dates'!$K$9:$K$1008,0)+8)</x:f>
      </x:c>
    </x:row>
    <x:row r="599" ht="36" customHeight="1">
      <x:c r="A599" s="50" t="str">
        <x:f>IF(591&gt;$H$4,"",IF(INDEX('Fleet dates'!$A$9:$A$1008,$I599-8)="","",INDEX('Fleet dates'!$A$9:$A$1008,$I599-8)))</x:f>
      </x:c>
      <x:c r="B599" s="50" t="str">
        <x:f>IF(591&gt;$H$4,"",IF(INDEX('Fleet dates'!$B$9:$B$1008,$I599-8)="","",INDEX('Fleet dates'!$B$9:$B$1008,$I599-8)))</x:f>
      </x:c>
      <x:c r="C599" s="51" t="str">
        <x:f>IF(591&gt;$H$4,"",IF(INDEX('Fleet dates'!$C$9:$C$1008,$I599-8)="","",INDEX('Fleet dates'!$C$9:$C$1008,$I599-8)))</x:f>
      </x:c>
      <x:c r="D599" s="51" t="str">
        <x:f>IF(591&gt;$H$4,"",IF(INDEX('Fleet dates'!$D$9:$D$1008,$I599-8)="","",INDEX('Fleet dates'!$D$9:$D$1008,$I599-8)))</x:f>
      </x:c>
      <x:c r="E599" s="51" t="str">
        <x:f>IF(591&gt;$H$4,"",IF(INDEX('Fleet dates'!$E$9:$E$1008,$I599-8)="","",INDEX('Fleet dates'!$E$9:$E$1008,$I599-8)))</x:f>
      </x:c>
      <x:c r="F599" s="51" t="str">
        <x:f>IF(591&gt;$H$4,"",IF(INDEX('Fleet dates'!$F$9:$F$1008,$I599-8)="","",INDEX('Fleet dates'!$F$9:$F$1008,$I599-8)))</x:f>
      </x:c>
      <x:c r="G599" s="50" t="str">
        <x:f>IF(591&gt;$H$4,"",IF(INDEX('Fleet dates'!$G$9:$G$1008,$I599-8)="","",INDEX('Fleet dates'!$G$9:$G$1008,$I599-8)))</x:f>
      </x:c>
      <x:c r="H599" s="50" t="str">
        <x:f>IF(591&gt;$H$4,"",IF(INDEX('Fleet dates'!$I$9:$I$1008,$I599-8)="","",INDEX('Fleet dates'!$I$9:$I$1008,$I599-8)))</x:f>
      </x:c>
      <x:c r="I599" t="str">
        <x:f>IF(591&gt;$H$4,"",MATCH(591,'Fleet dates'!$K$9:$K$1008,0)+8)</x:f>
      </x:c>
    </x:row>
    <x:row r="600" ht="36" customHeight="1">
      <x:c r="A600" s="50" t="str">
        <x:f>IF(592&gt;$H$4,"",IF(INDEX('Fleet dates'!$A$9:$A$1008,$I600-8)="","",INDEX('Fleet dates'!$A$9:$A$1008,$I600-8)))</x:f>
      </x:c>
      <x:c r="B600" s="50" t="str">
        <x:f>IF(592&gt;$H$4,"",IF(INDEX('Fleet dates'!$B$9:$B$1008,$I600-8)="","",INDEX('Fleet dates'!$B$9:$B$1008,$I600-8)))</x:f>
      </x:c>
      <x:c r="C600" s="51" t="str">
        <x:f>IF(592&gt;$H$4,"",IF(INDEX('Fleet dates'!$C$9:$C$1008,$I600-8)="","",INDEX('Fleet dates'!$C$9:$C$1008,$I600-8)))</x:f>
      </x:c>
      <x:c r="D600" s="51" t="str">
        <x:f>IF(592&gt;$H$4,"",IF(INDEX('Fleet dates'!$D$9:$D$1008,$I600-8)="","",INDEX('Fleet dates'!$D$9:$D$1008,$I600-8)))</x:f>
      </x:c>
      <x:c r="E600" s="51" t="str">
        <x:f>IF(592&gt;$H$4,"",IF(INDEX('Fleet dates'!$E$9:$E$1008,$I600-8)="","",INDEX('Fleet dates'!$E$9:$E$1008,$I600-8)))</x:f>
      </x:c>
      <x:c r="F600" s="51" t="str">
        <x:f>IF(592&gt;$H$4,"",IF(INDEX('Fleet dates'!$F$9:$F$1008,$I600-8)="","",INDEX('Fleet dates'!$F$9:$F$1008,$I600-8)))</x:f>
      </x:c>
      <x:c r="G600" s="50" t="str">
        <x:f>IF(592&gt;$H$4,"",IF(INDEX('Fleet dates'!$G$9:$G$1008,$I600-8)="","",INDEX('Fleet dates'!$G$9:$G$1008,$I600-8)))</x:f>
      </x:c>
      <x:c r="H600" s="50" t="str">
        <x:f>IF(592&gt;$H$4,"",IF(INDEX('Fleet dates'!$I$9:$I$1008,$I600-8)="","",INDEX('Fleet dates'!$I$9:$I$1008,$I600-8)))</x:f>
      </x:c>
      <x:c r="I600" t="str">
        <x:f>IF(592&gt;$H$4,"",MATCH(592,'Fleet dates'!$K$9:$K$1008,0)+8)</x:f>
      </x:c>
    </x:row>
    <x:row r="601" ht="36" customHeight="1">
      <x:c r="A601" s="50" t="str">
        <x:f>IF(593&gt;$H$4,"",IF(INDEX('Fleet dates'!$A$9:$A$1008,$I601-8)="","",INDEX('Fleet dates'!$A$9:$A$1008,$I601-8)))</x:f>
      </x:c>
      <x:c r="B601" s="50" t="str">
        <x:f>IF(593&gt;$H$4,"",IF(INDEX('Fleet dates'!$B$9:$B$1008,$I601-8)="","",INDEX('Fleet dates'!$B$9:$B$1008,$I601-8)))</x:f>
      </x:c>
      <x:c r="C601" s="51" t="str">
        <x:f>IF(593&gt;$H$4,"",IF(INDEX('Fleet dates'!$C$9:$C$1008,$I601-8)="","",INDEX('Fleet dates'!$C$9:$C$1008,$I601-8)))</x:f>
      </x:c>
      <x:c r="D601" s="51" t="str">
        <x:f>IF(593&gt;$H$4,"",IF(INDEX('Fleet dates'!$D$9:$D$1008,$I601-8)="","",INDEX('Fleet dates'!$D$9:$D$1008,$I601-8)))</x:f>
      </x:c>
      <x:c r="E601" s="51" t="str">
        <x:f>IF(593&gt;$H$4,"",IF(INDEX('Fleet dates'!$E$9:$E$1008,$I601-8)="","",INDEX('Fleet dates'!$E$9:$E$1008,$I601-8)))</x:f>
      </x:c>
      <x:c r="F601" s="51" t="str">
        <x:f>IF(593&gt;$H$4,"",IF(INDEX('Fleet dates'!$F$9:$F$1008,$I601-8)="","",INDEX('Fleet dates'!$F$9:$F$1008,$I601-8)))</x:f>
      </x:c>
      <x:c r="G601" s="50" t="str">
        <x:f>IF(593&gt;$H$4,"",IF(INDEX('Fleet dates'!$G$9:$G$1008,$I601-8)="","",INDEX('Fleet dates'!$G$9:$G$1008,$I601-8)))</x:f>
      </x:c>
      <x:c r="H601" s="50" t="str">
        <x:f>IF(593&gt;$H$4,"",IF(INDEX('Fleet dates'!$I$9:$I$1008,$I601-8)="","",INDEX('Fleet dates'!$I$9:$I$1008,$I601-8)))</x:f>
      </x:c>
      <x:c r="I601" t="str">
        <x:f>IF(593&gt;$H$4,"",MATCH(593,'Fleet dates'!$K$9:$K$1008,0)+8)</x:f>
      </x:c>
    </x:row>
    <x:row r="602" ht="36" customHeight="1">
      <x:c r="A602" s="50" t="str">
        <x:f>IF(594&gt;$H$4,"",IF(INDEX('Fleet dates'!$A$9:$A$1008,$I602-8)="","",INDEX('Fleet dates'!$A$9:$A$1008,$I602-8)))</x:f>
      </x:c>
      <x:c r="B602" s="50" t="str">
        <x:f>IF(594&gt;$H$4,"",IF(INDEX('Fleet dates'!$B$9:$B$1008,$I602-8)="","",INDEX('Fleet dates'!$B$9:$B$1008,$I602-8)))</x:f>
      </x:c>
      <x:c r="C602" s="51" t="str">
        <x:f>IF(594&gt;$H$4,"",IF(INDEX('Fleet dates'!$C$9:$C$1008,$I602-8)="","",INDEX('Fleet dates'!$C$9:$C$1008,$I602-8)))</x:f>
      </x:c>
      <x:c r="D602" s="51" t="str">
        <x:f>IF(594&gt;$H$4,"",IF(INDEX('Fleet dates'!$D$9:$D$1008,$I602-8)="","",INDEX('Fleet dates'!$D$9:$D$1008,$I602-8)))</x:f>
      </x:c>
      <x:c r="E602" s="51" t="str">
        <x:f>IF(594&gt;$H$4,"",IF(INDEX('Fleet dates'!$E$9:$E$1008,$I602-8)="","",INDEX('Fleet dates'!$E$9:$E$1008,$I602-8)))</x:f>
      </x:c>
      <x:c r="F602" s="51" t="str">
        <x:f>IF(594&gt;$H$4,"",IF(INDEX('Fleet dates'!$F$9:$F$1008,$I602-8)="","",INDEX('Fleet dates'!$F$9:$F$1008,$I602-8)))</x:f>
      </x:c>
      <x:c r="G602" s="50" t="str">
        <x:f>IF(594&gt;$H$4,"",IF(INDEX('Fleet dates'!$G$9:$G$1008,$I602-8)="","",INDEX('Fleet dates'!$G$9:$G$1008,$I602-8)))</x:f>
      </x:c>
      <x:c r="H602" s="50" t="str">
        <x:f>IF(594&gt;$H$4,"",IF(INDEX('Fleet dates'!$I$9:$I$1008,$I602-8)="","",INDEX('Fleet dates'!$I$9:$I$1008,$I602-8)))</x:f>
      </x:c>
      <x:c r="I602" t="str">
        <x:f>IF(594&gt;$H$4,"",MATCH(594,'Fleet dates'!$K$9:$K$1008,0)+8)</x:f>
      </x:c>
    </x:row>
    <x:row r="603" ht="36" customHeight="1">
      <x:c r="A603" s="50" t="str">
        <x:f>IF(595&gt;$H$4,"",IF(INDEX('Fleet dates'!$A$9:$A$1008,$I603-8)="","",INDEX('Fleet dates'!$A$9:$A$1008,$I603-8)))</x:f>
      </x:c>
      <x:c r="B603" s="50" t="str">
        <x:f>IF(595&gt;$H$4,"",IF(INDEX('Fleet dates'!$B$9:$B$1008,$I603-8)="","",INDEX('Fleet dates'!$B$9:$B$1008,$I603-8)))</x:f>
      </x:c>
      <x:c r="C603" s="51" t="str">
        <x:f>IF(595&gt;$H$4,"",IF(INDEX('Fleet dates'!$C$9:$C$1008,$I603-8)="","",INDEX('Fleet dates'!$C$9:$C$1008,$I603-8)))</x:f>
      </x:c>
      <x:c r="D603" s="51" t="str">
        <x:f>IF(595&gt;$H$4,"",IF(INDEX('Fleet dates'!$D$9:$D$1008,$I603-8)="","",INDEX('Fleet dates'!$D$9:$D$1008,$I603-8)))</x:f>
      </x:c>
      <x:c r="E603" s="51" t="str">
        <x:f>IF(595&gt;$H$4,"",IF(INDEX('Fleet dates'!$E$9:$E$1008,$I603-8)="","",INDEX('Fleet dates'!$E$9:$E$1008,$I603-8)))</x:f>
      </x:c>
      <x:c r="F603" s="51" t="str">
        <x:f>IF(595&gt;$H$4,"",IF(INDEX('Fleet dates'!$F$9:$F$1008,$I603-8)="","",INDEX('Fleet dates'!$F$9:$F$1008,$I603-8)))</x:f>
      </x:c>
      <x:c r="G603" s="50" t="str">
        <x:f>IF(595&gt;$H$4,"",IF(INDEX('Fleet dates'!$G$9:$G$1008,$I603-8)="","",INDEX('Fleet dates'!$G$9:$G$1008,$I603-8)))</x:f>
      </x:c>
      <x:c r="H603" s="50" t="str">
        <x:f>IF(595&gt;$H$4,"",IF(INDEX('Fleet dates'!$I$9:$I$1008,$I603-8)="","",INDEX('Fleet dates'!$I$9:$I$1008,$I603-8)))</x:f>
      </x:c>
      <x:c r="I603" t="str">
        <x:f>IF(595&gt;$H$4,"",MATCH(595,'Fleet dates'!$K$9:$K$1008,0)+8)</x:f>
      </x:c>
    </x:row>
    <x:row r="604" ht="36" customHeight="1">
      <x:c r="A604" s="50" t="str">
        <x:f>IF(596&gt;$H$4,"",IF(INDEX('Fleet dates'!$A$9:$A$1008,$I604-8)="","",INDEX('Fleet dates'!$A$9:$A$1008,$I604-8)))</x:f>
      </x:c>
      <x:c r="B604" s="50" t="str">
        <x:f>IF(596&gt;$H$4,"",IF(INDEX('Fleet dates'!$B$9:$B$1008,$I604-8)="","",INDEX('Fleet dates'!$B$9:$B$1008,$I604-8)))</x:f>
      </x:c>
      <x:c r="C604" s="51" t="str">
        <x:f>IF(596&gt;$H$4,"",IF(INDEX('Fleet dates'!$C$9:$C$1008,$I604-8)="","",INDEX('Fleet dates'!$C$9:$C$1008,$I604-8)))</x:f>
      </x:c>
      <x:c r="D604" s="51" t="str">
        <x:f>IF(596&gt;$H$4,"",IF(INDEX('Fleet dates'!$D$9:$D$1008,$I604-8)="","",INDEX('Fleet dates'!$D$9:$D$1008,$I604-8)))</x:f>
      </x:c>
      <x:c r="E604" s="51" t="str">
        <x:f>IF(596&gt;$H$4,"",IF(INDEX('Fleet dates'!$E$9:$E$1008,$I604-8)="","",INDEX('Fleet dates'!$E$9:$E$1008,$I604-8)))</x:f>
      </x:c>
      <x:c r="F604" s="51" t="str">
        <x:f>IF(596&gt;$H$4,"",IF(INDEX('Fleet dates'!$F$9:$F$1008,$I604-8)="","",INDEX('Fleet dates'!$F$9:$F$1008,$I604-8)))</x:f>
      </x:c>
      <x:c r="G604" s="50" t="str">
        <x:f>IF(596&gt;$H$4,"",IF(INDEX('Fleet dates'!$G$9:$G$1008,$I604-8)="","",INDEX('Fleet dates'!$G$9:$G$1008,$I604-8)))</x:f>
      </x:c>
      <x:c r="H604" s="50" t="str">
        <x:f>IF(596&gt;$H$4,"",IF(INDEX('Fleet dates'!$I$9:$I$1008,$I604-8)="","",INDEX('Fleet dates'!$I$9:$I$1008,$I604-8)))</x:f>
      </x:c>
      <x:c r="I604" t="str">
        <x:f>IF(596&gt;$H$4,"",MATCH(596,'Fleet dates'!$K$9:$K$1008,0)+8)</x:f>
      </x:c>
    </x:row>
    <x:row r="605" ht="36" customHeight="1">
      <x:c r="A605" s="50" t="str">
        <x:f>IF(597&gt;$H$4,"",IF(INDEX('Fleet dates'!$A$9:$A$1008,$I605-8)="","",INDEX('Fleet dates'!$A$9:$A$1008,$I605-8)))</x:f>
      </x:c>
      <x:c r="B605" s="50" t="str">
        <x:f>IF(597&gt;$H$4,"",IF(INDEX('Fleet dates'!$B$9:$B$1008,$I605-8)="","",INDEX('Fleet dates'!$B$9:$B$1008,$I605-8)))</x:f>
      </x:c>
      <x:c r="C605" s="51" t="str">
        <x:f>IF(597&gt;$H$4,"",IF(INDEX('Fleet dates'!$C$9:$C$1008,$I605-8)="","",INDEX('Fleet dates'!$C$9:$C$1008,$I605-8)))</x:f>
      </x:c>
      <x:c r="D605" s="51" t="str">
        <x:f>IF(597&gt;$H$4,"",IF(INDEX('Fleet dates'!$D$9:$D$1008,$I605-8)="","",INDEX('Fleet dates'!$D$9:$D$1008,$I605-8)))</x:f>
      </x:c>
      <x:c r="E605" s="51" t="str">
        <x:f>IF(597&gt;$H$4,"",IF(INDEX('Fleet dates'!$E$9:$E$1008,$I605-8)="","",INDEX('Fleet dates'!$E$9:$E$1008,$I605-8)))</x:f>
      </x:c>
      <x:c r="F605" s="51" t="str">
        <x:f>IF(597&gt;$H$4,"",IF(INDEX('Fleet dates'!$F$9:$F$1008,$I605-8)="","",INDEX('Fleet dates'!$F$9:$F$1008,$I605-8)))</x:f>
      </x:c>
      <x:c r="G605" s="50" t="str">
        <x:f>IF(597&gt;$H$4,"",IF(INDEX('Fleet dates'!$G$9:$G$1008,$I605-8)="","",INDEX('Fleet dates'!$G$9:$G$1008,$I605-8)))</x:f>
      </x:c>
      <x:c r="H605" s="50" t="str">
        <x:f>IF(597&gt;$H$4,"",IF(INDEX('Fleet dates'!$I$9:$I$1008,$I605-8)="","",INDEX('Fleet dates'!$I$9:$I$1008,$I605-8)))</x:f>
      </x:c>
      <x:c r="I605" t="str">
        <x:f>IF(597&gt;$H$4,"",MATCH(597,'Fleet dates'!$K$9:$K$1008,0)+8)</x:f>
      </x:c>
    </x:row>
    <x:row r="606" ht="36" customHeight="1">
      <x:c r="A606" s="50" t="str">
        <x:f>IF(598&gt;$H$4,"",IF(INDEX('Fleet dates'!$A$9:$A$1008,$I606-8)="","",INDEX('Fleet dates'!$A$9:$A$1008,$I606-8)))</x:f>
      </x:c>
      <x:c r="B606" s="50" t="str">
        <x:f>IF(598&gt;$H$4,"",IF(INDEX('Fleet dates'!$B$9:$B$1008,$I606-8)="","",INDEX('Fleet dates'!$B$9:$B$1008,$I606-8)))</x:f>
      </x:c>
      <x:c r="C606" s="51" t="str">
        <x:f>IF(598&gt;$H$4,"",IF(INDEX('Fleet dates'!$C$9:$C$1008,$I606-8)="","",INDEX('Fleet dates'!$C$9:$C$1008,$I606-8)))</x:f>
      </x:c>
      <x:c r="D606" s="51" t="str">
        <x:f>IF(598&gt;$H$4,"",IF(INDEX('Fleet dates'!$D$9:$D$1008,$I606-8)="","",INDEX('Fleet dates'!$D$9:$D$1008,$I606-8)))</x:f>
      </x:c>
      <x:c r="E606" s="51" t="str">
        <x:f>IF(598&gt;$H$4,"",IF(INDEX('Fleet dates'!$E$9:$E$1008,$I606-8)="","",INDEX('Fleet dates'!$E$9:$E$1008,$I606-8)))</x:f>
      </x:c>
      <x:c r="F606" s="51" t="str">
        <x:f>IF(598&gt;$H$4,"",IF(INDEX('Fleet dates'!$F$9:$F$1008,$I606-8)="","",INDEX('Fleet dates'!$F$9:$F$1008,$I606-8)))</x:f>
      </x:c>
      <x:c r="G606" s="50" t="str">
        <x:f>IF(598&gt;$H$4,"",IF(INDEX('Fleet dates'!$G$9:$G$1008,$I606-8)="","",INDEX('Fleet dates'!$G$9:$G$1008,$I606-8)))</x:f>
      </x:c>
      <x:c r="H606" s="50" t="str">
        <x:f>IF(598&gt;$H$4,"",IF(INDEX('Fleet dates'!$I$9:$I$1008,$I606-8)="","",INDEX('Fleet dates'!$I$9:$I$1008,$I606-8)))</x:f>
      </x:c>
      <x:c r="I606" t="str">
        <x:f>IF(598&gt;$H$4,"",MATCH(598,'Fleet dates'!$K$9:$K$1008,0)+8)</x:f>
      </x:c>
    </x:row>
    <x:row r="607" ht="36" customHeight="1">
      <x:c r="A607" s="50" t="str">
        <x:f>IF(599&gt;$H$4,"",IF(INDEX('Fleet dates'!$A$9:$A$1008,$I607-8)="","",INDEX('Fleet dates'!$A$9:$A$1008,$I607-8)))</x:f>
      </x:c>
      <x:c r="B607" s="50" t="str">
        <x:f>IF(599&gt;$H$4,"",IF(INDEX('Fleet dates'!$B$9:$B$1008,$I607-8)="","",INDEX('Fleet dates'!$B$9:$B$1008,$I607-8)))</x:f>
      </x:c>
      <x:c r="C607" s="51" t="str">
        <x:f>IF(599&gt;$H$4,"",IF(INDEX('Fleet dates'!$C$9:$C$1008,$I607-8)="","",INDEX('Fleet dates'!$C$9:$C$1008,$I607-8)))</x:f>
      </x:c>
      <x:c r="D607" s="51" t="str">
        <x:f>IF(599&gt;$H$4,"",IF(INDEX('Fleet dates'!$D$9:$D$1008,$I607-8)="","",INDEX('Fleet dates'!$D$9:$D$1008,$I607-8)))</x:f>
      </x:c>
      <x:c r="E607" s="51" t="str">
        <x:f>IF(599&gt;$H$4,"",IF(INDEX('Fleet dates'!$E$9:$E$1008,$I607-8)="","",INDEX('Fleet dates'!$E$9:$E$1008,$I607-8)))</x:f>
      </x:c>
      <x:c r="F607" s="51" t="str">
        <x:f>IF(599&gt;$H$4,"",IF(INDEX('Fleet dates'!$F$9:$F$1008,$I607-8)="","",INDEX('Fleet dates'!$F$9:$F$1008,$I607-8)))</x:f>
      </x:c>
      <x:c r="G607" s="50" t="str">
        <x:f>IF(599&gt;$H$4,"",IF(INDEX('Fleet dates'!$G$9:$G$1008,$I607-8)="","",INDEX('Fleet dates'!$G$9:$G$1008,$I607-8)))</x:f>
      </x:c>
      <x:c r="H607" s="50" t="str">
        <x:f>IF(599&gt;$H$4,"",IF(INDEX('Fleet dates'!$I$9:$I$1008,$I607-8)="","",INDEX('Fleet dates'!$I$9:$I$1008,$I607-8)))</x:f>
      </x:c>
      <x:c r="I607" t="str">
        <x:f>IF(599&gt;$H$4,"",MATCH(599,'Fleet dates'!$K$9:$K$1008,0)+8)</x:f>
      </x:c>
    </x:row>
    <x:row r="608" ht="36" customHeight="1">
      <x:c r="A608" s="50" t="str">
        <x:f>IF(600&gt;$H$4,"",IF(INDEX('Fleet dates'!$A$9:$A$1008,$I608-8)="","",INDEX('Fleet dates'!$A$9:$A$1008,$I608-8)))</x:f>
      </x:c>
      <x:c r="B608" s="50" t="str">
        <x:f>IF(600&gt;$H$4,"",IF(INDEX('Fleet dates'!$B$9:$B$1008,$I608-8)="","",INDEX('Fleet dates'!$B$9:$B$1008,$I608-8)))</x:f>
      </x:c>
      <x:c r="C608" s="51" t="str">
        <x:f>IF(600&gt;$H$4,"",IF(INDEX('Fleet dates'!$C$9:$C$1008,$I608-8)="","",INDEX('Fleet dates'!$C$9:$C$1008,$I608-8)))</x:f>
      </x:c>
      <x:c r="D608" s="51" t="str">
        <x:f>IF(600&gt;$H$4,"",IF(INDEX('Fleet dates'!$D$9:$D$1008,$I608-8)="","",INDEX('Fleet dates'!$D$9:$D$1008,$I608-8)))</x:f>
      </x:c>
      <x:c r="E608" s="51" t="str">
        <x:f>IF(600&gt;$H$4,"",IF(INDEX('Fleet dates'!$E$9:$E$1008,$I608-8)="","",INDEX('Fleet dates'!$E$9:$E$1008,$I608-8)))</x:f>
      </x:c>
      <x:c r="F608" s="51" t="str">
        <x:f>IF(600&gt;$H$4,"",IF(INDEX('Fleet dates'!$F$9:$F$1008,$I608-8)="","",INDEX('Fleet dates'!$F$9:$F$1008,$I608-8)))</x:f>
      </x:c>
      <x:c r="G608" s="50" t="str">
        <x:f>IF(600&gt;$H$4,"",IF(INDEX('Fleet dates'!$G$9:$G$1008,$I608-8)="","",INDEX('Fleet dates'!$G$9:$G$1008,$I608-8)))</x:f>
      </x:c>
      <x:c r="H608" s="50" t="str">
        <x:f>IF(600&gt;$H$4,"",IF(INDEX('Fleet dates'!$I$9:$I$1008,$I608-8)="","",INDEX('Fleet dates'!$I$9:$I$1008,$I608-8)))</x:f>
      </x:c>
      <x:c r="I608" t="str">
        <x:f>IF(600&gt;$H$4,"",MATCH(600,'Fleet dates'!$K$9:$K$1008,0)+8)</x:f>
      </x:c>
    </x:row>
    <x:row r="609" ht="36" customHeight="1">
      <x:c r="A609" s="50" t="str">
        <x:f>IF(601&gt;$H$4,"",IF(INDEX('Fleet dates'!$A$9:$A$1008,$I609-8)="","",INDEX('Fleet dates'!$A$9:$A$1008,$I609-8)))</x:f>
      </x:c>
      <x:c r="B609" s="50" t="str">
        <x:f>IF(601&gt;$H$4,"",IF(INDEX('Fleet dates'!$B$9:$B$1008,$I609-8)="","",INDEX('Fleet dates'!$B$9:$B$1008,$I609-8)))</x:f>
      </x:c>
      <x:c r="C609" s="51" t="str">
        <x:f>IF(601&gt;$H$4,"",IF(INDEX('Fleet dates'!$C$9:$C$1008,$I609-8)="","",INDEX('Fleet dates'!$C$9:$C$1008,$I609-8)))</x:f>
      </x:c>
      <x:c r="D609" s="51" t="str">
        <x:f>IF(601&gt;$H$4,"",IF(INDEX('Fleet dates'!$D$9:$D$1008,$I609-8)="","",INDEX('Fleet dates'!$D$9:$D$1008,$I609-8)))</x:f>
      </x:c>
      <x:c r="E609" s="51" t="str">
        <x:f>IF(601&gt;$H$4,"",IF(INDEX('Fleet dates'!$E$9:$E$1008,$I609-8)="","",INDEX('Fleet dates'!$E$9:$E$1008,$I609-8)))</x:f>
      </x:c>
      <x:c r="F609" s="51" t="str">
        <x:f>IF(601&gt;$H$4,"",IF(INDEX('Fleet dates'!$F$9:$F$1008,$I609-8)="","",INDEX('Fleet dates'!$F$9:$F$1008,$I609-8)))</x:f>
      </x:c>
      <x:c r="G609" s="50" t="str">
        <x:f>IF(601&gt;$H$4,"",IF(INDEX('Fleet dates'!$G$9:$G$1008,$I609-8)="","",INDEX('Fleet dates'!$G$9:$G$1008,$I609-8)))</x:f>
      </x:c>
      <x:c r="H609" s="50" t="str">
        <x:f>IF(601&gt;$H$4,"",IF(INDEX('Fleet dates'!$I$9:$I$1008,$I609-8)="","",INDEX('Fleet dates'!$I$9:$I$1008,$I609-8)))</x:f>
      </x:c>
      <x:c r="I609" t="str">
        <x:f>IF(601&gt;$H$4,"",MATCH(601,'Fleet dates'!$K$9:$K$1008,0)+8)</x:f>
      </x:c>
    </x:row>
    <x:row r="610" ht="36" customHeight="1">
      <x:c r="A610" s="50" t="str">
        <x:f>IF(602&gt;$H$4,"",IF(INDEX('Fleet dates'!$A$9:$A$1008,$I610-8)="","",INDEX('Fleet dates'!$A$9:$A$1008,$I610-8)))</x:f>
      </x:c>
      <x:c r="B610" s="50" t="str">
        <x:f>IF(602&gt;$H$4,"",IF(INDEX('Fleet dates'!$B$9:$B$1008,$I610-8)="","",INDEX('Fleet dates'!$B$9:$B$1008,$I610-8)))</x:f>
      </x:c>
      <x:c r="C610" s="51" t="str">
        <x:f>IF(602&gt;$H$4,"",IF(INDEX('Fleet dates'!$C$9:$C$1008,$I610-8)="","",INDEX('Fleet dates'!$C$9:$C$1008,$I610-8)))</x:f>
      </x:c>
      <x:c r="D610" s="51" t="str">
        <x:f>IF(602&gt;$H$4,"",IF(INDEX('Fleet dates'!$D$9:$D$1008,$I610-8)="","",INDEX('Fleet dates'!$D$9:$D$1008,$I610-8)))</x:f>
      </x:c>
      <x:c r="E610" s="51" t="str">
        <x:f>IF(602&gt;$H$4,"",IF(INDEX('Fleet dates'!$E$9:$E$1008,$I610-8)="","",INDEX('Fleet dates'!$E$9:$E$1008,$I610-8)))</x:f>
      </x:c>
      <x:c r="F610" s="51" t="str">
        <x:f>IF(602&gt;$H$4,"",IF(INDEX('Fleet dates'!$F$9:$F$1008,$I610-8)="","",INDEX('Fleet dates'!$F$9:$F$1008,$I610-8)))</x:f>
      </x:c>
      <x:c r="G610" s="50" t="str">
        <x:f>IF(602&gt;$H$4,"",IF(INDEX('Fleet dates'!$G$9:$G$1008,$I610-8)="","",INDEX('Fleet dates'!$G$9:$G$1008,$I610-8)))</x:f>
      </x:c>
      <x:c r="H610" s="50" t="str">
        <x:f>IF(602&gt;$H$4,"",IF(INDEX('Fleet dates'!$I$9:$I$1008,$I610-8)="","",INDEX('Fleet dates'!$I$9:$I$1008,$I610-8)))</x:f>
      </x:c>
      <x:c r="I610" t="str">
        <x:f>IF(602&gt;$H$4,"",MATCH(602,'Fleet dates'!$K$9:$K$1008,0)+8)</x:f>
      </x:c>
    </x:row>
    <x:row r="611" ht="36" customHeight="1">
      <x:c r="A611" s="50" t="str">
        <x:f>IF(603&gt;$H$4,"",IF(INDEX('Fleet dates'!$A$9:$A$1008,$I611-8)="","",INDEX('Fleet dates'!$A$9:$A$1008,$I611-8)))</x:f>
      </x:c>
      <x:c r="B611" s="50" t="str">
        <x:f>IF(603&gt;$H$4,"",IF(INDEX('Fleet dates'!$B$9:$B$1008,$I611-8)="","",INDEX('Fleet dates'!$B$9:$B$1008,$I611-8)))</x:f>
      </x:c>
      <x:c r="C611" s="51" t="str">
        <x:f>IF(603&gt;$H$4,"",IF(INDEX('Fleet dates'!$C$9:$C$1008,$I611-8)="","",INDEX('Fleet dates'!$C$9:$C$1008,$I611-8)))</x:f>
      </x:c>
      <x:c r="D611" s="51" t="str">
        <x:f>IF(603&gt;$H$4,"",IF(INDEX('Fleet dates'!$D$9:$D$1008,$I611-8)="","",INDEX('Fleet dates'!$D$9:$D$1008,$I611-8)))</x:f>
      </x:c>
      <x:c r="E611" s="51" t="str">
        <x:f>IF(603&gt;$H$4,"",IF(INDEX('Fleet dates'!$E$9:$E$1008,$I611-8)="","",INDEX('Fleet dates'!$E$9:$E$1008,$I611-8)))</x:f>
      </x:c>
      <x:c r="F611" s="51" t="str">
        <x:f>IF(603&gt;$H$4,"",IF(INDEX('Fleet dates'!$F$9:$F$1008,$I611-8)="","",INDEX('Fleet dates'!$F$9:$F$1008,$I611-8)))</x:f>
      </x:c>
      <x:c r="G611" s="50" t="str">
        <x:f>IF(603&gt;$H$4,"",IF(INDEX('Fleet dates'!$G$9:$G$1008,$I611-8)="","",INDEX('Fleet dates'!$G$9:$G$1008,$I611-8)))</x:f>
      </x:c>
      <x:c r="H611" s="50" t="str">
        <x:f>IF(603&gt;$H$4,"",IF(INDEX('Fleet dates'!$I$9:$I$1008,$I611-8)="","",INDEX('Fleet dates'!$I$9:$I$1008,$I611-8)))</x:f>
      </x:c>
      <x:c r="I611" t="str">
        <x:f>IF(603&gt;$H$4,"",MATCH(603,'Fleet dates'!$K$9:$K$1008,0)+8)</x:f>
      </x:c>
    </x:row>
    <x:row r="612" ht="36" customHeight="1">
      <x:c r="A612" s="50" t="str">
        <x:f>IF(604&gt;$H$4,"",IF(INDEX('Fleet dates'!$A$9:$A$1008,$I612-8)="","",INDEX('Fleet dates'!$A$9:$A$1008,$I612-8)))</x:f>
      </x:c>
      <x:c r="B612" s="50" t="str">
        <x:f>IF(604&gt;$H$4,"",IF(INDEX('Fleet dates'!$B$9:$B$1008,$I612-8)="","",INDEX('Fleet dates'!$B$9:$B$1008,$I612-8)))</x:f>
      </x:c>
      <x:c r="C612" s="51" t="str">
        <x:f>IF(604&gt;$H$4,"",IF(INDEX('Fleet dates'!$C$9:$C$1008,$I612-8)="","",INDEX('Fleet dates'!$C$9:$C$1008,$I612-8)))</x:f>
      </x:c>
      <x:c r="D612" s="51" t="str">
        <x:f>IF(604&gt;$H$4,"",IF(INDEX('Fleet dates'!$D$9:$D$1008,$I612-8)="","",INDEX('Fleet dates'!$D$9:$D$1008,$I612-8)))</x:f>
      </x:c>
      <x:c r="E612" s="51" t="str">
        <x:f>IF(604&gt;$H$4,"",IF(INDEX('Fleet dates'!$E$9:$E$1008,$I612-8)="","",INDEX('Fleet dates'!$E$9:$E$1008,$I612-8)))</x:f>
      </x:c>
      <x:c r="F612" s="51" t="str">
        <x:f>IF(604&gt;$H$4,"",IF(INDEX('Fleet dates'!$F$9:$F$1008,$I612-8)="","",INDEX('Fleet dates'!$F$9:$F$1008,$I612-8)))</x:f>
      </x:c>
      <x:c r="G612" s="50" t="str">
        <x:f>IF(604&gt;$H$4,"",IF(INDEX('Fleet dates'!$G$9:$G$1008,$I612-8)="","",INDEX('Fleet dates'!$G$9:$G$1008,$I612-8)))</x:f>
      </x:c>
      <x:c r="H612" s="50" t="str">
        <x:f>IF(604&gt;$H$4,"",IF(INDEX('Fleet dates'!$I$9:$I$1008,$I612-8)="","",INDEX('Fleet dates'!$I$9:$I$1008,$I612-8)))</x:f>
      </x:c>
      <x:c r="I612" t="str">
        <x:f>IF(604&gt;$H$4,"",MATCH(604,'Fleet dates'!$K$9:$K$1008,0)+8)</x:f>
      </x:c>
    </x:row>
    <x:row r="613" ht="36" customHeight="1">
      <x:c r="A613" s="50" t="str">
        <x:f>IF(605&gt;$H$4,"",IF(INDEX('Fleet dates'!$A$9:$A$1008,$I613-8)="","",INDEX('Fleet dates'!$A$9:$A$1008,$I613-8)))</x:f>
      </x:c>
      <x:c r="B613" s="50" t="str">
        <x:f>IF(605&gt;$H$4,"",IF(INDEX('Fleet dates'!$B$9:$B$1008,$I613-8)="","",INDEX('Fleet dates'!$B$9:$B$1008,$I613-8)))</x:f>
      </x:c>
      <x:c r="C613" s="51" t="str">
        <x:f>IF(605&gt;$H$4,"",IF(INDEX('Fleet dates'!$C$9:$C$1008,$I613-8)="","",INDEX('Fleet dates'!$C$9:$C$1008,$I613-8)))</x:f>
      </x:c>
      <x:c r="D613" s="51" t="str">
        <x:f>IF(605&gt;$H$4,"",IF(INDEX('Fleet dates'!$D$9:$D$1008,$I613-8)="","",INDEX('Fleet dates'!$D$9:$D$1008,$I613-8)))</x:f>
      </x:c>
      <x:c r="E613" s="51" t="str">
        <x:f>IF(605&gt;$H$4,"",IF(INDEX('Fleet dates'!$E$9:$E$1008,$I613-8)="","",INDEX('Fleet dates'!$E$9:$E$1008,$I613-8)))</x:f>
      </x:c>
      <x:c r="F613" s="51" t="str">
        <x:f>IF(605&gt;$H$4,"",IF(INDEX('Fleet dates'!$F$9:$F$1008,$I613-8)="","",INDEX('Fleet dates'!$F$9:$F$1008,$I613-8)))</x:f>
      </x:c>
      <x:c r="G613" s="50" t="str">
        <x:f>IF(605&gt;$H$4,"",IF(INDEX('Fleet dates'!$G$9:$G$1008,$I613-8)="","",INDEX('Fleet dates'!$G$9:$G$1008,$I613-8)))</x:f>
      </x:c>
      <x:c r="H613" s="50" t="str">
        <x:f>IF(605&gt;$H$4,"",IF(INDEX('Fleet dates'!$I$9:$I$1008,$I613-8)="","",INDEX('Fleet dates'!$I$9:$I$1008,$I613-8)))</x:f>
      </x:c>
      <x:c r="I613" t="str">
        <x:f>IF(605&gt;$H$4,"",MATCH(605,'Fleet dates'!$K$9:$K$1008,0)+8)</x:f>
      </x:c>
    </x:row>
    <x:row r="614" ht="36" customHeight="1">
      <x:c r="A614" s="50" t="str">
        <x:f>IF(606&gt;$H$4,"",IF(INDEX('Fleet dates'!$A$9:$A$1008,$I614-8)="","",INDEX('Fleet dates'!$A$9:$A$1008,$I614-8)))</x:f>
      </x:c>
      <x:c r="B614" s="50" t="str">
        <x:f>IF(606&gt;$H$4,"",IF(INDEX('Fleet dates'!$B$9:$B$1008,$I614-8)="","",INDEX('Fleet dates'!$B$9:$B$1008,$I614-8)))</x:f>
      </x:c>
      <x:c r="C614" s="51" t="str">
        <x:f>IF(606&gt;$H$4,"",IF(INDEX('Fleet dates'!$C$9:$C$1008,$I614-8)="","",INDEX('Fleet dates'!$C$9:$C$1008,$I614-8)))</x:f>
      </x:c>
      <x:c r="D614" s="51" t="str">
        <x:f>IF(606&gt;$H$4,"",IF(INDEX('Fleet dates'!$D$9:$D$1008,$I614-8)="","",INDEX('Fleet dates'!$D$9:$D$1008,$I614-8)))</x:f>
      </x:c>
      <x:c r="E614" s="51" t="str">
        <x:f>IF(606&gt;$H$4,"",IF(INDEX('Fleet dates'!$E$9:$E$1008,$I614-8)="","",INDEX('Fleet dates'!$E$9:$E$1008,$I614-8)))</x:f>
      </x:c>
      <x:c r="F614" s="51" t="str">
        <x:f>IF(606&gt;$H$4,"",IF(INDEX('Fleet dates'!$F$9:$F$1008,$I614-8)="","",INDEX('Fleet dates'!$F$9:$F$1008,$I614-8)))</x:f>
      </x:c>
      <x:c r="G614" s="50" t="str">
        <x:f>IF(606&gt;$H$4,"",IF(INDEX('Fleet dates'!$G$9:$G$1008,$I614-8)="","",INDEX('Fleet dates'!$G$9:$G$1008,$I614-8)))</x:f>
      </x:c>
      <x:c r="H614" s="50" t="str">
        <x:f>IF(606&gt;$H$4,"",IF(INDEX('Fleet dates'!$I$9:$I$1008,$I614-8)="","",INDEX('Fleet dates'!$I$9:$I$1008,$I614-8)))</x:f>
      </x:c>
      <x:c r="I614" t="str">
        <x:f>IF(606&gt;$H$4,"",MATCH(606,'Fleet dates'!$K$9:$K$1008,0)+8)</x:f>
      </x:c>
    </x:row>
    <x:row r="615" ht="36" customHeight="1">
      <x:c r="A615" s="50" t="str">
        <x:f>IF(607&gt;$H$4,"",IF(INDEX('Fleet dates'!$A$9:$A$1008,$I615-8)="","",INDEX('Fleet dates'!$A$9:$A$1008,$I615-8)))</x:f>
      </x:c>
      <x:c r="B615" s="50" t="str">
        <x:f>IF(607&gt;$H$4,"",IF(INDEX('Fleet dates'!$B$9:$B$1008,$I615-8)="","",INDEX('Fleet dates'!$B$9:$B$1008,$I615-8)))</x:f>
      </x:c>
      <x:c r="C615" s="51" t="str">
        <x:f>IF(607&gt;$H$4,"",IF(INDEX('Fleet dates'!$C$9:$C$1008,$I615-8)="","",INDEX('Fleet dates'!$C$9:$C$1008,$I615-8)))</x:f>
      </x:c>
      <x:c r="D615" s="51" t="str">
        <x:f>IF(607&gt;$H$4,"",IF(INDEX('Fleet dates'!$D$9:$D$1008,$I615-8)="","",INDEX('Fleet dates'!$D$9:$D$1008,$I615-8)))</x:f>
      </x:c>
      <x:c r="E615" s="51" t="str">
        <x:f>IF(607&gt;$H$4,"",IF(INDEX('Fleet dates'!$E$9:$E$1008,$I615-8)="","",INDEX('Fleet dates'!$E$9:$E$1008,$I615-8)))</x:f>
      </x:c>
      <x:c r="F615" s="51" t="str">
        <x:f>IF(607&gt;$H$4,"",IF(INDEX('Fleet dates'!$F$9:$F$1008,$I615-8)="","",INDEX('Fleet dates'!$F$9:$F$1008,$I615-8)))</x:f>
      </x:c>
      <x:c r="G615" s="50" t="str">
        <x:f>IF(607&gt;$H$4,"",IF(INDEX('Fleet dates'!$G$9:$G$1008,$I615-8)="","",INDEX('Fleet dates'!$G$9:$G$1008,$I615-8)))</x:f>
      </x:c>
      <x:c r="H615" s="50" t="str">
        <x:f>IF(607&gt;$H$4,"",IF(INDEX('Fleet dates'!$I$9:$I$1008,$I615-8)="","",INDEX('Fleet dates'!$I$9:$I$1008,$I615-8)))</x:f>
      </x:c>
      <x:c r="I615" t="str">
        <x:f>IF(607&gt;$H$4,"",MATCH(607,'Fleet dates'!$K$9:$K$1008,0)+8)</x:f>
      </x:c>
    </x:row>
    <x:row r="616" ht="36" customHeight="1">
      <x:c r="A616" s="50" t="str">
        <x:f>IF(608&gt;$H$4,"",IF(INDEX('Fleet dates'!$A$9:$A$1008,$I616-8)="","",INDEX('Fleet dates'!$A$9:$A$1008,$I616-8)))</x:f>
      </x:c>
      <x:c r="B616" s="50" t="str">
        <x:f>IF(608&gt;$H$4,"",IF(INDEX('Fleet dates'!$B$9:$B$1008,$I616-8)="","",INDEX('Fleet dates'!$B$9:$B$1008,$I616-8)))</x:f>
      </x:c>
      <x:c r="C616" s="51" t="str">
        <x:f>IF(608&gt;$H$4,"",IF(INDEX('Fleet dates'!$C$9:$C$1008,$I616-8)="","",INDEX('Fleet dates'!$C$9:$C$1008,$I616-8)))</x:f>
      </x:c>
      <x:c r="D616" s="51" t="str">
        <x:f>IF(608&gt;$H$4,"",IF(INDEX('Fleet dates'!$D$9:$D$1008,$I616-8)="","",INDEX('Fleet dates'!$D$9:$D$1008,$I616-8)))</x:f>
      </x:c>
      <x:c r="E616" s="51" t="str">
        <x:f>IF(608&gt;$H$4,"",IF(INDEX('Fleet dates'!$E$9:$E$1008,$I616-8)="","",INDEX('Fleet dates'!$E$9:$E$1008,$I616-8)))</x:f>
      </x:c>
      <x:c r="F616" s="51" t="str">
        <x:f>IF(608&gt;$H$4,"",IF(INDEX('Fleet dates'!$F$9:$F$1008,$I616-8)="","",INDEX('Fleet dates'!$F$9:$F$1008,$I616-8)))</x:f>
      </x:c>
      <x:c r="G616" s="50" t="str">
        <x:f>IF(608&gt;$H$4,"",IF(INDEX('Fleet dates'!$G$9:$G$1008,$I616-8)="","",INDEX('Fleet dates'!$G$9:$G$1008,$I616-8)))</x:f>
      </x:c>
      <x:c r="H616" s="50" t="str">
        <x:f>IF(608&gt;$H$4,"",IF(INDEX('Fleet dates'!$I$9:$I$1008,$I616-8)="","",INDEX('Fleet dates'!$I$9:$I$1008,$I616-8)))</x:f>
      </x:c>
      <x:c r="I616" t="str">
        <x:f>IF(608&gt;$H$4,"",MATCH(608,'Fleet dates'!$K$9:$K$1008,0)+8)</x:f>
      </x:c>
    </x:row>
    <x:row r="617" ht="36" customHeight="1">
      <x:c r="A617" s="50" t="str">
        <x:f>IF(609&gt;$H$4,"",IF(INDEX('Fleet dates'!$A$9:$A$1008,$I617-8)="","",INDEX('Fleet dates'!$A$9:$A$1008,$I617-8)))</x:f>
      </x:c>
      <x:c r="B617" s="50" t="str">
        <x:f>IF(609&gt;$H$4,"",IF(INDEX('Fleet dates'!$B$9:$B$1008,$I617-8)="","",INDEX('Fleet dates'!$B$9:$B$1008,$I617-8)))</x:f>
      </x:c>
      <x:c r="C617" s="51" t="str">
        <x:f>IF(609&gt;$H$4,"",IF(INDEX('Fleet dates'!$C$9:$C$1008,$I617-8)="","",INDEX('Fleet dates'!$C$9:$C$1008,$I617-8)))</x:f>
      </x:c>
      <x:c r="D617" s="51" t="str">
        <x:f>IF(609&gt;$H$4,"",IF(INDEX('Fleet dates'!$D$9:$D$1008,$I617-8)="","",INDEX('Fleet dates'!$D$9:$D$1008,$I617-8)))</x:f>
      </x:c>
      <x:c r="E617" s="51" t="str">
        <x:f>IF(609&gt;$H$4,"",IF(INDEX('Fleet dates'!$E$9:$E$1008,$I617-8)="","",INDEX('Fleet dates'!$E$9:$E$1008,$I617-8)))</x:f>
      </x:c>
      <x:c r="F617" s="51" t="str">
        <x:f>IF(609&gt;$H$4,"",IF(INDEX('Fleet dates'!$F$9:$F$1008,$I617-8)="","",INDEX('Fleet dates'!$F$9:$F$1008,$I617-8)))</x:f>
      </x:c>
      <x:c r="G617" s="50" t="str">
        <x:f>IF(609&gt;$H$4,"",IF(INDEX('Fleet dates'!$G$9:$G$1008,$I617-8)="","",INDEX('Fleet dates'!$G$9:$G$1008,$I617-8)))</x:f>
      </x:c>
      <x:c r="H617" s="50" t="str">
        <x:f>IF(609&gt;$H$4,"",IF(INDEX('Fleet dates'!$I$9:$I$1008,$I617-8)="","",INDEX('Fleet dates'!$I$9:$I$1008,$I617-8)))</x:f>
      </x:c>
      <x:c r="I617" t="str">
        <x:f>IF(609&gt;$H$4,"",MATCH(609,'Fleet dates'!$K$9:$K$1008,0)+8)</x:f>
      </x:c>
    </x:row>
    <x:row r="618" ht="36" customHeight="1">
      <x:c r="A618" s="50" t="str">
        <x:f>IF(610&gt;$H$4,"",IF(INDEX('Fleet dates'!$A$9:$A$1008,$I618-8)="","",INDEX('Fleet dates'!$A$9:$A$1008,$I618-8)))</x:f>
      </x:c>
      <x:c r="B618" s="50" t="str">
        <x:f>IF(610&gt;$H$4,"",IF(INDEX('Fleet dates'!$B$9:$B$1008,$I618-8)="","",INDEX('Fleet dates'!$B$9:$B$1008,$I618-8)))</x:f>
      </x:c>
      <x:c r="C618" s="51" t="str">
        <x:f>IF(610&gt;$H$4,"",IF(INDEX('Fleet dates'!$C$9:$C$1008,$I618-8)="","",INDEX('Fleet dates'!$C$9:$C$1008,$I618-8)))</x:f>
      </x:c>
      <x:c r="D618" s="51" t="str">
        <x:f>IF(610&gt;$H$4,"",IF(INDEX('Fleet dates'!$D$9:$D$1008,$I618-8)="","",INDEX('Fleet dates'!$D$9:$D$1008,$I618-8)))</x:f>
      </x:c>
      <x:c r="E618" s="51" t="str">
        <x:f>IF(610&gt;$H$4,"",IF(INDEX('Fleet dates'!$E$9:$E$1008,$I618-8)="","",INDEX('Fleet dates'!$E$9:$E$1008,$I618-8)))</x:f>
      </x:c>
      <x:c r="F618" s="51" t="str">
        <x:f>IF(610&gt;$H$4,"",IF(INDEX('Fleet dates'!$F$9:$F$1008,$I618-8)="","",INDEX('Fleet dates'!$F$9:$F$1008,$I618-8)))</x:f>
      </x:c>
      <x:c r="G618" s="50" t="str">
        <x:f>IF(610&gt;$H$4,"",IF(INDEX('Fleet dates'!$G$9:$G$1008,$I618-8)="","",INDEX('Fleet dates'!$G$9:$G$1008,$I618-8)))</x:f>
      </x:c>
      <x:c r="H618" s="50" t="str">
        <x:f>IF(610&gt;$H$4,"",IF(INDEX('Fleet dates'!$I$9:$I$1008,$I618-8)="","",INDEX('Fleet dates'!$I$9:$I$1008,$I618-8)))</x:f>
      </x:c>
      <x:c r="I618" t="str">
        <x:f>IF(610&gt;$H$4,"",MATCH(610,'Fleet dates'!$K$9:$K$1008,0)+8)</x:f>
      </x:c>
    </x:row>
    <x:row r="619" ht="36" customHeight="1">
      <x:c r="A619" s="50" t="str">
        <x:f>IF(611&gt;$H$4,"",IF(INDEX('Fleet dates'!$A$9:$A$1008,$I619-8)="","",INDEX('Fleet dates'!$A$9:$A$1008,$I619-8)))</x:f>
      </x:c>
      <x:c r="B619" s="50" t="str">
        <x:f>IF(611&gt;$H$4,"",IF(INDEX('Fleet dates'!$B$9:$B$1008,$I619-8)="","",INDEX('Fleet dates'!$B$9:$B$1008,$I619-8)))</x:f>
      </x:c>
      <x:c r="C619" s="51" t="str">
        <x:f>IF(611&gt;$H$4,"",IF(INDEX('Fleet dates'!$C$9:$C$1008,$I619-8)="","",INDEX('Fleet dates'!$C$9:$C$1008,$I619-8)))</x:f>
      </x:c>
      <x:c r="D619" s="51" t="str">
        <x:f>IF(611&gt;$H$4,"",IF(INDEX('Fleet dates'!$D$9:$D$1008,$I619-8)="","",INDEX('Fleet dates'!$D$9:$D$1008,$I619-8)))</x:f>
      </x:c>
      <x:c r="E619" s="51" t="str">
        <x:f>IF(611&gt;$H$4,"",IF(INDEX('Fleet dates'!$E$9:$E$1008,$I619-8)="","",INDEX('Fleet dates'!$E$9:$E$1008,$I619-8)))</x:f>
      </x:c>
      <x:c r="F619" s="51" t="str">
        <x:f>IF(611&gt;$H$4,"",IF(INDEX('Fleet dates'!$F$9:$F$1008,$I619-8)="","",INDEX('Fleet dates'!$F$9:$F$1008,$I619-8)))</x:f>
      </x:c>
      <x:c r="G619" s="50" t="str">
        <x:f>IF(611&gt;$H$4,"",IF(INDEX('Fleet dates'!$G$9:$G$1008,$I619-8)="","",INDEX('Fleet dates'!$G$9:$G$1008,$I619-8)))</x:f>
      </x:c>
      <x:c r="H619" s="50" t="str">
        <x:f>IF(611&gt;$H$4,"",IF(INDEX('Fleet dates'!$I$9:$I$1008,$I619-8)="","",INDEX('Fleet dates'!$I$9:$I$1008,$I619-8)))</x:f>
      </x:c>
      <x:c r="I619" t="str">
        <x:f>IF(611&gt;$H$4,"",MATCH(611,'Fleet dates'!$K$9:$K$1008,0)+8)</x:f>
      </x:c>
    </x:row>
    <x:row r="620" ht="36" customHeight="1">
      <x:c r="A620" s="50" t="str">
        <x:f>IF(612&gt;$H$4,"",IF(INDEX('Fleet dates'!$A$9:$A$1008,$I620-8)="","",INDEX('Fleet dates'!$A$9:$A$1008,$I620-8)))</x:f>
      </x:c>
      <x:c r="B620" s="50" t="str">
        <x:f>IF(612&gt;$H$4,"",IF(INDEX('Fleet dates'!$B$9:$B$1008,$I620-8)="","",INDEX('Fleet dates'!$B$9:$B$1008,$I620-8)))</x:f>
      </x:c>
      <x:c r="C620" s="51" t="str">
        <x:f>IF(612&gt;$H$4,"",IF(INDEX('Fleet dates'!$C$9:$C$1008,$I620-8)="","",INDEX('Fleet dates'!$C$9:$C$1008,$I620-8)))</x:f>
      </x:c>
      <x:c r="D620" s="51" t="str">
        <x:f>IF(612&gt;$H$4,"",IF(INDEX('Fleet dates'!$D$9:$D$1008,$I620-8)="","",INDEX('Fleet dates'!$D$9:$D$1008,$I620-8)))</x:f>
      </x:c>
      <x:c r="E620" s="51" t="str">
        <x:f>IF(612&gt;$H$4,"",IF(INDEX('Fleet dates'!$E$9:$E$1008,$I620-8)="","",INDEX('Fleet dates'!$E$9:$E$1008,$I620-8)))</x:f>
      </x:c>
      <x:c r="F620" s="51" t="str">
        <x:f>IF(612&gt;$H$4,"",IF(INDEX('Fleet dates'!$F$9:$F$1008,$I620-8)="","",INDEX('Fleet dates'!$F$9:$F$1008,$I620-8)))</x:f>
      </x:c>
      <x:c r="G620" s="50" t="str">
        <x:f>IF(612&gt;$H$4,"",IF(INDEX('Fleet dates'!$G$9:$G$1008,$I620-8)="","",INDEX('Fleet dates'!$G$9:$G$1008,$I620-8)))</x:f>
      </x:c>
      <x:c r="H620" s="50" t="str">
        <x:f>IF(612&gt;$H$4,"",IF(INDEX('Fleet dates'!$I$9:$I$1008,$I620-8)="","",INDEX('Fleet dates'!$I$9:$I$1008,$I620-8)))</x:f>
      </x:c>
      <x:c r="I620" t="str">
        <x:f>IF(612&gt;$H$4,"",MATCH(612,'Fleet dates'!$K$9:$K$1008,0)+8)</x:f>
      </x:c>
    </x:row>
    <x:row r="621" ht="36" customHeight="1">
      <x:c r="A621" s="50" t="str">
        <x:f>IF(613&gt;$H$4,"",IF(INDEX('Fleet dates'!$A$9:$A$1008,$I621-8)="","",INDEX('Fleet dates'!$A$9:$A$1008,$I621-8)))</x:f>
      </x:c>
      <x:c r="B621" s="50" t="str">
        <x:f>IF(613&gt;$H$4,"",IF(INDEX('Fleet dates'!$B$9:$B$1008,$I621-8)="","",INDEX('Fleet dates'!$B$9:$B$1008,$I621-8)))</x:f>
      </x:c>
      <x:c r="C621" s="51" t="str">
        <x:f>IF(613&gt;$H$4,"",IF(INDEX('Fleet dates'!$C$9:$C$1008,$I621-8)="","",INDEX('Fleet dates'!$C$9:$C$1008,$I621-8)))</x:f>
      </x:c>
      <x:c r="D621" s="51" t="str">
        <x:f>IF(613&gt;$H$4,"",IF(INDEX('Fleet dates'!$D$9:$D$1008,$I621-8)="","",INDEX('Fleet dates'!$D$9:$D$1008,$I621-8)))</x:f>
      </x:c>
      <x:c r="E621" s="51" t="str">
        <x:f>IF(613&gt;$H$4,"",IF(INDEX('Fleet dates'!$E$9:$E$1008,$I621-8)="","",INDEX('Fleet dates'!$E$9:$E$1008,$I621-8)))</x:f>
      </x:c>
      <x:c r="F621" s="51" t="str">
        <x:f>IF(613&gt;$H$4,"",IF(INDEX('Fleet dates'!$F$9:$F$1008,$I621-8)="","",INDEX('Fleet dates'!$F$9:$F$1008,$I621-8)))</x:f>
      </x:c>
      <x:c r="G621" s="50" t="str">
        <x:f>IF(613&gt;$H$4,"",IF(INDEX('Fleet dates'!$G$9:$G$1008,$I621-8)="","",INDEX('Fleet dates'!$G$9:$G$1008,$I621-8)))</x:f>
      </x:c>
      <x:c r="H621" s="50" t="str">
        <x:f>IF(613&gt;$H$4,"",IF(INDEX('Fleet dates'!$I$9:$I$1008,$I621-8)="","",INDEX('Fleet dates'!$I$9:$I$1008,$I621-8)))</x:f>
      </x:c>
      <x:c r="I621" t="str">
        <x:f>IF(613&gt;$H$4,"",MATCH(613,'Fleet dates'!$K$9:$K$1008,0)+8)</x:f>
      </x:c>
    </x:row>
    <x:row r="622" ht="36" customHeight="1">
      <x:c r="A622" s="50" t="str">
        <x:f>IF(614&gt;$H$4,"",IF(INDEX('Fleet dates'!$A$9:$A$1008,$I622-8)="","",INDEX('Fleet dates'!$A$9:$A$1008,$I622-8)))</x:f>
      </x:c>
      <x:c r="B622" s="50" t="str">
        <x:f>IF(614&gt;$H$4,"",IF(INDEX('Fleet dates'!$B$9:$B$1008,$I622-8)="","",INDEX('Fleet dates'!$B$9:$B$1008,$I622-8)))</x:f>
      </x:c>
      <x:c r="C622" s="51" t="str">
        <x:f>IF(614&gt;$H$4,"",IF(INDEX('Fleet dates'!$C$9:$C$1008,$I622-8)="","",INDEX('Fleet dates'!$C$9:$C$1008,$I622-8)))</x:f>
      </x:c>
      <x:c r="D622" s="51" t="str">
        <x:f>IF(614&gt;$H$4,"",IF(INDEX('Fleet dates'!$D$9:$D$1008,$I622-8)="","",INDEX('Fleet dates'!$D$9:$D$1008,$I622-8)))</x:f>
      </x:c>
      <x:c r="E622" s="51" t="str">
        <x:f>IF(614&gt;$H$4,"",IF(INDEX('Fleet dates'!$E$9:$E$1008,$I622-8)="","",INDEX('Fleet dates'!$E$9:$E$1008,$I622-8)))</x:f>
      </x:c>
      <x:c r="F622" s="51" t="str">
        <x:f>IF(614&gt;$H$4,"",IF(INDEX('Fleet dates'!$F$9:$F$1008,$I622-8)="","",INDEX('Fleet dates'!$F$9:$F$1008,$I622-8)))</x:f>
      </x:c>
      <x:c r="G622" s="50" t="str">
        <x:f>IF(614&gt;$H$4,"",IF(INDEX('Fleet dates'!$G$9:$G$1008,$I622-8)="","",INDEX('Fleet dates'!$G$9:$G$1008,$I622-8)))</x:f>
      </x:c>
      <x:c r="H622" s="50" t="str">
        <x:f>IF(614&gt;$H$4,"",IF(INDEX('Fleet dates'!$I$9:$I$1008,$I622-8)="","",INDEX('Fleet dates'!$I$9:$I$1008,$I622-8)))</x:f>
      </x:c>
      <x:c r="I622" t="str">
        <x:f>IF(614&gt;$H$4,"",MATCH(614,'Fleet dates'!$K$9:$K$1008,0)+8)</x:f>
      </x:c>
    </x:row>
    <x:row r="623" ht="36" customHeight="1">
      <x:c r="A623" s="50" t="str">
        <x:f>IF(615&gt;$H$4,"",IF(INDEX('Fleet dates'!$A$9:$A$1008,$I623-8)="","",INDEX('Fleet dates'!$A$9:$A$1008,$I623-8)))</x:f>
      </x:c>
      <x:c r="B623" s="50" t="str">
        <x:f>IF(615&gt;$H$4,"",IF(INDEX('Fleet dates'!$B$9:$B$1008,$I623-8)="","",INDEX('Fleet dates'!$B$9:$B$1008,$I623-8)))</x:f>
      </x:c>
      <x:c r="C623" s="51" t="str">
        <x:f>IF(615&gt;$H$4,"",IF(INDEX('Fleet dates'!$C$9:$C$1008,$I623-8)="","",INDEX('Fleet dates'!$C$9:$C$1008,$I623-8)))</x:f>
      </x:c>
      <x:c r="D623" s="51" t="str">
        <x:f>IF(615&gt;$H$4,"",IF(INDEX('Fleet dates'!$D$9:$D$1008,$I623-8)="","",INDEX('Fleet dates'!$D$9:$D$1008,$I623-8)))</x:f>
      </x:c>
      <x:c r="E623" s="51" t="str">
        <x:f>IF(615&gt;$H$4,"",IF(INDEX('Fleet dates'!$E$9:$E$1008,$I623-8)="","",INDEX('Fleet dates'!$E$9:$E$1008,$I623-8)))</x:f>
      </x:c>
      <x:c r="F623" s="51" t="str">
        <x:f>IF(615&gt;$H$4,"",IF(INDEX('Fleet dates'!$F$9:$F$1008,$I623-8)="","",INDEX('Fleet dates'!$F$9:$F$1008,$I623-8)))</x:f>
      </x:c>
      <x:c r="G623" s="50" t="str">
        <x:f>IF(615&gt;$H$4,"",IF(INDEX('Fleet dates'!$G$9:$G$1008,$I623-8)="","",INDEX('Fleet dates'!$G$9:$G$1008,$I623-8)))</x:f>
      </x:c>
      <x:c r="H623" s="50" t="str">
        <x:f>IF(615&gt;$H$4,"",IF(INDEX('Fleet dates'!$I$9:$I$1008,$I623-8)="","",INDEX('Fleet dates'!$I$9:$I$1008,$I623-8)))</x:f>
      </x:c>
      <x:c r="I623" t="str">
        <x:f>IF(615&gt;$H$4,"",MATCH(615,'Fleet dates'!$K$9:$K$1008,0)+8)</x:f>
      </x:c>
    </x:row>
    <x:row r="624" ht="36" customHeight="1">
      <x:c r="A624" s="50" t="str">
        <x:f>IF(616&gt;$H$4,"",IF(INDEX('Fleet dates'!$A$9:$A$1008,$I624-8)="","",INDEX('Fleet dates'!$A$9:$A$1008,$I624-8)))</x:f>
      </x:c>
      <x:c r="B624" s="50" t="str">
        <x:f>IF(616&gt;$H$4,"",IF(INDEX('Fleet dates'!$B$9:$B$1008,$I624-8)="","",INDEX('Fleet dates'!$B$9:$B$1008,$I624-8)))</x:f>
      </x:c>
      <x:c r="C624" s="51" t="str">
        <x:f>IF(616&gt;$H$4,"",IF(INDEX('Fleet dates'!$C$9:$C$1008,$I624-8)="","",INDEX('Fleet dates'!$C$9:$C$1008,$I624-8)))</x:f>
      </x:c>
      <x:c r="D624" s="51" t="str">
        <x:f>IF(616&gt;$H$4,"",IF(INDEX('Fleet dates'!$D$9:$D$1008,$I624-8)="","",INDEX('Fleet dates'!$D$9:$D$1008,$I624-8)))</x:f>
      </x:c>
      <x:c r="E624" s="51" t="str">
        <x:f>IF(616&gt;$H$4,"",IF(INDEX('Fleet dates'!$E$9:$E$1008,$I624-8)="","",INDEX('Fleet dates'!$E$9:$E$1008,$I624-8)))</x:f>
      </x:c>
      <x:c r="F624" s="51" t="str">
        <x:f>IF(616&gt;$H$4,"",IF(INDEX('Fleet dates'!$F$9:$F$1008,$I624-8)="","",INDEX('Fleet dates'!$F$9:$F$1008,$I624-8)))</x:f>
      </x:c>
      <x:c r="G624" s="50" t="str">
        <x:f>IF(616&gt;$H$4,"",IF(INDEX('Fleet dates'!$G$9:$G$1008,$I624-8)="","",INDEX('Fleet dates'!$G$9:$G$1008,$I624-8)))</x:f>
      </x:c>
      <x:c r="H624" s="50" t="str">
        <x:f>IF(616&gt;$H$4,"",IF(INDEX('Fleet dates'!$I$9:$I$1008,$I624-8)="","",INDEX('Fleet dates'!$I$9:$I$1008,$I624-8)))</x:f>
      </x:c>
      <x:c r="I624" t="str">
        <x:f>IF(616&gt;$H$4,"",MATCH(616,'Fleet dates'!$K$9:$K$1008,0)+8)</x:f>
      </x:c>
    </x:row>
    <x:row r="625" ht="36" customHeight="1">
      <x:c r="A625" s="50" t="str">
        <x:f>IF(617&gt;$H$4,"",IF(INDEX('Fleet dates'!$A$9:$A$1008,$I625-8)="","",INDEX('Fleet dates'!$A$9:$A$1008,$I625-8)))</x:f>
      </x:c>
      <x:c r="B625" s="50" t="str">
        <x:f>IF(617&gt;$H$4,"",IF(INDEX('Fleet dates'!$B$9:$B$1008,$I625-8)="","",INDEX('Fleet dates'!$B$9:$B$1008,$I625-8)))</x:f>
      </x:c>
      <x:c r="C625" s="51" t="str">
        <x:f>IF(617&gt;$H$4,"",IF(INDEX('Fleet dates'!$C$9:$C$1008,$I625-8)="","",INDEX('Fleet dates'!$C$9:$C$1008,$I625-8)))</x:f>
      </x:c>
      <x:c r="D625" s="51" t="str">
        <x:f>IF(617&gt;$H$4,"",IF(INDEX('Fleet dates'!$D$9:$D$1008,$I625-8)="","",INDEX('Fleet dates'!$D$9:$D$1008,$I625-8)))</x:f>
      </x:c>
      <x:c r="E625" s="51" t="str">
        <x:f>IF(617&gt;$H$4,"",IF(INDEX('Fleet dates'!$E$9:$E$1008,$I625-8)="","",INDEX('Fleet dates'!$E$9:$E$1008,$I625-8)))</x:f>
      </x:c>
      <x:c r="F625" s="51" t="str">
        <x:f>IF(617&gt;$H$4,"",IF(INDEX('Fleet dates'!$F$9:$F$1008,$I625-8)="","",INDEX('Fleet dates'!$F$9:$F$1008,$I625-8)))</x:f>
      </x:c>
      <x:c r="G625" s="50" t="str">
        <x:f>IF(617&gt;$H$4,"",IF(INDEX('Fleet dates'!$G$9:$G$1008,$I625-8)="","",INDEX('Fleet dates'!$G$9:$G$1008,$I625-8)))</x:f>
      </x:c>
      <x:c r="H625" s="50" t="str">
        <x:f>IF(617&gt;$H$4,"",IF(INDEX('Fleet dates'!$I$9:$I$1008,$I625-8)="","",INDEX('Fleet dates'!$I$9:$I$1008,$I625-8)))</x:f>
      </x:c>
      <x:c r="I625" t="str">
        <x:f>IF(617&gt;$H$4,"",MATCH(617,'Fleet dates'!$K$9:$K$1008,0)+8)</x:f>
      </x:c>
    </x:row>
    <x:row r="626" ht="36" customHeight="1">
      <x:c r="A626" s="50" t="str">
        <x:f>IF(618&gt;$H$4,"",IF(INDEX('Fleet dates'!$A$9:$A$1008,$I626-8)="","",INDEX('Fleet dates'!$A$9:$A$1008,$I626-8)))</x:f>
      </x:c>
      <x:c r="B626" s="50" t="str">
        <x:f>IF(618&gt;$H$4,"",IF(INDEX('Fleet dates'!$B$9:$B$1008,$I626-8)="","",INDEX('Fleet dates'!$B$9:$B$1008,$I626-8)))</x:f>
      </x:c>
      <x:c r="C626" s="51" t="str">
        <x:f>IF(618&gt;$H$4,"",IF(INDEX('Fleet dates'!$C$9:$C$1008,$I626-8)="","",INDEX('Fleet dates'!$C$9:$C$1008,$I626-8)))</x:f>
      </x:c>
      <x:c r="D626" s="51" t="str">
        <x:f>IF(618&gt;$H$4,"",IF(INDEX('Fleet dates'!$D$9:$D$1008,$I626-8)="","",INDEX('Fleet dates'!$D$9:$D$1008,$I626-8)))</x:f>
      </x:c>
      <x:c r="E626" s="51" t="str">
        <x:f>IF(618&gt;$H$4,"",IF(INDEX('Fleet dates'!$E$9:$E$1008,$I626-8)="","",INDEX('Fleet dates'!$E$9:$E$1008,$I626-8)))</x:f>
      </x:c>
      <x:c r="F626" s="51" t="str">
        <x:f>IF(618&gt;$H$4,"",IF(INDEX('Fleet dates'!$F$9:$F$1008,$I626-8)="","",INDEX('Fleet dates'!$F$9:$F$1008,$I626-8)))</x:f>
      </x:c>
      <x:c r="G626" s="50" t="str">
        <x:f>IF(618&gt;$H$4,"",IF(INDEX('Fleet dates'!$G$9:$G$1008,$I626-8)="","",INDEX('Fleet dates'!$G$9:$G$1008,$I626-8)))</x:f>
      </x:c>
      <x:c r="H626" s="50" t="str">
        <x:f>IF(618&gt;$H$4,"",IF(INDEX('Fleet dates'!$I$9:$I$1008,$I626-8)="","",INDEX('Fleet dates'!$I$9:$I$1008,$I626-8)))</x:f>
      </x:c>
      <x:c r="I626" t="str">
        <x:f>IF(618&gt;$H$4,"",MATCH(618,'Fleet dates'!$K$9:$K$1008,0)+8)</x:f>
      </x:c>
    </x:row>
    <x:row r="627" ht="36" customHeight="1">
      <x:c r="A627" s="50" t="str">
        <x:f>IF(619&gt;$H$4,"",IF(INDEX('Fleet dates'!$A$9:$A$1008,$I627-8)="","",INDEX('Fleet dates'!$A$9:$A$1008,$I627-8)))</x:f>
      </x:c>
      <x:c r="B627" s="50" t="str">
        <x:f>IF(619&gt;$H$4,"",IF(INDEX('Fleet dates'!$B$9:$B$1008,$I627-8)="","",INDEX('Fleet dates'!$B$9:$B$1008,$I627-8)))</x:f>
      </x:c>
      <x:c r="C627" s="51" t="str">
        <x:f>IF(619&gt;$H$4,"",IF(INDEX('Fleet dates'!$C$9:$C$1008,$I627-8)="","",INDEX('Fleet dates'!$C$9:$C$1008,$I627-8)))</x:f>
      </x:c>
      <x:c r="D627" s="51" t="str">
        <x:f>IF(619&gt;$H$4,"",IF(INDEX('Fleet dates'!$D$9:$D$1008,$I627-8)="","",INDEX('Fleet dates'!$D$9:$D$1008,$I627-8)))</x:f>
      </x:c>
      <x:c r="E627" s="51" t="str">
        <x:f>IF(619&gt;$H$4,"",IF(INDEX('Fleet dates'!$E$9:$E$1008,$I627-8)="","",INDEX('Fleet dates'!$E$9:$E$1008,$I627-8)))</x:f>
      </x:c>
      <x:c r="F627" s="51" t="str">
        <x:f>IF(619&gt;$H$4,"",IF(INDEX('Fleet dates'!$F$9:$F$1008,$I627-8)="","",INDEX('Fleet dates'!$F$9:$F$1008,$I627-8)))</x:f>
      </x:c>
      <x:c r="G627" s="50" t="str">
        <x:f>IF(619&gt;$H$4,"",IF(INDEX('Fleet dates'!$G$9:$G$1008,$I627-8)="","",INDEX('Fleet dates'!$G$9:$G$1008,$I627-8)))</x:f>
      </x:c>
      <x:c r="H627" s="50" t="str">
        <x:f>IF(619&gt;$H$4,"",IF(INDEX('Fleet dates'!$I$9:$I$1008,$I627-8)="","",INDEX('Fleet dates'!$I$9:$I$1008,$I627-8)))</x:f>
      </x:c>
      <x:c r="I627" t="str">
        <x:f>IF(619&gt;$H$4,"",MATCH(619,'Fleet dates'!$K$9:$K$1008,0)+8)</x:f>
      </x:c>
    </x:row>
    <x:row r="628" ht="36" customHeight="1">
      <x:c r="A628" s="50" t="str">
        <x:f>IF(620&gt;$H$4,"",IF(INDEX('Fleet dates'!$A$9:$A$1008,$I628-8)="","",INDEX('Fleet dates'!$A$9:$A$1008,$I628-8)))</x:f>
      </x:c>
      <x:c r="B628" s="50" t="str">
        <x:f>IF(620&gt;$H$4,"",IF(INDEX('Fleet dates'!$B$9:$B$1008,$I628-8)="","",INDEX('Fleet dates'!$B$9:$B$1008,$I628-8)))</x:f>
      </x:c>
      <x:c r="C628" s="51" t="str">
        <x:f>IF(620&gt;$H$4,"",IF(INDEX('Fleet dates'!$C$9:$C$1008,$I628-8)="","",INDEX('Fleet dates'!$C$9:$C$1008,$I628-8)))</x:f>
      </x:c>
      <x:c r="D628" s="51" t="str">
        <x:f>IF(620&gt;$H$4,"",IF(INDEX('Fleet dates'!$D$9:$D$1008,$I628-8)="","",INDEX('Fleet dates'!$D$9:$D$1008,$I628-8)))</x:f>
      </x:c>
      <x:c r="E628" s="51" t="str">
        <x:f>IF(620&gt;$H$4,"",IF(INDEX('Fleet dates'!$E$9:$E$1008,$I628-8)="","",INDEX('Fleet dates'!$E$9:$E$1008,$I628-8)))</x:f>
      </x:c>
      <x:c r="F628" s="51" t="str">
        <x:f>IF(620&gt;$H$4,"",IF(INDEX('Fleet dates'!$F$9:$F$1008,$I628-8)="","",INDEX('Fleet dates'!$F$9:$F$1008,$I628-8)))</x:f>
      </x:c>
      <x:c r="G628" s="50" t="str">
        <x:f>IF(620&gt;$H$4,"",IF(INDEX('Fleet dates'!$G$9:$G$1008,$I628-8)="","",INDEX('Fleet dates'!$G$9:$G$1008,$I628-8)))</x:f>
      </x:c>
      <x:c r="H628" s="50" t="str">
        <x:f>IF(620&gt;$H$4,"",IF(INDEX('Fleet dates'!$I$9:$I$1008,$I628-8)="","",INDEX('Fleet dates'!$I$9:$I$1008,$I628-8)))</x:f>
      </x:c>
      <x:c r="I628" t="str">
        <x:f>IF(620&gt;$H$4,"",MATCH(620,'Fleet dates'!$K$9:$K$1008,0)+8)</x:f>
      </x:c>
    </x:row>
    <x:row r="629" ht="36" customHeight="1">
      <x:c r="A629" s="50" t="str">
        <x:f>IF(621&gt;$H$4,"",IF(INDEX('Fleet dates'!$A$9:$A$1008,$I629-8)="","",INDEX('Fleet dates'!$A$9:$A$1008,$I629-8)))</x:f>
      </x:c>
      <x:c r="B629" s="50" t="str">
        <x:f>IF(621&gt;$H$4,"",IF(INDEX('Fleet dates'!$B$9:$B$1008,$I629-8)="","",INDEX('Fleet dates'!$B$9:$B$1008,$I629-8)))</x:f>
      </x:c>
      <x:c r="C629" s="51" t="str">
        <x:f>IF(621&gt;$H$4,"",IF(INDEX('Fleet dates'!$C$9:$C$1008,$I629-8)="","",INDEX('Fleet dates'!$C$9:$C$1008,$I629-8)))</x:f>
      </x:c>
      <x:c r="D629" s="51" t="str">
        <x:f>IF(621&gt;$H$4,"",IF(INDEX('Fleet dates'!$D$9:$D$1008,$I629-8)="","",INDEX('Fleet dates'!$D$9:$D$1008,$I629-8)))</x:f>
      </x:c>
      <x:c r="E629" s="51" t="str">
        <x:f>IF(621&gt;$H$4,"",IF(INDEX('Fleet dates'!$E$9:$E$1008,$I629-8)="","",INDEX('Fleet dates'!$E$9:$E$1008,$I629-8)))</x:f>
      </x:c>
      <x:c r="F629" s="51" t="str">
        <x:f>IF(621&gt;$H$4,"",IF(INDEX('Fleet dates'!$F$9:$F$1008,$I629-8)="","",INDEX('Fleet dates'!$F$9:$F$1008,$I629-8)))</x:f>
      </x:c>
      <x:c r="G629" s="50" t="str">
        <x:f>IF(621&gt;$H$4,"",IF(INDEX('Fleet dates'!$G$9:$G$1008,$I629-8)="","",INDEX('Fleet dates'!$G$9:$G$1008,$I629-8)))</x:f>
      </x:c>
      <x:c r="H629" s="50" t="str">
        <x:f>IF(621&gt;$H$4,"",IF(INDEX('Fleet dates'!$I$9:$I$1008,$I629-8)="","",INDEX('Fleet dates'!$I$9:$I$1008,$I629-8)))</x:f>
      </x:c>
      <x:c r="I629" t="str">
        <x:f>IF(621&gt;$H$4,"",MATCH(621,'Fleet dates'!$K$9:$K$1008,0)+8)</x:f>
      </x:c>
    </x:row>
    <x:row r="630" ht="36" customHeight="1">
      <x:c r="A630" s="50" t="str">
        <x:f>IF(622&gt;$H$4,"",IF(INDEX('Fleet dates'!$A$9:$A$1008,$I630-8)="","",INDEX('Fleet dates'!$A$9:$A$1008,$I630-8)))</x:f>
      </x:c>
      <x:c r="B630" s="50" t="str">
        <x:f>IF(622&gt;$H$4,"",IF(INDEX('Fleet dates'!$B$9:$B$1008,$I630-8)="","",INDEX('Fleet dates'!$B$9:$B$1008,$I630-8)))</x:f>
      </x:c>
      <x:c r="C630" s="51" t="str">
        <x:f>IF(622&gt;$H$4,"",IF(INDEX('Fleet dates'!$C$9:$C$1008,$I630-8)="","",INDEX('Fleet dates'!$C$9:$C$1008,$I630-8)))</x:f>
      </x:c>
      <x:c r="D630" s="51" t="str">
        <x:f>IF(622&gt;$H$4,"",IF(INDEX('Fleet dates'!$D$9:$D$1008,$I630-8)="","",INDEX('Fleet dates'!$D$9:$D$1008,$I630-8)))</x:f>
      </x:c>
      <x:c r="E630" s="51" t="str">
        <x:f>IF(622&gt;$H$4,"",IF(INDEX('Fleet dates'!$E$9:$E$1008,$I630-8)="","",INDEX('Fleet dates'!$E$9:$E$1008,$I630-8)))</x:f>
      </x:c>
      <x:c r="F630" s="51" t="str">
        <x:f>IF(622&gt;$H$4,"",IF(INDEX('Fleet dates'!$F$9:$F$1008,$I630-8)="","",INDEX('Fleet dates'!$F$9:$F$1008,$I630-8)))</x:f>
      </x:c>
      <x:c r="G630" s="50" t="str">
        <x:f>IF(622&gt;$H$4,"",IF(INDEX('Fleet dates'!$G$9:$G$1008,$I630-8)="","",INDEX('Fleet dates'!$G$9:$G$1008,$I630-8)))</x:f>
      </x:c>
      <x:c r="H630" s="50" t="str">
        <x:f>IF(622&gt;$H$4,"",IF(INDEX('Fleet dates'!$I$9:$I$1008,$I630-8)="","",INDEX('Fleet dates'!$I$9:$I$1008,$I630-8)))</x:f>
      </x:c>
      <x:c r="I630" t="str">
        <x:f>IF(622&gt;$H$4,"",MATCH(622,'Fleet dates'!$K$9:$K$1008,0)+8)</x:f>
      </x:c>
    </x:row>
    <x:row r="631" ht="36" customHeight="1">
      <x:c r="A631" s="50" t="str">
        <x:f>IF(623&gt;$H$4,"",IF(INDEX('Fleet dates'!$A$9:$A$1008,$I631-8)="","",INDEX('Fleet dates'!$A$9:$A$1008,$I631-8)))</x:f>
      </x:c>
      <x:c r="B631" s="50" t="str">
        <x:f>IF(623&gt;$H$4,"",IF(INDEX('Fleet dates'!$B$9:$B$1008,$I631-8)="","",INDEX('Fleet dates'!$B$9:$B$1008,$I631-8)))</x:f>
      </x:c>
      <x:c r="C631" s="51" t="str">
        <x:f>IF(623&gt;$H$4,"",IF(INDEX('Fleet dates'!$C$9:$C$1008,$I631-8)="","",INDEX('Fleet dates'!$C$9:$C$1008,$I631-8)))</x:f>
      </x:c>
      <x:c r="D631" s="51" t="str">
        <x:f>IF(623&gt;$H$4,"",IF(INDEX('Fleet dates'!$D$9:$D$1008,$I631-8)="","",INDEX('Fleet dates'!$D$9:$D$1008,$I631-8)))</x:f>
      </x:c>
      <x:c r="E631" s="51" t="str">
        <x:f>IF(623&gt;$H$4,"",IF(INDEX('Fleet dates'!$E$9:$E$1008,$I631-8)="","",INDEX('Fleet dates'!$E$9:$E$1008,$I631-8)))</x:f>
      </x:c>
      <x:c r="F631" s="51" t="str">
        <x:f>IF(623&gt;$H$4,"",IF(INDEX('Fleet dates'!$F$9:$F$1008,$I631-8)="","",INDEX('Fleet dates'!$F$9:$F$1008,$I631-8)))</x:f>
      </x:c>
      <x:c r="G631" s="50" t="str">
        <x:f>IF(623&gt;$H$4,"",IF(INDEX('Fleet dates'!$G$9:$G$1008,$I631-8)="","",INDEX('Fleet dates'!$G$9:$G$1008,$I631-8)))</x:f>
      </x:c>
      <x:c r="H631" s="50" t="str">
        <x:f>IF(623&gt;$H$4,"",IF(INDEX('Fleet dates'!$I$9:$I$1008,$I631-8)="","",INDEX('Fleet dates'!$I$9:$I$1008,$I631-8)))</x:f>
      </x:c>
      <x:c r="I631" t="str">
        <x:f>IF(623&gt;$H$4,"",MATCH(623,'Fleet dates'!$K$9:$K$1008,0)+8)</x:f>
      </x:c>
    </x:row>
    <x:row r="632" ht="36" customHeight="1">
      <x:c r="A632" s="50" t="str">
        <x:f>IF(624&gt;$H$4,"",IF(INDEX('Fleet dates'!$A$9:$A$1008,$I632-8)="","",INDEX('Fleet dates'!$A$9:$A$1008,$I632-8)))</x:f>
      </x:c>
      <x:c r="B632" s="50" t="str">
        <x:f>IF(624&gt;$H$4,"",IF(INDEX('Fleet dates'!$B$9:$B$1008,$I632-8)="","",INDEX('Fleet dates'!$B$9:$B$1008,$I632-8)))</x:f>
      </x:c>
      <x:c r="C632" s="51" t="str">
        <x:f>IF(624&gt;$H$4,"",IF(INDEX('Fleet dates'!$C$9:$C$1008,$I632-8)="","",INDEX('Fleet dates'!$C$9:$C$1008,$I632-8)))</x:f>
      </x:c>
      <x:c r="D632" s="51" t="str">
        <x:f>IF(624&gt;$H$4,"",IF(INDEX('Fleet dates'!$D$9:$D$1008,$I632-8)="","",INDEX('Fleet dates'!$D$9:$D$1008,$I632-8)))</x:f>
      </x:c>
      <x:c r="E632" s="51" t="str">
        <x:f>IF(624&gt;$H$4,"",IF(INDEX('Fleet dates'!$E$9:$E$1008,$I632-8)="","",INDEX('Fleet dates'!$E$9:$E$1008,$I632-8)))</x:f>
      </x:c>
      <x:c r="F632" s="51" t="str">
        <x:f>IF(624&gt;$H$4,"",IF(INDEX('Fleet dates'!$F$9:$F$1008,$I632-8)="","",INDEX('Fleet dates'!$F$9:$F$1008,$I632-8)))</x:f>
      </x:c>
      <x:c r="G632" s="50" t="str">
        <x:f>IF(624&gt;$H$4,"",IF(INDEX('Fleet dates'!$G$9:$G$1008,$I632-8)="","",INDEX('Fleet dates'!$G$9:$G$1008,$I632-8)))</x:f>
      </x:c>
      <x:c r="H632" s="50" t="str">
        <x:f>IF(624&gt;$H$4,"",IF(INDEX('Fleet dates'!$I$9:$I$1008,$I632-8)="","",INDEX('Fleet dates'!$I$9:$I$1008,$I632-8)))</x:f>
      </x:c>
      <x:c r="I632" t="str">
        <x:f>IF(624&gt;$H$4,"",MATCH(624,'Fleet dates'!$K$9:$K$1008,0)+8)</x:f>
      </x:c>
    </x:row>
    <x:row r="633" ht="36" customHeight="1">
      <x:c r="A633" s="50" t="str">
        <x:f>IF(625&gt;$H$4,"",IF(INDEX('Fleet dates'!$A$9:$A$1008,$I633-8)="","",INDEX('Fleet dates'!$A$9:$A$1008,$I633-8)))</x:f>
      </x:c>
      <x:c r="B633" s="50" t="str">
        <x:f>IF(625&gt;$H$4,"",IF(INDEX('Fleet dates'!$B$9:$B$1008,$I633-8)="","",INDEX('Fleet dates'!$B$9:$B$1008,$I633-8)))</x:f>
      </x:c>
      <x:c r="C633" s="51" t="str">
        <x:f>IF(625&gt;$H$4,"",IF(INDEX('Fleet dates'!$C$9:$C$1008,$I633-8)="","",INDEX('Fleet dates'!$C$9:$C$1008,$I633-8)))</x:f>
      </x:c>
      <x:c r="D633" s="51" t="str">
        <x:f>IF(625&gt;$H$4,"",IF(INDEX('Fleet dates'!$D$9:$D$1008,$I633-8)="","",INDEX('Fleet dates'!$D$9:$D$1008,$I633-8)))</x:f>
      </x:c>
      <x:c r="E633" s="51" t="str">
        <x:f>IF(625&gt;$H$4,"",IF(INDEX('Fleet dates'!$E$9:$E$1008,$I633-8)="","",INDEX('Fleet dates'!$E$9:$E$1008,$I633-8)))</x:f>
      </x:c>
      <x:c r="F633" s="51" t="str">
        <x:f>IF(625&gt;$H$4,"",IF(INDEX('Fleet dates'!$F$9:$F$1008,$I633-8)="","",INDEX('Fleet dates'!$F$9:$F$1008,$I633-8)))</x:f>
      </x:c>
      <x:c r="G633" s="50" t="str">
        <x:f>IF(625&gt;$H$4,"",IF(INDEX('Fleet dates'!$G$9:$G$1008,$I633-8)="","",INDEX('Fleet dates'!$G$9:$G$1008,$I633-8)))</x:f>
      </x:c>
      <x:c r="H633" s="50" t="str">
        <x:f>IF(625&gt;$H$4,"",IF(INDEX('Fleet dates'!$I$9:$I$1008,$I633-8)="","",INDEX('Fleet dates'!$I$9:$I$1008,$I633-8)))</x:f>
      </x:c>
      <x:c r="I633" t="str">
        <x:f>IF(625&gt;$H$4,"",MATCH(625,'Fleet dates'!$K$9:$K$1008,0)+8)</x:f>
      </x:c>
    </x:row>
    <x:row r="634" ht="36" customHeight="1">
      <x:c r="A634" s="50" t="str">
        <x:f>IF(626&gt;$H$4,"",IF(INDEX('Fleet dates'!$A$9:$A$1008,$I634-8)="","",INDEX('Fleet dates'!$A$9:$A$1008,$I634-8)))</x:f>
      </x:c>
      <x:c r="B634" s="50" t="str">
        <x:f>IF(626&gt;$H$4,"",IF(INDEX('Fleet dates'!$B$9:$B$1008,$I634-8)="","",INDEX('Fleet dates'!$B$9:$B$1008,$I634-8)))</x:f>
      </x:c>
      <x:c r="C634" s="51" t="str">
        <x:f>IF(626&gt;$H$4,"",IF(INDEX('Fleet dates'!$C$9:$C$1008,$I634-8)="","",INDEX('Fleet dates'!$C$9:$C$1008,$I634-8)))</x:f>
      </x:c>
      <x:c r="D634" s="51" t="str">
        <x:f>IF(626&gt;$H$4,"",IF(INDEX('Fleet dates'!$D$9:$D$1008,$I634-8)="","",INDEX('Fleet dates'!$D$9:$D$1008,$I634-8)))</x:f>
      </x:c>
      <x:c r="E634" s="51" t="str">
        <x:f>IF(626&gt;$H$4,"",IF(INDEX('Fleet dates'!$E$9:$E$1008,$I634-8)="","",INDEX('Fleet dates'!$E$9:$E$1008,$I634-8)))</x:f>
      </x:c>
      <x:c r="F634" s="51" t="str">
        <x:f>IF(626&gt;$H$4,"",IF(INDEX('Fleet dates'!$F$9:$F$1008,$I634-8)="","",INDEX('Fleet dates'!$F$9:$F$1008,$I634-8)))</x:f>
      </x:c>
      <x:c r="G634" s="50" t="str">
        <x:f>IF(626&gt;$H$4,"",IF(INDEX('Fleet dates'!$G$9:$G$1008,$I634-8)="","",INDEX('Fleet dates'!$G$9:$G$1008,$I634-8)))</x:f>
      </x:c>
      <x:c r="H634" s="50" t="str">
        <x:f>IF(626&gt;$H$4,"",IF(INDEX('Fleet dates'!$I$9:$I$1008,$I634-8)="","",INDEX('Fleet dates'!$I$9:$I$1008,$I634-8)))</x:f>
      </x:c>
      <x:c r="I634" t="str">
        <x:f>IF(626&gt;$H$4,"",MATCH(626,'Fleet dates'!$K$9:$K$1008,0)+8)</x:f>
      </x:c>
    </x:row>
    <x:row r="635" ht="36" customHeight="1">
      <x:c r="A635" s="50" t="str">
        <x:f>IF(627&gt;$H$4,"",IF(INDEX('Fleet dates'!$A$9:$A$1008,$I635-8)="","",INDEX('Fleet dates'!$A$9:$A$1008,$I635-8)))</x:f>
      </x:c>
      <x:c r="B635" s="50" t="str">
        <x:f>IF(627&gt;$H$4,"",IF(INDEX('Fleet dates'!$B$9:$B$1008,$I635-8)="","",INDEX('Fleet dates'!$B$9:$B$1008,$I635-8)))</x:f>
      </x:c>
      <x:c r="C635" s="51" t="str">
        <x:f>IF(627&gt;$H$4,"",IF(INDEX('Fleet dates'!$C$9:$C$1008,$I635-8)="","",INDEX('Fleet dates'!$C$9:$C$1008,$I635-8)))</x:f>
      </x:c>
      <x:c r="D635" s="51" t="str">
        <x:f>IF(627&gt;$H$4,"",IF(INDEX('Fleet dates'!$D$9:$D$1008,$I635-8)="","",INDEX('Fleet dates'!$D$9:$D$1008,$I635-8)))</x:f>
      </x:c>
      <x:c r="E635" s="51" t="str">
        <x:f>IF(627&gt;$H$4,"",IF(INDEX('Fleet dates'!$E$9:$E$1008,$I635-8)="","",INDEX('Fleet dates'!$E$9:$E$1008,$I635-8)))</x:f>
      </x:c>
      <x:c r="F635" s="51" t="str">
        <x:f>IF(627&gt;$H$4,"",IF(INDEX('Fleet dates'!$F$9:$F$1008,$I635-8)="","",INDEX('Fleet dates'!$F$9:$F$1008,$I635-8)))</x:f>
      </x:c>
      <x:c r="G635" s="50" t="str">
        <x:f>IF(627&gt;$H$4,"",IF(INDEX('Fleet dates'!$G$9:$G$1008,$I635-8)="","",INDEX('Fleet dates'!$G$9:$G$1008,$I635-8)))</x:f>
      </x:c>
      <x:c r="H635" s="50" t="str">
        <x:f>IF(627&gt;$H$4,"",IF(INDEX('Fleet dates'!$I$9:$I$1008,$I635-8)="","",INDEX('Fleet dates'!$I$9:$I$1008,$I635-8)))</x:f>
      </x:c>
      <x:c r="I635" t="str">
        <x:f>IF(627&gt;$H$4,"",MATCH(627,'Fleet dates'!$K$9:$K$1008,0)+8)</x:f>
      </x:c>
    </x:row>
    <x:row r="636" ht="36" customHeight="1">
      <x:c r="A636" s="50" t="str">
        <x:f>IF(628&gt;$H$4,"",IF(INDEX('Fleet dates'!$A$9:$A$1008,$I636-8)="","",INDEX('Fleet dates'!$A$9:$A$1008,$I636-8)))</x:f>
      </x:c>
      <x:c r="B636" s="50" t="str">
        <x:f>IF(628&gt;$H$4,"",IF(INDEX('Fleet dates'!$B$9:$B$1008,$I636-8)="","",INDEX('Fleet dates'!$B$9:$B$1008,$I636-8)))</x:f>
      </x:c>
      <x:c r="C636" s="51" t="str">
        <x:f>IF(628&gt;$H$4,"",IF(INDEX('Fleet dates'!$C$9:$C$1008,$I636-8)="","",INDEX('Fleet dates'!$C$9:$C$1008,$I636-8)))</x:f>
      </x:c>
      <x:c r="D636" s="51" t="str">
        <x:f>IF(628&gt;$H$4,"",IF(INDEX('Fleet dates'!$D$9:$D$1008,$I636-8)="","",INDEX('Fleet dates'!$D$9:$D$1008,$I636-8)))</x:f>
      </x:c>
      <x:c r="E636" s="51" t="str">
        <x:f>IF(628&gt;$H$4,"",IF(INDEX('Fleet dates'!$E$9:$E$1008,$I636-8)="","",INDEX('Fleet dates'!$E$9:$E$1008,$I636-8)))</x:f>
      </x:c>
      <x:c r="F636" s="51" t="str">
        <x:f>IF(628&gt;$H$4,"",IF(INDEX('Fleet dates'!$F$9:$F$1008,$I636-8)="","",INDEX('Fleet dates'!$F$9:$F$1008,$I636-8)))</x:f>
      </x:c>
      <x:c r="G636" s="50" t="str">
        <x:f>IF(628&gt;$H$4,"",IF(INDEX('Fleet dates'!$G$9:$G$1008,$I636-8)="","",INDEX('Fleet dates'!$G$9:$G$1008,$I636-8)))</x:f>
      </x:c>
      <x:c r="H636" s="50" t="str">
        <x:f>IF(628&gt;$H$4,"",IF(INDEX('Fleet dates'!$I$9:$I$1008,$I636-8)="","",INDEX('Fleet dates'!$I$9:$I$1008,$I636-8)))</x:f>
      </x:c>
      <x:c r="I636" t="str">
        <x:f>IF(628&gt;$H$4,"",MATCH(628,'Fleet dates'!$K$9:$K$1008,0)+8)</x:f>
      </x:c>
    </x:row>
    <x:row r="637" ht="36" customHeight="1">
      <x:c r="A637" s="50" t="str">
        <x:f>IF(629&gt;$H$4,"",IF(INDEX('Fleet dates'!$A$9:$A$1008,$I637-8)="","",INDEX('Fleet dates'!$A$9:$A$1008,$I637-8)))</x:f>
      </x:c>
      <x:c r="B637" s="50" t="str">
        <x:f>IF(629&gt;$H$4,"",IF(INDEX('Fleet dates'!$B$9:$B$1008,$I637-8)="","",INDEX('Fleet dates'!$B$9:$B$1008,$I637-8)))</x:f>
      </x:c>
      <x:c r="C637" s="51" t="str">
        <x:f>IF(629&gt;$H$4,"",IF(INDEX('Fleet dates'!$C$9:$C$1008,$I637-8)="","",INDEX('Fleet dates'!$C$9:$C$1008,$I637-8)))</x:f>
      </x:c>
      <x:c r="D637" s="51" t="str">
        <x:f>IF(629&gt;$H$4,"",IF(INDEX('Fleet dates'!$D$9:$D$1008,$I637-8)="","",INDEX('Fleet dates'!$D$9:$D$1008,$I637-8)))</x:f>
      </x:c>
      <x:c r="E637" s="51" t="str">
        <x:f>IF(629&gt;$H$4,"",IF(INDEX('Fleet dates'!$E$9:$E$1008,$I637-8)="","",INDEX('Fleet dates'!$E$9:$E$1008,$I637-8)))</x:f>
      </x:c>
      <x:c r="F637" s="51" t="str">
        <x:f>IF(629&gt;$H$4,"",IF(INDEX('Fleet dates'!$F$9:$F$1008,$I637-8)="","",INDEX('Fleet dates'!$F$9:$F$1008,$I637-8)))</x:f>
      </x:c>
      <x:c r="G637" s="50" t="str">
        <x:f>IF(629&gt;$H$4,"",IF(INDEX('Fleet dates'!$G$9:$G$1008,$I637-8)="","",INDEX('Fleet dates'!$G$9:$G$1008,$I637-8)))</x:f>
      </x:c>
      <x:c r="H637" s="50" t="str">
        <x:f>IF(629&gt;$H$4,"",IF(INDEX('Fleet dates'!$I$9:$I$1008,$I637-8)="","",INDEX('Fleet dates'!$I$9:$I$1008,$I637-8)))</x:f>
      </x:c>
      <x:c r="I637" t="str">
        <x:f>IF(629&gt;$H$4,"",MATCH(629,'Fleet dates'!$K$9:$K$1008,0)+8)</x:f>
      </x:c>
    </x:row>
    <x:row r="638" ht="36" customHeight="1">
      <x:c r="A638" s="50" t="str">
        <x:f>IF(630&gt;$H$4,"",IF(INDEX('Fleet dates'!$A$9:$A$1008,$I638-8)="","",INDEX('Fleet dates'!$A$9:$A$1008,$I638-8)))</x:f>
      </x:c>
      <x:c r="B638" s="50" t="str">
        <x:f>IF(630&gt;$H$4,"",IF(INDEX('Fleet dates'!$B$9:$B$1008,$I638-8)="","",INDEX('Fleet dates'!$B$9:$B$1008,$I638-8)))</x:f>
      </x:c>
      <x:c r="C638" s="51" t="str">
        <x:f>IF(630&gt;$H$4,"",IF(INDEX('Fleet dates'!$C$9:$C$1008,$I638-8)="","",INDEX('Fleet dates'!$C$9:$C$1008,$I638-8)))</x:f>
      </x:c>
      <x:c r="D638" s="51" t="str">
        <x:f>IF(630&gt;$H$4,"",IF(INDEX('Fleet dates'!$D$9:$D$1008,$I638-8)="","",INDEX('Fleet dates'!$D$9:$D$1008,$I638-8)))</x:f>
      </x:c>
      <x:c r="E638" s="51" t="str">
        <x:f>IF(630&gt;$H$4,"",IF(INDEX('Fleet dates'!$E$9:$E$1008,$I638-8)="","",INDEX('Fleet dates'!$E$9:$E$1008,$I638-8)))</x:f>
      </x:c>
      <x:c r="F638" s="51" t="str">
        <x:f>IF(630&gt;$H$4,"",IF(INDEX('Fleet dates'!$F$9:$F$1008,$I638-8)="","",INDEX('Fleet dates'!$F$9:$F$1008,$I638-8)))</x:f>
      </x:c>
      <x:c r="G638" s="50" t="str">
        <x:f>IF(630&gt;$H$4,"",IF(INDEX('Fleet dates'!$G$9:$G$1008,$I638-8)="","",INDEX('Fleet dates'!$G$9:$G$1008,$I638-8)))</x:f>
      </x:c>
      <x:c r="H638" s="50" t="str">
        <x:f>IF(630&gt;$H$4,"",IF(INDEX('Fleet dates'!$I$9:$I$1008,$I638-8)="","",INDEX('Fleet dates'!$I$9:$I$1008,$I638-8)))</x:f>
      </x:c>
      <x:c r="I638" t="str">
        <x:f>IF(630&gt;$H$4,"",MATCH(630,'Fleet dates'!$K$9:$K$1008,0)+8)</x:f>
      </x:c>
    </x:row>
    <x:row r="639" ht="36" customHeight="1">
      <x:c r="A639" s="50" t="str">
        <x:f>IF(631&gt;$H$4,"",IF(INDEX('Fleet dates'!$A$9:$A$1008,$I639-8)="","",INDEX('Fleet dates'!$A$9:$A$1008,$I639-8)))</x:f>
      </x:c>
      <x:c r="B639" s="50" t="str">
        <x:f>IF(631&gt;$H$4,"",IF(INDEX('Fleet dates'!$B$9:$B$1008,$I639-8)="","",INDEX('Fleet dates'!$B$9:$B$1008,$I639-8)))</x:f>
      </x:c>
      <x:c r="C639" s="51" t="str">
        <x:f>IF(631&gt;$H$4,"",IF(INDEX('Fleet dates'!$C$9:$C$1008,$I639-8)="","",INDEX('Fleet dates'!$C$9:$C$1008,$I639-8)))</x:f>
      </x:c>
      <x:c r="D639" s="51" t="str">
        <x:f>IF(631&gt;$H$4,"",IF(INDEX('Fleet dates'!$D$9:$D$1008,$I639-8)="","",INDEX('Fleet dates'!$D$9:$D$1008,$I639-8)))</x:f>
      </x:c>
      <x:c r="E639" s="51" t="str">
        <x:f>IF(631&gt;$H$4,"",IF(INDEX('Fleet dates'!$E$9:$E$1008,$I639-8)="","",INDEX('Fleet dates'!$E$9:$E$1008,$I639-8)))</x:f>
      </x:c>
      <x:c r="F639" s="51" t="str">
        <x:f>IF(631&gt;$H$4,"",IF(INDEX('Fleet dates'!$F$9:$F$1008,$I639-8)="","",INDEX('Fleet dates'!$F$9:$F$1008,$I639-8)))</x:f>
      </x:c>
      <x:c r="G639" s="50" t="str">
        <x:f>IF(631&gt;$H$4,"",IF(INDEX('Fleet dates'!$G$9:$G$1008,$I639-8)="","",INDEX('Fleet dates'!$G$9:$G$1008,$I639-8)))</x:f>
      </x:c>
      <x:c r="H639" s="50" t="str">
        <x:f>IF(631&gt;$H$4,"",IF(INDEX('Fleet dates'!$I$9:$I$1008,$I639-8)="","",INDEX('Fleet dates'!$I$9:$I$1008,$I639-8)))</x:f>
      </x:c>
      <x:c r="I639" t="str">
        <x:f>IF(631&gt;$H$4,"",MATCH(631,'Fleet dates'!$K$9:$K$1008,0)+8)</x:f>
      </x:c>
    </x:row>
    <x:row r="640" ht="36" customHeight="1">
      <x:c r="A640" s="50" t="str">
        <x:f>IF(632&gt;$H$4,"",IF(INDEX('Fleet dates'!$A$9:$A$1008,$I640-8)="","",INDEX('Fleet dates'!$A$9:$A$1008,$I640-8)))</x:f>
      </x:c>
      <x:c r="B640" s="50" t="str">
        <x:f>IF(632&gt;$H$4,"",IF(INDEX('Fleet dates'!$B$9:$B$1008,$I640-8)="","",INDEX('Fleet dates'!$B$9:$B$1008,$I640-8)))</x:f>
      </x:c>
      <x:c r="C640" s="51" t="str">
        <x:f>IF(632&gt;$H$4,"",IF(INDEX('Fleet dates'!$C$9:$C$1008,$I640-8)="","",INDEX('Fleet dates'!$C$9:$C$1008,$I640-8)))</x:f>
      </x:c>
      <x:c r="D640" s="51" t="str">
        <x:f>IF(632&gt;$H$4,"",IF(INDEX('Fleet dates'!$D$9:$D$1008,$I640-8)="","",INDEX('Fleet dates'!$D$9:$D$1008,$I640-8)))</x:f>
      </x:c>
      <x:c r="E640" s="51" t="str">
        <x:f>IF(632&gt;$H$4,"",IF(INDEX('Fleet dates'!$E$9:$E$1008,$I640-8)="","",INDEX('Fleet dates'!$E$9:$E$1008,$I640-8)))</x:f>
      </x:c>
      <x:c r="F640" s="51" t="str">
        <x:f>IF(632&gt;$H$4,"",IF(INDEX('Fleet dates'!$F$9:$F$1008,$I640-8)="","",INDEX('Fleet dates'!$F$9:$F$1008,$I640-8)))</x:f>
      </x:c>
      <x:c r="G640" s="50" t="str">
        <x:f>IF(632&gt;$H$4,"",IF(INDEX('Fleet dates'!$G$9:$G$1008,$I640-8)="","",INDEX('Fleet dates'!$G$9:$G$1008,$I640-8)))</x:f>
      </x:c>
      <x:c r="H640" s="50" t="str">
        <x:f>IF(632&gt;$H$4,"",IF(INDEX('Fleet dates'!$I$9:$I$1008,$I640-8)="","",INDEX('Fleet dates'!$I$9:$I$1008,$I640-8)))</x:f>
      </x:c>
      <x:c r="I640" t="str">
        <x:f>IF(632&gt;$H$4,"",MATCH(632,'Fleet dates'!$K$9:$K$1008,0)+8)</x:f>
      </x:c>
    </x:row>
    <x:row r="641" ht="36" customHeight="1">
      <x:c r="A641" s="50" t="str">
        <x:f>IF(633&gt;$H$4,"",IF(INDEX('Fleet dates'!$A$9:$A$1008,$I641-8)="","",INDEX('Fleet dates'!$A$9:$A$1008,$I641-8)))</x:f>
      </x:c>
      <x:c r="B641" s="50" t="str">
        <x:f>IF(633&gt;$H$4,"",IF(INDEX('Fleet dates'!$B$9:$B$1008,$I641-8)="","",INDEX('Fleet dates'!$B$9:$B$1008,$I641-8)))</x:f>
      </x:c>
      <x:c r="C641" s="51" t="str">
        <x:f>IF(633&gt;$H$4,"",IF(INDEX('Fleet dates'!$C$9:$C$1008,$I641-8)="","",INDEX('Fleet dates'!$C$9:$C$1008,$I641-8)))</x:f>
      </x:c>
      <x:c r="D641" s="51" t="str">
        <x:f>IF(633&gt;$H$4,"",IF(INDEX('Fleet dates'!$D$9:$D$1008,$I641-8)="","",INDEX('Fleet dates'!$D$9:$D$1008,$I641-8)))</x:f>
      </x:c>
      <x:c r="E641" s="51" t="str">
        <x:f>IF(633&gt;$H$4,"",IF(INDEX('Fleet dates'!$E$9:$E$1008,$I641-8)="","",INDEX('Fleet dates'!$E$9:$E$1008,$I641-8)))</x:f>
      </x:c>
      <x:c r="F641" s="51" t="str">
        <x:f>IF(633&gt;$H$4,"",IF(INDEX('Fleet dates'!$F$9:$F$1008,$I641-8)="","",INDEX('Fleet dates'!$F$9:$F$1008,$I641-8)))</x:f>
      </x:c>
      <x:c r="G641" s="50" t="str">
        <x:f>IF(633&gt;$H$4,"",IF(INDEX('Fleet dates'!$G$9:$G$1008,$I641-8)="","",INDEX('Fleet dates'!$G$9:$G$1008,$I641-8)))</x:f>
      </x:c>
      <x:c r="H641" s="50" t="str">
        <x:f>IF(633&gt;$H$4,"",IF(INDEX('Fleet dates'!$I$9:$I$1008,$I641-8)="","",INDEX('Fleet dates'!$I$9:$I$1008,$I641-8)))</x:f>
      </x:c>
      <x:c r="I641" t="str">
        <x:f>IF(633&gt;$H$4,"",MATCH(633,'Fleet dates'!$K$9:$K$1008,0)+8)</x:f>
      </x:c>
    </x:row>
    <x:row r="642" ht="36" customHeight="1">
      <x:c r="A642" s="50" t="str">
        <x:f>IF(634&gt;$H$4,"",IF(INDEX('Fleet dates'!$A$9:$A$1008,$I642-8)="","",INDEX('Fleet dates'!$A$9:$A$1008,$I642-8)))</x:f>
      </x:c>
      <x:c r="B642" s="50" t="str">
        <x:f>IF(634&gt;$H$4,"",IF(INDEX('Fleet dates'!$B$9:$B$1008,$I642-8)="","",INDEX('Fleet dates'!$B$9:$B$1008,$I642-8)))</x:f>
      </x:c>
      <x:c r="C642" s="51" t="str">
        <x:f>IF(634&gt;$H$4,"",IF(INDEX('Fleet dates'!$C$9:$C$1008,$I642-8)="","",INDEX('Fleet dates'!$C$9:$C$1008,$I642-8)))</x:f>
      </x:c>
      <x:c r="D642" s="51" t="str">
        <x:f>IF(634&gt;$H$4,"",IF(INDEX('Fleet dates'!$D$9:$D$1008,$I642-8)="","",INDEX('Fleet dates'!$D$9:$D$1008,$I642-8)))</x:f>
      </x:c>
      <x:c r="E642" s="51" t="str">
        <x:f>IF(634&gt;$H$4,"",IF(INDEX('Fleet dates'!$E$9:$E$1008,$I642-8)="","",INDEX('Fleet dates'!$E$9:$E$1008,$I642-8)))</x:f>
      </x:c>
      <x:c r="F642" s="51" t="str">
        <x:f>IF(634&gt;$H$4,"",IF(INDEX('Fleet dates'!$F$9:$F$1008,$I642-8)="","",INDEX('Fleet dates'!$F$9:$F$1008,$I642-8)))</x:f>
      </x:c>
      <x:c r="G642" s="50" t="str">
        <x:f>IF(634&gt;$H$4,"",IF(INDEX('Fleet dates'!$G$9:$G$1008,$I642-8)="","",INDEX('Fleet dates'!$G$9:$G$1008,$I642-8)))</x:f>
      </x:c>
      <x:c r="H642" s="50" t="str">
        <x:f>IF(634&gt;$H$4,"",IF(INDEX('Fleet dates'!$I$9:$I$1008,$I642-8)="","",INDEX('Fleet dates'!$I$9:$I$1008,$I642-8)))</x:f>
      </x:c>
      <x:c r="I642" t="str">
        <x:f>IF(634&gt;$H$4,"",MATCH(634,'Fleet dates'!$K$9:$K$1008,0)+8)</x:f>
      </x:c>
    </x:row>
    <x:row r="643" ht="36" customHeight="1">
      <x:c r="A643" s="50" t="str">
        <x:f>IF(635&gt;$H$4,"",IF(INDEX('Fleet dates'!$A$9:$A$1008,$I643-8)="","",INDEX('Fleet dates'!$A$9:$A$1008,$I643-8)))</x:f>
      </x:c>
      <x:c r="B643" s="50" t="str">
        <x:f>IF(635&gt;$H$4,"",IF(INDEX('Fleet dates'!$B$9:$B$1008,$I643-8)="","",INDEX('Fleet dates'!$B$9:$B$1008,$I643-8)))</x:f>
      </x:c>
      <x:c r="C643" s="51" t="str">
        <x:f>IF(635&gt;$H$4,"",IF(INDEX('Fleet dates'!$C$9:$C$1008,$I643-8)="","",INDEX('Fleet dates'!$C$9:$C$1008,$I643-8)))</x:f>
      </x:c>
      <x:c r="D643" s="51" t="str">
        <x:f>IF(635&gt;$H$4,"",IF(INDEX('Fleet dates'!$D$9:$D$1008,$I643-8)="","",INDEX('Fleet dates'!$D$9:$D$1008,$I643-8)))</x:f>
      </x:c>
      <x:c r="E643" s="51" t="str">
        <x:f>IF(635&gt;$H$4,"",IF(INDEX('Fleet dates'!$E$9:$E$1008,$I643-8)="","",INDEX('Fleet dates'!$E$9:$E$1008,$I643-8)))</x:f>
      </x:c>
      <x:c r="F643" s="51" t="str">
        <x:f>IF(635&gt;$H$4,"",IF(INDEX('Fleet dates'!$F$9:$F$1008,$I643-8)="","",INDEX('Fleet dates'!$F$9:$F$1008,$I643-8)))</x:f>
      </x:c>
      <x:c r="G643" s="50" t="str">
        <x:f>IF(635&gt;$H$4,"",IF(INDEX('Fleet dates'!$G$9:$G$1008,$I643-8)="","",INDEX('Fleet dates'!$G$9:$G$1008,$I643-8)))</x:f>
      </x:c>
      <x:c r="H643" s="50" t="str">
        <x:f>IF(635&gt;$H$4,"",IF(INDEX('Fleet dates'!$I$9:$I$1008,$I643-8)="","",INDEX('Fleet dates'!$I$9:$I$1008,$I643-8)))</x:f>
      </x:c>
      <x:c r="I643" t="str">
        <x:f>IF(635&gt;$H$4,"",MATCH(635,'Fleet dates'!$K$9:$K$1008,0)+8)</x:f>
      </x:c>
    </x:row>
    <x:row r="644" ht="36" customHeight="1">
      <x:c r="A644" s="50" t="str">
        <x:f>IF(636&gt;$H$4,"",IF(INDEX('Fleet dates'!$A$9:$A$1008,$I644-8)="","",INDEX('Fleet dates'!$A$9:$A$1008,$I644-8)))</x:f>
      </x:c>
      <x:c r="B644" s="50" t="str">
        <x:f>IF(636&gt;$H$4,"",IF(INDEX('Fleet dates'!$B$9:$B$1008,$I644-8)="","",INDEX('Fleet dates'!$B$9:$B$1008,$I644-8)))</x:f>
      </x:c>
      <x:c r="C644" s="51" t="str">
        <x:f>IF(636&gt;$H$4,"",IF(INDEX('Fleet dates'!$C$9:$C$1008,$I644-8)="","",INDEX('Fleet dates'!$C$9:$C$1008,$I644-8)))</x:f>
      </x:c>
      <x:c r="D644" s="51" t="str">
        <x:f>IF(636&gt;$H$4,"",IF(INDEX('Fleet dates'!$D$9:$D$1008,$I644-8)="","",INDEX('Fleet dates'!$D$9:$D$1008,$I644-8)))</x:f>
      </x:c>
      <x:c r="E644" s="51" t="str">
        <x:f>IF(636&gt;$H$4,"",IF(INDEX('Fleet dates'!$E$9:$E$1008,$I644-8)="","",INDEX('Fleet dates'!$E$9:$E$1008,$I644-8)))</x:f>
      </x:c>
      <x:c r="F644" s="51" t="str">
        <x:f>IF(636&gt;$H$4,"",IF(INDEX('Fleet dates'!$F$9:$F$1008,$I644-8)="","",INDEX('Fleet dates'!$F$9:$F$1008,$I644-8)))</x:f>
      </x:c>
      <x:c r="G644" s="50" t="str">
        <x:f>IF(636&gt;$H$4,"",IF(INDEX('Fleet dates'!$G$9:$G$1008,$I644-8)="","",INDEX('Fleet dates'!$G$9:$G$1008,$I644-8)))</x:f>
      </x:c>
      <x:c r="H644" s="50" t="str">
        <x:f>IF(636&gt;$H$4,"",IF(INDEX('Fleet dates'!$I$9:$I$1008,$I644-8)="","",INDEX('Fleet dates'!$I$9:$I$1008,$I644-8)))</x:f>
      </x:c>
      <x:c r="I644" t="str">
        <x:f>IF(636&gt;$H$4,"",MATCH(636,'Fleet dates'!$K$9:$K$1008,0)+8)</x:f>
      </x:c>
    </x:row>
    <x:row r="645" ht="36" customHeight="1">
      <x:c r="A645" s="50" t="str">
        <x:f>IF(637&gt;$H$4,"",IF(INDEX('Fleet dates'!$A$9:$A$1008,$I645-8)="","",INDEX('Fleet dates'!$A$9:$A$1008,$I645-8)))</x:f>
      </x:c>
      <x:c r="B645" s="50" t="str">
        <x:f>IF(637&gt;$H$4,"",IF(INDEX('Fleet dates'!$B$9:$B$1008,$I645-8)="","",INDEX('Fleet dates'!$B$9:$B$1008,$I645-8)))</x:f>
      </x:c>
      <x:c r="C645" s="51" t="str">
        <x:f>IF(637&gt;$H$4,"",IF(INDEX('Fleet dates'!$C$9:$C$1008,$I645-8)="","",INDEX('Fleet dates'!$C$9:$C$1008,$I645-8)))</x:f>
      </x:c>
      <x:c r="D645" s="51" t="str">
        <x:f>IF(637&gt;$H$4,"",IF(INDEX('Fleet dates'!$D$9:$D$1008,$I645-8)="","",INDEX('Fleet dates'!$D$9:$D$1008,$I645-8)))</x:f>
      </x:c>
      <x:c r="E645" s="51" t="str">
        <x:f>IF(637&gt;$H$4,"",IF(INDEX('Fleet dates'!$E$9:$E$1008,$I645-8)="","",INDEX('Fleet dates'!$E$9:$E$1008,$I645-8)))</x:f>
      </x:c>
      <x:c r="F645" s="51" t="str">
        <x:f>IF(637&gt;$H$4,"",IF(INDEX('Fleet dates'!$F$9:$F$1008,$I645-8)="","",INDEX('Fleet dates'!$F$9:$F$1008,$I645-8)))</x:f>
      </x:c>
      <x:c r="G645" s="50" t="str">
        <x:f>IF(637&gt;$H$4,"",IF(INDEX('Fleet dates'!$G$9:$G$1008,$I645-8)="","",INDEX('Fleet dates'!$G$9:$G$1008,$I645-8)))</x:f>
      </x:c>
      <x:c r="H645" s="50" t="str">
        <x:f>IF(637&gt;$H$4,"",IF(INDEX('Fleet dates'!$I$9:$I$1008,$I645-8)="","",INDEX('Fleet dates'!$I$9:$I$1008,$I645-8)))</x:f>
      </x:c>
      <x:c r="I645" t="str">
        <x:f>IF(637&gt;$H$4,"",MATCH(637,'Fleet dates'!$K$9:$K$1008,0)+8)</x:f>
      </x:c>
    </x:row>
    <x:row r="646" ht="36" customHeight="1">
      <x:c r="A646" s="50" t="str">
        <x:f>IF(638&gt;$H$4,"",IF(INDEX('Fleet dates'!$A$9:$A$1008,$I646-8)="","",INDEX('Fleet dates'!$A$9:$A$1008,$I646-8)))</x:f>
      </x:c>
      <x:c r="B646" s="50" t="str">
        <x:f>IF(638&gt;$H$4,"",IF(INDEX('Fleet dates'!$B$9:$B$1008,$I646-8)="","",INDEX('Fleet dates'!$B$9:$B$1008,$I646-8)))</x:f>
      </x:c>
      <x:c r="C646" s="51" t="str">
        <x:f>IF(638&gt;$H$4,"",IF(INDEX('Fleet dates'!$C$9:$C$1008,$I646-8)="","",INDEX('Fleet dates'!$C$9:$C$1008,$I646-8)))</x:f>
      </x:c>
      <x:c r="D646" s="51" t="str">
        <x:f>IF(638&gt;$H$4,"",IF(INDEX('Fleet dates'!$D$9:$D$1008,$I646-8)="","",INDEX('Fleet dates'!$D$9:$D$1008,$I646-8)))</x:f>
      </x:c>
      <x:c r="E646" s="51" t="str">
        <x:f>IF(638&gt;$H$4,"",IF(INDEX('Fleet dates'!$E$9:$E$1008,$I646-8)="","",INDEX('Fleet dates'!$E$9:$E$1008,$I646-8)))</x:f>
      </x:c>
      <x:c r="F646" s="51" t="str">
        <x:f>IF(638&gt;$H$4,"",IF(INDEX('Fleet dates'!$F$9:$F$1008,$I646-8)="","",INDEX('Fleet dates'!$F$9:$F$1008,$I646-8)))</x:f>
      </x:c>
      <x:c r="G646" s="50" t="str">
        <x:f>IF(638&gt;$H$4,"",IF(INDEX('Fleet dates'!$G$9:$G$1008,$I646-8)="","",INDEX('Fleet dates'!$G$9:$G$1008,$I646-8)))</x:f>
      </x:c>
      <x:c r="H646" s="50" t="str">
        <x:f>IF(638&gt;$H$4,"",IF(INDEX('Fleet dates'!$I$9:$I$1008,$I646-8)="","",INDEX('Fleet dates'!$I$9:$I$1008,$I646-8)))</x:f>
      </x:c>
      <x:c r="I646" t="str">
        <x:f>IF(638&gt;$H$4,"",MATCH(638,'Fleet dates'!$K$9:$K$1008,0)+8)</x:f>
      </x:c>
    </x:row>
    <x:row r="647" ht="36" customHeight="1">
      <x:c r="A647" s="50" t="str">
        <x:f>IF(639&gt;$H$4,"",IF(INDEX('Fleet dates'!$A$9:$A$1008,$I647-8)="","",INDEX('Fleet dates'!$A$9:$A$1008,$I647-8)))</x:f>
      </x:c>
      <x:c r="B647" s="50" t="str">
        <x:f>IF(639&gt;$H$4,"",IF(INDEX('Fleet dates'!$B$9:$B$1008,$I647-8)="","",INDEX('Fleet dates'!$B$9:$B$1008,$I647-8)))</x:f>
      </x:c>
      <x:c r="C647" s="51" t="str">
        <x:f>IF(639&gt;$H$4,"",IF(INDEX('Fleet dates'!$C$9:$C$1008,$I647-8)="","",INDEX('Fleet dates'!$C$9:$C$1008,$I647-8)))</x:f>
      </x:c>
      <x:c r="D647" s="51" t="str">
        <x:f>IF(639&gt;$H$4,"",IF(INDEX('Fleet dates'!$D$9:$D$1008,$I647-8)="","",INDEX('Fleet dates'!$D$9:$D$1008,$I647-8)))</x:f>
      </x:c>
      <x:c r="E647" s="51" t="str">
        <x:f>IF(639&gt;$H$4,"",IF(INDEX('Fleet dates'!$E$9:$E$1008,$I647-8)="","",INDEX('Fleet dates'!$E$9:$E$1008,$I647-8)))</x:f>
      </x:c>
      <x:c r="F647" s="51" t="str">
        <x:f>IF(639&gt;$H$4,"",IF(INDEX('Fleet dates'!$F$9:$F$1008,$I647-8)="","",INDEX('Fleet dates'!$F$9:$F$1008,$I647-8)))</x:f>
      </x:c>
      <x:c r="G647" s="50" t="str">
        <x:f>IF(639&gt;$H$4,"",IF(INDEX('Fleet dates'!$G$9:$G$1008,$I647-8)="","",INDEX('Fleet dates'!$G$9:$G$1008,$I647-8)))</x:f>
      </x:c>
      <x:c r="H647" s="50" t="str">
        <x:f>IF(639&gt;$H$4,"",IF(INDEX('Fleet dates'!$I$9:$I$1008,$I647-8)="","",INDEX('Fleet dates'!$I$9:$I$1008,$I647-8)))</x:f>
      </x:c>
      <x:c r="I647" t="str">
        <x:f>IF(639&gt;$H$4,"",MATCH(639,'Fleet dates'!$K$9:$K$1008,0)+8)</x:f>
      </x:c>
    </x:row>
    <x:row r="648" ht="36" customHeight="1">
      <x:c r="A648" s="50" t="str">
        <x:f>IF(640&gt;$H$4,"",IF(INDEX('Fleet dates'!$A$9:$A$1008,$I648-8)="","",INDEX('Fleet dates'!$A$9:$A$1008,$I648-8)))</x:f>
      </x:c>
      <x:c r="B648" s="50" t="str">
        <x:f>IF(640&gt;$H$4,"",IF(INDEX('Fleet dates'!$B$9:$B$1008,$I648-8)="","",INDEX('Fleet dates'!$B$9:$B$1008,$I648-8)))</x:f>
      </x:c>
      <x:c r="C648" s="51" t="str">
        <x:f>IF(640&gt;$H$4,"",IF(INDEX('Fleet dates'!$C$9:$C$1008,$I648-8)="","",INDEX('Fleet dates'!$C$9:$C$1008,$I648-8)))</x:f>
      </x:c>
      <x:c r="D648" s="51" t="str">
        <x:f>IF(640&gt;$H$4,"",IF(INDEX('Fleet dates'!$D$9:$D$1008,$I648-8)="","",INDEX('Fleet dates'!$D$9:$D$1008,$I648-8)))</x:f>
      </x:c>
      <x:c r="E648" s="51" t="str">
        <x:f>IF(640&gt;$H$4,"",IF(INDEX('Fleet dates'!$E$9:$E$1008,$I648-8)="","",INDEX('Fleet dates'!$E$9:$E$1008,$I648-8)))</x:f>
      </x:c>
      <x:c r="F648" s="51" t="str">
        <x:f>IF(640&gt;$H$4,"",IF(INDEX('Fleet dates'!$F$9:$F$1008,$I648-8)="","",INDEX('Fleet dates'!$F$9:$F$1008,$I648-8)))</x:f>
      </x:c>
      <x:c r="G648" s="50" t="str">
        <x:f>IF(640&gt;$H$4,"",IF(INDEX('Fleet dates'!$G$9:$G$1008,$I648-8)="","",INDEX('Fleet dates'!$G$9:$G$1008,$I648-8)))</x:f>
      </x:c>
      <x:c r="H648" s="50" t="str">
        <x:f>IF(640&gt;$H$4,"",IF(INDEX('Fleet dates'!$I$9:$I$1008,$I648-8)="","",INDEX('Fleet dates'!$I$9:$I$1008,$I648-8)))</x:f>
      </x:c>
      <x:c r="I648" t="str">
        <x:f>IF(640&gt;$H$4,"",MATCH(640,'Fleet dates'!$K$9:$K$1008,0)+8)</x:f>
      </x:c>
    </x:row>
    <x:row r="649" ht="36" customHeight="1">
      <x:c r="A649" s="50" t="str">
        <x:f>IF(641&gt;$H$4,"",IF(INDEX('Fleet dates'!$A$9:$A$1008,$I649-8)="","",INDEX('Fleet dates'!$A$9:$A$1008,$I649-8)))</x:f>
      </x:c>
      <x:c r="B649" s="50" t="str">
        <x:f>IF(641&gt;$H$4,"",IF(INDEX('Fleet dates'!$B$9:$B$1008,$I649-8)="","",INDEX('Fleet dates'!$B$9:$B$1008,$I649-8)))</x:f>
      </x:c>
      <x:c r="C649" s="51" t="str">
        <x:f>IF(641&gt;$H$4,"",IF(INDEX('Fleet dates'!$C$9:$C$1008,$I649-8)="","",INDEX('Fleet dates'!$C$9:$C$1008,$I649-8)))</x:f>
      </x:c>
      <x:c r="D649" s="51" t="str">
        <x:f>IF(641&gt;$H$4,"",IF(INDEX('Fleet dates'!$D$9:$D$1008,$I649-8)="","",INDEX('Fleet dates'!$D$9:$D$1008,$I649-8)))</x:f>
      </x:c>
      <x:c r="E649" s="51" t="str">
        <x:f>IF(641&gt;$H$4,"",IF(INDEX('Fleet dates'!$E$9:$E$1008,$I649-8)="","",INDEX('Fleet dates'!$E$9:$E$1008,$I649-8)))</x:f>
      </x:c>
      <x:c r="F649" s="51" t="str">
        <x:f>IF(641&gt;$H$4,"",IF(INDEX('Fleet dates'!$F$9:$F$1008,$I649-8)="","",INDEX('Fleet dates'!$F$9:$F$1008,$I649-8)))</x:f>
      </x:c>
      <x:c r="G649" s="50" t="str">
        <x:f>IF(641&gt;$H$4,"",IF(INDEX('Fleet dates'!$G$9:$G$1008,$I649-8)="","",INDEX('Fleet dates'!$G$9:$G$1008,$I649-8)))</x:f>
      </x:c>
      <x:c r="H649" s="50" t="str">
        <x:f>IF(641&gt;$H$4,"",IF(INDEX('Fleet dates'!$I$9:$I$1008,$I649-8)="","",INDEX('Fleet dates'!$I$9:$I$1008,$I649-8)))</x:f>
      </x:c>
      <x:c r="I649" t="str">
        <x:f>IF(641&gt;$H$4,"",MATCH(641,'Fleet dates'!$K$9:$K$1008,0)+8)</x:f>
      </x:c>
    </x:row>
    <x:row r="650" ht="36" customHeight="1">
      <x:c r="A650" s="50" t="str">
        <x:f>IF(642&gt;$H$4,"",IF(INDEX('Fleet dates'!$A$9:$A$1008,$I650-8)="","",INDEX('Fleet dates'!$A$9:$A$1008,$I650-8)))</x:f>
      </x:c>
      <x:c r="B650" s="50" t="str">
        <x:f>IF(642&gt;$H$4,"",IF(INDEX('Fleet dates'!$B$9:$B$1008,$I650-8)="","",INDEX('Fleet dates'!$B$9:$B$1008,$I650-8)))</x:f>
      </x:c>
      <x:c r="C650" s="51" t="str">
        <x:f>IF(642&gt;$H$4,"",IF(INDEX('Fleet dates'!$C$9:$C$1008,$I650-8)="","",INDEX('Fleet dates'!$C$9:$C$1008,$I650-8)))</x:f>
      </x:c>
      <x:c r="D650" s="51" t="str">
        <x:f>IF(642&gt;$H$4,"",IF(INDEX('Fleet dates'!$D$9:$D$1008,$I650-8)="","",INDEX('Fleet dates'!$D$9:$D$1008,$I650-8)))</x:f>
      </x:c>
      <x:c r="E650" s="51" t="str">
        <x:f>IF(642&gt;$H$4,"",IF(INDEX('Fleet dates'!$E$9:$E$1008,$I650-8)="","",INDEX('Fleet dates'!$E$9:$E$1008,$I650-8)))</x:f>
      </x:c>
      <x:c r="F650" s="51" t="str">
        <x:f>IF(642&gt;$H$4,"",IF(INDEX('Fleet dates'!$F$9:$F$1008,$I650-8)="","",INDEX('Fleet dates'!$F$9:$F$1008,$I650-8)))</x:f>
      </x:c>
      <x:c r="G650" s="50" t="str">
        <x:f>IF(642&gt;$H$4,"",IF(INDEX('Fleet dates'!$G$9:$G$1008,$I650-8)="","",INDEX('Fleet dates'!$G$9:$G$1008,$I650-8)))</x:f>
      </x:c>
      <x:c r="H650" s="50" t="str">
        <x:f>IF(642&gt;$H$4,"",IF(INDEX('Fleet dates'!$I$9:$I$1008,$I650-8)="","",INDEX('Fleet dates'!$I$9:$I$1008,$I650-8)))</x:f>
      </x:c>
      <x:c r="I650" t="str">
        <x:f>IF(642&gt;$H$4,"",MATCH(642,'Fleet dates'!$K$9:$K$1008,0)+8)</x:f>
      </x:c>
    </x:row>
    <x:row r="651" ht="36" customHeight="1">
      <x:c r="A651" s="50" t="str">
        <x:f>IF(643&gt;$H$4,"",IF(INDEX('Fleet dates'!$A$9:$A$1008,$I651-8)="","",INDEX('Fleet dates'!$A$9:$A$1008,$I651-8)))</x:f>
      </x:c>
      <x:c r="B651" s="50" t="str">
        <x:f>IF(643&gt;$H$4,"",IF(INDEX('Fleet dates'!$B$9:$B$1008,$I651-8)="","",INDEX('Fleet dates'!$B$9:$B$1008,$I651-8)))</x:f>
      </x:c>
      <x:c r="C651" s="51" t="str">
        <x:f>IF(643&gt;$H$4,"",IF(INDEX('Fleet dates'!$C$9:$C$1008,$I651-8)="","",INDEX('Fleet dates'!$C$9:$C$1008,$I651-8)))</x:f>
      </x:c>
      <x:c r="D651" s="51" t="str">
        <x:f>IF(643&gt;$H$4,"",IF(INDEX('Fleet dates'!$D$9:$D$1008,$I651-8)="","",INDEX('Fleet dates'!$D$9:$D$1008,$I651-8)))</x:f>
      </x:c>
      <x:c r="E651" s="51" t="str">
        <x:f>IF(643&gt;$H$4,"",IF(INDEX('Fleet dates'!$E$9:$E$1008,$I651-8)="","",INDEX('Fleet dates'!$E$9:$E$1008,$I651-8)))</x:f>
      </x:c>
      <x:c r="F651" s="51" t="str">
        <x:f>IF(643&gt;$H$4,"",IF(INDEX('Fleet dates'!$F$9:$F$1008,$I651-8)="","",INDEX('Fleet dates'!$F$9:$F$1008,$I651-8)))</x:f>
      </x:c>
      <x:c r="G651" s="50" t="str">
        <x:f>IF(643&gt;$H$4,"",IF(INDEX('Fleet dates'!$G$9:$G$1008,$I651-8)="","",INDEX('Fleet dates'!$G$9:$G$1008,$I651-8)))</x:f>
      </x:c>
      <x:c r="H651" s="50" t="str">
        <x:f>IF(643&gt;$H$4,"",IF(INDEX('Fleet dates'!$I$9:$I$1008,$I651-8)="","",INDEX('Fleet dates'!$I$9:$I$1008,$I651-8)))</x:f>
      </x:c>
      <x:c r="I651" t="str">
        <x:f>IF(643&gt;$H$4,"",MATCH(643,'Fleet dates'!$K$9:$K$1008,0)+8)</x:f>
      </x:c>
    </x:row>
    <x:row r="652" ht="36" customHeight="1">
      <x:c r="A652" s="50" t="str">
        <x:f>IF(644&gt;$H$4,"",IF(INDEX('Fleet dates'!$A$9:$A$1008,$I652-8)="","",INDEX('Fleet dates'!$A$9:$A$1008,$I652-8)))</x:f>
      </x:c>
      <x:c r="B652" s="50" t="str">
        <x:f>IF(644&gt;$H$4,"",IF(INDEX('Fleet dates'!$B$9:$B$1008,$I652-8)="","",INDEX('Fleet dates'!$B$9:$B$1008,$I652-8)))</x:f>
      </x:c>
      <x:c r="C652" s="51" t="str">
        <x:f>IF(644&gt;$H$4,"",IF(INDEX('Fleet dates'!$C$9:$C$1008,$I652-8)="","",INDEX('Fleet dates'!$C$9:$C$1008,$I652-8)))</x:f>
      </x:c>
      <x:c r="D652" s="51" t="str">
        <x:f>IF(644&gt;$H$4,"",IF(INDEX('Fleet dates'!$D$9:$D$1008,$I652-8)="","",INDEX('Fleet dates'!$D$9:$D$1008,$I652-8)))</x:f>
      </x:c>
      <x:c r="E652" s="51" t="str">
        <x:f>IF(644&gt;$H$4,"",IF(INDEX('Fleet dates'!$E$9:$E$1008,$I652-8)="","",INDEX('Fleet dates'!$E$9:$E$1008,$I652-8)))</x:f>
      </x:c>
      <x:c r="F652" s="51" t="str">
        <x:f>IF(644&gt;$H$4,"",IF(INDEX('Fleet dates'!$F$9:$F$1008,$I652-8)="","",INDEX('Fleet dates'!$F$9:$F$1008,$I652-8)))</x:f>
      </x:c>
      <x:c r="G652" s="50" t="str">
        <x:f>IF(644&gt;$H$4,"",IF(INDEX('Fleet dates'!$G$9:$G$1008,$I652-8)="","",INDEX('Fleet dates'!$G$9:$G$1008,$I652-8)))</x:f>
      </x:c>
      <x:c r="H652" s="50" t="str">
        <x:f>IF(644&gt;$H$4,"",IF(INDEX('Fleet dates'!$I$9:$I$1008,$I652-8)="","",INDEX('Fleet dates'!$I$9:$I$1008,$I652-8)))</x:f>
      </x:c>
      <x:c r="I652" t="str">
        <x:f>IF(644&gt;$H$4,"",MATCH(644,'Fleet dates'!$K$9:$K$1008,0)+8)</x:f>
      </x:c>
    </x:row>
    <x:row r="653" ht="36" customHeight="1">
      <x:c r="A653" s="50" t="str">
        <x:f>IF(645&gt;$H$4,"",IF(INDEX('Fleet dates'!$A$9:$A$1008,$I653-8)="","",INDEX('Fleet dates'!$A$9:$A$1008,$I653-8)))</x:f>
      </x:c>
      <x:c r="B653" s="50" t="str">
        <x:f>IF(645&gt;$H$4,"",IF(INDEX('Fleet dates'!$B$9:$B$1008,$I653-8)="","",INDEX('Fleet dates'!$B$9:$B$1008,$I653-8)))</x:f>
      </x:c>
      <x:c r="C653" s="51" t="str">
        <x:f>IF(645&gt;$H$4,"",IF(INDEX('Fleet dates'!$C$9:$C$1008,$I653-8)="","",INDEX('Fleet dates'!$C$9:$C$1008,$I653-8)))</x:f>
      </x:c>
      <x:c r="D653" s="51" t="str">
        <x:f>IF(645&gt;$H$4,"",IF(INDEX('Fleet dates'!$D$9:$D$1008,$I653-8)="","",INDEX('Fleet dates'!$D$9:$D$1008,$I653-8)))</x:f>
      </x:c>
      <x:c r="E653" s="51" t="str">
        <x:f>IF(645&gt;$H$4,"",IF(INDEX('Fleet dates'!$E$9:$E$1008,$I653-8)="","",INDEX('Fleet dates'!$E$9:$E$1008,$I653-8)))</x:f>
      </x:c>
      <x:c r="F653" s="51" t="str">
        <x:f>IF(645&gt;$H$4,"",IF(INDEX('Fleet dates'!$F$9:$F$1008,$I653-8)="","",INDEX('Fleet dates'!$F$9:$F$1008,$I653-8)))</x:f>
      </x:c>
      <x:c r="G653" s="50" t="str">
        <x:f>IF(645&gt;$H$4,"",IF(INDEX('Fleet dates'!$G$9:$G$1008,$I653-8)="","",INDEX('Fleet dates'!$G$9:$G$1008,$I653-8)))</x:f>
      </x:c>
      <x:c r="H653" s="50" t="str">
        <x:f>IF(645&gt;$H$4,"",IF(INDEX('Fleet dates'!$I$9:$I$1008,$I653-8)="","",INDEX('Fleet dates'!$I$9:$I$1008,$I653-8)))</x:f>
      </x:c>
      <x:c r="I653" t="str">
        <x:f>IF(645&gt;$H$4,"",MATCH(645,'Fleet dates'!$K$9:$K$1008,0)+8)</x:f>
      </x:c>
    </x:row>
    <x:row r="654" ht="36" customHeight="1">
      <x:c r="A654" s="50" t="str">
        <x:f>IF(646&gt;$H$4,"",IF(INDEX('Fleet dates'!$A$9:$A$1008,$I654-8)="","",INDEX('Fleet dates'!$A$9:$A$1008,$I654-8)))</x:f>
      </x:c>
      <x:c r="B654" s="50" t="str">
        <x:f>IF(646&gt;$H$4,"",IF(INDEX('Fleet dates'!$B$9:$B$1008,$I654-8)="","",INDEX('Fleet dates'!$B$9:$B$1008,$I654-8)))</x:f>
      </x:c>
      <x:c r="C654" s="51" t="str">
        <x:f>IF(646&gt;$H$4,"",IF(INDEX('Fleet dates'!$C$9:$C$1008,$I654-8)="","",INDEX('Fleet dates'!$C$9:$C$1008,$I654-8)))</x:f>
      </x:c>
      <x:c r="D654" s="51" t="str">
        <x:f>IF(646&gt;$H$4,"",IF(INDEX('Fleet dates'!$D$9:$D$1008,$I654-8)="","",INDEX('Fleet dates'!$D$9:$D$1008,$I654-8)))</x:f>
      </x:c>
      <x:c r="E654" s="51" t="str">
        <x:f>IF(646&gt;$H$4,"",IF(INDEX('Fleet dates'!$E$9:$E$1008,$I654-8)="","",INDEX('Fleet dates'!$E$9:$E$1008,$I654-8)))</x:f>
      </x:c>
      <x:c r="F654" s="51" t="str">
        <x:f>IF(646&gt;$H$4,"",IF(INDEX('Fleet dates'!$F$9:$F$1008,$I654-8)="","",INDEX('Fleet dates'!$F$9:$F$1008,$I654-8)))</x:f>
      </x:c>
      <x:c r="G654" s="50" t="str">
        <x:f>IF(646&gt;$H$4,"",IF(INDEX('Fleet dates'!$G$9:$G$1008,$I654-8)="","",INDEX('Fleet dates'!$G$9:$G$1008,$I654-8)))</x:f>
      </x:c>
      <x:c r="H654" s="50" t="str">
        <x:f>IF(646&gt;$H$4,"",IF(INDEX('Fleet dates'!$I$9:$I$1008,$I654-8)="","",INDEX('Fleet dates'!$I$9:$I$1008,$I654-8)))</x:f>
      </x:c>
      <x:c r="I654" t="str">
        <x:f>IF(646&gt;$H$4,"",MATCH(646,'Fleet dates'!$K$9:$K$1008,0)+8)</x:f>
      </x:c>
    </x:row>
    <x:row r="655" ht="36" customHeight="1">
      <x:c r="A655" s="50" t="str">
        <x:f>IF(647&gt;$H$4,"",IF(INDEX('Fleet dates'!$A$9:$A$1008,$I655-8)="","",INDEX('Fleet dates'!$A$9:$A$1008,$I655-8)))</x:f>
      </x:c>
      <x:c r="B655" s="50" t="str">
        <x:f>IF(647&gt;$H$4,"",IF(INDEX('Fleet dates'!$B$9:$B$1008,$I655-8)="","",INDEX('Fleet dates'!$B$9:$B$1008,$I655-8)))</x:f>
      </x:c>
      <x:c r="C655" s="51" t="str">
        <x:f>IF(647&gt;$H$4,"",IF(INDEX('Fleet dates'!$C$9:$C$1008,$I655-8)="","",INDEX('Fleet dates'!$C$9:$C$1008,$I655-8)))</x:f>
      </x:c>
      <x:c r="D655" s="51" t="str">
        <x:f>IF(647&gt;$H$4,"",IF(INDEX('Fleet dates'!$D$9:$D$1008,$I655-8)="","",INDEX('Fleet dates'!$D$9:$D$1008,$I655-8)))</x:f>
      </x:c>
      <x:c r="E655" s="51" t="str">
        <x:f>IF(647&gt;$H$4,"",IF(INDEX('Fleet dates'!$E$9:$E$1008,$I655-8)="","",INDEX('Fleet dates'!$E$9:$E$1008,$I655-8)))</x:f>
      </x:c>
      <x:c r="F655" s="51" t="str">
        <x:f>IF(647&gt;$H$4,"",IF(INDEX('Fleet dates'!$F$9:$F$1008,$I655-8)="","",INDEX('Fleet dates'!$F$9:$F$1008,$I655-8)))</x:f>
      </x:c>
      <x:c r="G655" s="50" t="str">
        <x:f>IF(647&gt;$H$4,"",IF(INDEX('Fleet dates'!$G$9:$G$1008,$I655-8)="","",INDEX('Fleet dates'!$G$9:$G$1008,$I655-8)))</x:f>
      </x:c>
      <x:c r="H655" s="50" t="str">
        <x:f>IF(647&gt;$H$4,"",IF(INDEX('Fleet dates'!$I$9:$I$1008,$I655-8)="","",INDEX('Fleet dates'!$I$9:$I$1008,$I655-8)))</x:f>
      </x:c>
      <x:c r="I655" t="str">
        <x:f>IF(647&gt;$H$4,"",MATCH(647,'Fleet dates'!$K$9:$K$1008,0)+8)</x:f>
      </x:c>
    </x:row>
    <x:row r="656" ht="36" customHeight="1">
      <x:c r="A656" s="50" t="str">
        <x:f>IF(648&gt;$H$4,"",IF(INDEX('Fleet dates'!$A$9:$A$1008,$I656-8)="","",INDEX('Fleet dates'!$A$9:$A$1008,$I656-8)))</x:f>
      </x:c>
      <x:c r="B656" s="50" t="str">
        <x:f>IF(648&gt;$H$4,"",IF(INDEX('Fleet dates'!$B$9:$B$1008,$I656-8)="","",INDEX('Fleet dates'!$B$9:$B$1008,$I656-8)))</x:f>
      </x:c>
      <x:c r="C656" s="51" t="str">
        <x:f>IF(648&gt;$H$4,"",IF(INDEX('Fleet dates'!$C$9:$C$1008,$I656-8)="","",INDEX('Fleet dates'!$C$9:$C$1008,$I656-8)))</x:f>
      </x:c>
      <x:c r="D656" s="51" t="str">
        <x:f>IF(648&gt;$H$4,"",IF(INDEX('Fleet dates'!$D$9:$D$1008,$I656-8)="","",INDEX('Fleet dates'!$D$9:$D$1008,$I656-8)))</x:f>
      </x:c>
      <x:c r="E656" s="51" t="str">
        <x:f>IF(648&gt;$H$4,"",IF(INDEX('Fleet dates'!$E$9:$E$1008,$I656-8)="","",INDEX('Fleet dates'!$E$9:$E$1008,$I656-8)))</x:f>
      </x:c>
      <x:c r="F656" s="51" t="str">
        <x:f>IF(648&gt;$H$4,"",IF(INDEX('Fleet dates'!$F$9:$F$1008,$I656-8)="","",INDEX('Fleet dates'!$F$9:$F$1008,$I656-8)))</x:f>
      </x:c>
      <x:c r="G656" s="50" t="str">
        <x:f>IF(648&gt;$H$4,"",IF(INDEX('Fleet dates'!$G$9:$G$1008,$I656-8)="","",INDEX('Fleet dates'!$G$9:$G$1008,$I656-8)))</x:f>
      </x:c>
      <x:c r="H656" s="50" t="str">
        <x:f>IF(648&gt;$H$4,"",IF(INDEX('Fleet dates'!$I$9:$I$1008,$I656-8)="","",INDEX('Fleet dates'!$I$9:$I$1008,$I656-8)))</x:f>
      </x:c>
      <x:c r="I656" t="str">
        <x:f>IF(648&gt;$H$4,"",MATCH(648,'Fleet dates'!$K$9:$K$1008,0)+8)</x:f>
      </x:c>
    </x:row>
    <x:row r="657" ht="36" customHeight="1">
      <x:c r="A657" s="50" t="str">
        <x:f>IF(649&gt;$H$4,"",IF(INDEX('Fleet dates'!$A$9:$A$1008,$I657-8)="","",INDEX('Fleet dates'!$A$9:$A$1008,$I657-8)))</x:f>
      </x:c>
      <x:c r="B657" s="50" t="str">
        <x:f>IF(649&gt;$H$4,"",IF(INDEX('Fleet dates'!$B$9:$B$1008,$I657-8)="","",INDEX('Fleet dates'!$B$9:$B$1008,$I657-8)))</x:f>
      </x:c>
      <x:c r="C657" s="51" t="str">
        <x:f>IF(649&gt;$H$4,"",IF(INDEX('Fleet dates'!$C$9:$C$1008,$I657-8)="","",INDEX('Fleet dates'!$C$9:$C$1008,$I657-8)))</x:f>
      </x:c>
      <x:c r="D657" s="51" t="str">
        <x:f>IF(649&gt;$H$4,"",IF(INDEX('Fleet dates'!$D$9:$D$1008,$I657-8)="","",INDEX('Fleet dates'!$D$9:$D$1008,$I657-8)))</x:f>
      </x:c>
      <x:c r="E657" s="51" t="str">
        <x:f>IF(649&gt;$H$4,"",IF(INDEX('Fleet dates'!$E$9:$E$1008,$I657-8)="","",INDEX('Fleet dates'!$E$9:$E$1008,$I657-8)))</x:f>
      </x:c>
      <x:c r="F657" s="51" t="str">
        <x:f>IF(649&gt;$H$4,"",IF(INDEX('Fleet dates'!$F$9:$F$1008,$I657-8)="","",INDEX('Fleet dates'!$F$9:$F$1008,$I657-8)))</x:f>
      </x:c>
      <x:c r="G657" s="50" t="str">
        <x:f>IF(649&gt;$H$4,"",IF(INDEX('Fleet dates'!$G$9:$G$1008,$I657-8)="","",INDEX('Fleet dates'!$G$9:$G$1008,$I657-8)))</x:f>
      </x:c>
      <x:c r="H657" s="50" t="str">
        <x:f>IF(649&gt;$H$4,"",IF(INDEX('Fleet dates'!$I$9:$I$1008,$I657-8)="","",INDEX('Fleet dates'!$I$9:$I$1008,$I657-8)))</x:f>
      </x:c>
      <x:c r="I657" t="str">
        <x:f>IF(649&gt;$H$4,"",MATCH(649,'Fleet dates'!$K$9:$K$1008,0)+8)</x:f>
      </x:c>
    </x:row>
    <x:row r="658" ht="36" customHeight="1">
      <x:c r="A658" s="50" t="str">
        <x:f>IF(650&gt;$H$4,"",IF(INDEX('Fleet dates'!$A$9:$A$1008,$I658-8)="","",INDEX('Fleet dates'!$A$9:$A$1008,$I658-8)))</x:f>
      </x:c>
      <x:c r="B658" s="50" t="str">
        <x:f>IF(650&gt;$H$4,"",IF(INDEX('Fleet dates'!$B$9:$B$1008,$I658-8)="","",INDEX('Fleet dates'!$B$9:$B$1008,$I658-8)))</x:f>
      </x:c>
      <x:c r="C658" s="51" t="str">
        <x:f>IF(650&gt;$H$4,"",IF(INDEX('Fleet dates'!$C$9:$C$1008,$I658-8)="","",INDEX('Fleet dates'!$C$9:$C$1008,$I658-8)))</x:f>
      </x:c>
      <x:c r="D658" s="51" t="str">
        <x:f>IF(650&gt;$H$4,"",IF(INDEX('Fleet dates'!$D$9:$D$1008,$I658-8)="","",INDEX('Fleet dates'!$D$9:$D$1008,$I658-8)))</x:f>
      </x:c>
      <x:c r="E658" s="51" t="str">
        <x:f>IF(650&gt;$H$4,"",IF(INDEX('Fleet dates'!$E$9:$E$1008,$I658-8)="","",INDEX('Fleet dates'!$E$9:$E$1008,$I658-8)))</x:f>
      </x:c>
      <x:c r="F658" s="51" t="str">
        <x:f>IF(650&gt;$H$4,"",IF(INDEX('Fleet dates'!$F$9:$F$1008,$I658-8)="","",INDEX('Fleet dates'!$F$9:$F$1008,$I658-8)))</x:f>
      </x:c>
      <x:c r="G658" s="50" t="str">
        <x:f>IF(650&gt;$H$4,"",IF(INDEX('Fleet dates'!$G$9:$G$1008,$I658-8)="","",INDEX('Fleet dates'!$G$9:$G$1008,$I658-8)))</x:f>
      </x:c>
      <x:c r="H658" s="50" t="str">
        <x:f>IF(650&gt;$H$4,"",IF(INDEX('Fleet dates'!$I$9:$I$1008,$I658-8)="","",INDEX('Fleet dates'!$I$9:$I$1008,$I658-8)))</x:f>
      </x:c>
      <x:c r="I658" t="str">
        <x:f>IF(650&gt;$H$4,"",MATCH(650,'Fleet dates'!$K$9:$K$1008,0)+8)</x:f>
      </x:c>
    </x:row>
    <x:row r="659" ht="36" customHeight="1">
      <x:c r="A659" s="50" t="str">
        <x:f>IF(651&gt;$H$4,"",IF(INDEX('Fleet dates'!$A$9:$A$1008,$I659-8)="","",INDEX('Fleet dates'!$A$9:$A$1008,$I659-8)))</x:f>
      </x:c>
      <x:c r="B659" s="50" t="str">
        <x:f>IF(651&gt;$H$4,"",IF(INDEX('Fleet dates'!$B$9:$B$1008,$I659-8)="","",INDEX('Fleet dates'!$B$9:$B$1008,$I659-8)))</x:f>
      </x:c>
      <x:c r="C659" s="51" t="str">
        <x:f>IF(651&gt;$H$4,"",IF(INDEX('Fleet dates'!$C$9:$C$1008,$I659-8)="","",INDEX('Fleet dates'!$C$9:$C$1008,$I659-8)))</x:f>
      </x:c>
      <x:c r="D659" s="51" t="str">
        <x:f>IF(651&gt;$H$4,"",IF(INDEX('Fleet dates'!$D$9:$D$1008,$I659-8)="","",INDEX('Fleet dates'!$D$9:$D$1008,$I659-8)))</x:f>
      </x:c>
      <x:c r="E659" s="51" t="str">
        <x:f>IF(651&gt;$H$4,"",IF(INDEX('Fleet dates'!$E$9:$E$1008,$I659-8)="","",INDEX('Fleet dates'!$E$9:$E$1008,$I659-8)))</x:f>
      </x:c>
      <x:c r="F659" s="51" t="str">
        <x:f>IF(651&gt;$H$4,"",IF(INDEX('Fleet dates'!$F$9:$F$1008,$I659-8)="","",INDEX('Fleet dates'!$F$9:$F$1008,$I659-8)))</x:f>
      </x:c>
      <x:c r="G659" s="50" t="str">
        <x:f>IF(651&gt;$H$4,"",IF(INDEX('Fleet dates'!$G$9:$G$1008,$I659-8)="","",INDEX('Fleet dates'!$G$9:$G$1008,$I659-8)))</x:f>
      </x:c>
      <x:c r="H659" s="50" t="str">
        <x:f>IF(651&gt;$H$4,"",IF(INDEX('Fleet dates'!$I$9:$I$1008,$I659-8)="","",INDEX('Fleet dates'!$I$9:$I$1008,$I659-8)))</x:f>
      </x:c>
      <x:c r="I659" t="str">
        <x:f>IF(651&gt;$H$4,"",MATCH(651,'Fleet dates'!$K$9:$K$1008,0)+8)</x:f>
      </x:c>
    </x:row>
    <x:row r="660" ht="36" customHeight="1">
      <x:c r="A660" s="50" t="str">
        <x:f>IF(652&gt;$H$4,"",IF(INDEX('Fleet dates'!$A$9:$A$1008,$I660-8)="","",INDEX('Fleet dates'!$A$9:$A$1008,$I660-8)))</x:f>
      </x:c>
      <x:c r="B660" s="50" t="str">
        <x:f>IF(652&gt;$H$4,"",IF(INDEX('Fleet dates'!$B$9:$B$1008,$I660-8)="","",INDEX('Fleet dates'!$B$9:$B$1008,$I660-8)))</x:f>
      </x:c>
      <x:c r="C660" s="51" t="str">
        <x:f>IF(652&gt;$H$4,"",IF(INDEX('Fleet dates'!$C$9:$C$1008,$I660-8)="","",INDEX('Fleet dates'!$C$9:$C$1008,$I660-8)))</x:f>
      </x:c>
      <x:c r="D660" s="51" t="str">
        <x:f>IF(652&gt;$H$4,"",IF(INDEX('Fleet dates'!$D$9:$D$1008,$I660-8)="","",INDEX('Fleet dates'!$D$9:$D$1008,$I660-8)))</x:f>
      </x:c>
      <x:c r="E660" s="51" t="str">
        <x:f>IF(652&gt;$H$4,"",IF(INDEX('Fleet dates'!$E$9:$E$1008,$I660-8)="","",INDEX('Fleet dates'!$E$9:$E$1008,$I660-8)))</x:f>
      </x:c>
      <x:c r="F660" s="51" t="str">
        <x:f>IF(652&gt;$H$4,"",IF(INDEX('Fleet dates'!$F$9:$F$1008,$I660-8)="","",INDEX('Fleet dates'!$F$9:$F$1008,$I660-8)))</x:f>
      </x:c>
      <x:c r="G660" s="50" t="str">
        <x:f>IF(652&gt;$H$4,"",IF(INDEX('Fleet dates'!$G$9:$G$1008,$I660-8)="","",INDEX('Fleet dates'!$G$9:$G$1008,$I660-8)))</x:f>
      </x:c>
      <x:c r="H660" s="50" t="str">
        <x:f>IF(652&gt;$H$4,"",IF(INDEX('Fleet dates'!$I$9:$I$1008,$I660-8)="","",INDEX('Fleet dates'!$I$9:$I$1008,$I660-8)))</x:f>
      </x:c>
      <x:c r="I660" t="str">
        <x:f>IF(652&gt;$H$4,"",MATCH(652,'Fleet dates'!$K$9:$K$1008,0)+8)</x:f>
      </x:c>
    </x:row>
    <x:row r="661" ht="36" customHeight="1">
      <x:c r="A661" s="50" t="str">
        <x:f>IF(653&gt;$H$4,"",IF(INDEX('Fleet dates'!$A$9:$A$1008,$I661-8)="","",INDEX('Fleet dates'!$A$9:$A$1008,$I661-8)))</x:f>
      </x:c>
      <x:c r="B661" s="50" t="str">
        <x:f>IF(653&gt;$H$4,"",IF(INDEX('Fleet dates'!$B$9:$B$1008,$I661-8)="","",INDEX('Fleet dates'!$B$9:$B$1008,$I661-8)))</x:f>
      </x:c>
      <x:c r="C661" s="51" t="str">
        <x:f>IF(653&gt;$H$4,"",IF(INDEX('Fleet dates'!$C$9:$C$1008,$I661-8)="","",INDEX('Fleet dates'!$C$9:$C$1008,$I661-8)))</x:f>
      </x:c>
      <x:c r="D661" s="51" t="str">
        <x:f>IF(653&gt;$H$4,"",IF(INDEX('Fleet dates'!$D$9:$D$1008,$I661-8)="","",INDEX('Fleet dates'!$D$9:$D$1008,$I661-8)))</x:f>
      </x:c>
      <x:c r="E661" s="51" t="str">
        <x:f>IF(653&gt;$H$4,"",IF(INDEX('Fleet dates'!$E$9:$E$1008,$I661-8)="","",INDEX('Fleet dates'!$E$9:$E$1008,$I661-8)))</x:f>
      </x:c>
      <x:c r="F661" s="51" t="str">
        <x:f>IF(653&gt;$H$4,"",IF(INDEX('Fleet dates'!$F$9:$F$1008,$I661-8)="","",INDEX('Fleet dates'!$F$9:$F$1008,$I661-8)))</x:f>
      </x:c>
      <x:c r="G661" s="50" t="str">
        <x:f>IF(653&gt;$H$4,"",IF(INDEX('Fleet dates'!$G$9:$G$1008,$I661-8)="","",INDEX('Fleet dates'!$G$9:$G$1008,$I661-8)))</x:f>
      </x:c>
      <x:c r="H661" s="50" t="str">
        <x:f>IF(653&gt;$H$4,"",IF(INDEX('Fleet dates'!$I$9:$I$1008,$I661-8)="","",INDEX('Fleet dates'!$I$9:$I$1008,$I661-8)))</x:f>
      </x:c>
      <x:c r="I661" t="str">
        <x:f>IF(653&gt;$H$4,"",MATCH(653,'Fleet dates'!$K$9:$K$1008,0)+8)</x:f>
      </x:c>
    </x:row>
    <x:row r="662" ht="36" customHeight="1">
      <x:c r="A662" s="50" t="str">
        <x:f>IF(654&gt;$H$4,"",IF(INDEX('Fleet dates'!$A$9:$A$1008,$I662-8)="","",INDEX('Fleet dates'!$A$9:$A$1008,$I662-8)))</x:f>
      </x:c>
      <x:c r="B662" s="50" t="str">
        <x:f>IF(654&gt;$H$4,"",IF(INDEX('Fleet dates'!$B$9:$B$1008,$I662-8)="","",INDEX('Fleet dates'!$B$9:$B$1008,$I662-8)))</x:f>
      </x:c>
      <x:c r="C662" s="51" t="str">
        <x:f>IF(654&gt;$H$4,"",IF(INDEX('Fleet dates'!$C$9:$C$1008,$I662-8)="","",INDEX('Fleet dates'!$C$9:$C$1008,$I662-8)))</x:f>
      </x:c>
      <x:c r="D662" s="51" t="str">
        <x:f>IF(654&gt;$H$4,"",IF(INDEX('Fleet dates'!$D$9:$D$1008,$I662-8)="","",INDEX('Fleet dates'!$D$9:$D$1008,$I662-8)))</x:f>
      </x:c>
      <x:c r="E662" s="51" t="str">
        <x:f>IF(654&gt;$H$4,"",IF(INDEX('Fleet dates'!$E$9:$E$1008,$I662-8)="","",INDEX('Fleet dates'!$E$9:$E$1008,$I662-8)))</x:f>
      </x:c>
      <x:c r="F662" s="51" t="str">
        <x:f>IF(654&gt;$H$4,"",IF(INDEX('Fleet dates'!$F$9:$F$1008,$I662-8)="","",INDEX('Fleet dates'!$F$9:$F$1008,$I662-8)))</x:f>
      </x:c>
      <x:c r="G662" s="50" t="str">
        <x:f>IF(654&gt;$H$4,"",IF(INDEX('Fleet dates'!$G$9:$G$1008,$I662-8)="","",INDEX('Fleet dates'!$G$9:$G$1008,$I662-8)))</x:f>
      </x:c>
      <x:c r="H662" s="50" t="str">
        <x:f>IF(654&gt;$H$4,"",IF(INDEX('Fleet dates'!$I$9:$I$1008,$I662-8)="","",INDEX('Fleet dates'!$I$9:$I$1008,$I662-8)))</x:f>
      </x:c>
      <x:c r="I662" t="str">
        <x:f>IF(654&gt;$H$4,"",MATCH(654,'Fleet dates'!$K$9:$K$1008,0)+8)</x:f>
      </x:c>
    </x:row>
    <x:row r="663" ht="36" customHeight="1">
      <x:c r="A663" s="50" t="str">
        <x:f>IF(655&gt;$H$4,"",IF(INDEX('Fleet dates'!$A$9:$A$1008,$I663-8)="","",INDEX('Fleet dates'!$A$9:$A$1008,$I663-8)))</x:f>
      </x:c>
      <x:c r="B663" s="50" t="str">
        <x:f>IF(655&gt;$H$4,"",IF(INDEX('Fleet dates'!$B$9:$B$1008,$I663-8)="","",INDEX('Fleet dates'!$B$9:$B$1008,$I663-8)))</x:f>
      </x:c>
      <x:c r="C663" s="51" t="str">
        <x:f>IF(655&gt;$H$4,"",IF(INDEX('Fleet dates'!$C$9:$C$1008,$I663-8)="","",INDEX('Fleet dates'!$C$9:$C$1008,$I663-8)))</x:f>
      </x:c>
      <x:c r="D663" s="51" t="str">
        <x:f>IF(655&gt;$H$4,"",IF(INDEX('Fleet dates'!$D$9:$D$1008,$I663-8)="","",INDEX('Fleet dates'!$D$9:$D$1008,$I663-8)))</x:f>
      </x:c>
      <x:c r="E663" s="51" t="str">
        <x:f>IF(655&gt;$H$4,"",IF(INDEX('Fleet dates'!$E$9:$E$1008,$I663-8)="","",INDEX('Fleet dates'!$E$9:$E$1008,$I663-8)))</x:f>
      </x:c>
      <x:c r="F663" s="51" t="str">
        <x:f>IF(655&gt;$H$4,"",IF(INDEX('Fleet dates'!$F$9:$F$1008,$I663-8)="","",INDEX('Fleet dates'!$F$9:$F$1008,$I663-8)))</x:f>
      </x:c>
      <x:c r="G663" s="50" t="str">
        <x:f>IF(655&gt;$H$4,"",IF(INDEX('Fleet dates'!$G$9:$G$1008,$I663-8)="","",INDEX('Fleet dates'!$G$9:$G$1008,$I663-8)))</x:f>
      </x:c>
      <x:c r="H663" s="50" t="str">
        <x:f>IF(655&gt;$H$4,"",IF(INDEX('Fleet dates'!$I$9:$I$1008,$I663-8)="","",INDEX('Fleet dates'!$I$9:$I$1008,$I663-8)))</x:f>
      </x:c>
      <x:c r="I663" t="str">
        <x:f>IF(655&gt;$H$4,"",MATCH(655,'Fleet dates'!$K$9:$K$1008,0)+8)</x:f>
      </x:c>
    </x:row>
    <x:row r="664" ht="36" customHeight="1">
      <x:c r="A664" s="50" t="str">
        <x:f>IF(656&gt;$H$4,"",IF(INDEX('Fleet dates'!$A$9:$A$1008,$I664-8)="","",INDEX('Fleet dates'!$A$9:$A$1008,$I664-8)))</x:f>
      </x:c>
      <x:c r="B664" s="50" t="str">
        <x:f>IF(656&gt;$H$4,"",IF(INDEX('Fleet dates'!$B$9:$B$1008,$I664-8)="","",INDEX('Fleet dates'!$B$9:$B$1008,$I664-8)))</x:f>
      </x:c>
      <x:c r="C664" s="51" t="str">
        <x:f>IF(656&gt;$H$4,"",IF(INDEX('Fleet dates'!$C$9:$C$1008,$I664-8)="","",INDEX('Fleet dates'!$C$9:$C$1008,$I664-8)))</x:f>
      </x:c>
      <x:c r="D664" s="51" t="str">
        <x:f>IF(656&gt;$H$4,"",IF(INDEX('Fleet dates'!$D$9:$D$1008,$I664-8)="","",INDEX('Fleet dates'!$D$9:$D$1008,$I664-8)))</x:f>
      </x:c>
      <x:c r="E664" s="51" t="str">
        <x:f>IF(656&gt;$H$4,"",IF(INDEX('Fleet dates'!$E$9:$E$1008,$I664-8)="","",INDEX('Fleet dates'!$E$9:$E$1008,$I664-8)))</x:f>
      </x:c>
      <x:c r="F664" s="51" t="str">
        <x:f>IF(656&gt;$H$4,"",IF(INDEX('Fleet dates'!$F$9:$F$1008,$I664-8)="","",INDEX('Fleet dates'!$F$9:$F$1008,$I664-8)))</x:f>
      </x:c>
      <x:c r="G664" s="50" t="str">
        <x:f>IF(656&gt;$H$4,"",IF(INDEX('Fleet dates'!$G$9:$G$1008,$I664-8)="","",INDEX('Fleet dates'!$G$9:$G$1008,$I664-8)))</x:f>
      </x:c>
      <x:c r="H664" s="50" t="str">
        <x:f>IF(656&gt;$H$4,"",IF(INDEX('Fleet dates'!$I$9:$I$1008,$I664-8)="","",INDEX('Fleet dates'!$I$9:$I$1008,$I664-8)))</x:f>
      </x:c>
      <x:c r="I664" t="str">
        <x:f>IF(656&gt;$H$4,"",MATCH(656,'Fleet dates'!$K$9:$K$1008,0)+8)</x:f>
      </x:c>
    </x:row>
    <x:row r="665" ht="36" customHeight="1">
      <x:c r="A665" s="50" t="str">
        <x:f>IF(657&gt;$H$4,"",IF(INDEX('Fleet dates'!$A$9:$A$1008,$I665-8)="","",INDEX('Fleet dates'!$A$9:$A$1008,$I665-8)))</x:f>
      </x:c>
      <x:c r="B665" s="50" t="str">
        <x:f>IF(657&gt;$H$4,"",IF(INDEX('Fleet dates'!$B$9:$B$1008,$I665-8)="","",INDEX('Fleet dates'!$B$9:$B$1008,$I665-8)))</x:f>
      </x:c>
      <x:c r="C665" s="51" t="str">
        <x:f>IF(657&gt;$H$4,"",IF(INDEX('Fleet dates'!$C$9:$C$1008,$I665-8)="","",INDEX('Fleet dates'!$C$9:$C$1008,$I665-8)))</x:f>
      </x:c>
      <x:c r="D665" s="51" t="str">
        <x:f>IF(657&gt;$H$4,"",IF(INDEX('Fleet dates'!$D$9:$D$1008,$I665-8)="","",INDEX('Fleet dates'!$D$9:$D$1008,$I665-8)))</x:f>
      </x:c>
      <x:c r="E665" s="51" t="str">
        <x:f>IF(657&gt;$H$4,"",IF(INDEX('Fleet dates'!$E$9:$E$1008,$I665-8)="","",INDEX('Fleet dates'!$E$9:$E$1008,$I665-8)))</x:f>
      </x:c>
      <x:c r="F665" s="51" t="str">
        <x:f>IF(657&gt;$H$4,"",IF(INDEX('Fleet dates'!$F$9:$F$1008,$I665-8)="","",INDEX('Fleet dates'!$F$9:$F$1008,$I665-8)))</x:f>
      </x:c>
      <x:c r="G665" s="50" t="str">
        <x:f>IF(657&gt;$H$4,"",IF(INDEX('Fleet dates'!$G$9:$G$1008,$I665-8)="","",INDEX('Fleet dates'!$G$9:$G$1008,$I665-8)))</x:f>
      </x:c>
      <x:c r="H665" s="50" t="str">
        <x:f>IF(657&gt;$H$4,"",IF(INDEX('Fleet dates'!$I$9:$I$1008,$I665-8)="","",INDEX('Fleet dates'!$I$9:$I$1008,$I665-8)))</x:f>
      </x:c>
      <x:c r="I665" t="str">
        <x:f>IF(657&gt;$H$4,"",MATCH(657,'Fleet dates'!$K$9:$K$1008,0)+8)</x:f>
      </x:c>
    </x:row>
    <x:row r="666" ht="36" customHeight="1">
      <x:c r="A666" s="50" t="str">
        <x:f>IF(658&gt;$H$4,"",IF(INDEX('Fleet dates'!$A$9:$A$1008,$I666-8)="","",INDEX('Fleet dates'!$A$9:$A$1008,$I666-8)))</x:f>
      </x:c>
      <x:c r="B666" s="50" t="str">
        <x:f>IF(658&gt;$H$4,"",IF(INDEX('Fleet dates'!$B$9:$B$1008,$I666-8)="","",INDEX('Fleet dates'!$B$9:$B$1008,$I666-8)))</x:f>
      </x:c>
      <x:c r="C666" s="51" t="str">
        <x:f>IF(658&gt;$H$4,"",IF(INDEX('Fleet dates'!$C$9:$C$1008,$I666-8)="","",INDEX('Fleet dates'!$C$9:$C$1008,$I666-8)))</x:f>
      </x:c>
      <x:c r="D666" s="51" t="str">
        <x:f>IF(658&gt;$H$4,"",IF(INDEX('Fleet dates'!$D$9:$D$1008,$I666-8)="","",INDEX('Fleet dates'!$D$9:$D$1008,$I666-8)))</x:f>
      </x:c>
      <x:c r="E666" s="51" t="str">
        <x:f>IF(658&gt;$H$4,"",IF(INDEX('Fleet dates'!$E$9:$E$1008,$I666-8)="","",INDEX('Fleet dates'!$E$9:$E$1008,$I666-8)))</x:f>
      </x:c>
      <x:c r="F666" s="51" t="str">
        <x:f>IF(658&gt;$H$4,"",IF(INDEX('Fleet dates'!$F$9:$F$1008,$I666-8)="","",INDEX('Fleet dates'!$F$9:$F$1008,$I666-8)))</x:f>
      </x:c>
      <x:c r="G666" s="50" t="str">
        <x:f>IF(658&gt;$H$4,"",IF(INDEX('Fleet dates'!$G$9:$G$1008,$I666-8)="","",INDEX('Fleet dates'!$G$9:$G$1008,$I666-8)))</x:f>
      </x:c>
      <x:c r="H666" s="50" t="str">
        <x:f>IF(658&gt;$H$4,"",IF(INDEX('Fleet dates'!$I$9:$I$1008,$I666-8)="","",INDEX('Fleet dates'!$I$9:$I$1008,$I666-8)))</x:f>
      </x:c>
      <x:c r="I666" t="str">
        <x:f>IF(658&gt;$H$4,"",MATCH(658,'Fleet dates'!$K$9:$K$1008,0)+8)</x:f>
      </x:c>
    </x:row>
    <x:row r="667" ht="36" customHeight="1">
      <x:c r="A667" s="50" t="str">
        <x:f>IF(659&gt;$H$4,"",IF(INDEX('Fleet dates'!$A$9:$A$1008,$I667-8)="","",INDEX('Fleet dates'!$A$9:$A$1008,$I667-8)))</x:f>
      </x:c>
      <x:c r="B667" s="50" t="str">
        <x:f>IF(659&gt;$H$4,"",IF(INDEX('Fleet dates'!$B$9:$B$1008,$I667-8)="","",INDEX('Fleet dates'!$B$9:$B$1008,$I667-8)))</x:f>
      </x:c>
      <x:c r="C667" s="51" t="str">
        <x:f>IF(659&gt;$H$4,"",IF(INDEX('Fleet dates'!$C$9:$C$1008,$I667-8)="","",INDEX('Fleet dates'!$C$9:$C$1008,$I667-8)))</x:f>
      </x:c>
      <x:c r="D667" s="51" t="str">
        <x:f>IF(659&gt;$H$4,"",IF(INDEX('Fleet dates'!$D$9:$D$1008,$I667-8)="","",INDEX('Fleet dates'!$D$9:$D$1008,$I667-8)))</x:f>
      </x:c>
      <x:c r="E667" s="51" t="str">
        <x:f>IF(659&gt;$H$4,"",IF(INDEX('Fleet dates'!$E$9:$E$1008,$I667-8)="","",INDEX('Fleet dates'!$E$9:$E$1008,$I667-8)))</x:f>
      </x:c>
      <x:c r="F667" s="51" t="str">
        <x:f>IF(659&gt;$H$4,"",IF(INDEX('Fleet dates'!$F$9:$F$1008,$I667-8)="","",INDEX('Fleet dates'!$F$9:$F$1008,$I667-8)))</x:f>
      </x:c>
      <x:c r="G667" s="50" t="str">
        <x:f>IF(659&gt;$H$4,"",IF(INDEX('Fleet dates'!$G$9:$G$1008,$I667-8)="","",INDEX('Fleet dates'!$G$9:$G$1008,$I667-8)))</x:f>
      </x:c>
      <x:c r="H667" s="50" t="str">
        <x:f>IF(659&gt;$H$4,"",IF(INDEX('Fleet dates'!$I$9:$I$1008,$I667-8)="","",INDEX('Fleet dates'!$I$9:$I$1008,$I667-8)))</x:f>
      </x:c>
      <x:c r="I667" t="str">
        <x:f>IF(659&gt;$H$4,"",MATCH(659,'Fleet dates'!$K$9:$K$1008,0)+8)</x:f>
      </x:c>
    </x:row>
    <x:row r="668" ht="36" customHeight="1">
      <x:c r="A668" s="50" t="str">
        <x:f>IF(660&gt;$H$4,"",IF(INDEX('Fleet dates'!$A$9:$A$1008,$I668-8)="","",INDEX('Fleet dates'!$A$9:$A$1008,$I668-8)))</x:f>
      </x:c>
      <x:c r="B668" s="50" t="str">
        <x:f>IF(660&gt;$H$4,"",IF(INDEX('Fleet dates'!$B$9:$B$1008,$I668-8)="","",INDEX('Fleet dates'!$B$9:$B$1008,$I668-8)))</x:f>
      </x:c>
      <x:c r="C668" s="51" t="str">
        <x:f>IF(660&gt;$H$4,"",IF(INDEX('Fleet dates'!$C$9:$C$1008,$I668-8)="","",INDEX('Fleet dates'!$C$9:$C$1008,$I668-8)))</x:f>
      </x:c>
      <x:c r="D668" s="51" t="str">
        <x:f>IF(660&gt;$H$4,"",IF(INDEX('Fleet dates'!$D$9:$D$1008,$I668-8)="","",INDEX('Fleet dates'!$D$9:$D$1008,$I668-8)))</x:f>
      </x:c>
      <x:c r="E668" s="51" t="str">
        <x:f>IF(660&gt;$H$4,"",IF(INDEX('Fleet dates'!$E$9:$E$1008,$I668-8)="","",INDEX('Fleet dates'!$E$9:$E$1008,$I668-8)))</x:f>
      </x:c>
      <x:c r="F668" s="51" t="str">
        <x:f>IF(660&gt;$H$4,"",IF(INDEX('Fleet dates'!$F$9:$F$1008,$I668-8)="","",INDEX('Fleet dates'!$F$9:$F$1008,$I668-8)))</x:f>
      </x:c>
      <x:c r="G668" s="50" t="str">
        <x:f>IF(660&gt;$H$4,"",IF(INDEX('Fleet dates'!$G$9:$G$1008,$I668-8)="","",INDEX('Fleet dates'!$G$9:$G$1008,$I668-8)))</x:f>
      </x:c>
      <x:c r="H668" s="50" t="str">
        <x:f>IF(660&gt;$H$4,"",IF(INDEX('Fleet dates'!$I$9:$I$1008,$I668-8)="","",INDEX('Fleet dates'!$I$9:$I$1008,$I668-8)))</x:f>
      </x:c>
      <x:c r="I668" t="str">
        <x:f>IF(660&gt;$H$4,"",MATCH(660,'Fleet dates'!$K$9:$K$1008,0)+8)</x:f>
      </x:c>
    </x:row>
    <x:row r="669" ht="36" customHeight="1">
      <x:c r="A669" s="50" t="str">
        <x:f>IF(661&gt;$H$4,"",IF(INDEX('Fleet dates'!$A$9:$A$1008,$I669-8)="","",INDEX('Fleet dates'!$A$9:$A$1008,$I669-8)))</x:f>
      </x:c>
      <x:c r="B669" s="50" t="str">
        <x:f>IF(661&gt;$H$4,"",IF(INDEX('Fleet dates'!$B$9:$B$1008,$I669-8)="","",INDEX('Fleet dates'!$B$9:$B$1008,$I669-8)))</x:f>
      </x:c>
      <x:c r="C669" s="51" t="str">
        <x:f>IF(661&gt;$H$4,"",IF(INDEX('Fleet dates'!$C$9:$C$1008,$I669-8)="","",INDEX('Fleet dates'!$C$9:$C$1008,$I669-8)))</x:f>
      </x:c>
      <x:c r="D669" s="51" t="str">
        <x:f>IF(661&gt;$H$4,"",IF(INDEX('Fleet dates'!$D$9:$D$1008,$I669-8)="","",INDEX('Fleet dates'!$D$9:$D$1008,$I669-8)))</x:f>
      </x:c>
      <x:c r="E669" s="51" t="str">
        <x:f>IF(661&gt;$H$4,"",IF(INDEX('Fleet dates'!$E$9:$E$1008,$I669-8)="","",INDEX('Fleet dates'!$E$9:$E$1008,$I669-8)))</x:f>
      </x:c>
      <x:c r="F669" s="51" t="str">
        <x:f>IF(661&gt;$H$4,"",IF(INDEX('Fleet dates'!$F$9:$F$1008,$I669-8)="","",INDEX('Fleet dates'!$F$9:$F$1008,$I669-8)))</x:f>
      </x:c>
      <x:c r="G669" s="50" t="str">
        <x:f>IF(661&gt;$H$4,"",IF(INDEX('Fleet dates'!$G$9:$G$1008,$I669-8)="","",INDEX('Fleet dates'!$G$9:$G$1008,$I669-8)))</x:f>
      </x:c>
      <x:c r="H669" s="50" t="str">
        <x:f>IF(661&gt;$H$4,"",IF(INDEX('Fleet dates'!$I$9:$I$1008,$I669-8)="","",INDEX('Fleet dates'!$I$9:$I$1008,$I669-8)))</x:f>
      </x:c>
      <x:c r="I669" t="str">
        <x:f>IF(661&gt;$H$4,"",MATCH(661,'Fleet dates'!$K$9:$K$1008,0)+8)</x:f>
      </x:c>
    </x:row>
    <x:row r="670" ht="36" customHeight="1">
      <x:c r="A670" s="50" t="str">
        <x:f>IF(662&gt;$H$4,"",IF(INDEX('Fleet dates'!$A$9:$A$1008,$I670-8)="","",INDEX('Fleet dates'!$A$9:$A$1008,$I670-8)))</x:f>
      </x:c>
      <x:c r="B670" s="50" t="str">
        <x:f>IF(662&gt;$H$4,"",IF(INDEX('Fleet dates'!$B$9:$B$1008,$I670-8)="","",INDEX('Fleet dates'!$B$9:$B$1008,$I670-8)))</x:f>
      </x:c>
      <x:c r="C670" s="51" t="str">
        <x:f>IF(662&gt;$H$4,"",IF(INDEX('Fleet dates'!$C$9:$C$1008,$I670-8)="","",INDEX('Fleet dates'!$C$9:$C$1008,$I670-8)))</x:f>
      </x:c>
      <x:c r="D670" s="51" t="str">
        <x:f>IF(662&gt;$H$4,"",IF(INDEX('Fleet dates'!$D$9:$D$1008,$I670-8)="","",INDEX('Fleet dates'!$D$9:$D$1008,$I670-8)))</x:f>
      </x:c>
      <x:c r="E670" s="51" t="str">
        <x:f>IF(662&gt;$H$4,"",IF(INDEX('Fleet dates'!$E$9:$E$1008,$I670-8)="","",INDEX('Fleet dates'!$E$9:$E$1008,$I670-8)))</x:f>
      </x:c>
      <x:c r="F670" s="51" t="str">
        <x:f>IF(662&gt;$H$4,"",IF(INDEX('Fleet dates'!$F$9:$F$1008,$I670-8)="","",INDEX('Fleet dates'!$F$9:$F$1008,$I670-8)))</x:f>
      </x:c>
      <x:c r="G670" s="50" t="str">
        <x:f>IF(662&gt;$H$4,"",IF(INDEX('Fleet dates'!$G$9:$G$1008,$I670-8)="","",INDEX('Fleet dates'!$G$9:$G$1008,$I670-8)))</x:f>
      </x:c>
      <x:c r="H670" s="50" t="str">
        <x:f>IF(662&gt;$H$4,"",IF(INDEX('Fleet dates'!$I$9:$I$1008,$I670-8)="","",INDEX('Fleet dates'!$I$9:$I$1008,$I670-8)))</x:f>
      </x:c>
      <x:c r="I670" t="str">
        <x:f>IF(662&gt;$H$4,"",MATCH(662,'Fleet dates'!$K$9:$K$1008,0)+8)</x:f>
      </x:c>
    </x:row>
    <x:row r="671" ht="36" customHeight="1">
      <x:c r="A671" s="50" t="str">
        <x:f>IF(663&gt;$H$4,"",IF(INDEX('Fleet dates'!$A$9:$A$1008,$I671-8)="","",INDEX('Fleet dates'!$A$9:$A$1008,$I671-8)))</x:f>
      </x:c>
      <x:c r="B671" s="50" t="str">
        <x:f>IF(663&gt;$H$4,"",IF(INDEX('Fleet dates'!$B$9:$B$1008,$I671-8)="","",INDEX('Fleet dates'!$B$9:$B$1008,$I671-8)))</x:f>
      </x:c>
      <x:c r="C671" s="51" t="str">
        <x:f>IF(663&gt;$H$4,"",IF(INDEX('Fleet dates'!$C$9:$C$1008,$I671-8)="","",INDEX('Fleet dates'!$C$9:$C$1008,$I671-8)))</x:f>
      </x:c>
      <x:c r="D671" s="51" t="str">
        <x:f>IF(663&gt;$H$4,"",IF(INDEX('Fleet dates'!$D$9:$D$1008,$I671-8)="","",INDEX('Fleet dates'!$D$9:$D$1008,$I671-8)))</x:f>
      </x:c>
      <x:c r="E671" s="51" t="str">
        <x:f>IF(663&gt;$H$4,"",IF(INDEX('Fleet dates'!$E$9:$E$1008,$I671-8)="","",INDEX('Fleet dates'!$E$9:$E$1008,$I671-8)))</x:f>
      </x:c>
      <x:c r="F671" s="51" t="str">
        <x:f>IF(663&gt;$H$4,"",IF(INDEX('Fleet dates'!$F$9:$F$1008,$I671-8)="","",INDEX('Fleet dates'!$F$9:$F$1008,$I671-8)))</x:f>
      </x:c>
      <x:c r="G671" s="50" t="str">
        <x:f>IF(663&gt;$H$4,"",IF(INDEX('Fleet dates'!$G$9:$G$1008,$I671-8)="","",INDEX('Fleet dates'!$G$9:$G$1008,$I671-8)))</x:f>
      </x:c>
      <x:c r="H671" s="50" t="str">
        <x:f>IF(663&gt;$H$4,"",IF(INDEX('Fleet dates'!$I$9:$I$1008,$I671-8)="","",INDEX('Fleet dates'!$I$9:$I$1008,$I671-8)))</x:f>
      </x:c>
      <x:c r="I671" t="str">
        <x:f>IF(663&gt;$H$4,"",MATCH(663,'Fleet dates'!$K$9:$K$1008,0)+8)</x:f>
      </x:c>
    </x:row>
    <x:row r="672" ht="36" customHeight="1">
      <x:c r="A672" s="50" t="str">
        <x:f>IF(664&gt;$H$4,"",IF(INDEX('Fleet dates'!$A$9:$A$1008,$I672-8)="","",INDEX('Fleet dates'!$A$9:$A$1008,$I672-8)))</x:f>
      </x:c>
      <x:c r="B672" s="50" t="str">
        <x:f>IF(664&gt;$H$4,"",IF(INDEX('Fleet dates'!$B$9:$B$1008,$I672-8)="","",INDEX('Fleet dates'!$B$9:$B$1008,$I672-8)))</x:f>
      </x:c>
      <x:c r="C672" s="51" t="str">
        <x:f>IF(664&gt;$H$4,"",IF(INDEX('Fleet dates'!$C$9:$C$1008,$I672-8)="","",INDEX('Fleet dates'!$C$9:$C$1008,$I672-8)))</x:f>
      </x:c>
      <x:c r="D672" s="51" t="str">
        <x:f>IF(664&gt;$H$4,"",IF(INDEX('Fleet dates'!$D$9:$D$1008,$I672-8)="","",INDEX('Fleet dates'!$D$9:$D$1008,$I672-8)))</x:f>
      </x:c>
      <x:c r="E672" s="51" t="str">
        <x:f>IF(664&gt;$H$4,"",IF(INDEX('Fleet dates'!$E$9:$E$1008,$I672-8)="","",INDEX('Fleet dates'!$E$9:$E$1008,$I672-8)))</x:f>
      </x:c>
      <x:c r="F672" s="51" t="str">
        <x:f>IF(664&gt;$H$4,"",IF(INDEX('Fleet dates'!$F$9:$F$1008,$I672-8)="","",INDEX('Fleet dates'!$F$9:$F$1008,$I672-8)))</x:f>
      </x:c>
      <x:c r="G672" s="50" t="str">
        <x:f>IF(664&gt;$H$4,"",IF(INDEX('Fleet dates'!$G$9:$G$1008,$I672-8)="","",INDEX('Fleet dates'!$G$9:$G$1008,$I672-8)))</x:f>
      </x:c>
      <x:c r="H672" s="50" t="str">
        <x:f>IF(664&gt;$H$4,"",IF(INDEX('Fleet dates'!$I$9:$I$1008,$I672-8)="","",INDEX('Fleet dates'!$I$9:$I$1008,$I672-8)))</x:f>
      </x:c>
      <x:c r="I672" t="str">
        <x:f>IF(664&gt;$H$4,"",MATCH(664,'Fleet dates'!$K$9:$K$1008,0)+8)</x:f>
      </x:c>
    </x:row>
    <x:row r="673" ht="36" customHeight="1">
      <x:c r="A673" s="50" t="str">
        <x:f>IF(665&gt;$H$4,"",IF(INDEX('Fleet dates'!$A$9:$A$1008,$I673-8)="","",INDEX('Fleet dates'!$A$9:$A$1008,$I673-8)))</x:f>
      </x:c>
      <x:c r="B673" s="50" t="str">
        <x:f>IF(665&gt;$H$4,"",IF(INDEX('Fleet dates'!$B$9:$B$1008,$I673-8)="","",INDEX('Fleet dates'!$B$9:$B$1008,$I673-8)))</x:f>
      </x:c>
      <x:c r="C673" s="51" t="str">
        <x:f>IF(665&gt;$H$4,"",IF(INDEX('Fleet dates'!$C$9:$C$1008,$I673-8)="","",INDEX('Fleet dates'!$C$9:$C$1008,$I673-8)))</x:f>
      </x:c>
      <x:c r="D673" s="51" t="str">
        <x:f>IF(665&gt;$H$4,"",IF(INDEX('Fleet dates'!$D$9:$D$1008,$I673-8)="","",INDEX('Fleet dates'!$D$9:$D$1008,$I673-8)))</x:f>
      </x:c>
      <x:c r="E673" s="51" t="str">
        <x:f>IF(665&gt;$H$4,"",IF(INDEX('Fleet dates'!$E$9:$E$1008,$I673-8)="","",INDEX('Fleet dates'!$E$9:$E$1008,$I673-8)))</x:f>
      </x:c>
      <x:c r="F673" s="51" t="str">
        <x:f>IF(665&gt;$H$4,"",IF(INDEX('Fleet dates'!$F$9:$F$1008,$I673-8)="","",INDEX('Fleet dates'!$F$9:$F$1008,$I673-8)))</x:f>
      </x:c>
      <x:c r="G673" s="50" t="str">
        <x:f>IF(665&gt;$H$4,"",IF(INDEX('Fleet dates'!$G$9:$G$1008,$I673-8)="","",INDEX('Fleet dates'!$G$9:$G$1008,$I673-8)))</x:f>
      </x:c>
      <x:c r="H673" s="50" t="str">
        <x:f>IF(665&gt;$H$4,"",IF(INDEX('Fleet dates'!$I$9:$I$1008,$I673-8)="","",INDEX('Fleet dates'!$I$9:$I$1008,$I673-8)))</x:f>
      </x:c>
      <x:c r="I673" t="str">
        <x:f>IF(665&gt;$H$4,"",MATCH(665,'Fleet dates'!$K$9:$K$1008,0)+8)</x:f>
      </x:c>
    </x:row>
    <x:row r="674" ht="36" customHeight="1">
      <x:c r="A674" s="50" t="str">
        <x:f>IF(666&gt;$H$4,"",IF(INDEX('Fleet dates'!$A$9:$A$1008,$I674-8)="","",INDEX('Fleet dates'!$A$9:$A$1008,$I674-8)))</x:f>
      </x:c>
      <x:c r="B674" s="50" t="str">
        <x:f>IF(666&gt;$H$4,"",IF(INDEX('Fleet dates'!$B$9:$B$1008,$I674-8)="","",INDEX('Fleet dates'!$B$9:$B$1008,$I674-8)))</x:f>
      </x:c>
      <x:c r="C674" s="51" t="str">
        <x:f>IF(666&gt;$H$4,"",IF(INDEX('Fleet dates'!$C$9:$C$1008,$I674-8)="","",INDEX('Fleet dates'!$C$9:$C$1008,$I674-8)))</x:f>
      </x:c>
      <x:c r="D674" s="51" t="str">
        <x:f>IF(666&gt;$H$4,"",IF(INDEX('Fleet dates'!$D$9:$D$1008,$I674-8)="","",INDEX('Fleet dates'!$D$9:$D$1008,$I674-8)))</x:f>
      </x:c>
      <x:c r="E674" s="51" t="str">
        <x:f>IF(666&gt;$H$4,"",IF(INDEX('Fleet dates'!$E$9:$E$1008,$I674-8)="","",INDEX('Fleet dates'!$E$9:$E$1008,$I674-8)))</x:f>
      </x:c>
      <x:c r="F674" s="51" t="str">
        <x:f>IF(666&gt;$H$4,"",IF(INDEX('Fleet dates'!$F$9:$F$1008,$I674-8)="","",INDEX('Fleet dates'!$F$9:$F$1008,$I674-8)))</x:f>
      </x:c>
      <x:c r="G674" s="50" t="str">
        <x:f>IF(666&gt;$H$4,"",IF(INDEX('Fleet dates'!$G$9:$G$1008,$I674-8)="","",INDEX('Fleet dates'!$G$9:$G$1008,$I674-8)))</x:f>
      </x:c>
      <x:c r="H674" s="50" t="str">
        <x:f>IF(666&gt;$H$4,"",IF(INDEX('Fleet dates'!$I$9:$I$1008,$I674-8)="","",INDEX('Fleet dates'!$I$9:$I$1008,$I674-8)))</x:f>
      </x:c>
      <x:c r="I674" t="str">
        <x:f>IF(666&gt;$H$4,"",MATCH(666,'Fleet dates'!$K$9:$K$1008,0)+8)</x:f>
      </x:c>
    </x:row>
    <x:row r="675" ht="36" customHeight="1">
      <x:c r="A675" s="50" t="str">
        <x:f>IF(667&gt;$H$4,"",IF(INDEX('Fleet dates'!$A$9:$A$1008,$I675-8)="","",INDEX('Fleet dates'!$A$9:$A$1008,$I675-8)))</x:f>
      </x:c>
      <x:c r="B675" s="50" t="str">
        <x:f>IF(667&gt;$H$4,"",IF(INDEX('Fleet dates'!$B$9:$B$1008,$I675-8)="","",INDEX('Fleet dates'!$B$9:$B$1008,$I675-8)))</x:f>
      </x:c>
      <x:c r="C675" s="51" t="str">
        <x:f>IF(667&gt;$H$4,"",IF(INDEX('Fleet dates'!$C$9:$C$1008,$I675-8)="","",INDEX('Fleet dates'!$C$9:$C$1008,$I675-8)))</x:f>
      </x:c>
      <x:c r="D675" s="51" t="str">
        <x:f>IF(667&gt;$H$4,"",IF(INDEX('Fleet dates'!$D$9:$D$1008,$I675-8)="","",INDEX('Fleet dates'!$D$9:$D$1008,$I675-8)))</x:f>
      </x:c>
      <x:c r="E675" s="51" t="str">
        <x:f>IF(667&gt;$H$4,"",IF(INDEX('Fleet dates'!$E$9:$E$1008,$I675-8)="","",INDEX('Fleet dates'!$E$9:$E$1008,$I675-8)))</x:f>
      </x:c>
      <x:c r="F675" s="51" t="str">
        <x:f>IF(667&gt;$H$4,"",IF(INDEX('Fleet dates'!$F$9:$F$1008,$I675-8)="","",INDEX('Fleet dates'!$F$9:$F$1008,$I675-8)))</x:f>
      </x:c>
      <x:c r="G675" s="50" t="str">
        <x:f>IF(667&gt;$H$4,"",IF(INDEX('Fleet dates'!$G$9:$G$1008,$I675-8)="","",INDEX('Fleet dates'!$G$9:$G$1008,$I675-8)))</x:f>
      </x:c>
      <x:c r="H675" s="50" t="str">
        <x:f>IF(667&gt;$H$4,"",IF(INDEX('Fleet dates'!$I$9:$I$1008,$I675-8)="","",INDEX('Fleet dates'!$I$9:$I$1008,$I675-8)))</x:f>
      </x:c>
      <x:c r="I675" t="str">
        <x:f>IF(667&gt;$H$4,"",MATCH(667,'Fleet dates'!$K$9:$K$1008,0)+8)</x:f>
      </x:c>
    </x:row>
    <x:row r="676" ht="36" customHeight="1">
      <x:c r="A676" s="50" t="str">
        <x:f>IF(668&gt;$H$4,"",IF(INDEX('Fleet dates'!$A$9:$A$1008,$I676-8)="","",INDEX('Fleet dates'!$A$9:$A$1008,$I676-8)))</x:f>
      </x:c>
      <x:c r="B676" s="50" t="str">
        <x:f>IF(668&gt;$H$4,"",IF(INDEX('Fleet dates'!$B$9:$B$1008,$I676-8)="","",INDEX('Fleet dates'!$B$9:$B$1008,$I676-8)))</x:f>
      </x:c>
      <x:c r="C676" s="51" t="str">
        <x:f>IF(668&gt;$H$4,"",IF(INDEX('Fleet dates'!$C$9:$C$1008,$I676-8)="","",INDEX('Fleet dates'!$C$9:$C$1008,$I676-8)))</x:f>
      </x:c>
      <x:c r="D676" s="51" t="str">
        <x:f>IF(668&gt;$H$4,"",IF(INDEX('Fleet dates'!$D$9:$D$1008,$I676-8)="","",INDEX('Fleet dates'!$D$9:$D$1008,$I676-8)))</x:f>
      </x:c>
      <x:c r="E676" s="51" t="str">
        <x:f>IF(668&gt;$H$4,"",IF(INDEX('Fleet dates'!$E$9:$E$1008,$I676-8)="","",INDEX('Fleet dates'!$E$9:$E$1008,$I676-8)))</x:f>
      </x:c>
      <x:c r="F676" s="51" t="str">
        <x:f>IF(668&gt;$H$4,"",IF(INDEX('Fleet dates'!$F$9:$F$1008,$I676-8)="","",INDEX('Fleet dates'!$F$9:$F$1008,$I676-8)))</x:f>
      </x:c>
      <x:c r="G676" s="50" t="str">
        <x:f>IF(668&gt;$H$4,"",IF(INDEX('Fleet dates'!$G$9:$G$1008,$I676-8)="","",INDEX('Fleet dates'!$G$9:$G$1008,$I676-8)))</x:f>
      </x:c>
      <x:c r="H676" s="50" t="str">
        <x:f>IF(668&gt;$H$4,"",IF(INDEX('Fleet dates'!$I$9:$I$1008,$I676-8)="","",INDEX('Fleet dates'!$I$9:$I$1008,$I676-8)))</x:f>
      </x:c>
      <x:c r="I676" t="str">
        <x:f>IF(668&gt;$H$4,"",MATCH(668,'Fleet dates'!$K$9:$K$1008,0)+8)</x:f>
      </x:c>
    </x:row>
    <x:row r="677" ht="36" customHeight="1">
      <x:c r="A677" s="50" t="str">
        <x:f>IF(669&gt;$H$4,"",IF(INDEX('Fleet dates'!$A$9:$A$1008,$I677-8)="","",INDEX('Fleet dates'!$A$9:$A$1008,$I677-8)))</x:f>
      </x:c>
      <x:c r="B677" s="50" t="str">
        <x:f>IF(669&gt;$H$4,"",IF(INDEX('Fleet dates'!$B$9:$B$1008,$I677-8)="","",INDEX('Fleet dates'!$B$9:$B$1008,$I677-8)))</x:f>
      </x:c>
      <x:c r="C677" s="51" t="str">
        <x:f>IF(669&gt;$H$4,"",IF(INDEX('Fleet dates'!$C$9:$C$1008,$I677-8)="","",INDEX('Fleet dates'!$C$9:$C$1008,$I677-8)))</x:f>
      </x:c>
      <x:c r="D677" s="51" t="str">
        <x:f>IF(669&gt;$H$4,"",IF(INDEX('Fleet dates'!$D$9:$D$1008,$I677-8)="","",INDEX('Fleet dates'!$D$9:$D$1008,$I677-8)))</x:f>
      </x:c>
      <x:c r="E677" s="51" t="str">
        <x:f>IF(669&gt;$H$4,"",IF(INDEX('Fleet dates'!$E$9:$E$1008,$I677-8)="","",INDEX('Fleet dates'!$E$9:$E$1008,$I677-8)))</x:f>
      </x:c>
      <x:c r="F677" s="51" t="str">
        <x:f>IF(669&gt;$H$4,"",IF(INDEX('Fleet dates'!$F$9:$F$1008,$I677-8)="","",INDEX('Fleet dates'!$F$9:$F$1008,$I677-8)))</x:f>
      </x:c>
      <x:c r="G677" s="50" t="str">
        <x:f>IF(669&gt;$H$4,"",IF(INDEX('Fleet dates'!$G$9:$G$1008,$I677-8)="","",INDEX('Fleet dates'!$G$9:$G$1008,$I677-8)))</x:f>
      </x:c>
      <x:c r="H677" s="50" t="str">
        <x:f>IF(669&gt;$H$4,"",IF(INDEX('Fleet dates'!$I$9:$I$1008,$I677-8)="","",INDEX('Fleet dates'!$I$9:$I$1008,$I677-8)))</x:f>
      </x:c>
      <x:c r="I677" t="str">
        <x:f>IF(669&gt;$H$4,"",MATCH(669,'Fleet dates'!$K$9:$K$1008,0)+8)</x:f>
      </x:c>
    </x:row>
    <x:row r="678" ht="36" customHeight="1">
      <x:c r="A678" s="50" t="str">
        <x:f>IF(670&gt;$H$4,"",IF(INDEX('Fleet dates'!$A$9:$A$1008,$I678-8)="","",INDEX('Fleet dates'!$A$9:$A$1008,$I678-8)))</x:f>
      </x:c>
      <x:c r="B678" s="50" t="str">
        <x:f>IF(670&gt;$H$4,"",IF(INDEX('Fleet dates'!$B$9:$B$1008,$I678-8)="","",INDEX('Fleet dates'!$B$9:$B$1008,$I678-8)))</x:f>
      </x:c>
      <x:c r="C678" s="51" t="str">
        <x:f>IF(670&gt;$H$4,"",IF(INDEX('Fleet dates'!$C$9:$C$1008,$I678-8)="","",INDEX('Fleet dates'!$C$9:$C$1008,$I678-8)))</x:f>
      </x:c>
      <x:c r="D678" s="51" t="str">
        <x:f>IF(670&gt;$H$4,"",IF(INDEX('Fleet dates'!$D$9:$D$1008,$I678-8)="","",INDEX('Fleet dates'!$D$9:$D$1008,$I678-8)))</x:f>
      </x:c>
      <x:c r="E678" s="51" t="str">
        <x:f>IF(670&gt;$H$4,"",IF(INDEX('Fleet dates'!$E$9:$E$1008,$I678-8)="","",INDEX('Fleet dates'!$E$9:$E$1008,$I678-8)))</x:f>
      </x:c>
      <x:c r="F678" s="51" t="str">
        <x:f>IF(670&gt;$H$4,"",IF(INDEX('Fleet dates'!$F$9:$F$1008,$I678-8)="","",INDEX('Fleet dates'!$F$9:$F$1008,$I678-8)))</x:f>
      </x:c>
      <x:c r="G678" s="50" t="str">
        <x:f>IF(670&gt;$H$4,"",IF(INDEX('Fleet dates'!$G$9:$G$1008,$I678-8)="","",INDEX('Fleet dates'!$G$9:$G$1008,$I678-8)))</x:f>
      </x:c>
      <x:c r="H678" s="50" t="str">
        <x:f>IF(670&gt;$H$4,"",IF(INDEX('Fleet dates'!$I$9:$I$1008,$I678-8)="","",INDEX('Fleet dates'!$I$9:$I$1008,$I678-8)))</x:f>
      </x:c>
      <x:c r="I678" t="str">
        <x:f>IF(670&gt;$H$4,"",MATCH(670,'Fleet dates'!$K$9:$K$1008,0)+8)</x:f>
      </x:c>
    </x:row>
    <x:row r="679" ht="36" customHeight="1">
      <x:c r="A679" s="50" t="str">
        <x:f>IF(671&gt;$H$4,"",IF(INDEX('Fleet dates'!$A$9:$A$1008,$I679-8)="","",INDEX('Fleet dates'!$A$9:$A$1008,$I679-8)))</x:f>
      </x:c>
      <x:c r="B679" s="50" t="str">
        <x:f>IF(671&gt;$H$4,"",IF(INDEX('Fleet dates'!$B$9:$B$1008,$I679-8)="","",INDEX('Fleet dates'!$B$9:$B$1008,$I679-8)))</x:f>
      </x:c>
      <x:c r="C679" s="51" t="str">
        <x:f>IF(671&gt;$H$4,"",IF(INDEX('Fleet dates'!$C$9:$C$1008,$I679-8)="","",INDEX('Fleet dates'!$C$9:$C$1008,$I679-8)))</x:f>
      </x:c>
      <x:c r="D679" s="51" t="str">
        <x:f>IF(671&gt;$H$4,"",IF(INDEX('Fleet dates'!$D$9:$D$1008,$I679-8)="","",INDEX('Fleet dates'!$D$9:$D$1008,$I679-8)))</x:f>
      </x:c>
      <x:c r="E679" s="51" t="str">
        <x:f>IF(671&gt;$H$4,"",IF(INDEX('Fleet dates'!$E$9:$E$1008,$I679-8)="","",INDEX('Fleet dates'!$E$9:$E$1008,$I679-8)))</x:f>
      </x:c>
      <x:c r="F679" s="51" t="str">
        <x:f>IF(671&gt;$H$4,"",IF(INDEX('Fleet dates'!$F$9:$F$1008,$I679-8)="","",INDEX('Fleet dates'!$F$9:$F$1008,$I679-8)))</x:f>
      </x:c>
      <x:c r="G679" s="50" t="str">
        <x:f>IF(671&gt;$H$4,"",IF(INDEX('Fleet dates'!$G$9:$G$1008,$I679-8)="","",INDEX('Fleet dates'!$G$9:$G$1008,$I679-8)))</x:f>
      </x:c>
      <x:c r="H679" s="50" t="str">
        <x:f>IF(671&gt;$H$4,"",IF(INDEX('Fleet dates'!$I$9:$I$1008,$I679-8)="","",INDEX('Fleet dates'!$I$9:$I$1008,$I679-8)))</x:f>
      </x:c>
      <x:c r="I679" t="str">
        <x:f>IF(671&gt;$H$4,"",MATCH(671,'Fleet dates'!$K$9:$K$1008,0)+8)</x:f>
      </x:c>
    </x:row>
    <x:row r="680" ht="36" customHeight="1">
      <x:c r="A680" s="50" t="str">
        <x:f>IF(672&gt;$H$4,"",IF(INDEX('Fleet dates'!$A$9:$A$1008,$I680-8)="","",INDEX('Fleet dates'!$A$9:$A$1008,$I680-8)))</x:f>
      </x:c>
      <x:c r="B680" s="50" t="str">
        <x:f>IF(672&gt;$H$4,"",IF(INDEX('Fleet dates'!$B$9:$B$1008,$I680-8)="","",INDEX('Fleet dates'!$B$9:$B$1008,$I680-8)))</x:f>
      </x:c>
      <x:c r="C680" s="51" t="str">
        <x:f>IF(672&gt;$H$4,"",IF(INDEX('Fleet dates'!$C$9:$C$1008,$I680-8)="","",INDEX('Fleet dates'!$C$9:$C$1008,$I680-8)))</x:f>
      </x:c>
      <x:c r="D680" s="51" t="str">
        <x:f>IF(672&gt;$H$4,"",IF(INDEX('Fleet dates'!$D$9:$D$1008,$I680-8)="","",INDEX('Fleet dates'!$D$9:$D$1008,$I680-8)))</x:f>
      </x:c>
      <x:c r="E680" s="51" t="str">
        <x:f>IF(672&gt;$H$4,"",IF(INDEX('Fleet dates'!$E$9:$E$1008,$I680-8)="","",INDEX('Fleet dates'!$E$9:$E$1008,$I680-8)))</x:f>
      </x:c>
      <x:c r="F680" s="51" t="str">
        <x:f>IF(672&gt;$H$4,"",IF(INDEX('Fleet dates'!$F$9:$F$1008,$I680-8)="","",INDEX('Fleet dates'!$F$9:$F$1008,$I680-8)))</x:f>
      </x:c>
      <x:c r="G680" s="50" t="str">
        <x:f>IF(672&gt;$H$4,"",IF(INDEX('Fleet dates'!$G$9:$G$1008,$I680-8)="","",INDEX('Fleet dates'!$G$9:$G$1008,$I680-8)))</x:f>
      </x:c>
      <x:c r="H680" s="50" t="str">
        <x:f>IF(672&gt;$H$4,"",IF(INDEX('Fleet dates'!$I$9:$I$1008,$I680-8)="","",INDEX('Fleet dates'!$I$9:$I$1008,$I680-8)))</x:f>
      </x:c>
      <x:c r="I680" t="str">
        <x:f>IF(672&gt;$H$4,"",MATCH(672,'Fleet dates'!$K$9:$K$1008,0)+8)</x:f>
      </x:c>
    </x:row>
    <x:row r="681" ht="36" customHeight="1">
      <x:c r="A681" s="50" t="str">
        <x:f>IF(673&gt;$H$4,"",IF(INDEX('Fleet dates'!$A$9:$A$1008,$I681-8)="","",INDEX('Fleet dates'!$A$9:$A$1008,$I681-8)))</x:f>
      </x:c>
      <x:c r="B681" s="50" t="str">
        <x:f>IF(673&gt;$H$4,"",IF(INDEX('Fleet dates'!$B$9:$B$1008,$I681-8)="","",INDEX('Fleet dates'!$B$9:$B$1008,$I681-8)))</x:f>
      </x:c>
      <x:c r="C681" s="51" t="str">
        <x:f>IF(673&gt;$H$4,"",IF(INDEX('Fleet dates'!$C$9:$C$1008,$I681-8)="","",INDEX('Fleet dates'!$C$9:$C$1008,$I681-8)))</x:f>
      </x:c>
      <x:c r="D681" s="51" t="str">
        <x:f>IF(673&gt;$H$4,"",IF(INDEX('Fleet dates'!$D$9:$D$1008,$I681-8)="","",INDEX('Fleet dates'!$D$9:$D$1008,$I681-8)))</x:f>
      </x:c>
      <x:c r="E681" s="51" t="str">
        <x:f>IF(673&gt;$H$4,"",IF(INDEX('Fleet dates'!$E$9:$E$1008,$I681-8)="","",INDEX('Fleet dates'!$E$9:$E$1008,$I681-8)))</x:f>
      </x:c>
      <x:c r="F681" s="51" t="str">
        <x:f>IF(673&gt;$H$4,"",IF(INDEX('Fleet dates'!$F$9:$F$1008,$I681-8)="","",INDEX('Fleet dates'!$F$9:$F$1008,$I681-8)))</x:f>
      </x:c>
      <x:c r="G681" s="50" t="str">
        <x:f>IF(673&gt;$H$4,"",IF(INDEX('Fleet dates'!$G$9:$G$1008,$I681-8)="","",INDEX('Fleet dates'!$G$9:$G$1008,$I681-8)))</x:f>
      </x:c>
      <x:c r="H681" s="50" t="str">
        <x:f>IF(673&gt;$H$4,"",IF(INDEX('Fleet dates'!$I$9:$I$1008,$I681-8)="","",INDEX('Fleet dates'!$I$9:$I$1008,$I681-8)))</x:f>
      </x:c>
      <x:c r="I681" t="str">
        <x:f>IF(673&gt;$H$4,"",MATCH(673,'Fleet dates'!$K$9:$K$1008,0)+8)</x:f>
      </x:c>
    </x:row>
    <x:row r="682" ht="36" customHeight="1">
      <x:c r="A682" s="50" t="str">
        <x:f>IF(674&gt;$H$4,"",IF(INDEX('Fleet dates'!$A$9:$A$1008,$I682-8)="","",INDEX('Fleet dates'!$A$9:$A$1008,$I682-8)))</x:f>
      </x:c>
      <x:c r="B682" s="50" t="str">
        <x:f>IF(674&gt;$H$4,"",IF(INDEX('Fleet dates'!$B$9:$B$1008,$I682-8)="","",INDEX('Fleet dates'!$B$9:$B$1008,$I682-8)))</x:f>
      </x:c>
      <x:c r="C682" s="51" t="str">
        <x:f>IF(674&gt;$H$4,"",IF(INDEX('Fleet dates'!$C$9:$C$1008,$I682-8)="","",INDEX('Fleet dates'!$C$9:$C$1008,$I682-8)))</x:f>
      </x:c>
      <x:c r="D682" s="51" t="str">
        <x:f>IF(674&gt;$H$4,"",IF(INDEX('Fleet dates'!$D$9:$D$1008,$I682-8)="","",INDEX('Fleet dates'!$D$9:$D$1008,$I682-8)))</x:f>
      </x:c>
      <x:c r="E682" s="51" t="str">
        <x:f>IF(674&gt;$H$4,"",IF(INDEX('Fleet dates'!$E$9:$E$1008,$I682-8)="","",INDEX('Fleet dates'!$E$9:$E$1008,$I682-8)))</x:f>
      </x:c>
      <x:c r="F682" s="51" t="str">
        <x:f>IF(674&gt;$H$4,"",IF(INDEX('Fleet dates'!$F$9:$F$1008,$I682-8)="","",INDEX('Fleet dates'!$F$9:$F$1008,$I682-8)))</x:f>
      </x:c>
      <x:c r="G682" s="50" t="str">
        <x:f>IF(674&gt;$H$4,"",IF(INDEX('Fleet dates'!$G$9:$G$1008,$I682-8)="","",INDEX('Fleet dates'!$G$9:$G$1008,$I682-8)))</x:f>
      </x:c>
      <x:c r="H682" s="50" t="str">
        <x:f>IF(674&gt;$H$4,"",IF(INDEX('Fleet dates'!$I$9:$I$1008,$I682-8)="","",INDEX('Fleet dates'!$I$9:$I$1008,$I682-8)))</x:f>
      </x:c>
      <x:c r="I682" t="str">
        <x:f>IF(674&gt;$H$4,"",MATCH(674,'Fleet dates'!$K$9:$K$1008,0)+8)</x:f>
      </x:c>
    </x:row>
    <x:row r="683" ht="36" customHeight="1">
      <x:c r="A683" s="50" t="str">
        <x:f>IF(675&gt;$H$4,"",IF(INDEX('Fleet dates'!$A$9:$A$1008,$I683-8)="","",INDEX('Fleet dates'!$A$9:$A$1008,$I683-8)))</x:f>
      </x:c>
      <x:c r="B683" s="50" t="str">
        <x:f>IF(675&gt;$H$4,"",IF(INDEX('Fleet dates'!$B$9:$B$1008,$I683-8)="","",INDEX('Fleet dates'!$B$9:$B$1008,$I683-8)))</x:f>
      </x:c>
      <x:c r="C683" s="51" t="str">
        <x:f>IF(675&gt;$H$4,"",IF(INDEX('Fleet dates'!$C$9:$C$1008,$I683-8)="","",INDEX('Fleet dates'!$C$9:$C$1008,$I683-8)))</x:f>
      </x:c>
      <x:c r="D683" s="51" t="str">
        <x:f>IF(675&gt;$H$4,"",IF(INDEX('Fleet dates'!$D$9:$D$1008,$I683-8)="","",INDEX('Fleet dates'!$D$9:$D$1008,$I683-8)))</x:f>
      </x:c>
      <x:c r="E683" s="51" t="str">
        <x:f>IF(675&gt;$H$4,"",IF(INDEX('Fleet dates'!$E$9:$E$1008,$I683-8)="","",INDEX('Fleet dates'!$E$9:$E$1008,$I683-8)))</x:f>
      </x:c>
      <x:c r="F683" s="51" t="str">
        <x:f>IF(675&gt;$H$4,"",IF(INDEX('Fleet dates'!$F$9:$F$1008,$I683-8)="","",INDEX('Fleet dates'!$F$9:$F$1008,$I683-8)))</x:f>
      </x:c>
      <x:c r="G683" s="50" t="str">
        <x:f>IF(675&gt;$H$4,"",IF(INDEX('Fleet dates'!$G$9:$G$1008,$I683-8)="","",INDEX('Fleet dates'!$G$9:$G$1008,$I683-8)))</x:f>
      </x:c>
      <x:c r="H683" s="50" t="str">
        <x:f>IF(675&gt;$H$4,"",IF(INDEX('Fleet dates'!$I$9:$I$1008,$I683-8)="","",INDEX('Fleet dates'!$I$9:$I$1008,$I683-8)))</x:f>
      </x:c>
      <x:c r="I683" t="str">
        <x:f>IF(675&gt;$H$4,"",MATCH(675,'Fleet dates'!$K$9:$K$1008,0)+8)</x:f>
      </x:c>
    </x:row>
    <x:row r="684" ht="36" customHeight="1">
      <x:c r="A684" s="50" t="str">
        <x:f>IF(676&gt;$H$4,"",IF(INDEX('Fleet dates'!$A$9:$A$1008,$I684-8)="","",INDEX('Fleet dates'!$A$9:$A$1008,$I684-8)))</x:f>
      </x:c>
      <x:c r="B684" s="50" t="str">
        <x:f>IF(676&gt;$H$4,"",IF(INDEX('Fleet dates'!$B$9:$B$1008,$I684-8)="","",INDEX('Fleet dates'!$B$9:$B$1008,$I684-8)))</x:f>
      </x:c>
      <x:c r="C684" s="51" t="str">
        <x:f>IF(676&gt;$H$4,"",IF(INDEX('Fleet dates'!$C$9:$C$1008,$I684-8)="","",INDEX('Fleet dates'!$C$9:$C$1008,$I684-8)))</x:f>
      </x:c>
      <x:c r="D684" s="51" t="str">
        <x:f>IF(676&gt;$H$4,"",IF(INDEX('Fleet dates'!$D$9:$D$1008,$I684-8)="","",INDEX('Fleet dates'!$D$9:$D$1008,$I684-8)))</x:f>
      </x:c>
      <x:c r="E684" s="51" t="str">
        <x:f>IF(676&gt;$H$4,"",IF(INDEX('Fleet dates'!$E$9:$E$1008,$I684-8)="","",INDEX('Fleet dates'!$E$9:$E$1008,$I684-8)))</x:f>
      </x:c>
      <x:c r="F684" s="51" t="str">
        <x:f>IF(676&gt;$H$4,"",IF(INDEX('Fleet dates'!$F$9:$F$1008,$I684-8)="","",INDEX('Fleet dates'!$F$9:$F$1008,$I684-8)))</x:f>
      </x:c>
      <x:c r="G684" s="50" t="str">
        <x:f>IF(676&gt;$H$4,"",IF(INDEX('Fleet dates'!$G$9:$G$1008,$I684-8)="","",INDEX('Fleet dates'!$G$9:$G$1008,$I684-8)))</x:f>
      </x:c>
      <x:c r="H684" s="50" t="str">
        <x:f>IF(676&gt;$H$4,"",IF(INDEX('Fleet dates'!$I$9:$I$1008,$I684-8)="","",INDEX('Fleet dates'!$I$9:$I$1008,$I684-8)))</x:f>
      </x:c>
      <x:c r="I684" t="str">
        <x:f>IF(676&gt;$H$4,"",MATCH(676,'Fleet dates'!$K$9:$K$1008,0)+8)</x:f>
      </x:c>
    </x:row>
    <x:row r="685" ht="36" customHeight="1">
      <x:c r="A685" s="50" t="str">
        <x:f>IF(677&gt;$H$4,"",IF(INDEX('Fleet dates'!$A$9:$A$1008,$I685-8)="","",INDEX('Fleet dates'!$A$9:$A$1008,$I685-8)))</x:f>
      </x:c>
      <x:c r="B685" s="50" t="str">
        <x:f>IF(677&gt;$H$4,"",IF(INDEX('Fleet dates'!$B$9:$B$1008,$I685-8)="","",INDEX('Fleet dates'!$B$9:$B$1008,$I685-8)))</x:f>
      </x:c>
      <x:c r="C685" s="51" t="str">
        <x:f>IF(677&gt;$H$4,"",IF(INDEX('Fleet dates'!$C$9:$C$1008,$I685-8)="","",INDEX('Fleet dates'!$C$9:$C$1008,$I685-8)))</x:f>
      </x:c>
      <x:c r="D685" s="51" t="str">
        <x:f>IF(677&gt;$H$4,"",IF(INDEX('Fleet dates'!$D$9:$D$1008,$I685-8)="","",INDEX('Fleet dates'!$D$9:$D$1008,$I685-8)))</x:f>
      </x:c>
      <x:c r="E685" s="51" t="str">
        <x:f>IF(677&gt;$H$4,"",IF(INDEX('Fleet dates'!$E$9:$E$1008,$I685-8)="","",INDEX('Fleet dates'!$E$9:$E$1008,$I685-8)))</x:f>
      </x:c>
      <x:c r="F685" s="51" t="str">
        <x:f>IF(677&gt;$H$4,"",IF(INDEX('Fleet dates'!$F$9:$F$1008,$I685-8)="","",INDEX('Fleet dates'!$F$9:$F$1008,$I685-8)))</x:f>
      </x:c>
      <x:c r="G685" s="50" t="str">
        <x:f>IF(677&gt;$H$4,"",IF(INDEX('Fleet dates'!$G$9:$G$1008,$I685-8)="","",INDEX('Fleet dates'!$G$9:$G$1008,$I685-8)))</x:f>
      </x:c>
      <x:c r="H685" s="50" t="str">
        <x:f>IF(677&gt;$H$4,"",IF(INDEX('Fleet dates'!$I$9:$I$1008,$I685-8)="","",INDEX('Fleet dates'!$I$9:$I$1008,$I685-8)))</x:f>
      </x:c>
      <x:c r="I685" t="str">
        <x:f>IF(677&gt;$H$4,"",MATCH(677,'Fleet dates'!$K$9:$K$1008,0)+8)</x:f>
      </x:c>
    </x:row>
    <x:row r="686" ht="36" customHeight="1">
      <x:c r="A686" s="50" t="str">
        <x:f>IF(678&gt;$H$4,"",IF(INDEX('Fleet dates'!$A$9:$A$1008,$I686-8)="","",INDEX('Fleet dates'!$A$9:$A$1008,$I686-8)))</x:f>
      </x:c>
      <x:c r="B686" s="50" t="str">
        <x:f>IF(678&gt;$H$4,"",IF(INDEX('Fleet dates'!$B$9:$B$1008,$I686-8)="","",INDEX('Fleet dates'!$B$9:$B$1008,$I686-8)))</x:f>
      </x:c>
      <x:c r="C686" s="51" t="str">
        <x:f>IF(678&gt;$H$4,"",IF(INDEX('Fleet dates'!$C$9:$C$1008,$I686-8)="","",INDEX('Fleet dates'!$C$9:$C$1008,$I686-8)))</x:f>
      </x:c>
      <x:c r="D686" s="51" t="str">
        <x:f>IF(678&gt;$H$4,"",IF(INDEX('Fleet dates'!$D$9:$D$1008,$I686-8)="","",INDEX('Fleet dates'!$D$9:$D$1008,$I686-8)))</x:f>
      </x:c>
      <x:c r="E686" s="51" t="str">
        <x:f>IF(678&gt;$H$4,"",IF(INDEX('Fleet dates'!$E$9:$E$1008,$I686-8)="","",INDEX('Fleet dates'!$E$9:$E$1008,$I686-8)))</x:f>
      </x:c>
      <x:c r="F686" s="51" t="str">
        <x:f>IF(678&gt;$H$4,"",IF(INDEX('Fleet dates'!$F$9:$F$1008,$I686-8)="","",INDEX('Fleet dates'!$F$9:$F$1008,$I686-8)))</x:f>
      </x:c>
      <x:c r="G686" s="50" t="str">
        <x:f>IF(678&gt;$H$4,"",IF(INDEX('Fleet dates'!$G$9:$G$1008,$I686-8)="","",INDEX('Fleet dates'!$G$9:$G$1008,$I686-8)))</x:f>
      </x:c>
      <x:c r="H686" s="50" t="str">
        <x:f>IF(678&gt;$H$4,"",IF(INDEX('Fleet dates'!$I$9:$I$1008,$I686-8)="","",INDEX('Fleet dates'!$I$9:$I$1008,$I686-8)))</x:f>
      </x:c>
      <x:c r="I686" t="str">
        <x:f>IF(678&gt;$H$4,"",MATCH(678,'Fleet dates'!$K$9:$K$1008,0)+8)</x:f>
      </x:c>
    </x:row>
    <x:row r="687" ht="36" customHeight="1">
      <x:c r="A687" s="50" t="str">
        <x:f>IF(679&gt;$H$4,"",IF(INDEX('Fleet dates'!$A$9:$A$1008,$I687-8)="","",INDEX('Fleet dates'!$A$9:$A$1008,$I687-8)))</x:f>
      </x:c>
      <x:c r="B687" s="50" t="str">
        <x:f>IF(679&gt;$H$4,"",IF(INDEX('Fleet dates'!$B$9:$B$1008,$I687-8)="","",INDEX('Fleet dates'!$B$9:$B$1008,$I687-8)))</x:f>
      </x:c>
      <x:c r="C687" s="51" t="str">
        <x:f>IF(679&gt;$H$4,"",IF(INDEX('Fleet dates'!$C$9:$C$1008,$I687-8)="","",INDEX('Fleet dates'!$C$9:$C$1008,$I687-8)))</x:f>
      </x:c>
      <x:c r="D687" s="51" t="str">
        <x:f>IF(679&gt;$H$4,"",IF(INDEX('Fleet dates'!$D$9:$D$1008,$I687-8)="","",INDEX('Fleet dates'!$D$9:$D$1008,$I687-8)))</x:f>
      </x:c>
      <x:c r="E687" s="51" t="str">
        <x:f>IF(679&gt;$H$4,"",IF(INDEX('Fleet dates'!$E$9:$E$1008,$I687-8)="","",INDEX('Fleet dates'!$E$9:$E$1008,$I687-8)))</x:f>
      </x:c>
      <x:c r="F687" s="51" t="str">
        <x:f>IF(679&gt;$H$4,"",IF(INDEX('Fleet dates'!$F$9:$F$1008,$I687-8)="","",INDEX('Fleet dates'!$F$9:$F$1008,$I687-8)))</x:f>
      </x:c>
      <x:c r="G687" s="50" t="str">
        <x:f>IF(679&gt;$H$4,"",IF(INDEX('Fleet dates'!$G$9:$G$1008,$I687-8)="","",INDEX('Fleet dates'!$G$9:$G$1008,$I687-8)))</x:f>
      </x:c>
      <x:c r="H687" s="50" t="str">
        <x:f>IF(679&gt;$H$4,"",IF(INDEX('Fleet dates'!$I$9:$I$1008,$I687-8)="","",INDEX('Fleet dates'!$I$9:$I$1008,$I687-8)))</x:f>
      </x:c>
      <x:c r="I687" t="str">
        <x:f>IF(679&gt;$H$4,"",MATCH(679,'Fleet dates'!$K$9:$K$1008,0)+8)</x:f>
      </x:c>
    </x:row>
    <x:row r="688" ht="36" customHeight="1">
      <x:c r="A688" s="50" t="str">
        <x:f>IF(680&gt;$H$4,"",IF(INDEX('Fleet dates'!$A$9:$A$1008,$I688-8)="","",INDEX('Fleet dates'!$A$9:$A$1008,$I688-8)))</x:f>
      </x:c>
      <x:c r="B688" s="50" t="str">
        <x:f>IF(680&gt;$H$4,"",IF(INDEX('Fleet dates'!$B$9:$B$1008,$I688-8)="","",INDEX('Fleet dates'!$B$9:$B$1008,$I688-8)))</x:f>
      </x:c>
      <x:c r="C688" s="51" t="str">
        <x:f>IF(680&gt;$H$4,"",IF(INDEX('Fleet dates'!$C$9:$C$1008,$I688-8)="","",INDEX('Fleet dates'!$C$9:$C$1008,$I688-8)))</x:f>
      </x:c>
      <x:c r="D688" s="51" t="str">
        <x:f>IF(680&gt;$H$4,"",IF(INDEX('Fleet dates'!$D$9:$D$1008,$I688-8)="","",INDEX('Fleet dates'!$D$9:$D$1008,$I688-8)))</x:f>
      </x:c>
      <x:c r="E688" s="51" t="str">
        <x:f>IF(680&gt;$H$4,"",IF(INDEX('Fleet dates'!$E$9:$E$1008,$I688-8)="","",INDEX('Fleet dates'!$E$9:$E$1008,$I688-8)))</x:f>
      </x:c>
      <x:c r="F688" s="51" t="str">
        <x:f>IF(680&gt;$H$4,"",IF(INDEX('Fleet dates'!$F$9:$F$1008,$I688-8)="","",INDEX('Fleet dates'!$F$9:$F$1008,$I688-8)))</x:f>
      </x:c>
      <x:c r="G688" s="50" t="str">
        <x:f>IF(680&gt;$H$4,"",IF(INDEX('Fleet dates'!$G$9:$G$1008,$I688-8)="","",INDEX('Fleet dates'!$G$9:$G$1008,$I688-8)))</x:f>
      </x:c>
      <x:c r="H688" s="50" t="str">
        <x:f>IF(680&gt;$H$4,"",IF(INDEX('Fleet dates'!$I$9:$I$1008,$I688-8)="","",INDEX('Fleet dates'!$I$9:$I$1008,$I688-8)))</x:f>
      </x:c>
      <x:c r="I688" t="str">
        <x:f>IF(680&gt;$H$4,"",MATCH(680,'Fleet dates'!$K$9:$K$1008,0)+8)</x:f>
      </x:c>
    </x:row>
    <x:row r="689" ht="36" customHeight="1">
      <x:c r="A689" s="50" t="str">
        <x:f>IF(681&gt;$H$4,"",IF(INDEX('Fleet dates'!$A$9:$A$1008,$I689-8)="","",INDEX('Fleet dates'!$A$9:$A$1008,$I689-8)))</x:f>
      </x:c>
      <x:c r="B689" s="50" t="str">
        <x:f>IF(681&gt;$H$4,"",IF(INDEX('Fleet dates'!$B$9:$B$1008,$I689-8)="","",INDEX('Fleet dates'!$B$9:$B$1008,$I689-8)))</x:f>
      </x:c>
      <x:c r="C689" s="51" t="str">
        <x:f>IF(681&gt;$H$4,"",IF(INDEX('Fleet dates'!$C$9:$C$1008,$I689-8)="","",INDEX('Fleet dates'!$C$9:$C$1008,$I689-8)))</x:f>
      </x:c>
      <x:c r="D689" s="51" t="str">
        <x:f>IF(681&gt;$H$4,"",IF(INDEX('Fleet dates'!$D$9:$D$1008,$I689-8)="","",INDEX('Fleet dates'!$D$9:$D$1008,$I689-8)))</x:f>
      </x:c>
      <x:c r="E689" s="51" t="str">
        <x:f>IF(681&gt;$H$4,"",IF(INDEX('Fleet dates'!$E$9:$E$1008,$I689-8)="","",INDEX('Fleet dates'!$E$9:$E$1008,$I689-8)))</x:f>
      </x:c>
      <x:c r="F689" s="51" t="str">
        <x:f>IF(681&gt;$H$4,"",IF(INDEX('Fleet dates'!$F$9:$F$1008,$I689-8)="","",INDEX('Fleet dates'!$F$9:$F$1008,$I689-8)))</x:f>
      </x:c>
      <x:c r="G689" s="50" t="str">
        <x:f>IF(681&gt;$H$4,"",IF(INDEX('Fleet dates'!$G$9:$G$1008,$I689-8)="","",INDEX('Fleet dates'!$G$9:$G$1008,$I689-8)))</x:f>
      </x:c>
      <x:c r="H689" s="50" t="str">
        <x:f>IF(681&gt;$H$4,"",IF(INDEX('Fleet dates'!$I$9:$I$1008,$I689-8)="","",INDEX('Fleet dates'!$I$9:$I$1008,$I689-8)))</x:f>
      </x:c>
      <x:c r="I689" t="str">
        <x:f>IF(681&gt;$H$4,"",MATCH(681,'Fleet dates'!$K$9:$K$1008,0)+8)</x:f>
      </x:c>
    </x:row>
    <x:row r="690" ht="36" customHeight="1">
      <x:c r="A690" s="50" t="str">
        <x:f>IF(682&gt;$H$4,"",IF(INDEX('Fleet dates'!$A$9:$A$1008,$I690-8)="","",INDEX('Fleet dates'!$A$9:$A$1008,$I690-8)))</x:f>
      </x:c>
      <x:c r="B690" s="50" t="str">
        <x:f>IF(682&gt;$H$4,"",IF(INDEX('Fleet dates'!$B$9:$B$1008,$I690-8)="","",INDEX('Fleet dates'!$B$9:$B$1008,$I690-8)))</x:f>
      </x:c>
      <x:c r="C690" s="51" t="str">
        <x:f>IF(682&gt;$H$4,"",IF(INDEX('Fleet dates'!$C$9:$C$1008,$I690-8)="","",INDEX('Fleet dates'!$C$9:$C$1008,$I690-8)))</x:f>
      </x:c>
      <x:c r="D690" s="51" t="str">
        <x:f>IF(682&gt;$H$4,"",IF(INDEX('Fleet dates'!$D$9:$D$1008,$I690-8)="","",INDEX('Fleet dates'!$D$9:$D$1008,$I690-8)))</x:f>
      </x:c>
      <x:c r="E690" s="51" t="str">
        <x:f>IF(682&gt;$H$4,"",IF(INDEX('Fleet dates'!$E$9:$E$1008,$I690-8)="","",INDEX('Fleet dates'!$E$9:$E$1008,$I690-8)))</x:f>
      </x:c>
      <x:c r="F690" s="51" t="str">
        <x:f>IF(682&gt;$H$4,"",IF(INDEX('Fleet dates'!$F$9:$F$1008,$I690-8)="","",INDEX('Fleet dates'!$F$9:$F$1008,$I690-8)))</x:f>
      </x:c>
      <x:c r="G690" s="50" t="str">
        <x:f>IF(682&gt;$H$4,"",IF(INDEX('Fleet dates'!$G$9:$G$1008,$I690-8)="","",INDEX('Fleet dates'!$G$9:$G$1008,$I690-8)))</x:f>
      </x:c>
      <x:c r="H690" s="50" t="str">
        <x:f>IF(682&gt;$H$4,"",IF(INDEX('Fleet dates'!$I$9:$I$1008,$I690-8)="","",INDEX('Fleet dates'!$I$9:$I$1008,$I690-8)))</x:f>
      </x:c>
      <x:c r="I690" t="str">
        <x:f>IF(682&gt;$H$4,"",MATCH(682,'Fleet dates'!$K$9:$K$1008,0)+8)</x:f>
      </x:c>
    </x:row>
    <x:row r="691" ht="36" customHeight="1">
      <x:c r="A691" s="50" t="str">
        <x:f>IF(683&gt;$H$4,"",IF(INDEX('Fleet dates'!$A$9:$A$1008,$I691-8)="","",INDEX('Fleet dates'!$A$9:$A$1008,$I691-8)))</x:f>
      </x:c>
      <x:c r="B691" s="50" t="str">
        <x:f>IF(683&gt;$H$4,"",IF(INDEX('Fleet dates'!$B$9:$B$1008,$I691-8)="","",INDEX('Fleet dates'!$B$9:$B$1008,$I691-8)))</x:f>
      </x:c>
      <x:c r="C691" s="51" t="str">
        <x:f>IF(683&gt;$H$4,"",IF(INDEX('Fleet dates'!$C$9:$C$1008,$I691-8)="","",INDEX('Fleet dates'!$C$9:$C$1008,$I691-8)))</x:f>
      </x:c>
      <x:c r="D691" s="51" t="str">
        <x:f>IF(683&gt;$H$4,"",IF(INDEX('Fleet dates'!$D$9:$D$1008,$I691-8)="","",INDEX('Fleet dates'!$D$9:$D$1008,$I691-8)))</x:f>
      </x:c>
      <x:c r="E691" s="51" t="str">
        <x:f>IF(683&gt;$H$4,"",IF(INDEX('Fleet dates'!$E$9:$E$1008,$I691-8)="","",INDEX('Fleet dates'!$E$9:$E$1008,$I691-8)))</x:f>
      </x:c>
      <x:c r="F691" s="51" t="str">
        <x:f>IF(683&gt;$H$4,"",IF(INDEX('Fleet dates'!$F$9:$F$1008,$I691-8)="","",INDEX('Fleet dates'!$F$9:$F$1008,$I691-8)))</x:f>
      </x:c>
      <x:c r="G691" s="50" t="str">
        <x:f>IF(683&gt;$H$4,"",IF(INDEX('Fleet dates'!$G$9:$G$1008,$I691-8)="","",INDEX('Fleet dates'!$G$9:$G$1008,$I691-8)))</x:f>
      </x:c>
      <x:c r="H691" s="50" t="str">
        <x:f>IF(683&gt;$H$4,"",IF(INDEX('Fleet dates'!$I$9:$I$1008,$I691-8)="","",INDEX('Fleet dates'!$I$9:$I$1008,$I691-8)))</x:f>
      </x:c>
      <x:c r="I691" t="str">
        <x:f>IF(683&gt;$H$4,"",MATCH(683,'Fleet dates'!$K$9:$K$1008,0)+8)</x:f>
      </x:c>
    </x:row>
    <x:row r="692" ht="36" customHeight="1">
      <x:c r="A692" s="50" t="str">
        <x:f>IF(684&gt;$H$4,"",IF(INDEX('Fleet dates'!$A$9:$A$1008,$I692-8)="","",INDEX('Fleet dates'!$A$9:$A$1008,$I692-8)))</x:f>
      </x:c>
      <x:c r="B692" s="50" t="str">
        <x:f>IF(684&gt;$H$4,"",IF(INDEX('Fleet dates'!$B$9:$B$1008,$I692-8)="","",INDEX('Fleet dates'!$B$9:$B$1008,$I692-8)))</x:f>
      </x:c>
      <x:c r="C692" s="51" t="str">
        <x:f>IF(684&gt;$H$4,"",IF(INDEX('Fleet dates'!$C$9:$C$1008,$I692-8)="","",INDEX('Fleet dates'!$C$9:$C$1008,$I692-8)))</x:f>
      </x:c>
      <x:c r="D692" s="51" t="str">
        <x:f>IF(684&gt;$H$4,"",IF(INDEX('Fleet dates'!$D$9:$D$1008,$I692-8)="","",INDEX('Fleet dates'!$D$9:$D$1008,$I692-8)))</x:f>
      </x:c>
      <x:c r="E692" s="51" t="str">
        <x:f>IF(684&gt;$H$4,"",IF(INDEX('Fleet dates'!$E$9:$E$1008,$I692-8)="","",INDEX('Fleet dates'!$E$9:$E$1008,$I692-8)))</x:f>
      </x:c>
      <x:c r="F692" s="51" t="str">
        <x:f>IF(684&gt;$H$4,"",IF(INDEX('Fleet dates'!$F$9:$F$1008,$I692-8)="","",INDEX('Fleet dates'!$F$9:$F$1008,$I692-8)))</x:f>
      </x:c>
      <x:c r="G692" s="50" t="str">
        <x:f>IF(684&gt;$H$4,"",IF(INDEX('Fleet dates'!$G$9:$G$1008,$I692-8)="","",INDEX('Fleet dates'!$G$9:$G$1008,$I692-8)))</x:f>
      </x:c>
      <x:c r="H692" s="50" t="str">
        <x:f>IF(684&gt;$H$4,"",IF(INDEX('Fleet dates'!$I$9:$I$1008,$I692-8)="","",INDEX('Fleet dates'!$I$9:$I$1008,$I692-8)))</x:f>
      </x:c>
      <x:c r="I692" t="str">
        <x:f>IF(684&gt;$H$4,"",MATCH(684,'Fleet dates'!$K$9:$K$1008,0)+8)</x:f>
      </x:c>
    </x:row>
    <x:row r="693" ht="36" customHeight="1">
      <x:c r="A693" s="50" t="str">
        <x:f>IF(685&gt;$H$4,"",IF(INDEX('Fleet dates'!$A$9:$A$1008,$I693-8)="","",INDEX('Fleet dates'!$A$9:$A$1008,$I693-8)))</x:f>
      </x:c>
      <x:c r="B693" s="50" t="str">
        <x:f>IF(685&gt;$H$4,"",IF(INDEX('Fleet dates'!$B$9:$B$1008,$I693-8)="","",INDEX('Fleet dates'!$B$9:$B$1008,$I693-8)))</x:f>
      </x:c>
      <x:c r="C693" s="51" t="str">
        <x:f>IF(685&gt;$H$4,"",IF(INDEX('Fleet dates'!$C$9:$C$1008,$I693-8)="","",INDEX('Fleet dates'!$C$9:$C$1008,$I693-8)))</x:f>
      </x:c>
      <x:c r="D693" s="51" t="str">
        <x:f>IF(685&gt;$H$4,"",IF(INDEX('Fleet dates'!$D$9:$D$1008,$I693-8)="","",INDEX('Fleet dates'!$D$9:$D$1008,$I693-8)))</x:f>
      </x:c>
      <x:c r="E693" s="51" t="str">
        <x:f>IF(685&gt;$H$4,"",IF(INDEX('Fleet dates'!$E$9:$E$1008,$I693-8)="","",INDEX('Fleet dates'!$E$9:$E$1008,$I693-8)))</x:f>
      </x:c>
      <x:c r="F693" s="51" t="str">
        <x:f>IF(685&gt;$H$4,"",IF(INDEX('Fleet dates'!$F$9:$F$1008,$I693-8)="","",INDEX('Fleet dates'!$F$9:$F$1008,$I693-8)))</x:f>
      </x:c>
      <x:c r="G693" s="50" t="str">
        <x:f>IF(685&gt;$H$4,"",IF(INDEX('Fleet dates'!$G$9:$G$1008,$I693-8)="","",INDEX('Fleet dates'!$G$9:$G$1008,$I693-8)))</x:f>
      </x:c>
      <x:c r="H693" s="50" t="str">
        <x:f>IF(685&gt;$H$4,"",IF(INDEX('Fleet dates'!$I$9:$I$1008,$I693-8)="","",INDEX('Fleet dates'!$I$9:$I$1008,$I693-8)))</x:f>
      </x:c>
      <x:c r="I693" t="str">
        <x:f>IF(685&gt;$H$4,"",MATCH(685,'Fleet dates'!$K$9:$K$1008,0)+8)</x:f>
      </x:c>
    </x:row>
    <x:row r="694" ht="36" customHeight="1">
      <x:c r="A694" s="50" t="str">
        <x:f>IF(686&gt;$H$4,"",IF(INDEX('Fleet dates'!$A$9:$A$1008,$I694-8)="","",INDEX('Fleet dates'!$A$9:$A$1008,$I694-8)))</x:f>
      </x:c>
      <x:c r="B694" s="50" t="str">
        <x:f>IF(686&gt;$H$4,"",IF(INDEX('Fleet dates'!$B$9:$B$1008,$I694-8)="","",INDEX('Fleet dates'!$B$9:$B$1008,$I694-8)))</x:f>
      </x:c>
      <x:c r="C694" s="51" t="str">
        <x:f>IF(686&gt;$H$4,"",IF(INDEX('Fleet dates'!$C$9:$C$1008,$I694-8)="","",INDEX('Fleet dates'!$C$9:$C$1008,$I694-8)))</x:f>
      </x:c>
      <x:c r="D694" s="51" t="str">
        <x:f>IF(686&gt;$H$4,"",IF(INDEX('Fleet dates'!$D$9:$D$1008,$I694-8)="","",INDEX('Fleet dates'!$D$9:$D$1008,$I694-8)))</x:f>
      </x:c>
      <x:c r="E694" s="51" t="str">
        <x:f>IF(686&gt;$H$4,"",IF(INDEX('Fleet dates'!$E$9:$E$1008,$I694-8)="","",INDEX('Fleet dates'!$E$9:$E$1008,$I694-8)))</x:f>
      </x:c>
      <x:c r="F694" s="51" t="str">
        <x:f>IF(686&gt;$H$4,"",IF(INDEX('Fleet dates'!$F$9:$F$1008,$I694-8)="","",INDEX('Fleet dates'!$F$9:$F$1008,$I694-8)))</x:f>
      </x:c>
      <x:c r="G694" s="50" t="str">
        <x:f>IF(686&gt;$H$4,"",IF(INDEX('Fleet dates'!$G$9:$G$1008,$I694-8)="","",INDEX('Fleet dates'!$G$9:$G$1008,$I694-8)))</x:f>
      </x:c>
      <x:c r="H694" s="50" t="str">
        <x:f>IF(686&gt;$H$4,"",IF(INDEX('Fleet dates'!$I$9:$I$1008,$I694-8)="","",INDEX('Fleet dates'!$I$9:$I$1008,$I694-8)))</x:f>
      </x:c>
      <x:c r="I694" t="str">
        <x:f>IF(686&gt;$H$4,"",MATCH(686,'Fleet dates'!$K$9:$K$1008,0)+8)</x:f>
      </x:c>
    </x:row>
    <x:row r="695" ht="36" customHeight="1">
      <x:c r="A695" s="50" t="str">
        <x:f>IF(687&gt;$H$4,"",IF(INDEX('Fleet dates'!$A$9:$A$1008,$I695-8)="","",INDEX('Fleet dates'!$A$9:$A$1008,$I695-8)))</x:f>
      </x:c>
      <x:c r="B695" s="50" t="str">
        <x:f>IF(687&gt;$H$4,"",IF(INDEX('Fleet dates'!$B$9:$B$1008,$I695-8)="","",INDEX('Fleet dates'!$B$9:$B$1008,$I695-8)))</x:f>
      </x:c>
      <x:c r="C695" s="51" t="str">
        <x:f>IF(687&gt;$H$4,"",IF(INDEX('Fleet dates'!$C$9:$C$1008,$I695-8)="","",INDEX('Fleet dates'!$C$9:$C$1008,$I695-8)))</x:f>
      </x:c>
      <x:c r="D695" s="51" t="str">
        <x:f>IF(687&gt;$H$4,"",IF(INDEX('Fleet dates'!$D$9:$D$1008,$I695-8)="","",INDEX('Fleet dates'!$D$9:$D$1008,$I695-8)))</x:f>
      </x:c>
      <x:c r="E695" s="51" t="str">
        <x:f>IF(687&gt;$H$4,"",IF(INDEX('Fleet dates'!$E$9:$E$1008,$I695-8)="","",INDEX('Fleet dates'!$E$9:$E$1008,$I695-8)))</x:f>
      </x:c>
      <x:c r="F695" s="51" t="str">
        <x:f>IF(687&gt;$H$4,"",IF(INDEX('Fleet dates'!$F$9:$F$1008,$I695-8)="","",INDEX('Fleet dates'!$F$9:$F$1008,$I695-8)))</x:f>
      </x:c>
      <x:c r="G695" s="50" t="str">
        <x:f>IF(687&gt;$H$4,"",IF(INDEX('Fleet dates'!$G$9:$G$1008,$I695-8)="","",INDEX('Fleet dates'!$G$9:$G$1008,$I695-8)))</x:f>
      </x:c>
      <x:c r="H695" s="50" t="str">
        <x:f>IF(687&gt;$H$4,"",IF(INDEX('Fleet dates'!$I$9:$I$1008,$I695-8)="","",INDEX('Fleet dates'!$I$9:$I$1008,$I695-8)))</x:f>
      </x:c>
      <x:c r="I695" t="str">
        <x:f>IF(687&gt;$H$4,"",MATCH(687,'Fleet dates'!$K$9:$K$1008,0)+8)</x:f>
      </x:c>
    </x:row>
    <x:row r="696" ht="36" customHeight="1">
      <x:c r="A696" s="50" t="str">
        <x:f>IF(688&gt;$H$4,"",IF(INDEX('Fleet dates'!$A$9:$A$1008,$I696-8)="","",INDEX('Fleet dates'!$A$9:$A$1008,$I696-8)))</x:f>
      </x:c>
      <x:c r="B696" s="50" t="str">
        <x:f>IF(688&gt;$H$4,"",IF(INDEX('Fleet dates'!$B$9:$B$1008,$I696-8)="","",INDEX('Fleet dates'!$B$9:$B$1008,$I696-8)))</x:f>
      </x:c>
      <x:c r="C696" s="51" t="str">
        <x:f>IF(688&gt;$H$4,"",IF(INDEX('Fleet dates'!$C$9:$C$1008,$I696-8)="","",INDEX('Fleet dates'!$C$9:$C$1008,$I696-8)))</x:f>
      </x:c>
      <x:c r="D696" s="51" t="str">
        <x:f>IF(688&gt;$H$4,"",IF(INDEX('Fleet dates'!$D$9:$D$1008,$I696-8)="","",INDEX('Fleet dates'!$D$9:$D$1008,$I696-8)))</x:f>
      </x:c>
      <x:c r="E696" s="51" t="str">
        <x:f>IF(688&gt;$H$4,"",IF(INDEX('Fleet dates'!$E$9:$E$1008,$I696-8)="","",INDEX('Fleet dates'!$E$9:$E$1008,$I696-8)))</x:f>
      </x:c>
      <x:c r="F696" s="51" t="str">
        <x:f>IF(688&gt;$H$4,"",IF(INDEX('Fleet dates'!$F$9:$F$1008,$I696-8)="","",INDEX('Fleet dates'!$F$9:$F$1008,$I696-8)))</x:f>
      </x:c>
      <x:c r="G696" s="50" t="str">
        <x:f>IF(688&gt;$H$4,"",IF(INDEX('Fleet dates'!$G$9:$G$1008,$I696-8)="","",INDEX('Fleet dates'!$G$9:$G$1008,$I696-8)))</x:f>
      </x:c>
      <x:c r="H696" s="50" t="str">
        <x:f>IF(688&gt;$H$4,"",IF(INDEX('Fleet dates'!$I$9:$I$1008,$I696-8)="","",INDEX('Fleet dates'!$I$9:$I$1008,$I696-8)))</x:f>
      </x:c>
      <x:c r="I696" t="str">
        <x:f>IF(688&gt;$H$4,"",MATCH(688,'Fleet dates'!$K$9:$K$1008,0)+8)</x:f>
      </x:c>
    </x:row>
    <x:row r="697" ht="36" customHeight="1">
      <x:c r="A697" s="50" t="str">
        <x:f>IF(689&gt;$H$4,"",IF(INDEX('Fleet dates'!$A$9:$A$1008,$I697-8)="","",INDEX('Fleet dates'!$A$9:$A$1008,$I697-8)))</x:f>
      </x:c>
      <x:c r="B697" s="50" t="str">
        <x:f>IF(689&gt;$H$4,"",IF(INDEX('Fleet dates'!$B$9:$B$1008,$I697-8)="","",INDEX('Fleet dates'!$B$9:$B$1008,$I697-8)))</x:f>
      </x:c>
      <x:c r="C697" s="51" t="str">
        <x:f>IF(689&gt;$H$4,"",IF(INDEX('Fleet dates'!$C$9:$C$1008,$I697-8)="","",INDEX('Fleet dates'!$C$9:$C$1008,$I697-8)))</x:f>
      </x:c>
      <x:c r="D697" s="51" t="str">
        <x:f>IF(689&gt;$H$4,"",IF(INDEX('Fleet dates'!$D$9:$D$1008,$I697-8)="","",INDEX('Fleet dates'!$D$9:$D$1008,$I697-8)))</x:f>
      </x:c>
      <x:c r="E697" s="51" t="str">
        <x:f>IF(689&gt;$H$4,"",IF(INDEX('Fleet dates'!$E$9:$E$1008,$I697-8)="","",INDEX('Fleet dates'!$E$9:$E$1008,$I697-8)))</x:f>
      </x:c>
      <x:c r="F697" s="51" t="str">
        <x:f>IF(689&gt;$H$4,"",IF(INDEX('Fleet dates'!$F$9:$F$1008,$I697-8)="","",INDEX('Fleet dates'!$F$9:$F$1008,$I697-8)))</x:f>
      </x:c>
      <x:c r="G697" s="50" t="str">
        <x:f>IF(689&gt;$H$4,"",IF(INDEX('Fleet dates'!$G$9:$G$1008,$I697-8)="","",INDEX('Fleet dates'!$G$9:$G$1008,$I697-8)))</x:f>
      </x:c>
      <x:c r="H697" s="50" t="str">
        <x:f>IF(689&gt;$H$4,"",IF(INDEX('Fleet dates'!$I$9:$I$1008,$I697-8)="","",INDEX('Fleet dates'!$I$9:$I$1008,$I697-8)))</x:f>
      </x:c>
      <x:c r="I697" t="str">
        <x:f>IF(689&gt;$H$4,"",MATCH(689,'Fleet dates'!$K$9:$K$1008,0)+8)</x:f>
      </x:c>
    </x:row>
    <x:row r="698" ht="36" customHeight="1">
      <x:c r="A698" s="50" t="str">
        <x:f>IF(690&gt;$H$4,"",IF(INDEX('Fleet dates'!$A$9:$A$1008,$I698-8)="","",INDEX('Fleet dates'!$A$9:$A$1008,$I698-8)))</x:f>
      </x:c>
      <x:c r="B698" s="50" t="str">
        <x:f>IF(690&gt;$H$4,"",IF(INDEX('Fleet dates'!$B$9:$B$1008,$I698-8)="","",INDEX('Fleet dates'!$B$9:$B$1008,$I698-8)))</x:f>
      </x:c>
      <x:c r="C698" s="51" t="str">
        <x:f>IF(690&gt;$H$4,"",IF(INDEX('Fleet dates'!$C$9:$C$1008,$I698-8)="","",INDEX('Fleet dates'!$C$9:$C$1008,$I698-8)))</x:f>
      </x:c>
      <x:c r="D698" s="51" t="str">
        <x:f>IF(690&gt;$H$4,"",IF(INDEX('Fleet dates'!$D$9:$D$1008,$I698-8)="","",INDEX('Fleet dates'!$D$9:$D$1008,$I698-8)))</x:f>
      </x:c>
      <x:c r="E698" s="51" t="str">
        <x:f>IF(690&gt;$H$4,"",IF(INDEX('Fleet dates'!$E$9:$E$1008,$I698-8)="","",INDEX('Fleet dates'!$E$9:$E$1008,$I698-8)))</x:f>
      </x:c>
      <x:c r="F698" s="51" t="str">
        <x:f>IF(690&gt;$H$4,"",IF(INDEX('Fleet dates'!$F$9:$F$1008,$I698-8)="","",INDEX('Fleet dates'!$F$9:$F$1008,$I698-8)))</x:f>
      </x:c>
      <x:c r="G698" s="50" t="str">
        <x:f>IF(690&gt;$H$4,"",IF(INDEX('Fleet dates'!$G$9:$G$1008,$I698-8)="","",INDEX('Fleet dates'!$G$9:$G$1008,$I698-8)))</x:f>
      </x:c>
      <x:c r="H698" s="50" t="str">
        <x:f>IF(690&gt;$H$4,"",IF(INDEX('Fleet dates'!$I$9:$I$1008,$I698-8)="","",INDEX('Fleet dates'!$I$9:$I$1008,$I698-8)))</x:f>
      </x:c>
      <x:c r="I698" t="str">
        <x:f>IF(690&gt;$H$4,"",MATCH(690,'Fleet dates'!$K$9:$K$1008,0)+8)</x:f>
      </x:c>
    </x:row>
    <x:row r="699" ht="36" customHeight="1">
      <x:c r="A699" s="50" t="str">
        <x:f>IF(691&gt;$H$4,"",IF(INDEX('Fleet dates'!$A$9:$A$1008,$I699-8)="","",INDEX('Fleet dates'!$A$9:$A$1008,$I699-8)))</x:f>
      </x:c>
      <x:c r="B699" s="50" t="str">
        <x:f>IF(691&gt;$H$4,"",IF(INDEX('Fleet dates'!$B$9:$B$1008,$I699-8)="","",INDEX('Fleet dates'!$B$9:$B$1008,$I699-8)))</x:f>
      </x:c>
      <x:c r="C699" s="51" t="str">
        <x:f>IF(691&gt;$H$4,"",IF(INDEX('Fleet dates'!$C$9:$C$1008,$I699-8)="","",INDEX('Fleet dates'!$C$9:$C$1008,$I699-8)))</x:f>
      </x:c>
      <x:c r="D699" s="51" t="str">
        <x:f>IF(691&gt;$H$4,"",IF(INDEX('Fleet dates'!$D$9:$D$1008,$I699-8)="","",INDEX('Fleet dates'!$D$9:$D$1008,$I699-8)))</x:f>
      </x:c>
      <x:c r="E699" s="51" t="str">
        <x:f>IF(691&gt;$H$4,"",IF(INDEX('Fleet dates'!$E$9:$E$1008,$I699-8)="","",INDEX('Fleet dates'!$E$9:$E$1008,$I699-8)))</x:f>
      </x:c>
      <x:c r="F699" s="51" t="str">
        <x:f>IF(691&gt;$H$4,"",IF(INDEX('Fleet dates'!$F$9:$F$1008,$I699-8)="","",INDEX('Fleet dates'!$F$9:$F$1008,$I699-8)))</x:f>
      </x:c>
      <x:c r="G699" s="50" t="str">
        <x:f>IF(691&gt;$H$4,"",IF(INDEX('Fleet dates'!$G$9:$G$1008,$I699-8)="","",INDEX('Fleet dates'!$G$9:$G$1008,$I699-8)))</x:f>
      </x:c>
      <x:c r="H699" s="50" t="str">
        <x:f>IF(691&gt;$H$4,"",IF(INDEX('Fleet dates'!$I$9:$I$1008,$I699-8)="","",INDEX('Fleet dates'!$I$9:$I$1008,$I699-8)))</x:f>
      </x:c>
      <x:c r="I699" t="str">
        <x:f>IF(691&gt;$H$4,"",MATCH(691,'Fleet dates'!$K$9:$K$1008,0)+8)</x:f>
      </x:c>
    </x:row>
    <x:row r="700" ht="36" customHeight="1">
      <x:c r="A700" s="50" t="str">
        <x:f>IF(692&gt;$H$4,"",IF(INDEX('Fleet dates'!$A$9:$A$1008,$I700-8)="","",INDEX('Fleet dates'!$A$9:$A$1008,$I700-8)))</x:f>
      </x:c>
      <x:c r="B700" s="50" t="str">
        <x:f>IF(692&gt;$H$4,"",IF(INDEX('Fleet dates'!$B$9:$B$1008,$I700-8)="","",INDEX('Fleet dates'!$B$9:$B$1008,$I700-8)))</x:f>
      </x:c>
      <x:c r="C700" s="51" t="str">
        <x:f>IF(692&gt;$H$4,"",IF(INDEX('Fleet dates'!$C$9:$C$1008,$I700-8)="","",INDEX('Fleet dates'!$C$9:$C$1008,$I700-8)))</x:f>
      </x:c>
      <x:c r="D700" s="51" t="str">
        <x:f>IF(692&gt;$H$4,"",IF(INDEX('Fleet dates'!$D$9:$D$1008,$I700-8)="","",INDEX('Fleet dates'!$D$9:$D$1008,$I700-8)))</x:f>
      </x:c>
      <x:c r="E700" s="51" t="str">
        <x:f>IF(692&gt;$H$4,"",IF(INDEX('Fleet dates'!$E$9:$E$1008,$I700-8)="","",INDEX('Fleet dates'!$E$9:$E$1008,$I700-8)))</x:f>
      </x:c>
      <x:c r="F700" s="51" t="str">
        <x:f>IF(692&gt;$H$4,"",IF(INDEX('Fleet dates'!$F$9:$F$1008,$I700-8)="","",INDEX('Fleet dates'!$F$9:$F$1008,$I700-8)))</x:f>
      </x:c>
      <x:c r="G700" s="50" t="str">
        <x:f>IF(692&gt;$H$4,"",IF(INDEX('Fleet dates'!$G$9:$G$1008,$I700-8)="","",INDEX('Fleet dates'!$G$9:$G$1008,$I700-8)))</x:f>
      </x:c>
      <x:c r="H700" s="50" t="str">
        <x:f>IF(692&gt;$H$4,"",IF(INDEX('Fleet dates'!$I$9:$I$1008,$I700-8)="","",INDEX('Fleet dates'!$I$9:$I$1008,$I700-8)))</x:f>
      </x:c>
      <x:c r="I700" t="str">
        <x:f>IF(692&gt;$H$4,"",MATCH(692,'Fleet dates'!$K$9:$K$1008,0)+8)</x:f>
      </x:c>
    </x:row>
    <x:row r="701" ht="36" customHeight="1">
      <x:c r="A701" s="50" t="str">
        <x:f>IF(693&gt;$H$4,"",IF(INDEX('Fleet dates'!$A$9:$A$1008,$I701-8)="","",INDEX('Fleet dates'!$A$9:$A$1008,$I701-8)))</x:f>
      </x:c>
      <x:c r="B701" s="50" t="str">
        <x:f>IF(693&gt;$H$4,"",IF(INDEX('Fleet dates'!$B$9:$B$1008,$I701-8)="","",INDEX('Fleet dates'!$B$9:$B$1008,$I701-8)))</x:f>
      </x:c>
      <x:c r="C701" s="51" t="str">
        <x:f>IF(693&gt;$H$4,"",IF(INDEX('Fleet dates'!$C$9:$C$1008,$I701-8)="","",INDEX('Fleet dates'!$C$9:$C$1008,$I701-8)))</x:f>
      </x:c>
      <x:c r="D701" s="51" t="str">
        <x:f>IF(693&gt;$H$4,"",IF(INDEX('Fleet dates'!$D$9:$D$1008,$I701-8)="","",INDEX('Fleet dates'!$D$9:$D$1008,$I701-8)))</x:f>
      </x:c>
      <x:c r="E701" s="51" t="str">
        <x:f>IF(693&gt;$H$4,"",IF(INDEX('Fleet dates'!$E$9:$E$1008,$I701-8)="","",INDEX('Fleet dates'!$E$9:$E$1008,$I701-8)))</x:f>
      </x:c>
      <x:c r="F701" s="51" t="str">
        <x:f>IF(693&gt;$H$4,"",IF(INDEX('Fleet dates'!$F$9:$F$1008,$I701-8)="","",INDEX('Fleet dates'!$F$9:$F$1008,$I701-8)))</x:f>
      </x:c>
      <x:c r="G701" s="50" t="str">
        <x:f>IF(693&gt;$H$4,"",IF(INDEX('Fleet dates'!$G$9:$G$1008,$I701-8)="","",INDEX('Fleet dates'!$G$9:$G$1008,$I701-8)))</x:f>
      </x:c>
      <x:c r="H701" s="50" t="str">
        <x:f>IF(693&gt;$H$4,"",IF(INDEX('Fleet dates'!$I$9:$I$1008,$I701-8)="","",INDEX('Fleet dates'!$I$9:$I$1008,$I701-8)))</x:f>
      </x:c>
      <x:c r="I701" t="str">
        <x:f>IF(693&gt;$H$4,"",MATCH(693,'Fleet dates'!$K$9:$K$1008,0)+8)</x:f>
      </x:c>
    </x:row>
    <x:row r="702" ht="36" customHeight="1">
      <x:c r="A702" s="50" t="str">
        <x:f>IF(694&gt;$H$4,"",IF(INDEX('Fleet dates'!$A$9:$A$1008,$I702-8)="","",INDEX('Fleet dates'!$A$9:$A$1008,$I702-8)))</x:f>
      </x:c>
      <x:c r="B702" s="50" t="str">
        <x:f>IF(694&gt;$H$4,"",IF(INDEX('Fleet dates'!$B$9:$B$1008,$I702-8)="","",INDEX('Fleet dates'!$B$9:$B$1008,$I702-8)))</x:f>
      </x:c>
      <x:c r="C702" s="51" t="str">
        <x:f>IF(694&gt;$H$4,"",IF(INDEX('Fleet dates'!$C$9:$C$1008,$I702-8)="","",INDEX('Fleet dates'!$C$9:$C$1008,$I702-8)))</x:f>
      </x:c>
      <x:c r="D702" s="51" t="str">
        <x:f>IF(694&gt;$H$4,"",IF(INDEX('Fleet dates'!$D$9:$D$1008,$I702-8)="","",INDEX('Fleet dates'!$D$9:$D$1008,$I702-8)))</x:f>
      </x:c>
      <x:c r="E702" s="51" t="str">
        <x:f>IF(694&gt;$H$4,"",IF(INDEX('Fleet dates'!$E$9:$E$1008,$I702-8)="","",INDEX('Fleet dates'!$E$9:$E$1008,$I702-8)))</x:f>
      </x:c>
      <x:c r="F702" s="51" t="str">
        <x:f>IF(694&gt;$H$4,"",IF(INDEX('Fleet dates'!$F$9:$F$1008,$I702-8)="","",INDEX('Fleet dates'!$F$9:$F$1008,$I702-8)))</x:f>
      </x:c>
      <x:c r="G702" s="50" t="str">
        <x:f>IF(694&gt;$H$4,"",IF(INDEX('Fleet dates'!$G$9:$G$1008,$I702-8)="","",INDEX('Fleet dates'!$G$9:$G$1008,$I702-8)))</x:f>
      </x:c>
      <x:c r="H702" s="50" t="str">
        <x:f>IF(694&gt;$H$4,"",IF(INDEX('Fleet dates'!$I$9:$I$1008,$I702-8)="","",INDEX('Fleet dates'!$I$9:$I$1008,$I702-8)))</x:f>
      </x:c>
      <x:c r="I702" t="str">
        <x:f>IF(694&gt;$H$4,"",MATCH(694,'Fleet dates'!$K$9:$K$1008,0)+8)</x:f>
      </x:c>
    </x:row>
    <x:row r="703" ht="36" customHeight="1">
      <x:c r="A703" s="50" t="str">
        <x:f>IF(695&gt;$H$4,"",IF(INDEX('Fleet dates'!$A$9:$A$1008,$I703-8)="","",INDEX('Fleet dates'!$A$9:$A$1008,$I703-8)))</x:f>
      </x:c>
      <x:c r="B703" s="50" t="str">
        <x:f>IF(695&gt;$H$4,"",IF(INDEX('Fleet dates'!$B$9:$B$1008,$I703-8)="","",INDEX('Fleet dates'!$B$9:$B$1008,$I703-8)))</x:f>
      </x:c>
      <x:c r="C703" s="51" t="str">
        <x:f>IF(695&gt;$H$4,"",IF(INDEX('Fleet dates'!$C$9:$C$1008,$I703-8)="","",INDEX('Fleet dates'!$C$9:$C$1008,$I703-8)))</x:f>
      </x:c>
      <x:c r="D703" s="51" t="str">
        <x:f>IF(695&gt;$H$4,"",IF(INDEX('Fleet dates'!$D$9:$D$1008,$I703-8)="","",INDEX('Fleet dates'!$D$9:$D$1008,$I703-8)))</x:f>
      </x:c>
      <x:c r="E703" s="51" t="str">
        <x:f>IF(695&gt;$H$4,"",IF(INDEX('Fleet dates'!$E$9:$E$1008,$I703-8)="","",INDEX('Fleet dates'!$E$9:$E$1008,$I703-8)))</x:f>
      </x:c>
      <x:c r="F703" s="51" t="str">
        <x:f>IF(695&gt;$H$4,"",IF(INDEX('Fleet dates'!$F$9:$F$1008,$I703-8)="","",INDEX('Fleet dates'!$F$9:$F$1008,$I703-8)))</x:f>
      </x:c>
      <x:c r="G703" s="50" t="str">
        <x:f>IF(695&gt;$H$4,"",IF(INDEX('Fleet dates'!$G$9:$G$1008,$I703-8)="","",INDEX('Fleet dates'!$G$9:$G$1008,$I703-8)))</x:f>
      </x:c>
      <x:c r="H703" s="50" t="str">
        <x:f>IF(695&gt;$H$4,"",IF(INDEX('Fleet dates'!$I$9:$I$1008,$I703-8)="","",INDEX('Fleet dates'!$I$9:$I$1008,$I703-8)))</x:f>
      </x:c>
      <x:c r="I703" t="str">
        <x:f>IF(695&gt;$H$4,"",MATCH(695,'Fleet dates'!$K$9:$K$1008,0)+8)</x:f>
      </x:c>
    </x:row>
    <x:row r="704" ht="36" customHeight="1">
      <x:c r="A704" s="50" t="str">
        <x:f>IF(696&gt;$H$4,"",IF(INDEX('Fleet dates'!$A$9:$A$1008,$I704-8)="","",INDEX('Fleet dates'!$A$9:$A$1008,$I704-8)))</x:f>
      </x:c>
      <x:c r="B704" s="50" t="str">
        <x:f>IF(696&gt;$H$4,"",IF(INDEX('Fleet dates'!$B$9:$B$1008,$I704-8)="","",INDEX('Fleet dates'!$B$9:$B$1008,$I704-8)))</x:f>
      </x:c>
      <x:c r="C704" s="51" t="str">
        <x:f>IF(696&gt;$H$4,"",IF(INDEX('Fleet dates'!$C$9:$C$1008,$I704-8)="","",INDEX('Fleet dates'!$C$9:$C$1008,$I704-8)))</x:f>
      </x:c>
      <x:c r="D704" s="51" t="str">
        <x:f>IF(696&gt;$H$4,"",IF(INDEX('Fleet dates'!$D$9:$D$1008,$I704-8)="","",INDEX('Fleet dates'!$D$9:$D$1008,$I704-8)))</x:f>
      </x:c>
      <x:c r="E704" s="51" t="str">
        <x:f>IF(696&gt;$H$4,"",IF(INDEX('Fleet dates'!$E$9:$E$1008,$I704-8)="","",INDEX('Fleet dates'!$E$9:$E$1008,$I704-8)))</x:f>
      </x:c>
      <x:c r="F704" s="51" t="str">
        <x:f>IF(696&gt;$H$4,"",IF(INDEX('Fleet dates'!$F$9:$F$1008,$I704-8)="","",INDEX('Fleet dates'!$F$9:$F$1008,$I704-8)))</x:f>
      </x:c>
      <x:c r="G704" s="50" t="str">
        <x:f>IF(696&gt;$H$4,"",IF(INDEX('Fleet dates'!$G$9:$G$1008,$I704-8)="","",INDEX('Fleet dates'!$G$9:$G$1008,$I704-8)))</x:f>
      </x:c>
      <x:c r="H704" s="50" t="str">
        <x:f>IF(696&gt;$H$4,"",IF(INDEX('Fleet dates'!$I$9:$I$1008,$I704-8)="","",INDEX('Fleet dates'!$I$9:$I$1008,$I704-8)))</x:f>
      </x:c>
      <x:c r="I704" t="str">
        <x:f>IF(696&gt;$H$4,"",MATCH(696,'Fleet dates'!$K$9:$K$1008,0)+8)</x:f>
      </x:c>
    </x:row>
    <x:row r="705" ht="36" customHeight="1">
      <x:c r="A705" s="50" t="str">
        <x:f>IF(697&gt;$H$4,"",IF(INDEX('Fleet dates'!$A$9:$A$1008,$I705-8)="","",INDEX('Fleet dates'!$A$9:$A$1008,$I705-8)))</x:f>
      </x:c>
      <x:c r="B705" s="50" t="str">
        <x:f>IF(697&gt;$H$4,"",IF(INDEX('Fleet dates'!$B$9:$B$1008,$I705-8)="","",INDEX('Fleet dates'!$B$9:$B$1008,$I705-8)))</x:f>
      </x:c>
      <x:c r="C705" s="51" t="str">
        <x:f>IF(697&gt;$H$4,"",IF(INDEX('Fleet dates'!$C$9:$C$1008,$I705-8)="","",INDEX('Fleet dates'!$C$9:$C$1008,$I705-8)))</x:f>
      </x:c>
      <x:c r="D705" s="51" t="str">
        <x:f>IF(697&gt;$H$4,"",IF(INDEX('Fleet dates'!$D$9:$D$1008,$I705-8)="","",INDEX('Fleet dates'!$D$9:$D$1008,$I705-8)))</x:f>
      </x:c>
      <x:c r="E705" s="51" t="str">
        <x:f>IF(697&gt;$H$4,"",IF(INDEX('Fleet dates'!$E$9:$E$1008,$I705-8)="","",INDEX('Fleet dates'!$E$9:$E$1008,$I705-8)))</x:f>
      </x:c>
      <x:c r="F705" s="51" t="str">
        <x:f>IF(697&gt;$H$4,"",IF(INDEX('Fleet dates'!$F$9:$F$1008,$I705-8)="","",INDEX('Fleet dates'!$F$9:$F$1008,$I705-8)))</x:f>
      </x:c>
      <x:c r="G705" s="50" t="str">
        <x:f>IF(697&gt;$H$4,"",IF(INDEX('Fleet dates'!$G$9:$G$1008,$I705-8)="","",INDEX('Fleet dates'!$G$9:$G$1008,$I705-8)))</x:f>
      </x:c>
      <x:c r="H705" s="50" t="str">
        <x:f>IF(697&gt;$H$4,"",IF(INDEX('Fleet dates'!$I$9:$I$1008,$I705-8)="","",INDEX('Fleet dates'!$I$9:$I$1008,$I705-8)))</x:f>
      </x:c>
      <x:c r="I705" t="str">
        <x:f>IF(697&gt;$H$4,"",MATCH(697,'Fleet dates'!$K$9:$K$1008,0)+8)</x:f>
      </x:c>
    </x:row>
    <x:row r="706" ht="36" customHeight="1">
      <x:c r="A706" s="50" t="str">
        <x:f>IF(698&gt;$H$4,"",IF(INDEX('Fleet dates'!$A$9:$A$1008,$I706-8)="","",INDEX('Fleet dates'!$A$9:$A$1008,$I706-8)))</x:f>
      </x:c>
      <x:c r="B706" s="50" t="str">
        <x:f>IF(698&gt;$H$4,"",IF(INDEX('Fleet dates'!$B$9:$B$1008,$I706-8)="","",INDEX('Fleet dates'!$B$9:$B$1008,$I706-8)))</x:f>
      </x:c>
      <x:c r="C706" s="51" t="str">
        <x:f>IF(698&gt;$H$4,"",IF(INDEX('Fleet dates'!$C$9:$C$1008,$I706-8)="","",INDEX('Fleet dates'!$C$9:$C$1008,$I706-8)))</x:f>
      </x:c>
      <x:c r="D706" s="51" t="str">
        <x:f>IF(698&gt;$H$4,"",IF(INDEX('Fleet dates'!$D$9:$D$1008,$I706-8)="","",INDEX('Fleet dates'!$D$9:$D$1008,$I706-8)))</x:f>
      </x:c>
      <x:c r="E706" s="51" t="str">
        <x:f>IF(698&gt;$H$4,"",IF(INDEX('Fleet dates'!$E$9:$E$1008,$I706-8)="","",INDEX('Fleet dates'!$E$9:$E$1008,$I706-8)))</x:f>
      </x:c>
      <x:c r="F706" s="51" t="str">
        <x:f>IF(698&gt;$H$4,"",IF(INDEX('Fleet dates'!$F$9:$F$1008,$I706-8)="","",INDEX('Fleet dates'!$F$9:$F$1008,$I706-8)))</x:f>
      </x:c>
      <x:c r="G706" s="50" t="str">
        <x:f>IF(698&gt;$H$4,"",IF(INDEX('Fleet dates'!$G$9:$G$1008,$I706-8)="","",INDEX('Fleet dates'!$G$9:$G$1008,$I706-8)))</x:f>
      </x:c>
      <x:c r="H706" s="50" t="str">
        <x:f>IF(698&gt;$H$4,"",IF(INDEX('Fleet dates'!$I$9:$I$1008,$I706-8)="","",INDEX('Fleet dates'!$I$9:$I$1008,$I706-8)))</x:f>
      </x:c>
      <x:c r="I706" t="str">
        <x:f>IF(698&gt;$H$4,"",MATCH(698,'Fleet dates'!$K$9:$K$1008,0)+8)</x:f>
      </x:c>
    </x:row>
    <x:row r="707" ht="36" customHeight="1">
      <x:c r="A707" s="50" t="str">
        <x:f>IF(699&gt;$H$4,"",IF(INDEX('Fleet dates'!$A$9:$A$1008,$I707-8)="","",INDEX('Fleet dates'!$A$9:$A$1008,$I707-8)))</x:f>
      </x:c>
      <x:c r="B707" s="50" t="str">
        <x:f>IF(699&gt;$H$4,"",IF(INDEX('Fleet dates'!$B$9:$B$1008,$I707-8)="","",INDEX('Fleet dates'!$B$9:$B$1008,$I707-8)))</x:f>
      </x:c>
      <x:c r="C707" s="51" t="str">
        <x:f>IF(699&gt;$H$4,"",IF(INDEX('Fleet dates'!$C$9:$C$1008,$I707-8)="","",INDEX('Fleet dates'!$C$9:$C$1008,$I707-8)))</x:f>
      </x:c>
      <x:c r="D707" s="51" t="str">
        <x:f>IF(699&gt;$H$4,"",IF(INDEX('Fleet dates'!$D$9:$D$1008,$I707-8)="","",INDEX('Fleet dates'!$D$9:$D$1008,$I707-8)))</x:f>
      </x:c>
      <x:c r="E707" s="51" t="str">
        <x:f>IF(699&gt;$H$4,"",IF(INDEX('Fleet dates'!$E$9:$E$1008,$I707-8)="","",INDEX('Fleet dates'!$E$9:$E$1008,$I707-8)))</x:f>
      </x:c>
      <x:c r="F707" s="51" t="str">
        <x:f>IF(699&gt;$H$4,"",IF(INDEX('Fleet dates'!$F$9:$F$1008,$I707-8)="","",INDEX('Fleet dates'!$F$9:$F$1008,$I707-8)))</x:f>
      </x:c>
      <x:c r="G707" s="50" t="str">
        <x:f>IF(699&gt;$H$4,"",IF(INDEX('Fleet dates'!$G$9:$G$1008,$I707-8)="","",INDEX('Fleet dates'!$G$9:$G$1008,$I707-8)))</x:f>
      </x:c>
      <x:c r="H707" s="50" t="str">
        <x:f>IF(699&gt;$H$4,"",IF(INDEX('Fleet dates'!$I$9:$I$1008,$I707-8)="","",INDEX('Fleet dates'!$I$9:$I$1008,$I707-8)))</x:f>
      </x:c>
      <x:c r="I707" t="str">
        <x:f>IF(699&gt;$H$4,"",MATCH(699,'Fleet dates'!$K$9:$K$1008,0)+8)</x:f>
      </x:c>
    </x:row>
    <x:row r="708" ht="36" customHeight="1">
      <x:c r="A708" s="50" t="str">
        <x:f>IF(700&gt;$H$4,"",IF(INDEX('Fleet dates'!$A$9:$A$1008,$I708-8)="","",INDEX('Fleet dates'!$A$9:$A$1008,$I708-8)))</x:f>
      </x:c>
      <x:c r="B708" s="50" t="str">
        <x:f>IF(700&gt;$H$4,"",IF(INDEX('Fleet dates'!$B$9:$B$1008,$I708-8)="","",INDEX('Fleet dates'!$B$9:$B$1008,$I708-8)))</x:f>
      </x:c>
      <x:c r="C708" s="51" t="str">
        <x:f>IF(700&gt;$H$4,"",IF(INDEX('Fleet dates'!$C$9:$C$1008,$I708-8)="","",INDEX('Fleet dates'!$C$9:$C$1008,$I708-8)))</x:f>
      </x:c>
      <x:c r="D708" s="51" t="str">
        <x:f>IF(700&gt;$H$4,"",IF(INDEX('Fleet dates'!$D$9:$D$1008,$I708-8)="","",INDEX('Fleet dates'!$D$9:$D$1008,$I708-8)))</x:f>
      </x:c>
      <x:c r="E708" s="51" t="str">
        <x:f>IF(700&gt;$H$4,"",IF(INDEX('Fleet dates'!$E$9:$E$1008,$I708-8)="","",INDEX('Fleet dates'!$E$9:$E$1008,$I708-8)))</x:f>
      </x:c>
      <x:c r="F708" s="51" t="str">
        <x:f>IF(700&gt;$H$4,"",IF(INDEX('Fleet dates'!$F$9:$F$1008,$I708-8)="","",INDEX('Fleet dates'!$F$9:$F$1008,$I708-8)))</x:f>
      </x:c>
      <x:c r="G708" s="50" t="str">
        <x:f>IF(700&gt;$H$4,"",IF(INDEX('Fleet dates'!$G$9:$G$1008,$I708-8)="","",INDEX('Fleet dates'!$G$9:$G$1008,$I708-8)))</x:f>
      </x:c>
      <x:c r="H708" s="50" t="str">
        <x:f>IF(700&gt;$H$4,"",IF(INDEX('Fleet dates'!$I$9:$I$1008,$I708-8)="","",INDEX('Fleet dates'!$I$9:$I$1008,$I708-8)))</x:f>
      </x:c>
      <x:c r="I708" t="str">
        <x:f>IF(700&gt;$H$4,"",MATCH(700,'Fleet dates'!$K$9:$K$1008,0)+8)</x:f>
      </x:c>
    </x:row>
    <x:row r="709" ht="36" customHeight="1">
      <x:c r="A709" s="50" t="str">
        <x:f>IF(701&gt;$H$4,"",IF(INDEX('Fleet dates'!$A$9:$A$1008,$I709-8)="","",INDEX('Fleet dates'!$A$9:$A$1008,$I709-8)))</x:f>
      </x:c>
      <x:c r="B709" s="50" t="str">
        <x:f>IF(701&gt;$H$4,"",IF(INDEX('Fleet dates'!$B$9:$B$1008,$I709-8)="","",INDEX('Fleet dates'!$B$9:$B$1008,$I709-8)))</x:f>
      </x:c>
      <x:c r="C709" s="51" t="str">
        <x:f>IF(701&gt;$H$4,"",IF(INDEX('Fleet dates'!$C$9:$C$1008,$I709-8)="","",INDEX('Fleet dates'!$C$9:$C$1008,$I709-8)))</x:f>
      </x:c>
      <x:c r="D709" s="51" t="str">
        <x:f>IF(701&gt;$H$4,"",IF(INDEX('Fleet dates'!$D$9:$D$1008,$I709-8)="","",INDEX('Fleet dates'!$D$9:$D$1008,$I709-8)))</x:f>
      </x:c>
      <x:c r="E709" s="51" t="str">
        <x:f>IF(701&gt;$H$4,"",IF(INDEX('Fleet dates'!$E$9:$E$1008,$I709-8)="","",INDEX('Fleet dates'!$E$9:$E$1008,$I709-8)))</x:f>
      </x:c>
      <x:c r="F709" s="51" t="str">
        <x:f>IF(701&gt;$H$4,"",IF(INDEX('Fleet dates'!$F$9:$F$1008,$I709-8)="","",INDEX('Fleet dates'!$F$9:$F$1008,$I709-8)))</x:f>
      </x:c>
      <x:c r="G709" s="50" t="str">
        <x:f>IF(701&gt;$H$4,"",IF(INDEX('Fleet dates'!$G$9:$G$1008,$I709-8)="","",INDEX('Fleet dates'!$G$9:$G$1008,$I709-8)))</x:f>
      </x:c>
      <x:c r="H709" s="50" t="str">
        <x:f>IF(701&gt;$H$4,"",IF(INDEX('Fleet dates'!$I$9:$I$1008,$I709-8)="","",INDEX('Fleet dates'!$I$9:$I$1008,$I709-8)))</x:f>
      </x:c>
      <x:c r="I709" t="str">
        <x:f>IF(701&gt;$H$4,"",MATCH(701,'Fleet dates'!$K$9:$K$1008,0)+8)</x:f>
      </x:c>
    </x:row>
    <x:row r="710" ht="36" customHeight="1">
      <x:c r="A710" s="50" t="str">
        <x:f>IF(702&gt;$H$4,"",IF(INDEX('Fleet dates'!$A$9:$A$1008,$I710-8)="","",INDEX('Fleet dates'!$A$9:$A$1008,$I710-8)))</x:f>
      </x:c>
      <x:c r="B710" s="50" t="str">
        <x:f>IF(702&gt;$H$4,"",IF(INDEX('Fleet dates'!$B$9:$B$1008,$I710-8)="","",INDEX('Fleet dates'!$B$9:$B$1008,$I710-8)))</x:f>
      </x:c>
      <x:c r="C710" s="51" t="str">
        <x:f>IF(702&gt;$H$4,"",IF(INDEX('Fleet dates'!$C$9:$C$1008,$I710-8)="","",INDEX('Fleet dates'!$C$9:$C$1008,$I710-8)))</x:f>
      </x:c>
      <x:c r="D710" s="51" t="str">
        <x:f>IF(702&gt;$H$4,"",IF(INDEX('Fleet dates'!$D$9:$D$1008,$I710-8)="","",INDEX('Fleet dates'!$D$9:$D$1008,$I710-8)))</x:f>
      </x:c>
      <x:c r="E710" s="51" t="str">
        <x:f>IF(702&gt;$H$4,"",IF(INDEX('Fleet dates'!$E$9:$E$1008,$I710-8)="","",INDEX('Fleet dates'!$E$9:$E$1008,$I710-8)))</x:f>
      </x:c>
      <x:c r="F710" s="51" t="str">
        <x:f>IF(702&gt;$H$4,"",IF(INDEX('Fleet dates'!$F$9:$F$1008,$I710-8)="","",INDEX('Fleet dates'!$F$9:$F$1008,$I710-8)))</x:f>
      </x:c>
      <x:c r="G710" s="50" t="str">
        <x:f>IF(702&gt;$H$4,"",IF(INDEX('Fleet dates'!$G$9:$G$1008,$I710-8)="","",INDEX('Fleet dates'!$G$9:$G$1008,$I710-8)))</x:f>
      </x:c>
      <x:c r="H710" s="50" t="str">
        <x:f>IF(702&gt;$H$4,"",IF(INDEX('Fleet dates'!$I$9:$I$1008,$I710-8)="","",INDEX('Fleet dates'!$I$9:$I$1008,$I710-8)))</x:f>
      </x:c>
      <x:c r="I710" t="str">
        <x:f>IF(702&gt;$H$4,"",MATCH(702,'Fleet dates'!$K$9:$K$1008,0)+8)</x:f>
      </x:c>
    </x:row>
    <x:row r="711" ht="36" customHeight="1">
      <x:c r="A711" s="50" t="str">
        <x:f>IF(703&gt;$H$4,"",IF(INDEX('Fleet dates'!$A$9:$A$1008,$I711-8)="","",INDEX('Fleet dates'!$A$9:$A$1008,$I711-8)))</x:f>
      </x:c>
      <x:c r="B711" s="50" t="str">
        <x:f>IF(703&gt;$H$4,"",IF(INDEX('Fleet dates'!$B$9:$B$1008,$I711-8)="","",INDEX('Fleet dates'!$B$9:$B$1008,$I711-8)))</x:f>
      </x:c>
      <x:c r="C711" s="51" t="str">
        <x:f>IF(703&gt;$H$4,"",IF(INDEX('Fleet dates'!$C$9:$C$1008,$I711-8)="","",INDEX('Fleet dates'!$C$9:$C$1008,$I711-8)))</x:f>
      </x:c>
      <x:c r="D711" s="51" t="str">
        <x:f>IF(703&gt;$H$4,"",IF(INDEX('Fleet dates'!$D$9:$D$1008,$I711-8)="","",INDEX('Fleet dates'!$D$9:$D$1008,$I711-8)))</x:f>
      </x:c>
      <x:c r="E711" s="51" t="str">
        <x:f>IF(703&gt;$H$4,"",IF(INDEX('Fleet dates'!$E$9:$E$1008,$I711-8)="","",INDEX('Fleet dates'!$E$9:$E$1008,$I711-8)))</x:f>
      </x:c>
      <x:c r="F711" s="51" t="str">
        <x:f>IF(703&gt;$H$4,"",IF(INDEX('Fleet dates'!$F$9:$F$1008,$I711-8)="","",INDEX('Fleet dates'!$F$9:$F$1008,$I711-8)))</x:f>
      </x:c>
      <x:c r="G711" s="50" t="str">
        <x:f>IF(703&gt;$H$4,"",IF(INDEX('Fleet dates'!$G$9:$G$1008,$I711-8)="","",INDEX('Fleet dates'!$G$9:$G$1008,$I711-8)))</x:f>
      </x:c>
      <x:c r="H711" s="50" t="str">
        <x:f>IF(703&gt;$H$4,"",IF(INDEX('Fleet dates'!$I$9:$I$1008,$I711-8)="","",INDEX('Fleet dates'!$I$9:$I$1008,$I711-8)))</x:f>
      </x:c>
      <x:c r="I711" t="str">
        <x:f>IF(703&gt;$H$4,"",MATCH(703,'Fleet dates'!$K$9:$K$1008,0)+8)</x:f>
      </x:c>
    </x:row>
    <x:row r="712" ht="36" customHeight="1">
      <x:c r="A712" s="50" t="str">
        <x:f>IF(704&gt;$H$4,"",IF(INDEX('Fleet dates'!$A$9:$A$1008,$I712-8)="","",INDEX('Fleet dates'!$A$9:$A$1008,$I712-8)))</x:f>
      </x:c>
      <x:c r="B712" s="50" t="str">
        <x:f>IF(704&gt;$H$4,"",IF(INDEX('Fleet dates'!$B$9:$B$1008,$I712-8)="","",INDEX('Fleet dates'!$B$9:$B$1008,$I712-8)))</x:f>
      </x:c>
      <x:c r="C712" s="51" t="str">
        <x:f>IF(704&gt;$H$4,"",IF(INDEX('Fleet dates'!$C$9:$C$1008,$I712-8)="","",INDEX('Fleet dates'!$C$9:$C$1008,$I712-8)))</x:f>
      </x:c>
      <x:c r="D712" s="51" t="str">
        <x:f>IF(704&gt;$H$4,"",IF(INDEX('Fleet dates'!$D$9:$D$1008,$I712-8)="","",INDEX('Fleet dates'!$D$9:$D$1008,$I712-8)))</x:f>
      </x:c>
      <x:c r="E712" s="51" t="str">
        <x:f>IF(704&gt;$H$4,"",IF(INDEX('Fleet dates'!$E$9:$E$1008,$I712-8)="","",INDEX('Fleet dates'!$E$9:$E$1008,$I712-8)))</x:f>
      </x:c>
      <x:c r="F712" s="51" t="str">
        <x:f>IF(704&gt;$H$4,"",IF(INDEX('Fleet dates'!$F$9:$F$1008,$I712-8)="","",INDEX('Fleet dates'!$F$9:$F$1008,$I712-8)))</x:f>
      </x:c>
      <x:c r="G712" s="50" t="str">
        <x:f>IF(704&gt;$H$4,"",IF(INDEX('Fleet dates'!$G$9:$G$1008,$I712-8)="","",INDEX('Fleet dates'!$G$9:$G$1008,$I712-8)))</x:f>
      </x:c>
      <x:c r="H712" s="50" t="str">
        <x:f>IF(704&gt;$H$4,"",IF(INDEX('Fleet dates'!$I$9:$I$1008,$I712-8)="","",INDEX('Fleet dates'!$I$9:$I$1008,$I712-8)))</x:f>
      </x:c>
      <x:c r="I712" t="str">
        <x:f>IF(704&gt;$H$4,"",MATCH(704,'Fleet dates'!$K$9:$K$1008,0)+8)</x:f>
      </x:c>
    </x:row>
    <x:row r="713" ht="36" customHeight="1">
      <x:c r="A713" s="50" t="str">
        <x:f>IF(705&gt;$H$4,"",IF(INDEX('Fleet dates'!$A$9:$A$1008,$I713-8)="","",INDEX('Fleet dates'!$A$9:$A$1008,$I713-8)))</x:f>
      </x:c>
      <x:c r="B713" s="50" t="str">
        <x:f>IF(705&gt;$H$4,"",IF(INDEX('Fleet dates'!$B$9:$B$1008,$I713-8)="","",INDEX('Fleet dates'!$B$9:$B$1008,$I713-8)))</x:f>
      </x:c>
      <x:c r="C713" s="51" t="str">
        <x:f>IF(705&gt;$H$4,"",IF(INDEX('Fleet dates'!$C$9:$C$1008,$I713-8)="","",INDEX('Fleet dates'!$C$9:$C$1008,$I713-8)))</x:f>
      </x:c>
      <x:c r="D713" s="51" t="str">
        <x:f>IF(705&gt;$H$4,"",IF(INDEX('Fleet dates'!$D$9:$D$1008,$I713-8)="","",INDEX('Fleet dates'!$D$9:$D$1008,$I713-8)))</x:f>
      </x:c>
      <x:c r="E713" s="51" t="str">
        <x:f>IF(705&gt;$H$4,"",IF(INDEX('Fleet dates'!$E$9:$E$1008,$I713-8)="","",INDEX('Fleet dates'!$E$9:$E$1008,$I713-8)))</x:f>
      </x:c>
      <x:c r="F713" s="51" t="str">
        <x:f>IF(705&gt;$H$4,"",IF(INDEX('Fleet dates'!$F$9:$F$1008,$I713-8)="","",INDEX('Fleet dates'!$F$9:$F$1008,$I713-8)))</x:f>
      </x:c>
      <x:c r="G713" s="50" t="str">
        <x:f>IF(705&gt;$H$4,"",IF(INDEX('Fleet dates'!$G$9:$G$1008,$I713-8)="","",INDEX('Fleet dates'!$G$9:$G$1008,$I713-8)))</x:f>
      </x:c>
      <x:c r="H713" s="50" t="str">
        <x:f>IF(705&gt;$H$4,"",IF(INDEX('Fleet dates'!$I$9:$I$1008,$I713-8)="","",INDEX('Fleet dates'!$I$9:$I$1008,$I713-8)))</x:f>
      </x:c>
      <x:c r="I713" t="str">
        <x:f>IF(705&gt;$H$4,"",MATCH(705,'Fleet dates'!$K$9:$K$1008,0)+8)</x:f>
      </x:c>
    </x:row>
    <x:row r="714" ht="36" customHeight="1">
      <x:c r="A714" s="50" t="str">
        <x:f>IF(706&gt;$H$4,"",IF(INDEX('Fleet dates'!$A$9:$A$1008,$I714-8)="","",INDEX('Fleet dates'!$A$9:$A$1008,$I714-8)))</x:f>
      </x:c>
      <x:c r="B714" s="50" t="str">
        <x:f>IF(706&gt;$H$4,"",IF(INDEX('Fleet dates'!$B$9:$B$1008,$I714-8)="","",INDEX('Fleet dates'!$B$9:$B$1008,$I714-8)))</x:f>
      </x:c>
      <x:c r="C714" s="51" t="str">
        <x:f>IF(706&gt;$H$4,"",IF(INDEX('Fleet dates'!$C$9:$C$1008,$I714-8)="","",INDEX('Fleet dates'!$C$9:$C$1008,$I714-8)))</x:f>
      </x:c>
      <x:c r="D714" s="51" t="str">
        <x:f>IF(706&gt;$H$4,"",IF(INDEX('Fleet dates'!$D$9:$D$1008,$I714-8)="","",INDEX('Fleet dates'!$D$9:$D$1008,$I714-8)))</x:f>
      </x:c>
      <x:c r="E714" s="51" t="str">
        <x:f>IF(706&gt;$H$4,"",IF(INDEX('Fleet dates'!$E$9:$E$1008,$I714-8)="","",INDEX('Fleet dates'!$E$9:$E$1008,$I714-8)))</x:f>
      </x:c>
      <x:c r="F714" s="51" t="str">
        <x:f>IF(706&gt;$H$4,"",IF(INDEX('Fleet dates'!$F$9:$F$1008,$I714-8)="","",INDEX('Fleet dates'!$F$9:$F$1008,$I714-8)))</x:f>
      </x:c>
      <x:c r="G714" s="50" t="str">
        <x:f>IF(706&gt;$H$4,"",IF(INDEX('Fleet dates'!$G$9:$G$1008,$I714-8)="","",INDEX('Fleet dates'!$G$9:$G$1008,$I714-8)))</x:f>
      </x:c>
      <x:c r="H714" s="50" t="str">
        <x:f>IF(706&gt;$H$4,"",IF(INDEX('Fleet dates'!$I$9:$I$1008,$I714-8)="","",INDEX('Fleet dates'!$I$9:$I$1008,$I714-8)))</x:f>
      </x:c>
      <x:c r="I714" t="str">
        <x:f>IF(706&gt;$H$4,"",MATCH(706,'Fleet dates'!$K$9:$K$1008,0)+8)</x:f>
      </x:c>
    </x:row>
    <x:row r="715" ht="36" customHeight="1">
      <x:c r="A715" s="50" t="str">
        <x:f>IF(707&gt;$H$4,"",IF(INDEX('Fleet dates'!$A$9:$A$1008,$I715-8)="","",INDEX('Fleet dates'!$A$9:$A$1008,$I715-8)))</x:f>
      </x:c>
      <x:c r="B715" s="50" t="str">
        <x:f>IF(707&gt;$H$4,"",IF(INDEX('Fleet dates'!$B$9:$B$1008,$I715-8)="","",INDEX('Fleet dates'!$B$9:$B$1008,$I715-8)))</x:f>
      </x:c>
      <x:c r="C715" s="51" t="str">
        <x:f>IF(707&gt;$H$4,"",IF(INDEX('Fleet dates'!$C$9:$C$1008,$I715-8)="","",INDEX('Fleet dates'!$C$9:$C$1008,$I715-8)))</x:f>
      </x:c>
      <x:c r="D715" s="51" t="str">
        <x:f>IF(707&gt;$H$4,"",IF(INDEX('Fleet dates'!$D$9:$D$1008,$I715-8)="","",INDEX('Fleet dates'!$D$9:$D$1008,$I715-8)))</x:f>
      </x:c>
      <x:c r="E715" s="51" t="str">
        <x:f>IF(707&gt;$H$4,"",IF(INDEX('Fleet dates'!$E$9:$E$1008,$I715-8)="","",INDEX('Fleet dates'!$E$9:$E$1008,$I715-8)))</x:f>
      </x:c>
      <x:c r="F715" s="51" t="str">
        <x:f>IF(707&gt;$H$4,"",IF(INDEX('Fleet dates'!$F$9:$F$1008,$I715-8)="","",INDEX('Fleet dates'!$F$9:$F$1008,$I715-8)))</x:f>
      </x:c>
      <x:c r="G715" s="50" t="str">
        <x:f>IF(707&gt;$H$4,"",IF(INDEX('Fleet dates'!$G$9:$G$1008,$I715-8)="","",INDEX('Fleet dates'!$G$9:$G$1008,$I715-8)))</x:f>
      </x:c>
      <x:c r="H715" s="50" t="str">
        <x:f>IF(707&gt;$H$4,"",IF(INDEX('Fleet dates'!$I$9:$I$1008,$I715-8)="","",INDEX('Fleet dates'!$I$9:$I$1008,$I715-8)))</x:f>
      </x:c>
      <x:c r="I715" t="str">
        <x:f>IF(707&gt;$H$4,"",MATCH(707,'Fleet dates'!$K$9:$K$1008,0)+8)</x:f>
      </x:c>
    </x:row>
    <x:row r="716" ht="36" customHeight="1">
      <x:c r="A716" s="50" t="str">
        <x:f>IF(708&gt;$H$4,"",IF(INDEX('Fleet dates'!$A$9:$A$1008,$I716-8)="","",INDEX('Fleet dates'!$A$9:$A$1008,$I716-8)))</x:f>
      </x:c>
      <x:c r="B716" s="50" t="str">
        <x:f>IF(708&gt;$H$4,"",IF(INDEX('Fleet dates'!$B$9:$B$1008,$I716-8)="","",INDEX('Fleet dates'!$B$9:$B$1008,$I716-8)))</x:f>
      </x:c>
      <x:c r="C716" s="51" t="str">
        <x:f>IF(708&gt;$H$4,"",IF(INDEX('Fleet dates'!$C$9:$C$1008,$I716-8)="","",INDEX('Fleet dates'!$C$9:$C$1008,$I716-8)))</x:f>
      </x:c>
      <x:c r="D716" s="51" t="str">
        <x:f>IF(708&gt;$H$4,"",IF(INDEX('Fleet dates'!$D$9:$D$1008,$I716-8)="","",INDEX('Fleet dates'!$D$9:$D$1008,$I716-8)))</x:f>
      </x:c>
      <x:c r="E716" s="51" t="str">
        <x:f>IF(708&gt;$H$4,"",IF(INDEX('Fleet dates'!$E$9:$E$1008,$I716-8)="","",INDEX('Fleet dates'!$E$9:$E$1008,$I716-8)))</x:f>
      </x:c>
      <x:c r="F716" s="51" t="str">
        <x:f>IF(708&gt;$H$4,"",IF(INDEX('Fleet dates'!$F$9:$F$1008,$I716-8)="","",INDEX('Fleet dates'!$F$9:$F$1008,$I716-8)))</x:f>
      </x:c>
      <x:c r="G716" s="50" t="str">
        <x:f>IF(708&gt;$H$4,"",IF(INDEX('Fleet dates'!$G$9:$G$1008,$I716-8)="","",INDEX('Fleet dates'!$G$9:$G$1008,$I716-8)))</x:f>
      </x:c>
      <x:c r="H716" s="50" t="str">
        <x:f>IF(708&gt;$H$4,"",IF(INDEX('Fleet dates'!$I$9:$I$1008,$I716-8)="","",INDEX('Fleet dates'!$I$9:$I$1008,$I716-8)))</x:f>
      </x:c>
      <x:c r="I716" t="str">
        <x:f>IF(708&gt;$H$4,"",MATCH(708,'Fleet dates'!$K$9:$K$1008,0)+8)</x:f>
      </x:c>
    </x:row>
    <x:row r="717" ht="36" customHeight="1">
      <x:c r="A717" s="50" t="str">
        <x:f>IF(709&gt;$H$4,"",IF(INDEX('Fleet dates'!$A$9:$A$1008,$I717-8)="","",INDEX('Fleet dates'!$A$9:$A$1008,$I717-8)))</x:f>
      </x:c>
      <x:c r="B717" s="50" t="str">
        <x:f>IF(709&gt;$H$4,"",IF(INDEX('Fleet dates'!$B$9:$B$1008,$I717-8)="","",INDEX('Fleet dates'!$B$9:$B$1008,$I717-8)))</x:f>
      </x:c>
      <x:c r="C717" s="51" t="str">
        <x:f>IF(709&gt;$H$4,"",IF(INDEX('Fleet dates'!$C$9:$C$1008,$I717-8)="","",INDEX('Fleet dates'!$C$9:$C$1008,$I717-8)))</x:f>
      </x:c>
      <x:c r="D717" s="51" t="str">
        <x:f>IF(709&gt;$H$4,"",IF(INDEX('Fleet dates'!$D$9:$D$1008,$I717-8)="","",INDEX('Fleet dates'!$D$9:$D$1008,$I717-8)))</x:f>
      </x:c>
      <x:c r="E717" s="51" t="str">
        <x:f>IF(709&gt;$H$4,"",IF(INDEX('Fleet dates'!$E$9:$E$1008,$I717-8)="","",INDEX('Fleet dates'!$E$9:$E$1008,$I717-8)))</x:f>
      </x:c>
      <x:c r="F717" s="51" t="str">
        <x:f>IF(709&gt;$H$4,"",IF(INDEX('Fleet dates'!$F$9:$F$1008,$I717-8)="","",INDEX('Fleet dates'!$F$9:$F$1008,$I717-8)))</x:f>
      </x:c>
      <x:c r="G717" s="50" t="str">
        <x:f>IF(709&gt;$H$4,"",IF(INDEX('Fleet dates'!$G$9:$G$1008,$I717-8)="","",INDEX('Fleet dates'!$G$9:$G$1008,$I717-8)))</x:f>
      </x:c>
      <x:c r="H717" s="50" t="str">
        <x:f>IF(709&gt;$H$4,"",IF(INDEX('Fleet dates'!$I$9:$I$1008,$I717-8)="","",INDEX('Fleet dates'!$I$9:$I$1008,$I717-8)))</x:f>
      </x:c>
      <x:c r="I717" t="str">
        <x:f>IF(709&gt;$H$4,"",MATCH(709,'Fleet dates'!$K$9:$K$1008,0)+8)</x:f>
      </x:c>
    </x:row>
    <x:row r="718" ht="36" customHeight="1">
      <x:c r="A718" s="50" t="str">
        <x:f>IF(710&gt;$H$4,"",IF(INDEX('Fleet dates'!$A$9:$A$1008,$I718-8)="","",INDEX('Fleet dates'!$A$9:$A$1008,$I718-8)))</x:f>
      </x:c>
      <x:c r="B718" s="50" t="str">
        <x:f>IF(710&gt;$H$4,"",IF(INDEX('Fleet dates'!$B$9:$B$1008,$I718-8)="","",INDEX('Fleet dates'!$B$9:$B$1008,$I718-8)))</x:f>
      </x:c>
      <x:c r="C718" s="51" t="str">
        <x:f>IF(710&gt;$H$4,"",IF(INDEX('Fleet dates'!$C$9:$C$1008,$I718-8)="","",INDEX('Fleet dates'!$C$9:$C$1008,$I718-8)))</x:f>
      </x:c>
      <x:c r="D718" s="51" t="str">
        <x:f>IF(710&gt;$H$4,"",IF(INDEX('Fleet dates'!$D$9:$D$1008,$I718-8)="","",INDEX('Fleet dates'!$D$9:$D$1008,$I718-8)))</x:f>
      </x:c>
      <x:c r="E718" s="51" t="str">
        <x:f>IF(710&gt;$H$4,"",IF(INDEX('Fleet dates'!$E$9:$E$1008,$I718-8)="","",INDEX('Fleet dates'!$E$9:$E$1008,$I718-8)))</x:f>
      </x:c>
      <x:c r="F718" s="51" t="str">
        <x:f>IF(710&gt;$H$4,"",IF(INDEX('Fleet dates'!$F$9:$F$1008,$I718-8)="","",INDEX('Fleet dates'!$F$9:$F$1008,$I718-8)))</x:f>
      </x:c>
      <x:c r="G718" s="50" t="str">
        <x:f>IF(710&gt;$H$4,"",IF(INDEX('Fleet dates'!$G$9:$G$1008,$I718-8)="","",INDEX('Fleet dates'!$G$9:$G$1008,$I718-8)))</x:f>
      </x:c>
      <x:c r="H718" s="50" t="str">
        <x:f>IF(710&gt;$H$4,"",IF(INDEX('Fleet dates'!$I$9:$I$1008,$I718-8)="","",INDEX('Fleet dates'!$I$9:$I$1008,$I718-8)))</x:f>
      </x:c>
      <x:c r="I718" t="str">
        <x:f>IF(710&gt;$H$4,"",MATCH(710,'Fleet dates'!$K$9:$K$1008,0)+8)</x:f>
      </x:c>
    </x:row>
    <x:row r="719" ht="36" customHeight="1">
      <x:c r="A719" s="50" t="str">
        <x:f>IF(711&gt;$H$4,"",IF(INDEX('Fleet dates'!$A$9:$A$1008,$I719-8)="","",INDEX('Fleet dates'!$A$9:$A$1008,$I719-8)))</x:f>
      </x:c>
      <x:c r="B719" s="50" t="str">
        <x:f>IF(711&gt;$H$4,"",IF(INDEX('Fleet dates'!$B$9:$B$1008,$I719-8)="","",INDEX('Fleet dates'!$B$9:$B$1008,$I719-8)))</x:f>
      </x:c>
      <x:c r="C719" s="51" t="str">
        <x:f>IF(711&gt;$H$4,"",IF(INDEX('Fleet dates'!$C$9:$C$1008,$I719-8)="","",INDEX('Fleet dates'!$C$9:$C$1008,$I719-8)))</x:f>
      </x:c>
      <x:c r="D719" s="51" t="str">
        <x:f>IF(711&gt;$H$4,"",IF(INDEX('Fleet dates'!$D$9:$D$1008,$I719-8)="","",INDEX('Fleet dates'!$D$9:$D$1008,$I719-8)))</x:f>
      </x:c>
      <x:c r="E719" s="51" t="str">
        <x:f>IF(711&gt;$H$4,"",IF(INDEX('Fleet dates'!$E$9:$E$1008,$I719-8)="","",INDEX('Fleet dates'!$E$9:$E$1008,$I719-8)))</x:f>
      </x:c>
      <x:c r="F719" s="51" t="str">
        <x:f>IF(711&gt;$H$4,"",IF(INDEX('Fleet dates'!$F$9:$F$1008,$I719-8)="","",INDEX('Fleet dates'!$F$9:$F$1008,$I719-8)))</x:f>
      </x:c>
      <x:c r="G719" s="50" t="str">
        <x:f>IF(711&gt;$H$4,"",IF(INDEX('Fleet dates'!$G$9:$G$1008,$I719-8)="","",INDEX('Fleet dates'!$G$9:$G$1008,$I719-8)))</x:f>
      </x:c>
      <x:c r="H719" s="50" t="str">
        <x:f>IF(711&gt;$H$4,"",IF(INDEX('Fleet dates'!$I$9:$I$1008,$I719-8)="","",INDEX('Fleet dates'!$I$9:$I$1008,$I719-8)))</x:f>
      </x:c>
      <x:c r="I719" t="str">
        <x:f>IF(711&gt;$H$4,"",MATCH(711,'Fleet dates'!$K$9:$K$1008,0)+8)</x:f>
      </x:c>
    </x:row>
    <x:row r="720" ht="36" customHeight="1">
      <x:c r="A720" s="50" t="str">
        <x:f>IF(712&gt;$H$4,"",IF(INDEX('Fleet dates'!$A$9:$A$1008,$I720-8)="","",INDEX('Fleet dates'!$A$9:$A$1008,$I720-8)))</x:f>
      </x:c>
      <x:c r="B720" s="50" t="str">
        <x:f>IF(712&gt;$H$4,"",IF(INDEX('Fleet dates'!$B$9:$B$1008,$I720-8)="","",INDEX('Fleet dates'!$B$9:$B$1008,$I720-8)))</x:f>
      </x:c>
      <x:c r="C720" s="51" t="str">
        <x:f>IF(712&gt;$H$4,"",IF(INDEX('Fleet dates'!$C$9:$C$1008,$I720-8)="","",INDEX('Fleet dates'!$C$9:$C$1008,$I720-8)))</x:f>
      </x:c>
      <x:c r="D720" s="51" t="str">
        <x:f>IF(712&gt;$H$4,"",IF(INDEX('Fleet dates'!$D$9:$D$1008,$I720-8)="","",INDEX('Fleet dates'!$D$9:$D$1008,$I720-8)))</x:f>
      </x:c>
      <x:c r="E720" s="51" t="str">
        <x:f>IF(712&gt;$H$4,"",IF(INDEX('Fleet dates'!$E$9:$E$1008,$I720-8)="","",INDEX('Fleet dates'!$E$9:$E$1008,$I720-8)))</x:f>
      </x:c>
      <x:c r="F720" s="51" t="str">
        <x:f>IF(712&gt;$H$4,"",IF(INDEX('Fleet dates'!$F$9:$F$1008,$I720-8)="","",INDEX('Fleet dates'!$F$9:$F$1008,$I720-8)))</x:f>
      </x:c>
      <x:c r="G720" s="50" t="str">
        <x:f>IF(712&gt;$H$4,"",IF(INDEX('Fleet dates'!$G$9:$G$1008,$I720-8)="","",INDEX('Fleet dates'!$G$9:$G$1008,$I720-8)))</x:f>
      </x:c>
      <x:c r="H720" s="50" t="str">
        <x:f>IF(712&gt;$H$4,"",IF(INDEX('Fleet dates'!$I$9:$I$1008,$I720-8)="","",INDEX('Fleet dates'!$I$9:$I$1008,$I720-8)))</x:f>
      </x:c>
      <x:c r="I720" t="str">
        <x:f>IF(712&gt;$H$4,"",MATCH(712,'Fleet dates'!$K$9:$K$1008,0)+8)</x:f>
      </x:c>
    </x:row>
    <x:row r="721" ht="36" customHeight="1">
      <x:c r="A721" s="50" t="str">
        <x:f>IF(713&gt;$H$4,"",IF(INDEX('Fleet dates'!$A$9:$A$1008,$I721-8)="","",INDEX('Fleet dates'!$A$9:$A$1008,$I721-8)))</x:f>
      </x:c>
      <x:c r="B721" s="50" t="str">
        <x:f>IF(713&gt;$H$4,"",IF(INDEX('Fleet dates'!$B$9:$B$1008,$I721-8)="","",INDEX('Fleet dates'!$B$9:$B$1008,$I721-8)))</x:f>
      </x:c>
      <x:c r="C721" s="51" t="str">
        <x:f>IF(713&gt;$H$4,"",IF(INDEX('Fleet dates'!$C$9:$C$1008,$I721-8)="","",INDEX('Fleet dates'!$C$9:$C$1008,$I721-8)))</x:f>
      </x:c>
      <x:c r="D721" s="51" t="str">
        <x:f>IF(713&gt;$H$4,"",IF(INDEX('Fleet dates'!$D$9:$D$1008,$I721-8)="","",INDEX('Fleet dates'!$D$9:$D$1008,$I721-8)))</x:f>
      </x:c>
      <x:c r="E721" s="51" t="str">
        <x:f>IF(713&gt;$H$4,"",IF(INDEX('Fleet dates'!$E$9:$E$1008,$I721-8)="","",INDEX('Fleet dates'!$E$9:$E$1008,$I721-8)))</x:f>
      </x:c>
      <x:c r="F721" s="51" t="str">
        <x:f>IF(713&gt;$H$4,"",IF(INDEX('Fleet dates'!$F$9:$F$1008,$I721-8)="","",INDEX('Fleet dates'!$F$9:$F$1008,$I721-8)))</x:f>
      </x:c>
      <x:c r="G721" s="50" t="str">
        <x:f>IF(713&gt;$H$4,"",IF(INDEX('Fleet dates'!$G$9:$G$1008,$I721-8)="","",INDEX('Fleet dates'!$G$9:$G$1008,$I721-8)))</x:f>
      </x:c>
      <x:c r="H721" s="50" t="str">
        <x:f>IF(713&gt;$H$4,"",IF(INDEX('Fleet dates'!$I$9:$I$1008,$I721-8)="","",INDEX('Fleet dates'!$I$9:$I$1008,$I721-8)))</x:f>
      </x:c>
      <x:c r="I721" t="str">
        <x:f>IF(713&gt;$H$4,"",MATCH(713,'Fleet dates'!$K$9:$K$1008,0)+8)</x:f>
      </x:c>
    </x:row>
    <x:row r="722" ht="36" customHeight="1">
      <x:c r="A722" s="50" t="str">
        <x:f>IF(714&gt;$H$4,"",IF(INDEX('Fleet dates'!$A$9:$A$1008,$I722-8)="","",INDEX('Fleet dates'!$A$9:$A$1008,$I722-8)))</x:f>
      </x:c>
      <x:c r="B722" s="50" t="str">
        <x:f>IF(714&gt;$H$4,"",IF(INDEX('Fleet dates'!$B$9:$B$1008,$I722-8)="","",INDEX('Fleet dates'!$B$9:$B$1008,$I722-8)))</x:f>
      </x:c>
      <x:c r="C722" s="51" t="str">
        <x:f>IF(714&gt;$H$4,"",IF(INDEX('Fleet dates'!$C$9:$C$1008,$I722-8)="","",INDEX('Fleet dates'!$C$9:$C$1008,$I722-8)))</x:f>
      </x:c>
      <x:c r="D722" s="51" t="str">
        <x:f>IF(714&gt;$H$4,"",IF(INDEX('Fleet dates'!$D$9:$D$1008,$I722-8)="","",INDEX('Fleet dates'!$D$9:$D$1008,$I722-8)))</x:f>
      </x:c>
      <x:c r="E722" s="51" t="str">
        <x:f>IF(714&gt;$H$4,"",IF(INDEX('Fleet dates'!$E$9:$E$1008,$I722-8)="","",INDEX('Fleet dates'!$E$9:$E$1008,$I722-8)))</x:f>
      </x:c>
      <x:c r="F722" s="51" t="str">
        <x:f>IF(714&gt;$H$4,"",IF(INDEX('Fleet dates'!$F$9:$F$1008,$I722-8)="","",INDEX('Fleet dates'!$F$9:$F$1008,$I722-8)))</x:f>
      </x:c>
      <x:c r="G722" s="50" t="str">
        <x:f>IF(714&gt;$H$4,"",IF(INDEX('Fleet dates'!$G$9:$G$1008,$I722-8)="","",INDEX('Fleet dates'!$G$9:$G$1008,$I722-8)))</x:f>
      </x:c>
      <x:c r="H722" s="50" t="str">
        <x:f>IF(714&gt;$H$4,"",IF(INDEX('Fleet dates'!$I$9:$I$1008,$I722-8)="","",INDEX('Fleet dates'!$I$9:$I$1008,$I722-8)))</x:f>
      </x:c>
      <x:c r="I722" t="str">
        <x:f>IF(714&gt;$H$4,"",MATCH(714,'Fleet dates'!$K$9:$K$1008,0)+8)</x:f>
      </x:c>
    </x:row>
    <x:row r="723" ht="36" customHeight="1">
      <x:c r="A723" s="50" t="str">
        <x:f>IF(715&gt;$H$4,"",IF(INDEX('Fleet dates'!$A$9:$A$1008,$I723-8)="","",INDEX('Fleet dates'!$A$9:$A$1008,$I723-8)))</x:f>
      </x:c>
      <x:c r="B723" s="50" t="str">
        <x:f>IF(715&gt;$H$4,"",IF(INDEX('Fleet dates'!$B$9:$B$1008,$I723-8)="","",INDEX('Fleet dates'!$B$9:$B$1008,$I723-8)))</x:f>
      </x:c>
      <x:c r="C723" s="51" t="str">
        <x:f>IF(715&gt;$H$4,"",IF(INDEX('Fleet dates'!$C$9:$C$1008,$I723-8)="","",INDEX('Fleet dates'!$C$9:$C$1008,$I723-8)))</x:f>
      </x:c>
      <x:c r="D723" s="51" t="str">
        <x:f>IF(715&gt;$H$4,"",IF(INDEX('Fleet dates'!$D$9:$D$1008,$I723-8)="","",INDEX('Fleet dates'!$D$9:$D$1008,$I723-8)))</x:f>
      </x:c>
      <x:c r="E723" s="51" t="str">
        <x:f>IF(715&gt;$H$4,"",IF(INDEX('Fleet dates'!$E$9:$E$1008,$I723-8)="","",INDEX('Fleet dates'!$E$9:$E$1008,$I723-8)))</x:f>
      </x:c>
      <x:c r="F723" s="51" t="str">
        <x:f>IF(715&gt;$H$4,"",IF(INDEX('Fleet dates'!$F$9:$F$1008,$I723-8)="","",INDEX('Fleet dates'!$F$9:$F$1008,$I723-8)))</x:f>
      </x:c>
      <x:c r="G723" s="50" t="str">
        <x:f>IF(715&gt;$H$4,"",IF(INDEX('Fleet dates'!$G$9:$G$1008,$I723-8)="","",INDEX('Fleet dates'!$G$9:$G$1008,$I723-8)))</x:f>
      </x:c>
      <x:c r="H723" s="50" t="str">
        <x:f>IF(715&gt;$H$4,"",IF(INDEX('Fleet dates'!$I$9:$I$1008,$I723-8)="","",INDEX('Fleet dates'!$I$9:$I$1008,$I723-8)))</x:f>
      </x:c>
      <x:c r="I723" t="str">
        <x:f>IF(715&gt;$H$4,"",MATCH(715,'Fleet dates'!$K$9:$K$1008,0)+8)</x:f>
      </x:c>
    </x:row>
    <x:row r="724" ht="36" customHeight="1">
      <x:c r="A724" s="50" t="str">
        <x:f>IF(716&gt;$H$4,"",IF(INDEX('Fleet dates'!$A$9:$A$1008,$I724-8)="","",INDEX('Fleet dates'!$A$9:$A$1008,$I724-8)))</x:f>
      </x:c>
      <x:c r="B724" s="50" t="str">
        <x:f>IF(716&gt;$H$4,"",IF(INDEX('Fleet dates'!$B$9:$B$1008,$I724-8)="","",INDEX('Fleet dates'!$B$9:$B$1008,$I724-8)))</x:f>
      </x:c>
      <x:c r="C724" s="51" t="str">
        <x:f>IF(716&gt;$H$4,"",IF(INDEX('Fleet dates'!$C$9:$C$1008,$I724-8)="","",INDEX('Fleet dates'!$C$9:$C$1008,$I724-8)))</x:f>
      </x:c>
      <x:c r="D724" s="51" t="str">
        <x:f>IF(716&gt;$H$4,"",IF(INDEX('Fleet dates'!$D$9:$D$1008,$I724-8)="","",INDEX('Fleet dates'!$D$9:$D$1008,$I724-8)))</x:f>
      </x:c>
      <x:c r="E724" s="51" t="str">
        <x:f>IF(716&gt;$H$4,"",IF(INDEX('Fleet dates'!$E$9:$E$1008,$I724-8)="","",INDEX('Fleet dates'!$E$9:$E$1008,$I724-8)))</x:f>
      </x:c>
      <x:c r="F724" s="51" t="str">
        <x:f>IF(716&gt;$H$4,"",IF(INDEX('Fleet dates'!$F$9:$F$1008,$I724-8)="","",INDEX('Fleet dates'!$F$9:$F$1008,$I724-8)))</x:f>
      </x:c>
      <x:c r="G724" s="50" t="str">
        <x:f>IF(716&gt;$H$4,"",IF(INDEX('Fleet dates'!$G$9:$G$1008,$I724-8)="","",INDEX('Fleet dates'!$G$9:$G$1008,$I724-8)))</x:f>
      </x:c>
      <x:c r="H724" s="50" t="str">
        <x:f>IF(716&gt;$H$4,"",IF(INDEX('Fleet dates'!$I$9:$I$1008,$I724-8)="","",INDEX('Fleet dates'!$I$9:$I$1008,$I724-8)))</x:f>
      </x:c>
      <x:c r="I724" t="str">
        <x:f>IF(716&gt;$H$4,"",MATCH(716,'Fleet dates'!$K$9:$K$1008,0)+8)</x:f>
      </x:c>
    </x:row>
    <x:row r="725" ht="36" customHeight="1">
      <x:c r="A725" s="50" t="str">
        <x:f>IF(717&gt;$H$4,"",IF(INDEX('Fleet dates'!$A$9:$A$1008,$I725-8)="","",INDEX('Fleet dates'!$A$9:$A$1008,$I725-8)))</x:f>
      </x:c>
      <x:c r="B725" s="50" t="str">
        <x:f>IF(717&gt;$H$4,"",IF(INDEX('Fleet dates'!$B$9:$B$1008,$I725-8)="","",INDEX('Fleet dates'!$B$9:$B$1008,$I725-8)))</x:f>
      </x:c>
      <x:c r="C725" s="51" t="str">
        <x:f>IF(717&gt;$H$4,"",IF(INDEX('Fleet dates'!$C$9:$C$1008,$I725-8)="","",INDEX('Fleet dates'!$C$9:$C$1008,$I725-8)))</x:f>
      </x:c>
      <x:c r="D725" s="51" t="str">
        <x:f>IF(717&gt;$H$4,"",IF(INDEX('Fleet dates'!$D$9:$D$1008,$I725-8)="","",INDEX('Fleet dates'!$D$9:$D$1008,$I725-8)))</x:f>
      </x:c>
      <x:c r="E725" s="51" t="str">
        <x:f>IF(717&gt;$H$4,"",IF(INDEX('Fleet dates'!$E$9:$E$1008,$I725-8)="","",INDEX('Fleet dates'!$E$9:$E$1008,$I725-8)))</x:f>
      </x:c>
      <x:c r="F725" s="51" t="str">
        <x:f>IF(717&gt;$H$4,"",IF(INDEX('Fleet dates'!$F$9:$F$1008,$I725-8)="","",INDEX('Fleet dates'!$F$9:$F$1008,$I725-8)))</x:f>
      </x:c>
      <x:c r="G725" s="50" t="str">
        <x:f>IF(717&gt;$H$4,"",IF(INDEX('Fleet dates'!$G$9:$G$1008,$I725-8)="","",INDEX('Fleet dates'!$G$9:$G$1008,$I725-8)))</x:f>
      </x:c>
      <x:c r="H725" s="50" t="str">
        <x:f>IF(717&gt;$H$4,"",IF(INDEX('Fleet dates'!$I$9:$I$1008,$I725-8)="","",INDEX('Fleet dates'!$I$9:$I$1008,$I725-8)))</x:f>
      </x:c>
      <x:c r="I725" t="str">
        <x:f>IF(717&gt;$H$4,"",MATCH(717,'Fleet dates'!$K$9:$K$1008,0)+8)</x:f>
      </x:c>
    </x:row>
    <x:row r="726" ht="36" customHeight="1">
      <x:c r="A726" s="50" t="str">
        <x:f>IF(718&gt;$H$4,"",IF(INDEX('Fleet dates'!$A$9:$A$1008,$I726-8)="","",INDEX('Fleet dates'!$A$9:$A$1008,$I726-8)))</x:f>
      </x:c>
      <x:c r="B726" s="50" t="str">
        <x:f>IF(718&gt;$H$4,"",IF(INDEX('Fleet dates'!$B$9:$B$1008,$I726-8)="","",INDEX('Fleet dates'!$B$9:$B$1008,$I726-8)))</x:f>
      </x:c>
      <x:c r="C726" s="51" t="str">
        <x:f>IF(718&gt;$H$4,"",IF(INDEX('Fleet dates'!$C$9:$C$1008,$I726-8)="","",INDEX('Fleet dates'!$C$9:$C$1008,$I726-8)))</x:f>
      </x:c>
      <x:c r="D726" s="51" t="str">
        <x:f>IF(718&gt;$H$4,"",IF(INDEX('Fleet dates'!$D$9:$D$1008,$I726-8)="","",INDEX('Fleet dates'!$D$9:$D$1008,$I726-8)))</x:f>
      </x:c>
      <x:c r="E726" s="51" t="str">
        <x:f>IF(718&gt;$H$4,"",IF(INDEX('Fleet dates'!$E$9:$E$1008,$I726-8)="","",INDEX('Fleet dates'!$E$9:$E$1008,$I726-8)))</x:f>
      </x:c>
      <x:c r="F726" s="51" t="str">
        <x:f>IF(718&gt;$H$4,"",IF(INDEX('Fleet dates'!$F$9:$F$1008,$I726-8)="","",INDEX('Fleet dates'!$F$9:$F$1008,$I726-8)))</x:f>
      </x:c>
      <x:c r="G726" s="50" t="str">
        <x:f>IF(718&gt;$H$4,"",IF(INDEX('Fleet dates'!$G$9:$G$1008,$I726-8)="","",INDEX('Fleet dates'!$G$9:$G$1008,$I726-8)))</x:f>
      </x:c>
      <x:c r="H726" s="50" t="str">
        <x:f>IF(718&gt;$H$4,"",IF(INDEX('Fleet dates'!$I$9:$I$1008,$I726-8)="","",INDEX('Fleet dates'!$I$9:$I$1008,$I726-8)))</x:f>
      </x:c>
      <x:c r="I726" t="str">
        <x:f>IF(718&gt;$H$4,"",MATCH(718,'Fleet dates'!$K$9:$K$1008,0)+8)</x:f>
      </x:c>
    </x:row>
    <x:row r="727" ht="36" customHeight="1">
      <x:c r="A727" s="50" t="str">
        <x:f>IF(719&gt;$H$4,"",IF(INDEX('Fleet dates'!$A$9:$A$1008,$I727-8)="","",INDEX('Fleet dates'!$A$9:$A$1008,$I727-8)))</x:f>
      </x:c>
      <x:c r="B727" s="50" t="str">
        <x:f>IF(719&gt;$H$4,"",IF(INDEX('Fleet dates'!$B$9:$B$1008,$I727-8)="","",INDEX('Fleet dates'!$B$9:$B$1008,$I727-8)))</x:f>
      </x:c>
      <x:c r="C727" s="51" t="str">
        <x:f>IF(719&gt;$H$4,"",IF(INDEX('Fleet dates'!$C$9:$C$1008,$I727-8)="","",INDEX('Fleet dates'!$C$9:$C$1008,$I727-8)))</x:f>
      </x:c>
      <x:c r="D727" s="51" t="str">
        <x:f>IF(719&gt;$H$4,"",IF(INDEX('Fleet dates'!$D$9:$D$1008,$I727-8)="","",INDEX('Fleet dates'!$D$9:$D$1008,$I727-8)))</x:f>
      </x:c>
      <x:c r="E727" s="51" t="str">
        <x:f>IF(719&gt;$H$4,"",IF(INDEX('Fleet dates'!$E$9:$E$1008,$I727-8)="","",INDEX('Fleet dates'!$E$9:$E$1008,$I727-8)))</x:f>
      </x:c>
      <x:c r="F727" s="51" t="str">
        <x:f>IF(719&gt;$H$4,"",IF(INDEX('Fleet dates'!$F$9:$F$1008,$I727-8)="","",INDEX('Fleet dates'!$F$9:$F$1008,$I727-8)))</x:f>
      </x:c>
      <x:c r="G727" s="50" t="str">
        <x:f>IF(719&gt;$H$4,"",IF(INDEX('Fleet dates'!$G$9:$G$1008,$I727-8)="","",INDEX('Fleet dates'!$G$9:$G$1008,$I727-8)))</x:f>
      </x:c>
      <x:c r="H727" s="50" t="str">
        <x:f>IF(719&gt;$H$4,"",IF(INDEX('Fleet dates'!$I$9:$I$1008,$I727-8)="","",INDEX('Fleet dates'!$I$9:$I$1008,$I727-8)))</x:f>
      </x:c>
      <x:c r="I727" t="str">
        <x:f>IF(719&gt;$H$4,"",MATCH(719,'Fleet dates'!$K$9:$K$1008,0)+8)</x:f>
      </x:c>
    </x:row>
    <x:row r="728" ht="36" customHeight="1">
      <x:c r="A728" s="50" t="str">
        <x:f>IF(720&gt;$H$4,"",IF(INDEX('Fleet dates'!$A$9:$A$1008,$I728-8)="","",INDEX('Fleet dates'!$A$9:$A$1008,$I728-8)))</x:f>
      </x:c>
      <x:c r="B728" s="50" t="str">
        <x:f>IF(720&gt;$H$4,"",IF(INDEX('Fleet dates'!$B$9:$B$1008,$I728-8)="","",INDEX('Fleet dates'!$B$9:$B$1008,$I728-8)))</x:f>
      </x:c>
      <x:c r="C728" s="51" t="str">
        <x:f>IF(720&gt;$H$4,"",IF(INDEX('Fleet dates'!$C$9:$C$1008,$I728-8)="","",INDEX('Fleet dates'!$C$9:$C$1008,$I728-8)))</x:f>
      </x:c>
      <x:c r="D728" s="51" t="str">
        <x:f>IF(720&gt;$H$4,"",IF(INDEX('Fleet dates'!$D$9:$D$1008,$I728-8)="","",INDEX('Fleet dates'!$D$9:$D$1008,$I728-8)))</x:f>
      </x:c>
      <x:c r="E728" s="51" t="str">
        <x:f>IF(720&gt;$H$4,"",IF(INDEX('Fleet dates'!$E$9:$E$1008,$I728-8)="","",INDEX('Fleet dates'!$E$9:$E$1008,$I728-8)))</x:f>
      </x:c>
      <x:c r="F728" s="51" t="str">
        <x:f>IF(720&gt;$H$4,"",IF(INDEX('Fleet dates'!$F$9:$F$1008,$I728-8)="","",INDEX('Fleet dates'!$F$9:$F$1008,$I728-8)))</x:f>
      </x:c>
      <x:c r="G728" s="50" t="str">
        <x:f>IF(720&gt;$H$4,"",IF(INDEX('Fleet dates'!$G$9:$G$1008,$I728-8)="","",INDEX('Fleet dates'!$G$9:$G$1008,$I728-8)))</x:f>
      </x:c>
      <x:c r="H728" s="50" t="str">
        <x:f>IF(720&gt;$H$4,"",IF(INDEX('Fleet dates'!$I$9:$I$1008,$I728-8)="","",INDEX('Fleet dates'!$I$9:$I$1008,$I728-8)))</x:f>
      </x:c>
      <x:c r="I728" t="str">
        <x:f>IF(720&gt;$H$4,"",MATCH(720,'Fleet dates'!$K$9:$K$1008,0)+8)</x:f>
      </x:c>
    </x:row>
    <x:row r="729" ht="36" customHeight="1">
      <x:c r="A729" s="50" t="str">
        <x:f>IF(721&gt;$H$4,"",IF(INDEX('Fleet dates'!$A$9:$A$1008,$I729-8)="","",INDEX('Fleet dates'!$A$9:$A$1008,$I729-8)))</x:f>
      </x:c>
      <x:c r="B729" s="50" t="str">
        <x:f>IF(721&gt;$H$4,"",IF(INDEX('Fleet dates'!$B$9:$B$1008,$I729-8)="","",INDEX('Fleet dates'!$B$9:$B$1008,$I729-8)))</x:f>
      </x:c>
      <x:c r="C729" s="51" t="str">
        <x:f>IF(721&gt;$H$4,"",IF(INDEX('Fleet dates'!$C$9:$C$1008,$I729-8)="","",INDEX('Fleet dates'!$C$9:$C$1008,$I729-8)))</x:f>
      </x:c>
      <x:c r="D729" s="51" t="str">
        <x:f>IF(721&gt;$H$4,"",IF(INDEX('Fleet dates'!$D$9:$D$1008,$I729-8)="","",INDEX('Fleet dates'!$D$9:$D$1008,$I729-8)))</x:f>
      </x:c>
      <x:c r="E729" s="51" t="str">
        <x:f>IF(721&gt;$H$4,"",IF(INDEX('Fleet dates'!$E$9:$E$1008,$I729-8)="","",INDEX('Fleet dates'!$E$9:$E$1008,$I729-8)))</x:f>
      </x:c>
      <x:c r="F729" s="51" t="str">
        <x:f>IF(721&gt;$H$4,"",IF(INDEX('Fleet dates'!$F$9:$F$1008,$I729-8)="","",INDEX('Fleet dates'!$F$9:$F$1008,$I729-8)))</x:f>
      </x:c>
      <x:c r="G729" s="50" t="str">
        <x:f>IF(721&gt;$H$4,"",IF(INDEX('Fleet dates'!$G$9:$G$1008,$I729-8)="","",INDEX('Fleet dates'!$G$9:$G$1008,$I729-8)))</x:f>
      </x:c>
      <x:c r="H729" s="50" t="str">
        <x:f>IF(721&gt;$H$4,"",IF(INDEX('Fleet dates'!$I$9:$I$1008,$I729-8)="","",INDEX('Fleet dates'!$I$9:$I$1008,$I729-8)))</x:f>
      </x:c>
      <x:c r="I729" t="str">
        <x:f>IF(721&gt;$H$4,"",MATCH(721,'Fleet dates'!$K$9:$K$1008,0)+8)</x:f>
      </x:c>
    </x:row>
    <x:row r="730" ht="36" customHeight="1">
      <x:c r="A730" s="50" t="str">
        <x:f>IF(722&gt;$H$4,"",IF(INDEX('Fleet dates'!$A$9:$A$1008,$I730-8)="","",INDEX('Fleet dates'!$A$9:$A$1008,$I730-8)))</x:f>
      </x:c>
      <x:c r="B730" s="50" t="str">
        <x:f>IF(722&gt;$H$4,"",IF(INDEX('Fleet dates'!$B$9:$B$1008,$I730-8)="","",INDEX('Fleet dates'!$B$9:$B$1008,$I730-8)))</x:f>
      </x:c>
      <x:c r="C730" s="51" t="str">
        <x:f>IF(722&gt;$H$4,"",IF(INDEX('Fleet dates'!$C$9:$C$1008,$I730-8)="","",INDEX('Fleet dates'!$C$9:$C$1008,$I730-8)))</x:f>
      </x:c>
      <x:c r="D730" s="51" t="str">
        <x:f>IF(722&gt;$H$4,"",IF(INDEX('Fleet dates'!$D$9:$D$1008,$I730-8)="","",INDEX('Fleet dates'!$D$9:$D$1008,$I730-8)))</x:f>
      </x:c>
      <x:c r="E730" s="51" t="str">
        <x:f>IF(722&gt;$H$4,"",IF(INDEX('Fleet dates'!$E$9:$E$1008,$I730-8)="","",INDEX('Fleet dates'!$E$9:$E$1008,$I730-8)))</x:f>
      </x:c>
      <x:c r="F730" s="51" t="str">
        <x:f>IF(722&gt;$H$4,"",IF(INDEX('Fleet dates'!$F$9:$F$1008,$I730-8)="","",INDEX('Fleet dates'!$F$9:$F$1008,$I730-8)))</x:f>
      </x:c>
      <x:c r="G730" s="50" t="str">
        <x:f>IF(722&gt;$H$4,"",IF(INDEX('Fleet dates'!$G$9:$G$1008,$I730-8)="","",INDEX('Fleet dates'!$G$9:$G$1008,$I730-8)))</x:f>
      </x:c>
      <x:c r="H730" s="50" t="str">
        <x:f>IF(722&gt;$H$4,"",IF(INDEX('Fleet dates'!$I$9:$I$1008,$I730-8)="","",INDEX('Fleet dates'!$I$9:$I$1008,$I730-8)))</x:f>
      </x:c>
      <x:c r="I730" t="str">
        <x:f>IF(722&gt;$H$4,"",MATCH(722,'Fleet dates'!$K$9:$K$1008,0)+8)</x:f>
      </x:c>
    </x:row>
    <x:row r="731" ht="36" customHeight="1">
      <x:c r="A731" s="50" t="str">
        <x:f>IF(723&gt;$H$4,"",IF(INDEX('Fleet dates'!$A$9:$A$1008,$I731-8)="","",INDEX('Fleet dates'!$A$9:$A$1008,$I731-8)))</x:f>
      </x:c>
      <x:c r="B731" s="50" t="str">
        <x:f>IF(723&gt;$H$4,"",IF(INDEX('Fleet dates'!$B$9:$B$1008,$I731-8)="","",INDEX('Fleet dates'!$B$9:$B$1008,$I731-8)))</x:f>
      </x:c>
      <x:c r="C731" s="51" t="str">
        <x:f>IF(723&gt;$H$4,"",IF(INDEX('Fleet dates'!$C$9:$C$1008,$I731-8)="","",INDEX('Fleet dates'!$C$9:$C$1008,$I731-8)))</x:f>
      </x:c>
      <x:c r="D731" s="51" t="str">
        <x:f>IF(723&gt;$H$4,"",IF(INDEX('Fleet dates'!$D$9:$D$1008,$I731-8)="","",INDEX('Fleet dates'!$D$9:$D$1008,$I731-8)))</x:f>
      </x:c>
      <x:c r="E731" s="51" t="str">
        <x:f>IF(723&gt;$H$4,"",IF(INDEX('Fleet dates'!$E$9:$E$1008,$I731-8)="","",INDEX('Fleet dates'!$E$9:$E$1008,$I731-8)))</x:f>
      </x:c>
      <x:c r="F731" s="51" t="str">
        <x:f>IF(723&gt;$H$4,"",IF(INDEX('Fleet dates'!$F$9:$F$1008,$I731-8)="","",INDEX('Fleet dates'!$F$9:$F$1008,$I731-8)))</x:f>
      </x:c>
      <x:c r="G731" s="50" t="str">
        <x:f>IF(723&gt;$H$4,"",IF(INDEX('Fleet dates'!$G$9:$G$1008,$I731-8)="","",INDEX('Fleet dates'!$G$9:$G$1008,$I731-8)))</x:f>
      </x:c>
      <x:c r="H731" s="50" t="str">
        <x:f>IF(723&gt;$H$4,"",IF(INDEX('Fleet dates'!$I$9:$I$1008,$I731-8)="","",INDEX('Fleet dates'!$I$9:$I$1008,$I731-8)))</x:f>
      </x:c>
      <x:c r="I731" t="str">
        <x:f>IF(723&gt;$H$4,"",MATCH(723,'Fleet dates'!$K$9:$K$1008,0)+8)</x:f>
      </x:c>
    </x:row>
    <x:row r="732" ht="36" customHeight="1">
      <x:c r="A732" s="50" t="str">
        <x:f>IF(724&gt;$H$4,"",IF(INDEX('Fleet dates'!$A$9:$A$1008,$I732-8)="","",INDEX('Fleet dates'!$A$9:$A$1008,$I732-8)))</x:f>
      </x:c>
      <x:c r="B732" s="50" t="str">
        <x:f>IF(724&gt;$H$4,"",IF(INDEX('Fleet dates'!$B$9:$B$1008,$I732-8)="","",INDEX('Fleet dates'!$B$9:$B$1008,$I732-8)))</x:f>
      </x:c>
      <x:c r="C732" s="51" t="str">
        <x:f>IF(724&gt;$H$4,"",IF(INDEX('Fleet dates'!$C$9:$C$1008,$I732-8)="","",INDEX('Fleet dates'!$C$9:$C$1008,$I732-8)))</x:f>
      </x:c>
      <x:c r="D732" s="51" t="str">
        <x:f>IF(724&gt;$H$4,"",IF(INDEX('Fleet dates'!$D$9:$D$1008,$I732-8)="","",INDEX('Fleet dates'!$D$9:$D$1008,$I732-8)))</x:f>
      </x:c>
      <x:c r="E732" s="51" t="str">
        <x:f>IF(724&gt;$H$4,"",IF(INDEX('Fleet dates'!$E$9:$E$1008,$I732-8)="","",INDEX('Fleet dates'!$E$9:$E$1008,$I732-8)))</x:f>
      </x:c>
      <x:c r="F732" s="51" t="str">
        <x:f>IF(724&gt;$H$4,"",IF(INDEX('Fleet dates'!$F$9:$F$1008,$I732-8)="","",INDEX('Fleet dates'!$F$9:$F$1008,$I732-8)))</x:f>
      </x:c>
      <x:c r="G732" s="50" t="str">
        <x:f>IF(724&gt;$H$4,"",IF(INDEX('Fleet dates'!$G$9:$G$1008,$I732-8)="","",INDEX('Fleet dates'!$G$9:$G$1008,$I732-8)))</x:f>
      </x:c>
      <x:c r="H732" s="50" t="str">
        <x:f>IF(724&gt;$H$4,"",IF(INDEX('Fleet dates'!$I$9:$I$1008,$I732-8)="","",INDEX('Fleet dates'!$I$9:$I$1008,$I732-8)))</x:f>
      </x:c>
      <x:c r="I732" t="str">
        <x:f>IF(724&gt;$H$4,"",MATCH(724,'Fleet dates'!$K$9:$K$1008,0)+8)</x:f>
      </x:c>
    </x:row>
    <x:row r="733" ht="36" customHeight="1">
      <x:c r="A733" s="50" t="str">
        <x:f>IF(725&gt;$H$4,"",IF(INDEX('Fleet dates'!$A$9:$A$1008,$I733-8)="","",INDEX('Fleet dates'!$A$9:$A$1008,$I733-8)))</x:f>
      </x:c>
      <x:c r="B733" s="50" t="str">
        <x:f>IF(725&gt;$H$4,"",IF(INDEX('Fleet dates'!$B$9:$B$1008,$I733-8)="","",INDEX('Fleet dates'!$B$9:$B$1008,$I733-8)))</x:f>
      </x:c>
      <x:c r="C733" s="51" t="str">
        <x:f>IF(725&gt;$H$4,"",IF(INDEX('Fleet dates'!$C$9:$C$1008,$I733-8)="","",INDEX('Fleet dates'!$C$9:$C$1008,$I733-8)))</x:f>
      </x:c>
      <x:c r="D733" s="51" t="str">
        <x:f>IF(725&gt;$H$4,"",IF(INDEX('Fleet dates'!$D$9:$D$1008,$I733-8)="","",INDEX('Fleet dates'!$D$9:$D$1008,$I733-8)))</x:f>
      </x:c>
      <x:c r="E733" s="51" t="str">
        <x:f>IF(725&gt;$H$4,"",IF(INDEX('Fleet dates'!$E$9:$E$1008,$I733-8)="","",INDEX('Fleet dates'!$E$9:$E$1008,$I733-8)))</x:f>
      </x:c>
      <x:c r="F733" s="51" t="str">
        <x:f>IF(725&gt;$H$4,"",IF(INDEX('Fleet dates'!$F$9:$F$1008,$I733-8)="","",INDEX('Fleet dates'!$F$9:$F$1008,$I733-8)))</x:f>
      </x:c>
      <x:c r="G733" s="50" t="str">
        <x:f>IF(725&gt;$H$4,"",IF(INDEX('Fleet dates'!$G$9:$G$1008,$I733-8)="","",INDEX('Fleet dates'!$G$9:$G$1008,$I733-8)))</x:f>
      </x:c>
      <x:c r="H733" s="50" t="str">
        <x:f>IF(725&gt;$H$4,"",IF(INDEX('Fleet dates'!$I$9:$I$1008,$I733-8)="","",INDEX('Fleet dates'!$I$9:$I$1008,$I733-8)))</x:f>
      </x:c>
      <x:c r="I733" t="str">
        <x:f>IF(725&gt;$H$4,"",MATCH(725,'Fleet dates'!$K$9:$K$1008,0)+8)</x:f>
      </x:c>
    </x:row>
    <x:row r="734" ht="36" customHeight="1">
      <x:c r="A734" s="50" t="str">
        <x:f>IF(726&gt;$H$4,"",IF(INDEX('Fleet dates'!$A$9:$A$1008,$I734-8)="","",INDEX('Fleet dates'!$A$9:$A$1008,$I734-8)))</x:f>
      </x:c>
      <x:c r="B734" s="50" t="str">
        <x:f>IF(726&gt;$H$4,"",IF(INDEX('Fleet dates'!$B$9:$B$1008,$I734-8)="","",INDEX('Fleet dates'!$B$9:$B$1008,$I734-8)))</x:f>
      </x:c>
      <x:c r="C734" s="51" t="str">
        <x:f>IF(726&gt;$H$4,"",IF(INDEX('Fleet dates'!$C$9:$C$1008,$I734-8)="","",INDEX('Fleet dates'!$C$9:$C$1008,$I734-8)))</x:f>
      </x:c>
      <x:c r="D734" s="51" t="str">
        <x:f>IF(726&gt;$H$4,"",IF(INDEX('Fleet dates'!$D$9:$D$1008,$I734-8)="","",INDEX('Fleet dates'!$D$9:$D$1008,$I734-8)))</x:f>
      </x:c>
      <x:c r="E734" s="51" t="str">
        <x:f>IF(726&gt;$H$4,"",IF(INDEX('Fleet dates'!$E$9:$E$1008,$I734-8)="","",INDEX('Fleet dates'!$E$9:$E$1008,$I734-8)))</x:f>
      </x:c>
      <x:c r="F734" s="51" t="str">
        <x:f>IF(726&gt;$H$4,"",IF(INDEX('Fleet dates'!$F$9:$F$1008,$I734-8)="","",INDEX('Fleet dates'!$F$9:$F$1008,$I734-8)))</x:f>
      </x:c>
      <x:c r="G734" s="50" t="str">
        <x:f>IF(726&gt;$H$4,"",IF(INDEX('Fleet dates'!$G$9:$G$1008,$I734-8)="","",INDEX('Fleet dates'!$G$9:$G$1008,$I734-8)))</x:f>
      </x:c>
      <x:c r="H734" s="50" t="str">
        <x:f>IF(726&gt;$H$4,"",IF(INDEX('Fleet dates'!$I$9:$I$1008,$I734-8)="","",INDEX('Fleet dates'!$I$9:$I$1008,$I734-8)))</x:f>
      </x:c>
      <x:c r="I734" t="str">
        <x:f>IF(726&gt;$H$4,"",MATCH(726,'Fleet dates'!$K$9:$K$1008,0)+8)</x:f>
      </x:c>
    </x:row>
    <x:row r="735" ht="36" customHeight="1">
      <x:c r="A735" s="50" t="str">
        <x:f>IF(727&gt;$H$4,"",IF(INDEX('Fleet dates'!$A$9:$A$1008,$I735-8)="","",INDEX('Fleet dates'!$A$9:$A$1008,$I735-8)))</x:f>
      </x:c>
      <x:c r="B735" s="50" t="str">
        <x:f>IF(727&gt;$H$4,"",IF(INDEX('Fleet dates'!$B$9:$B$1008,$I735-8)="","",INDEX('Fleet dates'!$B$9:$B$1008,$I735-8)))</x:f>
      </x:c>
      <x:c r="C735" s="51" t="str">
        <x:f>IF(727&gt;$H$4,"",IF(INDEX('Fleet dates'!$C$9:$C$1008,$I735-8)="","",INDEX('Fleet dates'!$C$9:$C$1008,$I735-8)))</x:f>
      </x:c>
      <x:c r="D735" s="51" t="str">
        <x:f>IF(727&gt;$H$4,"",IF(INDEX('Fleet dates'!$D$9:$D$1008,$I735-8)="","",INDEX('Fleet dates'!$D$9:$D$1008,$I735-8)))</x:f>
      </x:c>
      <x:c r="E735" s="51" t="str">
        <x:f>IF(727&gt;$H$4,"",IF(INDEX('Fleet dates'!$E$9:$E$1008,$I735-8)="","",INDEX('Fleet dates'!$E$9:$E$1008,$I735-8)))</x:f>
      </x:c>
      <x:c r="F735" s="51" t="str">
        <x:f>IF(727&gt;$H$4,"",IF(INDEX('Fleet dates'!$F$9:$F$1008,$I735-8)="","",INDEX('Fleet dates'!$F$9:$F$1008,$I735-8)))</x:f>
      </x:c>
      <x:c r="G735" s="50" t="str">
        <x:f>IF(727&gt;$H$4,"",IF(INDEX('Fleet dates'!$G$9:$G$1008,$I735-8)="","",INDEX('Fleet dates'!$G$9:$G$1008,$I735-8)))</x:f>
      </x:c>
      <x:c r="H735" s="50" t="str">
        <x:f>IF(727&gt;$H$4,"",IF(INDEX('Fleet dates'!$I$9:$I$1008,$I735-8)="","",INDEX('Fleet dates'!$I$9:$I$1008,$I735-8)))</x:f>
      </x:c>
      <x:c r="I735" t="str">
        <x:f>IF(727&gt;$H$4,"",MATCH(727,'Fleet dates'!$K$9:$K$1008,0)+8)</x:f>
      </x:c>
    </x:row>
    <x:row r="736" ht="36" customHeight="1">
      <x:c r="A736" s="50" t="str">
        <x:f>IF(728&gt;$H$4,"",IF(INDEX('Fleet dates'!$A$9:$A$1008,$I736-8)="","",INDEX('Fleet dates'!$A$9:$A$1008,$I736-8)))</x:f>
      </x:c>
      <x:c r="B736" s="50" t="str">
        <x:f>IF(728&gt;$H$4,"",IF(INDEX('Fleet dates'!$B$9:$B$1008,$I736-8)="","",INDEX('Fleet dates'!$B$9:$B$1008,$I736-8)))</x:f>
      </x:c>
      <x:c r="C736" s="51" t="str">
        <x:f>IF(728&gt;$H$4,"",IF(INDEX('Fleet dates'!$C$9:$C$1008,$I736-8)="","",INDEX('Fleet dates'!$C$9:$C$1008,$I736-8)))</x:f>
      </x:c>
      <x:c r="D736" s="51" t="str">
        <x:f>IF(728&gt;$H$4,"",IF(INDEX('Fleet dates'!$D$9:$D$1008,$I736-8)="","",INDEX('Fleet dates'!$D$9:$D$1008,$I736-8)))</x:f>
      </x:c>
      <x:c r="E736" s="51" t="str">
        <x:f>IF(728&gt;$H$4,"",IF(INDEX('Fleet dates'!$E$9:$E$1008,$I736-8)="","",INDEX('Fleet dates'!$E$9:$E$1008,$I736-8)))</x:f>
      </x:c>
      <x:c r="F736" s="51" t="str">
        <x:f>IF(728&gt;$H$4,"",IF(INDEX('Fleet dates'!$F$9:$F$1008,$I736-8)="","",INDEX('Fleet dates'!$F$9:$F$1008,$I736-8)))</x:f>
      </x:c>
      <x:c r="G736" s="50" t="str">
        <x:f>IF(728&gt;$H$4,"",IF(INDEX('Fleet dates'!$G$9:$G$1008,$I736-8)="","",INDEX('Fleet dates'!$G$9:$G$1008,$I736-8)))</x:f>
      </x:c>
      <x:c r="H736" s="50" t="str">
        <x:f>IF(728&gt;$H$4,"",IF(INDEX('Fleet dates'!$I$9:$I$1008,$I736-8)="","",INDEX('Fleet dates'!$I$9:$I$1008,$I736-8)))</x:f>
      </x:c>
      <x:c r="I736" t="str">
        <x:f>IF(728&gt;$H$4,"",MATCH(728,'Fleet dates'!$K$9:$K$1008,0)+8)</x:f>
      </x:c>
    </x:row>
    <x:row r="737" ht="36" customHeight="1">
      <x:c r="A737" s="50" t="str">
        <x:f>IF(729&gt;$H$4,"",IF(INDEX('Fleet dates'!$A$9:$A$1008,$I737-8)="","",INDEX('Fleet dates'!$A$9:$A$1008,$I737-8)))</x:f>
      </x:c>
      <x:c r="B737" s="50" t="str">
        <x:f>IF(729&gt;$H$4,"",IF(INDEX('Fleet dates'!$B$9:$B$1008,$I737-8)="","",INDEX('Fleet dates'!$B$9:$B$1008,$I737-8)))</x:f>
      </x:c>
      <x:c r="C737" s="51" t="str">
        <x:f>IF(729&gt;$H$4,"",IF(INDEX('Fleet dates'!$C$9:$C$1008,$I737-8)="","",INDEX('Fleet dates'!$C$9:$C$1008,$I737-8)))</x:f>
      </x:c>
      <x:c r="D737" s="51" t="str">
        <x:f>IF(729&gt;$H$4,"",IF(INDEX('Fleet dates'!$D$9:$D$1008,$I737-8)="","",INDEX('Fleet dates'!$D$9:$D$1008,$I737-8)))</x:f>
      </x:c>
      <x:c r="E737" s="51" t="str">
        <x:f>IF(729&gt;$H$4,"",IF(INDEX('Fleet dates'!$E$9:$E$1008,$I737-8)="","",INDEX('Fleet dates'!$E$9:$E$1008,$I737-8)))</x:f>
      </x:c>
      <x:c r="F737" s="51" t="str">
        <x:f>IF(729&gt;$H$4,"",IF(INDEX('Fleet dates'!$F$9:$F$1008,$I737-8)="","",INDEX('Fleet dates'!$F$9:$F$1008,$I737-8)))</x:f>
      </x:c>
      <x:c r="G737" s="50" t="str">
        <x:f>IF(729&gt;$H$4,"",IF(INDEX('Fleet dates'!$G$9:$G$1008,$I737-8)="","",INDEX('Fleet dates'!$G$9:$G$1008,$I737-8)))</x:f>
      </x:c>
      <x:c r="H737" s="50" t="str">
        <x:f>IF(729&gt;$H$4,"",IF(INDEX('Fleet dates'!$I$9:$I$1008,$I737-8)="","",INDEX('Fleet dates'!$I$9:$I$1008,$I737-8)))</x:f>
      </x:c>
      <x:c r="I737" t="str">
        <x:f>IF(729&gt;$H$4,"",MATCH(729,'Fleet dates'!$K$9:$K$1008,0)+8)</x:f>
      </x:c>
    </x:row>
    <x:row r="738" ht="36" customHeight="1">
      <x:c r="A738" s="50" t="str">
        <x:f>IF(730&gt;$H$4,"",IF(INDEX('Fleet dates'!$A$9:$A$1008,$I738-8)="","",INDEX('Fleet dates'!$A$9:$A$1008,$I738-8)))</x:f>
      </x:c>
      <x:c r="B738" s="50" t="str">
        <x:f>IF(730&gt;$H$4,"",IF(INDEX('Fleet dates'!$B$9:$B$1008,$I738-8)="","",INDEX('Fleet dates'!$B$9:$B$1008,$I738-8)))</x:f>
      </x:c>
      <x:c r="C738" s="51" t="str">
        <x:f>IF(730&gt;$H$4,"",IF(INDEX('Fleet dates'!$C$9:$C$1008,$I738-8)="","",INDEX('Fleet dates'!$C$9:$C$1008,$I738-8)))</x:f>
      </x:c>
      <x:c r="D738" s="51" t="str">
        <x:f>IF(730&gt;$H$4,"",IF(INDEX('Fleet dates'!$D$9:$D$1008,$I738-8)="","",INDEX('Fleet dates'!$D$9:$D$1008,$I738-8)))</x:f>
      </x:c>
      <x:c r="E738" s="51" t="str">
        <x:f>IF(730&gt;$H$4,"",IF(INDEX('Fleet dates'!$E$9:$E$1008,$I738-8)="","",INDEX('Fleet dates'!$E$9:$E$1008,$I738-8)))</x:f>
      </x:c>
      <x:c r="F738" s="51" t="str">
        <x:f>IF(730&gt;$H$4,"",IF(INDEX('Fleet dates'!$F$9:$F$1008,$I738-8)="","",INDEX('Fleet dates'!$F$9:$F$1008,$I738-8)))</x:f>
      </x:c>
      <x:c r="G738" s="50" t="str">
        <x:f>IF(730&gt;$H$4,"",IF(INDEX('Fleet dates'!$G$9:$G$1008,$I738-8)="","",INDEX('Fleet dates'!$G$9:$G$1008,$I738-8)))</x:f>
      </x:c>
      <x:c r="H738" s="50" t="str">
        <x:f>IF(730&gt;$H$4,"",IF(INDEX('Fleet dates'!$I$9:$I$1008,$I738-8)="","",INDEX('Fleet dates'!$I$9:$I$1008,$I738-8)))</x:f>
      </x:c>
      <x:c r="I738" t="str">
        <x:f>IF(730&gt;$H$4,"",MATCH(730,'Fleet dates'!$K$9:$K$1008,0)+8)</x:f>
      </x:c>
    </x:row>
    <x:row r="739" ht="36" customHeight="1">
      <x:c r="A739" s="50" t="str">
        <x:f>IF(731&gt;$H$4,"",IF(INDEX('Fleet dates'!$A$9:$A$1008,$I739-8)="","",INDEX('Fleet dates'!$A$9:$A$1008,$I739-8)))</x:f>
      </x:c>
      <x:c r="B739" s="50" t="str">
        <x:f>IF(731&gt;$H$4,"",IF(INDEX('Fleet dates'!$B$9:$B$1008,$I739-8)="","",INDEX('Fleet dates'!$B$9:$B$1008,$I739-8)))</x:f>
      </x:c>
      <x:c r="C739" s="51" t="str">
        <x:f>IF(731&gt;$H$4,"",IF(INDEX('Fleet dates'!$C$9:$C$1008,$I739-8)="","",INDEX('Fleet dates'!$C$9:$C$1008,$I739-8)))</x:f>
      </x:c>
      <x:c r="D739" s="51" t="str">
        <x:f>IF(731&gt;$H$4,"",IF(INDEX('Fleet dates'!$D$9:$D$1008,$I739-8)="","",INDEX('Fleet dates'!$D$9:$D$1008,$I739-8)))</x:f>
      </x:c>
      <x:c r="E739" s="51" t="str">
        <x:f>IF(731&gt;$H$4,"",IF(INDEX('Fleet dates'!$E$9:$E$1008,$I739-8)="","",INDEX('Fleet dates'!$E$9:$E$1008,$I739-8)))</x:f>
      </x:c>
      <x:c r="F739" s="51" t="str">
        <x:f>IF(731&gt;$H$4,"",IF(INDEX('Fleet dates'!$F$9:$F$1008,$I739-8)="","",INDEX('Fleet dates'!$F$9:$F$1008,$I739-8)))</x:f>
      </x:c>
      <x:c r="G739" s="50" t="str">
        <x:f>IF(731&gt;$H$4,"",IF(INDEX('Fleet dates'!$G$9:$G$1008,$I739-8)="","",INDEX('Fleet dates'!$G$9:$G$1008,$I739-8)))</x:f>
      </x:c>
      <x:c r="H739" s="50" t="str">
        <x:f>IF(731&gt;$H$4,"",IF(INDEX('Fleet dates'!$I$9:$I$1008,$I739-8)="","",INDEX('Fleet dates'!$I$9:$I$1008,$I739-8)))</x:f>
      </x:c>
      <x:c r="I739" t="str">
        <x:f>IF(731&gt;$H$4,"",MATCH(731,'Fleet dates'!$K$9:$K$1008,0)+8)</x:f>
      </x:c>
    </x:row>
    <x:row r="740" ht="36" customHeight="1">
      <x:c r="A740" s="50" t="str">
        <x:f>IF(732&gt;$H$4,"",IF(INDEX('Fleet dates'!$A$9:$A$1008,$I740-8)="","",INDEX('Fleet dates'!$A$9:$A$1008,$I740-8)))</x:f>
      </x:c>
      <x:c r="B740" s="50" t="str">
        <x:f>IF(732&gt;$H$4,"",IF(INDEX('Fleet dates'!$B$9:$B$1008,$I740-8)="","",INDEX('Fleet dates'!$B$9:$B$1008,$I740-8)))</x:f>
      </x:c>
      <x:c r="C740" s="51" t="str">
        <x:f>IF(732&gt;$H$4,"",IF(INDEX('Fleet dates'!$C$9:$C$1008,$I740-8)="","",INDEX('Fleet dates'!$C$9:$C$1008,$I740-8)))</x:f>
      </x:c>
      <x:c r="D740" s="51" t="str">
        <x:f>IF(732&gt;$H$4,"",IF(INDEX('Fleet dates'!$D$9:$D$1008,$I740-8)="","",INDEX('Fleet dates'!$D$9:$D$1008,$I740-8)))</x:f>
      </x:c>
      <x:c r="E740" s="51" t="str">
        <x:f>IF(732&gt;$H$4,"",IF(INDEX('Fleet dates'!$E$9:$E$1008,$I740-8)="","",INDEX('Fleet dates'!$E$9:$E$1008,$I740-8)))</x:f>
      </x:c>
      <x:c r="F740" s="51" t="str">
        <x:f>IF(732&gt;$H$4,"",IF(INDEX('Fleet dates'!$F$9:$F$1008,$I740-8)="","",INDEX('Fleet dates'!$F$9:$F$1008,$I740-8)))</x:f>
      </x:c>
      <x:c r="G740" s="50" t="str">
        <x:f>IF(732&gt;$H$4,"",IF(INDEX('Fleet dates'!$G$9:$G$1008,$I740-8)="","",INDEX('Fleet dates'!$G$9:$G$1008,$I740-8)))</x:f>
      </x:c>
      <x:c r="H740" s="50" t="str">
        <x:f>IF(732&gt;$H$4,"",IF(INDEX('Fleet dates'!$I$9:$I$1008,$I740-8)="","",INDEX('Fleet dates'!$I$9:$I$1008,$I740-8)))</x:f>
      </x:c>
      <x:c r="I740" t="str">
        <x:f>IF(732&gt;$H$4,"",MATCH(732,'Fleet dates'!$K$9:$K$1008,0)+8)</x:f>
      </x:c>
    </x:row>
    <x:row r="741" ht="36" customHeight="1">
      <x:c r="A741" s="50" t="str">
        <x:f>IF(733&gt;$H$4,"",IF(INDEX('Fleet dates'!$A$9:$A$1008,$I741-8)="","",INDEX('Fleet dates'!$A$9:$A$1008,$I741-8)))</x:f>
      </x:c>
      <x:c r="B741" s="50" t="str">
        <x:f>IF(733&gt;$H$4,"",IF(INDEX('Fleet dates'!$B$9:$B$1008,$I741-8)="","",INDEX('Fleet dates'!$B$9:$B$1008,$I741-8)))</x:f>
      </x:c>
      <x:c r="C741" s="51" t="str">
        <x:f>IF(733&gt;$H$4,"",IF(INDEX('Fleet dates'!$C$9:$C$1008,$I741-8)="","",INDEX('Fleet dates'!$C$9:$C$1008,$I741-8)))</x:f>
      </x:c>
      <x:c r="D741" s="51" t="str">
        <x:f>IF(733&gt;$H$4,"",IF(INDEX('Fleet dates'!$D$9:$D$1008,$I741-8)="","",INDEX('Fleet dates'!$D$9:$D$1008,$I741-8)))</x:f>
      </x:c>
      <x:c r="E741" s="51" t="str">
        <x:f>IF(733&gt;$H$4,"",IF(INDEX('Fleet dates'!$E$9:$E$1008,$I741-8)="","",INDEX('Fleet dates'!$E$9:$E$1008,$I741-8)))</x:f>
      </x:c>
      <x:c r="F741" s="51" t="str">
        <x:f>IF(733&gt;$H$4,"",IF(INDEX('Fleet dates'!$F$9:$F$1008,$I741-8)="","",INDEX('Fleet dates'!$F$9:$F$1008,$I741-8)))</x:f>
      </x:c>
      <x:c r="G741" s="50" t="str">
        <x:f>IF(733&gt;$H$4,"",IF(INDEX('Fleet dates'!$G$9:$G$1008,$I741-8)="","",INDEX('Fleet dates'!$G$9:$G$1008,$I741-8)))</x:f>
      </x:c>
      <x:c r="H741" s="50" t="str">
        <x:f>IF(733&gt;$H$4,"",IF(INDEX('Fleet dates'!$I$9:$I$1008,$I741-8)="","",INDEX('Fleet dates'!$I$9:$I$1008,$I741-8)))</x:f>
      </x:c>
      <x:c r="I741" t="str">
        <x:f>IF(733&gt;$H$4,"",MATCH(733,'Fleet dates'!$K$9:$K$1008,0)+8)</x:f>
      </x:c>
    </x:row>
    <x:row r="742" ht="36" customHeight="1">
      <x:c r="A742" s="50" t="str">
        <x:f>IF(734&gt;$H$4,"",IF(INDEX('Fleet dates'!$A$9:$A$1008,$I742-8)="","",INDEX('Fleet dates'!$A$9:$A$1008,$I742-8)))</x:f>
      </x:c>
      <x:c r="B742" s="50" t="str">
        <x:f>IF(734&gt;$H$4,"",IF(INDEX('Fleet dates'!$B$9:$B$1008,$I742-8)="","",INDEX('Fleet dates'!$B$9:$B$1008,$I742-8)))</x:f>
      </x:c>
      <x:c r="C742" s="51" t="str">
        <x:f>IF(734&gt;$H$4,"",IF(INDEX('Fleet dates'!$C$9:$C$1008,$I742-8)="","",INDEX('Fleet dates'!$C$9:$C$1008,$I742-8)))</x:f>
      </x:c>
      <x:c r="D742" s="51" t="str">
        <x:f>IF(734&gt;$H$4,"",IF(INDEX('Fleet dates'!$D$9:$D$1008,$I742-8)="","",INDEX('Fleet dates'!$D$9:$D$1008,$I742-8)))</x:f>
      </x:c>
      <x:c r="E742" s="51" t="str">
        <x:f>IF(734&gt;$H$4,"",IF(INDEX('Fleet dates'!$E$9:$E$1008,$I742-8)="","",INDEX('Fleet dates'!$E$9:$E$1008,$I742-8)))</x:f>
      </x:c>
      <x:c r="F742" s="51" t="str">
        <x:f>IF(734&gt;$H$4,"",IF(INDEX('Fleet dates'!$F$9:$F$1008,$I742-8)="","",INDEX('Fleet dates'!$F$9:$F$1008,$I742-8)))</x:f>
      </x:c>
      <x:c r="G742" s="50" t="str">
        <x:f>IF(734&gt;$H$4,"",IF(INDEX('Fleet dates'!$G$9:$G$1008,$I742-8)="","",INDEX('Fleet dates'!$G$9:$G$1008,$I742-8)))</x:f>
      </x:c>
      <x:c r="H742" s="50" t="str">
        <x:f>IF(734&gt;$H$4,"",IF(INDEX('Fleet dates'!$I$9:$I$1008,$I742-8)="","",INDEX('Fleet dates'!$I$9:$I$1008,$I742-8)))</x:f>
      </x:c>
      <x:c r="I742" t="str">
        <x:f>IF(734&gt;$H$4,"",MATCH(734,'Fleet dates'!$K$9:$K$1008,0)+8)</x:f>
      </x:c>
    </x:row>
    <x:row r="743" ht="36" customHeight="1">
      <x:c r="A743" s="50" t="str">
        <x:f>IF(735&gt;$H$4,"",IF(INDEX('Fleet dates'!$A$9:$A$1008,$I743-8)="","",INDEX('Fleet dates'!$A$9:$A$1008,$I743-8)))</x:f>
      </x:c>
      <x:c r="B743" s="50" t="str">
        <x:f>IF(735&gt;$H$4,"",IF(INDEX('Fleet dates'!$B$9:$B$1008,$I743-8)="","",INDEX('Fleet dates'!$B$9:$B$1008,$I743-8)))</x:f>
      </x:c>
      <x:c r="C743" s="51" t="str">
        <x:f>IF(735&gt;$H$4,"",IF(INDEX('Fleet dates'!$C$9:$C$1008,$I743-8)="","",INDEX('Fleet dates'!$C$9:$C$1008,$I743-8)))</x:f>
      </x:c>
      <x:c r="D743" s="51" t="str">
        <x:f>IF(735&gt;$H$4,"",IF(INDEX('Fleet dates'!$D$9:$D$1008,$I743-8)="","",INDEX('Fleet dates'!$D$9:$D$1008,$I743-8)))</x:f>
      </x:c>
      <x:c r="E743" s="51" t="str">
        <x:f>IF(735&gt;$H$4,"",IF(INDEX('Fleet dates'!$E$9:$E$1008,$I743-8)="","",INDEX('Fleet dates'!$E$9:$E$1008,$I743-8)))</x:f>
      </x:c>
      <x:c r="F743" s="51" t="str">
        <x:f>IF(735&gt;$H$4,"",IF(INDEX('Fleet dates'!$F$9:$F$1008,$I743-8)="","",INDEX('Fleet dates'!$F$9:$F$1008,$I743-8)))</x:f>
      </x:c>
      <x:c r="G743" s="50" t="str">
        <x:f>IF(735&gt;$H$4,"",IF(INDEX('Fleet dates'!$G$9:$G$1008,$I743-8)="","",INDEX('Fleet dates'!$G$9:$G$1008,$I743-8)))</x:f>
      </x:c>
      <x:c r="H743" s="50" t="str">
        <x:f>IF(735&gt;$H$4,"",IF(INDEX('Fleet dates'!$I$9:$I$1008,$I743-8)="","",INDEX('Fleet dates'!$I$9:$I$1008,$I743-8)))</x:f>
      </x:c>
      <x:c r="I743" t="str">
        <x:f>IF(735&gt;$H$4,"",MATCH(735,'Fleet dates'!$K$9:$K$1008,0)+8)</x:f>
      </x:c>
    </x:row>
    <x:row r="744" ht="36" customHeight="1">
      <x:c r="A744" s="50" t="str">
        <x:f>IF(736&gt;$H$4,"",IF(INDEX('Fleet dates'!$A$9:$A$1008,$I744-8)="","",INDEX('Fleet dates'!$A$9:$A$1008,$I744-8)))</x:f>
      </x:c>
      <x:c r="B744" s="50" t="str">
        <x:f>IF(736&gt;$H$4,"",IF(INDEX('Fleet dates'!$B$9:$B$1008,$I744-8)="","",INDEX('Fleet dates'!$B$9:$B$1008,$I744-8)))</x:f>
      </x:c>
      <x:c r="C744" s="51" t="str">
        <x:f>IF(736&gt;$H$4,"",IF(INDEX('Fleet dates'!$C$9:$C$1008,$I744-8)="","",INDEX('Fleet dates'!$C$9:$C$1008,$I744-8)))</x:f>
      </x:c>
      <x:c r="D744" s="51" t="str">
        <x:f>IF(736&gt;$H$4,"",IF(INDEX('Fleet dates'!$D$9:$D$1008,$I744-8)="","",INDEX('Fleet dates'!$D$9:$D$1008,$I744-8)))</x:f>
      </x:c>
      <x:c r="E744" s="51" t="str">
        <x:f>IF(736&gt;$H$4,"",IF(INDEX('Fleet dates'!$E$9:$E$1008,$I744-8)="","",INDEX('Fleet dates'!$E$9:$E$1008,$I744-8)))</x:f>
      </x:c>
      <x:c r="F744" s="51" t="str">
        <x:f>IF(736&gt;$H$4,"",IF(INDEX('Fleet dates'!$F$9:$F$1008,$I744-8)="","",INDEX('Fleet dates'!$F$9:$F$1008,$I744-8)))</x:f>
      </x:c>
      <x:c r="G744" s="50" t="str">
        <x:f>IF(736&gt;$H$4,"",IF(INDEX('Fleet dates'!$G$9:$G$1008,$I744-8)="","",INDEX('Fleet dates'!$G$9:$G$1008,$I744-8)))</x:f>
      </x:c>
      <x:c r="H744" s="50" t="str">
        <x:f>IF(736&gt;$H$4,"",IF(INDEX('Fleet dates'!$I$9:$I$1008,$I744-8)="","",INDEX('Fleet dates'!$I$9:$I$1008,$I744-8)))</x:f>
      </x:c>
      <x:c r="I744" t="str">
        <x:f>IF(736&gt;$H$4,"",MATCH(736,'Fleet dates'!$K$9:$K$1008,0)+8)</x:f>
      </x:c>
    </x:row>
    <x:row r="745" ht="36" customHeight="1">
      <x:c r="A745" s="50" t="str">
        <x:f>IF(737&gt;$H$4,"",IF(INDEX('Fleet dates'!$A$9:$A$1008,$I745-8)="","",INDEX('Fleet dates'!$A$9:$A$1008,$I745-8)))</x:f>
      </x:c>
      <x:c r="B745" s="50" t="str">
        <x:f>IF(737&gt;$H$4,"",IF(INDEX('Fleet dates'!$B$9:$B$1008,$I745-8)="","",INDEX('Fleet dates'!$B$9:$B$1008,$I745-8)))</x:f>
      </x:c>
      <x:c r="C745" s="51" t="str">
        <x:f>IF(737&gt;$H$4,"",IF(INDEX('Fleet dates'!$C$9:$C$1008,$I745-8)="","",INDEX('Fleet dates'!$C$9:$C$1008,$I745-8)))</x:f>
      </x:c>
      <x:c r="D745" s="51" t="str">
        <x:f>IF(737&gt;$H$4,"",IF(INDEX('Fleet dates'!$D$9:$D$1008,$I745-8)="","",INDEX('Fleet dates'!$D$9:$D$1008,$I745-8)))</x:f>
      </x:c>
      <x:c r="E745" s="51" t="str">
        <x:f>IF(737&gt;$H$4,"",IF(INDEX('Fleet dates'!$E$9:$E$1008,$I745-8)="","",INDEX('Fleet dates'!$E$9:$E$1008,$I745-8)))</x:f>
      </x:c>
      <x:c r="F745" s="51" t="str">
        <x:f>IF(737&gt;$H$4,"",IF(INDEX('Fleet dates'!$F$9:$F$1008,$I745-8)="","",INDEX('Fleet dates'!$F$9:$F$1008,$I745-8)))</x:f>
      </x:c>
      <x:c r="G745" s="50" t="str">
        <x:f>IF(737&gt;$H$4,"",IF(INDEX('Fleet dates'!$G$9:$G$1008,$I745-8)="","",INDEX('Fleet dates'!$G$9:$G$1008,$I745-8)))</x:f>
      </x:c>
      <x:c r="H745" s="50" t="str">
        <x:f>IF(737&gt;$H$4,"",IF(INDEX('Fleet dates'!$I$9:$I$1008,$I745-8)="","",INDEX('Fleet dates'!$I$9:$I$1008,$I745-8)))</x:f>
      </x:c>
      <x:c r="I745" t="str">
        <x:f>IF(737&gt;$H$4,"",MATCH(737,'Fleet dates'!$K$9:$K$1008,0)+8)</x:f>
      </x:c>
    </x:row>
    <x:row r="746" ht="36" customHeight="1">
      <x:c r="A746" s="50" t="str">
        <x:f>IF(738&gt;$H$4,"",IF(INDEX('Fleet dates'!$A$9:$A$1008,$I746-8)="","",INDEX('Fleet dates'!$A$9:$A$1008,$I746-8)))</x:f>
      </x:c>
      <x:c r="B746" s="50" t="str">
        <x:f>IF(738&gt;$H$4,"",IF(INDEX('Fleet dates'!$B$9:$B$1008,$I746-8)="","",INDEX('Fleet dates'!$B$9:$B$1008,$I746-8)))</x:f>
      </x:c>
      <x:c r="C746" s="51" t="str">
        <x:f>IF(738&gt;$H$4,"",IF(INDEX('Fleet dates'!$C$9:$C$1008,$I746-8)="","",INDEX('Fleet dates'!$C$9:$C$1008,$I746-8)))</x:f>
      </x:c>
      <x:c r="D746" s="51" t="str">
        <x:f>IF(738&gt;$H$4,"",IF(INDEX('Fleet dates'!$D$9:$D$1008,$I746-8)="","",INDEX('Fleet dates'!$D$9:$D$1008,$I746-8)))</x:f>
      </x:c>
      <x:c r="E746" s="51" t="str">
        <x:f>IF(738&gt;$H$4,"",IF(INDEX('Fleet dates'!$E$9:$E$1008,$I746-8)="","",INDEX('Fleet dates'!$E$9:$E$1008,$I746-8)))</x:f>
      </x:c>
      <x:c r="F746" s="51" t="str">
        <x:f>IF(738&gt;$H$4,"",IF(INDEX('Fleet dates'!$F$9:$F$1008,$I746-8)="","",INDEX('Fleet dates'!$F$9:$F$1008,$I746-8)))</x:f>
      </x:c>
      <x:c r="G746" s="50" t="str">
        <x:f>IF(738&gt;$H$4,"",IF(INDEX('Fleet dates'!$G$9:$G$1008,$I746-8)="","",INDEX('Fleet dates'!$G$9:$G$1008,$I746-8)))</x:f>
      </x:c>
      <x:c r="H746" s="50" t="str">
        <x:f>IF(738&gt;$H$4,"",IF(INDEX('Fleet dates'!$I$9:$I$1008,$I746-8)="","",INDEX('Fleet dates'!$I$9:$I$1008,$I746-8)))</x:f>
      </x:c>
      <x:c r="I746" t="str">
        <x:f>IF(738&gt;$H$4,"",MATCH(738,'Fleet dates'!$K$9:$K$1008,0)+8)</x:f>
      </x:c>
    </x:row>
    <x:row r="747" ht="36" customHeight="1">
      <x:c r="A747" s="50" t="str">
        <x:f>IF(739&gt;$H$4,"",IF(INDEX('Fleet dates'!$A$9:$A$1008,$I747-8)="","",INDEX('Fleet dates'!$A$9:$A$1008,$I747-8)))</x:f>
      </x:c>
      <x:c r="B747" s="50" t="str">
        <x:f>IF(739&gt;$H$4,"",IF(INDEX('Fleet dates'!$B$9:$B$1008,$I747-8)="","",INDEX('Fleet dates'!$B$9:$B$1008,$I747-8)))</x:f>
      </x:c>
      <x:c r="C747" s="51" t="str">
        <x:f>IF(739&gt;$H$4,"",IF(INDEX('Fleet dates'!$C$9:$C$1008,$I747-8)="","",INDEX('Fleet dates'!$C$9:$C$1008,$I747-8)))</x:f>
      </x:c>
      <x:c r="D747" s="51" t="str">
        <x:f>IF(739&gt;$H$4,"",IF(INDEX('Fleet dates'!$D$9:$D$1008,$I747-8)="","",INDEX('Fleet dates'!$D$9:$D$1008,$I747-8)))</x:f>
      </x:c>
      <x:c r="E747" s="51" t="str">
        <x:f>IF(739&gt;$H$4,"",IF(INDEX('Fleet dates'!$E$9:$E$1008,$I747-8)="","",INDEX('Fleet dates'!$E$9:$E$1008,$I747-8)))</x:f>
      </x:c>
      <x:c r="F747" s="51" t="str">
        <x:f>IF(739&gt;$H$4,"",IF(INDEX('Fleet dates'!$F$9:$F$1008,$I747-8)="","",INDEX('Fleet dates'!$F$9:$F$1008,$I747-8)))</x:f>
      </x:c>
      <x:c r="G747" s="50" t="str">
        <x:f>IF(739&gt;$H$4,"",IF(INDEX('Fleet dates'!$G$9:$G$1008,$I747-8)="","",INDEX('Fleet dates'!$G$9:$G$1008,$I747-8)))</x:f>
      </x:c>
      <x:c r="H747" s="50" t="str">
        <x:f>IF(739&gt;$H$4,"",IF(INDEX('Fleet dates'!$I$9:$I$1008,$I747-8)="","",INDEX('Fleet dates'!$I$9:$I$1008,$I747-8)))</x:f>
      </x:c>
      <x:c r="I747" t="str">
        <x:f>IF(739&gt;$H$4,"",MATCH(739,'Fleet dates'!$K$9:$K$1008,0)+8)</x:f>
      </x:c>
    </x:row>
    <x:row r="748" ht="36" customHeight="1">
      <x:c r="A748" s="50" t="str">
        <x:f>IF(740&gt;$H$4,"",IF(INDEX('Fleet dates'!$A$9:$A$1008,$I748-8)="","",INDEX('Fleet dates'!$A$9:$A$1008,$I748-8)))</x:f>
      </x:c>
      <x:c r="B748" s="50" t="str">
        <x:f>IF(740&gt;$H$4,"",IF(INDEX('Fleet dates'!$B$9:$B$1008,$I748-8)="","",INDEX('Fleet dates'!$B$9:$B$1008,$I748-8)))</x:f>
      </x:c>
      <x:c r="C748" s="51" t="str">
        <x:f>IF(740&gt;$H$4,"",IF(INDEX('Fleet dates'!$C$9:$C$1008,$I748-8)="","",INDEX('Fleet dates'!$C$9:$C$1008,$I748-8)))</x:f>
      </x:c>
      <x:c r="D748" s="51" t="str">
        <x:f>IF(740&gt;$H$4,"",IF(INDEX('Fleet dates'!$D$9:$D$1008,$I748-8)="","",INDEX('Fleet dates'!$D$9:$D$1008,$I748-8)))</x:f>
      </x:c>
      <x:c r="E748" s="51" t="str">
        <x:f>IF(740&gt;$H$4,"",IF(INDEX('Fleet dates'!$E$9:$E$1008,$I748-8)="","",INDEX('Fleet dates'!$E$9:$E$1008,$I748-8)))</x:f>
      </x:c>
      <x:c r="F748" s="51" t="str">
        <x:f>IF(740&gt;$H$4,"",IF(INDEX('Fleet dates'!$F$9:$F$1008,$I748-8)="","",INDEX('Fleet dates'!$F$9:$F$1008,$I748-8)))</x:f>
      </x:c>
      <x:c r="G748" s="50" t="str">
        <x:f>IF(740&gt;$H$4,"",IF(INDEX('Fleet dates'!$G$9:$G$1008,$I748-8)="","",INDEX('Fleet dates'!$G$9:$G$1008,$I748-8)))</x:f>
      </x:c>
      <x:c r="H748" s="50" t="str">
        <x:f>IF(740&gt;$H$4,"",IF(INDEX('Fleet dates'!$I$9:$I$1008,$I748-8)="","",INDEX('Fleet dates'!$I$9:$I$1008,$I748-8)))</x:f>
      </x:c>
      <x:c r="I748" t="str">
        <x:f>IF(740&gt;$H$4,"",MATCH(740,'Fleet dates'!$K$9:$K$1008,0)+8)</x:f>
      </x:c>
    </x:row>
    <x:row r="749" ht="36" customHeight="1">
      <x:c r="A749" s="50" t="str">
        <x:f>IF(741&gt;$H$4,"",IF(INDEX('Fleet dates'!$A$9:$A$1008,$I749-8)="","",INDEX('Fleet dates'!$A$9:$A$1008,$I749-8)))</x:f>
      </x:c>
      <x:c r="B749" s="50" t="str">
        <x:f>IF(741&gt;$H$4,"",IF(INDEX('Fleet dates'!$B$9:$B$1008,$I749-8)="","",INDEX('Fleet dates'!$B$9:$B$1008,$I749-8)))</x:f>
      </x:c>
      <x:c r="C749" s="51" t="str">
        <x:f>IF(741&gt;$H$4,"",IF(INDEX('Fleet dates'!$C$9:$C$1008,$I749-8)="","",INDEX('Fleet dates'!$C$9:$C$1008,$I749-8)))</x:f>
      </x:c>
      <x:c r="D749" s="51" t="str">
        <x:f>IF(741&gt;$H$4,"",IF(INDEX('Fleet dates'!$D$9:$D$1008,$I749-8)="","",INDEX('Fleet dates'!$D$9:$D$1008,$I749-8)))</x:f>
      </x:c>
      <x:c r="E749" s="51" t="str">
        <x:f>IF(741&gt;$H$4,"",IF(INDEX('Fleet dates'!$E$9:$E$1008,$I749-8)="","",INDEX('Fleet dates'!$E$9:$E$1008,$I749-8)))</x:f>
      </x:c>
      <x:c r="F749" s="51" t="str">
        <x:f>IF(741&gt;$H$4,"",IF(INDEX('Fleet dates'!$F$9:$F$1008,$I749-8)="","",INDEX('Fleet dates'!$F$9:$F$1008,$I749-8)))</x:f>
      </x:c>
      <x:c r="G749" s="50" t="str">
        <x:f>IF(741&gt;$H$4,"",IF(INDEX('Fleet dates'!$G$9:$G$1008,$I749-8)="","",INDEX('Fleet dates'!$G$9:$G$1008,$I749-8)))</x:f>
      </x:c>
      <x:c r="H749" s="50" t="str">
        <x:f>IF(741&gt;$H$4,"",IF(INDEX('Fleet dates'!$I$9:$I$1008,$I749-8)="","",INDEX('Fleet dates'!$I$9:$I$1008,$I749-8)))</x:f>
      </x:c>
      <x:c r="I749" t="str">
        <x:f>IF(741&gt;$H$4,"",MATCH(741,'Fleet dates'!$K$9:$K$1008,0)+8)</x:f>
      </x:c>
    </x:row>
    <x:row r="750" ht="36" customHeight="1">
      <x:c r="A750" s="50" t="str">
        <x:f>IF(742&gt;$H$4,"",IF(INDEX('Fleet dates'!$A$9:$A$1008,$I750-8)="","",INDEX('Fleet dates'!$A$9:$A$1008,$I750-8)))</x:f>
      </x:c>
      <x:c r="B750" s="50" t="str">
        <x:f>IF(742&gt;$H$4,"",IF(INDEX('Fleet dates'!$B$9:$B$1008,$I750-8)="","",INDEX('Fleet dates'!$B$9:$B$1008,$I750-8)))</x:f>
      </x:c>
      <x:c r="C750" s="51" t="str">
        <x:f>IF(742&gt;$H$4,"",IF(INDEX('Fleet dates'!$C$9:$C$1008,$I750-8)="","",INDEX('Fleet dates'!$C$9:$C$1008,$I750-8)))</x:f>
      </x:c>
      <x:c r="D750" s="51" t="str">
        <x:f>IF(742&gt;$H$4,"",IF(INDEX('Fleet dates'!$D$9:$D$1008,$I750-8)="","",INDEX('Fleet dates'!$D$9:$D$1008,$I750-8)))</x:f>
      </x:c>
      <x:c r="E750" s="51" t="str">
        <x:f>IF(742&gt;$H$4,"",IF(INDEX('Fleet dates'!$E$9:$E$1008,$I750-8)="","",INDEX('Fleet dates'!$E$9:$E$1008,$I750-8)))</x:f>
      </x:c>
      <x:c r="F750" s="51" t="str">
        <x:f>IF(742&gt;$H$4,"",IF(INDEX('Fleet dates'!$F$9:$F$1008,$I750-8)="","",INDEX('Fleet dates'!$F$9:$F$1008,$I750-8)))</x:f>
      </x:c>
      <x:c r="G750" s="50" t="str">
        <x:f>IF(742&gt;$H$4,"",IF(INDEX('Fleet dates'!$G$9:$G$1008,$I750-8)="","",INDEX('Fleet dates'!$G$9:$G$1008,$I750-8)))</x:f>
      </x:c>
      <x:c r="H750" s="50" t="str">
        <x:f>IF(742&gt;$H$4,"",IF(INDEX('Fleet dates'!$I$9:$I$1008,$I750-8)="","",INDEX('Fleet dates'!$I$9:$I$1008,$I750-8)))</x:f>
      </x:c>
      <x:c r="I750" t="str">
        <x:f>IF(742&gt;$H$4,"",MATCH(742,'Fleet dates'!$K$9:$K$1008,0)+8)</x:f>
      </x:c>
    </x:row>
    <x:row r="751" ht="36" customHeight="1">
      <x:c r="A751" s="50" t="str">
        <x:f>IF(743&gt;$H$4,"",IF(INDEX('Fleet dates'!$A$9:$A$1008,$I751-8)="","",INDEX('Fleet dates'!$A$9:$A$1008,$I751-8)))</x:f>
      </x:c>
      <x:c r="B751" s="50" t="str">
        <x:f>IF(743&gt;$H$4,"",IF(INDEX('Fleet dates'!$B$9:$B$1008,$I751-8)="","",INDEX('Fleet dates'!$B$9:$B$1008,$I751-8)))</x:f>
      </x:c>
      <x:c r="C751" s="51" t="str">
        <x:f>IF(743&gt;$H$4,"",IF(INDEX('Fleet dates'!$C$9:$C$1008,$I751-8)="","",INDEX('Fleet dates'!$C$9:$C$1008,$I751-8)))</x:f>
      </x:c>
      <x:c r="D751" s="51" t="str">
        <x:f>IF(743&gt;$H$4,"",IF(INDEX('Fleet dates'!$D$9:$D$1008,$I751-8)="","",INDEX('Fleet dates'!$D$9:$D$1008,$I751-8)))</x:f>
      </x:c>
      <x:c r="E751" s="51" t="str">
        <x:f>IF(743&gt;$H$4,"",IF(INDEX('Fleet dates'!$E$9:$E$1008,$I751-8)="","",INDEX('Fleet dates'!$E$9:$E$1008,$I751-8)))</x:f>
      </x:c>
      <x:c r="F751" s="51" t="str">
        <x:f>IF(743&gt;$H$4,"",IF(INDEX('Fleet dates'!$F$9:$F$1008,$I751-8)="","",INDEX('Fleet dates'!$F$9:$F$1008,$I751-8)))</x:f>
      </x:c>
      <x:c r="G751" s="50" t="str">
        <x:f>IF(743&gt;$H$4,"",IF(INDEX('Fleet dates'!$G$9:$G$1008,$I751-8)="","",INDEX('Fleet dates'!$G$9:$G$1008,$I751-8)))</x:f>
      </x:c>
      <x:c r="H751" s="50" t="str">
        <x:f>IF(743&gt;$H$4,"",IF(INDEX('Fleet dates'!$I$9:$I$1008,$I751-8)="","",INDEX('Fleet dates'!$I$9:$I$1008,$I751-8)))</x:f>
      </x:c>
      <x:c r="I751" t="str">
        <x:f>IF(743&gt;$H$4,"",MATCH(743,'Fleet dates'!$K$9:$K$1008,0)+8)</x:f>
      </x:c>
    </x:row>
    <x:row r="752" ht="36" customHeight="1">
      <x:c r="A752" s="50" t="str">
        <x:f>IF(744&gt;$H$4,"",IF(INDEX('Fleet dates'!$A$9:$A$1008,$I752-8)="","",INDEX('Fleet dates'!$A$9:$A$1008,$I752-8)))</x:f>
      </x:c>
      <x:c r="B752" s="50" t="str">
        <x:f>IF(744&gt;$H$4,"",IF(INDEX('Fleet dates'!$B$9:$B$1008,$I752-8)="","",INDEX('Fleet dates'!$B$9:$B$1008,$I752-8)))</x:f>
      </x:c>
      <x:c r="C752" s="51" t="str">
        <x:f>IF(744&gt;$H$4,"",IF(INDEX('Fleet dates'!$C$9:$C$1008,$I752-8)="","",INDEX('Fleet dates'!$C$9:$C$1008,$I752-8)))</x:f>
      </x:c>
      <x:c r="D752" s="51" t="str">
        <x:f>IF(744&gt;$H$4,"",IF(INDEX('Fleet dates'!$D$9:$D$1008,$I752-8)="","",INDEX('Fleet dates'!$D$9:$D$1008,$I752-8)))</x:f>
      </x:c>
      <x:c r="E752" s="51" t="str">
        <x:f>IF(744&gt;$H$4,"",IF(INDEX('Fleet dates'!$E$9:$E$1008,$I752-8)="","",INDEX('Fleet dates'!$E$9:$E$1008,$I752-8)))</x:f>
      </x:c>
      <x:c r="F752" s="51" t="str">
        <x:f>IF(744&gt;$H$4,"",IF(INDEX('Fleet dates'!$F$9:$F$1008,$I752-8)="","",INDEX('Fleet dates'!$F$9:$F$1008,$I752-8)))</x:f>
      </x:c>
      <x:c r="G752" s="50" t="str">
        <x:f>IF(744&gt;$H$4,"",IF(INDEX('Fleet dates'!$G$9:$G$1008,$I752-8)="","",INDEX('Fleet dates'!$G$9:$G$1008,$I752-8)))</x:f>
      </x:c>
      <x:c r="H752" s="50" t="str">
        <x:f>IF(744&gt;$H$4,"",IF(INDEX('Fleet dates'!$I$9:$I$1008,$I752-8)="","",INDEX('Fleet dates'!$I$9:$I$1008,$I752-8)))</x:f>
      </x:c>
      <x:c r="I752" t="str">
        <x:f>IF(744&gt;$H$4,"",MATCH(744,'Fleet dates'!$K$9:$K$1008,0)+8)</x:f>
      </x:c>
    </x:row>
    <x:row r="753" ht="36" customHeight="1">
      <x:c r="A753" s="50" t="str">
        <x:f>IF(745&gt;$H$4,"",IF(INDEX('Fleet dates'!$A$9:$A$1008,$I753-8)="","",INDEX('Fleet dates'!$A$9:$A$1008,$I753-8)))</x:f>
      </x:c>
      <x:c r="B753" s="50" t="str">
        <x:f>IF(745&gt;$H$4,"",IF(INDEX('Fleet dates'!$B$9:$B$1008,$I753-8)="","",INDEX('Fleet dates'!$B$9:$B$1008,$I753-8)))</x:f>
      </x:c>
      <x:c r="C753" s="51" t="str">
        <x:f>IF(745&gt;$H$4,"",IF(INDEX('Fleet dates'!$C$9:$C$1008,$I753-8)="","",INDEX('Fleet dates'!$C$9:$C$1008,$I753-8)))</x:f>
      </x:c>
      <x:c r="D753" s="51" t="str">
        <x:f>IF(745&gt;$H$4,"",IF(INDEX('Fleet dates'!$D$9:$D$1008,$I753-8)="","",INDEX('Fleet dates'!$D$9:$D$1008,$I753-8)))</x:f>
      </x:c>
      <x:c r="E753" s="51" t="str">
        <x:f>IF(745&gt;$H$4,"",IF(INDEX('Fleet dates'!$E$9:$E$1008,$I753-8)="","",INDEX('Fleet dates'!$E$9:$E$1008,$I753-8)))</x:f>
      </x:c>
      <x:c r="F753" s="51" t="str">
        <x:f>IF(745&gt;$H$4,"",IF(INDEX('Fleet dates'!$F$9:$F$1008,$I753-8)="","",INDEX('Fleet dates'!$F$9:$F$1008,$I753-8)))</x:f>
      </x:c>
      <x:c r="G753" s="50" t="str">
        <x:f>IF(745&gt;$H$4,"",IF(INDEX('Fleet dates'!$G$9:$G$1008,$I753-8)="","",INDEX('Fleet dates'!$G$9:$G$1008,$I753-8)))</x:f>
      </x:c>
      <x:c r="H753" s="50" t="str">
        <x:f>IF(745&gt;$H$4,"",IF(INDEX('Fleet dates'!$I$9:$I$1008,$I753-8)="","",INDEX('Fleet dates'!$I$9:$I$1008,$I753-8)))</x:f>
      </x:c>
      <x:c r="I753" t="str">
        <x:f>IF(745&gt;$H$4,"",MATCH(745,'Fleet dates'!$K$9:$K$1008,0)+8)</x:f>
      </x:c>
    </x:row>
    <x:row r="754" ht="36" customHeight="1">
      <x:c r="A754" s="50" t="str">
        <x:f>IF(746&gt;$H$4,"",IF(INDEX('Fleet dates'!$A$9:$A$1008,$I754-8)="","",INDEX('Fleet dates'!$A$9:$A$1008,$I754-8)))</x:f>
      </x:c>
      <x:c r="B754" s="50" t="str">
        <x:f>IF(746&gt;$H$4,"",IF(INDEX('Fleet dates'!$B$9:$B$1008,$I754-8)="","",INDEX('Fleet dates'!$B$9:$B$1008,$I754-8)))</x:f>
      </x:c>
      <x:c r="C754" s="51" t="str">
        <x:f>IF(746&gt;$H$4,"",IF(INDEX('Fleet dates'!$C$9:$C$1008,$I754-8)="","",INDEX('Fleet dates'!$C$9:$C$1008,$I754-8)))</x:f>
      </x:c>
      <x:c r="D754" s="51" t="str">
        <x:f>IF(746&gt;$H$4,"",IF(INDEX('Fleet dates'!$D$9:$D$1008,$I754-8)="","",INDEX('Fleet dates'!$D$9:$D$1008,$I754-8)))</x:f>
      </x:c>
      <x:c r="E754" s="51" t="str">
        <x:f>IF(746&gt;$H$4,"",IF(INDEX('Fleet dates'!$E$9:$E$1008,$I754-8)="","",INDEX('Fleet dates'!$E$9:$E$1008,$I754-8)))</x:f>
      </x:c>
      <x:c r="F754" s="51" t="str">
        <x:f>IF(746&gt;$H$4,"",IF(INDEX('Fleet dates'!$F$9:$F$1008,$I754-8)="","",INDEX('Fleet dates'!$F$9:$F$1008,$I754-8)))</x:f>
      </x:c>
      <x:c r="G754" s="50" t="str">
        <x:f>IF(746&gt;$H$4,"",IF(INDEX('Fleet dates'!$G$9:$G$1008,$I754-8)="","",INDEX('Fleet dates'!$G$9:$G$1008,$I754-8)))</x:f>
      </x:c>
      <x:c r="H754" s="50" t="str">
        <x:f>IF(746&gt;$H$4,"",IF(INDEX('Fleet dates'!$I$9:$I$1008,$I754-8)="","",INDEX('Fleet dates'!$I$9:$I$1008,$I754-8)))</x:f>
      </x:c>
      <x:c r="I754" t="str">
        <x:f>IF(746&gt;$H$4,"",MATCH(746,'Fleet dates'!$K$9:$K$1008,0)+8)</x:f>
      </x:c>
    </x:row>
    <x:row r="755" ht="36" customHeight="1">
      <x:c r="A755" s="50" t="str">
        <x:f>IF(747&gt;$H$4,"",IF(INDEX('Fleet dates'!$A$9:$A$1008,$I755-8)="","",INDEX('Fleet dates'!$A$9:$A$1008,$I755-8)))</x:f>
      </x:c>
      <x:c r="B755" s="50" t="str">
        <x:f>IF(747&gt;$H$4,"",IF(INDEX('Fleet dates'!$B$9:$B$1008,$I755-8)="","",INDEX('Fleet dates'!$B$9:$B$1008,$I755-8)))</x:f>
      </x:c>
      <x:c r="C755" s="51" t="str">
        <x:f>IF(747&gt;$H$4,"",IF(INDEX('Fleet dates'!$C$9:$C$1008,$I755-8)="","",INDEX('Fleet dates'!$C$9:$C$1008,$I755-8)))</x:f>
      </x:c>
      <x:c r="D755" s="51" t="str">
        <x:f>IF(747&gt;$H$4,"",IF(INDEX('Fleet dates'!$D$9:$D$1008,$I755-8)="","",INDEX('Fleet dates'!$D$9:$D$1008,$I755-8)))</x:f>
      </x:c>
      <x:c r="E755" s="51" t="str">
        <x:f>IF(747&gt;$H$4,"",IF(INDEX('Fleet dates'!$E$9:$E$1008,$I755-8)="","",INDEX('Fleet dates'!$E$9:$E$1008,$I755-8)))</x:f>
      </x:c>
      <x:c r="F755" s="51" t="str">
        <x:f>IF(747&gt;$H$4,"",IF(INDEX('Fleet dates'!$F$9:$F$1008,$I755-8)="","",INDEX('Fleet dates'!$F$9:$F$1008,$I755-8)))</x:f>
      </x:c>
      <x:c r="G755" s="50" t="str">
        <x:f>IF(747&gt;$H$4,"",IF(INDEX('Fleet dates'!$G$9:$G$1008,$I755-8)="","",INDEX('Fleet dates'!$G$9:$G$1008,$I755-8)))</x:f>
      </x:c>
      <x:c r="H755" s="50" t="str">
        <x:f>IF(747&gt;$H$4,"",IF(INDEX('Fleet dates'!$I$9:$I$1008,$I755-8)="","",INDEX('Fleet dates'!$I$9:$I$1008,$I755-8)))</x:f>
      </x:c>
      <x:c r="I755" t="str">
        <x:f>IF(747&gt;$H$4,"",MATCH(747,'Fleet dates'!$K$9:$K$1008,0)+8)</x:f>
      </x:c>
    </x:row>
    <x:row r="756" ht="36" customHeight="1">
      <x:c r="A756" s="50" t="str">
        <x:f>IF(748&gt;$H$4,"",IF(INDEX('Fleet dates'!$A$9:$A$1008,$I756-8)="","",INDEX('Fleet dates'!$A$9:$A$1008,$I756-8)))</x:f>
      </x:c>
      <x:c r="B756" s="50" t="str">
        <x:f>IF(748&gt;$H$4,"",IF(INDEX('Fleet dates'!$B$9:$B$1008,$I756-8)="","",INDEX('Fleet dates'!$B$9:$B$1008,$I756-8)))</x:f>
      </x:c>
      <x:c r="C756" s="51" t="str">
        <x:f>IF(748&gt;$H$4,"",IF(INDEX('Fleet dates'!$C$9:$C$1008,$I756-8)="","",INDEX('Fleet dates'!$C$9:$C$1008,$I756-8)))</x:f>
      </x:c>
      <x:c r="D756" s="51" t="str">
        <x:f>IF(748&gt;$H$4,"",IF(INDEX('Fleet dates'!$D$9:$D$1008,$I756-8)="","",INDEX('Fleet dates'!$D$9:$D$1008,$I756-8)))</x:f>
      </x:c>
      <x:c r="E756" s="51" t="str">
        <x:f>IF(748&gt;$H$4,"",IF(INDEX('Fleet dates'!$E$9:$E$1008,$I756-8)="","",INDEX('Fleet dates'!$E$9:$E$1008,$I756-8)))</x:f>
      </x:c>
      <x:c r="F756" s="51" t="str">
        <x:f>IF(748&gt;$H$4,"",IF(INDEX('Fleet dates'!$F$9:$F$1008,$I756-8)="","",INDEX('Fleet dates'!$F$9:$F$1008,$I756-8)))</x:f>
      </x:c>
      <x:c r="G756" s="50" t="str">
        <x:f>IF(748&gt;$H$4,"",IF(INDEX('Fleet dates'!$G$9:$G$1008,$I756-8)="","",INDEX('Fleet dates'!$G$9:$G$1008,$I756-8)))</x:f>
      </x:c>
      <x:c r="H756" s="50" t="str">
        <x:f>IF(748&gt;$H$4,"",IF(INDEX('Fleet dates'!$I$9:$I$1008,$I756-8)="","",INDEX('Fleet dates'!$I$9:$I$1008,$I756-8)))</x:f>
      </x:c>
      <x:c r="I756" t="str">
        <x:f>IF(748&gt;$H$4,"",MATCH(748,'Fleet dates'!$K$9:$K$1008,0)+8)</x:f>
      </x:c>
    </x:row>
    <x:row r="757" ht="36" customHeight="1">
      <x:c r="A757" s="50" t="str">
        <x:f>IF(749&gt;$H$4,"",IF(INDEX('Fleet dates'!$A$9:$A$1008,$I757-8)="","",INDEX('Fleet dates'!$A$9:$A$1008,$I757-8)))</x:f>
      </x:c>
      <x:c r="B757" s="50" t="str">
        <x:f>IF(749&gt;$H$4,"",IF(INDEX('Fleet dates'!$B$9:$B$1008,$I757-8)="","",INDEX('Fleet dates'!$B$9:$B$1008,$I757-8)))</x:f>
      </x:c>
      <x:c r="C757" s="51" t="str">
        <x:f>IF(749&gt;$H$4,"",IF(INDEX('Fleet dates'!$C$9:$C$1008,$I757-8)="","",INDEX('Fleet dates'!$C$9:$C$1008,$I757-8)))</x:f>
      </x:c>
      <x:c r="D757" s="51" t="str">
        <x:f>IF(749&gt;$H$4,"",IF(INDEX('Fleet dates'!$D$9:$D$1008,$I757-8)="","",INDEX('Fleet dates'!$D$9:$D$1008,$I757-8)))</x:f>
      </x:c>
      <x:c r="E757" s="51" t="str">
        <x:f>IF(749&gt;$H$4,"",IF(INDEX('Fleet dates'!$E$9:$E$1008,$I757-8)="","",INDEX('Fleet dates'!$E$9:$E$1008,$I757-8)))</x:f>
      </x:c>
      <x:c r="F757" s="51" t="str">
        <x:f>IF(749&gt;$H$4,"",IF(INDEX('Fleet dates'!$F$9:$F$1008,$I757-8)="","",INDEX('Fleet dates'!$F$9:$F$1008,$I757-8)))</x:f>
      </x:c>
      <x:c r="G757" s="50" t="str">
        <x:f>IF(749&gt;$H$4,"",IF(INDEX('Fleet dates'!$G$9:$G$1008,$I757-8)="","",INDEX('Fleet dates'!$G$9:$G$1008,$I757-8)))</x:f>
      </x:c>
      <x:c r="H757" s="50" t="str">
        <x:f>IF(749&gt;$H$4,"",IF(INDEX('Fleet dates'!$I$9:$I$1008,$I757-8)="","",INDEX('Fleet dates'!$I$9:$I$1008,$I757-8)))</x:f>
      </x:c>
      <x:c r="I757" t="str">
        <x:f>IF(749&gt;$H$4,"",MATCH(749,'Fleet dates'!$K$9:$K$1008,0)+8)</x:f>
      </x:c>
    </x:row>
    <x:row r="758" ht="36" customHeight="1">
      <x:c r="A758" s="50" t="str">
        <x:f>IF(750&gt;$H$4,"",IF(INDEX('Fleet dates'!$A$9:$A$1008,$I758-8)="","",INDEX('Fleet dates'!$A$9:$A$1008,$I758-8)))</x:f>
      </x:c>
      <x:c r="B758" s="50" t="str">
        <x:f>IF(750&gt;$H$4,"",IF(INDEX('Fleet dates'!$B$9:$B$1008,$I758-8)="","",INDEX('Fleet dates'!$B$9:$B$1008,$I758-8)))</x:f>
      </x:c>
      <x:c r="C758" s="51" t="str">
        <x:f>IF(750&gt;$H$4,"",IF(INDEX('Fleet dates'!$C$9:$C$1008,$I758-8)="","",INDEX('Fleet dates'!$C$9:$C$1008,$I758-8)))</x:f>
      </x:c>
      <x:c r="D758" s="51" t="str">
        <x:f>IF(750&gt;$H$4,"",IF(INDEX('Fleet dates'!$D$9:$D$1008,$I758-8)="","",INDEX('Fleet dates'!$D$9:$D$1008,$I758-8)))</x:f>
      </x:c>
      <x:c r="E758" s="51" t="str">
        <x:f>IF(750&gt;$H$4,"",IF(INDEX('Fleet dates'!$E$9:$E$1008,$I758-8)="","",INDEX('Fleet dates'!$E$9:$E$1008,$I758-8)))</x:f>
      </x:c>
      <x:c r="F758" s="51" t="str">
        <x:f>IF(750&gt;$H$4,"",IF(INDEX('Fleet dates'!$F$9:$F$1008,$I758-8)="","",INDEX('Fleet dates'!$F$9:$F$1008,$I758-8)))</x:f>
      </x:c>
      <x:c r="G758" s="50" t="str">
        <x:f>IF(750&gt;$H$4,"",IF(INDEX('Fleet dates'!$G$9:$G$1008,$I758-8)="","",INDEX('Fleet dates'!$G$9:$G$1008,$I758-8)))</x:f>
      </x:c>
      <x:c r="H758" s="50" t="str">
        <x:f>IF(750&gt;$H$4,"",IF(INDEX('Fleet dates'!$I$9:$I$1008,$I758-8)="","",INDEX('Fleet dates'!$I$9:$I$1008,$I758-8)))</x:f>
      </x:c>
      <x:c r="I758" t="str">
        <x:f>IF(750&gt;$H$4,"",MATCH(750,'Fleet dates'!$K$9:$K$1008,0)+8)</x:f>
      </x:c>
    </x:row>
    <x:row r="759" ht="36" customHeight="1">
      <x:c r="A759" s="50" t="str">
        <x:f>IF(751&gt;$H$4,"",IF(INDEX('Fleet dates'!$A$9:$A$1008,$I759-8)="","",INDEX('Fleet dates'!$A$9:$A$1008,$I759-8)))</x:f>
      </x:c>
      <x:c r="B759" s="50" t="str">
        <x:f>IF(751&gt;$H$4,"",IF(INDEX('Fleet dates'!$B$9:$B$1008,$I759-8)="","",INDEX('Fleet dates'!$B$9:$B$1008,$I759-8)))</x:f>
      </x:c>
      <x:c r="C759" s="51" t="str">
        <x:f>IF(751&gt;$H$4,"",IF(INDEX('Fleet dates'!$C$9:$C$1008,$I759-8)="","",INDEX('Fleet dates'!$C$9:$C$1008,$I759-8)))</x:f>
      </x:c>
      <x:c r="D759" s="51" t="str">
        <x:f>IF(751&gt;$H$4,"",IF(INDEX('Fleet dates'!$D$9:$D$1008,$I759-8)="","",INDEX('Fleet dates'!$D$9:$D$1008,$I759-8)))</x:f>
      </x:c>
      <x:c r="E759" s="51" t="str">
        <x:f>IF(751&gt;$H$4,"",IF(INDEX('Fleet dates'!$E$9:$E$1008,$I759-8)="","",INDEX('Fleet dates'!$E$9:$E$1008,$I759-8)))</x:f>
      </x:c>
      <x:c r="F759" s="51" t="str">
        <x:f>IF(751&gt;$H$4,"",IF(INDEX('Fleet dates'!$F$9:$F$1008,$I759-8)="","",INDEX('Fleet dates'!$F$9:$F$1008,$I759-8)))</x:f>
      </x:c>
      <x:c r="G759" s="50" t="str">
        <x:f>IF(751&gt;$H$4,"",IF(INDEX('Fleet dates'!$G$9:$G$1008,$I759-8)="","",INDEX('Fleet dates'!$G$9:$G$1008,$I759-8)))</x:f>
      </x:c>
      <x:c r="H759" s="50" t="str">
        <x:f>IF(751&gt;$H$4,"",IF(INDEX('Fleet dates'!$I$9:$I$1008,$I759-8)="","",INDEX('Fleet dates'!$I$9:$I$1008,$I759-8)))</x:f>
      </x:c>
      <x:c r="I759" t="str">
        <x:f>IF(751&gt;$H$4,"",MATCH(751,'Fleet dates'!$K$9:$K$1008,0)+8)</x:f>
      </x:c>
    </x:row>
    <x:row r="760" ht="36" customHeight="1">
      <x:c r="A760" s="50" t="str">
        <x:f>IF(752&gt;$H$4,"",IF(INDEX('Fleet dates'!$A$9:$A$1008,$I760-8)="","",INDEX('Fleet dates'!$A$9:$A$1008,$I760-8)))</x:f>
      </x:c>
      <x:c r="B760" s="50" t="str">
        <x:f>IF(752&gt;$H$4,"",IF(INDEX('Fleet dates'!$B$9:$B$1008,$I760-8)="","",INDEX('Fleet dates'!$B$9:$B$1008,$I760-8)))</x:f>
      </x:c>
      <x:c r="C760" s="51" t="str">
        <x:f>IF(752&gt;$H$4,"",IF(INDEX('Fleet dates'!$C$9:$C$1008,$I760-8)="","",INDEX('Fleet dates'!$C$9:$C$1008,$I760-8)))</x:f>
      </x:c>
      <x:c r="D760" s="51" t="str">
        <x:f>IF(752&gt;$H$4,"",IF(INDEX('Fleet dates'!$D$9:$D$1008,$I760-8)="","",INDEX('Fleet dates'!$D$9:$D$1008,$I760-8)))</x:f>
      </x:c>
      <x:c r="E760" s="51" t="str">
        <x:f>IF(752&gt;$H$4,"",IF(INDEX('Fleet dates'!$E$9:$E$1008,$I760-8)="","",INDEX('Fleet dates'!$E$9:$E$1008,$I760-8)))</x:f>
      </x:c>
      <x:c r="F760" s="51" t="str">
        <x:f>IF(752&gt;$H$4,"",IF(INDEX('Fleet dates'!$F$9:$F$1008,$I760-8)="","",INDEX('Fleet dates'!$F$9:$F$1008,$I760-8)))</x:f>
      </x:c>
      <x:c r="G760" s="50" t="str">
        <x:f>IF(752&gt;$H$4,"",IF(INDEX('Fleet dates'!$G$9:$G$1008,$I760-8)="","",INDEX('Fleet dates'!$G$9:$G$1008,$I760-8)))</x:f>
      </x:c>
      <x:c r="H760" s="50" t="str">
        <x:f>IF(752&gt;$H$4,"",IF(INDEX('Fleet dates'!$I$9:$I$1008,$I760-8)="","",INDEX('Fleet dates'!$I$9:$I$1008,$I760-8)))</x:f>
      </x:c>
      <x:c r="I760" t="str">
        <x:f>IF(752&gt;$H$4,"",MATCH(752,'Fleet dates'!$K$9:$K$1008,0)+8)</x:f>
      </x:c>
    </x:row>
    <x:row r="761" ht="36" customHeight="1">
      <x:c r="A761" s="50" t="str">
        <x:f>IF(753&gt;$H$4,"",IF(INDEX('Fleet dates'!$A$9:$A$1008,$I761-8)="","",INDEX('Fleet dates'!$A$9:$A$1008,$I761-8)))</x:f>
      </x:c>
      <x:c r="B761" s="50" t="str">
        <x:f>IF(753&gt;$H$4,"",IF(INDEX('Fleet dates'!$B$9:$B$1008,$I761-8)="","",INDEX('Fleet dates'!$B$9:$B$1008,$I761-8)))</x:f>
      </x:c>
      <x:c r="C761" s="51" t="str">
        <x:f>IF(753&gt;$H$4,"",IF(INDEX('Fleet dates'!$C$9:$C$1008,$I761-8)="","",INDEX('Fleet dates'!$C$9:$C$1008,$I761-8)))</x:f>
      </x:c>
      <x:c r="D761" s="51" t="str">
        <x:f>IF(753&gt;$H$4,"",IF(INDEX('Fleet dates'!$D$9:$D$1008,$I761-8)="","",INDEX('Fleet dates'!$D$9:$D$1008,$I761-8)))</x:f>
      </x:c>
      <x:c r="E761" s="51" t="str">
        <x:f>IF(753&gt;$H$4,"",IF(INDEX('Fleet dates'!$E$9:$E$1008,$I761-8)="","",INDEX('Fleet dates'!$E$9:$E$1008,$I761-8)))</x:f>
      </x:c>
      <x:c r="F761" s="51" t="str">
        <x:f>IF(753&gt;$H$4,"",IF(INDEX('Fleet dates'!$F$9:$F$1008,$I761-8)="","",INDEX('Fleet dates'!$F$9:$F$1008,$I761-8)))</x:f>
      </x:c>
      <x:c r="G761" s="50" t="str">
        <x:f>IF(753&gt;$H$4,"",IF(INDEX('Fleet dates'!$G$9:$G$1008,$I761-8)="","",INDEX('Fleet dates'!$G$9:$G$1008,$I761-8)))</x:f>
      </x:c>
      <x:c r="H761" s="50" t="str">
        <x:f>IF(753&gt;$H$4,"",IF(INDEX('Fleet dates'!$I$9:$I$1008,$I761-8)="","",INDEX('Fleet dates'!$I$9:$I$1008,$I761-8)))</x:f>
      </x:c>
      <x:c r="I761" t="str">
        <x:f>IF(753&gt;$H$4,"",MATCH(753,'Fleet dates'!$K$9:$K$1008,0)+8)</x:f>
      </x:c>
    </x:row>
    <x:row r="762" ht="36" customHeight="1">
      <x:c r="A762" s="50" t="str">
        <x:f>IF(754&gt;$H$4,"",IF(INDEX('Fleet dates'!$A$9:$A$1008,$I762-8)="","",INDEX('Fleet dates'!$A$9:$A$1008,$I762-8)))</x:f>
      </x:c>
      <x:c r="B762" s="50" t="str">
        <x:f>IF(754&gt;$H$4,"",IF(INDEX('Fleet dates'!$B$9:$B$1008,$I762-8)="","",INDEX('Fleet dates'!$B$9:$B$1008,$I762-8)))</x:f>
      </x:c>
      <x:c r="C762" s="51" t="str">
        <x:f>IF(754&gt;$H$4,"",IF(INDEX('Fleet dates'!$C$9:$C$1008,$I762-8)="","",INDEX('Fleet dates'!$C$9:$C$1008,$I762-8)))</x:f>
      </x:c>
      <x:c r="D762" s="51" t="str">
        <x:f>IF(754&gt;$H$4,"",IF(INDEX('Fleet dates'!$D$9:$D$1008,$I762-8)="","",INDEX('Fleet dates'!$D$9:$D$1008,$I762-8)))</x:f>
      </x:c>
      <x:c r="E762" s="51" t="str">
        <x:f>IF(754&gt;$H$4,"",IF(INDEX('Fleet dates'!$E$9:$E$1008,$I762-8)="","",INDEX('Fleet dates'!$E$9:$E$1008,$I762-8)))</x:f>
      </x:c>
      <x:c r="F762" s="51" t="str">
        <x:f>IF(754&gt;$H$4,"",IF(INDEX('Fleet dates'!$F$9:$F$1008,$I762-8)="","",INDEX('Fleet dates'!$F$9:$F$1008,$I762-8)))</x:f>
      </x:c>
      <x:c r="G762" s="50" t="str">
        <x:f>IF(754&gt;$H$4,"",IF(INDEX('Fleet dates'!$G$9:$G$1008,$I762-8)="","",INDEX('Fleet dates'!$G$9:$G$1008,$I762-8)))</x:f>
      </x:c>
      <x:c r="H762" s="50" t="str">
        <x:f>IF(754&gt;$H$4,"",IF(INDEX('Fleet dates'!$I$9:$I$1008,$I762-8)="","",INDEX('Fleet dates'!$I$9:$I$1008,$I762-8)))</x:f>
      </x:c>
      <x:c r="I762" t="str">
        <x:f>IF(754&gt;$H$4,"",MATCH(754,'Fleet dates'!$K$9:$K$1008,0)+8)</x:f>
      </x:c>
    </x:row>
    <x:row r="763" ht="36" customHeight="1">
      <x:c r="A763" s="50" t="str">
        <x:f>IF(755&gt;$H$4,"",IF(INDEX('Fleet dates'!$A$9:$A$1008,$I763-8)="","",INDEX('Fleet dates'!$A$9:$A$1008,$I763-8)))</x:f>
      </x:c>
      <x:c r="B763" s="50" t="str">
        <x:f>IF(755&gt;$H$4,"",IF(INDEX('Fleet dates'!$B$9:$B$1008,$I763-8)="","",INDEX('Fleet dates'!$B$9:$B$1008,$I763-8)))</x:f>
      </x:c>
      <x:c r="C763" s="51" t="str">
        <x:f>IF(755&gt;$H$4,"",IF(INDEX('Fleet dates'!$C$9:$C$1008,$I763-8)="","",INDEX('Fleet dates'!$C$9:$C$1008,$I763-8)))</x:f>
      </x:c>
      <x:c r="D763" s="51" t="str">
        <x:f>IF(755&gt;$H$4,"",IF(INDEX('Fleet dates'!$D$9:$D$1008,$I763-8)="","",INDEX('Fleet dates'!$D$9:$D$1008,$I763-8)))</x:f>
      </x:c>
      <x:c r="E763" s="51" t="str">
        <x:f>IF(755&gt;$H$4,"",IF(INDEX('Fleet dates'!$E$9:$E$1008,$I763-8)="","",INDEX('Fleet dates'!$E$9:$E$1008,$I763-8)))</x:f>
      </x:c>
      <x:c r="F763" s="51" t="str">
        <x:f>IF(755&gt;$H$4,"",IF(INDEX('Fleet dates'!$F$9:$F$1008,$I763-8)="","",INDEX('Fleet dates'!$F$9:$F$1008,$I763-8)))</x:f>
      </x:c>
      <x:c r="G763" s="50" t="str">
        <x:f>IF(755&gt;$H$4,"",IF(INDEX('Fleet dates'!$G$9:$G$1008,$I763-8)="","",INDEX('Fleet dates'!$G$9:$G$1008,$I763-8)))</x:f>
      </x:c>
      <x:c r="H763" s="50" t="str">
        <x:f>IF(755&gt;$H$4,"",IF(INDEX('Fleet dates'!$I$9:$I$1008,$I763-8)="","",INDEX('Fleet dates'!$I$9:$I$1008,$I763-8)))</x:f>
      </x:c>
      <x:c r="I763" t="str">
        <x:f>IF(755&gt;$H$4,"",MATCH(755,'Fleet dates'!$K$9:$K$1008,0)+8)</x:f>
      </x:c>
    </x:row>
    <x:row r="764" ht="36" customHeight="1">
      <x:c r="A764" s="50" t="str">
        <x:f>IF(756&gt;$H$4,"",IF(INDEX('Fleet dates'!$A$9:$A$1008,$I764-8)="","",INDEX('Fleet dates'!$A$9:$A$1008,$I764-8)))</x:f>
      </x:c>
      <x:c r="B764" s="50" t="str">
        <x:f>IF(756&gt;$H$4,"",IF(INDEX('Fleet dates'!$B$9:$B$1008,$I764-8)="","",INDEX('Fleet dates'!$B$9:$B$1008,$I764-8)))</x:f>
      </x:c>
      <x:c r="C764" s="51" t="str">
        <x:f>IF(756&gt;$H$4,"",IF(INDEX('Fleet dates'!$C$9:$C$1008,$I764-8)="","",INDEX('Fleet dates'!$C$9:$C$1008,$I764-8)))</x:f>
      </x:c>
      <x:c r="D764" s="51" t="str">
        <x:f>IF(756&gt;$H$4,"",IF(INDEX('Fleet dates'!$D$9:$D$1008,$I764-8)="","",INDEX('Fleet dates'!$D$9:$D$1008,$I764-8)))</x:f>
      </x:c>
      <x:c r="E764" s="51" t="str">
        <x:f>IF(756&gt;$H$4,"",IF(INDEX('Fleet dates'!$E$9:$E$1008,$I764-8)="","",INDEX('Fleet dates'!$E$9:$E$1008,$I764-8)))</x:f>
      </x:c>
      <x:c r="F764" s="51" t="str">
        <x:f>IF(756&gt;$H$4,"",IF(INDEX('Fleet dates'!$F$9:$F$1008,$I764-8)="","",INDEX('Fleet dates'!$F$9:$F$1008,$I764-8)))</x:f>
      </x:c>
      <x:c r="G764" s="50" t="str">
        <x:f>IF(756&gt;$H$4,"",IF(INDEX('Fleet dates'!$G$9:$G$1008,$I764-8)="","",INDEX('Fleet dates'!$G$9:$G$1008,$I764-8)))</x:f>
      </x:c>
      <x:c r="H764" s="50" t="str">
        <x:f>IF(756&gt;$H$4,"",IF(INDEX('Fleet dates'!$I$9:$I$1008,$I764-8)="","",INDEX('Fleet dates'!$I$9:$I$1008,$I764-8)))</x:f>
      </x:c>
      <x:c r="I764" t="str">
        <x:f>IF(756&gt;$H$4,"",MATCH(756,'Fleet dates'!$K$9:$K$1008,0)+8)</x:f>
      </x:c>
    </x:row>
    <x:row r="765" ht="36" customHeight="1">
      <x:c r="A765" s="50" t="str">
        <x:f>IF(757&gt;$H$4,"",IF(INDEX('Fleet dates'!$A$9:$A$1008,$I765-8)="","",INDEX('Fleet dates'!$A$9:$A$1008,$I765-8)))</x:f>
      </x:c>
      <x:c r="B765" s="50" t="str">
        <x:f>IF(757&gt;$H$4,"",IF(INDEX('Fleet dates'!$B$9:$B$1008,$I765-8)="","",INDEX('Fleet dates'!$B$9:$B$1008,$I765-8)))</x:f>
      </x:c>
      <x:c r="C765" s="51" t="str">
        <x:f>IF(757&gt;$H$4,"",IF(INDEX('Fleet dates'!$C$9:$C$1008,$I765-8)="","",INDEX('Fleet dates'!$C$9:$C$1008,$I765-8)))</x:f>
      </x:c>
      <x:c r="D765" s="51" t="str">
        <x:f>IF(757&gt;$H$4,"",IF(INDEX('Fleet dates'!$D$9:$D$1008,$I765-8)="","",INDEX('Fleet dates'!$D$9:$D$1008,$I765-8)))</x:f>
      </x:c>
      <x:c r="E765" s="51" t="str">
        <x:f>IF(757&gt;$H$4,"",IF(INDEX('Fleet dates'!$E$9:$E$1008,$I765-8)="","",INDEX('Fleet dates'!$E$9:$E$1008,$I765-8)))</x:f>
      </x:c>
      <x:c r="F765" s="51" t="str">
        <x:f>IF(757&gt;$H$4,"",IF(INDEX('Fleet dates'!$F$9:$F$1008,$I765-8)="","",INDEX('Fleet dates'!$F$9:$F$1008,$I765-8)))</x:f>
      </x:c>
      <x:c r="G765" s="50" t="str">
        <x:f>IF(757&gt;$H$4,"",IF(INDEX('Fleet dates'!$G$9:$G$1008,$I765-8)="","",INDEX('Fleet dates'!$G$9:$G$1008,$I765-8)))</x:f>
      </x:c>
      <x:c r="H765" s="50" t="str">
        <x:f>IF(757&gt;$H$4,"",IF(INDEX('Fleet dates'!$I$9:$I$1008,$I765-8)="","",INDEX('Fleet dates'!$I$9:$I$1008,$I765-8)))</x:f>
      </x:c>
      <x:c r="I765" t="str">
        <x:f>IF(757&gt;$H$4,"",MATCH(757,'Fleet dates'!$K$9:$K$1008,0)+8)</x:f>
      </x:c>
    </x:row>
    <x:row r="766" ht="36" customHeight="1">
      <x:c r="A766" s="50" t="str">
        <x:f>IF(758&gt;$H$4,"",IF(INDEX('Fleet dates'!$A$9:$A$1008,$I766-8)="","",INDEX('Fleet dates'!$A$9:$A$1008,$I766-8)))</x:f>
      </x:c>
      <x:c r="B766" s="50" t="str">
        <x:f>IF(758&gt;$H$4,"",IF(INDEX('Fleet dates'!$B$9:$B$1008,$I766-8)="","",INDEX('Fleet dates'!$B$9:$B$1008,$I766-8)))</x:f>
      </x:c>
      <x:c r="C766" s="51" t="str">
        <x:f>IF(758&gt;$H$4,"",IF(INDEX('Fleet dates'!$C$9:$C$1008,$I766-8)="","",INDEX('Fleet dates'!$C$9:$C$1008,$I766-8)))</x:f>
      </x:c>
      <x:c r="D766" s="51" t="str">
        <x:f>IF(758&gt;$H$4,"",IF(INDEX('Fleet dates'!$D$9:$D$1008,$I766-8)="","",INDEX('Fleet dates'!$D$9:$D$1008,$I766-8)))</x:f>
      </x:c>
      <x:c r="E766" s="51" t="str">
        <x:f>IF(758&gt;$H$4,"",IF(INDEX('Fleet dates'!$E$9:$E$1008,$I766-8)="","",INDEX('Fleet dates'!$E$9:$E$1008,$I766-8)))</x:f>
      </x:c>
      <x:c r="F766" s="51" t="str">
        <x:f>IF(758&gt;$H$4,"",IF(INDEX('Fleet dates'!$F$9:$F$1008,$I766-8)="","",INDEX('Fleet dates'!$F$9:$F$1008,$I766-8)))</x:f>
      </x:c>
      <x:c r="G766" s="50" t="str">
        <x:f>IF(758&gt;$H$4,"",IF(INDEX('Fleet dates'!$G$9:$G$1008,$I766-8)="","",INDEX('Fleet dates'!$G$9:$G$1008,$I766-8)))</x:f>
      </x:c>
      <x:c r="H766" s="50" t="str">
        <x:f>IF(758&gt;$H$4,"",IF(INDEX('Fleet dates'!$I$9:$I$1008,$I766-8)="","",INDEX('Fleet dates'!$I$9:$I$1008,$I766-8)))</x:f>
      </x:c>
      <x:c r="I766" t="str">
        <x:f>IF(758&gt;$H$4,"",MATCH(758,'Fleet dates'!$K$9:$K$1008,0)+8)</x:f>
      </x:c>
    </x:row>
    <x:row r="767" ht="36" customHeight="1">
      <x:c r="A767" s="50" t="str">
        <x:f>IF(759&gt;$H$4,"",IF(INDEX('Fleet dates'!$A$9:$A$1008,$I767-8)="","",INDEX('Fleet dates'!$A$9:$A$1008,$I767-8)))</x:f>
      </x:c>
      <x:c r="B767" s="50" t="str">
        <x:f>IF(759&gt;$H$4,"",IF(INDEX('Fleet dates'!$B$9:$B$1008,$I767-8)="","",INDEX('Fleet dates'!$B$9:$B$1008,$I767-8)))</x:f>
      </x:c>
      <x:c r="C767" s="51" t="str">
        <x:f>IF(759&gt;$H$4,"",IF(INDEX('Fleet dates'!$C$9:$C$1008,$I767-8)="","",INDEX('Fleet dates'!$C$9:$C$1008,$I767-8)))</x:f>
      </x:c>
      <x:c r="D767" s="51" t="str">
        <x:f>IF(759&gt;$H$4,"",IF(INDEX('Fleet dates'!$D$9:$D$1008,$I767-8)="","",INDEX('Fleet dates'!$D$9:$D$1008,$I767-8)))</x:f>
      </x:c>
      <x:c r="E767" s="51" t="str">
        <x:f>IF(759&gt;$H$4,"",IF(INDEX('Fleet dates'!$E$9:$E$1008,$I767-8)="","",INDEX('Fleet dates'!$E$9:$E$1008,$I767-8)))</x:f>
      </x:c>
      <x:c r="F767" s="51" t="str">
        <x:f>IF(759&gt;$H$4,"",IF(INDEX('Fleet dates'!$F$9:$F$1008,$I767-8)="","",INDEX('Fleet dates'!$F$9:$F$1008,$I767-8)))</x:f>
      </x:c>
      <x:c r="G767" s="50" t="str">
        <x:f>IF(759&gt;$H$4,"",IF(INDEX('Fleet dates'!$G$9:$G$1008,$I767-8)="","",INDEX('Fleet dates'!$G$9:$G$1008,$I767-8)))</x:f>
      </x:c>
      <x:c r="H767" s="50" t="str">
        <x:f>IF(759&gt;$H$4,"",IF(INDEX('Fleet dates'!$I$9:$I$1008,$I767-8)="","",INDEX('Fleet dates'!$I$9:$I$1008,$I767-8)))</x:f>
      </x:c>
      <x:c r="I767" t="str">
        <x:f>IF(759&gt;$H$4,"",MATCH(759,'Fleet dates'!$K$9:$K$1008,0)+8)</x:f>
      </x:c>
    </x:row>
    <x:row r="768" ht="36" customHeight="1">
      <x:c r="A768" s="50" t="str">
        <x:f>IF(760&gt;$H$4,"",IF(INDEX('Fleet dates'!$A$9:$A$1008,$I768-8)="","",INDEX('Fleet dates'!$A$9:$A$1008,$I768-8)))</x:f>
      </x:c>
      <x:c r="B768" s="50" t="str">
        <x:f>IF(760&gt;$H$4,"",IF(INDEX('Fleet dates'!$B$9:$B$1008,$I768-8)="","",INDEX('Fleet dates'!$B$9:$B$1008,$I768-8)))</x:f>
      </x:c>
      <x:c r="C768" s="51" t="str">
        <x:f>IF(760&gt;$H$4,"",IF(INDEX('Fleet dates'!$C$9:$C$1008,$I768-8)="","",INDEX('Fleet dates'!$C$9:$C$1008,$I768-8)))</x:f>
      </x:c>
      <x:c r="D768" s="51" t="str">
        <x:f>IF(760&gt;$H$4,"",IF(INDEX('Fleet dates'!$D$9:$D$1008,$I768-8)="","",INDEX('Fleet dates'!$D$9:$D$1008,$I768-8)))</x:f>
      </x:c>
      <x:c r="E768" s="51" t="str">
        <x:f>IF(760&gt;$H$4,"",IF(INDEX('Fleet dates'!$E$9:$E$1008,$I768-8)="","",INDEX('Fleet dates'!$E$9:$E$1008,$I768-8)))</x:f>
      </x:c>
      <x:c r="F768" s="51" t="str">
        <x:f>IF(760&gt;$H$4,"",IF(INDEX('Fleet dates'!$F$9:$F$1008,$I768-8)="","",INDEX('Fleet dates'!$F$9:$F$1008,$I768-8)))</x:f>
      </x:c>
      <x:c r="G768" s="50" t="str">
        <x:f>IF(760&gt;$H$4,"",IF(INDEX('Fleet dates'!$G$9:$G$1008,$I768-8)="","",INDEX('Fleet dates'!$G$9:$G$1008,$I768-8)))</x:f>
      </x:c>
      <x:c r="H768" s="50" t="str">
        <x:f>IF(760&gt;$H$4,"",IF(INDEX('Fleet dates'!$I$9:$I$1008,$I768-8)="","",INDEX('Fleet dates'!$I$9:$I$1008,$I768-8)))</x:f>
      </x:c>
      <x:c r="I768" t="str">
        <x:f>IF(760&gt;$H$4,"",MATCH(760,'Fleet dates'!$K$9:$K$1008,0)+8)</x:f>
      </x:c>
    </x:row>
    <x:row r="769" ht="36" customHeight="1">
      <x:c r="A769" s="50" t="str">
        <x:f>IF(761&gt;$H$4,"",IF(INDEX('Fleet dates'!$A$9:$A$1008,$I769-8)="","",INDEX('Fleet dates'!$A$9:$A$1008,$I769-8)))</x:f>
      </x:c>
      <x:c r="B769" s="50" t="str">
        <x:f>IF(761&gt;$H$4,"",IF(INDEX('Fleet dates'!$B$9:$B$1008,$I769-8)="","",INDEX('Fleet dates'!$B$9:$B$1008,$I769-8)))</x:f>
      </x:c>
      <x:c r="C769" s="51" t="str">
        <x:f>IF(761&gt;$H$4,"",IF(INDEX('Fleet dates'!$C$9:$C$1008,$I769-8)="","",INDEX('Fleet dates'!$C$9:$C$1008,$I769-8)))</x:f>
      </x:c>
      <x:c r="D769" s="51" t="str">
        <x:f>IF(761&gt;$H$4,"",IF(INDEX('Fleet dates'!$D$9:$D$1008,$I769-8)="","",INDEX('Fleet dates'!$D$9:$D$1008,$I769-8)))</x:f>
      </x:c>
      <x:c r="E769" s="51" t="str">
        <x:f>IF(761&gt;$H$4,"",IF(INDEX('Fleet dates'!$E$9:$E$1008,$I769-8)="","",INDEX('Fleet dates'!$E$9:$E$1008,$I769-8)))</x:f>
      </x:c>
      <x:c r="F769" s="51" t="str">
        <x:f>IF(761&gt;$H$4,"",IF(INDEX('Fleet dates'!$F$9:$F$1008,$I769-8)="","",INDEX('Fleet dates'!$F$9:$F$1008,$I769-8)))</x:f>
      </x:c>
      <x:c r="G769" s="50" t="str">
        <x:f>IF(761&gt;$H$4,"",IF(INDEX('Fleet dates'!$G$9:$G$1008,$I769-8)="","",INDEX('Fleet dates'!$G$9:$G$1008,$I769-8)))</x:f>
      </x:c>
      <x:c r="H769" s="50" t="str">
        <x:f>IF(761&gt;$H$4,"",IF(INDEX('Fleet dates'!$I$9:$I$1008,$I769-8)="","",INDEX('Fleet dates'!$I$9:$I$1008,$I769-8)))</x:f>
      </x:c>
      <x:c r="I769" t="str">
        <x:f>IF(761&gt;$H$4,"",MATCH(761,'Fleet dates'!$K$9:$K$1008,0)+8)</x:f>
      </x:c>
    </x:row>
    <x:row r="770" ht="36" customHeight="1">
      <x:c r="A770" s="50" t="str">
        <x:f>IF(762&gt;$H$4,"",IF(INDEX('Fleet dates'!$A$9:$A$1008,$I770-8)="","",INDEX('Fleet dates'!$A$9:$A$1008,$I770-8)))</x:f>
      </x:c>
      <x:c r="B770" s="50" t="str">
        <x:f>IF(762&gt;$H$4,"",IF(INDEX('Fleet dates'!$B$9:$B$1008,$I770-8)="","",INDEX('Fleet dates'!$B$9:$B$1008,$I770-8)))</x:f>
      </x:c>
      <x:c r="C770" s="51" t="str">
        <x:f>IF(762&gt;$H$4,"",IF(INDEX('Fleet dates'!$C$9:$C$1008,$I770-8)="","",INDEX('Fleet dates'!$C$9:$C$1008,$I770-8)))</x:f>
      </x:c>
      <x:c r="D770" s="51" t="str">
        <x:f>IF(762&gt;$H$4,"",IF(INDEX('Fleet dates'!$D$9:$D$1008,$I770-8)="","",INDEX('Fleet dates'!$D$9:$D$1008,$I770-8)))</x:f>
      </x:c>
      <x:c r="E770" s="51" t="str">
        <x:f>IF(762&gt;$H$4,"",IF(INDEX('Fleet dates'!$E$9:$E$1008,$I770-8)="","",INDEX('Fleet dates'!$E$9:$E$1008,$I770-8)))</x:f>
      </x:c>
      <x:c r="F770" s="51" t="str">
        <x:f>IF(762&gt;$H$4,"",IF(INDEX('Fleet dates'!$F$9:$F$1008,$I770-8)="","",INDEX('Fleet dates'!$F$9:$F$1008,$I770-8)))</x:f>
      </x:c>
      <x:c r="G770" s="50" t="str">
        <x:f>IF(762&gt;$H$4,"",IF(INDEX('Fleet dates'!$G$9:$G$1008,$I770-8)="","",INDEX('Fleet dates'!$G$9:$G$1008,$I770-8)))</x:f>
      </x:c>
      <x:c r="H770" s="50" t="str">
        <x:f>IF(762&gt;$H$4,"",IF(INDEX('Fleet dates'!$I$9:$I$1008,$I770-8)="","",INDEX('Fleet dates'!$I$9:$I$1008,$I770-8)))</x:f>
      </x:c>
      <x:c r="I770" t="str">
        <x:f>IF(762&gt;$H$4,"",MATCH(762,'Fleet dates'!$K$9:$K$1008,0)+8)</x:f>
      </x:c>
    </x:row>
    <x:row r="771" ht="36" customHeight="1">
      <x:c r="A771" s="50" t="str">
        <x:f>IF(763&gt;$H$4,"",IF(INDEX('Fleet dates'!$A$9:$A$1008,$I771-8)="","",INDEX('Fleet dates'!$A$9:$A$1008,$I771-8)))</x:f>
      </x:c>
      <x:c r="B771" s="50" t="str">
        <x:f>IF(763&gt;$H$4,"",IF(INDEX('Fleet dates'!$B$9:$B$1008,$I771-8)="","",INDEX('Fleet dates'!$B$9:$B$1008,$I771-8)))</x:f>
      </x:c>
      <x:c r="C771" s="51" t="str">
        <x:f>IF(763&gt;$H$4,"",IF(INDEX('Fleet dates'!$C$9:$C$1008,$I771-8)="","",INDEX('Fleet dates'!$C$9:$C$1008,$I771-8)))</x:f>
      </x:c>
      <x:c r="D771" s="51" t="str">
        <x:f>IF(763&gt;$H$4,"",IF(INDEX('Fleet dates'!$D$9:$D$1008,$I771-8)="","",INDEX('Fleet dates'!$D$9:$D$1008,$I771-8)))</x:f>
      </x:c>
      <x:c r="E771" s="51" t="str">
        <x:f>IF(763&gt;$H$4,"",IF(INDEX('Fleet dates'!$E$9:$E$1008,$I771-8)="","",INDEX('Fleet dates'!$E$9:$E$1008,$I771-8)))</x:f>
      </x:c>
      <x:c r="F771" s="51" t="str">
        <x:f>IF(763&gt;$H$4,"",IF(INDEX('Fleet dates'!$F$9:$F$1008,$I771-8)="","",INDEX('Fleet dates'!$F$9:$F$1008,$I771-8)))</x:f>
      </x:c>
      <x:c r="G771" s="50" t="str">
        <x:f>IF(763&gt;$H$4,"",IF(INDEX('Fleet dates'!$G$9:$G$1008,$I771-8)="","",INDEX('Fleet dates'!$G$9:$G$1008,$I771-8)))</x:f>
      </x:c>
      <x:c r="H771" s="50" t="str">
        <x:f>IF(763&gt;$H$4,"",IF(INDEX('Fleet dates'!$I$9:$I$1008,$I771-8)="","",INDEX('Fleet dates'!$I$9:$I$1008,$I771-8)))</x:f>
      </x:c>
      <x:c r="I771" t="str">
        <x:f>IF(763&gt;$H$4,"",MATCH(763,'Fleet dates'!$K$9:$K$1008,0)+8)</x:f>
      </x:c>
    </x:row>
    <x:row r="772" ht="36" customHeight="1">
      <x:c r="A772" s="50" t="str">
        <x:f>IF(764&gt;$H$4,"",IF(INDEX('Fleet dates'!$A$9:$A$1008,$I772-8)="","",INDEX('Fleet dates'!$A$9:$A$1008,$I772-8)))</x:f>
      </x:c>
      <x:c r="B772" s="50" t="str">
        <x:f>IF(764&gt;$H$4,"",IF(INDEX('Fleet dates'!$B$9:$B$1008,$I772-8)="","",INDEX('Fleet dates'!$B$9:$B$1008,$I772-8)))</x:f>
      </x:c>
      <x:c r="C772" s="51" t="str">
        <x:f>IF(764&gt;$H$4,"",IF(INDEX('Fleet dates'!$C$9:$C$1008,$I772-8)="","",INDEX('Fleet dates'!$C$9:$C$1008,$I772-8)))</x:f>
      </x:c>
      <x:c r="D772" s="51" t="str">
        <x:f>IF(764&gt;$H$4,"",IF(INDEX('Fleet dates'!$D$9:$D$1008,$I772-8)="","",INDEX('Fleet dates'!$D$9:$D$1008,$I772-8)))</x:f>
      </x:c>
      <x:c r="E772" s="51" t="str">
        <x:f>IF(764&gt;$H$4,"",IF(INDEX('Fleet dates'!$E$9:$E$1008,$I772-8)="","",INDEX('Fleet dates'!$E$9:$E$1008,$I772-8)))</x:f>
      </x:c>
      <x:c r="F772" s="51" t="str">
        <x:f>IF(764&gt;$H$4,"",IF(INDEX('Fleet dates'!$F$9:$F$1008,$I772-8)="","",INDEX('Fleet dates'!$F$9:$F$1008,$I772-8)))</x:f>
      </x:c>
      <x:c r="G772" s="50" t="str">
        <x:f>IF(764&gt;$H$4,"",IF(INDEX('Fleet dates'!$G$9:$G$1008,$I772-8)="","",INDEX('Fleet dates'!$G$9:$G$1008,$I772-8)))</x:f>
      </x:c>
      <x:c r="H772" s="50" t="str">
        <x:f>IF(764&gt;$H$4,"",IF(INDEX('Fleet dates'!$I$9:$I$1008,$I772-8)="","",INDEX('Fleet dates'!$I$9:$I$1008,$I772-8)))</x:f>
      </x:c>
      <x:c r="I772" t="str">
        <x:f>IF(764&gt;$H$4,"",MATCH(764,'Fleet dates'!$K$9:$K$1008,0)+8)</x:f>
      </x:c>
    </x:row>
    <x:row r="773" ht="36" customHeight="1">
      <x:c r="A773" s="50" t="str">
        <x:f>IF(765&gt;$H$4,"",IF(INDEX('Fleet dates'!$A$9:$A$1008,$I773-8)="","",INDEX('Fleet dates'!$A$9:$A$1008,$I773-8)))</x:f>
      </x:c>
      <x:c r="B773" s="50" t="str">
        <x:f>IF(765&gt;$H$4,"",IF(INDEX('Fleet dates'!$B$9:$B$1008,$I773-8)="","",INDEX('Fleet dates'!$B$9:$B$1008,$I773-8)))</x:f>
      </x:c>
      <x:c r="C773" s="51" t="str">
        <x:f>IF(765&gt;$H$4,"",IF(INDEX('Fleet dates'!$C$9:$C$1008,$I773-8)="","",INDEX('Fleet dates'!$C$9:$C$1008,$I773-8)))</x:f>
      </x:c>
      <x:c r="D773" s="51" t="str">
        <x:f>IF(765&gt;$H$4,"",IF(INDEX('Fleet dates'!$D$9:$D$1008,$I773-8)="","",INDEX('Fleet dates'!$D$9:$D$1008,$I773-8)))</x:f>
      </x:c>
      <x:c r="E773" s="51" t="str">
        <x:f>IF(765&gt;$H$4,"",IF(INDEX('Fleet dates'!$E$9:$E$1008,$I773-8)="","",INDEX('Fleet dates'!$E$9:$E$1008,$I773-8)))</x:f>
      </x:c>
      <x:c r="F773" s="51" t="str">
        <x:f>IF(765&gt;$H$4,"",IF(INDEX('Fleet dates'!$F$9:$F$1008,$I773-8)="","",INDEX('Fleet dates'!$F$9:$F$1008,$I773-8)))</x:f>
      </x:c>
      <x:c r="G773" s="50" t="str">
        <x:f>IF(765&gt;$H$4,"",IF(INDEX('Fleet dates'!$G$9:$G$1008,$I773-8)="","",INDEX('Fleet dates'!$G$9:$G$1008,$I773-8)))</x:f>
      </x:c>
      <x:c r="H773" s="50" t="str">
        <x:f>IF(765&gt;$H$4,"",IF(INDEX('Fleet dates'!$I$9:$I$1008,$I773-8)="","",INDEX('Fleet dates'!$I$9:$I$1008,$I773-8)))</x:f>
      </x:c>
      <x:c r="I773" t="str">
        <x:f>IF(765&gt;$H$4,"",MATCH(765,'Fleet dates'!$K$9:$K$1008,0)+8)</x:f>
      </x:c>
    </x:row>
    <x:row r="774" ht="36" customHeight="1">
      <x:c r="A774" s="50" t="str">
        <x:f>IF(766&gt;$H$4,"",IF(INDEX('Fleet dates'!$A$9:$A$1008,$I774-8)="","",INDEX('Fleet dates'!$A$9:$A$1008,$I774-8)))</x:f>
      </x:c>
      <x:c r="B774" s="50" t="str">
        <x:f>IF(766&gt;$H$4,"",IF(INDEX('Fleet dates'!$B$9:$B$1008,$I774-8)="","",INDEX('Fleet dates'!$B$9:$B$1008,$I774-8)))</x:f>
      </x:c>
      <x:c r="C774" s="51" t="str">
        <x:f>IF(766&gt;$H$4,"",IF(INDEX('Fleet dates'!$C$9:$C$1008,$I774-8)="","",INDEX('Fleet dates'!$C$9:$C$1008,$I774-8)))</x:f>
      </x:c>
      <x:c r="D774" s="51" t="str">
        <x:f>IF(766&gt;$H$4,"",IF(INDEX('Fleet dates'!$D$9:$D$1008,$I774-8)="","",INDEX('Fleet dates'!$D$9:$D$1008,$I774-8)))</x:f>
      </x:c>
      <x:c r="E774" s="51" t="str">
        <x:f>IF(766&gt;$H$4,"",IF(INDEX('Fleet dates'!$E$9:$E$1008,$I774-8)="","",INDEX('Fleet dates'!$E$9:$E$1008,$I774-8)))</x:f>
      </x:c>
      <x:c r="F774" s="51" t="str">
        <x:f>IF(766&gt;$H$4,"",IF(INDEX('Fleet dates'!$F$9:$F$1008,$I774-8)="","",INDEX('Fleet dates'!$F$9:$F$1008,$I774-8)))</x:f>
      </x:c>
      <x:c r="G774" s="50" t="str">
        <x:f>IF(766&gt;$H$4,"",IF(INDEX('Fleet dates'!$G$9:$G$1008,$I774-8)="","",INDEX('Fleet dates'!$G$9:$G$1008,$I774-8)))</x:f>
      </x:c>
      <x:c r="H774" s="50" t="str">
        <x:f>IF(766&gt;$H$4,"",IF(INDEX('Fleet dates'!$I$9:$I$1008,$I774-8)="","",INDEX('Fleet dates'!$I$9:$I$1008,$I774-8)))</x:f>
      </x:c>
      <x:c r="I774" t="str">
        <x:f>IF(766&gt;$H$4,"",MATCH(766,'Fleet dates'!$K$9:$K$1008,0)+8)</x:f>
      </x:c>
    </x:row>
    <x:row r="775" ht="36" customHeight="1">
      <x:c r="A775" s="50" t="str">
        <x:f>IF(767&gt;$H$4,"",IF(INDEX('Fleet dates'!$A$9:$A$1008,$I775-8)="","",INDEX('Fleet dates'!$A$9:$A$1008,$I775-8)))</x:f>
      </x:c>
      <x:c r="B775" s="50" t="str">
        <x:f>IF(767&gt;$H$4,"",IF(INDEX('Fleet dates'!$B$9:$B$1008,$I775-8)="","",INDEX('Fleet dates'!$B$9:$B$1008,$I775-8)))</x:f>
      </x:c>
      <x:c r="C775" s="51" t="str">
        <x:f>IF(767&gt;$H$4,"",IF(INDEX('Fleet dates'!$C$9:$C$1008,$I775-8)="","",INDEX('Fleet dates'!$C$9:$C$1008,$I775-8)))</x:f>
      </x:c>
      <x:c r="D775" s="51" t="str">
        <x:f>IF(767&gt;$H$4,"",IF(INDEX('Fleet dates'!$D$9:$D$1008,$I775-8)="","",INDEX('Fleet dates'!$D$9:$D$1008,$I775-8)))</x:f>
      </x:c>
      <x:c r="E775" s="51" t="str">
        <x:f>IF(767&gt;$H$4,"",IF(INDEX('Fleet dates'!$E$9:$E$1008,$I775-8)="","",INDEX('Fleet dates'!$E$9:$E$1008,$I775-8)))</x:f>
      </x:c>
      <x:c r="F775" s="51" t="str">
        <x:f>IF(767&gt;$H$4,"",IF(INDEX('Fleet dates'!$F$9:$F$1008,$I775-8)="","",INDEX('Fleet dates'!$F$9:$F$1008,$I775-8)))</x:f>
      </x:c>
      <x:c r="G775" s="50" t="str">
        <x:f>IF(767&gt;$H$4,"",IF(INDEX('Fleet dates'!$G$9:$G$1008,$I775-8)="","",INDEX('Fleet dates'!$G$9:$G$1008,$I775-8)))</x:f>
      </x:c>
      <x:c r="H775" s="50" t="str">
        <x:f>IF(767&gt;$H$4,"",IF(INDEX('Fleet dates'!$I$9:$I$1008,$I775-8)="","",INDEX('Fleet dates'!$I$9:$I$1008,$I775-8)))</x:f>
      </x:c>
      <x:c r="I775" t="str">
        <x:f>IF(767&gt;$H$4,"",MATCH(767,'Fleet dates'!$K$9:$K$1008,0)+8)</x:f>
      </x:c>
    </x:row>
    <x:row r="776" ht="36" customHeight="1">
      <x:c r="A776" s="50" t="str">
        <x:f>IF(768&gt;$H$4,"",IF(INDEX('Fleet dates'!$A$9:$A$1008,$I776-8)="","",INDEX('Fleet dates'!$A$9:$A$1008,$I776-8)))</x:f>
      </x:c>
      <x:c r="B776" s="50" t="str">
        <x:f>IF(768&gt;$H$4,"",IF(INDEX('Fleet dates'!$B$9:$B$1008,$I776-8)="","",INDEX('Fleet dates'!$B$9:$B$1008,$I776-8)))</x:f>
      </x:c>
      <x:c r="C776" s="51" t="str">
        <x:f>IF(768&gt;$H$4,"",IF(INDEX('Fleet dates'!$C$9:$C$1008,$I776-8)="","",INDEX('Fleet dates'!$C$9:$C$1008,$I776-8)))</x:f>
      </x:c>
      <x:c r="D776" s="51" t="str">
        <x:f>IF(768&gt;$H$4,"",IF(INDEX('Fleet dates'!$D$9:$D$1008,$I776-8)="","",INDEX('Fleet dates'!$D$9:$D$1008,$I776-8)))</x:f>
      </x:c>
      <x:c r="E776" s="51" t="str">
        <x:f>IF(768&gt;$H$4,"",IF(INDEX('Fleet dates'!$E$9:$E$1008,$I776-8)="","",INDEX('Fleet dates'!$E$9:$E$1008,$I776-8)))</x:f>
      </x:c>
      <x:c r="F776" s="51" t="str">
        <x:f>IF(768&gt;$H$4,"",IF(INDEX('Fleet dates'!$F$9:$F$1008,$I776-8)="","",INDEX('Fleet dates'!$F$9:$F$1008,$I776-8)))</x:f>
      </x:c>
      <x:c r="G776" s="50" t="str">
        <x:f>IF(768&gt;$H$4,"",IF(INDEX('Fleet dates'!$G$9:$G$1008,$I776-8)="","",INDEX('Fleet dates'!$G$9:$G$1008,$I776-8)))</x:f>
      </x:c>
      <x:c r="H776" s="50" t="str">
        <x:f>IF(768&gt;$H$4,"",IF(INDEX('Fleet dates'!$I$9:$I$1008,$I776-8)="","",INDEX('Fleet dates'!$I$9:$I$1008,$I776-8)))</x:f>
      </x:c>
      <x:c r="I776" t="str">
        <x:f>IF(768&gt;$H$4,"",MATCH(768,'Fleet dates'!$K$9:$K$1008,0)+8)</x:f>
      </x:c>
    </x:row>
    <x:row r="777" ht="36" customHeight="1">
      <x:c r="A777" s="50" t="str">
        <x:f>IF(769&gt;$H$4,"",IF(INDEX('Fleet dates'!$A$9:$A$1008,$I777-8)="","",INDEX('Fleet dates'!$A$9:$A$1008,$I777-8)))</x:f>
      </x:c>
      <x:c r="B777" s="50" t="str">
        <x:f>IF(769&gt;$H$4,"",IF(INDEX('Fleet dates'!$B$9:$B$1008,$I777-8)="","",INDEX('Fleet dates'!$B$9:$B$1008,$I777-8)))</x:f>
      </x:c>
      <x:c r="C777" s="51" t="str">
        <x:f>IF(769&gt;$H$4,"",IF(INDEX('Fleet dates'!$C$9:$C$1008,$I777-8)="","",INDEX('Fleet dates'!$C$9:$C$1008,$I777-8)))</x:f>
      </x:c>
      <x:c r="D777" s="51" t="str">
        <x:f>IF(769&gt;$H$4,"",IF(INDEX('Fleet dates'!$D$9:$D$1008,$I777-8)="","",INDEX('Fleet dates'!$D$9:$D$1008,$I777-8)))</x:f>
      </x:c>
      <x:c r="E777" s="51" t="str">
        <x:f>IF(769&gt;$H$4,"",IF(INDEX('Fleet dates'!$E$9:$E$1008,$I777-8)="","",INDEX('Fleet dates'!$E$9:$E$1008,$I777-8)))</x:f>
      </x:c>
      <x:c r="F777" s="51" t="str">
        <x:f>IF(769&gt;$H$4,"",IF(INDEX('Fleet dates'!$F$9:$F$1008,$I777-8)="","",INDEX('Fleet dates'!$F$9:$F$1008,$I777-8)))</x:f>
      </x:c>
      <x:c r="G777" s="50" t="str">
        <x:f>IF(769&gt;$H$4,"",IF(INDEX('Fleet dates'!$G$9:$G$1008,$I777-8)="","",INDEX('Fleet dates'!$G$9:$G$1008,$I777-8)))</x:f>
      </x:c>
      <x:c r="H777" s="50" t="str">
        <x:f>IF(769&gt;$H$4,"",IF(INDEX('Fleet dates'!$I$9:$I$1008,$I777-8)="","",INDEX('Fleet dates'!$I$9:$I$1008,$I777-8)))</x:f>
      </x:c>
      <x:c r="I777" t="str">
        <x:f>IF(769&gt;$H$4,"",MATCH(769,'Fleet dates'!$K$9:$K$1008,0)+8)</x:f>
      </x:c>
    </x:row>
    <x:row r="778" ht="36" customHeight="1">
      <x:c r="A778" s="50" t="str">
        <x:f>IF(770&gt;$H$4,"",IF(INDEX('Fleet dates'!$A$9:$A$1008,$I778-8)="","",INDEX('Fleet dates'!$A$9:$A$1008,$I778-8)))</x:f>
      </x:c>
      <x:c r="B778" s="50" t="str">
        <x:f>IF(770&gt;$H$4,"",IF(INDEX('Fleet dates'!$B$9:$B$1008,$I778-8)="","",INDEX('Fleet dates'!$B$9:$B$1008,$I778-8)))</x:f>
      </x:c>
      <x:c r="C778" s="51" t="str">
        <x:f>IF(770&gt;$H$4,"",IF(INDEX('Fleet dates'!$C$9:$C$1008,$I778-8)="","",INDEX('Fleet dates'!$C$9:$C$1008,$I778-8)))</x:f>
      </x:c>
      <x:c r="D778" s="51" t="str">
        <x:f>IF(770&gt;$H$4,"",IF(INDEX('Fleet dates'!$D$9:$D$1008,$I778-8)="","",INDEX('Fleet dates'!$D$9:$D$1008,$I778-8)))</x:f>
      </x:c>
      <x:c r="E778" s="51" t="str">
        <x:f>IF(770&gt;$H$4,"",IF(INDEX('Fleet dates'!$E$9:$E$1008,$I778-8)="","",INDEX('Fleet dates'!$E$9:$E$1008,$I778-8)))</x:f>
      </x:c>
      <x:c r="F778" s="51" t="str">
        <x:f>IF(770&gt;$H$4,"",IF(INDEX('Fleet dates'!$F$9:$F$1008,$I778-8)="","",INDEX('Fleet dates'!$F$9:$F$1008,$I778-8)))</x:f>
      </x:c>
      <x:c r="G778" s="50" t="str">
        <x:f>IF(770&gt;$H$4,"",IF(INDEX('Fleet dates'!$G$9:$G$1008,$I778-8)="","",INDEX('Fleet dates'!$G$9:$G$1008,$I778-8)))</x:f>
      </x:c>
      <x:c r="H778" s="50" t="str">
        <x:f>IF(770&gt;$H$4,"",IF(INDEX('Fleet dates'!$I$9:$I$1008,$I778-8)="","",INDEX('Fleet dates'!$I$9:$I$1008,$I778-8)))</x:f>
      </x:c>
      <x:c r="I778" t="str">
        <x:f>IF(770&gt;$H$4,"",MATCH(770,'Fleet dates'!$K$9:$K$1008,0)+8)</x:f>
      </x:c>
    </x:row>
    <x:row r="779" ht="36" customHeight="1">
      <x:c r="A779" s="50" t="str">
        <x:f>IF(771&gt;$H$4,"",IF(INDEX('Fleet dates'!$A$9:$A$1008,$I779-8)="","",INDEX('Fleet dates'!$A$9:$A$1008,$I779-8)))</x:f>
      </x:c>
      <x:c r="B779" s="50" t="str">
        <x:f>IF(771&gt;$H$4,"",IF(INDEX('Fleet dates'!$B$9:$B$1008,$I779-8)="","",INDEX('Fleet dates'!$B$9:$B$1008,$I779-8)))</x:f>
      </x:c>
      <x:c r="C779" s="51" t="str">
        <x:f>IF(771&gt;$H$4,"",IF(INDEX('Fleet dates'!$C$9:$C$1008,$I779-8)="","",INDEX('Fleet dates'!$C$9:$C$1008,$I779-8)))</x:f>
      </x:c>
      <x:c r="D779" s="51" t="str">
        <x:f>IF(771&gt;$H$4,"",IF(INDEX('Fleet dates'!$D$9:$D$1008,$I779-8)="","",INDEX('Fleet dates'!$D$9:$D$1008,$I779-8)))</x:f>
      </x:c>
      <x:c r="E779" s="51" t="str">
        <x:f>IF(771&gt;$H$4,"",IF(INDEX('Fleet dates'!$E$9:$E$1008,$I779-8)="","",INDEX('Fleet dates'!$E$9:$E$1008,$I779-8)))</x:f>
      </x:c>
      <x:c r="F779" s="51" t="str">
        <x:f>IF(771&gt;$H$4,"",IF(INDEX('Fleet dates'!$F$9:$F$1008,$I779-8)="","",INDEX('Fleet dates'!$F$9:$F$1008,$I779-8)))</x:f>
      </x:c>
      <x:c r="G779" s="50" t="str">
        <x:f>IF(771&gt;$H$4,"",IF(INDEX('Fleet dates'!$G$9:$G$1008,$I779-8)="","",INDEX('Fleet dates'!$G$9:$G$1008,$I779-8)))</x:f>
      </x:c>
      <x:c r="H779" s="50" t="str">
        <x:f>IF(771&gt;$H$4,"",IF(INDEX('Fleet dates'!$I$9:$I$1008,$I779-8)="","",INDEX('Fleet dates'!$I$9:$I$1008,$I779-8)))</x:f>
      </x:c>
      <x:c r="I779" t="str">
        <x:f>IF(771&gt;$H$4,"",MATCH(771,'Fleet dates'!$K$9:$K$1008,0)+8)</x:f>
      </x:c>
    </x:row>
    <x:row r="780" ht="36" customHeight="1">
      <x:c r="A780" s="50" t="str">
        <x:f>IF(772&gt;$H$4,"",IF(INDEX('Fleet dates'!$A$9:$A$1008,$I780-8)="","",INDEX('Fleet dates'!$A$9:$A$1008,$I780-8)))</x:f>
      </x:c>
      <x:c r="B780" s="50" t="str">
        <x:f>IF(772&gt;$H$4,"",IF(INDEX('Fleet dates'!$B$9:$B$1008,$I780-8)="","",INDEX('Fleet dates'!$B$9:$B$1008,$I780-8)))</x:f>
      </x:c>
      <x:c r="C780" s="51" t="str">
        <x:f>IF(772&gt;$H$4,"",IF(INDEX('Fleet dates'!$C$9:$C$1008,$I780-8)="","",INDEX('Fleet dates'!$C$9:$C$1008,$I780-8)))</x:f>
      </x:c>
      <x:c r="D780" s="51" t="str">
        <x:f>IF(772&gt;$H$4,"",IF(INDEX('Fleet dates'!$D$9:$D$1008,$I780-8)="","",INDEX('Fleet dates'!$D$9:$D$1008,$I780-8)))</x:f>
      </x:c>
      <x:c r="E780" s="51" t="str">
        <x:f>IF(772&gt;$H$4,"",IF(INDEX('Fleet dates'!$E$9:$E$1008,$I780-8)="","",INDEX('Fleet dates'!$E$9:$E$1008,$I780-8)))</x:f>
      </x:c>
      <x:c r="F780" s="51" t="str">
        <x:f>IF(772&gt;$H$4,"",IF(INDEX('Fleet dates'!$F$9:$F$1008,$I780-8)="","",INDEX('Fleet dates'!$F$9:$F$1008,$I780-8)))</x:f>
      </x:c>
      <x:c r="G780" s="50" t="str">
        <x:f>IF(772&gt;$H$4,"",IF(INDEX('Fleet dates'!$G$9:$G$1008,$I780-8)="","",INDEX('Fleet dates'!$G$9:$G$1008,$I780-8)))</x:f>
      </x:c>
      <x:c r="H780" s="50" t="str">
        <x:f>IF(772&gt;$H$4,"",IF(INDEX('Fleet dates'!$I$9:$I$1008,$I780-8)="","",INDEX('Fleet dates'!$I$9:$I$1008,$I780-8)))</x:f>
      </x:c>
      <x:c r="I780" t="str">
        <x:f>IF(772&gt;$H$4,"",MATCH(772,'Fleet dates'!$K$9:$K$1008,0)+8)</x:f>
      </x:c>
    </x:row>
    <x:row r="781" ht="36" customHeight="1">
      <x:c r="A781" s="50" t="str">
        <x:f>IF(773&gt;$H$4,"",IF(INDEX('Fleet dates'!$A$9:$A$1008,$I781-8)="","",INDEX('Fleet dates'!$A$9:$A$1008,$I781-8)))</x:f>
      </x:c>
      <x:c r="B781" s="50" t="str">
        <x:f>IF(773&gt;$H$4,"",IF(INDEX('Fleet dates'!$B$9:$B$1008,$I781-8)="","",INDEX('Fleet dates'!$B$9:$B$1008,$I781-8)))</x:f>
      </x:c>
      <x:c r="C781" s="51" t="str">
        <x:f>IF(773&gt;$H$4,"",IF(INDEX('Fleet dates'!$C$9:$C$1008,$I781-8)="","",INDEX('Fleet dates'!$C$9:$C$1008,$I781-8)))</x:f>
      </x:c>
      <x:c r="D781" s="51" t="str">
        <x:f>IF(773&gt;$H$4,"",IF(INDEX('Fleet dates'!$D$9:$D$1008,$I781-8)="","",INDEX('Fleet dates'!$D$9:$D$1008,$I781-8)))</x:f>
      </x:c>
      <x:c r="E781" s="51" t="str">
        <x:f>IF(773&gt;$H$4,"",IF(INDEX('Fleet dates'!$E$9:$E$1008,$I781-8)="","",INDEX('Fleet dates'!$E$9:$E$1008,$I781-8)))</x:f>
      </x:c>
      <x:c r="F781" s="51" t="str">
        <x:f>IF(773&gt;$H$4,"",IF(INDEX('Fleet dates'!$F$9:$F$1008,$I781-8)="","",INDEX('Fleet dates'!$F$9:$F$1008,$I781-8)))</x:f>
      </x:c>
      <x:c r="G781" s="50" t="str">
        <x:f>IF(773&gt;$H$4,"",IF(INDEX('Fleet dates'!$G$9:$G$1008,$I781-8)="","",INDEX('Fleet dates'!$G$9:$G$1008,$I781-8)))</x:f>
      </x:c>
      <x:c r="H781" s="50" t="str">
        <x:f>IF(773&gt;$H$4,"",IF(INDEX('Fleet dates'!$I$9:$I$1008,$I781-8)="","",INDEX('Fleet dates'!$I$9:$I$1008,$I781-8)))</x:f>
      </x:c>
      <x:c r="I781" t="str">
        <x:f>IF(773&gt;$H$4,"",MATCH(773,'Fleet dates'!$K$9:$K$1008,0)+8)</x:f>
      </x:c>
    </x:row>
    <x:row r="782" ht="36" customHeight="1">
      <x:c r="A782" s="50" t="str">
        <x:f>IF(774&gt;$H$4,"",IF(INDEX('Fleet dates'!$A$9:$A$1008,$I782-8)="","",INDEX('Fleet dates'!$A$9:$A$1008,$I782-8)))</x:f>
      </x:c>
      <x:c r="B782" s="50" t="str">
        <x:f>IF(774&gt;$H$4,"",IF(INDEX('Fleet dates'!$B$9:$B$1008,$I782-8)="","",INDEX('Fleet dates'!$B$9:$B$1008,$I782-8)))</x:f>
      </x:c>
      <x:c r="C782" s="51" t="str">
        <x:f>IF(774&gt;$H$4,"",IF(INDEX('Fleet dates'!$C$9:$C$1008,$I782-8)="","",INDEX('Fleet dates'!$C$9:$C$1008,$I782-8)))</x:f>
      </x:c>
      <x:c r="D782" s="51" t="str">
        <x:f>IF(774&gt;$H$4,"",IF(INDEX('Fleet dates'!$D$9:$D$1008,$I782-8)="","",INDEX('Fleet dates'!$D$9:$D$1008,$I782-8)))</x:f>
      </x:c>
      <x:c r="E782" s="51" t="str">
        <x:f>IF(774&gt;$H$4,"",IF(INDEX('Fleet dates'!$E$9:$E$1008,$I782-8)="","",INDEX('Fleet dates'!$E$9:$E$1008,$I782-8)))</x:f>
      </x:c>
      <x:c r="F782" s="51" t="str">
        <x:f>IF(774&gt;$H$4,"",IF(INDEX('Fleet dates'!$F$9:$F$1008,$I782-8)="","",INDEX('Fleet dates'!$F$9:$F$1008,$I782-8)))</x:f>
      </x:c>
      <x:c r="G782" s="50" t="str">
        <x:f>IF(774&gt;$H$4,"",IF(INDEX('Fleet dates'!$G$9:$G$1008,$I782-8)="","",INDEX('Fleet dates'!$G$9:$G$1008,$I782-8)))</x:f>
      </x:c>
      <x:c r="H782" s="50" t="str">
        <x:f>IF(774&gt;$H$4,"",IF(INDEX('Fleet dates'!$I$9:$I$1008,$I782-8)="","",INDEX('Fleet dates'!$I$9:$I$1008,$I782-8)))</x:f>
      </x:c>
      <x:c r="I782" t="str">
        <x:f>IF(774&gt;$H$4,"",MATCH(774,'Fleet dates'!$K$9:$K$1008,0)+8)</x:f>
      </x:c>
    </x:row>
    <x:row r="783" ht="36" customHeight="1">
      <x:c r="A783" s="50" t="str">
        <x:f>IF(775&gt;$H$4,"",IF(INDEX('Fleet dates'!$A$9:$A$1008,$I783-8)="","",INDEX('Fleet dates'!$A$9:$A$1008,$I783-8)))</x:f>
      </x:c>
      <x:c r="B783" s="50" t="str">
        <x:f>IF(775&gt;$H$4,"",IF(INDEX('Fleet dates'!$B$9:$B$1008,$I783-8)="","",INDEX('Fleet dates'!$B$9:$B$1008,$I783-8)))</x:f>
      </x:c>
      <x:c r="C783" s="51" t="str">
        <x:f>IF(775&gt;$H$4,"",IF(INDEX('Fleet dates'!$C$9:$C$1008,$I783-8)="","",INDEX('Fleet dates'!$C$9:$C$1008,$I783-8)))</x:f>
      </x:c>
      <x:c r="D783" s="51" t="str">
        <x:f>IF(775&gt;$H$4,"",IF(INDEX('Fleet dates'!$D$9:$D$1008,$I783-8)="","",INDEX('Fleet dates'!$D$9:$D$1008,$I783-8)))</x:f>
      </x:c>
      <x:c r="E783" s="51" t="str">
        <x:f>IF(775&gt;$H$4,"",IF(INDEX('Fleet dates'!$E$9:$E$1008,$I783-8)="","",INDEX('Fleet dates'!$E$9:$E$1008,$I783-8)))</x:f>
      </x:c>
      <x:c r="F783" s="51" t="str">
        <x:f>IF(775&gt;$H$4,"",IF(INDEX('Fleet dates'!$F$9:$F$1008,$I783-8)="","",INDEX('Fleet dates'!$F$9:$F$1008,$I783-8)))</x:f>
      </x:c>
      <x:c r="G783" s="50" t="str">
        <x:f>IF(775&gt;$H$4,"",IF(INDEX('Fleet dates'!$G$9:$G$1008,$I783-8)="","",INDEX('Fleet dates'!$G$9:$G$1008,$I783-8)))</x:f>
      </x:c>
      <x:c r="H783" s="50" t="str">
        <x:f>IF(775&gt;$H$4,"",IF(INDEX('Fleet dates'!$I$9:$I$1008,$I783-8)="","",INDEX('Fleet dates'!$I$9:$I$1008,$I783-8)))</x:f>
      </x:c>
      <x:c r="I783" t="str">
        <x:f>IF(775&gt;$H$4,"",MATCH(775,'Fleet dates'!$K$9:$K$1008,0)+8)</x:f>
      </x:c>
    </x:row>
    <x:row r="784" ht="36" customHeight="1">
      <x:c r="A784" s="50" t="str">
        <x:f>IF(776&gt;$H$4,"",IF(INDEX('Fleet dates'!$A$9:$A$1008,$I784-8)="","",INDEX('Fleet dates'!$A$9:$A$1008,$I784-8)))</x:f>
      </x:c>
      <x:c r="B784" s="50" t="str">
        <x:f>IF(776&gt;$H$4,"",IF(INDEX('Fleet dates'!$B$9:$B$1008,$I784-8)="","",INDEX('Fleet dates'!$B$9:$B$1008,$I784-8)))</x:f>
      </x:c>
      <x:c r="C784" s="51" t="str">
        <x:f>IF(776&gt;$H$4,"",IF(INDEX('Fleet dates'!$C$9:$C$1008,$I784-8)="","",INDEX('Fleet dates'!$C$9:$C$1008,$I784-8)))</x:f>
      </x:c>
      <x:c r="D784" s="51" t="str">
        <x:f>IF(776&gt;$H$4,"",IF(INDEX('Fleet dates'!$D$9:$D$1008,$I784-8)="","",INDEX('Fleet dates'!$D$9:$D$1008,$I784-8)))</x:f>
      </x:c>
      <x:c r="E784" s="51" t="str">
        <x:f>IF(776&gt;$H$4,"",IF(INDEX('Fleet dates'!$E$9:$E$1008,$I784-8)="","",INDEX('Fleet dates'!$E$9:$E$1008,$I784-8)))</x:f>
      </x:c>
      <x:c r="F784" s="51" t="str">
        <x:f>IF(776&gt;$H$4,"",IF(INDEX('Fleet dates'!$F$9:$F$1008,$I784-8)="","",INDEX('Fleet dates'!$F$9:$F$1008,$I784-8)))</x:f>
      </x:c>
      <x:c r="G784" s="50" t="str">
        <x:f>IF(776&gt;$H$4,"",IF(INDEX('Fleet dates'!$G$9:$G$1008,$I784-8)="","",INDEX('Fleet dates'!$G$9:$G$1008,$I784-8)))</x:f>
      </x:c>
      <x:c r="H784" s="50" t="str">
        <x:f>IF(776&gt;$H$4,"",IF(INDEX('Fleet dates'!$I$9:$I$1008,$I784-8)="","",INDEX('Fleet dates'!$I$9:$I$1008,$I784-8)))</x:f>
      </x:c>
      <x:c r="I784" t="str">
        <x:f>IF(776&gt;$H$4,"",MATCH(776,'Fleet dates'!$K$9:$K$1008,0)+8)</x:f>
      </x:c>
    </x:row>
    <x:row r="785" ht="36" customHeight="1">
      <x:c r="A785" s="50" t="str">
        <x:f>IF(777&gt;$H$4,"",IF(INDEX('Fleet dates'!$A$9:$A$1008,$I785-8)="","",INDEX('Fleet dates'!$A$9:$A$1008,$I785-8)))</x:f>
      </x:c>
      <x:c r="B785" s="50" t="str">
        <x:f>IF(777&gt;$H$4,"",IF(INDEX('Fleet dates'!$B$9:$B$1008,$I785-8)="","",INDEX('Fleet dates'!$B$9:$B$1008,$I785-8)))</x:f>
      </x:c>
      <x:c r="C785" s="51" t="str">
        <x:f>IF(777&gt;$H$4,"",IF(INDEX('Fleet dates'!$C$9:$C$1008,$I785-8)="","",INDEX('Fleet dates'!$C$9:$C$1008,$I785-8)))</x:f>
      </x:c>
      <x:c r="D785" s="51" t="str">
        <x:f>IF(777&gt;$H$4,"",IF(INDEX('Fleet dates'!$D$9:$D$1008,$I785-8)="","",INDEX('Fleet dates'!$D$9:$D$1008,$I785-8)))</x:f>
      </x:c>
      <x:c r="E785" s="51" t="str">
        <x:f>IF(777&gt;$H$4,"",IF(INDEX('Fleet dates'!$E$9:$E$1008,$I785-8)="","",INDEX('Fleet dates'!$E$9:$E$1008,$I785-8)))</x:f>
      </x:c>
      <x:c r="F785" s="51" t="str">
        <x:f>IF(777&gt;$H$4,"",IF(INDEX('Fleet dates'!$F$9:$F$1008,$I785-8)="","",INDEX('Fleet dates'!$F$9:$F$1008,$I785-8)))</x:f>
      </x:c>
      <x:c r="G785" s="50" t="str">
        <x:f>IF(777&gt;$H$4,"",IF(INDEX('Fleet dates'!$G$9:$G$1008,$I785-8)="","",INDEX('Fleet dates'!$G$9:$G$1008,$I785-8)))</x:f>
      </x:c>
      <x:c r="H785" s="50" t="str">
        <x:f>IF(777&gt;$H$4,"",IF(INDEX('Fleet dates'!$I$9:$I$1008,$I785-8)="","",INDEX('Fleet dates'!$I$9:$I$1008,$I785-8)))</x:f>
      </x:c>
      <x:c r="I785" t="str">
        <x:f>IF(777&gt;$H$4,"",MATCH(777,'Fleet dates'!$K$9:$K$1008,0)+8)</x:f>
      </x:c>
    </x:row>
    <x:row r="786" ht="36" customHeight="1">
      <x:c r="A786" s="50" t="str">
        <x:f>IF(778&gt;$H$4,"",IF(INDEX('Fleet dates'!$A$9:$A$1008,$I786-8)="","",INDEX('Fleet dates'!$A$9:$A$1008,$I786-8)))</x:f>
      </x:c>
      <x:c r="B786" s="50" t="str">
        <x:f>IF(778&gt;$H$4,"",IF(INDEX('Fleet dates'!$B$9:$B$1008,$I786-8)="","",INDEX('Fleet dates'!$B$9:$B$1008,$I786-8)))</x:f>
      </x:c>
      <x:c r="C786" s="51" t="str">
        <x:f>IF(778&gt;$H$4,"",IF(INDEX('Fleet dates'!$C$9:$C$1008,$I786-8)="","",INDEX('Fleet dates'!$C$9:$C$1008,$I786-8)))</x:f>
      </x:c>
      <x:c r="D786" s="51" t="str">
        <x:f>IF(778&gt;$H$4,"",IF(INDEX('Fleet dates'!$D$9:$D$1008,$I786-8)="","",INDEX('Fleet dates'!$D$9:$D$1008,$I786-8)))</x:f>
      </x:c>
      <x:c r="E786" s="51" t="str">
        <x:f>IF(778&gt;$H$4,"",IF(INDEX('Fleet dates'!$E$9:$E$1008,$I786-8)="","",INDEX('Fleet dates'!$E$9:$E$1008,$I786-8)))</x:f>
      </x:c>
      <x:c r="F786" s="51" t="str">
        <x:f>IF(778&gt;$H$4,"",IF(INDEX('Fleet dates'!$F$9:$F$1008,$I786-8)="","",INDEX('Fleet dates'!$F$9:$F$1008,$I786-8)))</x:f>
      </x:c>
      <x:c r="G786" s="50" t="str">
        <x:f>IF(778&gt;$H$4,"",IF(INDEX('Fleet dates'!$G$9:$G$1008,$I786-8)="","",INDEX('Fleet dates'!$G$9:$G$1008,$I786-8)))</x:f>
      </x:c>
      <x:c r="H786" s="50" t="str">
        <x:f>IF(778&gt;$H$4,"",IF(INDEX('Fleet dates'!$I$9:$I$1008,$I786-8)="","",INDEX('Fleet dates'!$I$9:$I$1008,$I786-8)))</x:f>
      </x:c>
      <x:c r="I786" t="str">
        <x:f>IF(778&gt;$H$4,"",MATCH(778,'Fleet dates'!$K$9:$K$1008,0)+8)</x:f>
      </x:c>
    </x:row>
    <x:row r="787" ht="36" customHeight="1">
      <x:c r="A787" s="50" t="str">
        <x:f>IF(779&gt;$H$4,"",IF(INDEX('Fleet dates'!$A$9:$A$1008,$I787-8)="","",INDEX('Fleet dates'!$A$9:$A$1008,$I787-8)))</x:f>
      </x:c>
      <x:c r="B787" s="50" t="str">
        <x:f>IF(779&gt;$H$4,"",IF(INDEX('Fleet dates'!$B$9:$B$1008,$I787-8)="","",INDEX('Fleet dates'!$B$9:$B$1008,$I787-8)))</x:f>
      </x:c>
      <x:c r="C787" s="51" t="str">
        <x:f>IF(779&gt;$H$4,"",IF(INDEX('Fleet dates'!$C$9:$C$1008,$I787-8)="","",INDEX('Fleet dates'!$C$9:$C$1008,$I787-8)))</x:f>
      </x:c>
      <x:c r="D787" s="51" t="str">
        <x:f>IF(779&gt;$H$4,"",IF(INDEX('Fleet dates'!$D$9:$D$1008,$I787-8)="","",INDEX('Fleet dates'!$D$9:$D$1008,$I787-8)))</x:f>
      </x:c>
      <x:c r="E787" s="51" t="str">
        <x:f>IF(779&gt;$H$4,"",IF(INDEX('Fleet dates'!$E$9:$E$1008,$I787-8)="","",INDEX('Fleet dates'!$E$9:$E$1008,$I787-8)))</x:f>
      </x:c>
      <x:c r="F787" s="51" t="str">
        <x:f>IF(779&gt;$H$4,"",IF(INDEX('Fleet dates'!$F$9:$F$1008,$I787-8)="","",INDEX('Fleet dates'!$F$9:$F$1008,$I787-8)))</x:f>
      </x:c>
      <x:c r="G787" s="50" t="str">
        <x:f>IF(779&gt;$H$4,"",IF(INDEX('Fleet dates'!$G$9:$G$1008,$I787-8)="","",INDEX('Fleet dates'!$G$9:$G$1008,$I787-8)))</x:f>
      </x:c>
      <x:c r="H787" s="50" t="str">
        <x:f>IF(779&gt;$H$4,"",IF(INDEX('Fleet dates'!$I$9:$I$1008,$I787-8)="","",INDEX('Fleet dates'!$I$9:$I$1008,$I787-8)))</x:f>
      </x:c>
      <x:c r="I787" t="str">
        <x:f>IF(779&gt;$H$4,"",MATCH(779,'Fleet dates'!$K$9:$K$1008,0)+8)</x:f>
      </x:c>
    </x:row>
    <x:row r="788" ht="36" customHeight="1">
      <x:c r="A788" s="50" t="str">
        <x:f>IF(780&gt;$H$4,"",IF(INDEX('Fleet dates'!$A$9:$A$1008,$I788-8)="","",INDEX('Fleet dates'!$A$9:$A$1008,$I788-8)))</x:f>
      </x:c>
      <x:c r="B788" s="50" t="str">
        <x:f>IF(780&gt;$H$4,"",IF(INDEX('Fleet dates'!$B$9:$B$1008,$I788-8)="","",INDEX('Fleet dates'!$B$9:$B$1008,$I788-8)))</x:f>
      </x:c>
      <x:c r="C788" s="51" t="str">
        <x:f>IF(780&gt;$H$4,"",IF(INDEX('Fleet dates'!$C$9:$C$1008,$I788-8)="","",INDEX('Fleet dates'!$C$9:$C$1008,$I788-8)))</x:f>
      </x:c>
      <x:c r="D788" s="51" t="str">
        <x:f>IF(780&gt;$H$4,"",IF(INDEX('Fleet dates'!$D$9:$D$1008,$I788-8)="","",INDEX('Fleet dates'!$D$9:$D$1008,$I788-8)))</x:f>
      </x:c>
      <x:c r="E788" s="51" t="str">
        <x:f>IF(780&gt;$H$4,"",IF(INDEX('Fleet dates'!$E$9:$E$1008,$I788-8)="","",INDEX('Fleet dates'!$E$9:$E$1008,$I788-8)))</x:f>
      </x:c>
      <x:c r="F788" s="51" t="str">
        <x:f>IF(780&gt;$H$4,"",IF(INDEX('Fleet dates'!$F$9:$F$1008,$I788-8)="","",INDEX('Fleet dates'!$F$9:$F$1008,$I788-8)))</x:f>
      </x:c>
      <x:c r="G788" s="50" t="str">
        <x:f>IF(780&gt;$H$4,"",IF(INDEX('Fleet dates'!$G$9:$G$1008,$I788-8)="","",INDEX('Fleet dates'!$G$9:$G$1008,$I788-8)))</x:f>
      </x:c>
      <x:c r="H788" s="50" t="str">
        <x:f>IF(780&gt;$H$4,"",IF(INDEX('Fleet dates'!$I$9:$I$1008,$I788-8)="","",INDEX('Fleet dates'!$I$9:$I$1008,$I788-8)))</x:f>
      </x:c>
      <x:c r="I788" t="str">
        <x:f>IF(780&gt;$H$4,"",MATCH(780,'Fleet dates'!$K$9:$K$1008,0)+8)</x:f>
      </x:c>
    </x:row>
    <x:row r="789" ht="36" customHeight="1">
      <x:c r="A789" s="50" t="str">
        <x:f>IF(781&gt;$H$4,"",IF(INDEX('Fleet dates'!$A$9:$A$1008,$I789-8)="","",INDEX('Fleet dates'!$A$9:$A$1008,$I789-8)))</x:f>
      </x:c>
      <x:c r="B789" s="50" t="str">
        <x:f>IF(781&gt;$H$4,"",IF(INDEX('Fleet dates'!$B$9:$B$1008,$I789-8)="","",INDEX('Fleet dates'!$B$9:$B$1008,$I789-8)))</x:f>
      </x:c>
      <x:c r="C789" s="51" t="str">
        <x:f>IF(781&gt;$H$4,"",IF(INDEX('Fleet dates'!$C$9:$C$1008,$I789-8)="","",INDEX('Fleet dates'!$C$9:$C$1008,$I789-8)))</x:f>
      </x:c>
      <x:c r="D789" s="51" t="str">
        <x:f>IF(781&gt;$H$4,"",IF(INDEX('Fleet dates'!$D$9:$D$1008,$I789-8)="","",INDEX('Fleet dates'!$D$9:$D$1008,$I789-8)))</x:f>
      </x:c>
      <x:c r="E789" s="51" t="str">
        <x:f>IF(781&gt;$H$4,"",IF(INDEX('Fleet dates'!$E$9:$E$1008,$I789-8)="","",INDEX('Fleet dates'!$E$9:$E$1008,$I789-8)))</x:f>
      </x:c>
      <x:c r="F789" s="51" t="str">
        <x:f>IF(781&gt;$H$4,"",IF(INDEX('Fleet dates'!$F$9:$F$1008,$I789-8)="","",INDEX('Fleet dates'!$F$9:$F$1008,$I789-8)))</x:f>
      </x:c>
      <x:c r="G789" s="50" t="str">
        <x:f>IF(781&gt;$H$4,"",IF(INDEX('Fleet dates'!$G$9:$G$1008,$I789-8)="","",INDEX('Fleet dates'!$G$9:$G$1008,$I789-8)))</x:f>
      </x:c>
      <x:c r="H789" s="50" t="str">
        <x:f>IF(781&gt;$H$4,"",IF(INDEX('Fleet dates'!$I$9:$I$1008,$I789-8)="","",INDEX('Fleet dates'!$I$9:$I$1008,$I789-8)))</x:f>
      </x:c>
      <x:c r="I789" t="str">
        <x:f>IF(781&gt;$H$4,"",MATCH(781,'Fleet dates'!$K$9:$K$1008,0)+8)</x:f>
      </x:c>
    </x:row>
    <x:row r="790" ht="36" customHeight="1">
      <x:c r="A790" s="50" t="str">
        <x:f>IF(782&gt;$H$4,"",IF(INDEX('Fleet dates'!$A$9:$A$1008,$I790-8)="","",INDEX('Fleet dates'!$A$9:$A$1008,$I790-8)))</x:f>
      </x:c>
      <x:c r="B790" s="50" t="str">
        <x:f>IF(782&gt;$H$4,"",IF(INDEX('Fleet dates'!$B$9:$B$1008,$I790-8)="","",INDEX('Fleet dates'!$B$9:$B$1008,$I790-8)))</x:f>
      </x:c>
      <x:c r="C790" s="51" t="str">
        <x:f>IF(782&gt;$H$4,"",IF(INDEX('Fleet dates'!$C$9:$C$1008,$I790-8)="","",INDEX('Fleet dates'!$C$9:$C$1008,$I790-8)))</x:f>
      </x:c>
      <x:c r="D790" s="51" t="str">
        <x:f>IF(782&gt;$H$4,"",IF(INDEX('Fleet dates'!$D$9:$D$1008,$I790-8)="","",INDEX('Fleet dates'!$D$9:$D$1008,$I790-8)))</x:f>
      </x:c>
      <x:c r="E790" s="51" t="str">
        <x:f>IF(782&gt;$H$4,"",IF(INDEX('Fleet dates'!$E$9:$E$1008,$I790-8)="","",INDEX('Fleet dates'!$E$9:$E$1008,$I790-8)))</x:f>
      </x:c>
      <x:c r="F790" s="51" t="str">
        <x:f>IF(782&gt;$H$4,"",IF(INDEX('Fleet dates'!$F$9:$F$1008,$I790-8)="","",INDEX('Fleet dates'!$F$9:$F$1008,$I790-8)))</x:f>
      </x:c>
      <x:c r="G790" s="50" t="str">
        <x:f>IF(782&gt;$H$4,"",IF(INDEX('Fleet dates'!$G$9:$G$1008,$I790-8)="","",INDEX('Fleet dates'!$G$9:$G$1008,$I790-8)))</x:f>
      </x:c>
      <x:c r="H790" s="50" t="str">
        <x:f>IF(782&gt;$H$4,"",IF(INDEX('Fleet dates'!$I$9:$I$1008,$I790-8)="","",INDEX('Fleet dates'!$I$9:$I$1008,$I790-8)))</x:f>
      </x:c>
      <x:c r="I790" t="str">
        <x:f>IF(782&gt;$H$4,"",MATCH(782,'Fleet dates'!$K$9:$K$1008,0)+8)</x:f>
      </x:c>
    </x:row>
    <x:row r="791" ht="36" customHeight="1">
      <x:c r="A791" s="50" t="str">
        <x:f>IF(783&gt;$H$4,"",IF(INDEX('Fleet dates'!$A$9:$A$1008,$I791-8)="","",INDEX('Fleet dates'!$A$9:$A$1008,$I791-8)))</x:f>
      </x:c>
      <x:c r="B791" s="50" t="str">
        <x:f>IF(783&gt;$H$4,"",IF(INDEX('Fleet dates'!$B$9:$B$1008,$I791-8)="","",INDEX('Fleet dates'!$B$9:$B$1008,$I791-8)))</x:f>
      </x:c>
      <x:c r="C791" s="51" t="str">
        <x:f>IF(783&gt;$H$4,"",IF(INDEX('Fleet dates'!$C$9:$C$1008,$I791-8)="","",INDEX('Fleet dates'!$C$9:$C$1008,$I791-8)))</x:f>
      </x:c>
      <x:c r="D791" s="51" t="str">
        <x:f>IF(783&gt;$H$4,"",IF(INDEX('Fleet dates'!$D$9:$D$1008,$I791-8)="","",INDEX('Fleet dates'!$D$9:$D$1008,$I791-8)))</x:f>
      </x:c>
      <x:c r="E791" s="51" t="str">
        <x:f>IF(783&gt;$H$4,"",IF(INDEX('Fleet dates'!$E$9:$E$1008,$I791-8)="","",INDEX('Fleet dates'!$E$9:$E$1008,$I791-8)))</x:f>
      </x:c>
      <x:c r="F791" s="51" t="str">
        <x:f>IF(783&gt;$H$4,"",IF(INDEX('Fleet dates'!$F$9:$F$1008,$I791-8)="","",INDEX('Fleet dates'!$F$9:$F$1008,$I791-8)))</x:f>
      </x:c>
      <x:c r="G791" s="50" t="str">
        <x:f>IF(783&gt;$H$4,"",IF(INDEX('Fleet dates'!$G$9:$G$1008,$I791-8)="","",INDEX('Fleet dates'!$G$9:$G$1008,$I791-8)))</x:f>
      </x:c>
      <x:c r="H791" s="50" t="str">
        <x:f>IF(783&gt;$H$4,"",IF(INDEX('Fleet dates'!$I$9:$I$1008,$I791-8)="","",INDEX('Fleet dates'!$I$9:$I$1008,$I791-8)))</x:f>
      </x:c>
      <x:c r="I791" t="str">
        <x:f>IF(783&gt;$H$4,"",MATCH(783,'Fleet dates'!$K$9:$K$1008,0)+8)</x:f>
      </x:c>
    </x:row>
    <x:row r="792" ht="36" customHeight="1">
      <x:c r="A792" s="50" t="str">
        <x:f>IF(784&gt;$H$4,"",IF(INDEX('Fleet dates'!$A$9:$A$1008,$I792-8)="","",INDEX('Fleet dates'!$A$9:$A$1008,$I792-8)))</x:f>
      </x:c>
      <x:c r="B792" s="50" t="str">
        <x:f>IF(784&gt;$H$4,"",IF(INDEX('Fleet dates'!$B$9:$B$1008,$I792-8)="","",INDEX('Fleet dates'!$B$9:$B$1008,$I792-8)))</x:f>
      </x:c>
      <x:c r="C792" s="51" t="str">
        <x:f>IF(784&gt;$H$4,"",IF(INDEX('Fleet dates'!$C$9:$C$1008,$I792-8)="","",INDEX('Fleet dates'!$C$9:$C$1008,$I792-8)))</x:f>
      </x:c>
      <x:c r="D792" s="51" t="str">
        <x:f>IF(784&gt;$H$4,"",IF(INDEX('Fleet dates'!$D$9:$D$1008,$I792-8)="","",INDEX('Fleet dates'!$D$9:$D$1008,$I792-8)))</x:f>
      </x:c>
      <x:c r="E792" s="51" t="str">
        <x:f>IF(784&gt;$H$4,"",IF(INDEX('Fleet dates'!$E$9:$E$1008,$I792-8)="","",INDEX('Fleet dates'!$E$9:$E$1008,$I792-8)))</x:f>
      </x:c>
      <x:c r="F792" s="51" t="str">
        <x:f>IF(784&gt;$H$4,"",IF(INDEX('Fleet dates'!$F$9:$F$1008,$I792-8)="","",INDEX('Fleet dates'!$F$9:$F$1008,$I792-8)))</x:f>
      </x:c>
      <x:c r="G792" s="50" t="str">
        <x:f>IF(784&gt;$H$4,"",IF(INDEX('Fleet dates'!$G$9:$G$1008,$I792-8)="","",INDEX('Fleet dates'!$G$9:$G$1008,$I792-8)))</x:f>
      </x:c>
      <x:c r="H792" s="50" t="str">
        <x:f>IF(784&gt;$H$4,"",IF(INDEX('Fleet dates'!$I$9:$I$1008,$I792-8)="","",INDEX('Fleet dates'!$I$9:$I$1008,$I792-8)))</x:f>
      </x:c>
      <x:c r="I792" t="str">
        <x:f>IF(784&gt;$H$4,"",MATCH(784,'Fleet dates'!$K$9:$K$1008,0)+8)</x:f>
      </x:c>
    </x:row>
    <x:row r="793" ht="36" customHeight="1">
      <x:c r="A793" s="50" t="str">
        <x:f>IF(785&gt;$H$4,"",IF(INDEX('Fleet dates'!$A$9:$A$1008,$I793-8)="","",INDEX('Fleet dates'!$A$9:$A$1008,$I793-8)))</x:f>
      </x:c>
      <x:c r="B793" s="50" t="str">
        <x:f>IF(785&gt;$H$4,"",IF(INDEX('Fleet dates'!$B$9:$B$1008,$I793-8)="","",INDEX('Fleet dates'!$B$9:$B$1008,$I793-8)))</x:f>
      </x:c>
      <x:c r="C793" s="51" t="str">
        <x:f>IF(785&gt;$H$4,"",IF(INDEX('Fleet dates'!$C$9:$C$1008,$I793-8)="","",INDEX('Fleet dates'!$C$9:$C$1008,$I793-8)))</x:f>
      </x:c>
      <x:c r="D793" s="51" t="str">
        <x:f>IF(785&gt;$H$4,"",IF(INDEX('Fleet dates'!$D$9:$D$1008,$I793-8)="","",INDEX('Fleet dates'!$D$9:$D$1008,$I793-8)))</x:f>
      </x:c>
      <x:c r="E793" s="51" t="str">
        <x:f>IF(785&gt;$H$4,"",IF(INDEX('Fleet dates'!$E$9:$E$1008,$I793-8)="","",INDEX('Fleet dates'!$E$9:$E$1008,$I793-8)))</x:f>
      </x:c>
      <x:c r="F793" s="51" t="str">
        <x:f>IF(785&gt;$H$4,"",IF(INDEX('Fleet dates'!$F$9:$F$1008,$I793-8)="","",INDEX('Fleet dates'!$F$9:$F$1008,$I793-8)))</x:f>
      </x:c>
      <x:c r="G793" s="50" t="str">
        <x:f>IF(785&gt;$H$4,"",IF(INDEX('Fleet dates'!$G$9:$G$1008,$I793-8)="","",INDEX('Fleet dates'!$G$9:$G$1008,$I793-8)))</x:f>
      </x:c>
      <x:c r="H793" s="50" t="str">
        <x:f>IF(785&gt;$H$4,"",IF(INDEX('Fleet dates'!$I$9:$I$1008,$I793-8)="","",INDEX('Fleet dates'!$I$9:$I$1008,$I793-8)))</x:f>
      </x:c>
      <x:c r="I793" t="str">
        <x:f>IF(785&gt;$H$4,"",MATCH(785,'Fleet dates'!$K$9:$K$1008,0)+8)</x:f>
      </x:c>
    </x:row>
    <x:row r="794" ht="36" customHeight="1">
      <x:c r="A794" s="50" t="str">
        <x:f>IF(786&gt;$H$4,"",IF(INDEX('Fleet dates'!$A$9:$A$1008,$I794-8)="","",INDEX('Fleet dates'!$A$9:$A$1008,$I794-8)))</x:f>
      </x:c>
      <x:c r="B794" s="50" t="str">
        <x:f>IF(786&gt;$H$4,"",IF(INDEX('Fleet dates'!$B$9:$B$1008,$I794-8)="","",INDEX('Fleet dates'!$B$9:$B$1008,$I794-8)))</x:f>
      </x:c>
      <x:c r="C794" s="51" t="str">
        <x:f>IF(786&gt;$H$4,"",IF(INDEX('Fleet dates'!$C$9:$C$1008,$I794-8)="","",INDEX('Fleet dates'!$C$9:$C$1008,$I794-8)))</x:f>
      </x:c>
      <x:c r="D794" s="51" t="str">
        <x:f>IF(786&gt;$H$4,"",IF(INDEX('Fleet dates'!$D$9:$D$1008,$I794-8)="","",INDEX('Fleet dates'!$D$9:$D$1008,$I794-8)))</x:f>
      </x:c>
      <x:c r="E794" s="51" t="str">
        <x:f>IF(786&gt;$H$4,"",IF(INDEX('Fleet dates'!$E$9:$E$1008,$I794-8)="","",INDEX('Fleet dates'!$E$9:$E$1008,$I794-8)))</x:f>
      </x:c>
      <x:c r="F794" s="51" t="str">
        <x:f>IF(786&gt;$H$4,"",IF(INDEX('Fleet dates'!$F$9:$F$1008,$I794-8)="","",INDEX('Fleet dates'!$F$9:$F$1008,$I794-8)))</x:f>
      </x:c>
      <x:c r="G794" s="50" t="str">
        <x:f>IF(786&gt;$H$4,"",IF(INDEX('Fleet dates'!$G$9:$G$1008,$I794-8)="","",INDEX('Fleet dates'!$G$9:$G$1008,$I794-8)))</x:f>
      </x:c>
      <x:c r="H794" s="50" t="str">
        <x:f>IF(786&gt;$H$4,"",IF(INDEX('Fleet dates'!$I$9:$I$1008,$I794-8)="","",INDEX('Fleet dates'!$I$9:$I$1008,$I794-8)))</x:f>
      </x:c>
      <x:c r="I794" t="str">
        <x:f>IF(786&gt;$H$4,"",MATCH(786,'Fleet dates'!$K$9:$K$1008,0)+8)</x:f>
      </x:c>
    </x:row>
    <x:row r="795" ht="36" customHeight="1">
      <x:c r="A795" s="50" t="str">
        <x:f>IF(787&gt;$H$4,"",IF(INDEX('Fleet dates'!$A$9:$A$1008,$I795-8)="","",INDEX('Fleet dates'!$A$9:$A$1008,$I795-8)))</x:f>
      </x:c>
      <x:c r="B795" s="50" t="str">
        <x:f>IF(787&gt;$H$4,"",IF(INDEX('Fleet dates'!$B$9:$B$1008,$I795-8)="","",INDEX('Fleet dates'!$B$9:$B$1008,$I795-8)))</x:f>
      </x:c>
      <x:c r="C795" s="51" t="str">
        <x:f>IF(787&gt;$H$4,"",IF(INDEX('Fleet dates'!$C$9:$C$1008,$I795-8)="","",INDEX('Fleet dates'!$C$9:$C$1008,$I795-8)))</x:f>
      </x:c>
      <x:c r="D795" s="51" t="str">
        <x:f>IF(787&gt;$H$4,"",IF(INDEX('Fleet dates'!$D$9:$D$1008,$I795-8)="","",INDEX('Fleet dates'!$D$9:$D$1008,$I795-8)))</x:f>
      </x:c>
      <x:c r="E795" s="51" t="str">
        <x:f>IF(787&gt;$H$4,"",IF(INDEX('Fleet dates'!$E$9:$E$1008,$I795-8)="","",INDEX('Fleet dates'!$E$9:$E$1008,$I795-8)))</x:f>
      </x:c>
      <x:c r="F795" s="51" t="str">
        <x:f>IF(787&gt;$H$4,"",IF(INDEX('Fleet dates'!$F$9:$F$1008,$I795-8)="","",INDEX('Fleet dates'!$F$9:$F$1008,$I795-8)))</x:f>
      </x:c>
      <x:c r="G795" s="50" t="str">
        <x:f>IF(787&gt;$H$4,"",IF(INDEX('Fleet dates'!$G$9:$G$1008,$I795-8)="","",INDEX('Fleet dates'!$G$9:$G$1008,$I795-8)))</x:f>
      </x:c>
      <x:c r="H795" s="50" t="str">
        <x:f>IF(787&gt;$H$4,"",IF(INDEX('Fleet dates'!$I$9:$I$1008,$I795-8)="","",INDEX('Fleet dates'!$I$9:$I$1008,$I795-8)))</x:f>
      </x:c>
      <x:c r="I795" t="str">
        <x:f>IF(787&gt;$H$4,"",MATCH(787,'Fleet dates'!$K$9:$K$1008,0)+8)</x:f>
      </x:c>
    </x:row>
    <x:row r="796" ht="36" customHeight="1">
      <x:c r="A796" s="50" t="str">
        <x:f>IF(788&gt;$H$4,"",IF(INDEX('Fleet dates'!$A$9:$A$1008,$I796-8)="","",INDEX('Fleet dates'!$A$9:$A$1008,$I796-8)))</x:f>
      </x:c>
      <x:c r="B796" s="50" t="str">
        <x:f>IF(788&gt;$H$4,"",IF(INDEX('Fleet dates'!$B$9:$B$1008,$I796-8)="","",INDEX('Fleet dates'!$B$9:$B$1008,$I796-8)))</x:f>
      </x:c>
      <x:c r="C796" s="51" t="str">
        <x:f>IF(788&gt;$H$4,"",IF(INDEX('Fleet dates'!$C$9:$C$1008,$I796-8)="","",INDEX('Fleet dates'!$C$9:$C$1008,$I796-8)))</x:f>
      </x:c>
      <x:c r="D796" s="51" t="str">
        <x:f>IF(788&gt;$H$4,"",IF(INDEX('Fleet dates'!$D$9:$D$1008,$I796-8)="","",INDEX('Fleet dates'!$D$9:$D$1008,$I796-8)))</x:f>
      </x:c>
      <x:c r="E796" s="51" t="str">
        <x:f>IF(788&gt;$H$4,"",IF(INDEX('Fleet dates'!$E$9:$E$1008,$I796-8)="","",INDEX('Fleet dates'!$E$9:$E$1008,$I796-8)))</x:f>
      </x:c>
      <x:c r="F796" s="51" t="str">
        <x:f>IF(788&gt;$H$4,"",IF(INDEX('Fleet dates'!$F$9:$F$1008,$I796-8)="","",INDEX('Fleet dates'!$F$9:$F$1008,$I796-8)))</x:f>
      </x:c>
      <x:c r="G796" s="50" t="str">
        <x:f>IF(788&gt;$H$4,"",IF(INDEX('Fleet dates'!$G$9:$G$1008,$I796-8)="","",INDEX('Fleet dates'!$G$9:$G$1008,$I796-8)))</x:f>
      </x:c>
      <x:c r="H796" s="50" t="str">
        <x:f>IF(788&gt;$H$4,"",IF(INDEX('Fleet dates'!$I$9:$I$1008,$I796-8)="","",INDEX('Fleet dates'!$I$9:$I$1008,$I796-8)))</x:f>
      </x:c>
      <x:c r="I796" t="str">
        <x:f>IF(788&gt;$H$4,"",MATCH(788,'Fleet dates'!$K$9:$K$1008,0)+8)</x:f>
      </x:c>
    </x:row>
    <x:row r="797" ht="36" customHeight="1">
      <x:c r="A797" s="50" t="str">
        <x:f>IF(789&gt;$H$4,"",IF(INDEX('Fleet dates'!$A$9:$A$1008,$I797-8)="","",INDEX('Fleet dates'!$A$9:$A$1008,$I797-8)))</x:f>
      </x:c>
      <x:c r="B797" s="50" t="str">
        <x:f>IF(789&gt;$H$4,"",IF(INDEX('Fleet dates'!$B$9:$B$1008,$I797-8)="","",INDEX('Fleet dates'!$B$9:$B$1008,$I797-8)))</x:f>
      </x:c>
      <x:c r="C797" s="51" t="str">
        <x:f>IF(789&gt;$H$4,"",IF(INDEX('Fleet dates'!$C$9:$C$1008,$I797-8)="","",INDEX('Fleet dates'!$C$9:$C$1008,$I797-8)))</x:f>
      </x:c>
      <x:c r="D797" s="51" t="str">
        <x:f>IF(789&gt;$H$4,"",IF(INDEX('Fleet dates'!$D$9:$D$1008,$I797-8)="","",INDEX('Fleet dates'!$D$9:$D$1008,$I797-8)))</x:f>
      </x:c>
      <x:c r="E797" s="51" t="str">
        <x:f>IF(789&gt;$H$4,"",IF(INDEX('Fleet dates'!$E$9:$E$1008,$I797-8)="","",INDEX('Fleet dates'!$E$9:$E$1008,$I797-8)))</x:f>
      </x:c>
      <x:c r="F797" s="51" t="str">
        <x:f>IF(789&gt;$H$4,"",IF(INDEX('Fleet dates'!$F$9:$F$1008,$I797-8)="","",INDEX('Fleet dates'!$F$9:$F$1008,$I797-8)))</x:f>
      </x:c>
      <x:c r="G797" s="50" t="str">
        <x:f>IF(789&gt;$H$4,"",IF(INDEX('Fleet dates'!$G$9:$G$1008,$I797-8)="","",INDEX('Fleet dates'!$G$9:$G$1008,$I797-8)))</x:f>
      </x:c>
      <x:c r="H797" s="50" t="str">
        <x:f>IF(789&gt;$H$4,"",IF(INDEX('Fleet dates'!$I$9:$I$1008,$I797-8)="","",INDEX('Fleet dates'!$I$9:$I$1008,$I797-8)))</x:f>
      </x:c>
      <x:c r="I797" t="str">
        <x:f>IF(789&gt;$H$4,"",MATCH(789,'Fleet dates'!$K$9:$K$1008,0)+8)</x:f>
      </x:c>
    </x:row>
    <x:row r="798" ht="36" customHeight="1">
      <x:c r="A798" s="50" t="str">
        <x:f>IF(790&gt;$H$4,"",IF(INDEX('Fleet dates'!$A$9:$A$1008,$I798-8)="","",INDEX('Fleet dates'!$A$9:$A$1008,$I798-8)))</x:f>
      </x:c>
      <x:c r="B798" s="50" t="str">
        <x:f>IF(790&gt;$H$4,"",IF(INDEX('Fleet dates'!$B$9:$B$1008,$I798-8)="","",INDEX('Fleet dates'!$B$9:$B$1008,$I798-8)))</x:f>
      </x:c>
      <x:c r="C798" s="51" t="str">
        <x:f>IF(790&gt;$H$4,"",IF(INDEX('Fleet dates'!$C$9:$C$1008,$I798-8)="","",INDEX('Fleet dates'!$C$9:$C$1008,$I798-8)))</x:f>
      </x:c>
      <x:c r="D798" s="51" t="str">
        <x:f>IF(790&gt;$H$4,"",IF(INDEX('Fleet dates'!$D$9:$D$1008,$I798-8)="","",INDEX('Fleet dates'!$D$9:$D$1008,$I798-8)))</x:f>
      </x:c>
      <x:c r="E798" s="51" t="str">
        <x:f>IF(790&gt;$H$4,"",IF(INDEX('Fleet dates'!$E$9:$E$1008,$I798-8)="","",INDEX('Fleet dates'!$E$9:$E$1008,$I798-8)))</x:f>
      </x:c>
      <x:c r="F798" s="51" t="str">
        <x:f>IF(790&gt;$H$4,"",IF(INDEX('Fleet dates'!$F$9:$F$1008,$I798-8)="","",INDEX('Fleet dates'!$F$9:$F$1008,$I798-8)))</x:f>
      </x:c>
      <x:c r="G798" s="50" t="str">
        <x:f>IF(790&gt;$H$4,"",IF(INDEX('Fleet dates'!$G$9:$G$1008,$I798-8)="","",INDEX('Fleet dates'!$G$9:$G$1008,$I798-8)))</x:f>
      </x:c>
      <x:c r="H798" s="50" t="str">
        <x:f>IF(790&gt;$H$4,"",IF(INDEX('Fleet dates'!$I$9:$I$1008,$I798-8)="","",INDEX('Fleet dates'!$I$9:$I$1008,$I798-8)))</x:f>
      </x:c>
      <x:c r="I798" t="str">
        <x:f>IF(790&gt;$H$4,"",MATCH(790,'Fleet dates'!$K$9:$K$1008,0)+8)</x:f>
      </x:c>
    </x:row>
    <x:row r="799" ht="36" customHeight="1">
      <x:c r="A799" s="50" t="str">
        <x:f>IF(791&gt;$H$4,"",IF(INDEX('Fleet dates'!$A$9:$A$1008,$I799-8)="","",INDEX('Fleet dates'!$A$9:$A$1008,$I799-8)))</x:f>
      </x:c>
      <x:c r="B799" s="50" t="str">
        <x:f>IF(791&gt;$H$4,"",IF(INDEX('Fleet dates'!$B$9:$B$1008,$I799-8)="","",INDEX('Fleet dates'!$B$9:$B$1008,$I799-8)))</x:f>
      </x:c>
      <x:c r="C799" s="51" t="str">
        <x:f>IF(791&gt;$H$4,"",IF(INDEX('Fleet dates'!$C$9:$C$1008,$I799-8)="","",INDEX('Fleet dates'!$C$9:$C$1008,$I799-8)))</x:f>
      </x:c>
      <x:c r="D799" s="51" t="str">
        <x:f>IF(791&gt;$H$4,"",IF(INDEX('Fleet dates'!$D$9:$D$1008,$I799-8)="","",INDEX('Fleet dates'!$D$9:$D$1008,$I799-8)))</x:f>
      </x:c>
      <x:c r="E799" s="51" t="str">
        <x:f>IF(791&gt;$H$4,"",IF(INDEX('Fleet dates'!$E$9:$E$1008,$I799-8)="","",INDEX('Fleet dates'!$E$9:$E$1008,$I799-8)))</x:f>
      </x:c>
      <x:c r="F799" s="51" t="str">
        <x:f>IF(791&gt;$H$4,"",IF(INDEX('Fleet dates'!$F$9:$F$1008,$I799-8)="","",INDEX('Fleet dates'!$F$9:$F$1008,$I799-8)))</x:f>
      </x:c>
      <x:c r="G799" s="50" t="str">
        <x:f>IF(791&gt;$H$4,"",IF(INDEX('Fleet dates'!$G$9:$G$1008,$I799-8)="","",INDEX('Fleet dates'!$G$9:$G$1008,$I799-8)))</x:f>
      </x:c>
      <x:c r="H799" s="50" t="str">
        <x:f>IF(791&gt;$H$4,"",IF(INDEX('Fleet dates'!$I$9:$I$1008,$I799-8)="","",INDEX('Fleet dates'!$I$9:$I$1008,$I799-8)))</x:f>
      </x:c>
      <x:c r="I799" t="str">
        <x:f>IF(791&gt;$H$4,"",MATCH(791,'Fleet dates'!$K$9:$K$1008,0)+8)</x:f>
      </x:c>
    </x:row>
    <x:row r="800" ht="36" customHeight="1">
      <x:c r="A800" s="50" t="str">
        <x:f>IF(792&gt;$H$4,"",IF(INDEX('Fleet dates'!$A$9:$A$1008,$I800-8)="","",INDEX('Fleet dates'!$A$9:$A$1008,$I800-8)))</x:f>
      </x:c>
      <x:c r="B800" s="50" t="str">
        <x:f>IF(792&gt;$H$4,"",IF(INDEX('Fleet dates'!$B$9:$B$1008,$I800-8)="","",INDEX('Fleet dates'!$B$9:$B$1008,$I800-8)))</x:f>
      </x:c>
      <x:c r="C800" s="51" t="str">
        <x:f>IF(792&gt;$H$4,"",IF(INDEX('Fleet dates'!$C$9:$C$1008,$I800-8)="","",INDEX('Fleet dates'!$C$9:$C$1008,$I800-8)))</x:f>
      </x:c>
      <x:c r="D800" s="51" t="str">
        <x:f>IF(792&gt;$H$4,"",IF(INDEX('Fleet dates'!$D$9:$D$1008,$I800-8)="","",INDEX('Fleet dates'!$D$9:$D$1008,$I800-8)))</x:f>
      </x:c>
      <x:c r="E800" s="51" t="str">
        <x:f>IF(792&gt;$H$4,"",IF(INDEX('Fleet dates'!$E$9:$E$1008,$I800-8)="","",INDEX('Fleet dates'!$E$9:$E$1008,$I800-8)))</x:f>
      </x:c>
      <x:c r="F800" s="51" t="str">
        <x:f>IF(792&gt;$H$4,"",IF(INDEX('Fleet dates'!$F$9:$F$1008,$I800-8)="","",INDEX('Fleet dates'!$F$9:$F$1008,$I800-8)))</x:f>
      </x:c>
      <x:c r="G800" s="50" t="str">
        <x:f>IF(792&gt;$H$4,"",IF(INDEX('Fleet dates'!$G$9:$G$1008,$I800-8)="","",INDEX('Fleet dates'!$G$9:$G$1008,$I800-8)))</x:f>
      </x:c>
      <x:c r="H800" s="50" t="str">
        <x:f>IF(792&gt;$H$4,"",IF(INDEX('Fleet dates'!$I$9:$I$1008,$I800-8)="","",INDEX('Fleet dates'!$I$9:$I$1008,$I800-8)))</x:f>
      </x:c>
      <x:c r="I800" t="str">
        <x:f>IF(792&gt;$H$4,"",MATCH(792,'Fleet dates'!$K$9:$K$1008,0)+8)</x:f>
      </x:c>
    </x:row>
    <x:row r="801" ht="36" customHeight="1">
      <x:c r="A801" s="50" t="str">
        <x:f>IF(793&gt;$H$4,"",IF(INDEX('Fleet dates'!$A$9:$A$1008,$I801-8)="","",INDEX('Fleet dates'!$A$9:$A$1008,$I801-8)))</x:f>
      </x:c>
      <x:c r="B801" s="50" t="str">
        <x:f>IF(793&gt;$H$4,"",IF(INDEX('Fleet dates'!$B$9:$B$1008,$I801-8)="","",INDEX('Fleet dates'!$B$9:$B$1008,$I801-8)))</x:f>
      </x:c>
      <x:c r="C801" s="51" t="str">
        <x:f>IF(793&gt;$H$4,"",IF(INDEX('Fleet dates'!$C$9:$C$1008,$I801-8)="","",INDEX('Fleet dates'!$C$9:$C$1008,$I801-8)))</x:f>
      </x:c>
      <x:c r="D801" s="51" t="str">
        <x:f>IF(793&gt;$H$4,"",IF(INDEX('Fleet dates'!$D$9:$D$1008,$I801-8)="","",INDEX('Fleet dates'!$D$9:$D$1008,$I801-8)))</x:f>
      </x:c>
      <x:c r="E801" s="51" t="str">
        <x:f>IF(793&gt;$H$4,"",IF(INDEX('Fleet dates'!$E$9:$E$1008,$I801-8)="","",INDEX('Fleet dates'!$E$9:$E$1008,$I801-8)))</x:f>
      </x:c>
      <x:c r="F801" s="51" t="str">
        <x:f>IF(793&gt;$H$4,"",IF(INDEX('Fleet dates'!$F$9:$F$1008,$I801-8)="","",INDEX('Fleet dates'!$F$9:$F$1008,$I801-8)))</x:f>
      </x:c>
      <x:c r="G801" s="50" t="str">
        <x:f>IF(793&gt;$H$4,"",IF(INDEX('Fleet dates'!$G$9:$G$1008,$I801-8)="","",INDEX('Fleet dates'!$G$9:$G$1008,$I801-8)))</x:f>
      </x:c>
      <x:c r="H801" s="50" t="str">
        <x:f>IF(793&gt;$H$4,"",IF(INDEX('Fleet dates'!$I$9:$I$1008,$I801-8)="","",INDEX('Fleet dates'!$I$9:$I$1008,$I801-8)))</x:f>
      </x:c>
      <x:c r="I801" t="str">
        <x:f>IF(793&gt;$H$4,"",MATCH(793,'Fleet dates'!$K$9:$K$1008,0)+8)</x:f>
      </x:c>
    </x:row>
    <x:row r="802" ht="36" customHeight="1">
      <x:c r="A802" s="50" t="str">
        <x:f>IF(794&gt;$H$4,"",IF(INDEX('Fleet dates'!$A$9:$A$1008,$I802-8)="","",INDEX('Fleet dates'!$A$9:$A$1008,$I802-8)))</x:f>
      </x:c>
      <x:c r="B802" s="50" t="str">
        <x:f>IF(794&gt;$H$4,"",IF(INDEX('Fleet dates'!$B$9:$B$1008,$I802-8)="","",INDEX('Fleet dates'!$B$9:$B$1008,$I802-8)))</x:f>
      </x:c>
      <x:c r="C802" s="51" t="str">
        <x:f>IF(794&gt;$H$4,"",IF(INDEX('Fleet dates'!$C$9:$C$1008,$I802-8)="","",INDEX('Fleet dates'!$C$9:$C$1008,$I802-8)))</x:f>
      </x:c>
      <x:c r="D802" s="51" t="str">
        <x:f>IF(794&gt;$H$4,"",IF(INDEX('Fleet dates'!$D$9:$D$1008,$I802-8)="","",INDEX('Fleet dates'!$D$9:$D$1008,$I802-8)))</x:f>
      </x:c>
      <x:c r="E802" s="51" t="str">
        <x:f>IF(794&gt;$H$4,"",IF(INDEX('Fleet dates'!$E$9:$E$1008,$I802-8)="","",INDEX('Fleet dates'!$E$9:$E$1008,$I802-8)))</x:f>
      </x:c>
      <x:c r="F802" s="51" t="str">
        <x:f>IF(794&gt;$H$4,"",IF(INDEX('Fleet dates'!$F$9:$F$1008,$I802-8)="","",INDEX('Fleet dates'!$F$9:$F$1008,$I802-8)))</x:f>
      </x:c>
      <x:c r="G802" s="50" t="str">
        <x:f>IF(794&gt;$H$4,"",IF(INDEX('Fleet dates'!$G$9:$G$1008,$I802-8)="","",INDEX('Fleet dates'!$G$9:$G$1008,$I802-8)))</x:f>
      </x:c>
      <x:c r="H802" s="50" t="str">
        <x:f>IF(794&gt;$H$4,"",IF(INDEX('Fleet dates'!$I$9:$I$1008,$I802-8)="","",INDEX('Fleet dates'!$I$9:$I$1008,$I802-8)))</x:f>
      </x:c>
      <x:c r="I802" t="str">
        <x:f>IF(794&gt;$H$4,"",MATCH(794,'Fleet dates'!$K$9:$K$1008,0)+8)</x:f>
      </x:c>
    </x:row>
    <x:row r="803" ht="36" customHeight="1">
      <x:c r="A803" s="50" t="str">
        <x:f>IF(795&gt;$H$4,"",IF(INDEX('Fleet dates'!$A$9:$A$1008,$I803-8)="","",INDEX('Fleet dates'!$A$9:$A$1008,$I803-8)))</x:f>
      </x:c>
      <x:c r="B803" s="50" t="str">
        <x:f>IF(795&gt;$H$4,"",IF(INDEX('Fleet dates'!$B$9:$B$1008,$I803-8)="","",INDEX('Fleet dates'!$B$9:$B$1008,$I803-8)))</x:f>
      </x:c>
      <x:c r="C803" s="51" t="str">
        <x:f>IF(795&gt;$H$4,"",IF(INDEX('Fleet dates'!$C$9:$C$1008,$I803-8)="","",INDEX('Fleet dates'!$C$9:$C$1008,$I803-8)))</x:f>
      </x:c>
      <x:c r="D803" s="51" t="str">
        <x:f>IF(795&gt;$H$4,"",IF(INDEX('Fleet dates'!$D$9:$D$1008,$I803-8)="","",INDEX('Fleet dates'!$D$9:$D$1008,$I803-8)))</x:f>
      </x:c>
      <x:c r="E803" s="51" t="str">
        <x:f>IF(795&gt;$H$4,"",IF(INDEX('Fleet dates'!$E$9:$E$1008,$I803-8)="","",INDEX('Fleet dates'!$E$9:$E$1008,$I803-8)))</x:f>
      </x:c>
      <x:c r="F803" s="51" t="str">
        <x:f>IF(795&gt;$H$4,"",IF(INDEX('Fleet dates'!$F$9:$F$1008,$I803-8)="","",INDEX('Fleet dates'!$F$9:$F$1008,$I803-8)))</x:f>
      </x:c>
      <x:c r="G803" s="50" t="str">
        <x:f>IF(795&gt;$H$4,"",IF(INDEX('Fleet dates'!$G$9:$G$1008,$I803-8)="","",INDEX('Fleet dates'!$G$9:$G$1008,$I803-8)))</x:f>
      </x:c>
      <x:c r="H803" s="50" t="str">
        <x:f>IF(795&gt;$H$4,"",IF(INDEX('Fleet dates'!$I$9:$I$1008,$I803-8)="","",INDEX('Fleet dates'!$I$9:$I$1008,$I803-8)))</x:f>
      </x:c>
      <x:c r="I803" t="str">
        <x:f>IF(795&gt;$H$4,"",MATCH(795,'Fleet dates'!$K$9:$K$1008,0)+8)</x:f>
      </x:c>
    </x:row>
    <x:row r="804" ht="36" customHeight="1">
      <x:c r="A804" s="50" t="str">
        <x:f>IF(796&gt;$H$4,"",IF(INDEX('Fleet dates'!$A$9:$A$1008,$I804-8)="","",INDEX('Fleet dates'!$A$9:$A$1008,$I804-8)))</x:f>
      </x:c>
      <x:c r="B804" s="50" t="str">
        <x:f>IF(796&gt;$H$4,"",IF(INDEX('Fleet dates'!$B$9:$B$1008,$I804-8)="","",INDEX('Fleet dates'!$B$9:$B$1008,$I804-8)))</x:f>
      </x:c>
      <x:c r="C804" s="51" t="str">
        <x:f>IF(796&gt;$H$4,"",IF(INDEX('Fleet dates'!$C$9:$C$1008,$I804-8)="","",INDEX('Fleet dates'!$C$9:$C$1008,$I804-8)))</x:f>
      </x:c>
      <x:c r="D804" s="51" t="str">
        <x:f>IF(796&gt;$H$4,"",IF(INDEX('Fleet dates'!$D$9:$D$1008,$I804-8)="","",INDEX('Fleet dates'!$D$9:$D$1008,$I804-8)))</x:f>
      </x:c>
      <x:c r="E804" s="51" t="str">
        <x:f>IF(796&gt;$H$4,"",IF(INDEX('Fleet dates'!$E$9:$E$1008,$I804-8)="","",INDEX('Fleet dates'!$E$9:$E$1008,$I804-8)))</x:f>
      </x:c>
      <x:c r="F804" s="51" t="str">
        <x:f>IF(796&gt;$H$4,"",IF(INDEX('Fleet dates'!$F$9:$F$1008,$I804-8)="","",INDEX('Fleet dates'!$F$9:$F$1008,$I804-8)))</x:f>
      </x:c>
      <x:c r="G804" s="50" t="str">
        <x:f>IF(796&gt;$H$4,"",IF(INDEX('Fleet dates'!$G$9:$G$1008,$I804-8)="","",INDEX('Fleet dates'!$G$9:$G$1008,$I804-8)))</x:f>
      </x:c>
      <x:c r="H804" s="50" t="str">
        <x:f>IF(796&gt;$H$4,"",IF(INDEX('Fleet dates'!$I$9:$I$1008,$I804-8)="","",INDEX('Fleet dates'!$I$9:$I$1008,$I804-8)))</x:f>
      </x:c>
      <x:c r="I804" t="str">
        <x:f>IF(796&gt;$H$4,"",MATCH(796,'Fleet dates'!$K$9:$K$1008,0)+8)</x:f>
      </x:c>
    </x:row>
    <x:row r="805" ht="36" customHeight="1">
      <x:c r="A805" s="50" t="str">
        <x:f>IF(797&gt;$H$4,"",IF(INDEX('Fleet dates'!$A$9:$A$1008,$I805-8)="","",INDEX('Fleet dates'!$A$9:$A$1008,$I805-8)))</x:f>
      </x:c>
      <x:c r="B805" s="50" t="str">
        <x:f>IF(797&gt;$H$4,"",IF(INDEX('Fleet dates'!$B$9:$B$1008,$I805-8)="","",INDEX('Fleet dates'!$B$9:$B$1008,$I805-8)))</x:f>
      </x:c>
      <x:c r="C805" s="51" t="str">
        <x:f>IF(797&gt;$H$4,"",IF(INDEX('Fleet dates'!$C$9:$C$1008,$I805-8)="","",INDEX('Fleet dates'!$C$9:$C$1008,$I805-8)))</x:f>
      </x:c>
      <x:c r="D805" s="51" t="str">
        <x:f>IF(797&gt;$H$4,"",IF(INDEX('Fleet dates'!$D$9:$D$1008,$I805-8)="","",INDEX('Fleet dates'!$D$9:$D$1008,$I805-8)))</x:f>
      </x:c>
      <x:c r="E805" s="51" t="str">
        <x:f>IF(797&gt;$H$4,"",IF(INDEX('Fleet dates'!$E$9:$E$1008,$I805-8)="","",INDEX('Fleet dates'!$E$9:$E$1008,$I805-8)))</x:f>
      </x:c>
      <x:c r="F805" s="51" t="str">
        <x:f>IF(797&gt;$H$4,"",IF(INDEX('Fleet dates'!$F$9:$F$1008,$I805-8)="","",INDEX('Fleet dates'!$F$9:$F$1008,$I805-8)))</x:f>
      </x:c>
      <x:c r="G805" s="50" t="str">
        <x:f>IF(797&gt;$H$4,"",IF(INDEX('Fleet dates'!$G$9:$G$1008,$I805-8)="","",INDEX('Fleet dates'!$G$9:$G$1008,$I805-8)))</x:f>
      </x:c>
      <x:c r="H805" s="50" t="str">
        <x:f>IF(797&gt;$H$4,"",IF(INDEX('Fleet dates'!$I$9:$I$1008,$I805-8)="","",INDEX('Fleet dates'!$I$9:$I$1008,$I805-8)))</x:f>
      </x:c>
      <x:c r="I805" t="str">
        <x:f>IF(797&gt;$H$4,"",MATCH(797,'Fleet dates'!$K$9:$K$1008,0)+8)</x:f>
      </x:c>
    </x:row>
    <x:row r="806" ht="36" customHeight="1">
      <x:c r="A806" s="50" t="str">
        <x:f>IF(798&gt;$H$4,"",IF(INDEX('Fleet dates'!$A$9:$A$1008,$I806-8)="","",INDEX('Fleet dates'!$A$9:$A$1008,$I806-8)))</x:f>
      </x:c>
      <x:c r="B806" s="50" t="str">
        <x:f>IF(798&gt;$H$4,"",IF(INDEX('Fleet dates'!$B$9:$B$1008,$I806-8)="","",INDEX('Fleet dates'!$B$9:$B$1008,$I806-8)))</x:f>
      </x:c>
      <x:c r="C806" s="51" t="str">
        <x:f>IF(798&gt;$H$4,"",IF(INDEX('Fleet dates'!$C$9:$C$1008,$I806-8)="","",INDEX('Fleet dates'!$C$9:$C$1008,$I806-8)))</x:f>
      </x:c>
      <x:c r="D806" s="51" t="str">
        <x:f>IF(798&gt;$H$4,"",IF(INDEX('Fleet dates'!$D$9:$D$1008,$I806-8)="","",INDEX('Fleet dates'!$D$9:$D$1008,$I806-8)))</x:f>
      </x:c>
      <x:c r="E806" s="51" t="str">
        <x:f>IF(798&gt;$H$4,"",IF(INDEX('Fleet dates'!$E$9:$E$1008,$I806-8)="","",INDEX('Fleet dates'!$E$9:$E$1008,$I806-8)))</x:f>
      </x:c>
      <x:c r="F806" s="51" t="str">
        <x:f>IF(798&gt;$H$4,"",IF(INDEX('Fleet dates'!$F$9:$F$1008,$I806-8)="","",INDEX('Fleet dates'!$F$9:$F$1008,$I806-8)))</x:f>
      </x:c>
      <x:c r="G806" s="50" t="str">
        <x:f>IF(798&gt;$H$4,"",IF(INDEX('Fleet dates'!$G$9:$G$1008,$I806-8)="","",INDEX('Fleet dates'!$G$9:$G$1008,$I806-8)))</x:f>
      </x:c>
      <x:c r="H806" s="50" t="str">
        <x:f>IF(798&gt;$H$4,"",IF(INDEX('Fleet dates'!$I$9:$I$1008,$I806-8)="","",INDEX('Fleet dates'!$I$9:$I$1008,$I806-8)))</x:f>
      </x:c>
      <x:c r="I806" t="str">
        <x:f>IF(798&gt;$H$4,"",MATCH(798,'Fleet dates'!$K$9:$K$1008,0)+8)</x:f>
      </x:c>
    </x:row>
    <x:row r="807" ht="36" customHeight="1">
      <x:c r="A807" s="50" t="str">
        <x:f>IF(799&gt;$H$4,"",IF(INDEX('Fleet dates'!$A$9:$A$1008,$I807-8)="","",INDEX('Fleet dates'!$A$9:$A$1008,$I807-8)))</x:f>
      </x:c>
      <x:c r="B807" s="50" t="str">
        <x:f>IF(799&gt;$H$4,"",IF(INDEX('Fleet dates'!$B$9:$B$1008,$I807-8)="","",INDEX('Fleet dates'!$B$9:$B$1008,$I807-8)))</x:f>
      </x:c>
      <x:c r="C807" s="51" t="str">
        <x:f>IF(799&gt;$H$4,"",IF(INDEX('Fleet dates'!$C$9:$C$1008,$I807-8)="","",INDEX('Fleet dates'!$C$9:$C$1008,$I807-8)))</x:f>
      </x:c>
      <x:c r="D807" s="51" t="str">
        <x:f>IF(799&gt;$H$4,"",IF(INDEX('Fleet dates'!$D$9:$D$1008,$I807-8)="","",INDEX('Fleet dates'!$D$9:$D$1008,$I807-8)))</x:f>
      </x:c>
      <x:c r="E807" s="51" t="str">
        <x:f>IF(799&gt;$H$4,"",IF(INDEX('Fleet dates'!$E$9:$E$1008,$I807-8)="","",INDEX('Fleet dates'!$E$9:$E$1008,$I807-8)))</x:f>
      </x:c>
      <x:c r="F807" s="51" t="str">
        <x:f>IF(799&gt;$H$4,"",IF(INDEX('Fleet dates'!$F$9:$F$1008,$I807-8)="","",INDEX('Fleet dates'!$F$9:$F$1008,$I807-8)))</x:f>
      </x:c>
      <x:c r="G807" s="50" t="str">
        <x:f>IF(799&gt;$H$4,"",IF(INDEX('Fleet dates'!$G$9:$G$1008,$I807-8)="","",INDEX('Fleet dates'!$G$9:$G$1008,$I807-8)))</x:f>
      </x:c>
      <x:c r="H807" s="50" t="str">
        <x:f>IF(799&gt;$H$4,"",IF(INDEX('Fleet dates'!$I$9:$I$1008,$I807-8)="","",INDEX('Fleet dates'!$I$9:$I$1008,$I807-8)))</x:f>
      </x:c>
      <x:c r="I807" t="str">
        <x:f>IF(799&gt;$H$4,"",MATCH(799,'Fleet dates'!$K$9:$K$1008,0)+8)</x:f>
      </x:c>
    </x:row>
    <x:row r="808" ht="36" customHeight="1">
      <x:c r="A808" s="50" t="str">
        <x:f>IF(800&gt;$H$4,"",IF(INDEX('Fleet dates'!$A$9:$A$1008,$I808-8)="","",INDEX('Fleet dates'!$A$9:$A$1008,$I808-8)))</x:f>
      </x:c>
      <x:c r="B808" s="50" t="str">
        <x:f>IF(800&gt;$H$4,"",IF(INDEX('Fleet dates'!$B$9:$B$1008,$I808-8)="","",INDEX('Fleet dates'!$B$9:$B$1008,$I808-8)))</x:f>
      </x:c>
      <x:c r="C808" s="51" t="str">
        <x:f>IF(800&gt;$H$4,"",IF(INDEX('Fleet dates'!$C$9:$C$1008,$I808-8)="","",INDEX('Fleet dates'!$C$9:$C$1008,$I808-8)))</x:f>
      </x:c>
      <x:c r="D808" s="51" t="str">
        <x:f>IF(800&gt;$H$4,"",IF(INDEX('Fleet dates'!$D$9:$D$1008,$I808-8)="","",INDEX('Fleet dates'!$D$9:$D$1008,$I808-8)))</x:f>
      </x:c>
      <x:c r="E808" s="51" t="str">
        <x:f>IF(800&gt;$H$4,"",IF(INDEX('Fleet dates'!$E$9:$E$1008,$I808-8)="","",INDEX('Fleet dates'!$E$9:$E$1008,$I808-8)))</x:f>
      </x:c>
      <x:c r="F808" s="51" t="str">
        <x:f>IF(800&gt;$H$4,"",IF(INDEX('Fleet dates'!$F$9:$F$1008,$I808-8)="","",INDEX('Fleet dates'!$F$9:$F$1008,$I808-8)))</x:f>
      </x:c>
      <x:c r="G808" s="50" t="str">
        <x:f>IF(800&gt;$H$4,"",IF(INDEX('Fleet dates'!$G$9:$G$1008,$I808-8)="","",INDEX('Fleet dates'!$G$9:$G$1008,$I808-8)))</x:f>
      </x:c>
      <x:c r="H808" s="50" t="str">
        <x:f>IF(800&gt;$H$4,"",IF(INDEX('Fleet dates'!$I$9:$I$1008,$I808-8)="","",INDEX('Fleet dates'!$I$9:$I$1008,$I808-8)))</x:f>
      </x:c>
      <x:c r="I808" t="str">
        <x:f>IF(800&gt;$H$4,"",MATCH(800,'Fleet dates'!$K$9:$K$1008,0)+8)</x:f>
      </x:c>
    </x:row>
    <x:row r="809" ht="36" customHeight="1">
      <x:c r="A809" s="50" t="str">
        <x:f>IF(801&gt;$H$4,"",IF(INDEX('Fleet dates'!$A$9:$A$1008,$I809-8)="","",INDEX('Fleet dates'!$A$9:$A$1008,$I809-8)))</x:f>
      </x:c>
      <x:c r="B809" s="50" t="str">
        <x:f>IF(801&gt;$H$4,"",IF(INDEX('Fleet dates'!$B$9:$B$1008,$I809-8)="","",INDEX('Fleet dates'!$B$9:$B$1008,$I809-8)))</x:f>
      </x:c>
      <x:c r="C809" s="51" t="str">
        <x:f>IF(801&gt;$H$4,"",IF(INDEX('Fleet dates'!$C$9:$C$1008,$I809-8)="","",INDEX('Fleet dates'!$C$9:$C$1008,$I809-8)))</x:f>
      </x:c>
      <x:c r="D809" s="51" t="str">
        <x:f>IF(801&gt;$H$4,"",IF(INDEX('Fleet dates'!$D$9:$D$1008,$I809-8)="","",INDEX('Fleet dates'!$D$9:$D$1008,$I809-8)))</x:f>
      </x:c>
      <x:c r="E809" s="51" t="str">
        <x:f>IF(801&gt;$H$4,"",IF(INDEX('Fleet dates'!$E$9:$E$1008,$I809-8)="","",INDEX('Fleet dates'!$E$9:$E$1008,$I809-8)))</x:f>
      </x:c>
      <x:c r="F809" s="51" t="str">
        <x:f>IF(801&gt;$H$4,"",IF(INDEX('Fleet dates'!$F$9:$F$1008,$I809-8)="","",INDEX('Fleet dates'!$F$9:$F$1008,$I809-8)))</x:f>
      </x:c>
      <x:c r="G809" s="50" t="str">
        <x:f>IF(801&gt;$H$4,"",IF(INDEX('Fleet dates'!$G$9:$G$1008,$I809-8)="","",INDEX('Fleet dates'!$G$9:$G$1008,$I809-8)))</x:f>
      </x:c>
      <x:c r="H809" s="50" t="str">
        <x:f>IF(801&gt;$H$4,"",IF(INDEX('Fleet dates'!$I$9:$I$1008,$I809-8)="","",INDEX('Fleet dates'!$I$9:$I$1008,$I809-8)))</x:f>
      </x:c>
      <x:c r="I809" t="str">
        <x:f>IF(801&gt;$H$4,"",MATCH(801,'Fleet dates'!$K$9:$K$1008,0)+8)</x:f>
      </x:c>
    </x:row>
    <x:row r="810" ht="36" customHeight="1">
      <x:c r="A810" s="50" t="str">
        <x:f>IF(802&gt;$H$4,"",IF(INDEX('Fleet dates'!$A$9:$A$1008,$I810-8)="","",INDEX('Fleet dates'!$A$9:$A$1008,$I810-8)))</x:f>
      </x:c>
      <x:c r="B810" s="50" t="str">
        <x:f>IF(802&gt;$H$4,"",IF(INDEX('Fleet dates'!$B$9:$B$1008,$I810-8)="","",INDEX('Fleet dates'!$B$9:$B$1008,$I810-8)))</x:f>
      </x:c>
      <x:c r="C810" s="51" t="str">
        <x:f>IF(802&gt;$H$4,"",IF(INDEX('Fleet dates'!$C$9:$C$1008,$I810-8)="","",INDEX('Fleet dates'!$C$9:$C$1008,$I810-8)))</x:f>
      </x:c>
      <x:c r="D810" s="51" t="str">
        <x:f>IF(802&gt;$H$4,"",IF(INDEX('Fleet dates'!$D$9:$D$1008,$I810-8)="","",INDEX('Fleet dates'!$D$9:$D$1008,$I810-8)))</x:f>
      </x:c>
      <x:c r="E810" s="51" t="str">
        <x:f>IF(802&gt;$H$4,"",IF(INDEX('Fleet dates'!$E$9:$E$1008,$I810-8)="","",INDEX('Fleet dates'!$E$9:$E$1008,$I810-8)))</x:f>
      </x:c>
      <x:c r="F810" s="51" t="str">
        <x:f>IF(802&gt;$H$4,"",IF(INDEX('Fleet dates'!$F$9:$F$1008,$I810-8)="","",INDEX('Fleet dates'!$F$9:$F$1008,$I810-8)))</x:f>
      </x:c>
      <x:c r="G810" s="50" t="str">
        <x:f>IF(802&gt;$H$4,"",IF(INDEX('Fleet dates'!$G$9:$G$1008,$I810-8)="","",INDEX('Fleet dates'!$G$9:$G$1008,$I810-8)))</x:f>
      </x:c>
      <x:c r="H810" s="50" t="str">
        <x:f>IF(802&gt;$H$4,"",IF(INDEX('Fleet dates'!$I$9:$I$1008,$I810-8)="","",INDEX('Fleet dates'!$I$9:$I$1008,$I810-8)))</x:f>
      </x:c>
      <x:c r="I810" t="str">
        <x:f>IF(802&gt;$H$4,"",MATCH(802,'Fleet dates'!$K$9:$K$1008,0)+8)</x:f>
      </x:c>
    </x:row>
    <x:row r="811" ht="36" customHeight="1">
      <x:c r="A811" s="50" t="str">
        <x:f>IF(803&gt;$H$4,"",IF(INDEX('Fleet dates'!$A$9:$A$1008,$I811-8)="","",INDEX('Fleet dates'!$A$9:$A$1008,$I811-8)))</x:f>
      </x:c>
      <x:c r="B811" s="50" t="str">
        <x:f>IF(803&gt;$H$4,"",IF(INDEX('Fleet dates'!$B$9:$B$1008,$I811-8)="","",INDEX('Fleet dates'!$B$9:$B$1008,$I811-8)))</x:f>
      </x:c>
      <x:c r="C811" s="51" t="str">
        <x:f>IF(803&gt;$H$4,"",IF(INDEX('Fleet dates'!$C$9:$C$1008,$I811-8)="","",INDEX('Fleet dates'!$C$9:$C$1008,$I811-8)))</x:f>
      </x:c>
      <x:c r="D811" s="51" t="str">
        <x:f>IF(803&gt;$H$4,"",IF(INDEX('Fleet dates'!$D$9:$D$1008,$I811-8)="","",INDEX('Fleet dates'!$D$9:$D$1008,$I811-8)))</x:f>
      </x:c>
      <x:c r="E811" s="51" t="str">
        <x:f>IF(803&gt;$H$4,"",IF(INDEX('Fleet dates'!$E$9:$E$1008,$I811-8)="","",INDEX('Fleet dates'!$E$9:$E$1008,$I811-8)))</x:f>
      </x:c>
      <x:c r="F811" s="51" t="str">
        <x:f>IF(803&gt;$H$4,"",IF(INDEX('Fleet dates'!$F$9:$F$1008,$I811-8)="","",INDEX('Fleet dates'!$F$9:$F$1008,$I811-8)))</x:f>
      </x:c>
      <x:c r="G811" s="50" t="str">
        <x:f>IF(803&gt;$H$4,"",IF(INDEX('Fleet dates'!$G$9:$G$1008,$I811-8)="","",INDEX('Fleet dates'!$G$9:$G$1008,$I811-8)))</x:f>
      </x:c>
      <x:c r="H811" s="50" t="str">
        <x:f>IF(803&gt;$H$4,"",IF(INDEX('Fleet dates'!$I$9:$I$1008,$I811-8)="","",INDEX('Fleet dates'!$I$9:$I$1008,$I811-8)))</x:f>
      </x:c>
      <x:c r="I811" t="str">
        <x:f>IF(803&gt;$H$4,"",MATCH(803,'Fleet dates'!$K$9:$K$1008,0)+8)</x:f>
      </x:c>
    </x:row>
    <x:row r="812" ht="36" customHeight="1">
      <x:c r="A812" s="50" t="str">
        <x:f>IF(804&gt;$H$4,"",IF(INDEX('Fleet dates'!$A$9:$A$1008,$I812-8)="","",INDEX('Fleet dates'!$A$9:$A$1008,$I812-8)))</x:f>
      </x:c>
      <x:c r="B812" s="50" t="str">
        <x:f>IF(804&gt;$H$4,"",IF(INDEX('Fleet dates'!$B$9:$B$1008,$I812-8)="","",INDEX('Fleet dates'!$B$9:$B$1008,$I812-8)))</x:f>
      </x:c>
      <x:c r="C812" s="51" t="str">
        <x:f>IF(804&gt;$H$4,"",IF(INDEX('Fleet dates'!$C$9:$C$1008,$I812-8)="","",INDEX('Fleet dates'!$C$9:$C$1008,$I812-8)))</x:f>
      </x:c>
      <x:c r="D812" s="51" t="str">
        <x:f>IF(804&gt;$H$4,"",IF(INDEX('Fleet dates'!$D$9:$D$1008,$I812-8)="","",INDEX('Fleet dates'!$D$9:$D$1008,$I812-8)))</x:f>
      </x:c>
      <x:c r="E812" s="51" t="str">
        <x:f>IF(804&gt;$H$4,"",IF(INDEX('Fleet dates'!$E$9:$E$1008,$I812-8)="","",INDEX('Fleet dates'!$E$9:$E$1008,$I812-8)))</x:f>
      </x:c>
      <x:c r="F812" s="51" t="str">
        <x:f>IF(804&gt;$H$4,"",IF(INDEX('Fleet dates'!$F$9:$F$1008,$I812-8)="","",INDEX('Fleet dates'!$F$9:$F$1008,$I812-8)))</x:f>
      </x:c>
      <x:c r="G812" s="50" t="str">
        <x:f>IF(804&gt;$H$4,"",IF(INDEX('Fleet dates'!$G$9:$G$1008,$I812-8)="","",INDEX('Fleet dates'!$G$9:$G$1008,$I812-8)))</x:f>
      </x:c>
      <x:c r="H812" s="50" t="str">
        <x:f>IF(804&gt;$H$4,"",IF(INDEX('Fleet dates'!$I$9:$I$1008,$I812-8)="","",INDEX('Fleet dates'!$I$9:$I$1008,$I812-8)))</x:f>
      </x:c>
      <x:c r="I812" t="str">
        <x:f>IF(804&gt;$H$4,"",MATCH(804,'Fleet dates'!$K$9:$K$1008,0)+8)</x:f>
      </x:c>
    </x:row>
    <x:row r="813" ht="36" customHeight="1">
      <x:c r="A813" s="50" t="str">
        <x:f>IF(805&gt;$H$4,"",IF(INDEX('Fleet dates'!$A$9:$A$1008,$I813-8)="","",INDEX('Fleet dates'!$A$9:$A$1008,$I813-8)))</x:f>
      </x:c>
      <x:c r="B813" s="50" t="str">
        <x:f>IF(805&gt;$H$4,"",IF(INDEX('Fleet dates'!$B$9:$B$1008,$I813-8)="","",INDEX('Fleet dates'!$B$9:$B$1008,$I813-8)))</x:f>
      </x:c>
      <x:c r="C813" s="51" t="str">
        <x:f>IF(805&gt;$H$4,"",IF(INDEX('Fleet dates'!$C$9:$C$1008,$I813-8)="","",INDEX('Fleet dates'!$C$9:$C$1008,$I813-8)))</x:f>
      </x:c>
      <x:c r="D813" s="51" t="str">
        <x:f>IF(805&gt;$H$4,"",IF(INDEX('Fleet dates'!$D$9:$D$1008,$I813-8)="","",INDEX('Fleet dates'!$D$9:$D$1008,$I813-8)))</x:f>
      </x:c>
      <x:c r="E813" s="51" t="str">
        <x:f>IF(805&gt;$H$4,"",IF(INDEX('Fleet dates'!$E$9:$E$1008,$I813-8)="","",INDEX('Fleet dates'!$E$9:$E$1008,$I813-8)))</x:f>
      </x:c>
      <x:c r="F813" s="51" t="str">
        <x:f>IF(805&gt;$H$4,"",IF(INDEX('Fleet dates'!$F$9:$F$1008,$I813-8)="","",INDEX('Fleet dates'!$F$9:$F$1008,$I813-8)))</x:f>
      </x:c>
      <x:c r="G813" s="50" t="str">
        <x:f>IF(805&gt;$H$4,"",IF(INDEX('Fleet dates'!$G$9:$G$1008,$I813-8)="","",INDEX('Fleet dates'!$G$9:$G$1008,$I813-8)))</x:f>
      </x:c>
      <x:c r="H813" s="50" t="str">
        <x:f>IF(805&gt;$H$4,"",IF(INDEX('Fleet dates'!$I$9:$I$1008,$I813-8)="","",INDEX('Fleet dates'!$I$9:$I$1008,$I813-8)))</x:f>
      </x:c>
      <x:c r="I813" t="str">
        <x:f>IF(805&gt;$H$4,"",MATCH(805,'Fleet dates'!$K$9:$K$1008,0)+8)</x:f>
      </x:c>
    </x:row>
    <x:row r="814" ht="36" customHeight="1">
      <x:c r="A814" s="50" t="str">
        <x:f>IF(806&gt;$H$4,"",IF(INDEX('Fleet dates'!$A$9:$A$1008,$I814-8)="","",INDEX('Fleet dates'!$A$9:$A$1008,$I814-8)))</x:f>
      </x:c>
      <x:c r="B814" s="50" t="str">
        <x:f>IF(806&gt;$H$4,"",IF(INDEX('Fleet dates'!$B$9:$B$1008,$I814-8)="","",INDEX('Fleet dates'!$B$9:$B$1008,$I814-8)))</x:f>
      </x:c>
      <x:c r="C814" s="51" t="str">
        <x:f>IF(806&gt;$H$4,"",IF(INDEX('Fleet dates'!$C$9:$C$1008,$I814-8)="","",INDEX('Fleet dates'!$C$9:$C$1008,$I814-8)))</x:f>
      </x:c>
      <x:c r="D814" s="51" t="str">
        <x:f>IF(806&gt;$H$4,"",IF(INDEX('Fleet dates'!$D$9:$D$1008,$I814-8)="","",INDEX('Fleet dates'!$D$9:$D$1008,$I814-8)))</x:f>
      </x:c>
      <x:c r="E814" s="51" t="str">
        <x:f>IF(806&gt;$H$4,"",IF(INDEX('Fleet dates'!$E$9:$E$1008,$I814-8)="","",INDEX('Fleet dates'!$E$9:$E$1008,$I814-8)))</x:f>
      </x:c>
      <x:c r="F814" s="51" t="str">
        <x:f>IF(806&gt;$H$4,"",IF(INDEX('Fleet dates'!$F$9:$F$1008,$I814-8)="","",INDEX('Fleet dates'!$F$9:$F$1008,$I814-8)))</x:f>
      </x:c>
      <x:c r="G814" s="50" t="str">
        <x:f>IF(806&gt;$H$4,"",IF(INDEX('Fleet dates'!$G$9:$G$1008,$I814-8)="","",INDEX('Fleet dates'!$G$9:$G$1008,$I814-8)))</x:f>
      </x:c>
      <x:c r="H814" s="50" t="str">
        <x:f>IF(806&gt;$H$4,"",IF(INDEX('Fleet dates'!$I$9:$I$1008,$I814-8)="","",INDEX('Fleet dates'!$I$9:$I$1008,$I814-8)))</x:f>
      </x:c>
      <x:c r="I814" t="str">
        <x:f>IF(806&gt;$H$4,"",MATCH(806,'Fleet dates'!$K$9:$K$1008,0)+8)</x:f>
      </x:c>
    </x:row>
    <x:row r="815" ht="36" customHeight="1">
      <x:c r="A815" s="50" t="str">
        <x:f>IF(807&gt;$H$4,"",IF(INDEX('Fleet dates'!$A$9:$A$1008,$I815-8)="","",INDEX('Fleet dates'!$A$9:$A$1008,$I815-8)))</x:f>
      </x:c>
      <x:c r="B815" s="50" t="str">
        <x:f>IF(807&gt;$H$4,"",IF(INDEX('Fleet dates'!$B$9:$B$1008,$I815-8)="","",INDEX('Fleet dates'!$B$9:$B$1008,$I815-8)))</x:f>
      </x:c>
      <x:c r="C815" s="51" t="str">
        <x:f>IF(807&gt;$H$4,"",IF(INDEX('Fleet dates'!$C$9:$C$1008,$I815-8)="","",INDEX('Fleet dates'!$C$9:$C$1008,$I815-8)))</x:f>
      </x:c>
      <x:c r="D815" s="51" t="str">
        <x:f>IF(807&gt;$H$4,"",IF(INDEX('Fleet dates'!$D$9:$D$1008,$I815-8)="","",INDEX('Fleet dates'!$D$9:$D$1008,$I815-8)))</x:f>
      </x:c>
      <x:c r="E815" s="51" t="str">
        <x:f>IF(807&gt;$H$4,"",IF(INDEX('Fleet dates'!$E$9:$E$1008,$I815-8)="","",INDEX('Fleet dates'!$E$9:$E$1008,$I815-8)))</x:f>
      </x:c>
      <x:c r="F815" s="51" t="str">
        <x:f>IF(807&gt;$H$4,"",IF(INDEX('Fleet dates'!$F$9:$F$1008,$I815-8)="","",INDEX('Fleet dates'!$F$9:$F$1008,$I815-8)))</x:f>
      </x:c>
      <x:c r="G815" s="50" t="str">
        <x:f>IF(807&gt;$H$4,"",IF(INDEX('Fleet dates'!$G$9:$G$1008,$I815-8)="","",INDEX('Fleet dates'!$G$9:$G$1008,$I815-8)))</x:f>
      </x:c>
      <x:c r="H815" s="50" t="str">
        <x:f>IF(807&gt;$H$4,"",IF(INDEX('Fleet dates'!$I$9:$I$1008,$I815-8)="","",INDEX('Fleet dates'!$I$9:$I$1008,$I815-8)))</x:f>
      </x:c>
      <x:c r="I815" t="str">
        <x:f>IF(807&gt;$H$4,"",MATCH(807,'Fleet dates'!$K$9:$K$1008,0)+8)</x:f>
      </x:c>
    </x:row>
    <x:row r="816" ht="36" customHeight="1">
      <x:c r="A816" s="50" t="str">
        <x:f>IF(808&gt;$H$4,"",IF(INDEX('Fleet dates'!$A$9:$A$1008,$I816-8)="","",INDEX('Fleet dates'!$A$9:$A$1008,$I816-8)))</x:f>
      </x:c>
      <x:c r="B816" s="50" t="str">
        <x:f>IF(808&gt;$H$4,"",IF(INDEX('Fleet dates'!$B$9:$B$1008,$I816-8)="","",INDEX('Fleet dates'!$B$9:$B$1008,$I816-8)))</x:f>
      </x:c>
      <x:c r="C816" s="51" t="str">
        <x:f>IF(808&gt;$H$4,"",IF(INDEX('Fleet dates'!$C$9:$C$1008,$I816-8)="","",INDEX('Fleet dates'!$C$9:$C$1008,$I816-8)))</x:f>
      </x:c>
      <x:c r="D816" s="51" t="str">
        <x:f>IF(808&gt;$H$4,"",IF(INDEX('Fleet dates'!$D$9:$D$1008,$I816-8)="","",INDEX('Fleet dates'!$D$9:$D$1008,$I816-8)))</x:f>
      </x:c>
      <x:c r="E816" s="51" t="str">
        <x:f>IF(808&gt;$H$4,"",IF(INDEX('Fleet dates'!$E$9:$E$1008,$I816-8)="","",INDEX('Fleet dates'!$E$9:$E$1008,$I816-8)))</x:f>
      </x:c>
      <x:c r="F816" s="51" t="str">
        <x:f>IF(808&gt;$H$4,"",IF(INDEX('Fleet dates'!$F$9:$F$1008,$I816-8)="","",INDEX('Fleet dates'!$F$9:$F$1008,$I816-8)))</x:f>
      </x:c>
      <x:c r="G816" s="50" t="str">
        <x:f>IF(808&gt;$H$4,"",IF(INDEX('Fleet dates'!$G$9:$G$1008,$I816-8)="","",INDEX('Fleet dates'!$G$9:$G$1008,$I816-8)))</x:f>
      </x:c>
      <x:c r="H816" s="50" t="str">
        <x:f>IF(808&gt;$H$4,"",IF(INDEX('Fleet dates'!$I$9:$I$1008,$I816-8)="","",INDEX('Fleet dates'!$I$9:$I$1008,$I816-8)))</x:f>
      </x:c>
      <x:c r="I816" t="str">
        <x:f>IF(808&gt;$H$4,"",MATCH(808,'Fleet dates'!$K$9:$K$1008,0)+8)</x:f>
      </x:c>
    </x:row>
    <x:row r="817" ht="36" customHeight="1">
      <x:c r="A817" s="50" t="str">
        <x:f>IF(809&gt;$H$4,"",IF(INDEX('Fleet dates'!$A$9:$A$1008,$I817-8)="","",INDEX('Fleet dates'!$A$9:$A$1008,$I817-8)))</x:f>
      </x:c>
      <x:c r="B817" s="50" t="str">
        <x:f>IF(809&gt;$H$4,"",IF(INDEX('Fleet dates'!$B$9:$B$1008,$I817-8)="","",INDEX('Fleet dates'!$B$9:$B$1008,$I817-8)))</x:f>
      </x:c>
      <x:c r="C817" s="51" t="str">
        <x:f>IF(809&gt;$H$4,"",IF(INDEX('Fleet dates'!$C$9:$C$1008,$I817-8)="","",INDEX('Fleet dates'!$C$9:$C$1008,$I817-8)))</x:f>
      </x:c>
      <x:c r="D817" s="51" t="str">
        <x:f>IF(809&gt;$H$4,"",IF(INDEX('Fleet dates'!$D$9:$D$1008,$I817-8)="","",INDEX('Fleet dates'!$D$9:$D$1008,$I817-8)))</x:f>
      </x:c>
      <x:c r="E817" s="51" t="str">
        <x:f>IF(809&gt;$H$4,"",IF(INDEX('Fleet dates'!$E$9:$E$1008,$I817-8)="","",INDEX('Fleet dates'!$E$9:$E$1008,$I817-8)))</x:f>
      </x:c>
      <x:c r="F817" s="51" t="str">
        <x:f>IF(809&gt;$H$4,"",IF(INDEX('Fleet dates'!$F$9:$F$1008,$I817-8)="","",INDEX('Fleet dates'!$F$9:$F$1008,$I817-8)))</x:f>
      </x:c>
      <x:c r="G817" s="50" t="str">
        <x:f>IF(809&gt;$H$4,"",IF(INDEX('Fleet dates'!$G$9:$G$1008,$I817-8)="","",INDEX('Fleet dates'!$G$9:$G$1008,$I817-8)))</x:f>
      </x:c>
      <x:c r="H817" s="50" t="str">
        <x:f>IF(809&gt;$H$4,"",IF(INDEX('Fleet dates'!$I$9:$I$1008,$I817-8)="","",INDEX('Fleet dates'!$I$9:$I$1008,$I817-8)))</x:f>
      </x:c>
      <x:c r="I817" t="str">
        <x:f>IF(809&gt;$H$4,"",MATCH(809,'Fleet dates'!$K$9:$K$1008,0)+8)</x:f>
      </x:c>
    </x:row>
    <x:row r="818" ht="36" customHeight="1">
      <x:c r="A818" s="50" t="str">
        <x:f>IF(810&gt;$H$4,"",IF(INDEX('Fleet dates'!$A$9:$A$1008,$I818-8)="","",INDEX('Fleet dates'!$A$9:$A$1008,$I818-8)))</x:f>
      </x:c>
      <x:c r="B818" s="50" t="str">
        <x:f>IF(810&gt;$H$4,"",IF(INDEX('Fleet dates'!$B$9:$B$1008,$I818-8)="","",INDEX('Fleet dates'!$B$9:$B$1008,$I818-8)))</x:f>
      </x:c>
      <x:c r="C818" s="51" t="str">
        <x:f>IF(810&gt;$H$4,"",IF(INDEX('Fleet dates'!$C$9:$C$1008,$I818-8)="","",INDEX('Fleet dates'!$C$9:$C$1008,$I818-8)))</x:f>
      </x:c>
      <x:c r="D818" s="51" t="str">
        <x:f>IF(810&gt;$H$4,"",IF(INDEX('Fleet dates'!$D$9:$D$1008,$I818-8)="","",INDEX('Fleet dates'!$D$9:$D$1008,$I818-8)))</x:f>
      </x:c>
      <x:c r="E818" s="51" t="str">
        <x:f>IF(810&gt;$H$4,"",IF(INDEX('Fleet dates'!$E$9:$E$1008,$I818-8)="","",INDEX('Fleet dates'!$E$9:$E$1008,$I818-8)))</x:f>
      </x:c>
      <x:c r="F818" s="51" t="str">
        <x:f>IF(810&gt;$H$4,"",IF(INDEX('Fleet dates'!$F$9:$F$1008,$I818-8)="","",INDEX('Fleet dates'!$F$9:$F$1008,$I818-8)))</x:f>
      </x:c>
      <x:c r="G818" s="50" t="str">
        <x:f>IF(810&gt;$H$4,"",IF(INDEX('Fleet dates'!$G$9:$G$1008,$I818-8)="","",INDEX('Fleet dates'!$G$9:$G$1008,$I818-8)))</x:f>
      </x:c>
      <x:c r="H818" s="50" t="str">
        <x:f>IF(810&gt;$H$4,"",IF(INDEX('Fleet dates'!$I$9:$I$1008,$I818-8)="","",INDEX('Fleet dates'!$I$9:$I$1008,$I818-8)))</x:f>
      </x:c>
      <x:c r="I818" t="str">
        <x:f>IF(810&gt;$H$4,"",MATCH(810,'Fleet dates'!$K$9:$K$1008,0)+8)</x:f>
      </x:c>
    </x:row>
    <x:row r="819" ht="36" customHeight="1">
      <x:c r="A819" s="50" t="str">
        <x:f>IF(811&gt;$H$4,"",IF(INDEX('Fleet dates'!$A$9:$A$1008,$I819-8)="","",INDEX('Fleet dates'!$A$9:$A$1008,$I819-8)))</x:f>
      </x:c>
      <x:c r="B819" s="50" t="str">
        <x:f>IF(811&gt;$H$4,"",IF(INDEX('Fleet dates'!$B$9:$B$1008,$I819-8)="","",INDEX('Fleet dates'!$B$9:$B$1008,$I819-8)))</x:f>
      </x:c>
      <x:c r="C819" s="51" t="str">
        <x:f>IF(811&gt;$H$4,"",IF(INDEX('Fleet dates'!$C$9:$C$1008,$I819-8)="","",INDEX('Fleet dates'!$C$9:$C$1008,$I819-8)))</x:f>
      </x:c>
      <x:c r="D819" s="51" t="str">
        <x:f>IF(811&gt;$H$4,"",IF(INDEX('Fleet dates'!$D$9:$D$1008,$I819-8)="","",INDEX('Fleet dates'!$D$9:$D$1008,$I819-8)))</x:f>
      </x:c>
      <x:c r="E819" s="51" t="str">
        <x:f>IF(811&gt;$H$4,"",IF(INDEX('Fleet dates'!$E$9:$E$1008,$I819-8)="","",INDEX('Fleet dates'!$E$9:$E$1008,$I819-8)))</x:f>
      </x:c>
      <x:c r="F819" s="51" t="str">
        <x:f>IF(811&gt;$H$4,"",IF(INDEX('Fleet dates'!$F$9:$F$1008,$I819-8)="","",INDEX('Fleet dates'!$F$9:$F$1008,$I819-8)))</x:f>
      </x:c>
      <x:c r="G819" s="50" t="str">
        <x:f>IF(811&gt;$H$4,"",IF(INDEX('Fleet dates'!$G$9:$G$1008,$I819-8)="","",INDEX('Fleet dates'!$G$9:$G$1008,$I819-8)))</x:f>
      </x:c>
      <x:c r="H819" s="50" t="str">
        <x:f>IF(811&gt;$H$4,"",IF(INDEX('Fleet dates'!$I$9:$I$1008,$I819-8)="","",INDEX('Fleet dates'!$I$9:$I$1008,$I819-8)))</x:f>
      </x:c>
      <x:c r="I819" t="str">
        <x:f>IF(811&gt;$H$4,"",MATCH(811,'Fleet dates'!$K$9:$K$1008,0)+8)</x:f>
      </x:c>
    </x:row>
    <x:row r="820" ht="36" customHeight="1">
      <x:c r="A820" s="50" t="str">
        <x:f>IF(812&gt;$H$4,"",IF(INDEX('Fleet dates'!$A$9:$A$1008,$I820-8)="","",INDEX('Fleet dates'!$A$9:$A$1008,$I820-8)))</x:f>
      </x:c>
      <x:c r="B820" s="50" t="str">
        <x:f>IF(812&gt;$H$4,"",IF(INDEX('Fleet dates'!$B$9:$B$1008,$I820-8)="","",INDEX('Fleet dates'!$B$9:$B$1008,$I820-8)))</x:f>
      </x:c>
      <x:c r="C820" s="51" t="str">
        <x:f>IF(812&gt;$H$4,"",IF(INDEX('Fleet dates'!$C$9:$C$1008,$I820-8)="","",INDEX('Fleet dates'!$C$9:$C$1008,$I820-8)))</x:f>
      </x:c>
      <x:c r="D820" s="51" t="str">
        <x:f>IF(812&gt;$H$4,"",IF(INDEX('Fleet dates'!$D$9:$D$1008,$I820-8)="","",INDEX('Fleet dates'!$D$9:$D$1008,$I820-8)))</x:f>
      </x:c>
      <x:c r="E820" s="51" t="str">
        <x:f>IF(812&gt;$H$4,"",IF(INDEX('Fleet dates'!$E$9:$E$1008,$I820-8)="","",INDEX('Fleet dates'!$E$9:$E$1008,$I820-8)))</x:f>
      </x:c>
      <x:c r="F820" s="51" t="str">
        <x:f>IF(812&gt;$H$4,"",IF(INDEX('Fleet dates'!$F$9:$F$1008,$I820-8)="","",INDEX('Fleet dates'!$F$9:$F$1008,$I820-8)))</x:f>
      </x:c>
      <x:c r="G820" s="50" t="str">
        <x:f>IF(812&gt;$H$4,"",IF(INDEX('Fleet dates'!$G$9:$G$1008,$I820-8)="","",INDEX('Fleet dates'!$G$9:$G$1008,$I820-8)))</x:f>
      </x:c>
      <x:c r="H820" s="50" t="str">
        <x:f>IF(812&gt;$H$4,"",IF(INDEX('Fleet dates'!$I$9:$I$1008,$I820-8)="","",INDEX('Fleet dates'!$I$9:$I$1008,$I820-8)))</x:f>
      </x:c>
      <x:c r="I820" t="str">
        <x:f>IF(812&gt;$H$4,"",MATCH(812,'Fleet dates'!$K$9:$K$1008,0)+8)</x:f>
      </x:c>
    </x:row>
    <x:row r="821" ht="36" customHeight="1">
      <x:c r="A821" s="50" t="str">
        <x:f>IF(813&gt;$H$4,"",IF(INDEX('Fleet dates'!$A$9:$A$1008,$I821-8)="","",INDEX('Fleet dates'!$A$9:$A$1008,$I821-8)))</x:f>
      </x:c>
      <x:c r="B821" s="50" t="str">
        <x:f>IF(813&gt;$H$4,"",IF(INDEX('Fleet dates'!$B$9:$B$1008,$I821-8)="","",INDEX('Fleet dates'!$B$9:$B$1008,$I821-8)))</x:f>
      </x:c>
      <x:c r="C821" s="51" t="str">
        <x:f>IF(813&gt;$H$4,"",IF(INDEX('Fleet dates'!$C$9:$C$1008,$I821-8)="","",INDEX('Fleet dates'!$C$9:$C$1008,$I821-8)))</x:f>
      </x:c>
      <x:c r="D821" s="51" t="str">
        <x:f>IF(813&gt;$H$4,"",IF(INDEX('Fleet dates'!$D$9:$D$1008,$I821-8)="","",INDEX('Fleet dates'!$D$9:$D$1008,$I821-8)))</x:f>
      </x:c>
      <x:c r="E821" s="51" t="str">
        <x:f>IF(813&gt;$H$4,"",IF(INDEX('Fleet dates'!$E$9:$E$1008,$I821-8)="","",INDEX('Fleet dates'!$E$9:$E$1008,$I821-8)))</x:f>
      </x:c>
      <x:c r="F821" s="51" t="str">
        <x:f>IF(813&gt;$H$4,"",IF(INDEX('Fleet dates'!$F$9:$F$1008,$I821-8)="","",INDEX('Fleet dates'!$F$9:$F$1008,$I821-8)))</x:f>
      </x:c>
      <x:c r="G821" s="50" t="str">
        <x:f>IF(813&gt;$H$4,"",IF(INDEX('Fleet dates'!$G$9:$G$1008,$I821-8)="","",INDEX('Fleet dates'!$G$9:$G$1008,$I821-8)))</x:f>
      </x:c>
      <x:c r="H821" s="50" t="str">
        <x:f>IF(813&gt;$H$4,"",IF(INDEX('Fleet dates'!$I$9:$I$1008,$I821-8)="","",INDEX('Fleet dates'!$I$9:$I$1008,$I821-8)))</x:f>
      </x:c>
      <x:c r="I821" t="str">
        <x:f>IF(813&gt;$H$4,"",MATCH(813,'Fleet dates'!$K$9:$K$1008,0)+8)</x:f>
      </x:c>
    </x:row>
    <x:row r="822" ht="36" customHeight="1">
      <x:c r="A822" s="50" t="str">
        <x:f>IF(814&gt;$H$4,"",IF(INDEX('Fleet dates'!$A$9:$A$1008,$I822-8)="","",INDEX('Fleet dates'!$A$9:$A$1008,$I822-8)))</x:f>
      </x:c>
      <x:c r="B822" s="50" t="str">
        <x:f>IF(814&gt;$H$4,"",IF(INDEX('Fleet dates'!$B$9:$B$1008,$I822-8)="","",INDEX('Fleet dates'!$B$9:$B$1008,$I822-8)))</x:f>
      </x:c>
      <x:c r="C822" s="51" t="str">
        <x:f>IF(814&gt;$H$4,"",IF(INDEX('Fleet dates'!$C$9:$C$1008,$I822-8)="","",INDEX('Fleet dates'!$C$9:$C$1008,$I822-8)))</x:f>
      </x:c>
      <x:c r="D822" s="51" t="str">
        <x:f>IF(814&gt;$H$4,"",IF(INDEX('Fleet dates'!$D$9:$D$1008,$I822-8)="","",INDEX('Fleet dates'!$D$9:$D$1008,$I822-8)))</x:f>
      </x:c>
      <x:c r="E822" s="51" t="str">
        <x:f>IF(814&gt;$H$4,"",IF(INDEX('Fleet dates'!$E$9:$E$1008,$I822-8)="","",INDEX('Fleet dates'!$E$9:$E$1008,$I822-8)))</x:f>
      </x:c>
      <x:c r="F822" s="51" t="str">
        <x:f>IF(814&gt;$H$4,"",IF(INDEX('Fleet dates'!$F$9:$F$1008,$I822-8)="","",INDEX('Fleet dates'!$F$9:$F$1008,$I822-8)))</x:f>
      </x:c>
      <x:c r="G822" s="50" t="str">
        <x:f>IF(814&gt;$H$4,"",IF(INDEX('Fleet dates'!$G$9:$G$1008,$I822-8)="","",INDEX('Fleet dates'!$G$9:$G$1008,$I822-8)))</x:f>
      </x:c>
      <x:c r="H822" s="50" t="str">
        <x:f>IF(814&gt;$H$4,"",IF(INDEX('Fleet dates'!$I$9:$I$1008,$I822-8)="","",INDEX('Fleet dates'!$I$9:$I$1008,$I822-8)))</x:f>
      </x:c>
      <x:c r="I822" t="str">
        <x:f>IF(814&gt;$H$4,"",MATCH(814,'Fleet dates'!$K$9:$K$1008,0)+8)</x:f>
      </x:c>
    </x:row>
    <x:row r="823" ht="36" customHeight="1">
      <x:c r="A823" s="50" t="str">
        <x:f>IF(815&gt;$H$4,"",IF(INDEX('Fleet dates'!$A$9:$A$1008,$I823-8)="","",INDEX('Fleet dates'!$A$9:$A$1008,$I823-8)))</x:f>
      </x:c>
      <x:c r="B823" s="50" t="str">
        <x:f>IF(815&gt;$H$4,"",IF(INDEX('Fleet dates'!$B$9:$B$1008,$I823-8)="","",INDEX('Fleet dates'!$B$9:$B$1008,$I823-8)))</x:f>
      </x:c>
      <x:c r="C823" s="51" t="str">
        <x:f>IF(815&gt;$H$4,"",IF(INDEX('Fleet dates'!$C$9:$C$1008,$I823-8)="","",INDEX('Fleet dates'!$C$9:$C$1008,$I823-8)))</x:f>
      </x:c>
      <x:c r="D823" s="51" t="str">
        <x:f>IF(815&gt;$H$4,"",IF(INDEX('Fleet dates'!$D$9:$D$1008,$I823-8)="","",INDEX('Fleet dates'!$D$9:$D$1008,$I823-8)))</x:f>
      </x:c>
      <x:c r="E823" s="51" t="str">
        <x:f>IF(815&gt;$H$4,"",IF(INDEX('Fleet dates'!$E$9:$E$1008,$I823-8)="","",INDEX('Fleet dates'!$E$9:$E$1008,$I823-8)))</x:f>
      </x:c>
      <x:c r="F823" s="51" t="str">
        <x:f>IF(815&gt;$H$4,"",IF(INDEX('Fleet dates'!$F$9:$F$1008,$I823-8)="","",INDEX('Fleet dates'!$F$9:$F$1008,$I823-8)))</x:f>
      </x:c>
      <x:c r="G823" s="50" t="str">
        <x:f>IF(815&gt;$H$4,"",IF(INDEX('Fleet dates'!$G$9:$G$1008,$I823-8)="","",INDEX('Fleet dates'!$G$9:$G$1008,$I823-8)))</x:f>
      </x:c>
      <x:c r="H823" s="50" t="str">
        <x:f>IF(815&gt;$H$4,"",IF(INDEX('Fleet dates'!$I$9:$I$1008,$I823-8)="","",INDEX('Fleet dates'!$I$9:$I$1008,$I823-8)))</x:f>
      </x:c>
      <x:c r="I823" t="str">
        <x:f>IF(815&gt;$H$4,"",MATCH(815,'Fleet dates'!$K$9:$K$1008,0)+8)</x:f>
      </x:c>
    </x:row>
    <x:row r="824" ht="36" customHeight="1">
      <x:c r="A824" s="50" t="str">
        <x:f>IF(816&gt;$H$4,"",IF(INDEX('Fleet dates'!$A$9:$A$1008,$I824-8)="","",INDEX('Fleet dates'!$A$9:$A$1008,$I824-8)))</x:f>
      </x:c>
      <x:c r="B824" s="50" t="str">
        <x:f>IF(816&gt;$H$4,"",IF(INDEX('Fleet dates'!$B$9:$B$1008,$I824-8)="","",INDEX('Fleet dates'!$B$9:$B$1008,$I824-8)))</x:f>
      </x:c>
      <x:c r="C824" s="51" t="str">
        <x:f>IF(816&gt;$H$4,"",IF(INDEX('Fleet dates'!$C$9:$C$1008,$I824-8)="","",INDEX('Fleet dates'!$C$9:$C$1008,$I824-8)))</x:f>
      </x:c>
      <x:c r="D824" s="51" t="str">
        <x:f>IF(816&gt;$H$4,"",IF(INDEX('Fleet dates'!$D$9:$D$1008,$I824-8)="","",INDEX('Fleet dates'!$D$9:$D$1008,$I824-8)))</x:f>
      </x:c>
      <x:c r="E824" s="51" t="str">
        <x:f>IF(816&gt;$H$4,"",IF(INDEX('Fleet dates'!$E$9:$E$1008,$I824-8)="","",INDEX('Fleet dates'!$E$9:$E$1008,$I824-8)))</x:f>
      </x:c>
      <x:c r="F824" s="51" t="str">
        <x:f>IF(816&gt;$H$4,"",IF(INDEX('Fleet dates'!$F$9:$F$1008,$I824-8)="","",INDEX('Fleet dates'!$F$9:$F$1008,$I824-8)))</x:f>
      </x:c>
      <x:c r="G824" s="50" t="str">
        <x:f>IF(816&gt;$H$4,"",IF(INDEX('Fleet dates'!$G$9:$G$1008,$I824-8)="","",INDEX('Fleet dates'!$G$9:$G$1008,$I824-8)))</x:f>
      </x:c>
      <x:c r="H824" s="50" t="str">
        <x:f>IF(816&gt;$H$4,"",IF(INDEX('Fleet dates'!$I$9:$I$1008,$I824-8)="","",INDEX('Fleet dates'!$I$9:$I$1008,$I824-8)))</x:f>
      </x:c>
      <x:c r="I824" t="str">
        <x:f>IF(816&gt;$H$4,"",MATCH(816,'Fleet dates'!$K$9:$K$1008,0)+8)</x:f>
      </x:c>
    </x:row>
    <x:row r="825" ht="36" customHeight="1">
      <x:c r="A825" s="50" t="str">
        <x:f>IF(817&gt;$H$4,"",IF(INDEX('Fleet dates'!$A$9:$A$1008,$I825-8)="","",INDEX('Fleet dates'!$A$9:$A$1008,$I825-8)))</x:f>
      </x:c>
      <x:c r="B825" s="50" t="str">
        <x:f>IF(817&gt;$H$4,"",IF(INDEX('Fleet dates'!$B$9:$B$1008,$I825-8)="","",INDEX('Fleet dates'!$B$9:$B$1008,$I825-8)))</x:f>
      </x:c>
      <x:c r="C825" s="51" t="str">
        <x:f>IF(817&gt;$H$4,"",IF(INDEX('Fleet dates'!$C$9:$C$1008,$I825-8)="","",INDEX('Fleet dates'!$C$9:$C$1008,$I825-8)))</x:f>
      </x:c>
      <x:c r="D825" s="51" t="str">
        <x:f>IF(817&gt;$H$4,"",IF(INDEX('Fleet dates'!$D$9:$D$1008,$I825-8)="","",INDEX('Fleet dates'!$D$9:$D$1008,$I825-8)))</x:f>
      </x:c>
      <x:c r="E825" s="51" t="str">
        <x:f>IF(817&gt;$H$4,"",IF(INDEX('Fleet dates'!$E$9:$E$1008,$I825-8)="","",INDEX('Fleet dates'!$E$9:$E$1008,$I825-8)))</x:f>
      </x:c>
      <x:c r="F825" s="51" t="str">
        <x:f>IF(817&gt;$H$4,"",IF(INDEX('Fleet dates'!$F$9:$F$1008,$I825-8)="","",INDEX('Fleet dates'!$F$9:$F$1008,$I825-8)))</x:f>
      </x:c>
      <x:c r="G825" s="50" t="str">
        <x:f>IF(817&gt;$H$4,"",IF(INDEX('Fleet dates'!$G$9:$G$1008,$I825-8)="","",INDEX('Fleet dates'!$G$9:$G$1008,$I825-8)))</x:f>
      </x:c>
      <x:c r="H825" s="50" t="str">
        <x:f>IF(817&gt;$H$4,"",IF(INDEX('Fleet dates'!$I$9:$I$1008,$I825-8)="","",INDEX('Fleet dates'!$I$9:$I$1008,$I825-8)))</x:f>
      </x:c>
      <x:c r="I825" t="str">
        <x:f>IF(817&gt;$H$4,"",MATCH(817,'Fleet dates'!$K$9:$K$1008,0)+8)</x:f>
      </x:c>
    </x:row>
    <x:row r="826" ht="36" customHeight="1">
      <x:c r="A826" s="50" t="str">
        <x:f>IF(818&gt;$H$4,"",IF(INDEX('Fleet dates'!$A$9:$A$1008,$I826-8)="","",INDEX('Fleet dates'!$A$9:$A$1008,$I826-8)))</x:f>
      </x:c>
      <x:c r="B826" s="50" t="str">
        <x:f>IF(818&gt;$H$4,"",IF(INDEX('Fleet dates'!$B$9:$B$1008,$I826-8)="","",INDEX('Fleet dates'!$B$9:$B$1008,$I826-8)))</x:f>
      </x:c>
      <x:c r="C826" s="51" t="str">
        <x:f>IF(818&gt;$H$4,"",IF(INDEX('Fleet dates'!$C$9:$C$1008,$I826-8)="","",INDEX('Fleet dates'!$C$9:$C$1008,$I826-8)))</x:f>
      </x:c>
      <x:c r="D826" s="51" t="str">
        <x:f>IF(818&gt;$H$4,"",IF(INDEX('Fleet dates'!$D$9:$D$1008,$I826-8)="","",INDEX('Fleet dates'!$D$9:$D$1008,$I826-8)))</x:f>
      </x:c>
      <x:c r="E826" s="51" t="str">
        <x:f>IF(818&gt;$H$4,"",IF(INDEX('Fleet dates'!$E$9:$E$1008,$I826-8)="","",INDEX('Fleet dates'!$E$9:$E$1008,$I826-8)))</x:f>
      </x:c>
      <x:c r="F826" s="51" t="str">
        <x:f>IF(818&gt;$H$4,"",IF(INDEX('Fleet dates'!$F$9:$F$1008,$I826-8)="","",INDEX('Fleet dates'!$F$9:$F$1008,$I826-8)))</x:f>
      </x:c>
      <x:c r="G826" s="50" t="str">
        <x:f>IF(818&gt;$H$4,"",IF(INDEX('Fleet dates'!$G$9:$G$1008,$I826-8)="","",INDEX('Fleet dates'!$G$9:$G$1008,$I826-8)))</x:f>
      </x:c>
      <x:c r="H826" s="50" t="str">
        <x:f>IF(818&gt;$H$4,"",IF(INDEX('Fleet dates'!$I$9:$I$1008,$I826-8)="","",INDEX('Fleet dates'!$I$9:$I$1008,$I826-8)))</x:f>
      </x:c>
      <x:c r="I826" t="str">
        <x:f>IF(818&gt;$H$4,"",MATCH(818,'Fleet dates'!$K$9:$K$1008,0)+8)</x:f>
      </x:c>
    </x:row>
    <x:row r="827" ht="36" customHeight="1">
      <x:c r="A827" s="50" t="str">
        <x:f>IF(819&gt;$H$4,"",IF(INDEX('Fleet dates'!$A$9:$A$1008,$I827-8)="","",INDEX('Fleet dates'!$A$9:$A$1008,$I827-8)))</x:f>
      </x:c>
      <x:c r="B827" s="50" t="str">
        <x:f>IF(819&gt;$H$4,"",IF(INDEX('Fleet dates'!$B$9:$B$1008,$I827-8)="","",INDEX('Fleet dates'!$B$9:$B$1008,$I827-8)))</x:f>
      </x:c>
      <x:c r="C827" s="51" t="str">
        <x:f>IF(819&gt;$H$4,"",IF(INDEX('Fleet dates'!$C$9:$C$1008,$I827-8)="","",INDEX('Fleet dates'!$C$9:$C$1008,$I827-8)))</x:f>
      </x:c>
      <x:c r="D827" s="51" t="str">
        <x:f>IF(819&gt;$H$4,"",IF(INDEX('Fleet dates'!$D$9:$D$1008,$I827-8)="","",INDEX('Fleet dates'!$D$9:$D$1008,$I827-8)))</x:f>
      </x:c>
      <x:c r="E827" s="51" t="str">
        <x:f>IF(819&gt;$H$4,"",IF(INDEX('Fleet dates'!$E$9:$E$1008,$I827-8)="","",INDEX('Fleet dates'!$E$9:$E$1008,$I827-8)))</x:f>
      </x:c>
      <x:c r="F827" s="51" t="str">
        <x:f>IF(819&gt;$H$4,"",IF(INDEX('Fleet dates'!$F$9:$F$1008,$I827-8)="","",INDEX('Fleet dates'!$F$9:$F$1008,$I827-8)))</x:f>
      </x:c>
      <x:c r="G827" s="50" t="str">
        <x:f>IF(819&gt;$H$4,"",IF(INDEX('Fleet dates'!$G$9:$G$1008,$I827-8)="","",INDEX('Fleet dates'!$G$9:$G$1008,$I827-8)))</x:f>
      </x:c>
      <x:c r="H827" s="50" t="str">
        <x:f>IF(819&gt;$H$4,"",IF(INDEX('Fleet dates'!$I$9:$I$1008,$I827-8)="","",INDEX('Fleet dates'!$I$9:$I$1008,$I827-8)))</x:f>
      </x:c>
      <x:c r="I827" t="str">
        <x:f>IF(819&gt;$H$4,"",MATCH(819,'Fleet dates'!$K$9:$K$1008,0)+8)</x:f>
      </x:c>
    </x:row>
    <x:row r="828" ht="36" customHeight="1">
      <x:c r="A828" s="50" t="str">
        <x:f>IF(820&gt;$H$4,"",IF(INDEX('Fleet dates'!$A$9:$A$1008,$I828-8)="","",INDEX('Fleet dates'!$A$9:$A$1008,$I828-8)))</x:f>
      </x:c>
      <x:c r="B828" s="50" t="str">
        <x:f>IF(820&gt;$H$4,"",IF(INDEX('Fleet dates'!$B$9:$B$1008,$I828-8)="","",INDEX('Fleet dates'!$B$9:$B$1008,$I828-8)))</x:f>
      </x:c>
      <x:c r="C828" s="51" t="str">
        <x:f>IF(820&gt;$H$4,"",IF(INDEX('Fleet dates'!$C$9:$C$1008,$I828-8)="","",INDEX('Fleet dates'!$C$9:$C$1008,$I828-8)))</x:f>
      </x:c>
      <x:c r="D828" s="51" t="str">
        <x:f>IF(820&gt;$H$4,"",IF(INDEX('Fleet dates'!$D$9:$D$1008,$I828-8)="","",INDEX('Fleet dates'!$D$9:$D$1008,$I828-8)))</x:f>
      </x:c>
      <x:c r="E828" s="51" t="str">
        <x:f>IF(820&gt;$H$4,"",IF(INDEX('Fleet dates'!$E$9:$E$1008,$I828-8)="","",INDEX('Fleet dates'!$E$9:$E$1008,$I828-8)))</x:f>
      </x:c>
      <x:c r="F828" s="51" t="str">
        <x:f>IF(820&gt;$H$4,"",IF(INDEX('Fleet dates'!$F$9:$F$1008,$I828-8)="","",INDEX('Fleet dates'!$F$9:$F$1008,$I828-8)))</x:f>
      </x:c>
      <x:c r="G828" s="50" t="str">
        <x:f>IF(820&gt;$H$4,"",IF(INDEX('Fleet dates'!$G$9:$G$1008,$I828-8)="","",INDEX('Fleet dates'!$G$9:$G$1008,$I828-8)))</x:f>
      </x:c>
      <x:c r="H828" s="50" t="str">
        <x:f>IF(820&gt;$H$4,"",IF(INDEX('Fleet dates'!$I$9:$I$1008,$I828-8)="","",INDEX('Fleet dates'!$I$9:$I$1008,$I828-8)))</x:f>
      </x:c>
      <x:c r="I828" t="str">
        <x:f>IF(820&gt;$H$4,"",MATCH(820,'Fleet dates'!$K$9:$K$1008,0)+8)</x:f>
      </x:c>
    </x:row>
    <x:row r="829" ht="36" customHeight="1">
      <x:c r="A829" s="50" t="str">
        <x:f>IF(821&gt;$H$4,"",IF(INDEX('Fleet dates'!$A$9:$A$1008,$I829-8)="","",INDEX('Fleet dates'!$A$9:$A$1008,$I829-8)))</x:f>
      </x:c>
      <x:c r="B829" s="50" t="str">
        <x:f>IF(821&gt;$H$4,"",IF(INDEX('Fleet dates'!$B$9:$B$1008,$I829-8)="","",INDEX('Fleet dates'!$B$9:$B$1008,$I829-8)))</x:f>
      </x:c>
      <x:c r="C829" s="51" t="str">
        <x:f>IF(821&gt;$H$4,"",IF(INDEX('Fleet dates'!$C$9:$C$1008,$I829-8)="","",INDEX('Fleet dates'!$C$9:$C$1008,$I829-8)))</x:f>
      </x:c>
      <x:c r="D829" s="51" t="str">
        <x:f>IF(821&gt;$H$4,"",IF(INDEX('Fleet dates'!$D$9:$D$1008,$I829-8)="","",INDEX('Fleet dates'!$D$9:$D$1008,$I829-8)))</x:f>
      </x:c>
      <x:c r="E829" s="51" t="str">
        <x:f>IF(821&gt;$H$4,"",IF(INDEX('Fleet dates'!$E$9:$E$1008,$I829-8)="","",INDEX('Fleet dates'!$E$9:$E$1008,$I829-8)))</x:f>
      </x:c>
      <x:c r="F829" s="51" t="str">
        <x:f>IF(821&gt;$H$4,"",IF(INDEX('Fleet dates'!$F$9:$F$1008,$I829-8)="","",INDEX('Fleet dates'!$F$9:$F$1008,$I829-8)))</x:f>
      </x:c>
      <x:c r="G829" s="50" t="str">
        <x:f>IF(821&gt;$H$4,"",IF(INDEX('Fleet dates'!$G$9:$G$1008,$I829-8)="","",INDEX('Fleet dates'!$G$9:$G$1008,$I829-8)))</x:f>
      </x:c>
      <x:c r="H829" s="50" t="str">
        <x:f>IF(821&gt;$H$4,"",IF(INDEX('Fleet dates'!$I$9:$I$1008,$I829-8)="","",INDEX('Fleet dates'!$I$9:$I$1008,$I829-8)))</x:f>
      </x:c>
      <x:c r="I829" t="str">
        <x:f>IF(821&gt;$H$4,"",MATCH(821,'Fleet dates'!$K$9:$K$1008,0)+8)</x:f>
      </x:c>
    </x:row>
    <x:row r="830" ht="36" customHeight="1">
      <x:c r="A830" s="50" t="str">
        <x:f>IF(822&gt;$H$4,"",IF(INDEX('Fleet dates'!$A$9:$A$1008,$I830-8)="","",INDEX('Fleet dates'!$A$9:$A$1008,$I830-8)))</x:f>
      </x:c>
      <x:c r="B830" s="50" t="str">
        <x:f>IF(822&gt;$H$4,"",IF(INDEX('Fleet dates'!$B$9:$B$1008,$I830-8)="","",INDEX('Fleet dates'!$B$9:$B$1008,$I830-8)))</x:f>
      </x:c>
      <x:c r="C830" s="51" t="str">
        <x:f>IF(822&gt;$H$4,"",IF(INDEX('Fleet dates'!$C$9:$C$1008,$I830-8)="","",INDEX('Fleet dates'!$C$9:$C$1008,$I830-8)))</x:f>
      </x:c>
      <x:c r="D830" s="51" t="str">
        <x:f>IF(822&gt;$H$4,"",IF(INDEX('Fleet dates'!$D$9:$D$1008,$I830-8)="","",INDEX('Fleet dates'!$D$9:$D$1008,$I830-8)))</x:f>
      </x:c>
      <x:c r="E830" s="51" t="str">
        <x:f>IF(822&gt;$H$4,"",IF(INDEX('Fleet dates'!$E$9:$E$1008,$I830-8)="","",INDEX('Fleet dates'!$E$9:$E$1008,$I830-8)))</x:f>
      </x:c>
      <x:c r="F830" s="51" t="str">
        <x:f>IF(822&gt;$H$4,"",IF(INDEX('Fleet dates'!$F$9:$F$1008,$I830-8)="","",INDEX('Fleet dates'!$F$9:$F$1008,$I830-8)))</x:f>
      </x:c>
      <x:c r="G830" s="50" t="str">
        <x:f>IF(822&gt;$H$4,"",IF(INDEX('Fleet dates'!$G$9:$G$1008,$I830-8)="","",INDEX('Fleet dates'!$G$9:$G$1008,$I830-8)))</x:f>
      </x:c>
      <x:c r="H830" s="50" t="str">
        <x:f>IF(822&gt;$H$4,"",IF(INDEX('Fleet dates'!$I$9:$I$1008,$I830-8)="","",INDEX('Fleet dates'!$I$9:$I$1008,$I830-8)))</x:f>
      </x:c>
      <x:c r="I830" t="str">
        <x:f>IF(822&gt;$H$4,"",MATCH(822,'Fleet dates'!$K$9:$K$1008,0)+8)</x:f>
      </x:c>
    </x:row>
    <x:row r="831" ht="36" customHeight="1">
      <x:c r="A831" s="50" t="str">
        <x:f>IF(823&gt;$H$4,"",IF(INDEX('Fleet dates'!$A$9:$A$1008,$I831-8)="","",INDEX('Fleet dates'!$A$9:$A$1008,$I831-8)))</x:f>
      </x:c>
      <x:c r="B831" s="50" t="str">
        <x:f>IF(823&gt;$H$4,"",IF(INDEX('Fleet dates'!$B$9:$B$1008,$I831-8)="","",INDEX('Fleet dates'!$B$9:$B$1008,$I831-8)))</x:f>
      </x:c>
      <x:c r="C831" s="51" t="str">
        <x:f>IF(823&gt;$H$4,"",IF(INDEX('Fleet dates'!$C$9:$C$1008,$I831-8)="","",INDEX('Fleet dates'!$C$9:$C$1008,$I831-8)))</x:f>
      </x:c>
      <x:c r="D831" s="51" t="str">
        <x:f>IF(823&gt;$H$4,"",IF(INDEX('Fleet dates'!$D$9:$D$1008,$I831-8)="","",INDEX('Fleet dates'!$D$9:$D$1008,$I831-8)))</x:f>
      </x:c>
      <x:c r="E831" s="51" t="str">
        <x:f>IF(823&gt;$H$4,"",IF(INDEX('Fleet dates'!$E$9:$E$1008,$I831-8)="","",INDEX('Fleet dates'!$E$9:$E$1008,$I831-8)))</x:f>
      </x:c>
      <x:c r="F831" s="51" t="str">
        <x:f>IF(823&gt;$H$4,"",IF(INDEX('Fleet dates'!$F$9:$F$1008,$I831-8)="","",INDEX('Fleet dates'!$F$9:$F$1008,$I831-8)))</x:f>
      </x:c>
      <x:c r="G831" s="50" t="str">
        <x:f>IF(823&gt;$H$4,"",IF(INDEX('Fleet dates'!$G$9:$G$1008,$I831-8)="","",INDEX('Fleet dates'!$G$9:$G$1008,$I831-8)))</x:f>
      </x:c>
      <x:c r="H831" s="50" t="str">
        <x:f>IF(823&gt;$H$4,"",IF(INDEX('Fleet dates'!$I$9:$I$1008,$I831-8)="","",INDEX('Fleet dates'!$I$9:$I$1008,$I831-8)))</x:f>
      </x:c>
      <x:c r="I831" t="str">
        <x:f>IF(823&gt;$H$4,"",MATCH(823,'Fleet dates'!$K$9:$K$1008,0)+8)</x:f>
      </x:c>
    </x:row>
    <x:row r="832" ht="36" customHeight="1">
      <x:c r="A832" s="50" t="str">
        <x:f>IF(824&gt;$H$4,"",IF(INDEX('Fleet dates'!$A$9:$A$1008,$I832-8)="","",INDEX('Fleet dates'!$A$9:$A$1008,$I832-8)))</x:f>
      </x:c>
      <x:c r="B832" s="50" t="str">
        <x:f>IF(824&gt;$H$4,"",IF(INDEX('Fleet dates'!$B$9:$B$1008,$I832-8)="","",INDEX('Fleet dates'!$B$9:$B$1008,$I832-8)))</x:f>
      </x:c>
      <x:c r="C832" s="51" t="str">
        <x:f>IF(824&gt;$H$4,"",IF(INDEX('Fleet dates'!$C$9:$C$1008,$I832-8)="","",INDEX('Fleet dates'!$C$9:$C$1008,$I832-8)))</x:f>
      </x:c>
      <x:c r="D832" s="51" t="str">
        <x:f>IF(824&gt;$H$4,"",IF(INDEX('Fleet dates'!$D$9:$D$1008,$I832-8)="","",INDEX('Fleet dates'!$D$9:$D$1008,$I832-8)))</x:f>
      </x:c>
      <x:c r="E832" s="51" t="str">
        <x:f>IF(824&gt;$H$4,"",IF(INDEX('Fleet dates'!$E$9:$E$1008,$I832-8)="","",INDEX('Fleet dates'!$E$9:$E$1008,$I832-8)))</x:f>
      </x:c>
      <x:c r="F832" s="51" t="str">
        <x:f>IF(824&gt;$H$4,"",IF(INDEX('Fleet dates'!$F$9:$F$1008,$I832-8)="","",INDEX('Fleet dates'!$F$9:$F$1008,$I832-8)))</x:f>
      </x:c>
      <x:c r="G832" s="50" t="str">
        <x:f>IF(824&gt;$H$4,"",IF(INDEX('Fleet dates'!$G$9:$G$1008,$I832-8)="","",INDEX('Fleet dates'!$G$9:$G$1008,$I832-8)))</x:f>
      </x:c>
      <x:c r="H832" s="50" t="str">
        <x:f>IF(824&gt;$H$4,"",IF(INDEX('Fleet dates'!$I$9:$I$1008,$I832-8)="","",INDEX('Fleet dates'!$I$9:$I$1008,$I832-8)))</x:f>
      </x:c>
      <x:c r="I832" t="str">
        <x:f>IF(824&gt;$H$4,"",MATCH(824,'Fleet dates'!$K$9:$K$1008,0)+8)</x:f>
      </x:c>
    </x:row>
    <x:row r="833" ht="36" customHeight="1">
      <x:c r="A833" s="50" t="str">
        <x:f>IF(825&gt;$H$4,"",IF(INDEX('Fleet dates'!$A$9:$A$1008,$I833-8)="","",INDEX('Fleet dates'!$A$9:$A$1008,$I833-8)))</x:f>
      </x:c>
      <x:c r="B833" s="50" t="str">
        <x:f>IF(825&gt;$H$4,"",IF(INDEX('Fleet dates'!$B$9:$B$1008,$I833-8)="","",INDEX('Fleet dates'!$B$9:$B$1008,$I833-8)))</x:f>
      </x:c>
      <x:c r="C833" s="51" t="str">
        <x:f>IF(825&gt;$H$4,"",IF(INDEX('Fleet dates'!$C$9:$C$1008,$I833-8)="","",INDEX('Fleet dates'!$C$9:$C$1008,$I833-8)))</x:f>
      </x:c>
      <x:c r="D833" s="51" t="str">
        <x:f>IF(825&gt;$H$4,"",IF(INDEX('Fleet dates'!$D$9:$D$1008,$I833-8)="","",INDEX('Fleet dates'!$D$9:$D$1008,$I833-8)))</x:f>
      </x:c>
      <x:c r="E833" s="51" t="str">
        <x:f>IF(825&gt;$H$4,"",IF(INDEX('Fleet dates'!$E$9:$E$1008,$I833-8)="","",INDEX('Fleet dates'!$E$9:$E$1008,$I833-8)))</x:f>
      </x:c>
      <x:c r="F833" s="51" t="str">
        <x:f>IF(825&gt;$H$4,"",IF(INDEX('Fleet dates'!$F$9:$F$1008,$I833-8)="","",INDEX('Fleet dates'!$F$9:$F$1008,$I833-8)))</x:f>
      </x:c>
      <x:c r="G833" s="50" t="str">
        <x:f>IF(825&gt;$H$4,"",IF(INDEX('Fleet dates'!$G$9:$G$1008,$I833-8)="","",INDEX('Fleet dates'!$G$9:$G$1008,$I833-8)))</x:f>
      </x:c>
      <x:c r="H833" s="50" t="str">
        <x:f>IF(825&gt;$H$4,"",IF(INDEX('Fleet dates'!$I$9:$I$1008,$I833-8)="","",INDEX('Fleet dates'!$I$9:$I$1008,$I833-8)))</x:f>
      </x:c>
      <x:c r="I833" t="str">
        <x:f>IF(825&gt;$H$4,"",MATCH(825,'Fleet dates'!$K$9:$K$1008,0)+8)</x:f>
      </x:c>
    </x:row>
    <x:row r="834" ht="36" customHeight="1">
      <x:c r="A834" s="50" t="str">
        <x:f>IF(826&gt;$H$4,"",IF(INDEX('Fleet dates'!$A$9:$A$1008,$I834-8)="","",INDEX('Fleet dates'!$A$9:$A$1008,$I834-8)))</x:f>
      </x:c>
      <x:c r="B834" s="50" t="str">
        <x:f>IF(826&gt;$H$4,"",IF(INDEX('Fleet dates'!$B$9:$B$1008,$I834-8)="","",INDEX('Fleet dates'!$B$9:$B$1008,$I834-8)))</x:f>
      </x:c>
      <x:c r="C834" s="51" t="str">
        <x:f>IF(826&gt;$H$4,"",IF(INDEX('Fleet dates'!$C$9:$C$1008,$I834-8)="","",INDEX('Fleet dates'!$C$9:$C$1008,$I834-8)))</x:f>
      </x:c>
      <x:c r="D834" s="51" t="str">
        <x:f>IF(826&gt;$H$4,"",IF(INDEX('Fleet dates'!$D$9:$D$1008,$I834-8)="","",INDEX('Fleet dates'!$D$9:$D$1008,$I834-8)))</x:f>
      </x:c>
      <x:c r="E834" s="51" t="str">
        <x:f>IF(826&gt;$H$4,"",IF(INDEX('Fleet dates'!$E$9:$E$1008,$I834-8)="","",INDEX('Fleet dates'!$E$9:$E$1008,$I834-8)))</x:f>
      </x:c>
      <x:c r="F834" s="51" t="str">
        <x:f>IF(826&gt;$H$4,"",IF(INDEX('Fleet dates'!$F$9:$F$1008,$I834-8)="","",INDEX('Fleet dates'!$F$9:$F$1008,$I834-8)))</x:f>
      </x:c>
      <x:c r="G834" s="50" t="str">
        <x:f>IF(826&gt;$H$4,"",IF(INDEX('Fleet dates'!$G$9:$G$1008,$I834-8)="","",INDEX('Fleet dates'!$G$9:$G$1008,$I834-8)))</x:f>
      </x:c>
      <x:c r="H834" s="50" t="str">
        <x:f>IF(826&gt;$H$4,"",IF(INDEX('Fleet dates'!$I$9:$I$1008,$I834-8)="","",INDEX('Fleet dates'!$I$9:$I$1008,$I834-8)))</x:f>
      </x:c>
      <x:c r="I834" t="str">
        <x:f>IF(826&gt;$H$4,"",MATCH(826,'Fleet dates'!$K$9:$K$1008,0)+8)</x:f>
      </x:c>
    </x:row>
    <x:row r="835" ht="36" customHeight="1">
      <x:c r="A835" s="50" t="str">
        <x:f>IF(827&gt;$H$4,"",IF(INDEX('Fleet dates'!$A$9:$A$1008,$I835-8)="","",INDEX('Fleet dates'!$A$9:$A$1008,$I835-8)))</x:f>
      </x:c>
      <x:c r="B835" s="50" t="str">
        <x:f>IF(827&gt;$H$4,"",IF(INDEX('Fleet dates'!$B$9:$B$1008,$I835-8)="","",INDEX('Fleet dates'!$B$9:$B$1008,$I835-8)))</x:f>
      </x:c>
      <x:c r="C835" s="51" t="str">
        <x:f>IF(827&gt;$H$4,"",IF(INDEX('Fleet dates'!$C$9:$C$1008,$I835-8)="","",INDEX('Fleet dates'!$C$9:$C$1008,$I835-8)))</x:f>
      </x:c>
      <x:c r="D835" s="51" t="str">
        <x:f>IF(827&gt;$H$4,"",IF(INDEX('Fleet dates'!$D$9:$D$1008,$I835-8)="","",INDEX('Fleet dates'!$D$9:$D$1008,$I835-8)))</x:f>
      </x:c>
      <x:c r="E835" s="51" t="str">
        <x:f>IF(827&gt;$H$4,"",IF(INDEX('Fleet dates'!$E$9:$E$1008,$I835-8)="","",INDEX('Fleet dates'!$E$9:$E$1008,$I835-8)))</x:f>
      </x:c>
      <x:c r="F835" s="51" t="str">
        <x:f>IF(827&gt;$H$4,"",IF(INDEX('Fleet dates'!$F$9:$F$1008,$I835-8)="","",INDEX('Fleet dates'!$F$9:$F$1008,$I835-8)))</x:f>
      </x:c>
      <x:c r="G835" s="50" t="str">
        <x:f>IF(827&gt;$H$4,"",IF(INDEX('Fleet dates'!$G$9:$G$1008,$I835-8)="","",INDEX('Fleet dates'!$G$9:$G$1008,$I835-8)))</x:f>
      </x:c>
      <x:c r="H835" s="50" t="str">
        <x:f>IF(827&gt;$H$4,"",IF(INDEX('Fleet dates'!$I$9:$I$1008,$I835-8)="","",INDEX('Fleet dates'!$I$9:$I$1008,$I835-8)))</x:f>
      </x:c>
      <x:c r="I835" t="str">
        <x:f>IF(827&gt;$H$4,"",MATCH(827,'Fleet dates'!$K$9:$K$1008,0)+8)</x:f>
      </x:c>
    </x:row>
    <x:row r="836" ht="36" customHeight="1">
      <x:c r="A836" s="50" t="str">
        <x:f>IF(828&gt;$H$4,"",IF(INDEX('Fleet dates'!$A$9:$A$1008,$I836-8)="","",INDEX('Fleet dates'!$A$9:$A$1008,$I836-8)))</x:f>
      </x:c>
      <x:c r="B836" s="50" t="str">
        <x:f>IF(828&gt;$H$4,"",IF(INDEX('Fleet dates'!$B$9:$B$1008,$I836-8)="","",INDEX('Fleet dates'!$B$9:$B$1008,$I836-8)))</x:f>
      </x:c>
      <x:c r="C836" s="51" t="str">
        <x:f>IF(828&gt;$H$4,"",IF(INDEX('Fleet dates'!$C$9:$C$1008,$I836-8)="","",INDEX('Fleet dates'!$C$9:$C$1008,$I836-8)))</x:f>
      </x:c>
      <x:c r="D836" s="51" t="str">
        <x:f>IF(828&gt;$H$4,"",IF(INDEX('Fleet dates'!$D$9:$D$1008,$I836-8)="","",INDEX('Fleet dates'!$D$9:$D$1008,$I836-8)))</x:f>
      </x:c>
      <x:c r="E836" s="51" t="str">
        <x:f>IF(828&gt;$H$4,"",IF(INDEX('Fleet dates'!$E$9:$E$1008,$I836-8)="","",INDEX('Fleet dates'!$E$9:$E$1008,$I836-8)))</x:f>
      </x:c>
      <x:c r="F836" s="51" t="str">
        <x:f>IF(828&gt;$H$4,"",IF(INDEX('Fleet dates'!$F$9:$F$1008,$I836-8)="","",INDEX('Fleet dates'!$F$9:$F$1008,$I836-8)))</x:f>
      </x:c>
      <x:c r="G836" s="50" t="str">
        <x:f>IF(828&gt;$H$4,"",IF(INDEX('Fleet dates'!$G$9:$G$1008,$I836-8)="","",INDEX('Fleet dates'!$G$9:$G$1008,$I836-8)))</x:f>
      </x:c>
      <x:c r="H836" s="50" t="str">
        <x:f>IF(828&gt;$H$4,"",IF(INDEX('Fleet dates'!$I$9:$I$1008,$I836-8)="","",INDEX('Fleet dates'!$I$9:$I$1008,$I836-8)))</x:f>
      </x:c>
      <x:c r="I836" t="str">
        <x:f>IF(828&gt;$H$4,"",MATCH(828,'Fleet dates'!$K$9:$K$1008,0)+8)</x:f>
      </x:c>
    </x:row>
    <x:row r="837" ht="36" customHeight="1">
      <x:c r="A837" s="50" t="str">
        <x:f>IF(829&gt;$H$4,"",IF(INDEX('Fleet dates'!$A$9:$A$1008,$I837-8)="","",INDEX('Fleet dates'!$A$9:$A$1008,$I837-8)))</x:f>
      </x:c>
      <x:c r="B837" s="50" t="str">
        <x:f>IF(829&gt;$H$4,"",IF(INDEX('Fleet dates'!$B$9:$B$1008,$I837-8)="","",INDEX('Fleet dates'!$B$9:$B$1008,$I837-8)))</x:f>
      </x:c>
      <x:c r="C837" s="51" t="str">
        <x:f>IF(829&gt;$H$4,"",IF(INDEX('Fleet dates'!$C$9:$C$1008,$I837-8)="","",INDEX('Fleet dates'!$C$9:$C$1008,$I837-8)))</x:f>
      </x:c>
      <x:c r="D837" s="51" t="str">
        <x:f>IF(829&gt;$H$4,"",IF(INDEX('Fleet dates'!$D$9:$D$1008,$I837-8)="","",INDEX('Fleet dates'!$D$9:$D$1008,$I837-8)))</x:f>
      </x:c>
      <x:c r="E837" s="51" t="str">
        <x:f>IF(829&gt;$H$4,"",IF(INDEX('Fleet dates'!$E$9:$E$1008,$I837-8)="","",INDEX('Fleet dates'!$E$9:$E$1008,$I837-8)))</x:f>
      </x:c>
      <x:c r="F837" s="51" t="str">
        <x:f>IF(829&gt;$H$4,"",IF(INDEX('Fleet dates'!$F$9:$F$1008,$I837-8)="","",INDEX('Fleet dates'!$F$9:$F$1008,$I837-8)))</x:f>
      </x:c>
      <x:c r="G837" s="50" t="str">
        <x:f>IF(829&gt;$H$4,"",IF(INDEX('Fleet dates'!$G$9:$G$1008,$I837-8)="","",INDEX('Fleet dates'!$G$9:$G$1008,$I837-8)))</x:f>
      </x:c>
      <x:c r="H837" s="50" t="str">
        <x:f>IF(829&gt;$H$4,"",IF(INDEX('Fleet dates'!$I$9:$I$1008,$I837-8)="","",INDEX('Fleet dates'!$I$9:$I$1008,$I837-8)))</x:f>
      </x:c>
      <x:c r="I837" t="str">
        <x:f>IF(829&gt;$H$4,"",MATCH(829,'Fleet dates'!$K$9:$K$1008,0)+8)</x:f>
      </x:c>
    </x:row>
    <x:row r="838" ht="36" customHeight="1">
      <x:c r="A838" s="50" t="str">
        <x:f>IF(830&gt;$H$4,"",IF(INDEX('Fleet dates'!$A$9:$A$1008,$I838-8)="","",INDEX('Fleet dates'!$A$9:$A$1008,$I838-8)))</x:f>
      </x:c>
      <x:c r="B838" s="50" t="str">
        <x:f>IF(830&gt;$H$4,"",IF(INDEX('Fleet dates'!$B$9:$B$1008,$I838-8)="","",INDEX('Fleet dates'!$B$9:$B$1008,$I838-8)))</x:f>
      </x:c>
      <x:c r="C838" s="51" t="str">
        <x:f>IF(830&gt;$H$4,"",IF(INDEX('Fleet dates'!$C$9:$C$1008,$I838-8)="","",INDEX('Fleet dates'!$C$9:$C$1008,$I838-8)))</x:f>
      </x:c>
      <x:c r="D838" s="51" t="str">
        <x:f>IF(830&gt;$H$4,"",IF(INDEX('Fleet dates'!$D$9:$D$1008,$I838-8)="","",INDEX('Fleet dates'!$D$9:$D$1008,$I838-8)))</x:f>
      </x:c>
      <x:c r="E838" s="51" t="str">
        <x:f>IF(830&gt;$H$4,"",IF(INDEX('Fleet dates'!$E$9:$E$1008,$I838-8)="","",INDEX('Fleet dates'!$E$9:$E$1008,$I838-8)))</x:f>
      </x:c>
      <x:c r="F838" s="51" t="str">
        <x:f>IF(830&gt;$H$4,"",IF(INDEX('Fleet dates'!$F$9:$F$1008,$I838-8)="","",INDEX('Fleet dates'!$F$9:$F$1008,$I838-8)))</x:f>
      </x:c>
      <x:c r="G838" s="50" t="str">
        <x:f>IF(830&gt;$H$4,"",IF(INDEX('Fleet dates'!$G$9:$G$1008,$I838-8)="","",INDEX('Fleet dates'!$G$9:$G$1008,$I838-8)))</x:f>
      </x:c>
      <x:c r="H838" s="50" t="str">
        <x:f>IF(830&gt;$H$4,"",IF(INDEX('Fleet dates'!$I$9:$I$1008,$I838-8)="","",INDEX('Fleet dates'!$I$9:$I$1008,$I838-8)))</x:f>
      </x:c>
      <x:c r="I838" t="str">
        <x:f>IF(830&gt;$H$4,"",MATCH(830,'Fleet dates'!$K$9:$K$1008,0)+8)</x:f>
      </x:c>
    </x:row>
    <x:row r="839" ht="36" customHeight="1">
      <x:c r="A839" s="50" t="str">
        <x:f>IF(831&gt;$H$4,"",IF(INDEX('Fleet dates'!$A$9:$A$1008,$I839-8)="","",INDEX('Fleet dates'!$A$9:$A$1008,$I839-8)))</x:f>
      </x:c>
      <x:c r="B839" s="50" t="str">
        <x:f>IF(831&gt;$H$4,"",IF(INDEX('Fleet dates'!$B$9:$B$1008,$I839-8)="","",INDEX('Fleet dates'!$B$9:$B$1008,$I839-8)))</x:f>
      </x:c>
      <x:c r="C839" s="51" t="str">
        <x:f>IF(831&gt;$H$4,"",IF(INDEX('Fleet dates'!$C$9:$C$1008,$I839-8)="","",INDEX('Fleet dates'!$C$9:$C$1008,$I839-8)))</x:f>
      </x:c>
      <x:c r="D839" s="51" t="str">
        <x:f>IF(831&gt;$H$4,"",IF(INDEX('Fleet dates'!$D$9:$D$1008,$I839-8)="","",INDEX('Fleet dates'!$D$9:$D$1008,$I839-8)))</x:f>
      </x:c>
      <x:c r="E839" s="51" t="str">
        <x:f>IF(831&gt;$H$4,"",IF(INDEX('Fleet dates'!$E$9:$E$1008,$I839-8)="","",INDEX('Fleet dates'!$E$9:$E$1008,$I839-8)))</x:f>
      </x:c>
      <x:c r="F839" s="51" t="str">
        <x:f>IF(831&gt;$H$4,"",IF(INDEX('Fleet dates'!$F$9:$F$1008,$I839-8)="","",INDEX('Fleet dates'!$F$9:$F$1008,$I839-8)))</x:f>
      </x:c>
      <x:c r="G839" s="50" t="str">
        <x:f>IF(831&gt;$H$4,"",IF(INDEX('Fleet dates'!$G$9:$G$1008,$I839-8)="","",INDEX('Fleet dates'!$G$9:$G$1008,$I839-8)))</x:f>
      </x:c>
      <x:c r="H839" s="50" t="str">
        <x:f>IF(831&gt;$H$4,"",IF(INDEX('Fleet dates'!$I$9:$I$1008,$I839-8)="","",INDEX('Fleet dates'!$I$9:$I$1008,$I839-8)))</x:f>
      </x:c>
      <x:c r="I839" t="str">
        <x:f>IF(831&gt;$H$4,"",MATCH(831,'Fleet dates'!$K$9:$K$1008,0)+8)</x:f>
      </x:c>
    </x:row>
    <x:row r="840" ht="36" customHeight="1">
      <x:c r="A840" s="50" t="str">
        <x:f>IF(832&gt;$H$4,"",IF(INDEX('Fleet dates'!$A$9:$A$1008,$I840-8)="","",INDEX('Fleet dates'!$A$9:$A$1008,$I840-8)))</x:f>
      </x:c>
      <x:c r="B840" s="50" t="str">
        <x:f>IF(832&gt;$H$4,"",IF(INDEX('Fleet dates'!$B$9:$B$1008,$I840-8)="","",INDEX('Fleet dates'!$B$9:$B$1008,$I840-8)))</x:f>
      </x:c>
      <x:c r="C840" s="51" t="str">
        <x:f>IF(832&gt;$H$4,"",IF(INDEX('Fleet dates'!$C$9:$C$1008,$I840-8)="","",INDEX('Fleet dates'!$C$9:$C$1008,$I840-8)))</x:f>
      </x:c>
      <x:c r="D840" s="51" t="str">
        <x:f>IF(832&gt;$H$4,"",IF(INDEX('Fleet dates'!$D$9:$D$1008,$I840-8)="","",INDEX('Fleet dates'!$D$9:$D$1008,$I840-8)))</x:f>
      </x:c>
      <x:c r="E840" s="51" t="str">
        <x:f>IF(832&gt;$H$4,"",IF(INDEX('Fleet dates'!$E$9:$E$1008,$I840-8)="","",INDEX('Fleet dates'!$E$9:$E$1008,$I840-8)))</x:f>
      </x:c>
      <x:c r="F840" s="51" t="str">
        <x:f>IF(832&gt;$H$4,"",IF(INDEX('Fleet dates'!$F$9:$F$1008,$I840-8)="","",INDEX('Fleet dates'!$F$9:$F$1008,$I840-8)))</x:f>
      </x:c>
      <x:c r="G840" s="50" t="str">
        <x:f>IF(832&gt;$H$4,"",IF(INDEX('Fleet dates'!$G$9:$G$1008,$I840-8)="","",INDEX('Fleet dates'!$G$9:$G$1008,$I840-8)))</x:f>
      </x:c>
      <x:c r="H840" s="50" t="str">
        <x:f>IF(832&gt;$H$4,"",IF(INDEX('Fleet dates'!$I$9:$I$1008,$I840-8)="","",INDEX('Fleet dates'!$I$9:$I$1008,$I840-8)))</x:f>
      </x:c>
      <x:c r="I840" t="str">
        <x:f>IF(832&gt;$H$4,"",MATCH(832,'Fleet dates'!$K$9:$K$1008,0)+8)</x:f>
      </x:c>
    </x:row>
    <x:row r="841" ht="36" customHeight="1">
      <x:c r="A841" s="50" t="str">
        <x:f>IF(833&gt;$H$4,"",IF(INDEX('Fleet dates'!$A$9:$A$1008,$I841-8)="","",INDEX('Fleet dates'!$A$9:$A$1008,$I841-8)))</x:f>
      </x:c>
      <x:c r="B841" s="50" t="str">
        <x:f>IF(833&gt;$H$4,"",IF(INDEX('Fleet dates'!$B$9:$B$1008,$I841-8)="","",INDEX('Fleet dates'!$B$9:$B$1008,$I841-8)))</x:f>
      </x:c>
      <x:c r="C841" s="51" t="str">
        <x:f>IF(833&gt;$H$4,"",IF(INDEX('Fleet dates'!$C$9:$C$1008,$I841-8)="","",INDEX('Fleet dates'!$C$9:$C$1008,$I841-8)))</x:f>
      </x:c>
      <x:c r="D841" s="51" t="str">
        <x:f>IF(833&gt;$H$4,"",IF(INDEX('Fleet dates'!$D$9:$D$1008,$I841-8)="","",INDEX('Fleet dates'!$D$9:$D$1008,$I841-8)))</x:f>
      </x:c>
      <x:c r="E841" s="51" t="str">
        <x:f>IF(833&gt;$H$4,"",IF(INDEX('Fleet dates'!$E$9:$E$1008,$I841-8)="","",INDEX('Fleet dates'!$E$9:$E$1008,$I841-8)))</x:f>
      </x:c>
      <x:c r="F841" s="51" t="str">
        <x:f>IF(833&gt;$H$4,"",IF(INDEX('Fleet dates'!$F$9:$F$1008,$I841-8)="","",INDEX('Fleet dates'!$F$9:$F$1008,$I841-8)))</x:f>
      </x:c>
      <x:c r="G841" s="50" t="str">
        <x:f>IF(833&gt;$H$4,"",IF(INDEX('Fleet dates'!$G$9:$G$1008,$I841-8)="","",INDEX('Fleet dates'!$G$9:$G$1008,$I841-8)))</x:f>
      </x:c>
      <x:c r="H841" s="50" t="str">
        <x:f>IF(833&gt;$H$4,"",IF(INDEX('Fleet dates'!$I$9:$I$1008,$I841-8)="","",INDEX('Fleet dates'!$I$9:$I$1008,$I841-8)))</x:f>
      </x:c>
      <x:c r="I841" t="str">
        <x:f>IF(833&gt;$H$4,"",MATCH(833,'Fleet dates'!$K$9:$K$1008,0)+8)</x:f>
      </x:c>
    </x:row>
    <x:row r="842" ht="36" customHeight="1">
      <x:c r="A842" s="50" t="str">
        <x:f>IF(834&gt;$H$4,"",IF(INDEX('Fleet dates'!$A$9:$A$1008,$I842-8)="","",INDEX('Fleet dates'!$A$9:$A$1008,$I842-8)))</x:f>
      </x:c>
      <x:c r="B842" s="50" t="str">
        <x:f>IF(834&gt;$H$4,"",IF(INDEX('Fleet dates'!$B$9:$B$1008,$I842-8)="","",INDEX('Fleet dates'!$B$9:$B$1008,$I842-8)))</x:f>
      </x:c>
      <x:c r="C842" s="51" t="str">
        <x:f>IF(834&gt;$H$4,"",IF(INDEX('Fleet dates'!$C$9:$C$1008,$I842-8)="","",INDEX('Fleet dates'!$C$9:$C$1008,$I842-8)))</x:f>
      </x:c>
      <x:c r="D842" s="51" t="str">
        <x:f>IF(834&gt;$H$4,"",IF(INDEX('Fleet dates'!$D$9:$D$1008,$I842-8)="","",INDEX('Fleet dates'!$D$9:$D$1008,$I842-8)))</x:f>
      </x:c>
      <x:c r="E842" s="51" t="str">
        <x:f>IF(834&gt;$H$4,"",IF(INDEX('Fleet dates'!$E$9:$E$1008,$I842-8)="","",INDEX('Fleet dates'!$E$9:$E$1008,$I842-8)))</x:f>
      </x:c>
      <x:c r="F842" s="51" t="str">
        <x:f>IF(834&gt;$H$4,"",IF(INDEX('Fleet dates'!$F$9:$F$1008,$I842-8)="","",INDEX('Fleet dates'!$F$9:$F$1008,$I842-8)))</x:f>
      </x:c>
      <x:c r="G842" s="50" t="str">
        <x:f>IF(834&gt;$H$4,"",IF(INDEX('Fleet dates'!$G$9:$G$1008,$I842-8)="","",INDEX('Fleet dates'!$G$9:$G$1008,$I842-8)))</x:f>
      </x:c>
      <x:c r="H842" s="50" t="str">
        <x:f>IF(834&gt;$H$4,"",IF(INDEX('Fleet dates'!$I$9:$I$1008,$I842-8)="","",INDEX('Fleet dates'!$I$9:$I$1008,$I842-8)))</x:f>
      </x:c>
      <x:c r="I842" t="str">
        <x:f>IF(834&gt;$H$4,"",MATCH(834,'Fleet dates'!$K$9:$K$1008,0)+8)</x:f>
      </x:c>
    </x:row>
    <x:row r="843" ht="36" customHeight="1">
      <x:c r="A843" s="50" t="str">
        <x:f>IF(835&gt;$H$4,"",IF(INDEX('Fleet dates'!$A$9:$A$1008,$I843-8)="","",INDEX('Fleet dates'!$A$9:$A$1008,$I843-8)))</x:f>
      </x:c>
      <x:c r="B843" s="50" t="str">
        <x:f>IF(835&gt;$H$4,"",IF(INDEX('Fleet dates'!$B$9:$B$1008,$I843-8)="","",INDEX('Fleet dates'!$B$9:$B$1008,$I843-8)))</x:f>
      </x:c>
      <x:c r="C843" s="51" t="str">
        <x:f>IF(835&gt;$H$4,"",IF(INDEX('Fleet dates'!$C$9:$C$1008,$I843-8)="","",INDEX('Fleet dates'!$C$9:$C$1008,$I843-8)))</x:f>
      </x:c>
      <x:c r="D843" s="51" t="str">
        <x:f>IF(835&gt;$H$4,"",IF(INDEX('Fleet dates'!$D$9:$D$1008,$I843-8)="","",INDEX('Fleet dates'!$D$9:$D$1008,$I843-8)))</x:f>
      </x:c>
      <x:c r="E843" s="51" t="str">
        <x:f>IF(835&gt;$H$4,"",IF(INDEX('Fleet dates'!$E$9:$E$1008,$I843-8)="","",INDEX('Fleet dates'!$E$9:$E$1008,$I843-8)))</x:f>
      </x:c>
      <x:c r="F843" s="51" t="str">
        <x:f>IF(835&gt;$H$4,"",IF(INDEX('Fleet dates'!$F$9:$F$1008,$I843-8)="","",INDEX('Fleet dates'!$F$9:$F$1008,$I843-8)))</x:f>
      </x:c>
      <x:c r="G843" s="50" t="str">
        <x:f>IF(835&gt;$H$4,"",IF(INDEX('Fleet dates'!$G$9:$G$1008,$I843-8)="","",INDEX('Fleet dates'!$G$9:$G$1008,$I843-8)))</x:f>
      </x:c>
      <x:c r="H843" s="50" t="str">
        <x:f>IF(835&gt;$H$4,"",IF(INDEX('Fleet dates'!$I$9:$I$1008,$I843-8)="","",INDEX('Fleet dates'!$I$9:$I$1008,$I843-8)))</x:f>
      </x:c>
      <x:c r="I843" t="str">
        <x:f>IF(835&gt;$H$4,"",MATCH(835,'Fleet dates'!$K$9:$K$1008,0)+8)</x:f>
      </x:c>
    </x:row>
    <x:row r="844" ht="36" customHeight="1">
      <x:c r="A844" s="50" t="str">
        <x:f>IF(836&gt;$H$4,"",IF(INDEX('Fleet dates'!$A$9:$A$1008,$I844-8)="","",INDEX('Fleet dates'!$A$9:$A$1008,$I844-8)))</x:f>
      </x:c>
      <x:c r="B844" s="50" t="str">
        <x:f>IF(836&gt;$H$4,"",IF(INDEX('Fleet dates'!$B$9:$B$1008,$I844-8)="","",INDEX('Fleet dates'!$B$9:$B$1008,$I844-8)))</x:f>
      </x:c>
      <x:c r="C844" s="51" t="str">
        <x:f>IF(836&gt;$H$4,"",IF(INDEX('Fleet dates'!$C$9:$C$1008,$I844-8)="","",INDEX('Fleet dates'!$C$9:$C$1008,$I844-8)))</x:f>
      </x:c>
      <x:c r="D844" s="51" t="str">
        <x:f>IF(836&gt;$H$4,"",IF(INDEX('Fleet dates'!$D$9:$D$1008,$I844-8)="","",INDEX('Fleet dates'!$D$9:$D$1008,$I844-8)))</x:f>
      </x:c>
      <x:c r="E844" s="51" t="str">
        <x:f>IF(836&gt;$H$4,"",IF(INDEX('Fleet dates'!$E$9:$E$1008,$I844-8)="","",INDEX('Fleet dates'!$E$9:$E$1008,$I844-8)))</x:f>
      </x:c>
      <x:c r="F844" s="51" t="str">
        <x:f>IF(836&gt;$H$4,"",IF(INDEX('Fleet dates'!$F$9:$F$1008,$I844-8)="","",INDEX('Fleet dates'!$F$9:$F$1008,$I844-8)))</x:f>
      </x:c>
      <x:c r="G844" s="50" t="str">
        <x:f>IF(836&gt;$H$4,"",IF(INDEX('Fleet dates'!$G$9:$G$1008,$I844-8)="","",INDEX('Fleet dates'!$G$9:$G$1008,$I844-8)))</x:f>
      </x:c>
      <x:c r="H844" s="50" t="str">
        <x:f>IF(836&gt;$H$4,"",IF(INDEX('Fleet dates'!$I$9:$I$1008,$I844-8)="","",INDEX('Fleet dates'!$I$9:$I$1008,$I844-8)))</x:f>
      </x:c>
      <x:c r="I844" t="str">
        <x:f>IF(836&gt;$H$4,"",MATCH(836,'Fleet dates'!$K$9:$K$1008,0)+8)</x:f>
      </x:c>
    </x:row>
    <x:row r="845" ht="36" customHeight="1">
      <x:c r="A845" s="50" t="str">
        <x:f>IF(837&gt;$H$4,"",IF(INDEX('Fleet dates'!$A$9:$A$1008,$I845-8)="","",INDEX('Fleet dates'!$A$9:$A$1008,$I845-8)))</x:f>
      </x:c>
      <x:c r="B845" s="50" t="str">
        <x:f>IF(837&gt;$H$4,"",IF(INDEX('Fleet dates'!$B$9:$B$1008,$I845-8)="","",INDEX('Fleet dates'!$B$9:$B$1008,$I845-8)))</x:f>
      </x:c>
      <x:c r="C845" s="51" t="str">
        <x:f>IF(837&gt;$H$4,"",IF(INDEX('Fleet dates'!$C$9:$C$1008,$I845-8)="","",INDEX('Fleet dates'!$C$9:$C$1008,$I845-8)))</x:f>
      </x:c>
      <x:c r="D845" s="51" t="str">
        <x:f>IF(837&gt;$H$4,"",IF(INDEX('Fleet dates'!$D$9:$D$1008,$I845-8)="","",INDEX('Fleet dates'!$D$9:$D$1008,$I845-8)))</x:f>
      </x:c>
      <x:c r="E845" s="51" t="str">
        <x:f>IF(837&gt;$H$4,"",IF(INDEX('Fleet dates'!$E$9:$E$1008,$I845-8)="","",INDEX('Fleet dates'!$E$9:$E$1008,$I845-8)))</x:f>
      </x:c>
      <x:c r="F845" s="51" t="str">
        <x:f>IF(837&gt;$H$4,"",IF(INDEX('Fleet dates'!$F$9:$F$1008,$I845-8)="","",INDEX('Fleet dates'!$F$9:$F$1008,$I845-8)))</x:f>
      </x:c>
      <x:c r="G845" s="50" t="str">
        <x:f>IF(837&gt;$H$4,"",IF(INDEX('Fleet dates'!$G$9:$G$1008,$I845-8)="","",INDEX('Fleet dates'!$G$9:$G$1008,$I845-8)))</x:f>
      </x:c>
      <x:c r="H845" s="50" t="str">
        <x:f>IF(837&gt;$H$4,"",IF(INDEX('Fleet dates'!$I$9:$I$1008,$I845-8)="","",INDEX('Fleet dates'!$I$9:$I$1008,$I845-8)))</x:f>
      </x:c>
      <x:c r="I845" t="str">
        <x:f>IF(837&gt;$H$4,"",MATCH(837,'Fleet dates'!$K$9:$K$1008,0)+8)</x:f>
      </x:c>
    </x:row>
    <x:row r="846" ht="36" customHeight="1">
      <x:c r="A846" s="50" t="str">
        <x:f>IF(838&gt;$H$4,"",IF(INDEX('Fleet dates'!$A$9:$A$1008,$I846-8)="","",INDEX('Fleet dates'!$A$9:$A$1008,$I846-8)))</x:f>
      </x:c>
      <x:c r="B846" s="50" t="str">
        <x:f>IF(838&gt;$H$4,"",IF(INDEX('Fleet dates'!$B$9:$B$1008,$I846-8)="","",INDEX('Fleet dates'!$B$9:$B$1008,$I846-8)))</x:f>
      </x:c>
      <x:c r="C846" s="51" t="str">
        <x:f>IF(838&gt;$H$4,"",IF(INDEX('Fleet dates'!$C$9:$C$1008,$I846-8)="","",INDEX('Fleet dates'!$C$9:$C$1008,$I846-8)))</x:f>
      </x:c>
      <x:c r="D846" s="51" t="str">
        <x:f>IF(838&gt;$H$4,"",IF(INDEX('Fleet dates'!$D$9:$D$1008,$I846-8)="","",INDEX('Fleet dates'!$D$9:$D$1008,$I846-8)))</x:f>
      </x:c>
      <x:c r="E846" s="51" t="str">
        <x:f>IF(838&gt;$H$4,"",IF(INDEX('Fleet dates'!$E$9:$E$1008,$I846-8)="","",INDEX('Fleet dates'!$E$9:$E$1008,$I846-8)))</x:f>
      </x:c>
      <x:c r="F846" s="51" t="str">
        <x:f>IF(838&gt;$H$4,"",IF(INDEX('Fleet dates'!$F$9:$F$1008,$I846-8)="","",INDEX('Fleet dates'!$F$9:$F$1008,$I846-8)))</x:f>
      </x:c>
      <x:c r="G846" s="50" t="str">
        <x:f>IF(838&gt;$H$4,"",IF(INDEX('Fleet dates'!$G$9:$G$1008,$I846-8)="","",INDEX('Fleet dates'!$G$9:$G$1008,$I846-8)))</x:f>
      </x:c>
      <x:c r="H846" s="50" t="str">
        <x:f>IF(838&gt;$H$4,"",IF(INDEX('Fleet dates'!$I$9:$I$1008,$I846-8)="","",INDEX('Fleet dates'!$I$9:$I$1008,$I846-8)))</x:f>
      </x:c>
      <x:c r="I846" t="str">
        <x:f>IF(838&gt;$H$4,"",MATCH(838,'Fleet dates'!$K$9:$K$1008,0)+8)</x:f>
      </x:c>
    </x:row>
    <x:row r="847" ht="36" customHeight="1">
      <x:c r="A847" s="50" t="str">
        <x:f>IF(839&gt;$H$4,"",IF(INDEX('Fleet dates'!$A$9:$A$1008,$I847-8)="","",INDEX('Fleet dates'!$A$9:$A$1008,$I847-8)))</x:f>
      </x:c>
      <x:c r="B847" s="50" t="str">
        <x:f>IF(839&gt;$H$4,"",IF(INDEX('Fleet dates'!$B$9:$B$1008,$I847-8)="","",INDEX('Fleet dates'!$B$9:$B$1008,$I847-8)))</x:f>
      </x:c>
      <x:c r="C847" s="51" t="str">
        <x:f>IF(839&gt;$H$4,"",IF(INDEX('Fleet dates'!$C$9:$C$1008,$I847-8)="","",INDEX('Fleet dates'!$C$9:$C$1008,$I847-8)))</x:f>
      </x:c>
      <x:c r="D847" s="51" t="str">
        <x:f>IF(839&gt;$H$4,"",IF(INDEX('Fleet dates'!$D$9:$D$1008,$I847-8)="","",INDEX('Fleet dates'!$D$9:$D$1008,$I847-8)))</x:f>
      </x:c>
      <x:c r="E847" s="51" t="str">
        <x:f>IF(839&gt;$H$4,"",IF(INDEX('Fleet dates'!$E$9:$E$1008,$I847-8)="","",INDEX('Fleet dates'!$E$9:$E$1008,$I847-8)))</x:f>
      </x:c>
      <x:c r="F847" s="51" t="str">
        <x:f>IF(839&gt;$H$4,"",IF(INDEX('Fleet dates'!$F$9:$F$1008,$I847-8)="","",INDEX('Fleet dates'!$F$9:$F$1008,$I847-8)))</x:f>
      </x:c>
      <x:c r="G847" s="50" t="str">
        <x:f>IF(839&gt;$H$4,"",IF(INDEX('Fleet dates'!$G$9:$G$1008,$I847-8)="","",INDEX('Fleet dates'!$G$9:$G$1008,$I847-8)))</x:f>
      </x:c>
      <x:c r="H847" s="50" t="str">
        <x:f>IF(839&gt;$H$4,"",IF(INDEX('Fleet dates'!$I$9:$I$1008,$I847-8)="","",INDEX('Fleet dates'!$I$9:$I$1008,$I847-8)))</x:f>
      </x:c>
      <x:c r="I847" t="str">
        <x:f>IF(839&gt;$H$4,"",MATCH(839,'Fleet dates'!$K$9:$K$1008,0)+8)</x:f>
      </x:c>
    </x:row>
    <x:row r="848" ht="36" customHeight="1">
      <x:c r="A848" s="50" t="str">
        <x:f>IF(840&gt;$H$4,"",IF(INDEX('Fleet dates'!$A$9:$A$1008,$I848-8)="","",INDEX('Fleet dates'!$A$9:$A$1008,$I848-8)))</x:f>
      </x:c>
      <x:c r="B848" s="50" t="str">
        <x:f>IF(840&gt;$H$4,"",IF(INDEX('Fleet dates'!$B$9:$B$1008,$I848-8)="","",INDEX('Fleet dates'!$B$9:$B$1008,$I848-8)))</x:f>
      </x:c>
      <x:c r="C848" s="51" t="str">
        <x:f>IF(840&gt;$H$4,"",IF(INDEX('Fleet dates'!$C$9:$C$1008,$I848-8)="","",INDEX('Fleet dates'!$C$9:$C$1008,$I848-8)))</x:f>
      </x:c>
      <x:c r="D848" s="51" t="str">
        <x:f>IF(840&gt;$H$4,"",IF(INDEX('Fleet dates'!$D$9:$D$1008,$I848-8)="","",INDEX('Fleet dates'!$D$9:$D$1008,$I848-8)))</x:f>
      </x:c>
      <x:c r="E848" s="51" t="str">
        <x:f>IF(840&gt;$H$4,"",IF(INDEX('Fleet dates'!$E$9:$E$1008,$I848-8)="","",INDEX('Fleet dates'!$E$9:$E$1008,$I848-8)))</x:f>
      </x:c>
      <x:c r="F848" s="51" t="str">
        <x:f>IF(840&gt;$H$4,"",IF(INDEX('Fleet dates'!$F$9:$F$1008,$I848-8)="","",INDEX('Fleet dates'!$F$9:$F$1008,$I848-8)))</x:f>
      </x:c>
      <x:c r="G848" s="50" t="str">
        <x:f>IF(840&gt;$H$4,"",IF(INDEX('Fleet dates'!$G$9:$G$1008,$I848-8)="","",INDEX('Fleet dates'!$G$9:$G$1008,$I848-8)))</x:f>
      </x:c>
      <x:c r="H848" s="50" t="str">
        <x:f>IF(840&gt;$H$4,"",IF(INDEX('Fleet dates'!$I$9:$I$1008,$I848-8)="","",INDEX('Fleet dates'!$I$9:$I$1008,$I848-8)))</x:f>
      </x:c>
      <x:c r="I848" t="str">
        <x:f>IF(840&gt;$H$4,"",MATCH(840,'Fleet dates'!$K$9:$K$1008,0)+8)</x:f>
      </x:c>
    </x:row>
    <x:row r="849" ht="36" customHeight="1">
      <x:c r="A849" s="50" t="str">
        <x:f>IF(841&gt;$H$4,"",IF(INDEX('Fleet dates'!$A$9:$A$1008,$I849-8)="","",INDEX('Fleet dates'!$A$9:$A$1008,$I849-8)))</x:f>
      </x:c>
      <x:c r="B849" s="50" t="str">
        <x:f>IF(841&gt;$H$4,"",IF(INDEX('Fleet dates'!$B$9:$B$1008,$I849-8)="","",INDEX('Fleet dates'!$B$9:$B$1008,$I849-8)))</x:f>
      </x:c>
      <x:c r="C849" s="51" t="str">
        <x:f>IF(841&gt;$H$4,"",IF(INDEX('Fleet dates'!$C$9:$C$1008,$I849-8)="","",INDEX('Fleet dates'!$C$9:$C$1008,$I849-8)))</x:f>
      </x:c>
      <x:c r="D849" s="51" t="str">
        <x:f>IF(841&gt;$H$4,"",IF(INDEX('Fleet dates'!$D$9:$D$1008,$I849-8)="","",INDEX('Fleet dates'!$D$9:$D$1008,$I849-8)))</x:f>
      </x:c>
      <x:c r="E849" s="51" t="str">
        <x:f>IF(841&gt;$H$4,"",IF(INDEX('Fleet dates'!$E$9:$E$1008,$I849-8)="","",INDEX('Fleet dates'!$E$9:$E$1008,$I849-8)))</x:f>
      </x:c>
      <x:c r="F849" s="51" t="str">
        <x:f>IF(841&gt;$H$4,"",IF(INDEX('Fleet dates'!$F$9:$F$1008,$I849-8)="","",INDEX('Fleet dates'!$F$9:$F$1008,$I849-8)))</x:f>
      </x:c>
      <x:c r="G849" s="50" t="str">
        <x:f>IF(841&gt;$H$4,"",IF(INDEX('Fleet dates'!$G$9:$G$1008,$I849-8)="","",INDEX('Fleet dates'!$G$9:$G$1008,$I849-8)))</x:f>
      </x:c>
      <x:c r="H849" s="50" t="str">
        <x:f>IF(841&gt;$H$4,"",IF(INDEX('Fleet dates'!$I$9:$I$1008,$I849-8)="","",INDEX('Fleet dates'!$I$9:$I$1008,$I849-8)))</x:f>
      </x:c>
      <x:c r="I849" t="str">
        <x:f>IF(841&gt;$H$4,"",MATCH(841,'Fleet dates'!$K$9:$K$1008,0)+8)</x:f>
      </x:c>
    </x:row>
    <x:row r="850" ht="36" customHeight="1">
      <x:c r="A850" s="50" t="str">
        <x:f>IF(842&gt;$H$4,"",IF(INDEX('Fleet dates'!$A$9:$A$1008,$I850-8)="","",INDEX('Fleet dates'!$A$9:$A$1008,$I850-8)))</x:f>
      </x:c>
      <x:c r="B850" s="50" t="str">
        <x:f>IF(842&gt;$H$4,"",IF(INDEX('Fleet dates'!$B$9:$B$1008,$I850-8)="","",INDEX('Fleet dates'!$B$9:$B$1008,$I850-8)))</x:f>
      </x:c>
      <x:c r="C850" s="51" t="str">
        <x:f>IF(842&gt;$H$4,"",IF(INDEX('Fleet dates'!$C$9:$C$1008,$I850-8)="","",INDEX('Fleet dates'!$C$9:$C$1008,$I850-8)))</x:f>
      </x:c>
      <x:c r="D850" s="51" t="str">
        <x:f>IF(842&gt;$H$4,"",IF(INDEX('Fleet dates'!$D$9:$D$1008,$I850-8)="","",INDEX('Fleet dates'!$D$9:$D$1008,$I850-8)))</x:f>
      </x:c>
      <x:c r="E850" s="51" t="str">
        <x:f>IF(842&gt;$H$4,"",IF(INDEX('Fleet dates'!$E$9:$E$1008,$I850-8)="","",INDEX('Fleet dates'!$E$9:$E$1008,$I850-8)))</x:f>
      </x:c>
      <x:c r="F850" s="51" t="str">
        <x:f>IF(842&gt;$H$4,"",IF(INDEX('Fleet dates'!$F$9:$F$1008,$I850-8)="","",INDEX('Fleet dates'!$F$9:$F$1008,$I850-8)))</x:f>
      </x:c>
      <x:c r="G850" s="50" t="str">
        <x:f>IF(842&gt;$H$4,"",IF(INDEX('Fleet dates'!$G$9:$G$1008,$I850-8)="","",INDEX('Fleet dates'!$G$9:$G$1008,$I850-8)))</x:f>
      </x:c>
      <x:c r="H850" s="50" t="str">
        <x:f>IF(842&gt;$H$4,"",IF(INDEX('Fleet dates'!$I$9:$I$1008,$I850-8)="","",INDEX('Fleet dates'!$I$9:$I$1008,$I850-8)))</x:f>
      </x:c>
      <x:c r="I850" t="str">
        <x:f>IF(842&gt;$H$4,"",MATCH(842,'Fleet dates'!$K$9:$K$1008,0)+8)</x:f>
      </x:c>
    </x:row>
    <x:row r="851" ht="36" customHeight="1">
      <x:c r="A851" s="50" t="str">
        <x:f>IF(843&gt;$H$4,"",IF(INDEX('Fleet dates'!$A$9:$A$1008,$I851-8)="","",INDEX('Fleet dates'!$A$9:$A$1008,$I851-8)))</x:f>
      </x:c>
      <x:c r="B851" s="50" t="str">
        <x:f>IF(843&gt;$H$4,"",IF(INDEX('Fleet dates'!$B$9:$B$1008,$I851-8)="","",INDEX('Fleet dates'!$B$9:$B$1008,$I851-8)))</x:f>
      </x:c>
      <x:c r="C851" s="51" t="str">
        <x:f>IF(843&gt;$H$4,"",IF(INDEX('Fleet dates'!$C$9:$C$1008,$I851-8)="","",INDEX('Fleet dates'!$C$9:$C$1008,$I851-8)))</x:f>
      </x:c>
      <x:c r="D851" s="51" t="str">
        <x:f>IF(843&gt;$H$4,"",IF(INDEX('Fleet dates'!$D$9:$D$1008,$I851-8)="","",INDEX('Fleet dates'!$D$9:$D$1008,$I851-8)))</x:f>
      </x:c>
      <x:c r="E851" s="51" t="str">
        <x:f>IF(843&gt;$H$4,"",IF(INDEX('Fleet dates'!$E$9:$E$1008,$I851-8)="","",INDEX('Fleet dates'!$E$9:$E$1008,$I851-8)))</x:f>
      </x:c>
      <x:c r="F851" s="51" t="str">
        <x:f>IF(843&gt;$H$4,"",IF(INDEX('Fleet dates'!$F$9:$F$1008,$I851-8)="","",INDEX('Fleet dates'!$F$9:$F$1008,$I851-8)))</x:f>
      </x:c>
      <x:c r="G851" s="50" t="str">
        <x:f>IF(843&gt;$H$4,"",IF(INDEX('Fleet dates'!$G$9:$G$1008,$I851-8)="","",INDEX('Fleet dates'!$G$9:$G$1008,$I851-8)))</x:f>
      </x:c>
      <x:c r="H851" s="50" t="str">
        <x:f>IF(843&gt;$H$4,"",IF(INDEX('Fleet dates'!$I$9:$I$1008,$I851-8)="","",INDEX('Fleet dates'!$I$9:$I$1008,$I851-8)))</x:f>
      </x:c>
      <x:c r="I851" t="str">
        <x:f>IF(843&gt;$H$4,"",MATCH(843,'Fleet dates'!$K$9:$K$1008,0)+8)</x:f>
      </x:c>
    </x:row>
    <x:row r="852" ht="36" customHeight="1">
      <x:c r="A852" s="50" t="str">
        <x:f>IF(844&gt;$H$4,"",IF(INDEX('Fleet dates'!$A$9:$A$1008,$I852-8)="","",INDEX('Fleet dates'!$A$9:$A$1008,$I852-8)))</x:f>
      </x:c>
      <x:c r="B852" s="50" t="str">
        <x:f>IF(844&gt;$H$4,"",IF(INDEX('Fleet dates'!$B$9:$B$1008,$I852-8)="","",INDEX('Fleet dates'!$B$9:$B$1008,$I852-8)))</x:f>
      </x:c>
      <x:c r="C852" s="51" t="str">
        <x:f>IF(844&gt;$H$4,"",IF(INDEX('Fleet dates'!$C$9:$C$1008,$I852-8)="","",INDEX('Fleet dates'!$C$9:$C$1008,$I852-8)))</x:f>
      </x:c>
      <x:c r="D852" s="51" t="str">
        <x:f>IF(844&gt;$H$4,"",IF(INDEX('Fleet dates'!$D$9:$D$1008,$I852-8)="","",INDEX('Fleet dates'!$D$9:$D$1008,$I852-8)))</x:f>
      </x:c>
      <x:c r="E852" s="51" t="str">
        <x:f>IF(844&gt;$H$4,"",IF(INDEX('Fleet dates'!$E$9:$E$1008,$I852-8)="","",INDEX('Fleet dates'!$E$9:$E$1008,$I852-8)))</x:f>
      </x:c>
      <x:c r="F852" s="51" t="str">
        <x:f>IF(844&gt;$H$4,"",IF(INDEX('Fleet dates'!$F$9:$F$1008,$I852-8)="","",INDEX('Fleet dates'!$F$9:$F$1008,$I852-8)))</x:f>
      </x:c>
      <x:c r="G852" s="50" t="str">
        <x:f>IF(844&gt;$H$4,"",IF(INDEX('Fleet dates'!$G$9:$G$1008,$I852-8)="","",INDEX('Fleet dates'!$G$9:$G$1008,$I852-8)))</x:f>
      </x:c>
      <x:c r="H852" s="50" t="str">
        <x:f>IF(844&gt;$H$4,"",IF(INDEX('Fleet dates'!$I$9:$I$1008,$I852-8)="","",INDEX('Fleet dates'!$I$9:$I$1008,$I852-8)))</x:f>
      </x:c>
      <x:c r="I852" t="str">
        <x:f>IF(844&gt;$H$4,"",MATCH(844,'Fleet dates'!$K$9:$K$1008,0)+8)</x:f>
      </x:c>
    </x:row>
    <x:row r="853" ht="36" customHeight="1">
      <x:c r="A853" s="50" t="str">
        <x:f>IF(845&gt;$H$4,"",IF(INDEX('Fleet dates'!$A$9:$A$1008,$I853-8)="","",INDEX('Fleet dates'!$A$9:$A$1008,$I853-8)))</x:f>
      </x:c>
      <x:c r="B853" s="50" t="str">
        <x:f>IF(845&gt;$H$4,"",IF(INDEX('Fleet dates'!$B$9:$B$1008,$I853-8)="","",INDEX('Fleet dates'!$B$9:$B$1008,$I853-8)))</x:f>
      </x:c>
      <x:c r="C853" s="51" t="str">
        <x:f>IF(845&gt;$H$4,"",IF(INDEX('Fleet dates'!$C$9:$C$1008,$I853-8)="","",INDEX('Fleet dates'!$C$9:$C$1008,$I853-8)))</x:f>
      </x:c>
      <x:c r="D853" s="51" t="str">
        <x:f>IF(845&gt;$H$4,"",IF(INDEX('Fleet dates'!$D$9:$D$1008,$I853-8)="","",INDEX('Fleet dates'!$D$9:$D$1008,$I853-8)))</x:f>
      </x:c>
      <x:c r="E853" s="51" t="str">
        <x:f>IF(845&gt;$H$4,"",IF(INDEX('Fleet dates'!$E$9:$E$1008,$I853-8)="","",INDEX('Fleet dates'!$E$9:$E$1008,$I853-8)))</x:f>
      </x:c>
      <x:c r="F853" s="51" t="str">
        <x:f>IF(845&gt;$H$4,"",IF(INDEX('Fleet dates'!$F$9:$F$1008,$I853-8)="","",INDEX('Fleet dates'!$F$9:$F$1008,$I853-8)))</x:f>
      </x:c>
      <x:c r="G853" s="50" t="str">
        <x:f>IF(845&gt;$H$4,"",IF(INDEX('Fleet dates'!$G$9:$G$1008,$I853-8)="","",INDEX('Fleet dates'!$G$9:$G$1008,$I853-8)))</x:f>
      </x:c>
      <x:c r="H853" s="50" t="str">
        <x:f>IF(845&gt;$H$4,"",IF(INDEX('Fleet dates'!$I$9:$I$1008,$I853-8)="","",INDEX('Fleet dates'!$I$9:$I$1008,$I853-8)))</x:f>
      </x:c>
      <x:c r="I853" t="str">
        <x:f>IF(845&gt;$H$4,"",MATCH(845,'Fleet dates'!$K$9:$K$1008,0)+8)</x:f>
      </x:c>
    </x:row>
    <x:row r="854" ht="36" customHeight="1">
      <x:c r="A854" s="50" t="str">
        <x:f>IF(846&gt;$H$4,"",IF(INDEX('Fleet dates'!$A$9:$A$1008,$I854-8)="","",INDEX('Fleet dates'!$A$9:$A$1008,$I854-8)))</x:f>
      </x:c>
      <x:c r="B854" s="50" t="str">
        <x:f>IF(846&gt;$H$4,"",IF(INDEX('Fleet dates'!$B$9:$B$1008,$I854-8)="","",INDEX('Fleet dates'!$B$9:$B$1008,$I854-8)))</x:f>
      </x:c>
      <x:c r="C854" s="51" t="str">
        <x:f>IF(846&gt;$H$4,"",IF(INDEX('Fleet dates'!$C$9:$C$1008,$I854-8)="","",INDEX('Fleet dates'!$C$9:$C$1008,$I854-8)))</x:f>
      </x:c>
      <x:c r="D854" s="51" t="str">
        <x:f>IF(846&gt;$H$4,"",IF(INDEX('Fleet dates'!$D$9:$D$1008,$I854-8)="","",INDEX('Fleet dates'!$D$9:$D$1008,$I854-8)))</x:f>
      </x:c>
      <x:c r="E854" s="51" t="str">
        <x:f>IF(846&gt;$H$4,"",IF(INDEX('Fleet dates'!$E$9:$E$1008,$I854-8)="","",INDEX('Fleet dates'!$E$9:$E$1008,$I854-8)))</x:f>
      </x:c>
      <x:c r="F854" s="51" t="str">
        <x:f>IF(846&gt;$H$4,"",IF(INDEX('Fleet dates'!$F$9:$F$1008,$I854-8)="","",INDEX('Fleet dates'!$F$9:$F$1008,$I854-8)))</x:f>
      </x:c>
      <x:c r="G854" s="50" t="str">
        <x:f>IF(846&gt;$H$4,"",IF(INDEX('Fleet dates'!$G$9:$G$1008,$I854-8)="","",INDEX('Fleet dates'!$G$9:$G$1008,$I854-8)))</x:f>
      </x:c>
      <x:c r="H854" s="50" t="str">
        <x:f>IF(846&gt;$H$4,"",IF(INDEX('Fleet dates'!$I$9:$I$1008,$I854-8)="","",INDEX('Fleet dates'!$I$9:$I$1008,$I854-8)))</x:f>
      </x:c>
      <x:c r="I854" t="str">
        <x:f>IF(846&gt;$H$4,"",MATCH(846,'Fleet dates'!$K$9:$K$1008,0)+8)</x:f>
      </x:c>
    </x:row>
    <x:row r="855" ht="36" customHeight="1">
      <x:c r="A855" s="50" t="str">
        <x:f>IF(847&gt;$H$4,"",IF(INDEX('Fleet dates'!$A$9:$A$1008,$I855-8)="","",INDEX('Fleet dates'!$A$9:$A$1008,$I855-8)))</x:f>
      </x:c>
      <x:c r="B855" s="50" t="str">
        <x:f>IF(847&gt;$H$4,"",IF(INDEX('Fleet dates'!$B$9:$B$1008,$I855-8)="","",INDEX('Fleet dates'!$B$9:$B$1008,$I855-8)))</x:f>
      </x:c>
      <x:c r="C855" s="51" t="str">
        <x:f>IF(847&gt;$H$4,"",IF(INDEX('Fleet dates'!$C$9:$C$1008,$I855-8)="","",INDEX('Fleet dates'!$C$9:$C$1008,$I855-8)))</x:f>
      </x:c>
      <x:c r="D855" s="51" t="str">
        <x:f>IF(847&gt;$H$4,"",IF(INDEX('Fleet dates'!$D$9:$D$1008,$I855-8)="","",INDEX('Fleet dates'!$D$9:$D$1008,$I855-8)))</x:f>
      </x:c>
      <x:c r="E855" s="51" t="str">
        <x:f>IF(847&gt;$H$4,"",IF(INDEX('Fleet dates'!$E$9:$E$1008,$I855-8)="","",INDEX('Fleet dates'!$E$9:$E$1008,$I855-8)))</x:f>
      </x:c>
      <x:c r="F855" s="51" t="str">
        <x:f>IF(847&gt;$H$4,"",IF(INDEX('Fleet dates'!$F$9:$F$1008,$I855-8)="","",INDEX('Fleet dates'!$F$9:$F$1008,$I855-8)))</x:f>
      </x:c>
      <x:c r="G855" s="50" t="str">
        <x:f>IF(847&gt;$H$4,"",IF(INDEX('Fleet dates'!$G$9:$G$1008,$I855-8)="","",INDEX('Fleet dates'!$G$9:$G$1008,$I855-8)))</x:f>
      </x:c>
      <x:c r="H855" s="50" t="str">
        <x:f>IF(847&gt;$H$4,"",IF(INDEX('Fleet dates'!$I$9:$I$1008,$I855-8)="","",INDEX('Fleet dates'!$I$9:$I$1008,$I855-8)))</x:f>
      </x:c>
      <x:c r="I855" t="str">
        <x:f>IF(847&gt;$H$4,"",MATCH(847,'Fleet dates'!$K$9:$K$1008,0)+8)</x:f>
      </x:c>
    </x:row>
    <x:row r="856" ht="36" customHeight="1">
      <x:c r="A856" s="50" t="str">
        <x:f>IF(848&gt;$H$4,"",IF(INDEX('Fleet dates'!$A$9:$A$1008,$I856-8)="","",INDEX('Fleet dates'!$A$9:$A$1008,$I856-8)))</x:f>
      </x:c>
      <x:c r="B856" s="50" t="str">
        <x:f>IF(848&gt;$H$4,"",IF(INDEX('Fleet dates'!$B$9:$B$1008,$I856-8)="","",INDEX('Fleet dates'!$B$9:$B$1008,$I856-8)))</x:f>
      </x:c>
      <x:c r="C856" s="51" t="str">
        <x:f>IF(848&gt;$H$4,"",IF(INDEX('Fleet dates'!$C$9:$C$1008,$I856-8)="","",INDEX('Fleet dates'!$C$9:$C$1008,$I856-8)))</x:f>
      </x:c>
      <x:c r="D856" s="51" t="str">
        <x:f>IF(848&gt;$H$4,"",IF(INDEX('Fleet dates'!$D$9:$D$1008,$I856-8)="","",INDEX('Fleet dates'!$D$9:$D$1008,$I856-8)))</x:f>
      </x:c>
      <x:c r="E856" s="51" t="str">
        <x:f>IF(848&gt;$H$4,"",IF(INDEX('Fleet dates'!$E$9:$E$1008,$I856-8)="","",INDEX('Fleet dates'!$E$9:$E$1008,$I856-8)))</x:f>
      </x:c>
      <x:c r="F856" s="51" t="str">
        <x:f>IF(848&gt;$H$4,"",IF(INDEX('Fleet dates'!$F$9:$F$1008,$I856-8)="","",INDEX('Fleet dates'!$F$9:$F$1008,$I856-8)))</x:f>
      </x:c>
      <x:c r="G856" s="50" t="str">
        <x:f>IF(848&gt;$H$4,"",IF(INDEX('Fleet dates'!$G$9:$G$1008,$I856-8)="","",INDEX('Fleet dates'!$G$9:$G$1008,$I856-8)))</x:f>
      </x:c>
      <x:c r="H856" s="50" t="str">
        <x:f>IF(848&gt;$H$4,"",IF(INDEX('Fleet dates'!$I$9:$I$1008,$I856-8)="","",INDEX('Fleet dates'!$I$9:$I$1008,$I856-8)))</x:f>
      </x:c>
      <x:c r="I856" t="str">
        <x:f>IF(848&gt;$H$4,"",MATCH(848,'Fleet dates'!$K$9:$K$1008,0)+8)</x:f>
      </x:c>
    </x:row>
    <x:row r="857" ht="36" customHeight="1">
      <x:c r="A857" s="50" t="str">
        <x:f>IF(849&gt;$H$4,"",IF(INDEX('Fleet dates'!$A$9:$A$1008,$I857-8)="","",INDEX('Fleet dates'!$A$9:$A$1008,$I857-8)))</x:f>
      </x:c>
      <x:c r="B857" s="50" t="str">
        <x:f>IF(849&gt;$H$4,"",IF(INDEX('Fleet dates'!$B$9:$B$1008,$I857-8)="","",INDEX('Fleet dates'!$B$9:$B$1008,$I857-8)))</x:f>
      </x:c>
      <x:c r="C857" s="51" t="str">
        <x:f>IF(849&gt;$H$4,"",IF(INDEX('Fleet dates'!$C$9:$C$1008,$I857-8)="","",INDEX('Fleet dates'!$C$9:$C$1008,$I857-8)))</x:f>
      </x:c>
      <x:c r="D857" s="51" t="str">
        <x:f>IF(849&gt;$H$4,"",IF(INDEX('Fleet dates'!$D$9:$D$1008,$I857-8)="","",INDEX('Fleet dates'!$D$9:$D$1008,$I857-8)))</x:f>
      </x:c>
      <x:c r="E857" s="51" t="str">
        <x:f>IF(849&gt;$H$4,"",IF(INDEX('Fleet dates'!$E$9:$E$1008,$I857-8)="","",INDEX('Fleet dates'!$E$9:$E$1008,$I857-8)))</x:f>
      </x:c>
      <x:c r="F857" s="51" t="str">
        <x:f>IF(849&gt;$H$4,"",IF(INDEX('Fleet dates'!$F$9:$F$1008,$I857-8)="","",INDEX('Fleet dates'!$F$9:$F$1008,$I857-8)))</x:f>
      </x:c>
      <x:c r="G857" s="50" t="str">
        <x:f>IF(849&gt;$H$4,"",IF(INDEX('Fleet dates'!$G$9:$G$1008,$I857-8)="","",INDEX('Fleet dates'!$G$9:$G$1008,$I857-8)))</x:f>
      </x:c>
      <x:c r="H857" s="50" t="str">
        <x:f>IF(849&gt;$H$4,"",IF(INDEX('Fleet dates'!$I$9:$I$1008,$I857-8)="","",INDEX('Fleet dates'!$I$9:$I$1008,$I857-8)))</x:f>
      </x:c>
      <x:c r="I857" t="str">
        <x:f>IF(849&gt;$H$4,"",MATCH(849,'Fleet dates'!$K$9:$K$1008,0)+8)</x:f>
      </x:c>
    </x:row>
    <x:row r="858" ht="36" customHeight="1">
      <x:c r="A858" s="50" t="str">
        <x:f>IF(850&gt;$H$4,"",IF(INDEX('Fleet dates'!$A$9:$A$1008,$I858-8)="","",INDEX('Fleet dates'!$A$9:$A$1008,$I858-8)))</x:f>
      </x:c>
      <x:c r="B858" s="50" t="str">
        <x:f>IF(850&gt;$H$4,"",IF(INDEX('Fleet dates'!$B$9:$B$1008,$I858-8)="","",INDEX('Fleet dates'!$B$9:$B$1008,$I858-8)))</x:f>
      </x:c>
      <x:c r="C858" s="51" t="str">
        <x:f>IF(850&gt;$H$4,"",IF(INDEX('Fleet dates'!$C$9:$C$1008,$I858-8)="","",INDEX('Fleet dates'!$C$9:$C$1008,$I858-8)))</x:f>
      </x:c>
      <x:c r="D858" s="51" t="str">
        <x:f>IF(850&gt;$H$4,"",IF(INDEX('Fleet dates'!$D$9:$D$1008,$I858-8)="","",INDEX('Fleet dates'!$D$9:$D$1008,$I858-8)))</x:f>
      </x:c>
      <x:c r="E858" s="51" t="str">
        <x:f>IF(850&gt;$H$4,"",IF(INDEX('Fleet dates'!$E$9:$E$1008,$I858-8)="","",INDEX('Fleet dates'!$E$9:$E$1008,$I858-8)))</x:f>
      </x:c>
      <x:c r="F858" s="51" t="str">
        <x:f>IF(850&gt;$H$4,"",IF(INDEX('Fleet dates'!$F$9:$F$1008,$I858-8)="","",INDEX('Fleet dates'!$F$9:$F$1008,$I858-8)))</x:f>
      </x:c>
      <x:c r="G858" s="50" t="str">
        <x:f>IF(850&gt;$H$4,"",IF(INDEX('Fleet dates'!$G$9:$G$1008,$I858-8)="","",INDEX('Fleet dates'!$G$9:$G$1008,$I858-8)))</x:f>
      </x:c>
      <x:c r="H858" s="50" t="str">
        <x:f>IF(850&gt;$H$4,"",IF(INDEX('Fleet dates'!$I$9:$I$1008,$I858-8)="","",INDEX('Fleet dates'!$I$9:$I$1008,$I858-8)))</x:f>
      </x:c>
      <x:c r="I858" t="str">
        <x:f>IF(850&gt;$H$4,"",MATCH(850,'Fleet dates'!$K$9:$K$1008,0)+8)</x:f>
      </x:c>
    </x:row>
    <x:row r="859" ht="36" customHeight="1">
      <x:c r="A859" s="50" t="str">
        <x:f>IF(851&gt;$H$4,"",IF(INDEX('Fleet dates'!$A$9:$A$1008,$I859-8)="","",INDEX('Fleet dates'!$A$9:$A$1008,$I859-8)))</x:f>
      </x:c>
      <x:c r="B859" s="50" t="str">
        <x:f>IF(851&gt;$H$4,"",IF(INDEX('Fleet dates'!$B$9:$B$1008,$I859-8)="","",INDEX('Fleet dates'!$B$9:$B$1008,$I859-8)))</x:f>
      </x:c>
      <x:c r="C859" s="51" t="str">
        <x:f>IF(851&gt;$H$4,"",IF(INDEX('Fleet dates'!$C$9:$C$1008,$I859-8)="","",INDEX('Fleet dates'!$C$9:$C$1008,$I859-8)))</x:f>
      </x:c>
      <x:c r="D859" s="51" t="str">
        <x:f>IF(851&gt;$H$4,"",IF(INDEX('Fleet dates'!$D$9:$D$1008,$I859-8)="","",INDEX('Fleet dates'!$D$9:$D$1008,$I859-8)))</x:f>
      </x:c>
      <x:c r="E859" s="51" t="str">
        <x:f>IF(851&gt;$H$4,"",IF(INDEX('Fleet dates'!$E$9:$E$1008,$I859-8)="","",INDEX('Fleet dates'!$E$9:$E$1008,$I859-8)))</x:f>
      </x:c>
      <x:c r="F859" s="51" t="str">
        <x:f>IF(851&gt;$H$4,"",IF(INDEX('Fleet dates'!$F$9:$F$1008,$I859-8)="","",INDEX('Fleet dates'!$F$9:$F$1008,$I859-8)))</x:f>
      </x:c>
      <x:c r="G859" s="50" t="str">
        <x:f>IF(851&gt;$H$4,"",IF(INDEX('Fleet dates'!$G$9:$G$1008,$I859-8)="","",INDEX('Fleet dates'!$G$9:$G$1008,$I859-8)))</x:f>
      </x:c>
      <x:c r="H859" s="50" t="str">
        <x:f>IF(851&gt;$H$4,"",IF(INDEX('Fleet dates'!$I$9:$I$1008,$I859-8)="","",INDEX('Fleet dates'!$I$9:$I$1008,$I859-8)))</x:f>
      </x:c>
      <x:c r="I859" t="str">
        <x:f>IF(851&gt;$H$4,"",MATCH(851,'Fleet dates'!$K$9:$K$1008,0)+8)</x:f>
      </x:c>
    </x:row>
    <x:row r="860" ht="36" customHeight="1">
      <x:c r="A860" s="50" t="str">
        <x:f>IF(852&gt;$H$4,"",IF(INDEX('Fleet dates'!$A$9:$A$1008,$I860-8)="","",INDEX('Fleet dates'!$A$9:$A$1008,$I860-8)))</x:f>
      </x:c>
      <x:c r="B860" s="50" t="str">
        <x:f>IF(852&gt;$H$4,"",IF(INDEX('Fleet dates'!$B$9:$B$1008,$I860-8)="","",INDEX('Fleet dates'!$B$9:$B$1008,$I860-8)))</x:f>
      </x:c>
      <x:c r="C860" s="51" t="str">
        <x:f>IF(852&gt;$H$4,"",IF(INDEX('Fleet dates'!$C$9:$C$1008,$I860-8)="","",INDEX('Fleet dates'!$C$9:$C$1008,$I860-8)))</x:f>
      </x:c>
      <x:c r="D860" s="51" t="str">
        <x:f>IF(852&gt;$H$4,"",IF(INDEX('Fleet dates'!$D$9:$D$1008,$I860-8)="","",INDEX('Fleet dates'!$D$9:$D$1008,$I860-8)))</x:f>
      </x:c>
      <x:c r="E860" s="51" t="str">
        <x:f>IF(852&gt;$H$4,"",IF(INDEX('Fleet dates'!$E$9:$E$1008,$I860-8)="","",INDEX('Fleet dates'!$E$9:$E$1008,$I860-8)))</x:f>
      </x:c>
      <x:c r="F860" s="51" t="str">
        <x:f>IF(852&gt;$H$4,"",IF(INDEX('Fleet dates'!$F$9:$F$1008,$I860-8)="","",INDEX('Fleet dates'!$F$9:$F$1008,$I860-8)))</x:f>
      </x:c>
      <x:c r="G860" s="50" t="str">
        <x:f>IF(852&gt;$H$4,"",IF(INDEX('Fleet dates'!$G$9:$G$1008,$I860-8)="","",INDEX('Fleet dates'!$G$9:$G$1008,$I860-8)))</x:f>
      </x:c>
      <x:c r="H860" s="50" t="str">
        <x:f>IF(852&gt;$H$4,"",IF(INDEX('Fleet dates'!$I$9:$I$1008,$I860-8)="","",INDEX('Fleet dates'!$I$9:$I$1008,$I860-8)))</x:f>
      </x:c>
      <x:c r="I860" t="str">
        <x:f>IF(852&gt;$H$4,"",MATCH(852,'Fleet dates'!$K$9:$K$1008,0)+8)</x:f>
      </x:c>
    </x:row>
    <x:row r="861" ht="36" customHeight="1">
      <x:c r="A861" s="50" t="str">
        <x:f>IF(853&gt;$H$4,"",IF(INDEX('Fleet dates'!$A$9:$A$1008,$I861-8)="","",INDEX('Fleet dates'!$A$9:$A$1008,$I861-8)))</x:f>
      </x:c>
      <x:c r="B861" s="50" t="str">
        <x:f>IF(853&gt;$H$4,"",IF(INDEX('Fleet dates'!$B$9:$B$1008,$I861-8)="","",INDEX('Fleet dates'!$B$9:$B$1008,$I861-8)))</x:f>
      </x:c>
      <x:c r="C861" s="51" t="str">
        <x:f>IF(853&gt;$H$4,"",IF(INDEX('Fleet dates'!$C$9:$C$1008,$I861-8)="","",INDEX('Fleet dates'!$C$9:$C$1008,$I861-8)))</x:f>
      </x:c>
      <x:c r="D861" s="51" t="str">
        <x:f>IF(853&gt;$H$4,"",IF(INDEX('Fleet dates'!$D$9:$D$1008,$I861-8)="","",INDEX('Fleet dates'!$D$9:$D$1008,$I861-8)))</x:f>
      </x:c>
      <x:c r="E861" s="51" t="str">
        <x:f>IF(853&gt;$H$4,"",IF(INDEX('Fleet dates'!$E$9:$E$1008,$I861-8)="","",INDEX('Fleet dates'!$E$9:$E$1008,$I861-8)))</x:f>
      </x:c>
      <x:c r="F861" s="51" t="str">
        <x:f>IF(853&gt;$H$4,"",IF(INDEX('Fleet dates'!$F$9:$F$1008,$I861-8)="","",INDEX('Fleet dates'!$F$9:$F$1008,$I861-8)))</x:f>
      </x:c>
      <x:c r="G861" s="50" t="str">
        <x:f>IF(853&gt;$H$4,"",IF(INDEX('Fleet dates'!$G$9:$G$1008,$I861-8)="","",INDEX('Fleet dates'!$G$9:$G$1008,$I861-8)))</x:f>
      </x:c>
      <x:c r="H861" s="50" t="str">
        <x:f>IF(853&gt;$H$4,"",IF(INDEX('Fleet dates'!$I$9:$I$1008,$I861-8)="","",INDEX('Fleet dates'!$I$9:$I$1008,$I861-8)))</x:f>
      </x:c>
      <x:c r="I861" t="str">
        <x:f>IF(853&gt;$H$4,"",MATCH(853,'Fleet dates'!$K$9:$K$1008,0)+8)</x:f>
      </x:c>
    </x:row>
    <x:row r="862" ht="36" customHeight="1">
      <x:c r="A862" s="50" t="str">
        <x:f>IF(854&gt;$H$4,"",IF(INDEX('Fleet dates'!$A$9:$A$1008,$I862-8)="","",INDEX('Fleet dates'!$A$9:$A$1008,$I862-8)))</x:f>
      </x:c>
      <x:c r="B862" s="50" t="str">
        <x:f>IF(854&gt;$H$4,"",IF(INDEX('Fleet dates'!$B$9:$B$1008,$I862-8)="","",INDEX('Fleet dates'!$B$9:$B$1008,$I862-8)))</x:f>
      </x:c>
      <x:c r="C862" s="51" t="str">
        <x:f>IF(854&gt;$H$4,"",IF(INDEX('Fleet dates'!$C$9:$C$1008,$I862-8)="","",INDEX('Fleet dates'!$C$9:$C$1008,$I862-8)))</x:f>
      </x:c>
      <x:c r="D862" s="51" t="str">
        <x:f>IF(854&gt;$H$4,"",IF(INDEX('Fleet dates'!$D$9:$D$1008,$I862-8)="","",INDEX('Fleet dates'!$D$9:$D$1008,$I862-8)))</x:f>
      </x:c>
      <x:c r="E862" s="51" t="str">
        <x:f>IF(854&gt;$H$4,"",IF(INDEX('Fleet dates'!$E$9:$E$1008,$I862-8)="","",INDEX('Fleet dates'!$E$9:$E$1008,$I862-8)))</x:f>
      </x:c>
      <x:c r="F862" s="51" t="str">
        <x:f>IF(854&gt;$H$4,"",IF(INDEX('Fleet dates'!$F$9:$F$1008,$I862-8)="","",INDEX('Fleet dates'!$F$9:$F$1008,$I862-8)))</x:f>
      </x:c>
      <x:c r="G862" s="50" t="str">
        <x:f>IF(854&gt;$H$4,"",IF(INDEX('Fleet dates'!$G$9:$G$1008,$I862-8)="","",INDEX('Fleet dates'!$G$9:$G$1008,$I862-8)))</x:f>
      </x:c>
      <x:c r="H862" s="50" t="str">
        <x:f>IF(854&gt;$H$4,"",IF(INDEX('Fleet dates'!$I$9:$I$1008,$I862-8)="","",INDEX('Fleet dates'!$I$9:$I$1008,$I862-8)))</x:f>
      </x:c>
      <x:c r="I862" t="str">
        <x:f>IF(854&gt;$H$4,"",MATCH(854,'Fleet dates'!$K$9:$K$1008,0)+8)</x:f>
      </x:c>
    </x:row>
    <x:row r="863" ht="36" customHeight="1">
      <x:c r="A863" s="50" t="str">
        <x:f>IF(855&gt;$H$4,"",IF(INDEX('Fleet dates'!$A$9:$A$1008,$I863-8)="","",INDEX('Fleet dates'!$A$9:$A$1008,$I863-8)))</x:f>
      </x:c>
      <x:c r="B863" s="50" t="str">
        <x:f>IF(855&gt;$H$4,"",IF(INDEX('Fleet dates'!$B$9:$B$1008,$I863-8)="","",INDEX('Fleet dates'!$B$9:$B$1008,$I863-8)))</x:f>
      </x:c>
      <x:c r="C863" s="51" t="str">
        <x:f>IF(855&gt;$H$4,"",IF(INDEX('Fleet dates'!$C$9:$C$1008,$I863-8)="","",INDEX('Fleet dates'!$C$9:$C$1008,$I863-8)))</x:f>
      </x:c>
      <x:c r="D863" s="51" t="str">
        <x:f>IF(855&gt;$H$4,"",IF(INDEX('Fleet dates'!$D$9:$D$1008,$I863-8)="","",INDEX('Fleet dates'!$D$9:$D$1008,$I863-8)))</x:f>
      </x:c>
      <x:c r="E863" s="51" t="str">
        <x:f>IF(855&gt;$H$4,"",IF(INDEX('Fleet dates'!$E$9:$E$1008,$I863-8)="","",INDEX('Fleet dates'!$E$9:$E$1008,$I863-8)))</x:f>
      </x:c>
      <x:c r="F863" s="51" t="str">
        <x:f>IF(855&gt;$H$4,"",IF(INDEX('Fleet dates'!$F$9:$F$1008,$I863-8)="","",INDEX('Fleet dates'!$F$9:$F$1008,$I863-8)))</x:f>
      </x:c>
      <x:c r="G863" s="50" t="str">
        <x:f>IF(855&gt;$H$4,"",IF(INDEX('Fleet dates'!$G$9:$G$1008,$I863-8)="","",INDEX('Fleet dates'!$G$9:$G$1008,$I863-8)))</x:f>
      </x:c>
      <x:c r="H863" s="50" t="str">
        <x:f>IF(855&gt;$H$4,"",IF(INDEX('Fleet dates'!$I$9:$I$1008,$I863-8)="","",INDEX('Fleet dates'!$I$9:$I$1008,$I863-8)))</x:f>
      </x:c>
      <x:c r="I863" t="str">
        <x:f>IF(855&gt;$H$4,"",MATCH(855,'Fleet dates'!$K$9:$K$1008,0)+8)</x:f>
      </x:c>
    </x:row>
    <x:row r="864" ht="36" customHeight="1">
      <x:c r="A864" s="50" t="str">
        <x:f>IF(856&gt;$H$4,"",IF(INDEX('Fleet dates'!$A$9:$A$1008,$I864-8)="","",INDEX('Fleet dates'!$A$9:$A$1008,$I864-8)))</x:f>
      </x:c>
      <x:c r="B864" s="50" t="str">
        <x:f>IF(856&gt;$H$4,"",IF(INDEX('Fleet dates'!$B$9:$B$1008,$I864-8)="","",INDEX('Fleet dates'!$B$9:$B$1008,$I864-8)))</x:f>
      </x:c>
      <x:c r="C864" s="51" t="str">
        <x:f>IF(856&gt;$H$4,"",IF(INDEX('Fleet dates'!$C$9:$C$1008,$I864-8)="","",INDEX('Fleet dates'!$C$9:$C$1008,$I864-8)))</x:f>
      </x:c>
      <x:c r="D864" s="51" t="str">
        <x:f>IF(856&gt;$H$4,"",IF(INDEX('Fleet dates'!$D$9:$D$1008,$I864-8)="","",INDEX('Fleet dates'!$D$9:$D$1008,$I864-8)))</x:f>
      </x:c>
      <x:c r="E864" s="51" t="str">
        <x:f>IF(856&gt;$H$4,"",IF(INDEX('Fleet dates'!$E$9:$E$1008,$I864-8)="","",INDEX('Fleet dates'!$E$9:$E$1008,$I864-8)))</x:f>
      </x:c>
      <x:c r="F864" s="51" t="str">
        <x:f>IF(856&gt;$H$4,"",IF(INDEX('Fleet dates'!$F$9:$F$1008,$I864-8)="","",INDEX('Fleet dates'!$F$9:$F$1008,$I864-8)))</x:f>
      </x:c>
      <x:c r="G864" s="50" t="str">
        <x:f>IF(856&gt;$H$4,"",IF(INDEX('Fleet dates'!$G$9:$G$1008,$I864-8)="","",INDEX('Fleet dates'!$G$9:$G$1008,$I864-8)))</x:f>
      </x:c>
      <x:c r="H864" s="50" t="str">
        <x:f>IF(856&gt;$H$4,"",IF(INDEX('Fleet dates'!$I$9:$I$1008,$I864-8)="","",INDEX('Fleet dates'!$I$9:$I$1008,$I864-8)))</x:f>
      </x:c>
      <x:c r="I864" t="str">
        <x:f>IF(856&gt;$H$4,"",MATCH(856,'Fleet dates'!$K$9:$K$1008,0)+8)</x:f>
      </x:c>
    </x:row>
    <x:row r="865" ht="36" customHeight="1">
      <x:c r="A865" s="50" t="str">
        <x:f>IF(857&gt;$H$4,"",IF(INDEX('Fleet dates'!$A$9:$A$1008,$I865-8)="","",INDEX('Fleet dates'!$A$9:$A$1008,$I865-8)))</x:f>
      </x:c>
      <x:c r="B865" s="50" t="str">
        <x:f>IF(857&gt;$H$4,"",IF(INDEX('Fleet dates'!$B$9:$B$1008,$I865-8)="","",INDEX('Fleet dates'!$B$9:$B$1008,$I865-8)))</x:f>
      </x:c>
      <x:c r="C865" s="51" t="str">
        <x:f>IF(857&gt;$H$4,"",IF(INDEX('Fleet dates'!$C$9:$C$1008,$I865-8)="","",INDEX('Fleet dates'!$C$9:$C$1008,$I865-8)))</x:f>
      </x:c>
      <x:c r="D865" s="51" t="str">
        <x:f>IF(857&gt;$H$4,"",IF(INDEX('Fleet dates'!$D$9:$D$1008,$I865-8)="","",INDEX('Fleet dates'!$D$9:$D$1008,$I865-8)))</x:f>
      </x:c>
      <x:c r="E865" s="51" t="str">
        <x:f>IF(857&gt;$H$4,"",IF(INDEX('Fleet dates'!$E$9:$E$1008,$I865-8)="","",INDEX('Fleet dates'!$E$9:$E$1008,$I865-8)))</x:f>
      </x:c>
      <x:c r="F865" s="51" t="str">
        <x:f>IF(857&gt;$H$4,"",IF(INDEX('Fleet dates'!$F$9:$F$1008,$I865-8)="","",INDEX('Fleet dates'!$F$9:$F$1008,$I865-8)))</x:f>
      </x:c>
      <x:c r="G865" s="50" t="str">
        <x:f>IF(857&gt;$H$4,"",IF(INDEX('Fleet dates'!$G$9:$G$1008,$I865-8)="","",INDEX('Fleet dates'!$G$9:$G$1008,$I865-8)))</x:f>
      </x:c>
      <x:c r="H865" s="50" t="str">
        <x:f>IF(857&gt;$H$4,"",IF(INDEX('Fleet dates'!$I$9:$I$1008,$I865-8)="","",INDEX('Fleet dates'!$I$9:$I$1008,$I865-8)))</x:f>
      </x:c>
      <x:c r="I865" t="str">
        <x:f>IF(857&gt;$H$4,"",MATCH(857,'Fleet dates'!$K$9:$K$1008,0)+8)</x:f>
      </x:c>
    </x:row>
    <x:row r="866" ht="36" customHeight="1">
      <x:c r="A866" s="50" t="str">
        <x:f>IF(858&gt;$H$4,"",IF(INDEX('Fleet dates'!$A$9:$A$1008,$I866-8)="","",INDEX('Fleet dates'!$A$9:$A$1008,$I866-8)))</x:f>
      </x:c>
      <x:c r="B866" s="50" t="str">
        <x:f>IF(858&gt;$H$4,"",IF(INDEX('Fleet dates'!$B$9:$B$1008,$I866-8)="","",INDEX('Fleet dates'!$B$9:$B$1008,$I866-8)))</x:f>
      </x:c>
      <x:c r="C866" s="51" t="str">
        <x:f>IF(858&gt;$H$4,"",IF(INDEX('Fleet dates'!$C$9:$C$1008,$I866-8)="","",INDEX('Fleet dates'!$C$9:$C$1008,$I866-8)))</x:f>
      </x:c>
      <x:c r="D866" s="51" t="str">
        <x:f>IF(858&gt;$H$4,"",IF(INDEX('Fleet dates'!$D$9:$D$1008,$I866-8)="","",INDEX('Fleet dates'!$D$9:$D$1008,$I866-8)))</x:f>
      </x:c>
      <x:c r="E866" s="51" t="str">
        <x:f>IF(858&gt;$H$4,"",IF(INDEX('Fleet dates'!$E$9:$E$1008,$I866-8)="","",INDEX('Fleet dates'!$E$9:$E$1008,$I866-8)))</x:f>
      </x:c>
      <x:c r="F866" s="51" t="str">
        <x:f>IF(858&gt;$H$4,"",IF(INDEX('Fleet dates'!$F$9:$F$1008,$I866-8)="","",INDEX('Fleet dates'!$F$9:$F$1008,$I866-8)))</x:f>
      </x:c>
      <x:c r="G866" s="50" t="str">
        <x:f>IF(858&gt;$H$4,"",IF(INDEX('Fleet dates'!$G$9:$G$1008,$I866-8)="","",INDEX('Fleet dates'!$G$9:$G$1008,$I866-8)))</x:f>
      </x:c>
      <x:c r="H866" s="50" t="str">
        <x:f>IF(858&gt;$H$4,"",IF(INDEX('Fleet dates'!$I$9:$I$1008,$I866-8)="","",INDEX('Fleet dates'!$I$9:$I$1008,$I866-8)))</x:f>
      </x:c>
      <x:c r="I866" t="str">
        <x:f>IF(858&gt;$H$4,"",MATCH(858,'Fleet dates'!$K$9:$K$1008,0)+8)</x:f>
      </x:c>
    </x:row>
    <x:row r="867" ht="36" customHeight="1">
      <x:c r="A867" s="50" t="str">
        <x:f>IF(859&gt;$H$4,"",IF(INDEX('Fleet dates'!$A$9:$A$1008,$I867-8)="","",INDEX('Fleet dates'!$A$9:$A$1008,$I867-8)))</x:f>
      </x:c>
      <x:c r="B867" s="50" t="str">
        <x:f>IF(859&gt;$H$4,"",IF(INDEX('Fleet dates'!$B$9:$B$1008,$I867-8)="","",INDEX('Fleet dates'!$B$9:$B$1008,$I867-8)))</x:f>
      </x:c>
      <x:c r="C867" s="51" t="str">
        <x:f>IF(859&gt;$H$4,"",IF(INDEX('Fleet dates'!$C$9:$C$1008,$I867-8)="","",INDEX('Fleet dates'!$C$9:$C$1008,$I867-8)))</x:f>
      </x:c>
      <x:c r="D867" s="51" t="str">
        <x:f>IF(859&gt;$H$4,"",IF(INDEX('Fleet dates'!$D$9:$D$1008,$I867-8)="","",INDEX('Fleet dates'!$D$9:$D$1008,$I867-8)))</x:f>
      </x:c>
      <x:c r="E867" s="51" t="str">
        <x:f>IF(859&gt;$H$4,"",IF(INDEX('Fleet dates'!$E$9:$E$1008,$I867-8)="","",INDEX('Fleet dates'!$E$9:$E$1008,$I867-8)))</x:f>
      </x:c>
      <x:c r="F867" s="51" t="str">
        <x:f>IF(859&gt;$H$4,"",IF(INDEX('Fleet dates'!$F$9:$F$1008,$I867-8)="","",INDEX('Fleet dates'!$F$9:$F$1008,$I867-8)))</x:f>
      </x:c>
      <x:c r="G867" s="50" t="str">
        <x:f>IF(859&gt;$H$4,"",IF(INDEX('Fleet dates'!$G$9:$G$1008,$I867-8)="","",INDEX('Fleet dates'!$G$9:$G$1008,$I867-8)))</x:f>
      </x:c>
      <x:c r="H867" s="50" t="str">
        <x:f>IF(859&gt;$H$4,"",IF(INDEX('Fleet dates'!$I$9:$I$1008,$I867-8)="","",INDEX('Fleet dates'!$I$9:$I$1008,$I867-8)))</x:f>
      </x:c>
      <x:c r="I867" t="str">
        <x:f>IF(859&gt;$H$4,"",MATCH(859,'Fleet dates'!$K$9:$K$1008,0)+8)</x:f>
      </x:c>
    </x:row>
    <x:row r="868" ht="36" customHeight="1">
      <x:c r="A868" s="50" t="str">
        <x:f>IF(860&gt;$H$4,"",IF(INDEX('Fleet dates'!$A$9:$A$1008,$I868-8)="","",INDEX('Fleet dates'!$A$9:$A$1008,$I868-8)))</x:f>
      </x:c>
      <x:c r="B868" s="50" t="str">
        <x:f>IF(860&gt;$H$4,"",IF(INDEX('Fleet dates'!$B$9:$B$1008,$I868-8)="","",INDEX('Fleet dates'!$B$9:$B$1008,$I868-8)))</x:f>
      </x:c>
      <x:c r="C868" s="51" t="str">
        <x:f>IF(860&gt;$H$4,"",IF(INDEX('Fleet dates'!$C$9:$C$1008,$I868-8)="","",INDEX('Fleet dates'!$C$9:$C$1008,$I868-8)))</x:f>
      </x:c>
      <x:c r="D868" s="51" t="str">
        <x:f>IF(860&gt;$H$4,"",IF(INDEX('Fleet dates'!$D$9:$D$1008,$I868-8)="","",INDEX('Fleet dates'!$D$9:$D$1008,$I868-8)))</x:f>
      </x:c>
      <x:c r="E868" s="51" t="str">
        <x:f>IF(860&gt;$H$4,"",IF(INDEX('Fleet dates'!$E$9:$E$1008,$I868-8)="","",INDEX('Fleet dates'!$E$9:$E$1008,$I868-8)))</x:f>
      </x:c>
      <x:c r="F868" s="51" t="str">
        <x:f>IF(860&gt;$H$4,"",IF(INDEX('Fleet dates'!$F$9:$F$1008,$I868-8)="","",INDEX('Fleet dates'!$F$9:$F$1008,$I868-8)))</x:f>
      </x:c>
      <x:c r="G868" s="50" t="str">
        <x:f>IF(860&gt;$H$4,"",IF(INDEX('Fleet dates'!$G$9:$G$1008,$I868-8)="","",INDEX('Fleet dates'!$G$9:$G$1008,$I868-8)))</x:f>
      </x:c>
      <x:c r="H868" s="50" t="str">
        <x:f>IF(860&gt;$H$4,"",IF(INDEX('Fleet dates'!$I$9:$I$1008,$I868-8)="","",INDEX('Fleet dates'!$I$9:$I$1008,$I868-8)))</x:f>
      </x:c>
      <x:c r="I868" t="str">
        <x:f>IF(860&gt;$H$4,"",MATCH(860,'Fleet dates'!$K$9:$K$1008,0)+8)</x:f>
      </x:c>
    </x:row>
    <x:row r="869" ht="36" customHeight="1">
      <x:c r="A869" s="50" t="str">
        <x:f>IF(861&gt;$H$4,"",IF(INDEX('Fleet dates'!$A$9:$A$1008,$I869-8)="","",INDEX('Fleet dates'!$A$9:$A$1008,$I869-8)))</x:f>
      </x:c>
      <x:c r="B869" s="50" t="str">
        <x:f>IF(861&gt;$H$4,"",IF(INDEX('Fleet dates'!$B$9:$B$1008,$I869-8)="","",INDEX('Fleet dates'!$B$9:$B$1008,$I869-8)))</x:f>
      </x:c>
      <x:c r="C869" s="51" t="str">
        <x:f>IF(861&gt;$H$4,"",IF(INDEX('Fleet dates'!$C$9:$C$1008,$I869-8)="","",INDEX('Fleet dates'!$C$9:$C$1008,$I869-8)))</x:f>
      </x:c>
      <x:c r="D869" s="51" t="str">
        <x:f>IF(861&gt;$H$4,"",IF(INDEX('Fleet dates'!$D$9:$D$1008,$I869-8)="","",INDEX('Fleet dates'!$D$9:$D$1008,$I869-8)))</x:f>
      </x:c>
      <x:c r="E869" s="51" t="str">
        <x:f>IF(861&gt;$H$4,"",IF(INDEX('Fleet dates'!$E$9:$E$1008,$I869-8)="","",INDEX('Fleet dates'!$E$9:$E$1008,$I869-8)))</x:f>
      </x:c>
      <x:c r="F869" s="51" t="str">
        <x:f>IF(861&gt;$H$4,"",IF(INDEX('Fleet dates'!$F$9:$F$1008,$I869-8)="","",INDEX('Fleet dates'!$F$9:$F$1008,$I869-8)))</x:f>
      </x:c>
      <x:c r="G869" s="50" t="str">
        <x:f>IF(861&gt;$H$4,"",IF(INDEX('Fleet dates'!$G$9:$G$1008,$I869-8)="","",INDEX('Fleet dates'!$G$9:$G$1008,$I869-8)))</x:f>
      </x:c>
      <x:c r="H869" s="50" t="str">
        <x:f>IF(861&gt;$H$4,"",IF(INDEX('Fleet dates'!$I$9:$I$1008,$I869-8)="","",INDEX('Fleet dates'!$I$9:$I$1008,$I869-8)))</x:f>
      </x:c>
      <x:c r="I869" t="str">
        <x:f>IF(861&gt;$H$4,"",MATCH(861,'Fleet dates'!$K$9:$K$1008,0)+8)</x:f>
      </x:c>
    </x:row>
    <x:row r="870" ht="36" customHeight="1">
      <x:c r="A870" s="50" t="str">
        <x:f>IF(862&gt;$H$4,"",IF(INDEX('Fleet dates'!$A$9:$A$1008,$I870-8)="","",INDEX('Fleet dates'!$A$9:$A$1008,$I870-8)))</x:f>
      </x:c>
      <x:c r="B870" s="50" t="str">
        <x:f>IF(862&gt;$H$4,"",IF(INDEX('Fleet dates'!$B$9:$B$1008,$I870-8)="","",INDEX('Fleet dates'!$B$9:$B$1008,$I870-8)))</x:f>
      </x:c>
      <x:c r="C870" s="51" t="str">
        <x:f>IF(862&gt;$H$4,"",IF(INDEX('Fleet dates'!$C$9:$C$1008,$I870-8)="","",INDEX('Fleet dates'!$C$9:$C$1008,$I870-8)))</x:f>
      </x:c>
      <x:c r="D870" s="51" t="str">
        <x:f>IF(862&gt;$H$4,"",IF(INDEX('Fleet dates'!$D$9:$D$1008,$I870-8)="","",INDEX('Fleet dates'!$D$9:$D$1008,$I870-8)))</x:f>
      </x:c>
      <x:c r="E870" s="51" t="str">
        <x:f>IF(862&gt;$H$4,"",IF(INDEX('Fleet dates'!$E$9:$E$1008,$I870-8)="","",INDEX('Fleet dates'!$E$9:$E$1008,$I870-8)))</x:f>
      </x:c>
      <x:c r="F870" s="51" t="str">
        <x:f>IF(862&gt;$H$4,"",IF(INDEX('Fleet dates'!$F$9:$F$1008,$I870-8)="","",INDEX('Fleet dates'!$F$9:$F$1008,$I870-8)))</x:f>
      </x:c>
      <x:c r="G870" s="50" t="str">
        <x:f>IF(862&gt;$H$4,"",IF(INDEX('Fleet dates'!$G$9:$G$1008,$I870-8)="","",INDEX('Fleet dates'!$G$9:$G$1008,$I870-8)))</x:f>
      </x:c>
      <x:c r="H870" s="50" t="str">
        <x:f>IF(862&gt;$H$4,"",IF(INDEX('Fleet dates'!$I$9:$I$1008,$I870-8)="","",INDEX('Fleet dates'!$I$9:$I$1008,$I870-8)))</x:f>
      </x:c>
      <x:c r="I870" t="str">
        <x:f>IF(862&gt;$H$4,"",MATCH(862,'Fleet dates'!$K$9:$K$1008,0)+8)</x:f>
      </x:c>
    </x:row>
    <x:row r="871" ht="36" customHeight="1">
      <x:c r="A871" s="50" t="str">
        <x:f>IF(863&gt;$H$4,"",IF(INDEX('Fleet dates'!$A$9:$A$1008,$I871-8)="","",INDEX('Fleet dates'!$A$9:$A$1008,$I871-8)))</x:f>
      </x:c>
      <x:c r="B871" s="50" t="str">
        <x:f>IF(863&gt;$H$4,"",IF(INDEX('Fleet dates'!$B$9:$B$1008,$I871-8)="","",INDEX('Fleet dates'!$B$9:$B$1008,$I871-8)))</x:f>
      </x:c>
      <x:c r="C871" s="51" t="str">
        <x:f>IF(863&gt;$H$4,"",IF(INDEX('Fleet dates'!$C$9:$C$1008,$I871-8)="","",INDEX('Fleet dates'!$C$9:$C$1008,$I871-8)))</x:f>
      </x:c>
      <x:c r="D871" s="51" t="str">
        <x:f>IF(863&gt;$H$4,"",IF(INDEX('Fleet dates'!$D$9:$D$1008,$I871-8)="","",INDEX('Fleet dates'!$D$9:$D$1008,$I871-8)))</x:f>
      </x:c>
      <x:c r="E871" s="51" t="str">
        <x:f>IF(863&gt;$H$4,"",IF(INDEX('Fleet dates'!$E$9:$E$1008,$I871-8)="","",INDEX('Fleet dates'!$E$9:$E$1008,$I871-8)))</x:f>
      </x:c>
      <x:c r="F871" s="51" t="str">
        <x:f>IF(863&gt;$H$4,"",IF(INDEX('Fleet dates'!$F$9:$F$1008,$I871-8)="","",INDEX('Fleet dates'!$F$9:$F$1008,$I871-8)))</x:f>
      </x:c>
      <x:c r="G871" s="50" t="str">
        <x:f>IF(863&gt;$H$4,"",IF(INDEX('Fleet dates'!$G$9:$G$1008,$I871-8)="","",INDEX('Fleet dates'!$G$9:$G$1008,$I871-8)))</x:f>
      </x:c>
      <x:c r="H871" s="50" t="str">
        <x:f>IF(863&gt;$H$4,"",IF(INDEX('Fleet dates'!$I$9:$I$1008,$I871-8)="","",INDEX('Fleet dates'!$I$9:$I$1008,$I871-8)))</x:f>
      </x:c>
      <x:c r="I871" t="str">
        <x:f>IF(863&gt;$H$4,"",MATCH(863,'Fleet dates'!$K$9:$K$1008,0)+8)</x:f>
      </x:c>
    </x:row>
    <x:row r="872" ht="36" customHeight="1">
      <x:c r="A872" s="50" t="str">
        <x:f>IF(864&gt;$H$4,"",IF(INDEX('Fleet dates'!$A$9:$A$1008,$I872-8)="","",INDEX('Fleet dates'!$A$9:$A$1008,$I872-8)))</x:f>
      </x:c>
      <x:c r="B872" s="50" t="str">
        <x:f>IF(864&gt;$H$4,"",IF(INDEX('Fleet dates'!$B$9:$B$1008,$I872-8)="","",INDEX('Fleet dates'!$B$9:$B$1008,$I872-8)))</x:f>
      </x:c>
      <x:c r="C872" s="51" t="str">
        <x:f>IF(864&gt;$H$4,"",IF(INDEX('Fleet dates'!$C$9:$C$1008,$I872-8)="","",INDEX('Fleet dates'!$C$9:$C$1008,$I872-8)))</x:f>
      </x:c>
      <x:c r="D872" s="51" t="str">
        <x:f>IF(864&gt;$H$4,"",IF(INDEX('Fleet dates'!$D$9:$D$1008,$I872-8)="","",INDEX('Fleet dates'!$D$9:$D$1008,$I872-8)))</x:f>
      </x:c>
      <x:c r="E872" s="51" t="str">
        <x:f>IF(864&gt;$H$4,"",IF(INDEX('Fleet dates'!$E$9:$E$1008,$I872-8)="","",INDEX('Fleet dates'!$E$9:$E$1008,$I872-8)))</x:f>
      </x:c>
      <x:c r="F872" s="51" t="str">
        <x:f>IF(864&gt;$H$4,"",IF(INDEX('Fleet dates'!$F$9:$F$1008,$I872-8)="","",INDEX('Fleet dates'!$F$9:$F$1008,$I872-8)))</x:f>
      </x:c>
      <x:c r="G872" s="50" t="str">
        <x:f>IF(864&gt;$H$4,"",IF(INDEX('Fleet dates'!$G$9:$G$1008,$I872-8)="","",INDEX('Fleet dates'!$G$9:$G$1008,$I872-8)))</x:f>
      </x:c>
      <x:c r="H872" s="50" t="str">
        <x:f>IF(864&gt;$H$4,"",IF(INDEX('Fleet dates'!$I$9:$I$1008,$I872-8)="","",INDEX('Fleet dates'!$I$9:$I$1008,$I872-8)))</x:f>
      </x:c>
      <x:c r="I872" t="str">
        <x:f>IF(864&gt;$H$4,"",MATCH(864,'Fleet dates'!$K$9:$K$1008,0)+8)</x:f>
      </x:c>
    </x:row>
    <x:row r="873" ht="36" customHeight="1">
      <x:c r="A873" s="50" t="str">
        <x:f>IF(865&gt;$H$4,"",IF(INDEX('Fleet dates'!$A$9:$A$1008,$I873-8)="","",INDEX('Fleet dates'!$A$9:$A$1008,$I873-8)))</x:f>
      </x:c>
      <x:c r="B873" s="50" t="str">
        <x:f>IF(865&gt;$H$4,"",IF(INDEX('Fleet dates'!$B$9:$B$1008,$I873-8)="","",INDEX('Fleet dates'!$B$9:$B$1008,$I873-8)))</x:f>
      </x:c>
      <x:c r="C873" s="51" t="str">
        <x:f>IF(865&gt;$H$4,"",IF(INDEX('Fleet dates'!$C$9:$C$1008,$I873-8)="","",INDEX('Fleet dates'!$C$9:$C$1008,$I873-8)))</x:f>
      </x:c>
      <x:c r="D873" s="51" t="str">
        <x:f>IF(865&gt;$H$4,"",IF(INDEX('Fleet dates'!$D$9:$D$1008,$I873-8)="","",INDEX('Fleet dates'!$D$9:$D$1008,$I873-8)))</x:f>
      </x:c>
      <x:c r="E873" s="51" t="str">
        <x:f>IF(865&gt;$H$4,"",IF(INDEX('Fleet dates'!$E$9:$E$1008,$I873-8)="","",INDEX('Fleet dates'!$E$9:$E$1008,$I873-8)))</x:f>
      </x:c>
      <x:c r="F873" s="51" t="str">
        <x:f>IF(865&gt;$H$4,"",IF(INDEX('Fleet dates'!$F$9:$F$1008,$I873-8)="","",INDEX('Fleet dates'!$F$9:$F$1008,$I873-8)))</x:f>
      </x:c>
      <x:c r="G873" s="50" t="str">
        <x:f>IF(865&gt;$H$4,"",IF(INDEX('Fleet dates'!$G$9:$G$1008,$I873-8)="","",INDEX('Fleet dates'!$G$9:$G$1008,$I873-8)))</x:f>
      </x:c>
      <x:c r="H873" s="50" t="str">
        <x:f>IF(865&gt;$H$4,"",IF(INDEX('Fleet dates'!$I$9:$I$1008,$I873-8)="","",INDEX('Fleet dates'!$I$9:$I$1008,$I873-8)))</x:f>
      </x:c>
      <x:c r="I873" t="str">
        <x:f>IF(865&gt;$H$4,"",MATCH(865,'Fleet dates'!$K$9:$K$1008,0)+8)</x:f>
      </x:c>
    </x:row>
    <x:row r="874" ht="36" customHeight="1">
      <x:c r="A874" s="50" t="str">
        <x:f>IF(866&gt;$H$4,"",IF(INDEX('Fleet dates'!$A$9:$A$1008,$I874-8)="","",INDEX('Fleet dates'!$A$9:$A$1008,$I874-8)))</x:f>
      </x:c>
      <x:c r="B874" s="50" t="str">
        <x:f>IF(866&gt;$H$4,"",IF(INDEX('Fleet dates'!$B$9:$B$1008,$I874-8)="","",INDEX('Fleet dates'!$B$9:$B$1008,$I874-8)))</x:f>
      </x:c>
      <x:c r="C874" s="51" t="str">
        <x:f>IF(866&gt;$H$4,"",IF(INDEX('Fleet dates'!$C$9:$C$1008,$I874-8)="","",INDEX('Fleet dates'!$C$9:$C$1008,$I874-8)))</x:f>
      </x:c>
      <x:c r="D874" s="51" t="str">
        <x:f>IF(866&gt;$H$4,"",IF(INDEX('Fleet dates'!$D$9:$D$1008,$I874-8)="","",INDEX('Fleet dates'!$D$9:$D$1008,$I874-8)))</x:f>
      </x:c>
      <x:c r="E874" s="51" t="str">
        <x:f>IF(866&gt;$H$4,"",IF(INDEX('Fleet dates'!$E$9:$E$1008,$I874-8)="","",INDEX('Fleet dates'!$E$9:$E$1008,$I874-8)))</x:f>
      </x:c>
      <x:c r="F874" s="51" t="str">
        <x:f>IF(866&gt;$H$4,"",IF(INDEX('Fleet dates'!$F$9:$F$1008,$I874-8)="","",INDEX('Fleet dates'!$F$9:$F$1008,$I874-8)))</x:f>
      </x:c>
      <x:c r="G874" s="50" t="str">
        <x:f>IF(866&gt;$H$4,"",IF(INDEX('Fleet dates'!$G$9:$G$1008,$I874-8)="","",INDEX('Fleet dates'!$G$9:$G$1008,$I874-8)))</x:f>
      </x:c>
      <x:c r="H874" s="50" t="str">
        <x:f>IF(866&gt;$H$4,"",IF(INDEX('Fleet dates'!$I$9:$I$1008,$I874-8)="","",INDEX('Fleet dates'!$I$9:$I$1008,$I874-8)))</x:f>
      </x:c>
      <x:c r="I874" t="str">
        <x:f>IF(866&gt;$H$4,"",MATCH(866,'Fleet dates'!$K$9:$K$1008,0)+8)</x:f>
      </x:c>
    </x:row>
    <x:row r="875" ht="36" customHeight="1">
      <x:c r="A875" s="50" t="str">
        <x:f>IF(867&gt;$H$4,"",IF(INDEX('Fleet dates'!$A$9:$A$1008,$I875-8)="","",INDEX('Fleet dates'!$A$9:$A$1008,$I875-8)))</x:f>
      </x:c>
      <x:c r="B875" s="50" t="str">
        <x:f>IF(867&gt;$H$4,"",IF(INDEX('Fleet dates'!$B$9:$B$1008,$I875-8)="","",INDEX('Fleet dates'!$B$9:$B$1008,$I875-8)))</x:f>
      </x:c>
      <x:c r="C875" s="51" t="str">
        <x:f>IF(867&gt;$H$4,"",IF(INDEX('Fleet dates'!$C$9:$C$1008,$I875-8)="","",INDEX('Fleet dates'!$C$9:$C$1008,$I875-8)))</x:f>
      </x:c>
      <x:c r="D875" s="51" t="str">
        <x:f>IF(867&gt;$H$4,"",IF(INDEX('Fleet dates'!$D$9:$D$1008,$I875-8)="","",INDEX('Fleet dates'!$D$9:$D$1008,$I875-8)))</x:f>
      </x:c>
      <x:c r="E875" s="51" t="str">
        <x:f>IF(867&gt;$H$4,"",IF(INDEX('Fleet dates'!$E$9:$E$1008,$I875-8)="","",INDEX('Fleet dates'!$E$9:$E$1008,$I875-8)))</x:f>
      </x:c>
      <x:c r="F875" s="51" t="str">
        <x:f>IF(867&gt;$H$4,"",IF(INDEX('Fleet dates'!$F$9:$F$1008,$I875-8)="","",INDEX('Fleet dates'!$F$9:$F$1008,$I875-8)))</x:f>
      </x:c>
      <x:c r="G875" s="50" t="str">
        <x:f>IF(867&gt;$H$4,"",IF(INDEX('Fleet dates'!$G$9:$G$1008,$I875-8)="","",INDEX('Fleet dates'!$G$9:$G$1008,$I875-8)))</x:f>
      </x:c>
      <x:c r="H875" s="50" t="str">
        <x:f>IF(867&gt;$H$4,"",IF(INDEX('Fleet dates'!$I$9:$I$1008,$I875-8)="","",INDEX('Fleet dates'!$I$9:$I$1008,$I875-8)))</x:f>
      </x:c>
      <x:c r="I875" t="str">
        <x:f>IF(867&gt;$H$4,"",MATCH(867,'Fleet dates'!$K$9:$K$1008,0)+8)</x:f>
      </x:c>
    </x:row>
    <x:row r="876" ht="36" customHeight="1">
      <x:c r="A876" s="50" t="str">
        <x:f>IF(868&gt;$H$4,"",IF(INDEX('Fleet dates'!$A$9:$A$1008,$I876-8)="","",INDEX('Fleet dates'!$A$9:$A$1008,$I876-8)))</x:f>
      </x:c>
      <x:c r="B876" s="50" t="str">
        <x:f>IF(868&gt;$H$4,"",IF(INDEX('Fleet dates'!$B$9:$B$1008,$I876-8)="","",INDEX('Fleet dates'!$B$9:$B$1008,$I876-8)))</x:f>
      </x:c>
      <x:c r="C876" s="51" t="str">
        <x:f>IF(868&gt;$H$4,"",IF(INDEX('Fleet dates'!$C$9:$C$1008,$I876-8)="","",INDEX('Fleet dates'!$C$9:$C$1008,$I876-8)))</x:f>
      </x:c>
      <x:c r="D876" s="51" t="str">
        <x:f>IF(868&gt;$H$4,"",IF(INDEX('Fleet dates'!$D$9:$D$1008,$I876-8)="","",INDEX('Fleet dates'!$D$9:$D$1008,$I876-8)))</x:f>
      </x:c>
      <x:c r="E876" s="51" t="str">
        <x:f>IF(868&gt;$H$4,"",IF(INDEX('Fleet dates'!$E$9:$E$1008,$I876-8)="","",INDEX('Fleet dates'!$E$9:$E$1008,$I876-8)))</x:f>
      </x:c>
      <x:c r="F876" s="51" t="str">
        <x:f>IF(868&gt;$H$4,"",IF(INDEX('Fleet dates'!$F$9:$F$1008,$I876-8)="","",INDEX('Fleet dates'!$F$9:$F$1008,$I876-8)))</x:f>
      </x:c>
      <x:c r="G876" s="50" t="str">
        <x:f>IF(868&gt;$H$4,"",IF(INDEX('Fleet dates'!$G$9:$G$1008,$I876-8)="","",INDEX('Fleet dates'!$G$9:$G$1008,$I876-8)))</x:f>
      </x:c>
      <x:c r="H876" s="50" t="str">
        <x:f>IF(868&gt;$H$4,"",IF(INDEX('Fleet dates'!$I$9:$I$1008,$I876-8)="","",INDEX('Fleet dates'!$I$9:$I$1008,$I876-8)))</x:f>
      </x:c>
      <x:c r="I876" t="str">
        <x:f>IF(868&gt;$H$4,"",MATCH(868,'Fleet dates'!$K$9:$K$1008,0)+8)</x:f>
      </x:c>
    </x:row>
    <x:row r="877" ht="36" customHeight="1">
      <x:c r="A877" s="50" t="str">
        <x:f>IF(869&gt;$H$4,"",IF(INDEX('Fleet dates'!$A$9:$A$1008,$I877-8)="","",INDEX('Fleet dates'!$A$9:$A$1008,$I877-8)))</x:f>
      </x:c>
      <x:c r="B877" s="50" t="str">
        <x:f>IF(869&gt;$H$4,"",IF(INDEX('Fleet dates'!$B$9:$B$1008,$I877-8)="","",INDEX('Fleet dates'!$B$9:$B$1008,$I877-8)))</x:f>
      </x:c>
      <x:c r="C877" s="51" t="str">
        <x:f>IF(869&gt;$H$4,"",IF(INDEX('Fleet dates'!$C$9:$C$1008,$I877-8)="","",INDEX('Fleet dates'!$C$9:$C$1008,$I877-8)))</x:f>
      </x:c>
      <x:c r="D877" s="51" t="str">
        <x:f>IF(869&gt;$H$4,"",IF(INDEX('Fleet dates'!$D$9:$D$1008,$I877-8)="","",INDEX('Fleet dates'!$D$9:$D$1008,$I877-8)))</x:f>
      </x:c>
      <x:c r="E877" s="51" t="str">
        <x:f>IF(869&gt;$H$4,"",IF(INDEX('Fleet dates'!$E$9:$E$1008,$I877-8)="","",INDEX('Fleet dates'!$E$9:$E$1008,$I877-8)))</x:f>
      </x:c>
      <x:c r="F877" s="51" t="str">
        <x:f>IF(869&gt;$H$4,"",IF(INDEX('Fleet dates'!$F$9:$F$1008,$I877-8)="","",INDEX('Fleet dates'!$F$9:$F$1008,$I877-8)))</x:f>
      </x:c>
      <x:c r="G877" s="50" t="str">
        <x:f>IF(869&gt;$H$4,"",IF(INDEX('Fleet dates'!$G$9:$G$1008,$I877-8)="","",INDEX('Fleet dates'!$G$9:$G$1008,$I877-8)))</x:f>
      </x:c>
      <x:c r="H877" s="50" t="str">
        <x:f>IF(869&gt;$H$4,"",IF(INDEX('Fleet dates'!$I$9:$I$1008,$I877-8)="","",INDEX('Fleet dates'!$I$9:$I$1008,$I877-8)))</x:f>
      </x:c>
      <x:c r="I877" t="str">
        <x:f>IF(869&gt;$H$4,"",MATCH(869,'Fleet dates'!$K$9:$K$1008,0)+8)</x:f>
      </x:c>
    </x:row>
    <x:row r="878" ht="36" customHeight="1">
      <x:c r="A878" s="50" t="str">
        <x:f>IF(870&gt;$H$4,"",IF(INDEX('Fleet dates'!$A$9:$A$1008,$I878-8)="","",INDEX('Fleet dates'!$A$9:$A$1008,$I878-8)))</x:f>
      </x:c>
      <x:c r="B878" s="50" t="str">
        <x:f>IF(870&gt;$H$4,"",IF(INDEX('Fleet dates'!$B$9:$B$1008,$I878-8)="","",INDEX('Fleet dates'!$B$9:$B$1008,$I878-8)))</x:f>
      </x:c>
      <x:c r="C878" s="51" t="str">
        <x:f>IF(870&gt;$H$4,"",IF(INDEX('Fleet dates'!$C$9:$C$1008,$I878-8)="","",INDEX('Fleet dates'!$C$9:$C$1008,$I878-8)))</x:f>
      </x:c>
      <x:c r="D878" s="51" t="str">
        <x:f>IF(870&gt;$H$4,"",IF(INDEX('Fleet dates'!$D$9:$D$1008,$I878-8)="","",INDEX('Fleet dates'!$D$9:$D$1008,$I878-8)))</x:f>
      </x:c>
      <x:c r="E878" s="51" t="str">
        <x:f>IF(870&gt;$H$4,"",IF(INDEX('Fleet dates'!$E$9:$E$1008,$I878-8)="","",INDEX('Fleet dates'!$E$9:$E$1008,$I878-8)))</x:f>
      </x:c>
      <x:c r="F878" s="51" t="str">
        <x:f>IF(870&gt;$H$4,"",IF(INDEX('Fleet dates'!$F$9:$F$1008,$I878-8)="","",INDEX('Fleet dates'!$F$9:$F$1008,$I878-8)))</x:f>
      </x:c>
      <x:c r="G878" s="50" t="str">
        <x:f>IF(870&gt;$H$4,"",IF(INDEX('Fleet dates'!$G$9:$G$1008,$I878-8)="","",INDEX('Fleet dates'!$G$9:$G$1008,$I878-8)))</x:f>
      </x:c>
      <x:c r="H878" s="50" t="str">
        <x:f>IF(870&gt;$H$4,"",IF(INDEX('Fleet dates'!$I$9:$I$1008,$I878-8)="","",INDEX('Fleet dates'!$I$9:$I$1008,$I878-8)))</x:f>
      </x:c>
      <x:c r="I878" t="str">
        <x:f>IF(870&gt;$H$4,"",MATCH(870,'Fleet dates'!$K$9:$K$1008,0)+8)</x:f>
      </x:c>
    </x:row>
    <x:row r="879" ht="36" customHeight="1">
      <x:c r="A879" s="50" t="str">
        <x:f>IF(871&gt;$H$4,"",IF(INDEX('Fleet dates'!$A$9:$A$1008,$I879-8)="","",INDEX('Fleet dates'!$A$9:$A$1008,$I879-8)))</x:f>
      </x:c>
      <x:c r="B879" s="50" t="str">
        <x:f>IF(871&gt;$H$4,"",IF(INDEX('Fleet dates'!$B$9:$B$1008,$I879-8)="","",INDEX('Fleet dates'!$B$9:$B$1008,$I879-8)))</x:f>
      </x:c>
      <x:c r="C879" s="51" t="str">
        <x:f>IF(871&gt;$H$4,"",IF(INDEX('Fleet dates'!$C$9:$C$1008,$I879-8)="","",INDEX('Fleet dates'!$C$9:$C$1008,$I879-8)))</x:f>
      </x:c>
      <x:c r="D879" s="51" t="str">
        <x:f>IF(871&gt;$H$4,"",IF(INDEX('Fleet dates'!$D$9:$D$1008,$I879-8)="","",INDEX('Fleet dates'!$D$9:$D$1008,$I879-8)))</x:f>
      </x:c>
      <x:c r="E879" s="51" t="str">
        <x:f>IF(871&gt;$H$4,"",IF(INDEX('Fleet dates'!$E$9:$E$1008,$I879-8)="","",INDEX('Fleet dates'!$E$9:$E$1008,$I879-8)))</x:f>
      </x:c>
      <x:c r="F879" s="51" t="str">
        <x:f>IF(871&gt;$H$4,"",IF(INDEX('Fleet dates'!$F$9:$F$1008,$I879-8)="","",INDEX('Fleet dates'!$F$9:$F$1008,$I879-8)))</x:f>
      </x:c>
      <x:c r="G879" s="50" t="str">
        <x:f>IF(871&gt;$H$4,"",IF(INDEX('Fleet dates'!$G$9:$G$1008,$I879-8)="","",INDEX('Fleet dates'!$G$9:$G$1008,$I879-8)))</x:f>
      </x:c>
      <x:c r="H879" s="50" t="str">
        <x:f>IF(871&gt;$H$4,"",IF(INDEX('Fleet dates'!$I$9:$I$1008,$I879-8)="","",INDEX('Fleet dates'!$I$9:$I$1008,$I879-8)))</x:f>
      </x:c>
      <x:c r="I879" t="str">
        <x:f>IF(871&gt;$H$4,"",MATCH(871,'Fleet dates'!$K$9:$K$1008,0)+8)</x:f>
      </x:c>
    </x:row>
    <x:row r="880" ht="36" customHeight="1">
      <x:c r="A880" s="50" t="str">
        <x:f>IF(872&gt;$H$4,"",IF(INDEX('Fleet dates'!$A$9:$A$1008,$I880-8)="","",INDEX('Fleet dates'!$A$9:$A$1008,$I880-8)))</x:f>
      </x:c>
      <x:c r="B880" s="50" t="str">
        <x:f>IF(872&gt;$H$4,"",IF(INDEX('Fleet dates'!$B$9:$B$1008,$I880-8)="","",INDEX('Fleet dates'!$B$9:$B$1008,$I880-8)))</x:f>
      </x:c>
      <x:c r="C880" s="51" t="str">
        <x:f>IF(872&gt;$H$4,"",IF(INDEX('Fleet dates'!$C$9:$C$1008,$I880-8)="","",INDEX('Fleet dates'!$C$9:$C$1008,$I880-8)))</x:f>
      </x:c>
      <x:c r="D880" s="51" t="str">
        <x:f>IF(872&gt;$H$4,"",IF(INDEX('Fleet dates'!$D$9:$D$1008,$I880-8)="","",INDEX('Fleet dates'!$D$9:$D$1008,$I880-8)))</x:f>
      </x:c>
      <x:c r="E880" s="51" t="str">
        <x:f>IF(872&gt;$H$4,"",IF(INDEX('Fleet dates'!$E$9:$E$1008,$I880-8)="","",INDEX('Fleet dates'!$E$9:$E$1008,$I880-8)))</x:f>
      </x:c>
      <x:c r="F880" s="51" t="str">
        <x:f>IF(872&gt;$H$4,"",IF(INDEX('Fleet dates'!$F$9:$F$1008,$I880-8)="","",INDEX('Fleet dates'!$F$9:$F$1008,$I880-8)))</x:f>
      </x:c>
      <x:c r="G880" s="50" t="str">
        <x:f>IF(872&gt;$H$4,"",IF(INDEX('Fleet dates'!$G$9:$G$1008,$I880-8)="","",INDEX('Fleet dates'!$G$9:$G$1008,$I880-8)))</x:f>
      </x:c>
      <x:c r="H880" s="50" t="str">
        <x:f>IF(872&gt;$H$4,"",IF(INDEX('Fleet dates'!$I$9:$I$1008,$I880-8)="","",INDEX('Fleet dates'!$I$9:$I$1008,$I880-8)))</x:f>
      </x:c>
      <x:c r="I880" t="str">
        <x:f>IF(872&gt;$H$4,"",MATCH(872,'Fleet dates'!$K$9:$K$1008,0)+8)</x:f>
      </x:c>
    </x:row>
    <x:row r="881" ht="36" customHeight="1">
      <x:c r="A881" s="50" t="str">
        <x:f>IF(873&gt;$H$4,"",IF(INDEX('Fleet dates'!$A$9:$A$1008,$I881-8)="","",INDEX('Fleet dates'!$A$9:$A$1008,$I881-8)))</x:f>
      </x:c>
      <x:c r="B881" s="50" t="str">
        <x:f>IF(873&gt;$H$4,"",IF(INDEX('Fleet dates'!$B$9:$B$1008,$I881-8)="","",INDEX('Fleet dates'!$B$9:$B$1008,$I881-8)))</x:f>
      </x:c>
      <x:c r="C881" s="51" t="str">
        <x:f>IF(873&gt;$H$4,"",IF(INDEX('Fleet dates'!$C$9:$C$1008,$I881-8)="","",INDEX('Fleet dates'!$C$9:$C$1008,$I881-8)))</x:f>
      </x:c>
      <x:c r="D881" s="51" t="str">
        <x:f>IF(873&gt;$H$4,"",IF(INDEX('Fleet dates'!$D$9:$D$1008,$I881-8)="","",INDEX('Fleet dates'!$D$9:$D$1008,$I881-8)))</x:f>
      </x:c>
      <x:c r="E881" s="51" t="str">
        <x:f>IF(873&gt;$H$4,"",IF(INDEX('Fleet dates'!$E$9:$E$1008,$I881-8)="","",INDEX('Fleet dates'!$E$9:$E$1008,$I881-8)))</x:f>
      </x:c>
      <x:c r="F881" s="51" t="str">
        <x:f>IF(873&gt;$H$4,"",IF(INDEX('Fleet dates'!$F$9:$F$1008,$I881-8)="","",INDEX('Fleet dates'!$F$9:$F$1008,$I881-8)))</x:f>
      </x:c>
      <x:c r="G881" s="50" t="str">
        <x:f>IF(873&gt;$H$4,"",IF(INDEX('Fleet dates'!$G$9:$G$1008,$I881-8)="","",INDEX('Fleet dates'!$G$9:$G$1008,$I881-8)))</x:f>
      </x:c>
      <x:c r="H881" s="50" t="str">
        <x:f>IF(873&gt;$H$4,"",IF(INDEX('Fleet dates'!$I$9:$I$1008,$I881-8)="","",INDEX('Fleet dates'!$I$9:$I$1008,$I881-8)))</x:f>
      </x:c>
      <x:c r="I881" t="str">
        <x:f>IF(873&gt;$H$4,"",MATCH(873,'Fleet dates'!$K$9:$K$1008,0)+8)</x:f>
      </x:c>
    </x:row>
    <x:row r="882" ht="36" customHeight="1">
      <x:c r="A882" s="50" t="str">
        <x:f>IF(874&gt;$H$4,"",IF(INDEX('Fleet dates'!$A$9:$A$1008,$I882-8)="","",INDEX('Fleet dates'!$A$9:$A$1008,$I882-8)))</x:f>
      </x:c>
      <x:c r="B882" s="50" t="str">
        <x:f>IF(874&gt;$H$4,"",IF(INDEX('Fleet dates'!$B$9:$B$1008,$I882-8)="","",INDEX('Fleet dates'!$B$9:$B$1008,$I882-8)))</x:f>
      </x:c>
      <x:c r="C882" s="51" t="str">
        <x:f>IF(874&gt;$H$4,"",IF(INDEX('Fleet dates'!$C$9:$C$1008,$I882-8)="","",INDEX('Fleet dates'!$C$9:$C$1008,$I882-8)))</x:f>
      </x:c>
      <x:c r="D882" s="51" t="str">
        <x:f>IF(874&gt;$H$4,"",IF(INDEX('Fleet dates'!$D$9:$D$1008,$I882-8)="","",INDEX('Fleet dates'!$D$9:$D$1008,$I882-8)))</x:f>
      </x:c>
      <x:c r="E882" s="51" t="str">
        <x:f>IF(874&gt;$H$4,"",IF(INDEX('Fleet dates'!$E$9:$E$1008,$I882-8)="","",INDEX('Fleet dates'!$E$9:$E$1008,$I882-8)))</x:f>
      </x:c>
      <x:c r="F882" s="51" t="str">
        <x:f>IF(874&gt;$H$4,"",IF(INDEX('Fleet dates'!$F$9:$F$1008,$I882-8)="","",INDEX('Fleet dates'!$F$9:$F$1008,$I882-8)))</x:f>
      </x:c>
      <x:c r="G882" s="50" t="str">
        <x:f>IF(874&gt;$H$4,"",IF(INDEX('Fleet dates'!$G$9:$G$1008,$I882-8)="","",INDEX('Fleet dates'!$G$9:$G$1008,$I882-8)))</x:f>
      </x:c>
      <x:c r="H882" s="50" t="str">
        <x:f>IF(874&gt;$H$4,"",IF(INDEX('Fleet dates'!$I$9:$I$1008,$I882-8)="","",INDEX('Fleet dates'!$I$9:$I$1008,$I882-8)))</x:f>
      </x:c>
      <x:c r="I882" t="str">
        <x:f>IF(874&gt;$H$4,"",MATCH(874,'Fleet dates'!$K$9:$K$1008,0)+8)</x:f>
      </x:c>
    </x:row>
    <x:row r="883" ht="36" customHeight="1">
      <x:c r="A883" s="50" t="str">
        <x:f>IF(875&gt;$H$4,"",IF(INDEX('Fleet dates'!$A$9:$A$1008,$I883-8)="","",INDEX('Fleet dates'!$A$9:$A$1008,$I883-8)))</x:f>
      </x:c>
      <x:c r="B883" s="50" t="str">
        <x:f>IF(875&gt;$H$4,"",IF(INDEX('Fleet dates'!$B$9:$B$1008,$I883-8)="","",INDEX('Fleet dates'!$B$9:$B$1008,$I883-8)))</x:f>
      </x:c>
      <x:c r="C883" s="51" t="str">
        <x:f>IF(875&gt;$H$4,"",IF(INDEX('Fleet dates'!$C$9:$C$1008,$I883-8)="","",INDEX('Fleet dates'!$C$9:$C$1008,$I883-8)))</x:f>
      </x:c>
      <x:c r="D883" s="51" t="str">
        <x:f>IF(875&gt;$H$4,"",IF(INDEX('Fleet dates'!$D$9:$D$1008,$I883-8)="","",INDEX('Fleet dates'!$D$9:$D$1008,$I883-8)))</x:f>
      </x:c>
      <x:c r="E883" s="51" t="str">
        <x:f>IF(875&gt;$H$4,"",IF(INDEX('Fleet dates'!$E$9:$E$1008,$I883-8)="","",INDEX('Fleet dates'!$E$9:$E$1008,$I883-8)))</x:f>
      </x:c>
      <x:c r="F883" s="51" t="str">
        <x:f>IF(875&gt;$H$4,"",IF(INDEX('Fleet dates'!$F$9:$F$1008,$I883-8)="","",INDEX('Fleet dates'!$F$9:$F$1008,$I883-8)))</x:f>
      </x:c>
      <x:c r="G883" s="50" t="str">
        <x:f>IF(875&gt;$H$4,"",IF(INDEX('Fleet dates'!$G$9:$G$1008,$I883-8)="","",INDEX('Fleet dates'!$G$9:$G$1008,$I883-8)))</x:f>
      </x:c>
      <x:c r="H883" s="50" t="str">
        <x:f>IF(875&gt;$H$4,"",IF(INDEX('Fleet dates'!$I$9:$I$1008,$I883-8)="","",INDEX('Fleet dates'!$I$9:$I$1008,$I883-8)))</x:f>
      </x:c>
      <x:c r="I883" t="str">
        <x:f>IF(875&gt;$H$4,"",MATCH(875,'Fleet dates'!$K$9:$K$1008,0)+8)</x:f>
      </x:c>
    </x:row>
    <x:row r="884" ht="36" customHeight="1">
      <x:c r="A884" s="50" t="str">
        <x:f>IF(876&gt;$H$4,"",IF(INDEX('Fleet dates'!$A$9:$A$1008,$I884-8)="","",INDEX('Fleet dates'!$A$9:$A$1008,$I884-8)))</x:f>
      </x:c>
      <x:c r="B884" s="50" t="str">
        <x:f>IF(876&gt;$H$4,"",IF(INDEX('Fleet dates'!$B$9:$B$1008,$I884-8)="","",INDEX('Fleet dates'!$B$9:$B$1008,$I884-8)))</x:f>
      </x:c>
      <x:c r="C884" s="51" t="str">
        <x:f>IF(876&gt;$H$4,"",IF(INDEX('Fleet dates'!$C$9:$C$1008,$I884-8)="","",INDEX('Fleet dates'!$C$9:$C$1008,$I884-8)))</x:f>
      </x:c>
      <x:c r="D884" s="51" t="str">
        <x:f>IF(876&gt;$H$4,"",IF(INDEX('Fleet dates'!$D$9:$D$1008,$I884-8)="","",INDEX('Fleet dates'!$D$9:$D$1008,$I884-8)))</x:f>
      </x:c>
      <x:c r="E884" s="51" t="str">
        <x:f>IF(876&gt;$H$4,"",IF(INDEX('Fleet dates'!$E$9:$E$1008,$I884-8)="","",INDEX('Fleet dates'!$E$9:$E$1008,$I884-8)))</x:f>
      </x:c>
      <x:c r="F884" s="51" t="str">
        <x:f>IF(876&gt;$H$4,"",IF(INDEX('Fleet dates'!$F$9:$F$1008,$I884-8)="","",INDEX('Fleet dates'!$F$9:$F$1008,$I884-8)))</x:f>
      </x:c>
      <x:c r="G884" s="50" t="str">
        <x:f>IF(876&gt;$H$4,"",IF(INDEX('Fleet dates'!$G$9:$G$1008,$I884-8)="","",INDEX('Fleet dates'!$G$9:$G$1008,$I884-8)))</x:f>
      </x:c>
      <x:c r="H884" s="50" t="str">
        <x:f>IF(876&gt;$H$4,"",IF(INDEX('Fleet dates'!$I$9:$I$1008,$I884-8)="","",INDEX('Fleet dates'!$I$9:$I$1008,$I884-8)))</x:f>
      </x:c>
      <x:c r="I884" t="str">
        <x:f>IF(876&gt;$H$4,"",MATCH(876,'Fleet dates'!$K$9:$K$1008,0)+8)</x:f>
      </x:c>
    </x:row>
    <x:row r="885" ht="36" customHeight="1">
      <x:c r="A885" s="50" t="str">
        <x:f>IF(877&gt;$H$4,"",IF(INDEX('Fleet dates'!$A$9:$A$1008,$I885-8)="","",INDEX('Fleet dates'!$A$9:$A$1008,$I885-8)))</x:f>
      </x:c>
      <x:c r="B885" s="50" t="str">
        <x:f>IF(877&gt;$H$4,"",IF(INDEX('Fleet dates'!$B$9:$B$1008,$I885-8)="","",INDEX('Fleet dates'!$B$9:$B$1008,$I885-8)))</x:f>
      </x:c>
      <x:c r="C885" s="51" t="str">
        <x:f>IF(877&gt;$H$4,"",IF(INDEX('Fleet dates'!$C$9:$C$1008,$I885-8)="","",INDEX('Fleet dates'!$C$9:$C$1008,$I885-8)))</x:f>
      </x:c>
      <x:c r="D885" s="51" t="str">
        <x:f>IF(877&gt;$H$4,"",IF(INDEX('Fleet dates'!$D$9:$D$1008,$I885-8)="","",INDEX('Fleet dates'!$D$9:$D$1008,$I885-8)))</x:f>
      </x:c>
      <x:c r="E885" s="51" t="str">
        <x:f>IF(877&gt;$H$4,"",IF(INDEX('Fleet dates'!$E$9:$E$1008,$I885-8)="","",INDEX('Fleet dates'!$E$9:$E$1008,$I885-8)))</x:f>
      </x:c>
      <x:c r="F885" s="51" t="str">
        <x:f>IF(877&gt;$H$4,"",IF(INDEX('Fleet dates'!$F$9:$F$1008,$I885-8)="","",INDEX('Fleet dates'!$F$9:$F$1008,$I885-8)))</x:f>
      </x:c>
      <x:c r="G885" s="50" t="str">
        <x:f>IF(877&gt;$H$4,"",IF(INDEX('Fleet dates'!$G$9:$G$1008,$I885-8)="","",INDEX('Fleet dates'!$G$9:$G$1008,$I885-8)))</x:f>
      </x:c>
      <x:c r="H885" s="50" t="str">
        <x:f>IF(877&gt;$H$4,"",IF(INDEX('Fleet dates'!$I$9:$I$1008,$I885-8)="","",INDEX('Fleet dates'!$I$9:$I$1008,$I885-8)))</x:f>
      </x:c>
      <x:c r="I885" t="str">
        <x:f>IF(877&gt;$H$4,"",MATCH(877,'Fleet dates'!$K$9:$K$1008,0)+8)</x:f>
      </x:c>
    </x:row>
    <x:row r="886" ht="36" customHeight="1">
      <x:c r="A886" s="50" t="str">
        <x:f>IF(878&gt;$H$4,"",IF(INDEX('Fleet dates'!$A$9:$A$1008,$I886-8)="","",INDEX('Fleet dates'!$A$9:$A$1008,$I886-8)))</x:f>
      </x:c>
      <x:c r="B886" s="50" t="str">
        <x:f>IF(878&gt;$H$4,"",IF(INDEX('Fleet dates'!$B$9:$B$1008,$I886-8)="","",INDEX('Fleet dates'!$B$9:$B$1008,$I886-8)))</x:f>
      </x:c>
      <x:c r="C886" s="51" t="str">
        <x:f>IF(878&gt;$H$4,"",IF(INDEX('Fleet dates'!$C$9:$C$1008,$I886-8)="","",INDEX('Fleet dates'!$C$9:$C$1008,$I886-8)))</x:f>
      </x:c>
      <x:c r="D886" s="51" t="str">
        <x:f>IF(878&gt;$H$4,"",IF(INDEX('Fleet dates'!$D$9:$D$1008,$I886-8)="","",INDEX('Fleet dates'!$D$9:$D$1008,$I886-8)))</x:f>
      </x:c>
      <x:c r="E886" s="51" t="str">
        <x:f>IF(878&gt;$H$4,"",IF(INDEX('Fleet dates'!$E$9:$E$1008,$I886-8)="","",INDEX('Fleet dates'!$E$9:$E$1008,$I886-8)))</x:f>
      </x:c>
      <x:c r="F886" s="51" t="str">
        <x:f>IF(878&gt;$H$4,"",IF(INDEX('Fleet dates'!$F$9:$F$1008,$I886-8)="","",INDEX('Fleet dates'!$F$9:$F$1008,$I886-8)))</x:f>
      </x:c>
      <x:c r="G886" s="50" t="str">
        <x:f>IF(878&gt;$H$4,"",IF(INDEX('Fleet dates'!$G$9:$G$1008,$I886-8)="","",INDEX('Fleet dates'!$G$9:$G$1008,$I886-8)))</x:f>
      </x:c>
      <x:c r="H886" s="50" t="str">
        <x:f>IF(878&gt;$H$4,"",IF(INDEX('Fleet dates'!$I$9:$I$1008,$I886-8)="","",INDEX('Fleet dates'!$I$9:$I$1008,$I886-8)))</x:f>
      </x:c>
      <x:c r="I886" t="str">
        <x:f>IF(878&gt;$H$4,"",MATCH(878,'Fleet dates'!$K$9:$K$1008,0)+8)</x:f>
      </x:c>
    </x:row>
    <x:row r="887" ht="36" customHeight="1">
      <x:c r="A887" s="50" t="str">
        <x:f>IF(879&gt;$H$4,"",IF(INDEX('Fleet dates'!$A$9:$A$1008,$I887-8)="","",INDEX('Fleet dates'!$A$9:$A$1008,$I887-8)))</x:f>
      </x:c>
      <x:c r="B887" s="50" t="str">
        <x:f>IF(879&gt;$H$4,"",IF(INDEX('Fleet dates'!$B$9:$B$1008,$I887-8)="","",INDEX('Fleet dates'!$B$9:$B$1008,$I887-8)))</x:f>
      </x:c>
      <x:c r="C887" s="51" t="str">
        <x:f>IF(879&gt;$H$4,"",IF(INDEX('Fleet dates'!$C$9:$C$1008,$I887-8)="","",INDEX('Fleet dates'!$C$9:$C$1008,$I887-8)))</x:f>
      </x:c>
      <x:c r="D887" s="51" t="str">
        <x:f>IF(879&gt;$H$4,"",IF(INDEX('Fleet dates'!$D$9:$D$1008,$I887-8)="","",INDEX('Fleet dates'!$D$9:$D$1008,$I887-8)))</x:f>
      </x:c>
      <x:c r="E887" s="51" t="str">
        <x:f>IF(879&gt;$H$4,"",IF(INDEX('Fleet dates'!$E$9:$E$1008,$I887-8)="","",INDEX('Fleet dates'!$E$9:$E$1008,$I887-8)))</x:f>
      </x:c>
      <x:c r="F887" s="51" t="str">
        <x:f>IF(879&gt;$H$4,"",IF(INDEX('Fleet dates'!$F$9:$F$1008,$I887-8)="","",INDEX('Fleet dates'!$F$9:$F$1008,$I887-8)))</x:f>
      </x:c>
      <x:c r="G887" s="50" t="str">
        <x:f>IF(879&gt;$H$4,"",IF(INDEX('Fleet dates'!$G$9:$G$1008,$I887-8)="","",INDEX('Fleet dates'!$G$9:$G$1008,$I887-8)))</x:f>
      </x:c>
      <x:c r="H887" s="50" t="str">
        <x:f>IF(879&gt;$H$4,"",IF(INDEX('Fleet dates'!$I$9:$I$1008,$I887-8)="","",INDEX('Fleet dates'!$I$9:$I$1008,$I887-8)))</x:f>
      </x:c>
      <x:c r="I887" t="str">
        <x:f>IF(879&gt;$H$4,"",MATCH(879,'Fleet dates'!$K$9:$K$1008,0)+8)</x:f>
      </x:c>
    </x:row>
    <x:row r="888" ht="36" customHeight="1">
      <x:c r="A888" s="50" t="str">
        <x:f>IF(880&gt;$H$4,"",IF(INDEX('Fleet dates'!$A$9:$A$1008,$I888-8)="","",INDEX('Fleet dates'!$A$9:$A$1008,$I888-8)))</x:f>
      </x:c>
      <x:c r="B888" s="50" t="str">
        <x:f>IF(880&gt;$H$4,"",IF(INDEX('Fleet dates'!$B$9:$B$1008,$I888-8)="","",INDEX('Fleet dates'!$B$9:$B$1008,$I888-8)))</x:f>
      </x:c>
      <x:c r="C888" s="51" t="str">
        <x:f>IF(880&gt;$H$4,"",IF(INDEX('Fleet dates'!$C$9:$C$1008,$I888-8)="","",INDEX('Fleet dates'!$C$9:$C$1008,$I888-8)))</x:f>
      </x:c>
      <x:c r="D888" s="51" t="str">
        <x:f>IF(880&gt;$H$4,"",IF(INDEX('Fleet dates'!$D$9:$D$1008,$I888-8)="","",INDEX('Fleet dates'!$D$9:$D$1008,$I888-8)))</x:f>
      </x:c>
      <x:c r="E888" s="51" t="str">
        <x:f>IF(880&gt;$H$4,"",IF(INDEX('Fleet dates'!$E$9:$E$1008,$I888-8)="","",INDEX('Fleet dates'!$E$9:$E$1008,$I888-8)))</x:f>
      </x:c>
      <x:c r="F888" s="51" t="str">
        <x:f>IF(880&gt;$H$4,"",IF(INDEX('Fleet dates'!$F$9:$F$1008,$I888-8)="","",INDEX('Fleet dates'!$F$9:$F$1008,$I888-8)))</x:f>
      </x:c>
      <x:c r="G888" s="50" t="str">
        <x:f>IF(880&gt;$H$4,"",IF(INDEX('Fleet dates'!$G$9:$G$1008,$I888-8)="","",INDEX('Fleet dates'!$G$9:$G$1008,$I888-8)))</x:f>
      </x:c>
      <x:c r="H888" s="50" t="str">
        <x:f>IF(880&gt;$H$4,"",IF(INDEX('Fleet dates'!$I$9:$I$1008,$I888-8)="","",INDEX('Fleet dates'!$I$9:$I$1008,$I888-8)))</x:f>
      </x:c>
      <x:c r="I888" t="str">
        <x:f>IF(880&gt;$H$4,"",MATCH(880,'Fleet dates'!$K$9:$K$1008,0)+8)</x:f>
      </x:c>
    </x:row>
    <x:row r="889" ht="36" customHeight="1">
      <x:c r="A889" s="50" t="str">
        <x:f>IF(881&gt;$H$4,"",IF(INDEX('Fleet dates'!$A$9:$A$1008,$I889-8)="","",INDEX('Fleet dates'!$A$9:$A$1008,$I889-8)))</x:f>
      </x:c>
      <x:c r="B889" s="50" t="str">
        <x:f>IF(881&gt;$H$4,"",IF(INDEX('Fleet dates'!$B$9:$B$1008,$I889-8)="","",INDEX('Fleet dates'!$B$9:$B$1008,$I889-8)))</x:f>
      </x:c>
      <x:c r="C889" s="51" t="str">
        <x:f>IF(881&gt;$H$4,"",IF(INDEX('Fleet dates'!$C$9:$C$1008,$I889-8)="","",INDEX('Fleet dates'!$C$9:$C$1008,$I889-8)))</x:f>
      </x:c>
      <x:c r="D889" s="51" t="str">
        <x:f>IF(881&gt;$H$4,"",IF(INDEX('Fleet dates'!$D$9:$D$1008,$I889-8)="","",INDEX('Fleet dates'!$D$9:$D$1008,$I889-8)))</x:f>
      </x:c>
      <x:c r="E889" s="51" t="str">
        <x:f>IF(881&gt;$H$4,"",IF(INDEX('Fleet dates'!$E$9:$E$1008,$I889-8)="","",INDEX('Fleet dates'!$E$9:$E$1008,$I889-8)))</x:f>
      </x:c>
      <x:c r="F889" s="51" t="str">
        <x:f>IF(881&gt;$H$4,"",IF(INDEX('Fleet dates'!$F$9:$F$1008,$I889-8)="","",INDEX('Fleet dates'!$F$9:$F$1008,$I889-8)))</x:f>
      </x:c>
      <x:c r="G889" s="50" t="str">
        <x:f>IF(881&gt;$H$4,"",IF(INDEX('Fleet dates'!$G$9:$G$1008,$I889-8)="","",INDEX('Fleet dates'!$G$9:$G$1008,$I889-8)))</x:f>
      </x:c>
      <x:c r="H889" s="50" t="str">
        <x:f>IF(881&gt;$H$4,"",IF(INDEX('Fleet dates'!$I$9:$I$1008,$I889-8)="","",INDEX('Fleet dates'!$I$9:$I$1008,$I889-8)))</x:f>
      </x:c>
      <x:c r="I889" t="str">
        <x:f>IF(881&gt;$H$4,"",MATCH(881,'Fleet dates'!$K$9:$K$1008,0)+8)</x:f>
      </x:c>
    </x:row>
    <x:row r="890" ht="36" customHeight="1">
      <x:c r="A890" s="50" t="str">
        <x:f>IF(882&gt;$H$4,"",IF(INDEX('Fleet dates'!$A$9:$A$1008,$I890-8)="","",INDEX('Fleet dates'!$A$9:$A$1008,$I890-8)))</x:f>
      </x:c>
      <x:c r="B890" s="50" t="str">
        <x:f>IF(882&gt;$H$4,"",IF(INDEX('Fleet dates'!$B$9:$B$1008,$I890-8)="","",INDEX('Fleet dates'!$B$9:$B$1008,$I890-8)))</x:f>
      </x:c>
      <x:c r="C890" s="51" t="str">
        <x:f>IF(882&gt;$H$4,"",IF(INDEX('Fleet dates'!$C$9:$C$1008,$I890-8)="","",INDEX('Fleet dates'!$C$9:$C$1008,$I890-8)))</x:f>
      </x:c>
      <x:c r="D890" s="51" t="str">
        <x:f>IF(882&gt;$H$4,"",IF(INDEX('Fleet dates'!$D$9:$D$1008,$I890-8)="","",INDEX('Fleet dates'!$D$9:$D$1008,$I890-8)))</x:f>
      </x:c>
      <x:c r="E890" s="51" t="str">
        <x:f>IF(882&gt;$H$4,"",IF(INDEX('Fleet dates'!$E$9:$E$1008,$I890-8)="","",INDEX('Fleet dates'!$E$9:$E$1008,$I890-8)))</x:f>
      </x:c>
      <x:c r="F890" s="51" t="str">
        <x:f>IF(882&gt;$H$4,"",IF(INDEX('Fleet dates'!$F$9:$F$1008,$I890-8)="","",INDEX('Fleet dates'!$F$9:$F$1008,$I890-8)))</x:f>
      </x:c>
      <x:c r="G890" s="50" t="str">
        <x:f>IF(882&gt;$H$4,"",IF(INDEX('Fleet dates'!$G$9:$G$1008,$I890-8)="","",INDEX('Fleet dates'!$G$9:$G$1008,$I890-8)))</x:f>
      </x:c>
      <x:c r="H890" s="50" t="str">
        <x:f>IF(882&gt;$H$4,"",IF(INDEX('Fleet dates'!$I$9:$I$1008,$I890-8)="","",INDEX('Fleet dates'!$I$9:$I$1008,$I890-8)))</x:f>
      </x:c>
      <x:c r="I890" t="str">
        <x:f>IF(882&gt;$H$4,"",MATCH(882,'Fleet dates'!$K$9:$K$1008,0)+8)</x:f>
      </x:c>
    </x:row>
    <x:row r="891" ht="36" customHeight="1">
      <x:c r="A891" s="50" t="str">
        <x:f>IF(883&gt;$H$4,"",IF(INDEX('Fleet dates'!$A$9:$A$1008,$I891-8)="","",INDEX('Fleet dates'!$A$9:$A$1008,$I891-8)))</x:f>
      </x:c>
      <x:c r="B891" s="50" t="str">
        <x:f>IF(883&gt;$H$4,"",IF(INDEX('Fleet dates'!$B$9:$B$1008,$I891-8)="","",INDEX('Fleet dates'!$B$9:$B$1008,$I891-8)))</x:f>
      </x:c>
      <x:c r="C891" s="51" t="str">
        <x:f>IF(883&gt;$H$4,"",IF(INDEX('Fleet dates'!$C$9:$C$1008,$I891-8)="","",INDEX('Fleet dates'!$C$9:$C$1008,$I891-8)))</x:f>
      </x:c>
      <x:c r="D891" s="51" t="str">
        <x:f>IF(883&gt;$H$4,"",IF(INDEX('Fleet dates'!$D$9:$D$1008,$I891-8)="","",INDEX('Fleet dates'!$D$9:$D$1008,$I891-8)))</x:f>
      </x:c>
      <x:c r="E891" s="51" t="str">
        <x:f>IF(883&gt;$H$4,"",IF(INDEX('Fleet dates'!$E$9:$E$1008,$I891-8)="","",INDEX('Fleet dates'!$E$9:$E$1008,$I891-8)))</x:f>
      </x:c>
      <x:c r="F891" s="51" t="str">
        <x:f>IF(883&gt;$H$4,"",IF(INDEX('Fleet dates'!$F$9:$F$1008,$I891-8)="","",INDEX('Fleet dates'!$F$9:$F$1008,$I891-8)))</x:f>
      </x:c>
      <x:c r="G891" s="50" t="str">
        <x:f>IF(883&gt;$H$4,"",IF(INDEX('Fleet dates'!$G$9:$G$1008,$I891-8)="","",INDEX('Fleet dates'!$G$9:$G$1008,$I891-8)))</x:f>
      </x:c>
      <x:c r="H891" s="50" t="str">
        <x:f>IF(883&gt;$H$4,"",IF(INDEX('Fleet dates'!$I$9:$I$1008,$I891-8)="","",INDEX('Fleet dates'!$I$9:$I$1008,$I891-8)))</x:f>
      </x:c>
      <x:c r="I891" t="str">
        <x:f>IF(883&gt;$H$4,"",MATCH(883,'Fleet dates'!$K$9:$K$1008,0)+8)</x:f>
      </x:c>
    </x:row>
    <x:row r="892" ht="36" customHeight="1">
      <x:c r="A892" s="50" t="str">
        <x:f>IF(884&gt;$H$4,"",IF(INDEX('Fleet dates'!$A$9:$A$1008,$I892-8)="","",INDEX('Fleet dates'!$A$9:$A$1008,$I892-8)))</x:f>
      </x:c>
      <x:c r="B892" s="50" t="str">
        <x:f>IF(884&gt;$H$4,"",IF(INDEX('Fleet dates'!$B$9:$B$1008,$I892-8)="","",INDEX('Fleet dates'!$B$9:$B$1008,$I892-8)))</x:f>
      </x:c>
      <x:c r="C892" s="51" t="str">
        <x:f>IF(884&gt;$H$4,"",IF(INDEX('Fleet dates'!$C$9:$C$1008,$I892-8)="","",INDEX('Fleet dates'!$C$9:$C$1008,$I892-8)))</x:f>
      </x:c>
      <x:c r="D892" s="51" t="str">
        <x:f>IF(884&gt;$H$4,"",IF(INDEX('Fleet dates'!$D$9:$D$1008,$I892-8)="","",INDEX('Fleet dates'!$D$9:$D$1008,$I892-8)))</x:f>
      </x:c>
      <x:c r="E892" s="51" t="str">
        <x:f>IF(884&gt;$H$4,"",IF(INDEX('Fleet dates'!$E$9:$E$1008,$I892-8)="","",INDEX('Fleet dates'!$E$9:$E$1008,$I892-8)))</x:f>
      </x:c>
      <x:c r="F892" s="51" t="str">
        <x:f>IF(884&gt;$H$4,"",IF(INDEX('Fleet dates'!$F$9:$F$1008,$I892-8)="","",INDEX('Fleet dates'!$F$9:$F$1008,$I892-8)))</x:f>
      </x:c>
      <x:c r="G892" s="50" t="str">
        <x:f>IF(884&gt;$H$4,"",IF(INDEX('Fleet dates'!$G$9:$G$1008,$I892-8)="","",INDEX('Fleet dates'!$G$9:$G$1008,$I892-8)))</x:f>
      </x:c>
      <x:c r="H892" s="50" t="str">
        <x:f>IF(884&gt;$H$4,"",IF(INDEX('Fleet dates'!$I$9:$I$1008,$I892-8)="","",INDEX('Fleet dates'!$I$9:$I$1008,$I892-8)))</x:f>
      </x:c>
      <x:c r="I892" t="str">
        <x:f>IF(884&gt;$H$4,"",MATCH(884,'Fleet dates'!$K$9:$K$1008,0)+8)</x:f>
      </x:c>
    </x:row>
    <x:row r="893" ht="36" customHeight="1">
      <x:c r="A893" s="50" t="str">
        <x:f>IF(885&gt;$H$4,"",IF(INDEX('Fleet dates'!$A$9:$A$1008,$I893-8)="","",INDEX('Fleet dates'!$A$9:$A$1008,$I893-8)))</x:f>
      </x:c>
      <x:c r="B893" s="50" t="str">
        <x:f>IF(885&gt;$H$4,"",IF(INDEX('Fleet dates'!$B$9:$B$1008,$I893-8)="","",INDEX('Fleet dates'!$B$9:$B$1008,$I893-8)))</x:f>
      </x:c>
      <x:c r="C893" s="51" t="str">
        <x:f>IF(885&gt;$H$4,"",IF(INDEX('Fleet dates'!$C$9:$C$1008,$I893-8)="","",INDEX('Fleet dates'!$C$9:$C$1008,$I893-8)))</x:f>
      </x:c>
      <x:c r="D893" s="51" t="str">
        <x:f>IF(885&gt;$H$4,"",IF(INDEX('Fleet dates'!$D$9:$D$1008,$I893-8)="","",INDEX('Fleet dates'!$D$9:$D$1008,$I893-8)))</x:f>
      </x:c>
      <x:c r="E893" s="51" t="str">
        <x:f>IF(885&gt;$H$4,"",IF(INDEX('Fleet dates'!$E$9:$E$1008,$I893-8)="","",INDEX('Fleet dates'!$E$9:$E$1008,$I893-8)))</x:f>
      </x:c>
      <x:c r="F893" s="51" t="str">
        <x:f>IF(885&gt;$H$4,"",IF(INDEX('Fleet dates'!$F$9:$F$1008,$I893-8)="","",INDEX('Fleet dates'!$F$9:$F$1008,$I893-8)))</x:f>
      </x:c>
      <x:c r="G893" s="50" t="str">
        <x:f>IF(885&gt;$H$4,"",IF(INDEX('Fleet dates'!$G$9:$G$1008,$I893-8)="","",INDEX('Fleet dates'!$G$9:$G$1008,$I893-8)))</x:f>
      </x:c>
      <x:c r="H893" s="50" t="str">
        <x:f>IF(885&gt;$H$4,"",IF(INDEX('Fleet dates'!$I$9:$I$1008,$I893-8)="","",INDEX('Fleet dates'!$I$9:$I$1008,$I893-8)))</x:f>
      </x:c>
      <x:c r="I893" t="str">
        <x:f>IF(885&gt;$H$4,"",MATCH(885,'Fleet dates'!$K$9:$K$1008,0)+8)</x:f>
      </x:c>
    </x:row>
    <x:row r="894" ht="36" customHeight="1">
      <x:c r="A894" s="50" t="str">
        <x:f>IF(886&gt;$H$4,"",IF(INDEX('Fleet dates'!$A$9:$A$1008,$I894-8)="","",INDEX('Fleet dates'!$A$9:$A$1008,$I894-8)))</x:f>
      </x:c>
      <x:c r="B894" s="50" t="str">
        <x:f>IF(886&gt;$H$4,"",IF(INDEX('Fleet dates'!$B$9:$B$1008,$I894-8)="","",INDEX('Fleet dates'!$B$9:$B$1008,$I894-8)))</x:f>
      </x:c>
      <x:c r="C894" s="51" t="str">
        <x:f>IF(886&gt;$H$4,"",IF(INDEX('Fleet dates'!$C$9:$C$1008,$I894-8)="","",INDEX('Fleet dates'!$C$9:$C$1008,$I894-8)))</x:f>
      </x:c>
      <x:c r="D894" s="51" t="str">
        <x:f>IF(886&gt;$H$4,"",IF(INDEX('Fleet dates'!$D$9:$D$1008,$I894-8)="","",INDEX('Fleet dates'!$D$9:$D$1008,$I894-8)))</x:f>
      </x:c>
      <x:c r="E894" s="51" t="str">
        <x:f>IF(886&gt;$H$4,"",IF(INDEX('Fleet dates'!$E$9:$E$1008,$I894-8)="","",INDEX('Fleet dates'!$E$9:$E$1008,$I894-8)))</x:f>
      </x:c>
      <x:c r="F894" s="51" t="str">
        <x:f>IF(886&gt;$H$4,"",IF(INDEX('Fleet dates'!$F$9:$F$1008,$I894-8)="","",INDEX('Fleet dates'!$F$9:$F$1008,$I894-8)))</x:f>
      </x:c>
      <x:c r="G894" s="50" t="str">
        <x:f>IF(886&gt;$H$4,"",IF(INDEX('Fleet dates'!$G$9:$G$1008,$I894-8)="","",INDEX('Fleet dates'!$G$9:$G$1008,$I894-8)))</x:f>
      </x:c>
      <x:c r="H894" s="50" t="str">
        <x:f>IF(886&gt;$H$4,"",IF(INDEX('Fleet dates'!$I$9:$I$1008,$I894-8)="","",INDEX('Fleet dates'!$I$9:$I$1008,$I894-8)))</x:f>
      </x:c>
      <x:c r="I894" t="str">
        <x:f>IF(886&gt;$H$4,"",MATCH(886,'Fleet dates'!$K$9:$K$1008,0)+8)</x:f>
      </x:c>
    </x:row>
    <x:row r="895" ht="36" customHeight="1">
      <x:c r="A895" s="50" t="str">
        <x:f>IF(887&gt;$H$4,"",IF(INDEX('Fleet dates'!$A$9:$A$1008,$I895-8)="","",INDEX('Fleet dates'!$A$9:$A$1008,$I895-8)))</x:f>
      </x:c>
      <x:c r="B895" s="50" t="str">
        <x:f>IF(887&gt;$H$4,"",IF(INDEX('Fleet dates'!$B$9:$B$1008,$I895-8)="","",INDEX('Fleet dates'!$B$9:$B$1008,$I895-8)))</x:f>
      </x:c>
      <x:c r="C895" s="51" t="str">
        <x:f>IF(887&gt;$H$4,"",IF(INDEX('Fleet dates'!$C$9:$C$1008,$I895-8)="","",INDEX('Fleet dates'!$C$9:$C$1008,$I895-8)))</x:f>
      </x:c>
      <x:c r="D895" s="51" t="str">
        <x:f>IF(887&gt;$H$4,"",IF(INDEX('Fleet dates'!$D$9:$D$1008,$I895-8)="","",INDEX('Fleet dates'!$D$9:$D$1008,$I895-8)))</x:f>
      </x:c>
      <x:c r="E895" s="51" t="str">
        <x:f>IF(887&gt;$H$4,"",IF(INDEX('Fleet dates'!$E$9:$E$1008,$I895-8)="","",INDEX('Fleet dates'!$E$9:$E$1008,$I895-8)))</x:f>
      </x:c>
      <x:c r="F895" s="51" t="str">
        <x:f>IF(887&gt;$H$4,"",IF(INDEX('Fleet dates'!$F$9:$F$1008,$I895-8)="","",INDEX('Fleet dates'!$F$9:$F$1008,$I895-8)))</x:f>
      </x:c>
      <x:c r="G895" s="50" t="str">
        <x:f>IF(887&gt;$H$4,"",IF(INDEX('Fleet dates'!$G$9:$G$1008,$I895-8)="","",INDEX('Fleet dates'!$G$9:$G$1008,$I895-8)))</x:f>
      </x:c>
      <x:c r="H895" s="50" t="str">
        <x:f>IF(887&gt;$H$4,"",IF(INDEX('Fleet dates'!$I$9:$I$1008,$I895-8)="","",INDEX('Fleet dates'!$I$9:$I$1008,$I895-8)))</x:f>
      </x:c>
      <x:c r="I895" t="str">
        <x:f>IF(887&gt;$H$4,"",MATCH(887,'Fleet dates'!$K$9:$K$1008,0)+8)</x:f>
      </x:c>
    </x:row>
    <x:row r="896" ht="36" customHeight="1">
      <x:c r="A896" s="50" t="str">
        <x:f>IF(888&gt;$H$4,"",IF(INDEX('Fleet dates'!$A$9:$A$1008,$I896-8)="","",INDEX('Fleet dates'!$A$9:$A$1008,$I896-8)))</x:f>
      </x:c>
      <x:c r="B896" s="50" t="str">
        <x:f>IF(888&gt;$H$4,"",IF(INDEX('Fleet dates'!$B$9:$B$1008,$I896-8)="","",INDEX('Fleet dates'!$B$9:$B$1008,$I896-8)))</x:f>
      </x:c>
      <x:c r="C896" s="51" t="str">
        <x:f>IF(888&gt;$H$4,"",IF(INDEX('Fleet dates'!$C$9:$C$1008,$I896-8)="","",INDEX('Fleet dates'!$C$9:$C$1008,$I896-8)))</x:f>
      </x:c>
      <x:c r="D896" s="51" t="str">
        <x:f>IF(888&gt;$H$4,"",IF(INDEX('Fleet dates'!$D$9:$D$1008,$I896-8)="","",INDEX('Fleet dates'!$D$9:$D$1008,$I896-8)))</x:f>
      </x:c>
      <x:c r="E896" s="51" t="str">
        <x:f>IF(888&gt;$H$4,"",IF(INDEX('Fleet dates'!$E$9:$E$1008,$I896-8)="","",INDEX('Fleet dates'!$E$9:$E$1008,$I896-8)))</x:f>
      </x:c>
      <x:c r="F896" s="51" t="str">
        <x:f>IF(888&gt;$H$4,"",IF(INDEX('Fleet dates'!$F$9:$F$1008,$I896-8)="","",INDEX('Fleet dates'!$F$9:$F$1008,$I896-8)))</x:f>
      </x:c>
      <x:c r="G896" s="50" t="str">
        <x:f>IF(888&gt;$H$4,"",IF(INDEX('Fleet dates'!$G$9:$G$1008,$I896-8)="","",INDEX('Fleet dates'!$G$9:$G$1008,$I896-8)))</x:f>
      </x:c>
      <x:c r="H896" s="50" t="str">
        <x:f>IF(888&gt;$H$4,"",IF(INDEX('Fleet dates'!$I$9:$I$1008,$I896-8)="","",INDEX('Fleet dates'!$I$9:$I$1008,$I896-8)))</x:f>
      </x:c>
      <x:c r="I896" t="str">
        <x:f>IF(888&gt;$H$4,"",MATCH(888,'Fleet dates'!$K$9:$K$1008,0)+8)</x:f>
      </x:c>
    </x:row>
    <x:row r="897" ht="36" customHeight="1">
      <x:c r="A897" s="50" t="str">
        <x:f>IF(889&gt;$H$4,"",IF(INDEX('Fleet dates'!$A$9:$A$1008,$I897-8)="","",INDEX('Fleet dates'!$A$9:$A$1008,$I897-8)))</x:f>
      </x:c>
      <x:c r="B897" s="50" t="str">
        <x:f>IF(889&gt;$H$4,"",IF(INDEX('Fleet dates'!$B$9:$B$1008,$I897-8)="","",INDEX('Fleet dates'!$B$9:$B$1008,$I897-8)))</x:f>
      </x:c>
      <x:c r="C897" s="51" t="str">
        <x:f>IF(889&gt;$H$4,"",IF(INDEX('Fleet dates'!$C$9:$C$1008,$I897-8)="","",INDEX('Fleet dates'!$C$9:$C$1008,$I897-8)))</x:f>
      </x:c>
      <x:c r="D897" s="51" t="str">
        <x:f>IF(889&gt;$H$4,"",IF(INDEX('Fleet dates'!$D$9:$D$1008,$I897-8)="","",INDEX('Fleet dates'!$D$9:$D$1008,$I897-8)))</x:f>
      </x:c>
      <x:c r="E897" s="51" t="str">
        <x:f>IF(889&gt;$H$4,"",IF(INDEX('Fleet dates'!$E$9:$E$1008,$I897-8)="","",INDEX('Fleet dates'!$E$9:$E$1008,$I897-8)))</x:f>
      </x:c>
      <x:c r="F897" s="51" t="str">
        <x:f>IF(889&gt;$H$4,"",IF(INDEX('Fleet dates'!$F$9:$F$1008,$I897-8)="","",INDEX('Fleet dates'!$F$9:$F$1008,$I897-8)))</x:f>
      </x:c>
      <x:c r="G897" s="50" t="str">
        <x:f>IF(889&gt;$H$4,"",IF(INDEX('Fleet dates'!$G$9:$G$1008,$I897-8)="","",INDEX('Fleet dates'!$G$9:$G$1008,$I897-8)))</x:f>
      </x:c>
      <x:c r="H897" s="50" t="str">
        <x:f>IF(889&gt;$H$4,"",IF(INDEX('Fleet dates'!$I$9:$I$1008,$I897-8)="","",INDEX('Fleet dates'!$I$9:$I$1008,$I897-8)))</x:f>
      </x:c>
      <x:c r="I897" t="str">
        <x:f>IF(889&gt;$H$4,"",MATCH(889,'Fleet dates'!$K$9:$K$1008,0)+8)</x:f>
      </x:c>
    </x:row>
    <x:row r="898" ht="36" customHeight="1">
      <x:c r="A898" s="50" t="str">
        <x:f>IF(890&gt;$H$4,"",IF(INDEX('Fleet dates'!$A$9:$A$1008,$I898-8)="","",INDEX('Fleet dates'!$A$9:$A$1008,$I898-8)))</x:f>
      </x:c>
      <x:c r="B898" s="50" t="str">
        <x:f>IF(890&gt;$H$4,"",IF(INDEX('Fleet dates'!$B$9:$B$1008,$I898-8)="","",INDEX('Fleet dates'!$B$9:$B$1008,$I898-8)))</x:f>
      </x:c>
      <x:c r="C898" s="51" t="str">
        <x:f>IF(890&gt;$H$4,"",IF(INDEX('Fleet dates'!$C$9:$C$1008,$I898-8)="","",INDEX('Fleet dates'!$C$9:$C$1008,$I898-8)))</x:f>
      </x:c>
      <x:c r="D898" s="51" t="str">
        <x:f>IF(890&gt;$H$4,"",IF(INDEX('Fleet dates'!$D$9:$D$1008,$I898-8)="","",INDEX('Fleet dates'!$D$9:$D$1008,$I898-8)))</x:f>
      </x:c>
      <x:c r="E898" s="51" t="str">
        <x:f>IF(890&gt;$H$4,"",IF(INDEX('Fleet dates'!$E$9:$E$1008,$I898-8)="","",INDEX('Fleet dates'!$E$9:$E$1008,$I898-8)))</x:f>
      </x:c>
      <x:c r="F898" s="51" t="str">
        <x:f>IF(890&gt;$H$4,"",IF(INDEX('Fleet dates'!$F$9:$F$1008,$I898-8)="","",INDEX('Fleet dates'!$F$9:$F$1008,$I898-8)))</x:f>
      </x:c>
      <x:c r="G898" s="50" t="str">
        <x:f>IF(890&gt;$H$4,"",IF(INDEX('Fleet dates'!$G$9:$G$1008,$I898-8)="","",INDEX('Fleet dates'!$G$9:$G$1008,$I898-8)))</x:f>
      </x:c>
      <x:c r="H898" s="50" t="str">
        <x:f>IF(890&gt;$H$4,"",IF(INDEX('Fleet dates'!$I$9:$I$1008,$I898-8)="","",INDEX('Fleet dates'!$I$9:$I$1008,$I898-8)))</x:f>
      </x:c>
      <x:c r="I898" t="str">
        <x:f>IF(890&gt;$H$4,"",MATCH(890,'Fleet dates'!$K$9:$K$1008,0)+8)</x:f>
      </x:c>
    </x:row>
    <x:row r="899" ht="36" customHeight="1">
      <x:c r="A899" s="50" t="str">
        <x:f>IF(891&gt;$H$4,"",IF(INDEX('Fleet dates'!$A$9:$A$1008,$I899-8)="","",INDEX('Fleet dates'!$A$9:$A$1008,$I899-8)))</x:f>
      </x:c>
      <x:c r="B899" s="50" t="str">
        <x:f>IF(891&gt;$H$4,"",IF(INDEX('Fleet dates'!$B$9:$B$1008,$I899-8)="","",INDEX('Fleet dates'!$B$9:$B$1008,$I899-8)))</x:f>
      </x:c>
      <x:c r="C899" s="51" t="str">
        <x:f>IF(891&gt;$H$4,"",IF(INDEX('Fleet dates'!$C$9:$C$1008,$I899-8)="","",INDEX('Fleet dates'!$C$9:$C$1008,$I899-8)))</x:f>
      </x:c>
      <x:c r="D899" s="51" t="str">
        <x:f>IF(891&gt;$H$4,"",IF(INDEX('Fleet dates'!$D$9:$D$1008,$I899-8)="","",INDEX('Fleet dates'!$D$9:$D$1008,$I899-8)))</x:f>
      </x:c>
      <x:c r="E899" s="51" t="str">
        <x:f>IF(891&gt;$H$4,"",IF(INDEX('Fleet dates'!$E$9:$E$1008,$I899-8)="","",INDEX('Fleet dates'!$E$9:$E$1008,$I899-8)))</x:f>
      </x:c>
      <x:c r="F899" s="51" t="str">
        <x:f>IF(891&gt;$H$4,"",IF(INDEX('Fleet dates'!$F$9:$F$1008,$I899-8)="","",INDEX('Fleet dates'!$F$9:$F$1008,$I899-8)))</x:f>
      </x:c>
      <x:c r="G899" s="50" t="str">
        <x:f>IF(891&gt;$H$4,"",IF(INDEX('Fleet dates'!$G$9:$G$1008,$I899-8)="","",INDEX('Fleet dates'!$G$9:$G$1008,$I899-8)))</x:f>
      </x:c>
      <x:c r="H899" s="50" t="str">
        <x:f>IF(891&gt;$H$4,"",IF(INDEX('Fleet dates'!$I$9:$I$1008,$I899-8)="","",INDEX('Fleet dates'!$I$9:$I$1008,$I899-8)))</x:f>
      </x:c>
      <x:c r="I899" t="str">
        <x:f>IF(891&gt;$H$4,"",MATCH(891,'Fleet dates'!$K$9:$K$1008,0)+8)</x:f>
      </x:c>
    </x:row>
    <x:row r="900" ht="36" customHeight="1">
      <x:c r="A900" s="50" t="str">
        <x:f>IF(892&gt;$H$4,"",IF(INDEX('Fleet dates'!$A$9:$A$1008,$I900-8)="","",INDEX('Fleet dates'!$A$9:$A$1008,$I900-8)))</x:f>
      </x:c>
      <x:c r="B900" s="50" t="str">
        <x:f>IF(892&gt;$H$4,"",IF(INDEX('Fleet dates'!$B$9:$B$1008,$I900-8)="","",INDEX('Fleet dates'!$B$9:$B$1008,$I900-8)))</x:f>
      </x:c>
      <x:c r="C900" s="51" t="str">
        <x:f>IF(892&gt;$H$4,"",IF(INDEX('Fleet dates'!$C$9:$C$1008,$I900-8)="","",INDEX('Fleet dates'!$C$9:$C$1008,$I900-8)))</x:f>
      </x:c>
      <x:c r="D900" s="51" t="str">
        <x:f>IF(892&gt;$H$4,"",IF(INDEX('Fleet dates'!$D$9:$D$1008,$I900-8)="","",INDEX('Fleet dates'!$D$9:$D$1008,$I900-8)))</x:f>
      </x:c>
      <x:c r="E900" s="51" t="str">
        <x:f>IF(892&gt;$H$4,"",IF(INDEX('Fleet dates'!$E$9:$E$1008,$I900-8)="","",INDEX('Fleet dates'!$E$9:$E$1008,$I900-8)))</x:f>
      </x:c>
      <x:c r="F900" s="51" t="str">
        <x:f>IF(892&gt;$H$4,"",IF(INDEX('Fleet dates'!$F$9:$F$1008,$I900-8)="","",INDEX('Fleet dates'!$F$9:$F$1008,$I900-8)))</x:f>
      </x:c>
      <x:c r="G900" s="50" t="str">
        <x:f>IF(892&gt;$H$4,"",IF(INDEX('Fleet dates'!$G$9:$G$1008,$I900-8)="","",INDEX('Fleet dates'!$G$9:$G$1008,$I900-8)))</x:f>
      </x:c>
      <x:c r="H900" s="50" t="str">
        <x:f>IF(892&gt;$H$4,"",IF(INDEX('Fleet dates'!$I$9:$I$1008,$I900-8)="","",INDEX('Fleet dates'!$I$9:$I$1008,$I900-8)))</x:f>
      </x:c>
      <x:c r="I900" t="str">
        <x:f>IF(892&gt;$H$4,"",MATCH(892,'Fleet dates'!$K$9:$K$1008,0)+8)</x:f>
      </x:c>
    </x:row>
    <x:row r="901" ht="36" customHeight="1">
      <x:c r="A901" s="50" t="str">
        <x:f>IF(893&gt;$H$4,"",IF(INDEX('Fleet dates'!$A$9:$A$1008,$I901-8)="","",INDEX('Fleet dates'!$A$9:$A$1008,$I901-8)))</x:f>
      </x:c>
      <x:c r="B901" s="50" t="str">
        <x:f>IF(893&gt;$H$4,"",IF(INDEX('Fleet dates'!$B$9:$B$1008,$I901-8)="","",INDEX('Fleet dates'!$B$9:$B$1008,$I901-8)))</x:f>
      </x:c>
      <x:c r="C901" s="51" t="str">
        <x:f>IF(893&gt;$H$4,"",IF(INDEX('Fleet dates'!$C$9:$C$1008,$I901-8)="","",INDEX('Fleet dates'!$C$9:$C$1008,$I901-8)))</x:f>
      </x:c>
      <x:c r="D901" s="51" t="str">
        <x:f>IF(893&gt;$H$4,"",IF(INDEX('Fleet dates'!$D$9:$D$1008,$I901-8)="","",INDEX('Fleet dates'!$D$9:$D$1008,$I901-8)))</x:f>
      </x:c>
      <x:c r="E901" s="51" t="str">
        <x:f>IF(893&gt;$H$4,"",IF(INDEX('Fleet dates'!$E$9:$E$1008,$I901-8)="","",INDEX('Fleet dates'!$E$9:$E$1008,$I901-8)))</x:f>
      </x:c>
      <x:c r="F901" s="51" t="str">
        <x:f>IF(893&gt;$H$4,"",IF(INDEX('Fleet dates'!$F$9:$F$1008,$I901-8)="","",INDEX('Fleet dates'!$F$9:$F$1008,$I901-8)))</x:f>
      </x:c>
      <x:c r="G901" s="50" t="str">
        <x:f>IF(893&gt;$H$4,"",IF(INDEX('Fleet dates'!$G$9:$G$1008,$I901-8)="","",INDEX('Fleet dates'!$G$9:$G$1008,$I901-8)))</x:f>
      </x:c>
      <x:c r="H901" s="50" t="str">
        <x:f>IF(893&gt;$H$4,"",IF(INDEX('Fleet dates'!$I$9:$I$1008,$I901-8)="","",INDEX('Fleet dates'!$I$9:$I$1008,$I901-8)))</x:f>
      </x:c>
      <x:c r="I901" t="str">
        <x:f>IF(893&gt;$H$4,"",MATCH(893,'Fleet dates'!$K$9:$K$1008,0)+8)</x:f>
      </x:c>
    </x:row>
    <x:row r="902" ht="36" customHeight="1">
      <x:c r="A902" s="50" t="str">
        <x:f>IF(894&gt;$H$4,"",IF(INDEX('Fleet dates'!$A$9:$A$1008,$I902-8)="","",INDEX('Fleet dates'!$A$9:$A$1008,$I902-8)))</x:f>
      </x:c>
      <x:c r="B902" s="50" t="str">
        <x:f>IF(894&gt;$H$4,"",IF(INDEX('Fleet dates'!$B$9:$B$1008,$I902-8)="","",INDEX('Fleet dates'!$B$9:$B$1008,$I902-8)))</x:f>
      </x:c>
      <x:c r="C902" s="51" t="str">
        <x:f>IF(894&gt;$H$4,"",IF(INDEX('Fleet dates'!$C$9:$C$1008,$I902-8)="","",INDEX('Fleet dates'!$C$9:$C$1008,$I902-8)))</x:f>
      </x:c>
      <x:c r="D902" s="51" t="str">
        <x:f>IF(894&gt;$H$4,"",IF(INDEX('Fleet dates'!$D$9:$D$1008,$I902-8)="","",INDEX('Fleet dates'!$D$9:$D$1008,$I902-8)))</x:f>
      </x:c>
      <x:c r="E902" s="51" t="str">
        <x:f>IF(894&gt;$H$4,"",IF(INDEX('Fleet dates'!$E$9:$E$1008,$I902-8)="","",INDEX('Fleet dates'!$E$9:$E$1008,$I902-8)))</x:f>
      </x:c>
      <x:c r="F902" s="51" t="str">
        <x:f>IF(894&gt;$H$4,"",IF(INDEX('Fleet dates'!$F$9:$F$1008,$I902-8)="","",INDEX('Fleet dates'!$F$9:$F$1008,$I902-8)))</x:f>
      </x:c>
      <x:c r="G902" s="50" t="str">
        <x:f>IF(894&gt;$H$4,"",IF(INDEX('Fleet dates'!$G$9:$G$1008,$I902-8)="","",INDEX('Fleet dates'!$G$9:$G$1008,$I902-8)))</x:f>
      </x:c>
      <x:c r="H902" s="50" t="str">
        <x:f>IF(894&gt;$H$4,"",IF(INDEX('Fleet dates'!$I$9:$I$1008,$I902-8)="","",INDEX('Fleet dates'!$I$9:$I$1008,$I902-8)))</x:f>
      </x:c>
      <x:c r="I902" t="str">
        <x:f>IF(894&gt;$H$4,"",MATCH(894,'Fleet dates'!$K$9:$K$1008,0)+8)</x:f>
      </x:c>
    </x:row>
    <x:row r="903" ht="36" customHeight="1">
      <x:c r="A903" s="50" t="str">
        <x:f>IF(895&gt;$H$4,"",IF(INDEX('Fleet dates'!$A$9:$A$1008,$I903-8)="","",INDEX('Fleet dates'!$A$9:$A$1008,$I903-8)))</x:f>
      </x:c>
      <x:c r="B903" s="50" t="str">
        <x:f>IF(895&gt;$H$4,"",IF(INDEX('Fleet dates'!$B$9:$B$1008,$I903-8)="","",INDEX('Fleet dates'!$B$9:$B$1008,$I903-8)))</x:f>
      </x:c>
      <x:c r="C903" s="51" t="str">
        <x:f>IF(895&gt;$H$4,"",IF(INDEX('Fleet dates'!$C$9:$C$1008,$I903-8)="","",INDEX('Fleet dates'!$C$9:$C$1008,$I903-8)))</x:f>
      </x:c>
      <x:c r="D903" s="51" t="str">
        <x:f>IF(895&gt;$H$4,"",IF(INDEX('Fleet dates'!$D$9:$D$1008,$I903-8)="","",INDEX('Fleet dates'!$D$9:$D$1008,$I903-8)))</x:f>
      </x:c>
      <x:c r="E903" s="51" t="str">
        <x:f>IF(895&gt;$H$4,"",IF(INDEX('Fleet dates'!$E$9:$E$1008,$I903-8)="","",INDEX('Fleet dates'!$E$9:$E$1008,$I903-8)))</x:f>
      </x:c>
      <x:c r="F903" s="51" t="str">
        <x:f>IF(895&gt;$H$4,"",IF(INDEX('Fleet dates'!$F$9:$F$1008,$I903-8)="","",INDEX('Fleet dates'!$F$9:$F$1008,$I903-8)))</x:f>
      </x:c>
      <x:c r="G903" s="50" t="str">
        <x:f>IF(895&gt;$H$4,"",IF(INDEX('Fleet dates'!$G$9:$G$1008,$I903-8)="","",INDEX('Fleet dates'!$G$9:$G$1008,$I903-8)))</x:f>
      </x:c>
      <x:c r="H903" s="50" t="str">
        <x:f>IF(895&gt;$H$4,"",IF(INDEX('Fleet dates'!$I$9:$I$1008,$I903-8)="","",INDEX('Fleet dates'!$I$9:$I$1008,$I903-8)))</x:f>
      </x:c>
      <x:c r="I903" t="str">
        <x:f>IF(895&gt;$H$4,"",MATCH(895,'Fleet dates'!$K$9:$K$1008,0)+8)</x:f>
      </x:c>
    </x:row>
    <x:row r="904" ht="36" customHeight="1">
      <x:c r="A904" s="50" t="str">
        <x:f>IF(896&gt;$H$4,"",IF(INDEX('Fleet dates'!$A$9:$A$1008,$I904-8)="","",INDEX('Fleet dates'!$A$9:$A$1008,$I904-8)))</x:f>
      </x:c>
      <x:c r="B904" s="50" t="str">
        <x:f>IF(896&gt;$H$4,"",IF(INDEX('Fleet dates'!$B$9:$B$1008,$I904-8)="","",INDEX('Fleet dates'!$B$9:$B$1008,$I904-8)))</x:f>
      </x:c>
      <x:c r="C904" s="51" t="str">
        <x:f>IF(896&gt;$H$4,"",IF(INDEX('Fleet dates'!$C$9:$C$1008,$I904-8)="","",INDEX('Fleet dates'!$C$9:$C$1008,$I904-8)))</x:f>
      </x:c>
      <x:c r="D904" s="51" t="str">
        <x:f>IF(896&gt;$H$4,"",IF(INDEX('Fleet dates'!$D$9:$D$1008,$I904-8)="","",INDEX('Fleet dates'!$D$9:$D$1008,$I904-8)))</x:f>
      </x:c>
      <x:c r="E904" s="51" t="str">
        <x:f>IF(896&gt;$H$4,"",IF(INDEX('Fleet dates'!$E$9:$E$1008,$I904-8)="","",INDEX('Fleet dates'!$E$9:$E$1008,$I904-8)))</x:f>
      </x:c>
      <x:c r="F904" s="51" t="str">
        <x:f>IF(896&gt;$H$4,"",IF(INDEX('Fleet dates'!$F$9:$F$1008,$I904-8)="","",INDEX('Fleet dates'!$F$9:$F$1008,$I904-8)))</x:f>
      </x:c>
      <x:c r="G904" s="50" t="str">
        <x:f>IF(896&gt;$H$4,"",IF(INDEX('Fleet dates'!$G$9:$G$1008,$I904-8)="","",INDEX('Fleet dates'!$G$9:$G$1008,$I904-8)))</x:f>
      </x:c>
      <x:c r="H904" s="50" t="str">
        <x:f>IF(896&gt;$H$4,"",IF(INDEX('Fleet dates'!$I$9:$I$1008,$I904-8)="","",INDEX('Fleet dates'!$I$9:$I$1008,$I904-8)))</x:f>
      </x:c>
      <x:c r="I904" t="str">
        <x:f>IF(896&gt;$H$4,"",MATCH(896,'Fleet dates'!$K$9:$K$1008,0)+8)</x:f>
      </x:c>
    </x:row>
    <x:row r="905" ht="36" customHeight="1">
      <x:c r="A905" s="50" t="str">
        <x:f>IF(897&gt;$H$4,"",IF(INDEX('Fleet dates'!$A$9:$A$1008,$I905-8)="","",INDEX('Fleet dates'!$A$9:$A$1008,$I905-8)))</x:f>
      </x:c>
      <x:c r="B905" s="50" t="str">
        <x:f>IF(897&gt;$H$4,"",IF(INDEX('Fleet dates'!$B$9:$B$1008,$I905-8)="","",INDEX('Fleet dates'!$B$9:$B$1008,$I905-8)))</x:f>
      </x:c>
      <x:c r="C905" s="51" t="str">
        <x:f>IF(897&gt;$H$4,"",IF(INDEX('Fleet dates'!$C$9:$C$1008,$I905-8)="","",INDEX('Fleet dates'!$C$9:$C$1008,$I905-8)))</x:f>
      </x:c>
      <x:c r="D905" s="51" t="str">
        <x:f>IF(897&gt;$H$4,"",IF(INDEX('Fleet dates'!$D$9:$D$1008,$I905-8)="","",INDEX('Fleet dates'!$D$9:$D$1008,$I905-8)))</x:f>
      </x:c>
      <x:c r="E905" s="51" t="str">
        <x:f>IF(897&gt;$H$4,"",IF(INDEX('Fleet dates'!$E$9:$E$1008,$I905-8)="","",INDEX('Fleet dates'!$E$9:$E$1008,$I905-8)))</x:f>
      </x:c>
      <x:c r="F905" s="51" t="str">
        <x:f>IF(897&gt;$H$4,"",IF(INDEX('Fleet dates'!$F$9:$F$1008,$I905-8)="","",INDEX('Fleet dates'!$F$9:$F$1008,$I905-8)))</x:f>
      </x:c>
      <x:c r="G905" s="50" t="str">
        <x:f>IF(897&gt;$H$4,"",IF(INDEX('Fleet dates'!$G$9:$G$1008,$I905-8)="","",INDEX('Fleet dates'!$G$9:$G$1008,$I905-8)))</x:f>
      </x:c>
      <x:c r="H905" s="50" t="str">
        <x:f>IF(897&gt;$H$4,"",IF(INDEX('Fleet dates'!$I$9:$I$1008,$I905-8)="","",INDEX('Fleet dates'!$I$9:$I$1008,$I905-8)))</x:f>
      </x:c>
      <x:c r="I905" t="str">
        <x:f>IF(897&gt;$H$4,"",MATCH(897,'Fleet dates'!$K$9:$K$1008,0)+8)</x:f>
      </x:c>
    </x:row>
    <x:row r="906" ht="36" customHeight="1">
      <x:c r="A906" s="50" t="str">
        <x:f>IF(898&gt;$H$4,"",IF(INDEX('Fleet dates'!$A$9:$A$1008,$I906-8)="","",INDEX('Fleet dates'!$A$9:$A$1008,$I906-8)))</x:f>
      </x:c>
      <x:c r="B906" s="50" t="str">
        <x:f>IF(898&gt;$H$4,"",IF(INDEX('Fleet dates'!$B$9:$B$1008,$I906-8)="","",INDEX('Fleet dates'!$B$9:$B$1008,$I906-8)))</x:f>
      </x:c>
      <x:c r="C906" s="51" t="str">
        <x:f>IF(898&gt;$H$4,"",IF(INDEX('Fleet dates'!$C$9:$C$1008,$I906-8)="","",INDEX('Fleet dates'!$C$9:$C$1008,$I906-8)))</x:f>
      </x:c>
      <x:c r="D906" s="51" t="str">
        <x:f>IF(898&gt;$H$4,"",IF(INDEX('Fleet dates'!$D$9:$D$1008,$I906-8)="","",INDEX('Fleet dates'!$D$9:$D$1008,$I906-8)))</x:f>
      </x:c>
      <x:c r="E906" s="51" t="str">
        <x:f>IF(898&gt;$H$4,"",IF(INDEX('Fleet dates'!$E$9:$E$1008,$I906-8)="","",INDEX('Fleet dates'!$E$9:$E$1008,$I906-8)))</x:f>
      </x:c>
      <x:c r="F906" s="51" t="str">
        <x:f>IF(898&gt;$H$4,"",IF(INDEX('Fleet dates'!$F$9:$F$1008,$I906-8)="","",INDEX('Fleet dates'!$F$9:$F$1008,$I906-8)))</x:f>
      </x:c>
      <x:c r="G906" s="50" t="str">
        <x:f>IF(898&gt;$H$4,"",IF(INDEX('Fleet dates'!$G$9:$G$1008,$I906-8)="","",INDEX('Fleet dates'!$G$9:$G$1008,$I906-8)))</x:f>
      </x:c>
      <x:c r="H906" s="50" t="str">
        <x:f>IF(898&gt;$H$4,"",IF(INDEX('Fleet dates'!$I$9:$I$1008,$I906-8)="","",INDEX('Fleet dates'!$I$9:$I$1008,$I906-8)))</x:f>
      </x:c>
      <x:c r="I906" t="str">
        <x:f>IF(898&gt;$H$4,"",MATCH(898,'Fleet dates'!$K$9:$K$1008,0)+8)</x:f>
      </x:c>
    </x:row>
    <x:row r="907" ht="36" customHeight="1">
      <x:c r="A907" s="50" t="str">
        <x:f>IF(899&gt;$H$4,"",IF(INDEX('Fleet dates'!$A$9:$A$1008,$I907-8)="","",INDEX('Fleet dates'!$A$9:$A$1008,$I907-8)))</x:f>
      </x:c>
      <x:c r="B907" s="50" t="str">
        <x:f>IF(899&gt;$H$4,"",IF(INDEX('Fleet dates'!$B$9:$B$1008,$I907-8)="","",INDEX('Fleet dates'!$B$9:$B$1008,$I907-8)))</x:f>
      </x:c>
      <x:c r="C907" s="51" t="str">
        <x:f>IF(899&gt;$H$4,"",IF(INDEX('Fleet dates'!$C$9:$C$1008,$I907-8)="","",INDEX('Fleet dates'!$C$9:$C$1008,$I907-8)))</x:f>
      </x:c>
      <x:c r="D907" s="51" t="str">
        <x:f>IF(899&gt;$H$4,"",IF(INDEX('Fleet dates'!$D$9:$D$1008,$I907-8)="","",INDEX('Fleet dates'!$D$9:$D$1008,$I907-8)))</x:f>
      </x:c>
      <x:c r="E907" s="51" t="str">
        <x:f>IF(899&gt;$H$4,"",IF(INDEX('Fleet dates'!$E$9:$E$1008,$I907-8)="","",INDEX('Fleet dates'!$E$9:$E$1008,$I907-8)))</x:f>
      </x:c>
      <x:c r="F907" s="51" t="str">
        <x:f>IF(899&gt;$H$4,"",IF(INDEX('Fleet dates'!$F$9:$F$1008,$I907-8)="","",INDEX('Fleet dates'!$F$9:$F$1008,$I907-8)))</x:f>
      </x:c>
      <x:c r="G907" s="50" t="str">
        <x:f>IF(899&gt;$H$4,"",IF(INDEX('Fleet dates'!$G$9:$G$1008,$I907-8)="","",INDEX('Fleet dates'!$G$9:$G$1008,$I907-8)))</x:f>
      </x:c>
      <x:c r="H907" s="50" t="str">
        <x:f>IF(899&gt;$H$4,"",IF(INDEX('Fleet dates'!$I$9:$I$1008,$I907-8)="","",INDEX('Fleet dates'!$I$9:$I$1008,$I907-8)))</x:f>
      </x:c>
      <x:c r="I907" t="str">
        <x:f>IF(899&gt;$H$4,"",MATCH(899,'Fleet dates'!$K$9:$K$1008,0)+8)</x:f>
      </x:c>
    </x:row>
    <x:row r="908" ht="36" customHeight="1">
      <x:c r="A908" s="50" t="str">
        <x:f>IF(900&gt;$H$4,"",IF(INDEX('Fleet dates'!$A$9:$A$1008,$I908-8)="","",INDEX('Fleet dates'!$A$9:$A$1008,$I908-8)))</x:f>
      </x:c>
      <x:c r="B908" s="50" t="str">
        <x:f>IF(900&gt;$H$4,"",IF(INDEX('Fleet dates'!$B$9:$B$1008,$I908-8)="","",INDEX('Fleet dates'!$B$9:$B$1008,$I908-8)))</x:f>
      </x:c>
      <x:c r="C908" s="51" t="str">
        <x:f>IF(900&gt;$H$4,"",IF(INDEX('Fleet dates'!$C$9:$C$1008,$I908-8)="","",INDEX('Fleet dates'!$C$9:$C$1008,$I908-8)))</x:f>
      </x:c>
      <x:c r="D908" s="51" t="str">
        <x:f>IF(900&gt;$H$4,"",IF(INDEX('Fleet dates'!$D$9:$D$1008,$I908-8)="","",INDEX('Fleet dates'!$D$9:$D$1008,$I908-8)))</x:f>
      </x:c>
      <x:c r="E908" s="51" t="str">
        <x:f>IF(900&gt;$H$4,"",IF(INDEX('Fleet dates'!$E$9:$E$1008,$I908-8)="","",INDEX('Fleet dates'!$E$9:$E$1008,$I908-8)))</x:f>
      </x:c>
      <x:c r="F908" s="51" t="str">
        <x:f>IF(900&gt;$H$4,"",IF(INDEX('Fleet dates'!$F$9:$F$1008,$I908-8)="","",INDEX('Fleet dates'!$F$9:$F$1008,$I908-8)))</x:f>
      </x:c>
      <x:c r="G908" s="50" t="str">
        <x:f>IF(900&gt;$H$4,"",IF(INDEX('Fleet dates'!$G$9:$G$1008,$I908-8)="","",INDEX('Fleet dates'!$G$9:$G$1008,$I908-8)))</x:f>
      </x:c>
      <x:c r="H908" s="50" t="str">
        <x:f>IF(900&gt;$H$4,"",IF(INDEX('Fleet dates'!$I$9:$I$1008,$I908-8)="","",INDEX('Fleet dates'!$I$9:$I$1008,$I908-8)))</x:f>
      </x:c>
      <x:c r="I908" t="str">
        <x:f>IF(900&gt;$H$4,"",MATCH(900,'Fleet dates'!$K$9:$K$1008,0)+8)</x:f>
      </x:c>
    </x:row>
    <x:row r="909" ht="36" customHeight="1">
      <x:c r="A909" s="50" t="str">
        <x:f>IF(901&gt;$H$4,"",IF(INDEX('Fleet dates'!$A$9:$A$1008,$I909-8)="","",INDEX('Fleet dates'!$A$9:$A$1008,$I909-8)))</x:f>
      </x:c>
      <x:c r="B909" s="50" t="str">
        <x:f>IF(901&gt;$H$4,"",IF(INDEX('Fleet dates'!$B$9:$B$1008,$I909-8)="","",INDEX('Fleet dates'!$B$9:$B$1008,$I909-8)))</x:f>
      </x:c>
      <x:c r="C909" s="51" t="str">
        <x:f>IF(901&gt;$H$4,"",IF(INDEX('Fleet dates'!$C$9:$C$1008,$I909-8)="","",INDEX('Fleet dates'!$C$9:$C$1008,$I909-8)))</x:f>
      </x:c>
      <x:c r="D909" s="51" t="str">
        <x:f>IF(901&gt;$H$4,"",IF(INDEX('Fleet dates'!$D$9:$D$1008,$I909-8)="","",INDEX('Fleet dates'!$D$9:$D$1008,$I909-8)))</x:f>
      </x:c>
      <x:c r="E909" s="51" t="str">
        <x:f>IF(901&gt;$H$4,"",IF(INDEX('Fleet dates'!$E$9:$E$1008,$I909-8)="","",INDEX('Fleet dates'!$E$9:$E$1008,$I909-8)))</x:f>
      </x:c>
      <x:c r="F909" s="51" t="str">
        <x:f>IF(901&gt;$H$4,"",IF(INDEX('Fleet dates'!$F$9:$F$1008,$I909-8)="","",INDEX('Fleet dates'!$F$9:$F$1008,$I909-8)))</x:f>
      </x:c>
      <x:c r="G909" s="50" t="str">
        <x:f>IF(901&gt;$H$4,"",IF(INDEX('Fleet dates'!$G$9:$G$1008,$I909-8)="","",INDEX('Fleet dates'!$G$9:$G$1008,$I909-8)))</x:f>
      </x:c>
      <x:c r="H909" s="50" t="str">
        <x:f>IF(901&gt;$H$4,"",IF(INDEX('Fleet dates'!$I$9:$I$1008,$I909-8)="","",INDEX('Fleet dates'!$I$9:$I$1008,$I909-8)))</x:f>
      </x:c>
      <x:c r="I909" t="str">
        <x:f>IF(901&gt;$H$4,"",MATCH(901,'Fleet dates'!$K$9:$K$1008,0)+8)</x:f>
      </x:c>
    </x:row>
    <x:row r="910" ht="36" customHeight="1">
      <x:c r="A910" s="50" t="str">
        <x:f>IF(902&gt;$H$4,"",IF(INDEX('Fleet dates'!$A$9:$A$1008,$I910-8)="","",INDEX('Fleet dates'!$A$9:$A$1008,$I910-8)))</x:f>
      </x:c>
      <x:c r="B910" s="50" t="str">
        <x:f>IF(902&gt;$H$4,"",IF(INDEX('Fleet dates'!$B$9:$B$1008,$I910-8)="","",INDEX('Fleet dates'!$B$9:$B$1008,$I910-8)))</x:f>
      </x:c>
      <x:c r="C910" s="51" t="str">
        <x:f>IF(902&gt;$H$4,"",IF(INDEX('Fleet dates'!$C$9:$C$1008,$I910-8)="","",INDEX('Fleet dates'!$C$9:$C$1008,$I910-8)))</x:f>
      </x:c>
      <x:c r="D910" s="51" t="str">
        <x:f>IF(902&gt;$H$4,"",IF(INDEX('Fleet dates'!$D$9:$D$1008,$I910-8)="","",INDEX('Fleet dates'!$D$9:$D$1008,$I910-8)))</x:f>
      </x:c>
      <x:c r="E910" s="51" t="str">
        <x:f>IF(902&gt;$H$4,"",IF(INDEX('Fleet dates'!$E$9:$E$1008,$I910-8)="","",INDEX('Fleet dates'!$E$9:$E$1008,$I910-8)))</x:f>
      </x:c>
      <x:c r="F910" s="51" t="str">
        <x:f>IF(902&gt;$H$4,"",IF(INDEX('Fleet dates'!$F$9:$F$1008,$I910-8)="","",INDEX('Fleet dates'!$F$9:$F$1008,$I910-8)))</x:f>
      </x:c>
      <x:c r="G910" s="50" t="str">
        <x:f>IF(902&gt;$H$4,"",IF(INDEX('Fleet dates'!$G$9:$G$1008,$I910-8)="","",INDEX('Fleet dates'!$G$9:$G$1008,$I910-8)))</x:f>
      </x:c>
      <x:c r="H910" s="50" t="str">
        <x:f>IF(902&gt;$H$4,"",IF(INDEX('Fleet dates'!$I$9:$I$1008,$I910-8)="","",INDEX('Fleet dates'!$I$9:$I$1008,$I910-8)))</x:f>
      </x:c>
      <x:c r="I910" t="str">
        <x:f>IF(902&gt;$H$4,"",MATCH(902,'Fleet dates'!$K$9:$K$1008,0)+8)</x:f>
      </x:c>
    </x:row>
    <x:row r="911" ht="36" customHeight="1">
      <x:c r="A911" s="50" t="str">
        <x:f>IF(903&gt;$H$4,"",IF(INDEX('Fleet dates'!$A$9:$A$1008,$I911-8)="","",INDEX('Fleet dates'!$A$9:$A$1008,$I911-8)))</x:f>
      </x:c>
      <x:c r="B911" s="50" t="str">
        <x:f>IF(903&gt;$H$4,"",IF(INDEX('Fleet dates'!$B$9:$B$1008,$I911-8)="","",INDEX('Fleet dates'!$B$9:$B$1008,$I911-8)))</x:f>
      </x:c>
      <x:c r="C911" s="51" t="str">
        <x:f>IF(903&gt;$H$4,"",IF(INDEX('Fleet dates'!$C$9:$C$1008,$I911-8)="","",INDEX('Fleet dates'!$C$9:$C$1008,$I911-8)))</x:f>
      </x:c>
      <x:c r="D911" s="51" t="str">
        <x:f>IF(903&gt;$H$4,"",IF(INDEX('Fleet dates'!$D$9:$D$1008,$I911-8)="","",INDEX('Fleet dates'!$D$9:$D$1008,$I911-8)))</x:f>
      </x:c>
      <x:c r="E911" s="51" t="str">
        <x:f>IF(903&gt;$H$4,"",IF(INDEX('Fleet dates'!$E$9:$E$1008,$I911-8)="","",INDEX('Fleet dates'!$E$9:$E$1008,$I911-8)))</x:f>
      </x:c>
      <x:c r="F911" s="51" t="str">
        <x:f>IF(903&gt;$H$4,"",IF(INDEX('Fleet dates'!$F$9:$F$1008,$I911-8)="","",INDEX('Fleet dates'!$F$9:$F$1008,$I911-8)))</x:f>
      </x:c>
      <x:c r="G911" s="50" t="str">
        <x:f>IF(903&gt;$H$4,"",IF(INDEX('Fleet dates'!$G$9:$G$1008,$I911-8)="","",INDEX('Fleet dates'!$G$9:$G$1008,$I911-8)))</x:f>
      </x:c>
      <x:c r="H911" s="50" t="str">
        <x:f>IF(903&gt;$H$4,"",IF(INDEX('Fleet dates'!$I$9:$I$1008,$I911-8)="","",INDEX('Fleet dates'!$I$9:$I$1008,$I911-8)))</x:f>
      </x:c>
      <x:c r="I911" t="str">
        <x:f>IF(903&gt;$H$4,"",MATCH(903,'Fleet dates'!$K$9:$K$1008,0)+8)</x:f>
      </x:c>
    </x:row>
    <x:row r="912" ht="36" customHeight="1">
      <x:c r="A912" s="50" t="str">
        <x:f>IF(904&gt;$H$4,"",IF(INDEX('Fleet dates'!$A$9:$A$1008,$I912-8)="","",INDEX('Fleet dates'!$A$9:$A$1008,$I912-8)))</x:f>
      </x:c>
      <x:c r="B912" s="50" t="str">
        <x:f>IF(904&gt;$H$4,"",IF(INDEX('Fleet dates'!$B$9:$B$1008,$I912-8)="","",INDEX('Fleet dates'!$B$9:$B$1008,$I912-8)))</x:f>
      </x:c>
      <x:c r="C912" s="51" t="str">
        <x:f>IF(904&gt;$H$4,"",IF(INDEX('Fleet dates'!$C$9:$C$1008,$I912-8)="","",INDEX('Fleet dates'!$C$9:$C$1008,$I912-8)))</x:f>
      </x:c>
      <x:c r="D912" s="51" t="str">
        <x:f>IF(904&gt;$H$4,"",IF(INDEX('Fleet dates'!$D$9:$D$1008,$I912-8)="","",INDEX('Fleet dates'!$D$9:$D$1008,$I912-8)))</x:f>
      </x:c>
      <x:c r="E912" s="51" t="str">
        <x:f>IF(904&gt;$H$4,"",IF(INDEX('Fleet dates'!$E$9:$E$1008,$I912-8)="","",INDEX('Fleet dates'!$E$9:$E$1008,$I912-8)))</x:f>
      </x:c>
      <x:c r="F912" s="51" t="str">
        <x:f>IF(904&gt;$H$4,"",IF(INDEX('Fleet dates'!$F$9:$F$1008,$I912-8)="","",INDEX('Fleet dates'!$F$9:$F$1008,$I912-8)))</x:f>
      </x:c>
      <x:c r="G912" s="50" t="str">
        <x:f>IF(904&gt;$H$4,"",IF(INDEX('Fleet dates'!$G$9:$G$1008,$I912-8)="","",INDEX('Fleet dates'!$G$9:$G$1008,$I912-8)))</x:f>
      </x:c>
      <x:c r="H912" s="50" t="str">
        <x:f>IF(904&gt;$H$4,"",IF(INDEX('Fleet dates'!$I$9:$I$1008,$I912-8)="","",INDEX('Fleet dates'!$I$9:$I$1008,$I912-8)))</x:f>
      </x:c>
      <x:c r="I912" t="str">
        <x:f>IF(904&gt;$H$4,"",MATCH(904,'Fleet dates'!$K$9:$K$1008,0)+8)</x:f>
      </x:c>
    </x:row>
    <x:row r="913" ht="36" customHeight="1">
      <x:c r="A913" s="50" t="str">
        <x:f>IF(905&gt;$H$4,"",IF(INDEX('Fleet dates'!$A$9:$A$1008,$I913-8)="","",INDEX('Fleet dates'!$A$9:$A$1008,$I913-8)))</x:f>
      </x:c>
      <x:c r="B913" s="50" t="str">
        <x:f>IF(905&gt;$H$4,"",IF(INDEX('Fleet dates'!$B$9:$B$1008,$I913-8)="","",INDEX('Fleet dates'!$B$9:$B$1008,$I913-8)))</x:f>
      </x:c>
      <x:c r="C913" s="51" t="str">
        <x:f>IF(905&gt;$H$4,"",IF(INDEX('Fleet dates'!$C$9:$C$1008,$I913-8)="","",INDEX('Fleet dates'!$C$9:$C$1008,$I913-8)))</x:f>
      </x:c>
      <x:c r="D913" s="51" t="str">
        <x:f>IF(905&gt;$H$4,"",IF(INDEX('Fleet dates'!$D$9:$D$1008,$I913-8)="","",INDEX('Fleet dates'!$D$9:$D$1008,$I913-8)))</x:f>
      </x:c>
      <x:c r="E913" s="51" t="str">
        <x:f>IF(905&gt;$H$4,"",IF(INDEX('Fleet dates'!$E$9:$E$1008,$I913-8)="","",INDEX('Fleet dates'!$E$9:$E$1008,$I913-8)))</x:f>
      </x:c>
      <x:c r="F913" s="51" t="str">
        <x:f>IF(905&gt;$H$4,"",IF(INDEX('Fleet dates'!$F$9:$F$1008,$I913-8)="","",INDEX('Fleet dates'!$F$9:$F$1008,$I913-8)))</x:f>
      </x:c>
      <x:c r="G913" s="50" t="str">
        <x:f>IF(905&gt;$H$4,"",IF(INDEX('Fleet dates'!$G$9:$G$1008,$I913-8)="","",INDEX('Fleet dates'!$G$9:$G$1008,$I913-8)))</x:f>
      </x:c>
      <x:c r="H913" s="50" t="str">
        <x:f>IF(905&gt;$H$4,"",IF(INDEX('Fleet dates'!$I$9:$I$1008,$I913-8)="","",INDEX('Fleet dates'!$I$9:$I$1008,$I913-8)))</x:f>
      </x:c>
      <x:c r="I913" t="str">
        <x:f>IF(905&gt;$H$4,"",MATCH(905,'Fleet dates'!$K$9:$K$1008,0)+8)</x:f>
      </x:c>
    </x:row>
    <x:row r="914" ht="36" customHeight="1">
      <x:c r="A914" s="50" t="str">
        <x:f>IF(906&gt;$H$4,"",IF(INDEX('Fleet dates'!$A$9:$A$1008,$I914-8)="","",INDEX('Fleet dates'!$A$9:$A$1008,$I914-8)))</x:f>
      </x:c>
      <x:c r="B914" s="50" t="str">
        <x:f>IF(906&gt;$H$4,"",IF(INDEX('Fleet dates'!$B$9:$B$1008,$I914-8)="","",INDEX('Fleet dates'!$B$9:$B$1008,$I914-8)))</x:f>
      </x:c>
      <x:c r="C914" s="51" t="str">
        <x:f>IF(906&gt;$H$4,"",IF(INDEX('Fleet dates'!$C$9:$C$1008,$I914-8)="","",INDEX('Fleet dates'!$C$9:$C$1008,$I914-8)))</x:f>
      </x:c>
      <x:c r="D914" s="51" t="str">
        <x:f>IF(906&gt;$H$4,"",IF(INDEX('Fleet dates'!$D$9:$D$1008,$I914-8)="","",INDEX('Fleet dates'!$D$9:$D$1008,$I914-8)))</x:f>
      </x:c>
      <x:c r="E914" s="51" t="str">
        <x:f>IF(906&gt;$H$4,"",IF(INDEX('Fleet dates'!$E$9:$E$1008,$I914-8)="","",INDEX('Fleet dates'!$E$9:$E$1008,$I914-8)))</x:f>
      </x:c>
      <x:c r="F914" s="51" t="str">
        <x:f>IF(906&gt;$H$4,"",IF(INDEX('Fleet dates'!$F$9:$F$1008,$I914-8)="","",INDEX('Fleet dates'!$F$9:$F$1008,$I914-8)))</x:f>
      </x:c>
      <x:c r="G914" s="50" t="str">
        <x:f>IF(906&gt;$H$4,"",IF(INDEX('Fleet dates'!$G$9:$G$1008,$I914-8)="","",INDEX('Fleet dates'!$G$9:$G$1008,$I914-8)))</x:f>
      </x:c>
      <x:c r="H914" s="50" t="str">
        <x:f>IF(906&gt;$H$4,"",IF(INDEX('Fleet dates'!$I$9:$I$1008,$I914-8)="","",INDEX('Fleet dates'!$I$9:$I$1008,$I914-8)))</x:f>
      </x:c>
      <x:c r="I914" t="str">
        <x:f>IF(906&gt;$H$4,"",MATCH(906,'Fleet dates'!$K$9:$K$1008,0)+8)</x:f>
      </x:c>
    </x:row>
    <x:row r="915" ht="36" customHeight="1">
      <x:c r="A915" s="50" t="str">
        <x:f>IF(907&gt;$H$4,"",IF(INDEX('Fleet dates'!$A$9:$A$1008,$I915-8)="","",INDEX('Fleet dates'!$A$9:$A$1008,$I915-8)))</x:f>
      </x:c>
      <x:c r="B915" s="50" t="str">
        <x:f>IF(907&gt;$H$4,"",IF(INDEX('Fleet dates'!$B$9:$B$1008,$I915-8)="","",INDEX('Fleet dates'!$B$9:$B$1008,$I915-8)))</x:f>
      </x:c>
      <x:c r="C915" s="51" t="str">
        <x:f>IF(907&gt;$H$4,"",IF(INDEX('Fleet dates'!$C$9:$C$1008,$I915-8)="","",INDEX('Fleet dates'!$C$9:$C$1008,$I915-8)))</x:f>
      </x:c>
      <x:c r="D915" s="51" t="str">
        <x:f>IF(907&gt;$H$4,"",IF(INDEX('Fleet dates'!$D$9:$D$1008,$I915-8)="","",INDEX('Fleet dates'!$D$9:$D$1008,$I915-8)))</x:f>
      </x:c>
      <x:c r="E915" s="51" t="str">
        <x:f>IF(907&gt;$H$4,"",IF(INDEX('Fleet dates'!$E$9:$E$1008,$I915-8)="","",INDEX('Fleet dates'!$E$9:$E$1008,$I915-8)))</x:f>
      </x:c>
      <x:c r="F915" s="51" t="str">
        <x:f>IF(907&gt;$H$4,"",IF(INDEX('Fleet dates'!$F$9:$F$1008,$I915-8)="","",INDEX('Fleet dates'!$F$9:$F$1008,$I915-8)))</x:f>
      </x:c>
      <x:c r="G915" s="50" t="str">
        <x:f>IF(907&gt;$H$4,"",IF(INDEX('Fleet dates'!$G$9:$G$1008,$I915-8)="","",INDEX('Fleet dates'!$G$9:$G$1008,$I915-8)))</x:f>
      </x:c>
      <x:c r="H915" s="50" t="str">
        <x:f>IF(907&gt;$H$4,"",IF(INDEX('Fleet dates'!$I$9:$I$1008,$I915-8)="","",INDEX('Fleet dates'!$I$9:$I$1008,$I915-8)))</x:f>
      </x:c>
      <x:c r="I915" t="str">
        <x:f>IF(907&gt;$H$4,"",MATCH(907,'Fleet dates'!$K$9:$K$1008,0)+8)</x:f>
      </x:c>
    </x:row>
    <x:row r="916" ht="36" customHeight="1">
      <x:c r="A916" s="50" t="str">
        <x:f>IF(908&gt;$H$4,"",IF(INDEX('Fleet dates'!$A$9:$A$1008,$I916-8)="","",INDEX('Fleet dates'!$A$9:$A$1008,$I916-8)))</x:f>
      </x:c>
      <x:c r="B916" s="50" t="str">
        <x:f>IF(908&gt;$H$4,"",IF(INDEX('Fleet dates'!$B$9:$B$1008,$I916-8)="","",INDEX('Fleet dates'!$B$9:$B$1008,$I916-8)))</x:f>
      </x:c>
      <x:c r="C916" s="51" t="str">
        <x:f>IF(908&gt;$H$4,"",IF(INDEX('Fleet dates'!$C$9:$C$1008,$I916-8)="","",INDEX('Fleet dates'!$C$9:$C$1008,$I916-8)))</x:f>
      </x:c>
      <x:c r="D916" s="51" t="str">
        <x:f>IF(908&gt;$H$4,"",IF(INDEX('Fleet dates'!$D$9:$D$1008,$I916-8)="","",INDEX('Fleet dates'!$D$9:$D$1008,$I916-8)))</x:f>
      </x:c>
      <x:c r="E916" s="51" t="str">
        <x:f>IF(908&gt;$H$4,"",IF(INDEX('Fleet dates'!$E$9:$E$1008,$I916-8)="","",INDEX('Fleet dates'!$E$9:$E$1008,$I916-8)))</x:f>
      </x:c>
      <x:c r="F916" s="51" t="str">
        <x:f>IF(908&gt;$H$4,"",IF(INDEX('Fleet dates'!$F$9:$F$1008,$I916-8)="","",INDEX('Fleet dates'!$F$9:$F$1008,$I916-8)))</x:f>
      </x:c>
      <x:c r="G916" s="50" t="str">
        <x:f>IF(908&gt;$H$4,"",IF(INDEX('Fleet dates'!$G$9:$G$1008,$I916-8)="","",INDEX('Fleet dates'!$G$9:$G$1008,$I916-8)))</x:f>
      </x:c>
      <x:c r="H916" s="50" t="str">
        <x:f>IF(908&gt;$H$4,"",IF(INDEX('Fleet dates'!$I$9:$I$1008,$I916-8)="","",INDEX('Fleet dates'!$I$9:$I$1008,$I916-8)))</x:f>
      </x:c>
      <x:c r="I916" t="str">
        <x:f>IF(908&gt;$H$4,"",MATCH(908,'Fleet dates'!$K$9:$K$1008,0)+8)</x:f>
      </x:c>
    </x:row>
    <x:row r="917" ht="36" customHeight="1">
      <x:c r="A917" s="50" t="str">
        <x:f>IF(909&gt;$H$4,"",IF(INDEX('Fleet dates'!$A$9:$A$1008,$I917-8)="","",INDEX('Fleet dates'!$A$9:$A$1008,$I917-8)))</x:f>
      </x:c>
      <x:c r="B917" s="50" t="str">
        <x:f>IF(909&gt;$H$4,"",IF(INDEX('Fleet dates'!$B$9:$B$1008,$I917-8)="","",INDEX('Fleet dates'!$B$9:$B$1008,$I917-8)))</x:f>
      </x:c>
      <x:c r="C917" s="51" t="str">
        <x:f>IF(909&gt;$H$4,"",IF(INDEX('Fleet dates'!$C$9:$C$1008,$I917-8)="","",INDEX('Fleet dates'!$C$9:$C$1008,$I917-8)))</x:f>
      </x:c>
      <x:c r="D917" s="51" t="str">
        <x:f>IF(909&gt;$H$4,"",IF(INDEX('Fleet dates'!$D$9:$D$1008,$I917-8)="","",INDEX('Fleet dates'!$D$9:$D$1008,$I917-8)))</x:f>
      </x:c>
      <x:c r="E917" s="51" t="str">
        <x:f>IF(909&gt;$H$4,"",IF(INDEX('Fleet dates'!$E$9:$E$1008,$I917-8)="","",INDEX('Fleet dates'!$E$9:$E$1008,$I917-8)))</x:f>
      </x:c>
      <x:c r="F917" s="51" t="str">
        <x:f>IF(909&gt;$H$4,"",IF(INDEX('Fleet dates'!$F$9:$F$1008,$I917-8)="","",INDEX('Fleet dates'!$F$9:$F$1008,$I917-8)))</x:f>
      </x:c>
      <x:c r="G917" s="50" t="str">
        <x:f>IF(909&gt;$H$4,"",IF(INDEX('Fleet dates'!$G$9:$G$1008,$I917-8)="","",INDEX('Fleet dates'!$G$9:$G$1008,$I917-8)))</x:f>
      </x:c>
      <x:c r="H917" s="50" t="str">
        <x:f>IF(909&gt;$H$4,"",IF(INDEX('Fleet dates'!$I$9:$I$1008,$I917-8)="","",INDEX('Fleet dates'!$I$9:$I$1008,$I917-8)))</x:f>
      </x:c>
      <x:c r="I917" t="str">
        <x:f>IF(909&gt;$H$4,"",MATCH(909,'Fleet dates'!$K$9:$K$1008,0)+8)</x:f>
      </x:c>
    </x:row>
    <x:row r="918" ht="36" customHeight="1">
      <x:c r="A918" s="50" t="str">
        <x:f>IF(910&gt;$H$4,"",IF(INDEX('Fleet dates'!$A$9:$A$1008,$I918-8)="","",INDEX('Fleet dates'!$A$9:$A$1008,$I918-8)))</x:f>
      </x:c>
      <x:c r="B918" s="50" t="str">
        <x:f>IF(910&gt;$H$4,"",IF(INDEX('Fleet dates'!$B$9:$B$1008,$I918-8)="","",INDEX('Fleet dates'!$B$9:$B$1008,$I918-8)))</x:f>
      </x:c>
      <x:c r="C918" s="51" t="str">
        <x:f>IF(910&gt;$H$4,"",IF(INDEX('Fleet dates'!$C$9:$C$1008,$I918-8)="","",INDEX('Fleet dates'!$C$9:$C$1008,$I918-8)))</x:f>
      </x:c>
      <x:c r="D918" s="51" t="str">
        <x:f>IF(910&gt;$H$4,"",IF(INDEX('Fleet dates'!$D$9:$D$1008,$I918-8)="","",INDEX('Fleet dates'!$D$9:$D$1008,$I918-8)))</x:f>
      </x:c>
      <x:c r="E918" s="51" t="str">
        <x:f>IF(910&gt;$H$4,"",IF(INDEX('Fleet dates'!$E$9:$E$1008,$I918-8)="","",INDEX('Fleet dates'!$E$9:$E$1008,$I918-8)))</x:f>
      </x:c>
      <x:c r="F918" s="51" t="str">
        <x:f>IF(910&gt;$H$4,"",IF(INDEX('Fleet dates'!$F$9:$F$1008,$I918-8)="","",INDEX('Fleet dates'!$F$9:$F$1008,$I918-8)))</x:f>
      </x:c>
      <x:c r="G918" s="50" t="str">
        <x:f>IF(910&gt;$H$4,"",IF(INDEX('Fleet dates'!$G$9:$G$1008,$I918-8)="","",INDEX('Fleet dates'!$G$9:$G$1008,$I918-8)))</x:f>
      </x:c>
      <x:c r="H918" s="50" t="str">
        <x:f>IF(910&gt;$H$4,"",IF(INDEX('Fleet dates'!$I$9:$I$1008,$I918-8)="","",INDEX('Fleet dates'!$I$9:$I$1008,$I918-8)))</x:f>
      </x:c>
      <x:c r="I918" t="str">
        <x:f>IF(910&gt;$H$4,"",MATCH(910,'Fleet dates'!$K$9:$K$1008,0)+8)</x:f>
      </x:c>
    </x:row>
    <x:row r="919" ht="36" customHeight="1">
      <x:c r="A919" s="50" t="str">
        <x:f>IF(911&gt;$H$4,"",IF(INDEX('Fleet dates'!$A$9:$A$1008,$I919-8)="","",INDEX('Fleet dates'!$A$9:$A$1008,$I919-8)))</x:f>
      </x:c>
      <x:c r="B919" s="50" t="str">
        <x:f>IF(911&gt;$H$4,"",IF(INDEX('Fleet dates'!$B$9:$B$1008,$I919-8)="","",INDEX('Fleet dates'!$B$9:$B$1008,$I919-8)))</x:f>
      </x:c>
      <x:c r="C919" s="51" t="str">
        <x:f>IF(911&gt;$H$4,"",IF(INDEX('Fleet dates'!$C$9:$C$1008,$I919-8)="","",INDEX('Fleet dates'!$C$9:$C$1008,$I919-8)))</x:f>
      </x:c>
      <x:c r="D919" s="51" t="str">
        <x:f>IF(911&gt;$H$4,"",IF(INDEX('Fleet dates'!$D$9:$D$1008,$I919-8)="","",INDEX('Fleet dates'!$D$9:$D$1008,$I919-8)))</x:f>
      </x:c>
      <x:c r="E919" s="51" t="str">
        <x:f>IF(911&gt;$H$4,"",IF(INDEX('Fleet dates'!$E$9:$E$1008,$I919-8)="","",INDEX('Fleet dates'!$E$9:$E$1008,$I919-8)))</x:f>
      </x:c>
      <x:c r="F919" s="51" t="str">
        <x:f>IF(911&gt;$H$4,"",IF(INDEX('Fleet dates'!$F$9:$F$1008,$I919-8)="","",INDEX('Fleet dates'!$F$9:$F$1008,$I919-8)))</x:f>
      </x:c>
      <x:c r="G919" s="50" t="str">
        <x:f>IF(911&gt;$H$4,"",IF(INDEX('Fleet dates'!$G$9:$G$1008,$I919-8)="","",INDEX('Fleet dates'!$G$9:$G$1008,$I919-8)))</x:f>
      </x:c>
      <x:c r="H919" s="50" t="str">
        <x:f>IF(911&gt;$H$4,"",IF(INDEX('Fleet dates'!$I$9:$I$1008,$I919-8)="","",INDEX('Fleet dates'!$I$9:$I$1008,$I919-8)))</x:f>
      </x:c>
      <x:c r="I919" t="str">
        <x:f>IF(911&gt;$H$4,"",MATCH(911,'Fleet dates'!$K$9:$K$1008,0)+8)</x:f>
      </x:c>
    </x:row>
    <x:row r="920" ht="36" customHeight="1">
      <x:c r="A920" s="50" t="str">
        <x:f>IF(912&gt;$H$4,"",IF(INDEX('Fleet dates'!$A$9:$A$1008,$I920-8)="","",INDEX('Fleet dates'!$A$9:$A$1008,$I920-8)))</x:f>
      </x:c>
      <x:c r="B920" s="50" t="str">
        <x:f>IF(912&gt;$H$4,"",IF(INDEX('Fleet dates'!$B$9:$B$1008,$I920-8)="","",INDEX('Fleet dates'!$B$9:$B$1008,$I920-8)))</x:f>
      </x:c>
      <x:c r="C920" s="51" t="str">
        <x:f>IF(912&gt;$H$4,"",IF(INDEX('Fleet dates'!$C$9:$C$1008,$I920-8)="","",INDEX('Fleet dates'!$C$9:$C$1008,$I920-8)))</x:f>
      </x:c>
      <x:c r="D920" s="51" t="str">
        <x:f>IF(912&gt;$H$4,"",IF(INDEX('Fleet dates'!$D$9:$D$1008,$I920-8)="","",INDEX('Fleet dates'!$D$9:$D$1008,$I920-8)))</x:f>
      </x:c>
      <x:c r="E920" s="51" t="str">
        <x:f>IF(912&gt;$H$4,"",IF(INDEX('Fleet dates'!$E$9:$E$1008,$I920-8)="","",INDEX('Fleet dates'!$E$9:$E$1008,$I920-8)))</x:f>
      </x:c>
      <x:c r="F920" s="51" t="str">
        <x:f>IF(912&gt;$H$4,"",IF(INDEX('Fleet dates'!$F$9:$F$1008,$I920-8)="","",INDEX('Fleet dates'!$F$9:$F$1008,$I920-8)))</x:f>
      </x:c>
      <x:c r="G920" s="50" t="str">
        <x:f>IF(912&gt;$H$4,"",IF(INDEX('Fleet dates'!$G$9:$G$1008,$I920-8)="","",INDEX('Fleet dates'!$G$9:$G$1008,$I920-8)))</x:f>
      </x:c>
      <x:c r="H920" s="50" t="str">
        <x:f>IF(912&gt;$H$4,"",IF(INDEX('Fleet dates'!$I$9:$I$1008,$I920-8)="","",INDEX('Fleet dates'!$I$9:$I$1008,$I920-8)))</x:f>
      </x:c>
      <x:c r="I920" t="str">
        <x:f>IF(912&gt;$H$4,"",MATCH(912,'Fleet dates'!$K$9:$K$1008,0)+8)</x:f>
      </x:c>
    </x:row>
    <x:row r="921" ht="36" customHeight="1">
      <x:c r="A921" s="50" t="str">
        <x:f>IF(913&gt;$H$4,"",IF(INDEX('Fleet dates'!$A$9:$A$1008,$I921-8)="","",INDEX('Fleet dates'!$A$9:$A$1008,$I921-8)))</x:f>
      </x:c>
      <x:c r="B921" s="50" t="str">
        <x:f>IF(913&gt;$H$4,"",IF(INDEX('Fleet dates'!$B$9:$B$1008,$I921-8)="","",INDEX('Fleet dates'!$B$9:$B$1008,$I921-8)))</x:f>
      </x:c>
      <x:c r="C921" s="51" t="str">
        <x:f>IF(913&gt;$H$4,"",IF(INDEX('Fleet dates'!$C$9:$C$1008,$I921-8)="","",INDEX('Fleet dates'!$C$9:$C$1008,$I921-8)))</x:f>
      </x:c>
      <x:c r="D921" s="51" t="str">
        <x:f>IF(913&gt;$H$4,"",IF(INDEX('Fleet dates'!$D$9:$D$1008,$I921-8)="","",INDEX('Fleet dates'!$D$9:$D$1008,$I921-8)))</x:f>
      </x:c>
      <x:c r="E921" s="51" t="str">
        <x:f>IF(913&gt;$H$4,"",IF(INDEX('Fleet dates'!$E$9:$E$1008,$I921-8)="","",INDEX('Fleet dates'!$E$9:$E$1008,$I921-8)))</x:f>
      </x:c>
      <x:c r="F921" s="51" t="str">
        <x:f>IF(913&gt;$H$4,"",IF(INDEX('Fleet dates'!$F$9:$F$1008,$I921-8)="","",INDEX('Fleet dates'!$F$9:$F$1008,$I921-8)))</x:f>
      </x:c>
      <x:c r="G921" s="50" t="str">
        <x:f>IF(913&gt;$H$4,"",IF(INDEX('Fleet dates'!$G$9:$G$1008,$I921-8)="","",INDEX('Fleet dates'!$G$9:$G$1008,$I921-8)))</x:f>
      </x:c>
      <x:c r="H921" s="50" t="str">
        <x:f>IF(913&gt;$H$4,"",IF(INDEX('Fleet dates'!$I$9:$I$1008,$I921-8)="","",INDEX('Fleet dates'!$I$9:$I$1008,$I921-8)))</x:f>
      </x:c>
      <x:c r="I921" t="str">
        <x:f>IF(913&gt;$H$4,"",MATCH(913,'Fleet dates'!$K$9:$K$1008,0)+8)</x:f>
      </x:c>
    </x:row>
    <x:row r="922" ht="36" customHeight="1">
      <x:c r="A922" s="50" t="str">
        <x:f>IF(914&gt;$H$4,"",IF(INDEX('Fleet dates'!$A$9:$A$1008,$I922-8)="","",INDEX('Fleet dates'!$A$9:$A$1008,$I922-8)))</x:f>
      </x:c>
      <x:c r="B922" s="50" t="str">
        <x:f>IF(914&gt;$H$4,"",IF(INDEX('Fleet dates'!$B$9:$B$1008,$I922-8)="","",INDEX('Fleet dates'!$B$9:$B$1008,$I922-8)))</x:f>
      </x:c>
      <x:c r="C922" s="51" t="str">
        <x:f>IF(914&gt;$H$4,"",IF(INDEX('Fleet dates'!$C$9:$C$1008,$I922-8)="","",INDEX('Fleet dates'!$C$9:$C$1008,$I922-8)))</x:f>
      </x:c>
      <x:c r="D922" s="51" t="str">
        <x:f>IF(914&gt;$H$4,"",IF(INDEX('Fleet dates'!$D$9:$D$1008,$I922-8)="","",INDEX('Fleet dates'!$D$9:$D$1008,$I922-8)))</x:f>
      </x:c>
      <x:c r="E922" s="51" t="str">
        <x:f>IF(914&gt;$H$4,"",IF(INDEX('Fleet dates'!$E$9:$E$1008,$I922-8)="","",INDEX('Fleet dates'!$E$9:$E$1008,$I922-8)))</x:f>
      </x:c>
      <x:c r="F922" s="51" t="str">
        <x:f>IF(914&gt;$H$4,"",IF(INDEX('Fleet dates'!$F$9:$F$1008,$I922-8)="","",INDEX('Fleet dates'!$F$9:$F$1008,$I922-8)))</x:f>
      </x:c>
      <x:c r="G922" s="50" t="str">
        <x:f>IF(914&gt;$H$4,"",IF(INDEX('Fleet dates'!$G$9:$G$1008,$I922-8)="","",INDEX('Fleet dates'!$G$9:$G$1008,$I922-8)))</x:f>
      </x:c>
      <x:c r="H922" s="50" t="str">
        <x:f>IF(914&gt;$H$4,"",IF(INDEX('Fleet dates'!$I$9:$I$1008,$I922-8)="","",INDEX('Fleet dates'!$I$9:$I$1008,$I922-8)))</x:f>
      </x:c>
      <x:c r="I922" t="str">
        <x:f>IF(914&gt;$H$4,"",MATCH(914,'Fleet dates'!$K$9:$K$1008,0)+8)</x:f>
      </x:c>
    </x:row>
    <x:row r="923" ht="36" customHeight="1">
      <x:c r="A923" s="50" t="str">
        <x:f>IF(915&gt;$H$4,"",IF(INDEX('Fleet dates'!$A$9:$A$1008,$I923-8)="","",INDEX('Fleet dates'!$A$9:$A$1008,$I923-8)))</x:f>
      </x:c>
      <x:c r="B923" s="50" t="str">
        <x:f>IF(915&gt;$H$4,"",IF(INDEX('Fleet dates'!$B$9:$B$1008,$I923-8)="","",INDEX('Fleet dates'!$B$9:$B$1008,$I923-8)))</x:f>
      </x:c>
      <x:c r="C923" s="51" t="str">
        <x:f>IF(915&gt;$H$4,"",IF(INDEX('Fleet dates'!$C$9:$C$1008,$I923-8)="","",INDEX('Fleet dates'!$C$9:$C$1008,$I923-8)))</x:f>
      </x:c>
      <x:c r="D923" s="51" t="str">
        <x:f>IF(915&gt;$H$4,"",IF(INDEX('Fleet dates'!$D$9:$D$1008,$I923-8)="","",INDEX('Fleet dates'!$D$9:$D$1008,$I923-8)))</x:f>
      </x:c>
      <x:c r="E923" s="51" t="str">
        <x:f>IF(915&gt;$H$4,"",IF(INDEX('Fleet dates'!$E$9:$E$1008,$I923-8)="","",INDEX('Fleet dates'!$E$9:$E$1008,$I923-8)))</x:f>
      </x:c>
      <x:c r="F923" s="51" t="str">
        <x:f>IF(915&gt;$H$4,"",IF(INDEX('Fleet dates'!$F$9:$F$1008,$I923-8)="","",INDEX('Fleet dates'!$F$9:$F$1008,$I923-8)))</x:f>
      </x:c>
      <x:c r="G923" s="50" t="str">
        <x:f>IF(915&gt;$H$4,"",IF(INDEX('Fleet dates'!$G$9:$G$1008,$I923-8)="","",INDEX('Fleet dates'!$G$9:$G$1008,$I923-8)))</x:f>
      </x:c>
      <x:c r="H923" s="50" t="str">
        <x:f>IF(915&gt;$H$4,"",IF(INDEX('Fleet dates'!$I$9:$I$1008,$I923-8)="","",INDEX('Fleet dates'!$I$9:$I$1008,$I923-8)))</x:f>
      </x:c>
      <x:c r="I923" t="str">
        <x:f>IF(915&gt;$H$4,"",MATCH(915,'Fleet dates'!$K$9:$K$1008,0)+8)</x:f>
      </x:c>
    </x:row>
    <x:row r="924" ht="36" customHeight="1">
      <x:c r="A924" s="50" t="str">
        <x:f>IF(916&gt;$H$4,"",IF(INDEX('Fleet dates'!$A$9:$A$1008,$I924-8)="","",INDEX('Fleet dates'!$A$9:$A$1008,$I924-8)))</x:f>
      </x:c>
      <x:c r="B924" s="50" t="str">
        <x:f>IF(916&gt;$H$4,"",IF(INDEX('Fleet dates'!$B$9:$B$1008,$I924-8)="","",INDEX('Fleet dates'!$B$9:$B$1008,$I924-8)))</x:f>
      </x:c>
      <x:c r="C924" s="51" t="str">
        <x:f>IF(916&gt;$H$4,"",IF(INDEX('Fleet dates'!$C$9:$C$1008,$I924-8)="","",INDEX('Fleet dates'!$C$9:$C$1008,$I924-8)))</x:f>
      </x:c>
      <x:c r="D924" s="51" t="str">
        <x:f>IF(916&gt;$H$4,"",IF(INDEX('Fleet dates'!$D$9:$D$1008,$I924-8)="","",INDEX('Fleet dates'!$D$9:$D$1008,$I924-8)))</x:f>
      </x:c>
      <x:c r="E924" s="51" t="str">
        <x:f>IF(916&gt;$H$4,"",IF(INDEX('Fleet dates'!$E$9:$E$1008,$I924-8)="","",INDEX('Fleet dates'!$E$9:$E$1008,$I924-8)))</x:f>
      </x:c>
      <x:c r="F924" s="51" t="str">
        <x:f>IF(916&gt;$H$4,"",IF(INDEX('Fleet dates'!$F$9:$F$1008,$I924-8)="","",INDEX('Fleet dates'!$F$9:$F$1008,$I924-8)))</x:f>
      </x:c>
      <x:c r="G924" s="50" t="str">
        <x:f>IF(916&gt;$H$4,"",IF(INDEX('Fleet dates'!$G$9:$G$1008,$I924-8)="","",INDEX('Fleet dates'!$G$9:$G$1008,$I924-8)))</x:f>
      </x:c>
      <x:c r="H924" s="50" t="str">
        <x:f>IF(916&gt;$H$4,"",IF(INDEX('Fleet dates'!$I$9:$I$1008,$I924-8)="","",INDEX('Fleet dates'!$I$9:$I$1008,$I924-8)))</x:f>
      </x:c>
      <x:c r="I924" t="str">
        <x:f>IF(916&gt;$H$4,"",MATCH(916,'Fleet dates'!$K$9:$K$1008,0)+8)</x:f>
      </x:c>
    </x:row>
    <x:row r="925" ht="36" customHeight="1">
      <x:c r="A925" s="50" t="str">
        <x:f>IF(917&gt;$H$4,"",IF(INDEX('Fleet dates'!$A$9:$A$1008,$I925-8)="","",INDEX('Fleet dates'!$A$9:$A$1008,$I925-8)))</x:f>
      </x:c>
      <x:c r="B925" s="50" t="str">
        <x:f>IF(917&gt;$H$4,"",IF(INDEX('Fleet dates'!$B$9:$B$1008,$I925-8)="","",INDEX('Fleet dates'!$B$9:$B$1008,$I925-8)))</x:f>
      </x:c>
      <x:c r="C925" s="51" t="str">
        <x:f>IF(917&gt;$H$4,"",IF(INDEX('Fleet dates'!$C$9:$C$1008,$I925-8)="","",INDEX('Fleet dates'!$C$9:$C$1008,$I925-8)))</x:f>
      </x:c>
      <x:c r="D925" s="51" t="str">
        <x:f>IF(917&gt;$H$4,"",IF(INDEX('Fleet dates'!$D$9:$D$1008,$I925-8)="","",INDEX('Fleet dates'!$D$9:$D$1008,$I925-8)))</x:f>
      </x:c>
      <x:c r="E925" s="51" t="str">
        <x:f>IF(917&gt;$H$4,"",IF(INDEX('Fleet dates'!$E$9:$E$1008,$I925-8)="","",INDEX('Fleet dates'!$E$9:$E$1008,$I925-8)))</x:f>
      </x:c>
      <x:c r="F925" s="51" t="str">
        <x:f>IF(917&gt;$H$4,"",IF(INDEX('Fleet dates'!$F$9:$F$1008,$I925-8)="","",INDEX('Fleet dates'!$F$9:$F$1008,$I925-8)))</x:f>
      </x:c>
      <x:c r="G925" s="50" t="str">
        <x:f>IF(917&gt;$H$4,"",IF(INDEX('Fleet dates'!$G$9:$G$1008,$I925-8)="","",INDEX('Fleet dates'!$G$9:$G$1008,$I925-8)))</x:f>
      </x:c>
      <x:c r="H925" s="50" t="str">
        <x:f>IF(917&gt;$H$4,"",IF(INDEX('Fleet dates'!$I$9:$I$1008,$I925-8)="","",INDEX('Fleet dates'!$I$9:$I$1008,$I925-8)))</x:f>
      </x:c>
      <x:c r="I925" t="str">
        <x:f>IF(917&gt;$H$4,"",MATCH(917,'Fleet dates'!$K$9:$K$1008,0)+8)</x:f>
      </x:c>
    </x:row>
    <x:row r="926" ht="36" customHeight="1">
      <x:c r="A926" s="50" t="str">
        <x:f>IF(918&gt;$H$4,"",IF(INDEX('Fleet dates'!$A$9:$A$1008,$I926-8)="","",INDEX('Fleet dates'!$A$9:$A$1008,$I926-8)))</x:f>
      </x:c>
      <x:c r="B926" s="50" t="str">
        <x:f>IF(918&gt;$H$4,"",IF(INDEX('Fleet dates'!$B$9:$B$1008,$I926-8)="","",INDEX('Fleet dates'!$B$9:$B$1008,$I926-8)))</x:f>
      </x:c>
      <x:c r="C926" s="51" t="str">
        <x:f>IF(918&gt;$H$4,"",IF(INDEX('Fleet dates'!$C$9:$C$1008,$I926-8)="","",INDEX('Fleet dates'!$C$9:$C$1008,$I926-8)))</x:f>
      </x:c>
      <x:c r="D926" s="51" t="str">
        <x:f>IF(918&gt;$H$4,"",IF(INDEX('Fleet dates'!$D$9:$D$1008,$I926-8)="","",INDEX('Fleet dates'!$D$9:$D$1008,$I926-8)))</x:f>
      </x:c>
      <x:c r="E926" s="51" t="str">
        <x:f>IF(918&gt;$H$4,"",IF(INDEX('Fleet dates'!$E$9:$E$1008,$I926-8)="","",INDEX('Fleet dates'!$E$9:$E$1008,$I926-8)))</x:f>
      </x:c>
      <x:c r="F926" s="51" t="str">
        <x:f>IF(918&gt;$H$4,"",IF(INDEX('Fleet dates'!$F$9:$F$1008,$I926-8)="","",INDEX('Fleet dates'!$F$9:$F$1008,$I926-8)))</x:f>
      </x:c>
      <x:c r="G926" s="50" t="str">
        <x:f>IF(918&gt;$H$4,"",IF(INDEX('Fleet dates'!$G$9:$G$1008,$I926-8)="","",INDEX('Fleet dates'!$G$9:$G$1008,$I926-8)))</x:f>
      </x:c>
      <x:c r="H926" s="50" t="str">
        <x:f>IF(918&gt;$H$4,"",IF(INDEX('Fleet dates'!$I$9:$I$1008,$I926-8)="","",INDEX('Fleet dates'!$I$9:$I$1008,$I926-8)))</x:f>
      </x:c>
      <x:c r="I926" t="str">
        <x:f>IF(918&gt;$H$4,"",MATCH(918,'Fleet dates'!$K$9:$K$1008,0)+8)</x:f>
      </x:c>
    </x:row>
    <x:row r="927" ht="36" customHeight="1">
      <x:c r="A927" s="50" t="str">
        <x:f>IF(919&gt;$H$4,"",IF(INDEX('Fleet dates'!$A$9:$A$1008,$I927-8)="","",INDEX('Fleet dates'!$A$9:$A$1008,$I927-8)))</x:f>
      </x:c>
      <x:c r="B927" s="50" t="str">
        <x:f>IF(919&gt;$H$4,"",IF(INDEX('Fleet dates'!$B$9:$B$1008,$I927-8)="","",INDEX('Fleet dates'!$B$9:$B$1008,$I927-8)))</x:f>
      </x:c>
      <x:c r="C927" s="51" t="str">
        <x:f>IF(919&gt;$H$4,"",IF(INDEX('Fleet dates'!$C$9:$C$1008,$I927-8)="","",INDEX('Fleet dates'!$C$9:$C$1008,$I927-8)))</x:f>
      </x:c>
      <x:c r="D927" s="51" t="str">
        <x:f>IF(919&gt;$H$4,"",IF(INDEX('Fleet dates'!$D$9:$D$1008,$I927-8)="","",INDEX('Fleet dates'!$D$9:$D$1008,$I927-8)))</x:f>
      </x:c>
      <x:c r="E927" s="51" t="str">
        <x:f>IF(919&gt;$H$4,"",IF(INDEX('Fleet dates'!$E$9:$E$1008,$I927-8)="","",INDEX('Fleet dates'!$E$9:$E$1008,$I927-8)))</x:f>
      </x:c>
      <x:c r="F927" s="51" t="str">
        <x:f>IF(919&gt;$H$4,"",IF(INDEX('Fleet dates'!$F$9:$F$1008,$I927-8)="","",INDEX('Fleet dates'!$F$9:$F$1008,$I927-8)))</x:f>
      </x:c>
      <x:c r="G927" s="50" t="str">
        <x:f>IF(919&gt;$H$4,"",IF(INDEX('Fleet dates'!$G$9:$G$1008,$I927-8)="","",INDEX('Fleet dates'!$G$9:$G$1008,$I927-8)))</x:f>
      </x:c>
      <x:c r="H927" s="50" t="str">
        <x:f>IF(919&gt;$H$4,"",IF(INDEX('Fleet dates'!$I$9:$I$1008,$I927-8)="","",INDEX('Fleet dates'!$I$9:$I$1008,$I927-8)))</x:f>
      </x:c>
      <x:c r="I927" t="str">
        <x:f>IF(919&gt;$H$4,"",MATCH(919,'Fleet dates'!$K$9:$K$1008,0)+8)</x:f>
      </x:c>
    </x:row>
    <x:row r="928" ht="36" customHeight="1">
      <x:c r="A928" s="50" t="str">
        <x:f>IF(920&gt;$H$4,"",IF(INDEX('Fleet dates'!$A$9:$A$1008,$I928-8)="","",INDEX('Fleet dates'!$A$9:$A$1008,$I928-8)))</x:f>
      </x:c>
      <x:c r="B928" s="50" t="str">
        <x:f>IF(920&gt;$H$4,"",IF(INDEX('Fleet dates'!$B$9:$B$1008,$I928-8)="","",INDEX('Fleet dates'!$B$9:$B$1008,$I928-8)))</x:f>
      </x:c>
      <x:c r="C928" s="51" t="str">
        <x:f>IF(920&gt;$H$4,"",IF(INDEX('Fleet dates'!$C$9:$C$1008,$I928-8)="","",INDEX('Fleet dates'!$C$9:$C$1008,$I928-8)))</x:f>
      </x:c>
      <x:c r="D928" s="51" t="str">
        <x:f>IF(920&gt;$H$4,"",IF(INDEX('Fleet dates'!$D$9:$D$1008,$I928-8)="","",INDEX('Fleet dates'!$D$9:$D$1008,$I928-8)))</x:f>
      </x:c>
      <x:c r="E928" s="51" t="str">
        <x:f>IF(920&gt;$H$4,"",IF(INDEX('Fleet dates'!$E$9:$E$1008,$I928-8)="","",INDEX('Fleet dates'!$E$9:$E$1008,$I928-8)))</x:f>
      </x:c>
      <x:c r="F928" s="51" t="str">
        <x:f>IF(920&gt;$H$4,"",IF(INDEX('Fleet dates'!$F$9:$F$1008,$I928-8)="","",INDEX('Fleet dates'!$F$9:$F$1008,$I928-8)))</x:f>
      </x:c>
      <x:c r="G928" s="50" t="str">
        <x:f>IF(920&gt;$H$4,"",IF(INDEX('Fleet dates'!$G$9:$G$1008,$I928-8)="","",INDEX('Fleet dates'!$G$9:$G$1008,$I928-8)))</x:f>
      </x:c>
      <x:c r="H928" s="50" t="str">
        <x:f>IF(920&gt;$H$4,"",IF(INDEX('Fleet dates'!$I$9:$I$1008,$I928-8)="","",INDEX('Fleet dates'!$I$9:$I$1008,$I928-8)))</x:f>
      </x:c>
      <x:c r="I928" t="str">
        <x:f>IF(920&gt;$H$4,"",MATCH(920,'Fleet dates'!$K$9:$K$1008,0)+8)</x:f>
      </x:c>
    </x:row>
    <x:row r="929" ht="36" customHeight="1">
      <x:c r="A929" s="50" t="str">
        <x:f>IF(921&gt;$H$4,"",IF(INDEX('Fleet dates'!$A$9:$A$1008,$I929-8)="","",INDEX('Fleet dates'!$A$9:$A$1008,$I929-8)))</x:f>
      </x:c>
      <x:c r="B929" s="50" t="str">
        <x:f>IF(921&gt;$H$4,"",IF(INDEX('Fleet dates'!$B$9:$B$1008,$I929-8)="","",INDEX('Fleet dates'!$B$9:$B$1008,$I929-8)))</x:f>
      </x:c>
      <x:c r="C929" s="51" t="str">
        <x:f>IF(921&gt;$H$4,"",IF(INDEX('Fleet dates'!$C$9:$C$1008,$I929-8)="","",INDEX('Fleet dates'!$C$9:$C$1008,$I929-8)))</x:f>
      </x:c>
      <x:c r="D929" s="51" t="str">
        <x:f>IF(921&gt;$H$4,"",IF(INDEX('Fleet dates'!$D$9:$D$1008,$I929-8)="","",INDEX('Fleet dates'!$D$9:$D$1008,$I929-8)))</x:f>
      </x:c>
      <x:c r="E929" s="51" t="str">
        <x:f>IF(921&gt;$H$4,"",IF(INDEX('Fleet dates'!$E$9:$E$1008,$I929-8)="","",INDEX('Fleet dates'!$E$9:$E$1008,$I929-8)))</x:f>
      </x:c>
      <x:c r="F929" s="51" t="str">
        <x:f>IF(921&gt;$H$4,"",IF(INDEX('Fleet dates'!$F$9:$F$1008,$I929-8)="","",INDEX('Fleet dates'!$F$9:$F$1008,$I929-8)))</x:f>
      </x:c>
      <x:c r="G929" s="50" t="str">
        <x:f>IF(921&gt;$H$4,"",IF(INDEX('Fleet dates'!$G$9:$G$1008,$I929-8)="","",INDEX('Fleet dates'!$G$9:$G$1008,$I929-8)))</x:f>
      </x:c>
      <x:c r="H929" s="50" t="str">
        <x:f>IF(921&gt;$H$4,"",IF(INDEX('Fleet dates'!$I$9:$I$1008,$I929-8)="","",INDEX('Fleet dates'!$I$9:$I$1008,$I929-8)))</x:f>
      </x:c>
      <x:c r="I929" t="str">
        <x:f>IF(921&gt;$H$4,"",MATCH(921,'Fleet dates'!$K$9:$K$1008,0)+8)</x:f>
      </x:c>
    </x:row>
    <x:row r="930" ht="36" customHeight="1">
      <x:c r="A930" s="50" t="str">
        <x:f>IF(922&gt;$H$4,"",IF(INDEX('Fleet dates'!$A$9:$A$1008,$I930-8)="","",INDEX('Fleet dates'!$A$9:$A$1008,$I930-8)))</x:f>
      </x:c>
      <x:c r="B930" s="50" t="str">
        <x:f>IF(922&gt;$H$4,"",IF(INDEX('Fleet dates'!$B$9:$B$1008,$I930-8)="","",INDEX('Fleet dates'!$B$9:$B$1008,$I930-8)))</x:f>
      </x:c>
      <x:c r="C930" s="51" t="str">
        <x:f>IF(922&gt;$H$4,"",IF(INDEX('Fleet dates'!$C$9:$C$1008,$I930-8)="","",INDEX('Fleet dates'!$C$9:$C$1008,$I930-8)))</x:f>
      </x:c>
      <x:c r="D930" s="51" t="str">
        <x:f>IF(922&gt;$H$4,"",IF(INDEX('Fleet dates'!$D$9:$D$1008,$I930-8)="","",INDEX('Fleet dates'!$D$9:$D$1008,$I930-8)))</x:f>
      </x:c>
      <x:c r="E930" s="51" t="str">
        <x:f>IF(922&gt;$H$4,"",IF(INDEX('Fleet dates'!$E$9:$E$1008,$I930-8)="","",INDEX('Fleet dates'!$E$9:$E$1008,$I930-8)))</x:f>
      </x:c>
      <x:c r="F930" s="51" t="str">
        <x:f>IF(922&gt;$H$4,"",IF(INDEX('Fleet dates'!$F$9:$F$1008,$I930-8)="","",INDEX('Fleet dates'!$F$9:$F$1008,$I930-8)))</x:f>
      </x:c>
      <x:c r="G930" s="50" t="str">
        <x:f>IF(922&gt;$H$4,"",IF(INDEX('Fleet dates'!$G$9:$G$1008,$I930-8)="","",INDEX('Fleet dates'!$G$9:$G$1008,$I930-8)))</x:f>
      </x:c>
      <x:c r="H930" s="50" t="str">
        <x:f>IF(922&gt;$H$4,"",IF(INDEX('Fleet dates'!$I$9:$I$1008,$I930-8)="","",INDEX('Fleet dates'!$I$9:$I$1008,$I930-8)))</x:f>
      </x:c>
      <x:c r="I930" t="str">
        <x:f>IF(922&gt;$H$4,"",MATCH(922,'Fleet dates'!$K$9:$K$1008,0)+8)</x:f>
      </x:c>
    </x:row>
    <x:row r="931" ht="36" customHeight="1">
      <x:c r="A931" s="50" t="str">
        <x:f>IF(923&gt;$H$4,"",IF(INDEX('Fleet dates'!$A$9:$A$1008,$I931-8)="","",INDEX('Fleet dates'!$A$9:$A$1008,$I931-8)))</x:f>
      </x:c>
      <x:c r="B931" s="50" t="str">
        <x:f>IF(923&gt;$H$4,"",IF(INDEX('Fleet dates'!$B$9:$B$1008,$I931-8)="","",INDEX('Fleet dates'!$B$9:$B$1008,$I931-8)))</x:f>
      </x:c>
      <x:c r="C931" s="51" t="str">
        <x:f>IF(923&gt;$H$4,"",IF(INDEX('Fleet dates'!$C$9:$C$1008,$I931-8)="","",INDEX('Fleet dates'!$C$9:$C$1008,$I931-8)))</x:f>
      </x:c>
      <x:c r="D931" s="51" t="str">
        <x:f>IF(923&gt;$H$4,"",IF(INDEX('Fleet dates'!$D$9:$D$1008,$I931-8)="","",INDEX('Fleet dates'!$D$9:$D$1008,$I931-8)))</x:f>
      </x:c>
      <x:c r="E931" s="51" t="str">
        <x:f>IF(923&gt;$H$4,"",IF(INDEX('Fleet dates'!$E$9:$E$1008,$I931-8)="","",INDEX('Fleet dates'!$E$9:$E$1008,$I931-8)))</x:f>
      </x:c>
      <x:c r="F931" s="51" t="str">
        <x:f>IF(923&gt;$H$4,"",IF(INDEX('Fleet dates'!$F$9:$F$1008,$I931-8)="","",INDEX('Fleet dates'!$F$9:$F$1008,$I931-8)))</x:f>
      </x:c>
      <x:c r="G931" s="50" t="str">
        <x:f>IF(923&gt;$H$4,"",IF(INDEX('Fleet dates'!$G$9:$G$1008,$I931-8)="","",INDEX('Fleet dates'!$G$9:$G$1008,$I931-8)))</x:f>
      </x:c>
      <x:c r="H931" s="50" t="str">
        <x:f>IF(923&gt;$H$4,"",IF(INDEX('Fleet dates'!$I$9:$I$1008,$I931-8)="","",INDEX('Fleet dates'!$I$9:$I$1008,$I931-8)))</x:f>
      </x:c>
      <x:c r="I931" t="str">
        <x:f>IF(923&gt;$H$4,"",MATCH(923,'Fleet dates'!$K$9:$K$1008,0)+8)</x:f>
      </x:c>
    </x:row>
    <x:row r="932" ht="36" customHeight="1">
      <x:c r="A932" s="50" t="str">
        <x:f>IF(924&gt;$H$4,"",IF(INDEX('Fleet dates'!$A$9:$A$1008,$I932-8)="","",INDEX('Fleet dates'!$A$9:$A$1008,$I932-8)))</x:f>
      </x:c>
      <x:c r="B932" s="50" t="str">
        <x:f>IF(924&gt;$H$4,"",IF(INDEX('Fleet dates'!$B$9:$B$1008,$I932-8)="","",INDEX('Fleet dates'!$B$9:$B$1008,$I932-8)))</x:f>
      </x:c>
      <x:c r="C932" s="51" t="str">
        <x:f>IF(924&gt;$H$4,"",IF(INDEX('Fleet dates'!$C$9:$C$1008,$I932-8)="","",INDEX('Fleet dates'!$C$9:$C$1008,$I932-8)))</x:f>
      </x:c>
      <x:c r="D932" s="51" t="str">
        <x:f>IF(924&gt;$H$4,"",IF(INDEX('Fleet dates'!$D$9:$D$1008,$I932-8)="","",INDEX('Fleet dates'!$D$9:$D$1008,$I932-8)))</x:f>
      </x:c>
      <x:c r="E932" s="51" t="str">
        <x:f>IF(924&gt;$H$4,"",IF(INDEX('Fleet dates'!$E$9:$E$1008,$I932-8)="","",INDEX('Fleet dates'!$E$9:$E$1008,$I932-8)))</x:f>
      </x:c>
      <x:c r="F932" s="51" t="str">
        <x:f>IF(924&gt;$H$4,"",IF(INDEX('Fleet dates'!$F$9:$F$1008,$I932-8)="","",INDEX('Fleet dates'!$F$9:$F$1008,$I932-8)))</x:f>
      </x:c>
      <x:c r="G932" s="50" t="str">
        <x:f>IF(924&gt;$H$4,"",IF(INDEX('Fleet dates'!$G$9:$G$1008,$I932-8)="","",INDEX('Fleet dates'!$G$9:$G$1008,$I932-8)))</x:f>
      </x:c>
      <x:c r="H932" s="50" t="str">
        <x:f>IF(924&gt;$H$4,"",IF(INDEX('Fleet dates'!$I$9:$I$1008,$I932-8)="","",INDEX('Fleet dates'!$I$9:$I$1008,$I932-8)))</x:f>
      </x:c>
      <x:c r="I932" t="str">
        <x:f>IF(924&gt;$H$4,"",MATCH(924,'Fleet dates'!$K$9:$K$1008,0)+8)</x:f>
      </x:c>
    </x:row>
    <x:row r="933" ht="36" customHeight="1">
      <x:c r="A933" s="50" t="str">
        <x:f>IF(925&gt;$H$4,"",IF(INDEX('Fleet dates'!$A$9:$A$1008,$I933-8)="","",INDEX('Fleet dates'!$A$9:$A$1008,$I933-8)))</x:f>
      </x:c>
      <x:c r="B933" s="50" t="str">
        <x:f>IF(925&gt;$H$4,"",IF(INDEX('Fleet dates'!$B$9:$B$1008,$I933-8)="","",INDEX('Fleet dates'!$B$9:$B$1008,$I933-8)))</x:f>
      </x:c>
      <x:c r="C933" s="51" t="str">
        <x:f>IF(925&gt;$H$4,"",IF(INDEX('Fleet dates'!$C$9:$C$1008,$I933-8)="","",INDEX('Fleet dates'!$C$9:$C$1008,$I933-8)))</x:f>
      </x:c>
      <x:c r="D933" s="51" t="str">
        <x:f>IF(925&gt;$H$4,"",IF(INDEX('Fleet dates'!$D$9:$D$1008,$I933-8)="","",INDEX('Fleet dates'!$D$9:$D$1008,$I933-8)))</x:f>
      </x:c>
      <x:c r="E933" s="51" t="str">
        <x:f>IF(925&gt;$H$4,"",IF(INDEX('Fleet dates'!$E$9:$E$1008,$I933-8)="","",INDEX('Fleet dates'!$E$9:$E$1008,$I933-8)))</x:f>
      </x:c>
      <x:c r="F933" s="51" t="str">
        <x:f>IF(925&gt;$H$4,"",IF(INDEX('Fleet dates'!$F$9:$F$1008,$I933-8)="","",INDEX('Fleet dates'!$F$9:$F$1008,$I933-8)))</x:f>
      </x:c>
      <x:c r="G933" s="50" t="str">
        <x:f>IF(925&gt;$H$4,"",IF(INDEX('Fleet dates'!$G$9:$G$1008,$I933-8)="","",INDEX('Fleet dates'!$G$9:$G$1008,$I933-8)))</x:f>
      </x:c>
      <x:c r="H933" s="50" t="str">
        <x:f>IF(925&gt;$H$4,"",IF(INDEX('Fleet dates'!$I$9:$I$1008,$I933-8)="","",INDEX('Fleet dates'!$I$9:$I$1008,$I933-8)))</x:f>
      </x:c>
      <x:c r="I933" t="str">
        <x:f>IF(925&gt;$H$4,"",MATCH(925,'Fleet dates'!$K$9:$K$1008,0)+8)</x:f>
      </x:c>
    </x:row>
    <x:row r="934" ht="36" customHeight="1">
      <x:c r="A934" s="50" t="str">
        <x:f>IF(926&gt;$H$4,"",IF(INDEX('Fleet dates'!$A$9:$A$1008,$I934-8)="","",INDEX('Fleet dates'!$A$9:$A$1008,$I934-8)))</x:f>
      </x:c>
      <x:c r="B934" s="50" t="str">
        <x:f>IF(926&gt;$H$4,"",IF(INDEX('Fleet dates'!$B$9:$B$1008,$I934-8)="","",INDEX('Fleet dates'!$B$9:$B$1008,$I934-8)))</x:f>
      </x:c>
      <x:c r="C934" s="51" t="str">
        <x:f>IF(926&gt;$H$4,"",IF(INDEX('Fleet dates'!$C$9:$C$1008,$I934-8)="","",INDEX('Fleet dates'!$C$9:$C$1008,$I934-8)))</x:f>
      </x:c>
      <x:c r="D934" s="51" t="str">
        <x:f>IF(926&gt;$H$4,"",IF(INDEX('Fleet dates'!$D$9:$D$1008,$I934-8)="","",INDEX('Fleet dates'!$D$9:$D$1008,$I934-8)))</x:f>
      </x:c>
      <x:c r="E934" s="51" t="str">
        <x:f>IF(926&gt;$H$4,"",IF(INDEX('Fleet dates'!$E$9:$E$1008,$I934-8)="","",INDEX('Fleet dates'!$E$9:$E$1008,$I934-8)))</x:f>
      </x:c>
      <x:c r="F934" s="51" t="str">
        <x:f>IF(926&gt;$H$4,"",IF(INDEX('Fleet dates'!$F$9:$F$1008,$I934-8)="","",INDEX('Fleet dates'!$F$9:$F$1008,$I934-8)))</x:f>
      </x:c>
      <x:c r="G934" s="50" t="str">
        <x:f>IF(926&gt;$H$4,"",IF(INDEX('Fleet dates'!$G$9:$G$1008,$I934-8)="","",INDEX('Fleet dates'!$G$9:$G$1008,$I934-8)))</x:f>
      </x:c>
      <x:c r="H934" s="50" t="str">
        <x:f>IF(926&gt;$H$4,"",IF(INDEX('Fleet dates'!$I$9:$I$1008,$I934-8)="","",INDEX('Fleet dates'!$I$9:$I$1008,$I934-8)))</x:f>
      </x:c>
      <x:c r="I934" t="str">
        <x:f>IF(926&gt;$H$4,"",MATCH(926,'Fleet dates'!$K$9:$K$1008,0)+8)</x:f>
      </x:c>
    </x:row>
    <x:row r="935" ht="36" customHeight="1">
      <x:c r="A935" s="50" t="str">
        <x:f>IF(927&gt;$H$4,"",IF(INDEX('Fleet dates'!$A$9:$A$1008,$I935-8)="","",INDEX('Fleet dates'!$A$9:$A$1008,$I935-8)))</x:f>
      </x:c>
      <x:c r="B935" s="50" t="str">
        <x:f>IF(927&gt;$H$4,"",IF(INDEX('Fleet dates'!$B$9:$B$1008,$I935-8)="","",INDEX('Fleet dates'!$B$9:$B$1008,$I935-8)))</x:f>
      </x:c>
      <x:c r="C935" s="51" t="str">
        <x:f>IF(927&gt;$H$4,"",IF(INDEX('Fleet dates'!$C$9:$C$1008,$I935-8)="","",INDEX('Fleet dates'!$C$9:$C$1008,$I935-8)))</x:f>
      </x:c>
      <x:c r="D935" s="51" t="str">
        <x:f>IF(927&gt;$H$4,"",IF(INDEX('Fleet dates'!$D$9:$D$1008,$I935-8)="","",INDEX('Fleet dates'!$D$9:$D$1008,$I935-8)))</x:f>
      </x:c>
      <x:c r="E935" s="51" t="str">
        <x:f>IF(927&gt;$H$4,"",IF(INDEX('Fleet dates'!$E$9:$E$1008,$I935-8)="","",INDEX('Fleet dates'!$E$9:$E$1008,$I935-8)))</x:f>
      </x:c>
      <x:c r="F935" s="51" t="str">
        <x:f>IF(927&gt;$H$4,"",IF(INDEX('Fleet dates'!$F$9:$F$1008,$I935-8)="","",INDEX('Fleet dates'!$F$9:$F$1008,$I935-8)))</x:f>
      </x:c>
      <x:c r="G935" s="50" t="str">
        <x:f>IF(927&gt;$H$4,"",IF(INDEX('Fleet dates'!$G$9:$G$1008,$I935-8)="","",INDEX('Fleet dates'!$G$9:$G$1008,$I935-8)))</x:f>
      </x:c>
      <x:c r="H935" s="50" t="str">
        <x:f>IF(927&gt;$H$4,"",IF(INDEX('Fleet dates'!$I$9:$I$1008,$I935-8)="","",INDEX('Fleet dates'!$I$9:$I$1008,$I935-8)))</x:f>
      </x:c>
      <x:c r="I935" t="str">
        <x:f>IF(927&gt;$H$4,"",MATCH(927,'Fleet dates'!$K$9:$K$1008,0)+8)</x:f>
      </x:c>
    </x:row>
    <x:row r="936" ht="36" customHeight="1">
      <x:c r="A936" s="50" t="str">
        <x:f>IF(928&gt;$H$4,"",IF(INDEX('Fleet dates'!$A$9:$A$1008,$I936-8)="","",INDEX('Fleet dates'!$A$9:$A$1008,$I936-8)))</x:f>
      </x:c>
      <x:c r="B936" s="50" t="str">
        <x:f>IF(928&gt;$H$4,"",IF(INDEX('Fleet dates'!$B$9:$B$1008,$I936-8)="","",INDEX('Fleet dates'!$B$9:$B$1008,$I936-8)))</x:f>
      </x:c>
      <x:c r="C936" s="51" t="str">
        <x:f>IF(928&gt;$H$4,"",IF(INDEX('Fleet dates'!$C$9:$C$1008,$I936-8)="","",INDEX('Fleet dates'!$C$9:$C$1008,$I936-8)))</x:f>
      </x:c>
      <x:c r="D936" s="51" t="str">
        <x:f>IF(928&gt;$H$4,"",IF(INDEX('Fleet dates'!$D$9:$D$1008,$I936-8)="","",INDEX('Fleet dates'!$D$9:$D$1008,$I936-8)))</x:f>
      </x:c>
      <x:c r="E936" s="51" t="str">
        <x:f>IF(928&gt;$H$4,"",IF(INDEX('Fleet dates'!$E$9:$E$1008,$I936-8)="","",INDEX('Fleet dates'!$E$9:$E$1008,$I936-8)))</x:f>
      </x:c>
      <x:c r="F936" s="51" t="str">
        <x:f>IF(928&gt;$H$4,"",IF(INDEX('Fleet dates'!$F$9:$F$1008,$I936-8)="","",INDEX('Fleet dates'!$F$9:$F$1008,$I936-8)))</x:f>
      </x:c>
      <x:c r="G936" s="50" t="str">
        <x:f>IF(928&gt;$H$4,"",IF(INDEX('Fleet dates'!$G$9:$G$1008,$I936-8)="","",INDEX('Fleet dates'!$G$9:$G$1008,$I936-8)))</x:f>
      </x:c>
      <x:c r="H936" s="50" t="str">
        <x:f>IF(928&gt;$H$4,"",IF(INDEX('Fleet dates'!$I$9:$I$1008,$I936-8)="","",INDEX('Fleet dates'!$I$9:$I$1008,$I936-8)))</x:f>
      </x:c>
      <x:c r="I936" t="str">
        <x:f>IF(928&gt;$H$4,"",MATCH(928,'Fleet dates'!$K$9:$K$1008,0)+8)</x:f>
      </x:c>
    </x:row>
    <x:row r="937" ht="36" customHeight="1">
      <x:c r="A937" s="50" t="str">
        <x:f>IF(929&gt;$H$4,"",IF(INDEX('Fleet dates'!$A$9:$A$1008,$I937-8)="","",INDEX('Fleet dates'!$A$9:$A$1008,$I937-8)))</x:f>
      </x:c>
      <x:c r="B937" s="50" t="str">
        <x:f>IF(929&gt;$H$4,"",IF(INDEX('Fleet dates'!$B$9:$B$1008,$I937-8)="","",INDEX('Fleet dates'!$B$9:$B$1008,$I937-8)))</x:f>
      </x:c>
      <x:c r="C937" s="51" t="str">
        <x:f>IF(929&gt;$H$4,"",IF(INDEX('Fleet dates'!$C$9:$C$1008,$I937-8)="","",INDEX('Fleet dates'!$C$9:$C$1008,$I937-8)))</x:f>
      </x:c>
      <x:c r="D937" s="51" t="str">
        <x:f>IF(929&gt;$H$4,"",IF(INDEX('Fleet dates'!$D$9:$D$1008,$I937-8)="","",INDEX('Fleet dates'!$D$9:$D$1008,$I937-8)))</x:f>
      </x:c>
      <x:c r="E937" s="51" t="str">
        <x:f>IF(929&gt;$H$4,"",IF(INDEX('Fleet dates'!$E$9:$E$1008,$I937-8)="","",INDEX('Fleet dates'!$E$9:$E$1008,$I937-8)))</x:f>
      </x:c>
      <x:c r="F937" s="51" t="str">
        <x:f>IF(929&gt;$H$4,"",IF(INDEX('Fleet dates'!$F$9:$F$1008,$I937-8)="","",INDEX('Fleet dates'!$F$9:$F$1008,$I937-8)))</x:f>
      </x:c>
      <x:c r="G937" s="50" t="str">
        <x:f>IF(929&gt;$H$4,"",IF(INDEX('Fleet dates'!$G$9:$G$1008,$I937-8)="","",INDEX('Fleet dates'!$G$9:$G$1008,$I937-8)))</x:f>
      </x:c>
      <x:c r="H937" s="50" t="str">
        <x:f>IF(929&gt;$H$4,"",IF(INDEX('Fleet dates'!$I$9:$I$1008,$I937-8)="","",INDEX('Fleet dates'!$I$9:$I$1008,$I937-8)))</x:f>
      </x:c>
      <x:c r="I937" t="str">
        <x:f>IF(929&gt;$H$4,"",MATCH(929,'Fleet dates'!$K$9:$K$1008,0)+8)</x:f>
      </x:c>
    </x:row>
    <x:row r="938" ht="36" customHeight="1">
      <x:c r="A938" s="50" t="str">
        <x:f>IF(930&gt;$H$4,"",IF(INDEX('Fleet dates'!$A$9:$A$1008,$I938-8)="","",INDEX('Fleet dates'!$A$9:$A$1008,$I938-8)))</x:f>
      </x:c>
      <x:c r="B938" s="50" t="str">
        <x:f>IF(930&gt;$H$4,"",IF(INDEX('Fleet dates'!$B$9:$B$1008,$I938-8)="","",INDEX('Fleet dates'!$B$9:$B$1008,$I938-8)))</x:f>
      </x:c>
      <x:c r="C938" s="51" t="str">
        <x:f>IF(930&gt;$H$4,"",IF(INDEX('Fleet dates'!$C$9:$C$1008,$I938-8)="","",INDEX('Fleet dates'!$C$9:$C$1008,$I938-8)))</x:f>
      </x:c>
      <x:c r="D938" s="51" t="str">
        <x:f>IF(930&gt;$H$4,"",IF(INDEX('Fleet dates'!$D$9:$D$1008,$I938-8)="","",INDEX('Fleet dates'!$D$9:$D$1008,$I938-8)))</x:f>
      </x:c>
      <x:c r="E938" s="51" t="str">
        <x:f>IF(930&gt;$H$4,"",IF(INDEX('Fleet dates'!$E$9:$E$1008,$I938-8)="","",INDEX('Fleet dates'!$E$9:$E$1008,$I938-8)))</x:f>
      </x:c>
      <x:c r="F938" s="51" t="str">
        <x:f>IF(930&gt;$H$4,"",IF(INDEX('Fleet dates'!$F$9:$F$1008,$I938-8)="","",INDEX('Fleet dates'!$F$9:$F$1008,$I938-8)))</x:f>
      </x:c>
      <x:c r="G938" s="50" t="str">
        <x:f>IF(930&gt;$H$4,"",IF(INDEX('Fleet dates'!$G$9:$G$1008,$I938-8)="","",INDEX('Fleet dates'!$G$9:$G$1008,$I938-8)))</x:f>
      </x:c>
      <x:c r="H938" s="50" t="str">
        <x:f>IF(930&gt;$H$4,"",IF(INDEX('Fleet dates'!$I$9:$I$1008,$I938-8)="","",INDEX('Fleet dates'!$I$9:$I$1008,$I938-8)))</x:f>
      </x:c>
      <x:c r="I938" t="str">
        <x:f>IF(930&gt;$H$4,"",MATCH(930,'Fleet dates'!$K$9:$K$1008,0)+8)</x:f>
      </x:c>
    </x:row>
    <x:row r="939" ht="36" customHeight="1">
      <x:c r="A939" s="50" t="str">
        <x:f>IF(931&gt;$H$4,"",IF(INDEX('Fleet dates'!$A$9:$A$1008,$I939-8)="","",INDEX('Fleet dates'!$A$9:$A$1008,$I939-8)))</x:f>
      </x:c>
      <x:c r="B939" s="50" t="str">
        <x:f>IF(931&gt;$H$4,"",IF(INDEX('Fleet dates'!$B$9:$B$1008,$I939-8)="","",INDEX('Fleet dates'!$B$9:$B$1008,$I939-8)))</x:f>
      </x:c>
      <x:c r="C939" s="51" t="str">
        <x:f>IF(931&gt;$H$4,"",IF(INDEX('Fleet dates'!$C$9:$C$1008,$I939-8)="","",INDEX('Fleet dates'!$C$9:$C$1008,$I939-8)))</x:f>
      </x:c>
      <x:c r="D939" s="51" t="str">
        <x:f>IF(931&gt;$H$4,"",IF(INDEX('Fleet dates'!$D$9:$D$1008,$I939-8)="","",INDEX('Fleet dates'!$D$9:$D$1008,$I939-8)))</x:f>
      </x:c>
      <x:c r="E939" s="51" t="str">
        <x:f>IF(931&gt;$H$4,"",IF(INDEX('Fleet dates'!$E$9:$E$1008,$I939-8)="","",INDEX('Fleet dates'!$E$9:$E$1008,$I939-8)))</x:f>
      </x:c>
      <x:c r="F939" s="51" t="str">
        <x:f>IF(931&gt;$H$4,"",IF(INDEX('Fleet dates'!$F$9:$F$1008,$I939-8)="","",INDEX('Fleet dates'!$F$9:$F$1008,$I939-8)))</x:f>
      </x:c>
      <x:c r="G939" s="50" t="str">
        <x:f>IF(931&gt;$H$4,"",IF(INDEX('Fleet dates'!$G$9:$G$1008,$I939-8)="","",INDEX('Fleet dates'!$G$9:$G$1008,$I939-8)))</x:f>
      </x:c>
      <x:c r="H939" s="50" t="str">
        <x:f>IF(931&gt;$H$4,"",IF(INDEX('Fleet dates'!$I$9:$I$1008,$I939-8)="","",INDEX('Fleet dates'!$I$9:$I$1008,$I939-8)))</x:f>
      </x:c>
      <x:c r="I939" t="str">
        <x:f>IF(931&gt;$H$4,"",MATCH(931,'Fleet dates'!$K$9:$K$1008,0)+8)</x:f>
      </x:c>
    </x:row>
    <x:row r="940" ht="36" customHeight="1">
      <x:c r="A940" s="50" t="str">
        <x:f>IF(932&gt;$H$4,"",IF(INDEX('Fleet dates'!$A$9:$A$1008,$I940-8)="","",INDEX('Fleet dates'!$A$9:$A$1008,$I940-8)))</x:f>
      </x:c>
      <x:c r="B940" s="50" t="str">
        <x:f>IF(932&gt;$H$4,"",IF(INDEX('Fleet dates'!$B$9:$B$1008,$I940-8)="","",INDEX('Fleet dates'!$B$9:$B$1008,$I940-8)))</x:f>
      </x:c>
      <x:c r="C940" s="51" t="str">
        <x:f>IF(932&gt;$H$4,"",IF(INDEX('Fleet dates'!$C$9:$C$1008,$I940-8)="","",INDEX('Fleet dates'!$C$9:$C$1008,$I940-8)))</x:f>
      </x:c>
      <x:c r="D940" s="51" t="str">
        <x:f>IF(932&gt;$H$4,"",IF(INDEX('Fleet dates'!$D$9:$D$1008,$I940-8)="","",INDEX('Fleet dates'!$D$9:$D$1008,$I940-8)))</x:f>
      </x:c>
      <x:c r="E940" s="51" t="str">
        <x:f>IF(932&gt;$H$4,"",IF(INDEX('Fleet dates'!$E$9:$E$1008,$I940-8)="","",INDEX('Fleet dates'!$E$9:$E$1008,$I940-8)))</x:f>
      </x:c>
      <x:c r="F940" s="51" t="str">
        <x:f>IF(932&gt;$H$4,"",IF(INDEX('Fleet dates'!$F$9:$F$1008,$I940-8)="","",INDEX('Fleet dates'!$F$9:$F$1008,$I940-8)))</x:f>
      </x:c>
      <x:c r="G940" s="50" t="str">
        <x:f>IF(932&gt;$H$4,"",IF(INDEX('Fleet dates'!$G$9:$G$1008,$I940-8)="","",INDEX('Fleet dates'!$G$9:$G$1008,$I940-8)))</x:f>
      </x:c>
      <x:c r="H940" s="50" t="str">
        <x:f>IF(932&gt;$H$4,"",IF(INDEX('Fleet dates'!$I$9:$I$1008,$I940-8)="","",INDEX('Fleet dates'!$I$9:$I$1008,$I940-8)))</x:f>
      </x:c>
      <x:c r="I940" t="str">
        <x:f>IF(932&gt;$H$4,"",MATCH(932,'Fleet dates'!$K$9:$K$1008,0)+8)</x:f>
      </x:c>
    </x:row>
    <x:row r="941" ht="36" customHeight="1">
      <x:c r="A941" s="50" t="str">
        <x:f>IF(933&gt;$H$4,"",IF(INDEX('Fleet dates'!$A$9:$A$1008,$I941-8)="","",INDEX('Fleet dates'!$A$9:$A$1008,$I941-8)))</x:f>
      </x:c>
      <x:c r="B941" s="50" t="str">
        <x:f>IF(933&gt;$H$4,"",IF(INDEX('Fleet dates'!$B$9:$B$1008,$I941-8)="","",INDEX('Fleet dates'!$B$9:$B$1008,$I941-8)))</x:f>
      </x:c>
      <x:c r="C941" s="51" t="str">
        <x:f>IF(933&gt;$H$4,"",IF(INDEX('Fleet dates'!$C$9:$C$1008,$I941-8)="","",INDEX('Fleet dates'!$C$9:$C$1008,$I941-8)))</x:f>
      </x:c>
      <x:c r="D941" s="51" t="str">
        <x:f>IF(933&gt;$H$4,"",IF(INDEX('Fleet dates'!$D$9:$D$1008,$I941-8)="","",INDEX('Fleet dates'!$D$9:$D$1008,$I941-8)))</x:f>
      </x:c>
      <x:c r="E941" s="51" t="str">
        <x:f>IF(933&gt;$H$4,"",IF(INDEX('Fleet dates'!$E$9:$E$1008,$I941-8)="","",INDEX('Fleet dates'!$E$9:$E$1008,$I941-8)))</x:f>
      </x:c>
      <x:c r="F941" s="51" t="str">
        <x:f>IF(933&gt;$H$4,"",IF(INDEX('Fleet dates'!$F$9:$F$1008,$I941-8)="","",INDEX('Fleet dates'!$F$9:$F$1008,$I941-8)))</x:f>
      </x:c>
      <x:c r="G941" s="50" t="str">
        <x:f>IF(933&gt;$H$4,"",IF(INDEX('Fleet dates'!$G$9:$G$1008,$I941-8)="","",INDEX('Fleet dates'!$G$9:$G$1008,$I941-8)))</x:f>
      </x:c>
      <x:c r="H941" s="50" t="str">
        <x:f>IF(933&gt;$H$4,"",IF(INDEX('Fleet dates'!$I$9:$I$1008,$I941-8)="","",INDEX('Fleet dates'!$I$9:$I$1008,$I941-8)))</x:f>
      </x:c>
      <x:c r="I941" t="str">
        <x:f>IF(933&gt;$H$4,"",MATCH(933,'Fleet dates'!$K$9:$K$1008,0)+8)</x:f>
      </x:c>
    </x:row>
    <x:row r="942" ht="36" customHeight="1">
      <x:c r="A942" s="50" t="str">
        <x:f>IF(934&gt;$H$4,"",IF(INDEX('Fleet dates'!$A$9:$A$1008,$I942-8)="","",INDEX('Fleet dates'!$A$9:$A$1008,$I942-8)))</x:f>
      </x:c>
      <x:c r="B942" s="50" t="str">
        <x:f>IF(934&gt;$H$4,"",IF(INDEX('Fleet dates'!$B$9:$B$1008,$I942-8)="","",INDEX('Fleet dates'!$B$9:$B$1008,$I942-8)))</x:f>
      </x:c>
      <x:c r="C942" s="51" t="str">
        <x:f>IF(934&gt;$H$4,"",IF(INDEX('Fleet dates'!$C$9:$C$1008,$I942-8)="","",INDEX('Fleet dates'!$C$9:$C$1008,$I942-8)))</x:f>
      </x:c>
      <x:c r="D942" s="51" t="str">
        <x:f>IF(934&gt;$H$4,"",IF(INDEX('Fleet dates'!$D$9:$D$1008,$I942-8)="","",INDEX('Fleet dates'!$D$9:$D$1008,$I942-8)))</x:f>
      </x:c>
      <x:c r="E942" s="51" t="str">
        <x:f>IF(934&gt;$H$4,"",IF(INDEX('Fleet dates'!$E$9:$E$1008,$I942-8)="","",INDEX('Fleet dates'!$E$9:$E$1008,$I942-8)))</x:f>
      </x:c>
      <x:c r="F942" s="51" t="str">
        <x:f>IF(934&gt;$H$4,"",IF(INDEX('Fleet dates'!$F$9:$F$1008,$I942-8)="","",INDEX('Fleet dates'!$F$9:$F$1008,$I942-8)))</x:f>
      </x:c>
      <x:c r="G942" s="50" t="str">
        <x:f>IF(934&gt;$H$4,"",IF(INDEX('Fleet dates'!$G$9:$G$1008,$I942-8)="","",INDEX('Fleet dates'!$G$9:$G$1008,$I942-8)))</x:f>
      </x:c>
      <x:c r="H942" s="50" t="str">
        <x:f>IF(934&gt;$H$4,"",IF(INDEX('Fleet dates'!$I$9:$I$1008,$I942-8)="","",INDEX('Fleet dates'!$I$9:$I$1008,$I942-8)))</x:f>
      </x:c>
      <x:c r="I942" t="str">
        <x:f>IF(934&gt;$H$4,"",MATCH(934,'Fleet dates'!$K$9:$K$1008,0)+8)</x:f>
      </x:c>
    </x:row>
    <x:row r="943" ht="36" customHeight="1">
      <x:c r="A943" s="50" t="str">
        <x:f>IF(935&gt;$H$4,"",IF(INDEX('Fleet dates'!$A$9:$A$1008,$I943-8)="","",INDEX('Fleet dates'!$A$9:$A$1008,$I943-8)))</x:f>
      </x:c>
      <x:c r="B943" s="50" t="str">
        <x:f>IF(935&gt;$H$4,"",IF(INDEX('Fleet dates'!$B$9:$B$1008,$I943-8)="","",INDEX('Fleet dates'!$B$9:$B$1008,$I943-8)))</x:f>
      </x:c>
      <x:c r="C943" s="51" t="str">
        <x:f>IF(935&gt;$H$4,"",IF(INDEX('Fleet dates'!$C$9:$C$1008,$I943-8)="","",INDEX('Fleet dates'!$C$9:$C$1008,$I943-8)))</x:f>
      </x:c>
      <x:c r="D943" s="51" t="str">
        <x:f>IF(935&gt;$H$4,"",IF(INDEX('Fleet dates'!$D$9:$D$1008,$I943-8)="","",INDEX('Fleet dates'!$D$9:$D$1008,$I943-8)))</x:f>
      </x:c>
      <x:c r="E943" s="51" t="str">
        <x:f>IF(935&gt;$H$4,"",IF(INDEX('Fleet dates'!$E$9:$E$1008,$I943-8)="","",INDEX('Fleet dates'!$E$9:$E$1008,$I943-8)))</x:f>
      </x:c>
      <x:c r="F943" s="51" t="str">
        <x:f>IF(935&gt;$H$4,"",IF(INDEX('Fleet dates'!$F$9:$F$1008,$I943-8)="","",INDEX('Fleet dates'!$F$9:$F$1008,$I943-8)))</x:f>
      </x:c>
      <x:c r="G943" s="50" t="str">
        <x:f>IF(935&gt;$H$4,"",IF(INDEX('Fleet dates'!$G$9:$G$1008,$I943-8)="","",INDEX('Fleet dates'!$G$9:$G$1008,$I943-8)))</x:f>
      </x:c>
      <x:c r="H943" s="50" t="str">
        <x:f>IF(935&gt;$H$4,"",IF(INDEX('Fleet dates'!$I$9:$I$1008,$I943-8)="","",INDEX('Fleet dates'!$I$9:$I$1008,$I943-8)))</x:f>
      </x:c>
      <x:c r="I943" t="str">
        <x:f>IF(935&gt;$H$4,"",MATCH(935,'Fleet dates'!$K$9:$K$1008,0)+8)</x:f>
      </x:c>
    </x:row>
    <x:row r="944" ht="36" customHeight="1">
      <x:c r="A944" s="50" t="str">
        <x:f>IF(936&gt;$H$4,"",IF(INDEX('Fleet dates'!$A$9:$A$1008,$I944-8)="","",INDEX('Fleet dates'!$A$9:$A$1008,$I944-8)))</x:f>
      </x:c>
      <x:c r="B944" s="50" t="str">
        <x:f>IF(936&gt;$H$4,"",IF(INDEX('Fleet dates'!$B$9:$B$1008,$I944-8)="","",INDEX('Fleet dates'!$B$9:$B$1008,$I944-8)))</x:f>
      </x:c>
      <x:c r="C944" s="51" t="str">
        <x:f>IF(936&gt;$H$4,"",IF(INDEX('Fleet dates'!$C$9:$C$1008,$I944-8)="","",INDEX('Fleet dates'!$C$9:$C$1008,$I944-8)))</x:f>
      </x:c>
      <x:c r="D944" s="51" t="str">
        <x:f>IF(936&gt;$H$4,"",IF(INDEX('Fleet dates'!$D$9:$D$1008,$I944-8)="","",INDEX('Fleet dates'!$D$9:$D$1008,$I944-8)))</x:f>
      </x:c>
      <x:c r="E944" s="51" t="str">
        <x:f>IF(936&gt;$H$4,"",IF(INDEX('Fleet dates'!$E$9:$E$1008,$I944-8)="","",INDEX('Fleet dates'!$E$9:$E$1008,$I944-8)))</x:f>
      </x:c>
      <x:c r="F944" s="51" t="str">
        <x:f>IF(936&gt;$H$4,"",IF(INDEX('Fleet dates'!$F$9:$F$1008,$I944-8)="","",INDEX('Fleet dates'!$F$9:$F$1008,$I944-8)))</x:f>
      </x:c>
      <x:c r="G944" s="50" t="str">
        <x:f>IF(936&gt;$H$4,"",IF(INDEX('Fleet dates'!$G$9:$G$1008,$I944-8)="","",INDEX('Fleet dates'!$G$9:$G$1008,$I944-8)))</x:f>
      </x:c>
      <x:c r="H944" s="50" t="str">
        <x:f>IF(936&gt;$H$4,"",IF(INDEX('Fleet dates'!$I$9:$I$1008,$I944-8)="","",INDEX('Fleet dates'!$I$9:$I$1008,$I944-8)))</x:f>
      </x:c>
      <x:c r="I944" t="str">
        <x:f>IF(936&gt;$H$4,"",MATCH(936,'Fleet dates'!$K$9:$K$1008,0)+8)</x:f>
      </x:c>
    </x:row>
    <x:row r="945" ht="36" customHeight="1">
      <x:c r="A945" s="50" t="str">
        <x:f>IF(937&gt;$H$4,"",IF(INDEX('Fleet dates'!$A$9:$A$1008,$I945-8)="","",INDEX('Fleet dates'!$A$9:$A$1008,$I945-8)))</x:f>
      </x:c>
      <x:c r="B945" s="50" t="str">
        <x:f>IF(937&gt;$H$4,"",IF(INDEX('Fleet dates'!$B$9:$B$1008,$I945-8)="","",INDEX('Fleet dates'!$B$9:$B$1008,$I945-8)))</x:f>
      </x:c>
      <x:c r="C945" s="51" t="str">
        <x:f>IF(937&gt;$H$4,"",IF(INDEX('Fleet dates'!$C$9:$C$1008,$I945-8)="","",INDEX('Fleet dates'!$C$9:$C$1008,$I945-8)))</x:f>
      </x:c>
      <x:c r="D945" s="51" t="str">
        <x:f>IF(937&gt;$H$4,"",IF(INDEX('Fleet dates'!$D$9:$D$1008,$I945-8)="","",INDEX('Fleet dates'!$D$9:$D$1008,$I945-8)))</x:f>
      </x:c>
      <x:c r="E945" s="51" t="str">
        <x:f>IF(937&gt;$H$4,"",IF(INDEX('Fleet dates'!$E$9:$E$1008,$I945-8)="","",INDEX('Fleet dates'!$E$9:$E$1008,$I945-8)))</x:f>
      </x:c>
      <x:c r="F945" s="51" t="str">
        <x:f>IF(937&gt;$H$4,"",IF(INDEX('Fleet dates'!$F$9:$F$1008,$I945-8)="","",INDEX('Fleet dates'!$F$9:$F$1008,$I945-8)))</x:f>
      </x:c>
      <x:c r="G945" s="50" t="str">
        <x:f>IF(937&gt;$H$4,"",IF(INDEX('Fleet dates'!$G$9:$G$1008,$I945-8)="","",INDEX('Fleet dates'!$G$9:$G$1008,$I945-8)))</x:f>
      </x:c>
      <x:c r="H945" s="50" t="str">
        <x:f>IF(937&gt;$H$4,"",IF(INDEX('Fleet dates'!$I$9:$I$1008,$I945-8)="","",INDEX('Fleet dates'!$I$9:$I$1008,$I945-8)))</x:f>
      </x:c>
      <x:c r="I945" t="str">
        <x:f>IF(937&gt;$H$4,"",MATCH(937,'Fleet dates'!$K$9:$K$1008,0)+8)</x:f>
      </x:c>
    </x:row>
    <x:row r="946" ht="36" customHeight="1">
      <x:c r="A946" s="50" t="str">
        <x:f>IF(938&gt;$H$4,"",IF(INDEX('Fleet dates'!$A$9:$A$1008,$I946-8)="","",INDEX('Fleet dates'!$A$9:$A$1008,$I946-8)))</x:f>
      </x:c>
      <x:c r="B946" s="50" t="str">
        <x:f>IF(938&gt;$H$4,"",IF(INDEX('Fleet dates'!$B$9:$B$1008,$I946-8)="","",INDEX('Fleet dates'!$B$9:$B$1008,$I946-8)))</x:f>
      </x:c>
      <x:c r="C946" s="51" t="str">
        <x:f>IF(938&gt;$H$4,"",IF(INDEX('Fleet dates'!$C$9:$C$1008,$I946-8)="","",INDEX('Fleet dates'!$C$9:$C$1008,$I946-8)))</x:f>
      </x:c>
      <x:c r="D946" s="51" t="str">
        <x:f>IF(938&gt;$H$4,"",IF(INDEX('Fleet dates'!$D$9:$D$1008,$I946-8)="","",INDEX('Fleet dates'!$D$9:$D$1008,$I946-8)))</x:f>
      </x:c>
      <x:c r="E946" s="51" t="str">
        <x:f>IF(938&gt;$H$4,"",IF(INDEX('Fleet dates'!$E$9:$E$1008,$I946-8)="","",INDEX('Fleet dates'!$E$9:$E$1008,$I946-8)))</x:f>
      </x:c>
      <x:c r="F946" s="51" t="str">
        <x:f>IF(938&gt;$H$4,"",IF(INDEX('Fleet dates'!$F$9:$F$1008,$I946-8)="","",INDEX('Fleet dates'!$F$9:$F$1008,$I946-8)))</x:f>
      </x:c>
      <x:c r="G946" s="50" t="str">
        <x:f>IF(938&gt;$H$4,"",IF(INDEX('Fleet dates'!$G$9:$G$1008,$I946-8)="","",INDEX('Fleet dates'!$G$9:$G$1008,$I946-8)))</x:f>
      </x:c>
      <x:c r="H946" s="50" t="str">
        <x:f>IF(938&gt;$H$4,"",IF(INDEX('Fleet dates'!$I$9:$I$1008,$I946-8)="","",INDEX('Fleet dates'!$I$9:$I$1008,$I946-8)))</x:f>
      </x:c>
      <x:c r="I946" t="str">
        <x:f>IF(938&gt;$H$4,"",MATCH(938,'Fleet dates'!$K$9:$K$1008,0)+8)</x:f>
      </x:c>
    </x:row>
    <x:row r="947" ht="36" customHeight="1">
      <x:c r="A947" s="50" t="str">
        <x:f>IF(939&gt;$H$4,"",IF(INDEX('Fleet dates'!$A$9:$A$1008,$I947-8)="","",INDEX('Fleet dates'!$A$9:$A$1008,$I947-8)))</x:f>
      </x:c>
      <x:c r="B947" s="50" t="str">
        <x:f>IF(939&gt;$H$4,"",IF(INDEX('Fleet dates'!$B$9:$B$1008,$I947-8)="","",INDEX('Fleet dates'!$B$9:$B$1008,$I947-8)))</x:f>
      </x:c>
      <x:c r="C947" s="51" t="str">
        <x:f>IF(939&gt;$H$4,"",IF(INDEX('Fleet dates'!$C$9:$C$1008,$I947-8)="","",INDEX('Fleet dates'!$C$9:$C$1008,$I947-8)))</x:f>
      </x:c>
      <x:c r="D947" s="51" t="str">
        <x:f>IF(939&gt;$H$4,"",IF(INDEX('Fleet dates'!$D$9:$D$1008,$I947-8)="","",INDEX('Fleet dates'!$D$9:$D$1008,$I947-8)))</x:f>
      </x:c>
      <x:c r="E947" s="51" t="str">
        <x:f>IF(939&gt;$H$4,"",IF(INDEX('Fleet dates'!$E$9:$E$1008,$I947-8)="","",INDEX('Fleet dates'!$E$9:$E$1008,$I947-8)))</x:f>
      </x:c>
      <x:c r="F947" s="51" t="str">
        <x:f>IF(939&gt;$H$4,"",IF(INDEX('Fleet dates'!$F$9:$F$1008,$I947-8)="","",INDEX('Fleet dates'!$F$9:$F$1008,$I947-8)))</x:f>
      </x:c>
      <x:c r="G947" s="50" t="str">
        <x:f>IF(939&gt;$H$4,"",IF(INDEX('Fleet dates'!$G$9:$G$1008,$I947-8)="","",INDEX('Fleet dates'!$G$9:$G$1008,$I947-8)))</x:f>
      </x:c>
      <x:c r="H947" s="50" t="str">
        <x:f>IF(939&gt;$H$4,"",IF(INDEX('Fleet dates'!$I$9:$I$1008,$I947-8)="","",INDEX('Fleet dates'!$I$9:$I$1008,$I947-8)))</x:f>
      </x:c>
      <x:c r="I947" t="str">
        <x:f>IF(939&gt;$H$4,"",MATCH(939,'Fleet dates'!$K$9:$K$1008,0)+8)</x:f>
      </x:c>
    </x:row>
    <x:row r="948" ht="36" customHeight="1">
      <x:c r="A948" s="50" t="str">
        <x:f>IF(940&gt;$H$4,"",IF(INDEX('Fleet dates'!$A$9:$A$1008,$I948-8)="","",INDEX('Fleet dates'!$A$9:$A$1008,$I948-8)))</x:f>
      </x:c>
      <x:c r="B948" s="50" t="str">
        <x:f>IF(940&gt;$H$4,"",IF(INDEX('Fleet dates'!$B$9:$B$1008,$I948-8)="","",INDEX('Fleet dates'!$B$9:$B$1008,$I948-8)))</x:f>
      </x:c>
      <x:c r="C948" s="51" t="str">
        <x:f>IF(940&gt;$H$4,"",IF(INDEX('Fleet dates'!$C$9:$C$1008,$I948-8)="","",INDEX('Fleet dates'!$C$9:$C$1008,$I948-8)))</x:f>
      </x:c>
      <x:c r="D948" s="51" t="str">
        <x:f>IF(940&gt;$H$4,"",IF(INDEX('Fleet dates'!$D$9:$D$1008,$I948-8)="","",INDEX('Fleet dates'!$D$9:$D$1008,$I948-8)))</x:f>
      </x:c>
      <x:c r="E948" s="51" t="str">
        <x:f>IF(940&gt;$H$4,"",IF(INDEX('Fleet dates'!$E$9:$E$1008,$I948-8)="","",INDEX('Fleet dates'!$E$9:$E$1008,$I948-8)))</x:f>
      </x:c>
      <x:c r="F948" s="51" t="str">
        <x:f>IF(940&gt;$H$4,"",IF(INDEX('Fleet dates'!$F$9:$F$1008,$I948-8)="","",INDEX('Fleet dates'!$F$9:$F$1008,$I948-8)))</x:f>
      </x:c>
      <x:c r="G948" s="50" t="str">
        <x:f>IF(940&gt;$H$4,"",IF(INDEX('Fleet dates'!$G$9:$G$1008,$I948-8)="","",INDEX('Fleet dates'!$G$9:$G$1008,$I948-8)))</x:f>
      </x:c>
      <x:c r="H948" s="50" t="str">
        <x:f>IF(940&gt;$H$4,"",IF(INDEX('Fleet dates'!$I$9:$I$1008,$I948-8)="","",INDEX('Fleet dates'!$I$9:$I$1008,$I948-8)))</x:f>
      </x:c>
      <x:c r="I948" t="str">
        <x:f>IF(940&gt;$H$4,"",MATCH(940,'Fleet dates'!$K$9:$K$1008,0)+8)</x:f>
      </x:c>
    </x:row>
    <x:row r="949" ht="36" customHeight="1">
      <x:c r="A949" s="50" t="str">
        <x:f>IF(941&gt;$H$4,"",IF(INDEX('Fleet dates'!$A$9:$A$1008,$I949-8)="","",INDEX('Fleet dates'!$A$9:$A$1008,$I949-8)))</x:f>
      </x:c>
      <x:c r="B949" s="50" t="str">
        <x:f>IF(941&gt;$H$4,"",IF(INDEX('Fleet dates'!$B$9:$B$1008,$I949-8)="","",INDEX('Fleet dates'!$B$9:$B$1008,$I949-8)))</x:f>
      </x:c>
      <x:c r="C949" s="51" t="str">
        <x:f>IF(941&gt;$H$4,"",IF(INDEX('Fleet dates'!$C$9:$C$1008,$I949-8)="","",INDEX('Fleet dates'!$C$9:$C$1008,$I949-8)))</x:f>
      </x:c>
      <x:c r="D949" s="51" t="str">
        <x:f>IF(941&gt;$H$4,"",IF(INDEX('Fleet dates'!$D$9:$D$1008,$I949-8)="","",INDEX('Fleet dates'!$D$9:$D$1008,$I949-8)))</x:f>
      </x:c>
      <x:c r="E949" s="51" t="str">
        <x:f>IF(941&gt;$H$4,"",IF(INDEX('Fleet dates'!$E$9:$E$1008,$I949-8)="","",INDEX('Fleet dates'!$E$9:$E$1008,$I949-8)))</x:f>
      </x:c>
      <x:c r="F949" s="51" t="str">
        <x:f>IF(941&gt;$H$4,"",IF(INDEX('Fleet dates'!$F$9:$F$1008,$I949-8)="","",INDEX('Fleet dates'!$F$9:$F$1008,$I949-8)))</x:f>
      </x:c>
      <x:c r="G949" s="50" t="str">
        <x:f>IF(941&gt;$H$4,"",IF(INDEX('Fleet dates'!$G$9:$G$1008,$I949-8)="","",INDEX('Fleet dates'!$G$9:$G$1008,$I949-8)))</x:f>
      </x:c>
      <x:c r="H949" s="50" t="str">
        <x:f>IF(941&gt;$H$4,"",IF(INDEX('Fleet dates'!$I$9:$I$1008,$I949-8)="","",INDEX('Fleet dates'!$I$9:$I$1008,$I949-8)))</x:f>
      </x:c>
      <x:c r="I949" t="str">
        <x:f>IF(941&gt;$H$4,"",MATCH(941,'Fleet dates'!$K$9:$K$1008,0)+8)</x:f>
      </x:c>
    </x:row>
    <x:row r="950" ht="36" customHeight="1">
      <x:c r="A950" s="50" t="str">
        <x:f>IF(942&gt;$H$4,"",IF(INDEX('Fleet dates'!$A$9:$A$1008,$I950-8)="","",INDEX('Fleet dates'!$A$9:$A$1008,$I950-8)))</x:f>
      </x:c>
      <x:c r="B950" s="50" t="str">
        <x:f>IF(942&gt;$H$4,"",IF(INDEX('Fleet dates'!$B$9:$B$1008,$I950-8)="","",INDEX('Fleet dates'!$B$9:$B$1008,$I950-8)))</x:f>
      </x:c>
      <x:c r="C950" s="51" t="str">
        <x:f>IF(942&gt;$H$4,"",IF(INDEX('Fleet dates'!$C$9:$C$1008,$I950-8)="","",INDEX('Fleet dates'!$C$9:$C$1008,$I950-8)))</x:f>
      </x:c>
      <x:c r="D950" s="51" t="str">
        <x:f>IF(942&gt;$H$4,"",IF(INDEX('Fleet dates'!$D$9:$D$1008,$I950-8)="","",INDEX('Fleet dates'!$D$9:$D$1008,$I950-8)))</x:f>
      </x:c>
      <x:c r="E950" s="51" t="str">
        <x:f>IF(942&gt;$H$4,"",IF(INDEX('Fleet dates'!$E$9:$E$1008,$I950-8)="","",INDEX('Fleet dates'!$E$9:$E$1008,$I950-8)))</x:f>
      </x:c>
      <x:c r="F950" s="51" t="str">
        <x:f>IF(942&gt;$H$4,"",IF(INDEX('Fleet dates'!$F$9:$F$1008,$I950-8)="","",INDEX('Fleet dates'!$F$9:$F$1008,$I950-8)))</x:f>
      </x:c>
      <x:c r="G950" s="50" t="str">
        <x:f>IF(942&gt;$H$4,"",IF(INDEX('Fleet dates'!$G$9:$G$1008,$I950-8)="","",INDEX('Fleet dates'!$G$9:$G$1008,$I950-8)))</x:f>
      </x:c>
      <x:c r="H950" s="50" t="str">
        <x:f>IF(942&gt;$H$4,"",IF(INDEX('Fleet dates'!$I$9:$I$1008,$I950-8)="","",INDEX('Fleet dates'!$I$9:$I$1008,$I950-8)))</x:f>
      </x:c>
      <x:c r="I950" t="str">
        <x:f>IF(942&gt;$H$4,"",MATCH(942,'Fleet dates'!$K$9:$K$1008,0)+8)</x:f>
      </x:c>
    </x:row>
    <x:row r="951" ht="36" customHeight="1">
      <x:c r="A951" s="50" t="str">
        <x:f>IF(943&gt;$H$4,"",IF(INDEX('Fleet dates'!$A$9:$A$1008,$I951-8)="","",INDEX('Fleet dates'!$A$9:$A$1008,$I951-8)))</x:f>
      </x:c>
      <x:c r="B951" s="50" t="str">
        <x:f>IF(943&gt;$H$4,"",IF(INDEX('Fleet dates'!$B$9:$B$1008,$I951-8)="","",INDEX('Fleet dates'!$B$9:$B$1008,$I951-8)))</x:f>
      </x:c>
      <x:c r="C951" s="51" t="str">
        <x:f>IF(943&gt;$H$4,"",IF(INDEX('Fleet dates'!$C$9:$C$1008,$I951-8)="","",INDEX('Fleet dates'!$C$9:$C$1008,$I951-8)))</x:f>
      </x:c>
      <x:c r="D951" s="51" t="str">
        <x:f>IF(943&gt;$H$4,"",IF(INDEX('Fleet dates'!$D$9:$D$1008,$I951-8)="","",INDEX('Fleet dates'!$D$9:$D$1008,$I951-8)))</x:f>
      </x:c>
      <x:c r="E951" s="51" t="str">
        <x:f>IF(943&gt;$H$4,"",IF(INDEX('Fleet dates'!$E$9:$E$1008,$I951-8)="","",INDEX('Fleet dates'!$E$9:$E$1008,$I951-8)))</x:f>
      </x:c>
      <x:c r="F951" s="51" t="str">
        <x:f>IF(943&gt;$H$4,"",IF(INDEX('Fleet dates'!$F$9:$F$1008,$I951-8)="","",INDEX('Fleet dates'!$F$9:$F$1008,$I951-8)))</x:f>
      </x:c>
      <x:c r="G951" s="50" t="str">
        <x:f>IF(943&gt;$H$4,"",IF(INDEX('Fleet dates'!$G$9:$G$1008,$I951-8)="","",INDEX('Fleet dates'!$G$9:$G$1008,$I951-8)))</x:f>
      </x:c>
      <x:c r="H951" s="50" t="str">
        <x:f>IF(943&gt;$H$4,"",IF(INDEX('Fleet dates'!$I$9:$I$1008,$I951-8)="","",INDEX('Fleet dates'!$I$9:$I$1008,$I951-8)))</x:f>
      </x:c>
      <x:c r="I951" t="str">
        <x:f>IF(943&gt;$H$4,"",MATCH(943,'Fleet dates'!$K$9:$K$1008,0)+8)</x:f>
      </x:c>
    </x:row>
    <x:row r="952" ht="36" customHeight="1">
      <x:c r="A952" s="50" t="str">
        <x:f>IF(944&gt;$H$4,"",IF(INDEX('Fleet dates'!$A$9:$A$1008,$I952-8)="","",INDEX('Fleet dates'!$A$9:$A$1008,$I952-8)))</x:f>
      </x:c>
      <x:c r="B952" s="50" t="str">
        <x:f>IF(944&gt;$H$4,"",IF(INDEX('Fleet dates'!$B$9:$B$1008,$I952-8)="","",INDEX('Fleet dates'!$B$9:$B$1008,$I952-8)))</x:f>
      </x:c>
      <x:c r="C952" s="51" t="str">
        <x:f>IF(944&gt;$H$4,"",IF(INDEX('Fleet dates'!$C$9:$C$1008,$I952-8)="","",INDEX('Fleet dates'!$C$9:$C$1008,$I952-8)))</x:f>
      </x:c>
      <x:c r="D952" s="51" t="str">
        <x:f>IF(944&gt;$H$4,"",IF(INDEX('Fleet dates'!$D$9:$D$1008,$I952-8)="","",INDEX('Fleet dates'!$D$9:$D$1008,$I952-8)))</x:f>
      </x:c>
      <x:c r="E952" s="51" t="str">
        <x:f>IF(944&gt;$H$4,"",IF(INDEX('Fleet dates'!$E$9:$E$1008,$I952-8)="","",INDEX('Fleet dates'!$E$9:$E$1008,$I952-8)))</x:f>
      </x:c>
      <x:c r="F952" s="51" t="str">
        <x:f>IF(944&gt;$H$4,"",IF(INDEX('Fleet dates'!$F$9:$F$1008,$I952-8)="","",INDEX('Fleet dates'!$F$9:$F$1008,$I952-8)))</x:f>
      </x:c>
      <x:c r="G952" s="50" t="str">
        <x:f>IF(944&gt;$H$4,"",IF(INDEX('Fleet dates'!$G$9:$G$1008,$I952-8)="","",INDEX('Fleet dates'!$G$9:$G$1008,$I952-8)))</x:f>
      </x:c>
      <x:c r="H952" s="50" t="str">
        <x:f>IF(944&gt;$H$4,"",IF(INDEX('Fleet dates'!$I$9:$I$1008,$I952-8)="","",INDEX('Fleet dates'!$I$9:$I$1008,$I952-8)))</x:f>
      </x:c>
      <x:c r="I952" t="str">
        <x:f>IF(944&gt;$H$4,"",MATCH(944,'Fleet dates'!$K$9:$K$1008,0)+8)</x:f>
      </x:c>
    </x:row>
    <x:row r="953" ht="36" customHeight="1">
      <x:c r="A953" s="50" t="str">
        <x:f>IF(945&gt;$H$4,"",IF(INDEX('Fleet dates'!$A$9:$A$1008,$I953-8)="","",INDEX('Fleet dates'!$A$9:$A$1008,$I953-8)))</x:f>
      </x:c>
      <x:c r="B953" s="50" t="str">
        <x:f>IF(945&gt;$H$4,"",IF(INDEX('Fleet dates'!$B$9:$B$1008,$I953-8)="","",INDEX('Fleet dates'!$B$9:$B$1008,$I953-8)))</x:f>
      </x:c>
      <x:c r="C953" s="51" t="str">
        <x:f>IF(945&gt;$H$4,"",IF(INDEX('Fleet dates'!$C$9:$C$1008,$I953-8)="","",INDEX('Fleet dates'!$C$9:$C$1008,$I953-8)))</x:f>
      </x:c>
      <x:c r="D953" s="51" t="str">
        <x:f>IF(945&gt;$H$4,"",IF(INDEX('Fleet dates'!$D$9:$D$1008,$I953-8)="","",INDEX('Fleet dates'!$D$9:$D$1008,$I953-8)))</x:f>
      </x:c>
      <x:c r="E953" s="51" t="str">
        <x:f>IF(945&gt;$H$4,"",IF(INDEX('Fleet dates'!$E$9:$E$1008,$I953-8)="","",INDEX('Fleet dates'!$E$9:$E$1008,$I953-8)))</x:f>
      </x:c>
      <x:c r="F953" s="51" t="str">
        <x:f>IF(945&gt;$H$4,"",IF(INDEX('Fleet dates'!$F$9:$F$1008,$I953-8)="","",INDEX('Fleet dates'!$F$9:$F$1008,$I953-8)))</x:f>
      </x:c>
      <x:c r="G953" s="50" t="str">
        <x:f>IF(945&gt;$H$4,"",IF(INDEX('Fleet dates'!$G$9:$G$1008,$I953-8)="","",INDEX('Fleet dates'!$G$9:$G$1008,$I953-8)))</x:f>
      </x:c>
      <x:c r="H953" s="50" t="str">
        <x:f>IF(945&gt;$H$4,"",IF(INDEX('Fleet dates'!$I$9:$I$1008,$I953-8)="","",INDEX('Fleet dates'!$I$9:$I$1008,$I953-8)))</x:f>
      </x:c>
      <x:c r="I953" t="str">
        <x:f>IF(945&gt;$H$4,"",MATCH(945,'Fleet dates'!$K$9:$K$1008,0)+8)</x:f>
      </x:c>
    </x:row>
    <x:row r="954" ht="36" customHeight="1">
      <x:c r="A954" s="50" t="str">
        <x:f>IF(946&gt;$H$4,"",IF(INDEX('Fleet dates'!$A$9:$A$1008,$I954-8)="","",INDEX('Fleet dates'!$A$9:$A$1008,$I954-8)))</x:f>
      </x:c>
      <x:c r="B954" s="50" t="str">
        <x:f>IF(946&gt;$H$4,"",IF(INDEX('Fleet dates'!$B$9:$B$1008,$I954-8)="","",INDEX('Fleet dates'!$B$9:$B$1008,$I954-8)))</x:f>
      </x:c>
      <x:c r="C954" s="51" t="str">
        <x:f>IF(946&gt;$H$4,"",IF(INDEX('Fleet dates'!$C$9:$C$1008,$I954-8)="","",INDEX('Fleet dates'!$C$9:$C$1008,$I954-8)))</x:f>
      </x:c>
      <x:c r="D954" s="51" t="str">
        <x:f>IF(946&gt;$H$4,"",IF(INDEX('Fleet dates'!$D$9:$D$1008,$I954-8)="","",INDEX('Fleet dates'!$D$9:$D$1008,$I954-8)))</x:f>
      </x:c>
      <x:c r="E954" s="51" t="str">
        <x:f>IF(946&gt;$H$4,"",IF(INDEX('Fleet dates'!$E$9:$E$1008,$I954-8)="","",INDEX('Fleet dates'!$E$9:$E$1008,$I954-8)))</x:f>
      </x:c>
      <x:c r="F954" s="51" t="str">
        <x:f>IF(946&gt;$H$4,"",IF(INDEX('Fleet dates'!$F$9:$F$1008,$I954-8)="","",INDEX('Fleet dates'!$F$9:$F$1008,$I954-8)))</x:f>
      </x:c>
      <x:c r="G954" s="50" t="str">
        <x:f>IF(946&gt;$H$4,"",IF(INDEX('Fleet dates'!$G$9:$G$1008,$I954-8)="","",INDEX('Fleet dates'!$G$9:$G$1008,$I954-8)))</x:f>
      </x:c>
      <x:c r="H954" s="50" t="str">
        <x:f>IF(946&gt;$H$4,"",IF(INDEX('Fleet dates'!$I$9:$I$1008,$I954-8)="","",INDEX('Fleet dates'!$I$9:$I$1008,$I954-8)))</x:f>
      </x:c>
      <x:c r="I954" t="str">
        <x:f>IF(946&gt;$H$4,"",MATCH(946,'Fleet dates'!$K$9:$K$1008,0)+8)</x:f>
      </x:c>
    </x:row>
    <x:row r="955" ht="36" customHeight="1">
      <x:c r="A955" s="50" t="str">
        <x:f>IF(947&gt;$H$4,"",IF(INDEX('Fleet dates'!$A$9:$A$1008,$I955-8)="","",INDEX('Fleet dates'!$A$9:$A$1008,$I955-8)))</x:f>
      </x:c>
      <x:c r="B955" s="50" t="str">
        <x:f>IF(947&gt;$H$4,"",IF(INDEX('Fleet dates'!$B$9:$B$1008,$I955-8)="","",INDEX('Fleet dates'!$B$9:$B$1008,$I955-8)))</x:f>
      </x:c>
      <x:c r="C955" s="51" t="str">
        <x:f>IF(947&gt;$H$4,"",IF(INDEX('Fleet dates'!$C$9:$C$1008,$I955-8)="","",INDEX('Fleet dates'!$C$9:$C$1008,$I955-8)))</x:f>
      </x:c>
      <x:c r="D955" s="51" t="str">
        <x:f>IF(947&gt;$H$4,"",IF(INDEX('Fleet dates'!$D$9:$D$1008,$I955-8)="","",INDEX('Fleet dates'!$D$9:$D$1008,$I955-8)))</x:f>
      </x:c>
      <x:c r="E955" s="51" t="str">
        <x:f>IF(947&gt;$H$4,"",IF(INDEX('Fleet dates'!$E$9:$E$1008,$I955-8)="","",INDEX('Fleet dates'!$E$9:$E$1008,$I955-8)))</x:f>
      </x:c>
      <x:c r="F955" s="51" t="str">
        <x:f>IF(947&gt;$H$4,"",IF(INDEX('Fleet dates'!$F$9:$F$1008,$I955-8)="","",INDEX('Fleet dates'!$F$9:$F$1008,$I955-8)))</x:f>
      </x:c>
      <x:c r="G955" s="50" t="str">
        <x:f>IF(947&gt;$H$4,"",IF(INDEX('Fleet dates'!$G$9:$G$1008,$I955-8)="","",INDEX('Fleet dates'!$G$9:$G$1008,$I955-8)))</x:f>
      </x:c>
      <x:c r="H955" s="50" t="str">
        <x:f>IF(947&gt;$H$4,"",IF(INDEX('Fleet dates'!$I$9:$I$1008,$I955-8)="","",INDEX('Fleet dates'!$I$9:$I$1008,$I955-8)))</x:f>
      </x:c>
      <x:c r="I955" t="str">
        <x:f>IF(947&gt;$H$4,"",MATCH(947,'Fleet dates'!$K$9:$K$1008,0)+8)</x:f>
      </x:c>
    </x:row>
    <x:row r="956" ht="36" customHeight="1">
      <x:c r="A956" s="50" t="str">
        <x:f>IF(948&gt;$H$4,"",IF(INDEX('Fleet dates'!$A$9:$A$1008,$I956-8)="","",INDEX('Fleet dates'!$A$9:$A$1008,$I956-8)))</x:f>
      </x:c>
      <x:c r="B956" s="50" t="str">
        <x:f>IF(948&gt;$H$4,"",IF(INDEX('Fleet dates'!$B$9:$B$1008,$I956-8)="","",INDEX('Fleet dates'!$B$9:$B$1008,$I956-8)))</x:f>
      </x:c>
      <x:c r="C956" s="51" t="str">
        <x:f>IF(948&gt;$H$4,"",IF(INDEX('Fleet dates'!$C$9:$C$1008,$I956-8)="","",INDEX('Fleet dates'!$C$9:$C$1008,$I956-8)))</x:f>
      </x:c>
      <x:c r="D956" s="51" t="str">
        <x:f>IF(948&gt;$H$4,"",IF(INDEX('Fleet dates'!$D$9:$D$1008,$I956-8)="","",INDEX('Fleet dates'!$D$9:$D$1008,$I956-8)))</x:f>
      </x:c>
      <x:c r="E956" s="51" t="str">
        <x:f>IF(948&gt;$H$4,"",IF(INDEX('Fleet dates'!$E$9:$E$1008,$I956-8)="","",INDEX('Fleet dates'!$E$9:$E$1008,$I956-8)))</x:f>
      </x:c>
      <x:c r="F956" s="51" t="str">
        <x:f>IF(948&gt;$H$4,"",IF(INDEX('Fleet dates'!$F$9:$F$1008,$I956-8)="","",INDEX('Fleet dates'!$F$9:$F$1008,$I956-8)))</x:f>
      </x:c>
      <x:c r="G956" s="50" t="str">
        <x:f>IF(948&gt;$H$4,"",IF(INDEX('Fleet dates'!$G$9:$G$1008,$I956-8)="","",INDEX('Fleet dates'!$G$9:$G$1008,$I956-8)))</x:f>
      </x:c>
      <x:c r="H956" s="50" t="str">
        <x:f>IF(948&gt;$H$4,"",IF(INDEX('Fleet dates'!$I$9:$I$1008,$I956-8)="","",INDEX('Fleet dates'!$I$9:$I$1008,$I956-8)))</x:f>
      </x:c>
      <x:c r="I956" t="str">
        <x:f>IF(948&gt;$H$4,"",MATCH(948,'Fleet dates'!$K$9:$K$1008,0)+8)</x:f>
      </x:c>
    </x:row>
    <x:row r="957" ht="36" customHeight="1">
      <x:c r="A957" s="50" t="str">
        <x:f>IF(949&gt;$H$4,"",IF(INDEX('Fleet dates'!$A$9:$A$1008,$I957-8)="","",INDEX('Fleet dates'!$A$9:$A$1008,$I957-8)))</x:f>
      </x:c>
      <x:c r="B957" s="50" t="str">
        <x:f>IF(949&gt;$H$4,"",IF(INDEX('Fleet dates'!$B$9:$B$1008,$I957-8)="","",INDEX('Fleet dates'!$B$9:$B$1008,$I957-8)))</x:f>
      </x:c>
      <x:c r="C957" s="51" t="str">
        <x:f>IF(949&gt;$H$4,"",IF(INDEX('Fleet dates'!$C$9:$C$1008,$I957-8)="","",INDEX('Fleet dates'!$C$9:$C$1008,$I957-8)))</x:f>
      </x:c>
      <x:c r="D957" s="51" t="str">
        <x:f>IF(949&gt;$H$4,"",IF(INDEX('Fleet dates'!$D$9:$D$1008,$I957-8)="","",INDEX('Fleet dates'!$D$9:$D$1008,$I957-8)))</x:f>
      </x:c>
      <x:c r="E957" s="51" t="str">
        <x:f>IF(949&gt;$H$4,"",IF(INDEX('Fleet dates'!$E$9:$E$1008,$I957-8)="","",INDEX('Fleet dates'!$E$9:$E$1008,$I957-8)))</x:f>
      </x:c>
      <x:c r="F957" s="51" t="str">
        <x:f>IF(949&gt;$H$4,"",IF(INDEX('Fleet dates'!$F$9:$F$1008,$I957-8)="","",INDEX('Fleet dates'!$F$9:$F$1008,$I957-8)))</x:f>
      </x:c>
      <x:c r="G957" s="50" t="str">
        <x:f>IF(949&gt;$H$4,"",IF(INDEX('Fleet dates'!$G$9:$G$1008,$I957-8)="","",INDEX('Fleet dates'!$G$9:$G$1008,$I957-8)))</x:f>
      </x:c>
      <x:c r="H957" s="50" t="str">
        <x:f>IF(949&gt;$H$4,"",IF(INDEX('Fleet dates'!$I$9:$I$1008,$I957-8)="","",INDEX('Fleet dates'!$I$9:$I$1008,$I957-8)))</x:f>
      </x:c>
      <x:c r="I957" t="str">
        <x:f>IF(949&gt;$H$4,"",MATCH(949,'Fleet dates'!$K$9:$K$1008,0)+8)</x:f>
      </x:c>
    </x:row>
    <x:row r="958" ht="36" customHeight="1">
      <x:c r="A958" s="50" t="str">
        <x:f>IF(950&gt;$H$4,"",IF(INDEX('Fleet dates'!$A$9:$A$1008,$I958-8)="","",INDEX('Fleet dates'!$A$9:$A$1008,$I958-8)))</x:f>
      </x:c>
      <x:c r="B958" s="50" t="str">
        <x:f>IF(950&gt;$H$4,"",IF(INDEX('Fleet dates'!$B$9:$B$1008,$I958-8)="","",INDEX('Fleet dates'!$B$9:$B$1008,$I958-8)))</x:f>
      </x:c>
      <x:c r="C958" s="51" t="str">
        <x:f>IF(950&gt;$H$4,"",IF(INDEX('Fleet dates'!$C$9:$C$1008,$I958-8)="","",INDEX('Fleet dates'!$C$9:$C$1008,$I958-8)))</x:f>
      </x:c>
      <x:c r="D958" s="51" t="str">
        <x:f>IF(950&gt;$H$4,"",IF(INDEX('Fleet dates'!$D$9:$D$1008,$I958-8)="","",INDEX('Fleet dates'!$D$9:$D$1008,$I958-8)))</x:f>
      </x:c>
      <x:c r="E958" s="51" t="str">
        <x:f>IF(950&gt;$H$4,"",IF(INDEX('Fleet dates'!$E$9:$E$1008,$I958-8)="","",INDEX('Fleet dates'!$E$9:$E$1008,$I958-8)))</x:f>
      </x:c>
      <x:c r="F958" s="51" t="str">
        <x:f>IF(950&gt;$H$4,"",IF(INDEX('Fleet dates'!$F$9:$F$1008,$I958-8)="","",INDEX('Fleet dates'!$F$9:$F$1008,$I958-8)))</x:f>
      </x:c>
      <x:c r="G958" s="50" t="str">
        <x:f>IF(950&gt;$H$4,"",IF(INDEX('Fleet dates'!$G$9:$G$1008,$I958-8)="","",INDEX('Fleet dates'!$G$9:$G$1008,$I958-8)))</x:f>
      </x:c>
      <x:c r="H958" s="50" t="str">
        <x:f>IF(950&gt;$H$4,"",IF(INDEX('Fleet dates'!$I$9:$I$1008,$I958-8)="","",INDEX('Fleet dates'!$I$9:$I$1008,$I958-8)))</x:f>
      </x:c>
      <x:c r="I958" t="str">
        <x:f>IF(950&gt;$H$4,"",MATCH(950,'Fleet dates'!$K$9:$K$1008,0)+8)</x:f>
      </x:c>
    </x:row>
    <x:row r="959" ht="36" customHeight="1">
      <x:c r="A959" s="50" t="str">
        <x:f>IF(951&gt;$H$4,"",IF(INDEX('Fleet dates'!$A$9:$A$1008,$I959-8)="","",INDEX('Fleet dates'!$A$9:$A$1008,$I959-8)))</x:f>
      </x:c>
      <x:c r="B959" s="50" t="str">
        <x:f>IF(951&gt;$H$4,"",IF(INDEX('Fleet dates'!$B$9:$B$1008,$I959-8)="","",INDEX('Fleet dates'!$B$9:$B$1008,$I959-8)))</x:f>
      </x:c>
      <x:c r="C959" s="51" t="str">
        <x:f>IF(951&gt;$H$4,"",IF(INDEX('Fleet dates'!$C$9:$C$1008,$I959-8)="","",INDEX('Fleet dates'!$C$9:$C$1008,$I959-8)))</x:f>
      </x:c>
      <x:c r="D959" s="51" t="str">
        <x:f>IF(951&gt;$H$4,"",IF(INDEX('Fleet dates'!$D$9:$D$1008,$I959-8)="","",INDEX('Fleet dates'!$D$9:$D$1008,$I959-8)))</x:f>
      </x:c>
      <x:c r="E959" s="51" t="str">
        <x:f>IF(951&gt;$H$4,"",IF(INDEX('Fleet dates'!$E$9:$E$1008,$I959-8)="","",INDEX('Fleet dates'!$E$9:$E$1008,$I959-8)))</x:f>
      </x:c>
      <x:c r="F959" s="51" t="str">
        <x:f>IF(951&gt;$H$4,"",IF(INDEX('Fleet dates'!$F$9:$F$1008,$I959-8)="","",INDEX('Fleet dates'!$F$9:$F$1008,$I959-8)))</x:f>
      </x:c>
      <x:c r="G959" s="50" t="str">
        <x:f>IF(951&gt;$H$4,"",IF(INDEX('Fleet dates'!$G$9:$G$1008,$I959-8)="","",INDEX('Fleet dates'!$G$9:$G$1008,$I959-8)))</x:f>
      </x:c>
      <x:c r="H959" s="50" t="str">
        <x:f>IF(951&gt;$H$4,"",IF(INDEX('Fleet dates'!$I$9:$I$1008,$I959-8)="","",INDEX('Fleet dates'!$I$9:$I$1008,$I959-8)))</x:f>
      </x:c>
      <x:c r="I959" t="str">
        <x:f>IF(951&gt;$H$4,"",MATCH(951,'Fleet dates'!$K$9:$K$1008,0)+8)</x:f>
      </x:c>
    </x:row>
    <x:row r="960" ht="36" customHeight="1">
      <x:c r="A960" s="50" t="str">
        <x:f>IF(952&gt;$H$4,"",IF(INDEX('Fleet dates'!$A$9:$A$1008,$I960-8)="","",INDEX('Fleet dates'!$A$9:$A$1008,$I960-8)))</x:f>
      </x:c>
      <x:c r="B960" s="50" t="str">
        <x:f>IF(952&gt;$H$4,"",IF(INDEX('Fleet dates'!$B$9:$B$1008,$I960-8)="","",INDEX('Fleet dates'!$B$9:$B$1008,$I960-8)))</x:f>
      </x:c>
      <x:c r="C960" s="51" t="str">
        <x:f>IF(952&gt;$H$4,"",IF(INDEX('Fleet dates'!$C$9:$C$1008,$I960-8)="","",INDEX('Fleet dates'!$C$9:$C$1008,$I960-8)))</x:f>
      </x:c>
      <x:c r="D960" s="51" t="str">
        <x:f>IF(952&gt;$H$4,"",IF(INDEX('Fleet dates'!$D$9:$D$1008,$I960-8)="","",INDEX('Fleet dates'!$D$9:$D$1008,$I960-8)))</x:f>
      </x:c>
      <x:c r="E960" s="51" t="str">
        <x:f>IF(952&gt;$H$4,"",IF(INDEX('Fleet dates'!$E$9:$E$1008,$I960-8)="","",INDEX('Fleet dates'!$E$9:$E$1008,$I960-8)))</x:f>
      </x:c>
      <x:c r="F960" s="51" t="str">
        <x:f>IF(952&gt;$H$4,"",IF(INDEX('Fleet dates'!$F$9:$F$1008,$I960-8)="","",INDEX('Fleet dates'!$F$9:$F$1008,$I960-8)))</x:f>
      </x:c>
      <x:c r="G960" s="50" t="str">
        <x:f>IF(952&gt;$H$4,"",IF(INDEX('Fleet dates'!$G$9:$G$1008,$I960-8)="","",INDEX('Fleet dates'!$G$9:$G$1008,$I960-8)))</x:f>
      </x:c>
      <x:c r="H960" s="50" t="str">
        <x:f>IF(952&gt;$H$4,"",IF(INDEX('Fleet dates'!$I$9:$I$1008,$I960-8)="","",INDEX('Fleet dates'!$I$9:$I$1008,$I960-8)))</x:f>
      </x:c>
      <x:c r="I960" t="str">
        <x:f>IF(952&gt;$H$4,"",MATCH(952,'Fleet dates'!$K$9:$K$1008,0)+8)</x:f>
      </x:c>
    </x:row>
    <x:row r="961" ht="36" customHeight="1">
      <x:c r="A961" s="50" t="str">
        <x:f>IF(953&gt;$H$4,"",IF(INDEX('Fleet dates'!$A$9:$A$1008,$I961-8)="","",INDEX('Fleet dates'!$A$9:$A$1008,$I961-8)))</x:f>
      </x:c>
      <x:c r="B961" s="50" t="str">
        <x:f>IF(953&gt;$H$4,"",IF(INDEX('Fleet dates'!$B$9:$B$1008,$I961-8)="","",INDEX('Fleet dates'!$B$9:$B$1008,$I961-8)))</x:f>
      </x:c>
      <x:c r="C961" s="51" t="str">
        <x:f>IF(953&gt;$H$4,"",IF(INDEX('Fleet dates'!$C$9:$C$1008,$I961-8)="","",INDEX('Fleet dates'!$C$9:$C$1008,$I961-8)))</x:f>
      </x:c>
      <x:c r="D961" s="51" t="str">
        <x:f>IF(953&gt;$H$4,"",IF(INDEX('Fleet dates'!$D$9:$D$1008,$I961-8)="","",INDEX('Fleet dates'!$D$9:$D$1008,$I961-8)))</x:f>
      </x:c>
      <x:c r="E961" s="51" t="str">
        <x:f>IF(953&gt;$H$4,"",IF(INDEX('Fleet dates'!$E$9:$E$1008,$I961-8)="","",INDEX('Fleet dates'!$E$9:$E$1008,$I961-8)))</x:f>
      </x:c>
      <x:c r="F961" s="51" t="str">
        <x:f>IF(953&gt;$H$4,"",IF(INDEX('Fleet dates'!$F$9:$F$1008,$I961-8)="","",INDEX('Fleet dates'!$F$9:$F$1008,$I961-8)))</x:f>
      </x:c>
      <x:c r="G961" s="50" t="str">
        <x:f>IF(953&gt;$H$4,"",IF(INDEX('Fleet dates'!$G$9:$G$1008,$I961-8)="","",INDEX('Fleet dates'!$G$9:$G$1008,$I961-8)))</x:f>
      </x:c>
      <x:c r="H961" s="50" t="str">
        <x:f>IF(953&gt;$H$4,"",IF(INDEX('Fleet dates'!$I$9:$I$1008,$I961-8)="","",INDEX('Fleet dates'!$I$9:$I$1008,$I961-8)))</x:f>
      </x:c>
      <x:c r="I961" t="str">
        <x:f>IF(953&gt;$H$4,"",MATCH(953,'Fleet dates'!$K$9:$K$1008,0)+8)</x:f>
      </x:c>
    </x:row>
    <x:row r="962" ht="36" customHeight="1">
      <x:c r="A962" s="50" t="str">
        <x:f>IF(954&gt;$H$4,"",IF(INDEX('Fleet dates'!$A$9:$A$1008,$I962-8)="","",INDEX('Fleet dates'!$A$9:$A$1008,$I962-8)))</x:f>
      </x:c>
      <x:c r="B962" s="50" t="str">
        <x:f>IF(954&gt;$H$4,"",IF(INDEX('Fleet dates'!$B$9:$B$1008,$I962-8)="","",INDEX('Fleet dates'!$B$9:$B$1008,$I962-8)))</x:f>
      </x:c>
      <x:c r="C962" s="51" t="str">
        <x:f>IF(954&gt;$H$4,"",IF(INDEX('Fleet dates'!$C$9:$C$1008,$I962-8)="","",INDEX('Fleet dates'!$C$9:$C$1008,$I962-8)))</x:f>
      </x:c>
      <x:c r="D962" s="51" t="str">
        <x:f>IF(954&gt;$H$4,"",IF(INDEX('Fleet dates'!$D$9:$D$1008,$I962-8)="","",INDEX('Fleet dates'!$D$9:$D$1008,$I962-8)))</x:f>
      </x:c>
      <x:c r="E962" s="51" t="str">
        <x:f>IF(954&gt;$H$4,"",IF(INDEX('Fleet dates'!$E$9:$E$1008,$I962-8)="","",INDEX('Fleet dates'!$E$9:$E$1008,$I962-8)))</x:f>
      </x:c>
      <x:c r="F962" s="51" t="str">
        <x:f>IF(954&gt;$H$4,"",IF(INDEX('Fleet dates'!$F$9:$F$1008,$I962-8)="","",INDEX('Fleet dates'!$F$9:$F$1008,$I962-8)))</x:f>
      </x:c>
      <x:c r="G962" s="50" t="str">
        <x:f>IF(954&gt;$H$4,"",IF(INDEX('Fleet dates'!$G$9:$G$1008,$I962-8)="","",INDEX('Fleet dates'!$G$9:$G$1008,$I962-8)))</x:f>
      </x:c>
      <x:c r="H962" s="50" t="str">
        <x:f>IF(954&gt;$H$4,"",IF(INDEX('Fleet dates'!$I$9:$I$1008,$I962-8)="","",INDEX('Fleet dates'!$I$9:$I$1008,$I962-8)))</x:f>
      </x:c>
      <x:c r="I962" t="str">
        <x:f>IF(954&gt;$H$4,"",MATCH(954,'Fleet dates'!$K$9:$K$1008,0)+8)</x:f>
      </x:c>
    </x:row>
    <x:row r="963" ht="36" customHeight="1">
      <x:c r="A963" s="50" t="str">
        <x:f>IF(955&gt;$H$4,"",IF(INDEX('Fleet dates'!$A$9:$A$1008,$I963-8)="","",INDEX('Fleet dates'!$A$9:$A$1008,$I963-8)))</x:f>
      </x:c>
      <x:c r="B963" s="50" t="str">
        <x:f>IF(955&gt;$H$4,"",IF(INDEX('Fleet dates'!$B$9:$B$1008,$I963-8)="","",INDEX('Fleet dates'!$B$9:$B$1008,$I963-8)))</x:f>
      </x:c>
      <x:c r="C963" s="51" t="str">
        <x:f>IF(955&gt;$H$4,"",IF(INDEX('Fleet dates'!$C$9:$C$1008,$I963-8)="","",INDEX('Fleet dates'!$C$9:$C$1008,$I963-8)))</x:f>
      </x:c>
      <x:c r="D963" s="51" t="str">
        <x:f>IF(955&gt;$H$4,"",IF(INDEX('Fleet dates'!$D$9:$D$1008,$I963-8)="","",INDEX('Fleet dates'!$D$9:$D$1008,$I963-8)))</x:f>
      </x:c>
      <x:c r="E963" s="51" t="str">
        <x:f>IF(955&gt;$H$4,"",IF(INDEX('Fleet dates'!$E$9:$E$1008,$I963-8)="","",INDEX('Fleet dates'!$E$9:$E$1008,$I963-8)))</x:f>
      </x:c>
      <x:c r="F963" s="51" t="str">
        <x:f>IF(955&gt;$H$4,"",IF(INDEX('Fleet dates'!$F$9:$F$1008,$I963-8)="","",INDEX('Fleet dates'!$F$9:$F$1008,$I963-8)))</x:f>
      </x:c>
      <x:c r="G963" s="50" t="str">
        <x:f>IF(955&gt;$H$4,"",IF(INDEX('Fleet dates'!$G$9:$G$1008,$I963-8)="","",INDEX('Fleet dates'!$G$9:$G$1008,$I963-8)))</x:f>
      </x:c>
      <x:c r="H963" s="50" t="str">
        <x:f>IF(955&gt;$H$4,"",IF(INDEX('Fleet dates'!$I$9:$I$1008,$I963-8)="","",INDEX('Fleet dates'!$I$9:$I$1008,$I963-8)))</x:f>
      </x:c>
      <x:c r="I963" t="str">
        <x:f>IF(955&gt;$H$4,"",MATCH(955,'Fleet dates'!$K$9:$K$1008,0)+8)</x:f>
      </x:c>
    </x:row>
    <x:row r="964" ht="36" customHeight="1">
      <x:c r="A964" s="50" t="str">
        <x:f>IF(956&gt;$H$4,"",IF(INDEX('Fleet dates'!$A$9:$A$1008,$I964-8)="","",INDEX('Fleet dates'!$A$9:$A$1008,$I964-8)))</x:f>
      </x:c>
      <x:c r="B964" s="50" t="str">
        <x:f>IF(956&gt;$H$4,"",IF(INDEX('Fleet dates'!$B$9:$B$1008,$I964-8)="","",INDEX('Fleet dates'!$B$9:$B$1008,$I964-8)))</x:f>
      </x:c>
      <x:c r="C964" s="51" t="str">
        <x:f>IF(956&gt;$H$4,"",IF(INDEX('Fleet dates'!$C$9:$C$1008,$I964-8)="","",INDEX('Fleet dates'!$C$9:$C$1008,$I964-8)))</x:f>
      </x:c>
      <x:c r="D964" s="51" t="str">
        <x:f>IF(956&gt;$H$4,"",IF(INDEX('Fleet dates'!$D$9:$D$1008,$I964-8)="","",INDEX('Fleet dates'!$D$9:$D$1008,$I964-8)))</x:f>
      </x:c>
      <x:c r="E964" s="51" t="str">
        <x:f>IF(956&gt;$H$4,"",IF(INDEX('Fleet dates'!$E$9:$E$1008,$I964-8)="","",INDEX('Fleet dates'!$E$9:$E$1008,$I964-8)))</x:f>
      </x:c>
      <x:c r="F964" s="51" t="str">
        <x:f>IF(956&gt;$H$4,"",IF(INDEX('Fleet dates'!$F$9:$F$1008,$I964-8)="","",INDEX('Fleet dates'!$F$9:$F$1008,$I964-8)))</x:f>
      </x:c>
      <x:c r="G964" s="50" t="str">
        <x:f>IF(956&gt;$H$4,"",IF(INDEX('Fleet dates'!$G$9:$G$1008,$I964-8)="","",INDEX('Fleet dates'!$G$9:$G$1008,$I964-8)))</x:f>
      </x:c>
      <x:c r="H964" s="50" t="str">
        <x:f>IF(956&gt;$H$4,"",IF(INDEX('Fleet dates'!$I$9:$I$1008,$I964-8)="","",INDEX('Fleet dates'!$I$9:$I$1008,$I964-8)))</x:f>
      </x:c>
      <x:c r="I964" t="str">
        <x:f>IF(956&gt;$H$4,"",MATCH(956,'Fleet dates'!$K$9:$K$1008,0)+8)</x:f>
      </x:c>
    </x:row>
    <x:row r="965" ht="36" customHeight="1">
      <x:c r="A965" s="50" t="str">
        <x:f>IF(957&gt;$H$4,"",IF(INDEX('Fleet dates'!$A$9:$A$1008,$I965-8)="","",INDEX('Fleet dates'!$A$9:$A$1008,$I965-8)))</x:f>
      </x:c>
      <x:c r="B965" s="50" t="str">
        <x:f>IF(957&gt;$H$4,"",IF(INDEX('Fleet dates'!$B$9:$B$1008,$I965-8)="","",INDEX('Fleet dates'!$B$9:$B$1008,$I965-8)))</x:f>
      </x:c>
      <x:c r="C965" s="51" t="str">
        <x:f>IF(957&gt;$H$4,"",IF(INDEX('Fleet dates'!$C$9:$C$1008,$I965-8)="","",INDEX('Fleet dates'!$C$9:$C$1008,$I965-8)))</x:f>
      </x:c>
      <x:c r="D965" s="51" t="str">
        <x:f>IF(957&gt;$H$4,"",IF(INDEX('Fleet dates'!$D$9:$D$1008,$I965-8)="","",INDEX('Fleet dates'!$D$9:$D$1008,$I965-8)))</x:f>
      </x:c>
      <x:c r="E965" s="51" t="str">
        <x:f>IF(957&gt;$H$4,"",IF(INDEX('Fleet dates'!$E$9:$E$1008,$I965-8)="","",INDEX('Fleet dates'!$E$9:$E$1008,$I965-8)))</x:f>
      </x:c>
      <x:c r="F965" s="51" t="str">
        <x:f>IF(957&gt;$H$4,"",IF(INDEX('Fleet dates'!$F$9:$F$1008,$I965-8)="","",INDEX('Fleet dates'!$F$9:$F$1008,$I965-8)))</x:f>
      </x:c>
      <x:c r="G965" s="50" t="str">
        <x:f>IF(957&gt;$H$4,"",IF(INDEX('Fleet dates'!$G$9:$G$1008,$I965-8)="","",INDEX('Fleet dates'!$G$9:$G$1008,$I965-8)))</x:f>
      </x:c>
      <x:c r="H965" s="50" t="str">
        <x:f>IF(957&gt;$H$4,"",IF(INDEX('Fleet dates'!$I$9:$I$1008,$I965-8)="","",INDEX('Fleet dates'!$I$9:$I$1008,$I965-8)))</x:f>
      </x:c>
      <x:c r="I965" t="str">
        <x:f>IF(957&gt;$H$4,"",MATCH(957,'Fleet dates'!$K$9:$K$1008,0)+8)</x:f>
      </x:c>
    </x:row>
    <x:row r="966" ht="36" customHeight="1">
      <x:c r="A966" s="50" t="str">
        <x:f>IF(958&gt;$H$4,"",IF(INDEX('Fleet dates'!$A$9:$A$1008,$I966-8)="","",INDEX('Fleet dates'!$A$9:$A$1008,$I966-8)))</x:f>
      </x:c>
      <x:c r="B966" s="50" t="str">
        <x:f>IF(958&gt;$H$4,"",IF(INDEX('Fleet dates'!$B$9:$B$1008,$I966-8)="","",INDEX('Fleet dates'!$B$9:$B$1008,$I966-8)))</x:f>
      </x:c>
      <x:c r="C966" s="51" t="str">
        <x:f>IF(958&gt;$H$4,"",IF(INDEX('Fleet dates'!$C$9:$C$1008,$I966-8)="","",INDEX('Fleet dates'!$C$9:$C$1008,$I966-8)))</x:f>
      </x:c>
      <x:c r="D966" s="51" t="str">
        <x:f>IF(958&gt;$H$4,"",IF(INDEX('Fleet dates'!$D$9:$D$1008,$I966-8)="","",INDEX('Fleet dates'!$D$9:$D$1008,$I966-8)))</x:f>
      </x:c>
      <x:c r="E966" s="51" t="str">
        <x:f>IF(958&gt;$H$4,"",IF(INDEX('Fleet dates'!$E$9:$E$1008,$I966-8)="","",INDEX('Fleet dates'!$E$9:$E$1008,$I966-8)))</x:f>
      </x:c>
      <x:c r="F966" s="51" t="str">
        <x:f>IF(958&gt;$H$4,"",IF(INDEX('Fleet dates'!$F$9:$F$1008,$I966-8)="","",INDEX('Fleet dates'!$F$9:$F$1008,$I966-8)))</x:f>
      </x:c>
      <x:c r="G966" s="50" t="str">
        <x:f>IF(958&gt;$H$4,"",IF(INDEX('Fleet dates'!$G$9:$G$1008,$I966-8)="","",INDEX('Fleet dates'!$G$9:$G$1008,$I966-8)))</x:f>
      </x:c>
      <x:c r="H966" s="50" t="str">
        <x:f>IF(958&gt;$H$4,"",IF(INDEX('Fleet dates'!$I$9:$I$1008,$I966-8)="","",INDEX('Fleet dates'!$I$9:$I$1008,$I966-8)))</x:f>
      </x:c>
      <x:c r="I966" t="str">
        <x:f>IF(958&gt;$H$4,"",MATCH(958,'Fleet dates'!$K$9:$K$1008,0)+8)</x:f>
      </x:c>
    </x:row>
    <x:row r="967" ht="36" customHeight="1">
      <x:c r="A967" s="50" t="str">
        <x:f>IF(959&gt;$H$4,"",IF(INDEX('Fleet dates'!$A$9:$A$1008,$I967-8)="","",INDEX('Fleet dates'!$A$9:$A$1008,$I967-8)))</x:f>
      </x:c>
      <x:c r="B967" s="50" t="str">
        <x:f>IF(959&gt;$H$4,"",IF(INDEX('Fleet dates'!$B$9:$B$1008,$I967-8)="","",INDEX('Fleet dates'!$B$9:$B$1008,$I967-8)))</x:f>
      </x:c>
      <x:c r="C967" s="51" t="str">
        <x:f>IF(959&gt;$H$4,"",IF(INDEX('Fleet dates'!$C$9:$C$1008,$I967-8)="","",INDEX('Fleet dates'!$C$9:$C$1008,$I967-8)))</x:f>
      </x:c>
      <x:c r="D967" s="51" t="str">
        <x:f>IF(959&gt;$H$4,"",IF(INDEX('Fleet dates'!$D$9:$D$1008,$I967-8)="","",INDEX('Fleet dates'!$D$9:$D$1008,$I967-8)))</x:f>
      </x:c>
      <x:c r="E967" s="51" t="str">
        <x:f>IF(959&gt;$H$4,"",IF(INDEX('Fleet dates'!$E$9:$E$1008,$I967-8)="","",INDEX('Fleet dates'!$E$9:$E$1008,$I967-8)))</x:f>
      </x:c>
      <x:c r="F967" s="51" t="str">
        <x:f>IF(959&gt;$H$4,"",IF(INDEX('Fleet dates'!$F$9:$F$1008,$I967-8)="","",INDEX('Fleet dates'!$F$9:$F$1008,$I967-8)))</x:f>
      </x:c>
      <x:c r="G967" s="50" t="str">
        <x:f>IF(959&gt;$H$4,"",IF(INDEX('Fleet dates'!$G$9:$G$1008,$I967-8)="","",INDEX('Fleet dates'!$G$9:$G$1008,$I967-8)))</x:f>
      </x:c>
      <x:c r="H967" s="50" t="str">
        <x:f>IF(959&gt;$H$4,"",IF(INDEX('Fleet dates'!$I$9:$I$1008,$I967-8)="","",INDEX('Fleet dates'!$I$9:$I$1008,$I967-8)))</x:f>
      </x:c>
      <x:c r="I967" t="str">
        <x:f>IF(959&gt;$H$4,"",MATCH(959,'Fleet dates'!$K$9:$K$1008,0)+8)</x:f>
      </x:c>
    </x:row>
    <x:row r="968" ht="36" customHeight="1">
      <x:c r="A968" s="50" t="str">
        <x:f>IF(960&gt;$H$4,"",IF(INDEX('Fleet dates'!$A$9:$A$1008,$I968-8)="","",INDEX('Fleet dates'!$A$9:$A$1008,$I968-8)))</x:f>
      </x:c>
      <x:c r="B968" s="50" t="str">
        <x:f>IF(960&gt;$H$4,"",IF(INDEX('Fleet dates'!$B$9:$B$1008,$I968-8)="","",INDEX('Fleet dates'!$B$9:$B$1008,$I968-8)))</x:f>
      </x:c>
      <x:c r="C968" s="51" t="str">
        <x:f>IF(960&gt;$H$4,"",IF(INDEX('Fleet dates'!$C$9:$C$1008,$I968-8)="","",INDEX('Fleet dates'!$C$9:$C$1008,$I968-8)))</x:f>
      </x:c>
      <x:c r="D968" s="51" t="str">
        <x:f>IF(960&gt;$H$4,"",IF(INDEX('Fleet dates'!$D$9:$D$1008,$I968-8)="","",INDEX('Fleet dates'!$D$9:$D$1008,$I968-8)))</x:f>
      </x:c>
      <x:c r="E968" s="51" t="str">
        <x:f>IF(960&gt;$H$4,"",IF(INDEX('Fleet dates'!$E$9:$E$1008,$I968-8)="","",INDEX('Fleet dates'!$E$9:$E$1008,$I968-8)))</x:f>
      </x:c>
      <x:c r="F968" s="51" t="str">
        <x:f>IF(960&gt;$H$4,"",IF(INDEX('Fleet dates'!$F$9:$F$1008,$I968-8)="","",INDEX('Fleet dates'!$F$9:$F$1008,$I968-8)))</x:f>
      </x:c>
      <x:c r="G968" s="50" t="str">
        <x:f>IF(960&gt;$H$4,"",IF(INDEX('Fleet dates'!$G$9:$G$1008,$I968-8)="","",INDEX('Fleet dates'!$G$9:$G$1008,$I968-8)))</x:f>
      </x:c>
      <x:c r="H968" s="50" t="str">
        <x:f>IF(960&gt;$H$4,"",IF(INDEX('Fleet dates'!$I$9:$I$1008,$I968-8)="","",INDEX('Fleet dates'!$I$9:$I$1008,$I968-8)))</x:f>
      </x:c>
      <x:c r="I968" t="str">
        <x:f>IF(960&gt;$H$4,"",MATCH(960,'Fleet dates'!$K$9:$K$1008,0)+8)</x:f>
      </x:c>
    </x:row>
    <x:row r="969" ht="36" customHeight="1">
      <x:c r="A969" s="50" t="str">
        <x:f>IF(961&gt;$H$4,"",IF(INDEX('Fleet dates'!$A$9:$A$1008,$I969-8)="","",INDEX('Fleet dates'!$A$9:$A$1008,$I969-8)))</x:f>
      </x:c>
      <x:c r="B969" s="50" t="str">
        <x:f>IF(961&gt;$H$4,"",IF(INDEX('Fleet dates'!$B$9:$B$1008,$I969-8)="","",INDEX('Fleet dates'!$B$9:$B$1008,$I969-8)))</x:f>
      </x:c>
      <x:c r="C969" s="51" t="str">
        <x:f>IF(961&gt;$H$4,"",IF(INDEX('Fleet dates'!$C$9:$C$1008,$I969-8)="","",INDEX('Fleet dates'!$C$9:$C$1008,$I969-8)))</x:f>
      </x:c>
      <x:c r="D969" s="51" t="str">
        <x:f>IF(961&gt;$H$4,"",IF(INDEX('Fleet dates'!$D$9:$D$1008,$I969-8)="","",INDEX('Fleet dates'!$D$9:$D$1008,$I969-8)))</x:f>
      </x:c>
      <x:c r="E969" s="51" t="str">
        <x:f>IF(961&gt;$H$4,"",IF(INDEX('Fleet dates'!$E$9:$E$1008,$I969-8)="","",INDEX('Fleet dates'!$E$9:$E$1008,$I969-8)))</x:f>
      </x:c>
      <x:c r="F969" s="51" t="str">
        <x:f>IF(961&gt;$H$4,"",IF(INDEX('Fleet dates'!$F$9:$F$1008,$I969-8)="","",INDEX('Fleet dates'!$F$9:$F$1008,$I969-8)))</x:f>
      </x:c>
      <x:c r="G969" s="50" t="str">
        <x:f>IF(961&gt;$H$4,"",IF(INDEX('Fleet dates'!$G$9:$G$1008,$I969-8)="","",INDEX('Fleet dates'!$G$9:$G$1008,$I969-8)))</x:f>
      </x:c>
      <x:c r="H969" s="50" t="str">
        <x:f>IF(961&gt;$H$4,"",IF(INDEX('Fleet dates'!$I$9:$I$1008,$I969-8)="","",INDEX('Fleet dates'!$I$9:$I$1008,$I969-8)))</x:f>
      </x:c>
      <x:c r="I969" t="str">
        <x:f>IF(961&gt;$H$4,"",MATCH(961,'Fleet dates'!$K$9:$K$1008,0)+8)</x:f>
      </x:c>
    </x:row>
    <x:row r="970" ht="36" customHeight="1">
      <x:c r="A970" s="50" t="str">
        <x:f>IF(962&gt;$H$4,"",IF(INDEX('Fleet dates'!$A$9:$A$1008,$I970-8)="","",INDEX('Fleet dates'!$A$9:$A$1008,$I970-8)))</x:f>
      </x:c>
      <x:c r="B970" s="50" t="str">
        <x:f>IF(962&gt;$H$4,"",IF(INDEX('Fleet dates'!$B$9:$B$1008,$I970-8)="","",INDEX('Fleet dates'!$B$9:$B$1008,$I970-8)))</x:f>
      </x:c>
      <x:c r="C970" s="51" t="str">
        <x:f>IF(962&gt;$H$4,"",IF(INDEX('Fleet dates'!$C$9:$C$1008,$I970-8)="","",INDEX('Fleet dates'!$C$9:$C$1008,$I970-8)))</x:f>
      </x:c>
      <x:c r="D970" s="51" t="str">
        <x:f>IF(962&gt;$H$4,"",IF(INDEX('Fleet dates'!$D$9:$D$1008,$I970-8)="","",INDEX('Fleet dates'!$D$9:$D$1008,$I970-8)))</x:f>
      </x:c>
      <x:c r="E970" s="51" t="str">
        <x:f>IF(962&gt;$H$4,"",IF(INDEX('Fleet dates'!$E$9:$E$1008,$I970-8)="","",INDEX('Fleet dates'!$E$9:$E$1008,$I970-8)))</x:f>
      </x:c>
      <x:c r="F970" s="51" t="str">
        <x:f>IF(962&gt;$H$4,"",IF(INDEX('Fleet dates'!$F$9:$F$1008,$I970-8)="","",INDEX('Fleet dates'!$F$9:$F$1008,$I970-8)))</x:f>
      </x:c>
      <x:c r="G970" s="50" t="str">
        <x:f>IF(962&gt;$H$4,"",IF(INDEX('Fleet dates'!$G$9:$G$1008,$I970-8)="","",INDEX('Fleet dates'!$G$9:$G$1008,$I970-8)))</x:f>
      </x:c>
      <x:c r="H970" s="50" t="str">
        <x:f>IF(962&gt;$H$4,"",IF(INDEX('Fleet dates'!$I$9:$I$1008,$I970-8)="","",INDEX('Fleet dates'!$I$9:$I$1008,$I970-8)))</x:f>
      </x:c>
      <x:c r="I970" t="str">
        <x:f>IF(962&gt;$H$4,"",MATCH(962,'Fleet dates'!$K$9:$K$1008,0)+8)</x:f>
      </x:c>
    </x:row>
    <x:row r="971" ht="36" customHeight="1">
      <x:c r="A971" s="50" t="str">
        <x:f>IF(963&gt;$H$4,"",IF(INDEX('Fleet dates'!$A$9:$A$1008,$I971-8)="","",INDEX('Fleet dates'!$A$9:$A$1008,$I971-8)))</x:f>
      </x:c>
      <x:c r="B971" s="50" t="str">
        <x:f>IF(963&gt;$H$4,"",IF(INDEX('Fleet dates'!$B$9:$B$1008,$I971-8)="","",INDEX('Fleet dates'!$B$9:$B$1008,$I971-8)))</x:f>
      </x:c>
      <x:c r="C971" s="51" t="str">
        <x:f>IF(963&gt;$H$4,"",IF(INDEX('Fleet dates'!$C$9:$C$1008,$I971-8)="","",INDEX('Fleet dates'!$C$9:$C$1008,$I971-8)))</x:f>
      </x:c>
      <x:c r="D971" s="51" t="str">
        <x:f>IF(963&gt;$H$4,"",IF(INDEX('Fleet dates'!$D$9:$D$1008,$I971-8)="","",INDEX('Fleet dates'!$D$9:$D$1008,$I971-8)))</x:f>
      </x:c>
      <x:c r="E971" s="51" t="str">
        <x:f>IF(963&gt;$H$4,"",IF(INDEX('Fleet dates'!$E$9:$E$1008,$I971-8)="","",INDEX('Fleet dates'!$E$9:$E$1008,$I971-8)))</x:f>
      </x:c>
      <x:c r="F971" s="51" t="str">
        <x:f>IF(963&gt;$H$4,"",IF(INDEX('Fleet dates'!$F$9:$F$1008,$I971-8)="","",INDEX('Fleet dates'!$F$9:$F$1008,$I971-8)))</x:f>
      </x:c>
      <x:c r="G971" s="50" t="str">
        <x:f>IF(963&gt;$H$4,"",IF(INDEX('Fleet dates'!$G$9:$G$1008,$I971-8)="","",INDEX('Fleet dates'!$G$9:$G$1008,$I971-8)))</x:f>
      </x:c>
      <x:c r="H971" s="50" t="str">
        <x:f>IF(963&gt;$H$4,"",IF(INDEX('Fleet dates'!$I$9:$I$1008,$I971-8)="","",INDEX('Fleet dates'!$I$9:$I$1008,$I971-8)))</x:f>
      </x:c>
      <x:c r="I971" t="str">
        <x:f>IF(963&gt;$H$4,"",MATCH(963,'Fleet dates'!$K$9:$K$1008,0)+8)</x:f>
      </x:c>
    </x:row>
    <x:row r="972" ht="36" customHeight="1">
      <x:c r="A972" s="50" t="str">
        <x:f>IF(964&gt;$H$4,"",IF(INDEX('Fleet dates'!$A$9:$A$1008,$I972-8)="","",INDEX('Fleet dates'!$A$9:$A$1008,$I972-8)))</x:f>
      </x:c>
      <x:c r="B972" s="50" t="str">
        <x:f>IF(964&gt;$H$4,"",IF(INDEX('Fleet dates'!$B$9:$B$1008,$I972-8)="","",INDEX('Fleet dates'!$B$9:$B$1008,$I972-8)))</x:f>
      </x:c>
      <x:c r="C972" s="51" t="str">
        <x:f>IF(964&gt;$H$4,"",IF(INDEX('Fleet dates'!$C$9:$C$1008,$I972-8)="","",INDEX('Fleet dates'!$C$9:$C$1008,$I972-8)))</x:f>
      </x:c>
      <x:c r="D972" s="51" t="str">
        <x:f>IF(964&gt;$H$4,"",IF(INDEX('Fleet dates'!$D$9:$D$1008,$I972-8)="","",INDEX('Fleet dates'!$D$9:$D$1008,$I972-8)))</x:f>
      </x:c>
      <x:c r="E972" s="51" t="str">
        <x:f>IF(964&gt;$H$4,"",IF(INDEX('Fleet dates'!$E$9:$E$1008,$I972-8)="","",INDEX('Fleet dates'!$E$9:$E$1008,$I972-8)))</x:f>
      </x:c>
      <x:c r="F972" s="51" t="str">
        <x:f>IF(964&gt;$H$4,"",IF(INDEX('Fleet dates'!$F$9:$F$1008,$I972-8)="","",INDEX('Fleet dates'!$F$9:$F$1008,$I972-8)))</x:f>
      </x:c>
      <x:c r="G972" s="50" t="str">
        <x:f>IF(964&gt;$H$4,"",IF(INDEX('Fleet dates'!$G$9:$G$1008,$I972-8)="","",INDEX('Fleet dates'!$G$9:$G$1008,$I972-8)))</x:f>
      </x:c>
      <x:c r="H972" s="50" t="str">
        <x:f>IF(964&gt;$H$4,"",IF(INDEX('Fleet dates'!$I$9:$I$1008,$I972-8)="","",INDEX('Fleet dates'!$I$9:$I$1008,$I972-8)))</x:f>
      </x:c>
      <x:c r="I972" t="str">
        <x:f>IF(964&gt;$H$4,"",MATCH(964,'Fleet dates'!$K$9:$K$1008,0)+8)</x:f>
      </x:c>
    </x:row>
    <x:row r="973" ht="36" customHeight="1">
      <x:c r="A973" s="50" t="str">
        <x:f>IF(965&gt;$H$4,"",IF(INDEX('Fleet dates'!$A$9:$A$1008,$I973-8)="","",INDEX('Fleet dates'!$A$9:$A$1008,$I973-8)))</x:f>
      </x:c>
      <x:c r="B973" s="50" t="str">
        <x:f>IF(965&gt;$H$4,"",IF(INDEX('Fleet dates'!$B$9:$B$1008,$I973-8)="","",INDEX('Fleet dates'!$B$9:$B$1008,$I973-8)))</x:f>
      </x:c>
      <x:c r="C973" s="51" t="str">
        <x:f>IF(965&gt;$H$4,"",IF(INDEX('Fleet dates'!$C$9:$C$1008,$I973-8)="","",INDEX('Fleet dates'!$C$9:$C$1008,$I973-8)))</x:f>
      </x:c>
      <x:c r="D973" s="51" t="str">
        <x:f>IF(965&gt;$H$4,"",IF(INDEX('Fleet dates'!$D$9:$D$1008,$I973-8)="","",INDEX('Fleet dates'!$D$9:$D$1008,$I973-8)))</x:f>
      </x:c>
      <x:c r="E973" s="51" t="str">
        <x:f>IF(965&gt;$H$4,"",IF(INDEX('Fleet dates'!$E$9:$E$1008,$I973-8)="","",INDEX('Fleet dates'!$E$9:$E$1008,$I973-8)))</x:f>
      </x:c>
      <x:c r="F973" s="51" t="str">
        <x:f>IF(965&gt;$H$4,"",IF(INDEX('Fleet dates'!$F$9:$F$1008,$I973-8)="","",INDEX('Fleet dates'!$F$9:$F$1008,$I973-8)))</x:f>
      </x:c>
      <x:c r="G973" s="50" t="str">
        <x:f>IF(965&gt;$H$4,"",IF(INDEX('Fleet dates'!$G$9:$G$1008,$I973-8)="","",INDEX('Fleet dates'!$G$9:$G$1008,$I973-8)))</x:f>
      </x:c>
      <x:c r="H973" s="50" t="str">
        <x:f>IF(965&gt;$H$4,"",IF(INDEX('Fleet dates'!$I$9:$I$1008,$I973-8)="","",INDEX('Fleet dates'!$I$9:$I$1008,$I973-8)))</x:f>
      </x:c>
      <x:c r="I973" t="str">
        <x:f>IF(965&gt;$H$4,"",MATCH(965,'Fleet dates'!$K$9:$K$1008,0)+8)</x:f>
      </x:c>
    </x:row>
    <x:row r="974" ht="36" customHeight="1">
      <x:c r="A974" s="50" t="str">
        <x:f>IF(966&gt;$H$4,"",IF(INDEX('Fleet dates'!$A$9:$A$1008,$I974-8)="","",INDEX('Fleet dates'!$A$9:$A$1008,$I974-8)))</x:f>
      </x:c>
      <x:c r="B974" s="50" t="str">
        <x:f>IF(966&gt;$H$4,"",IF(INDEX('Fleet dates'!$B$9:$B$1008,$I974-8)="","",INDEX('Fleet dates'!$B$9:$B$1008,$I974-8)))</x:f>
      </x:c>
      <x:c r="C974" s="51" t="str">
        <x:f>IF(966&gt;$H$4,"",IF(INDEX('Fleet dates'!$C$9:$C$1008,$I974-8)="","",INDEX('Fleet dates'!$C$9:$C$1008,$I974-8)))</x:f>
      </x:c>
      <x:c r="D974" s="51" t="str">
        <x:f>IF(966&gt;$H$4,"",IF(INDEX('Fleet dates'!$D$9:$D$1008,$I974-8)="","",INDEX('Fleet dates'!$D$9:$D$1008,$I974-8)))</x:f>
      </x:c>
      <x:c r="E974" s="51" t="str">
        <x:f>IF(966&gt;$H$4,"",IF(INDEX('Fleet dates'!$E$9:$E$1008,$I974-8)="","",INDEX('Fleet dates'!$E$9:$E$1008,$I974-8)))</x:f>
      </x:c>
      <x:c r="F974" s="51" t="str">
        <x:f>IF(966&gt;$H$4,"",IF(INDEX('Fleet dates'!$F$9:$F$1008,$I974-8)="","",INDEX('Fleet dates'!$F$9:$F$1008,$I974-8)))</x:f>
      </x:c>
      <x:c r="G974" s="50" t="str">
        <x:f>IF(966&gt;$H$4,"",IF(INDEX('Fleet dates'!$G$9:$G$1008,$I974-8)="","",INDEX('Fleet dates'!$G$9:$G$1008,$I974-8)))</x:f>
      </x:c>
      <x:c r="H974" s="50" t="str">
        <x:f>IF(966&gt;$H$4,"",IF(INDEX('Fleet dates'!$I$9:$I$1008,$I974-8)="","",INDEX('Fleet dates'!$I$9:$I$1008,$I974-8)))</x:f>
      </x:c>
      <x:c r="I974" t="str">
        <x:f>IF(966&gt;$H$4,"",MATCH(966,'Fleet dates'!$K$9:$K$1008,0)+8)</x:f>
      </x:c>
    </x:row>
    <x:row r="975" ht="36" customHeight="1">
      <x:c r="A975" s="50" t="str">
        <x:f>IF(967&gt;$H$4,"",IF(INDEX('Fleet dates'!$A$9:$A$1008,$I975-8)="","",INDEX('Fleet dates'!$A$9:$A$1008,$I975-8)))</x:f>
      </x:c>
      <x:c r="B975" s="50" t="str">
        <x:f>IF(967&gt;$H$4,"",IF(INDEX('Fleet dates'!$B$9:$B$1008,$I975-8)="","",INDEX('Fleet dates'!$B$9:$B$1008,$I975-8)))</x:f>
      </x:c>
      <x:c r="C975" s="51" t="str">
        <x:f>IF(967&gt;$H$4,"",IF(INDEX('Fleet dates'!$C$9:$C$1008,$I975-8)="","",INDEX('Fleet dates'!$C$9:$C$1008,$I975-8)))</x:f>
      </x:c>
      <x:c r="D975" s="51" t="str">
        <x:f>IF(967&gt;$H$4,"",IF(INDEX('Fleet dates'!$D$9:$D$1008,$I975-8)="","",INDEX('Fleet dates'!$D$9:$D$1008,$I975-8)))</x:f>
      </x:c>
      <x:c r="E975" s="51" t="str">
        <x:f>IF(967&gt;$H$4,"",IF(INDEX('Fleet dates'!$E$9:$E$1008,$I975-8)="","",INDEX('Fleet dates'!$E$9:$E$1008,$I975-8)))</x:f>
      </x:c>
      <x:c r="F975" s="51" t="str">
        <x:f>IF(967&gt;$H$4,"",IF(INDEX('Fleet dates'!$F$9:$F$1008,$I975-8)="","",INDEX('Fleet dates'!$F$9:$F$1008,$I975-8)))</x:f>
      </x:c>
      <x:c r="G975" s="50" t="str">
        <x:f>IF(967&gt;$H$4,"",IF(INDEX('Fleet dates'!$G$9:$G$1008,$I975-8)="","",INDEX('Fleet dates'!$G$9:$G$1008,$I975-8)))</x:f>
      </x:c>
      <x:c r="H975" s="50" t="str">
        <x:f>IF(967&gt;$H$4,"",IF(INDEX('Fleet dates'!$I$9:$I$1008,$I975-8)="","",INDEX('Fleet dates'!$I$9:$I$1008,$I975-8)))</x:f>
      </x:c>
      <x:c r="I975" t="str">
        <x:f>IF(967&gt;$H$4,"",MATCH(967,'Fleet dates'!$K$9:$K$1008,0)+8)</x:f>
      </x:c>
    </x:row>
    <x:row r="976" ht="36" customHeight="1">
      <x:c r="A976" s="50" t="str">
        <x:f>IF(968&gt;$H$4,"",IF(INDEX('Fleet dates'!$A$9:$A$1008,$I976-8)="","",INDEX('Fleet dates'!$A$9:$A$1008,$I976-8)))</x:f>
      </x:c>
      <x:c r="B976" s="50" t="str">
        <x:f>IF(968&gt;$H$4,"",IF(INDEX('Fleet dates'!$B$9:$B$1008,$I976-8)="","",INDEX('Fleet dates'!$B$9:$B$1008,$I976-8)))</x:f>
      </x:c>
      <x:c r="C976" s="51" t="str">
        <x:f>IF(968&gt;$H$4,"",IF(INDEX('Fleet dates'!$C$9:$C$1008,$I976-8)="","",INDEX('Fleet dates'!$C$9:$C$1008,$I976-8)))</x:f>
      </x:c>
      <x:c r="D976" s="51" t="str">
        <x:f>IF(968&gt;$H$4,"",IF(INDEX('Fleet dates'!$D$9:$D$1008,$I976-8)="","",INDEX('Fleet dates'!$D$9:$D$1008,$I976-8)))</x:f>
      </x:c>
      <x:c r="E976" s="51" t="str">
        <x:f>IF(968&gt;$H$4,"",IF(INDEX('Fleet dates'!$E$9:$E$1008,$I976-8)="","",INDEX('Fleet dates'!$E$9:$E$1008,$I976-8)))</x:f>
      </x:c>
      <x:c r="F976" s="51" t="str">
        <x:f>IF(968&gt;$H$4,"",IF(INDEX('Fleet dates'!$F$9:$F$1008,$I976-8)="","",INDEX('Fleet dates'!$F$9:$F$1008,$I976-8)))</x:f>
      </x:c>
      <x:c r="G976" s="50" t="str">
        <x:f>IF(968&gt;$H$4,"",IF(INDEX('Fleet dates'!$G$9:$G$1008,$I976-8)="","",INDEX('Fleet dates'!$G$9:$G$1008,$I976-8)))</x:f>
      </x:c>
      <x:c r="H976" s="50" t="str">
        <x:f>IF(968&gt;$H$4,"",IF(INDEX('Fleet dates'!$I$9:$I$1008,$I976-8)="","",INDEX('Fleet dates'!$I$9:$I$1008,$I976-8)))</x:f>
      </x:c>
      <x:c r="I976" t="str">
        <x:f>IF(968&gt;$H$4,"",MATCH(968,'Fleet dates'!$K$9:$K$1008,0)+8)</x:f>
      </x:c>
    </x:row>
    <x:row r="977" ht="36" customHeight="1">
      <x:c r="A977" s="50" t="str">
        <x:f>IF(969&gt;$H$4,"",IF(INDEX('Fleet dates'!$A$9:$A$1008,$I977-8)="","",INDEX('Fleet dates'!$A$9:$A$1008,$I977-8)))</x:f>
      </x:c>
      <x:c r="B977" s="50" t="str">
        <x:f>IF(969&gt;$H$4,"",IF(INDEX('Fleet dates'!$B$9:$B$1008,$I977-8)="","",INDEX('Fleet dates'!$B$9:$B$1008,$I977-8)))</x:f>
      </x:c>
      <x:c r="C977" s="51" t="str">
        <x:f>IF(969&gt;$H$4,"",IF(INDEX('Fleet dates'!$C$9:$C$1008,$I977-8)="","",INDEX('Fleet dates'!$C$9:$C$1008,$I977-8)))</x:f>
      </x:c>
      <x:c r="D977" s="51" t="str">
        <x:f>IF(969&gt;$H$4,"",IF(INDEX('Fleet dates'!$D$9:$D$1008,$I977-8)="","",INDEX('Fleet dates'!$D$9:$D$1008,$I977-8)))</x:f>
      </x:c>
      <x:c r="E977" s="51" t="str">
        <x:f>IF(969&gt;$H$4,"",IF(INDEX('Fleet dates'!$E$9:$E$1008,$I977-8)="","",INDEX('Fleet dates'!$E$9:$E$1008,$I977-8)))</x:f>
      </x:c>
      <x:c r="F977" s="51" t="str">
        <x:f>IF(969&gt;$H$4,"",IF(INDEX('Fleet dates'!$F$9:$F$1008,$I977-8)="","",INDEX('Fleet dates'!$F$9:$F$1008,$I977-8)))</x:f>
      </x:c>
      <x:c r="G977" s="50" t="str">
        <x:f>IF(969&gt;$H$4,"",IF(INDEX('Fleet dates'!$G$9:$G$1008,$I977-8)="","",INDEX('Fleet dates'!$G$9:$G$1008,$I977-8)))</x:f>
      </x:c>
      <x:c r="H977" s="50" t="str">
        <x:f>IF(969&gt;$H$4,"",IF(INDEX('Fleet dates'!$I$9:$I$1008,$I977-8)="","",INDEX('Fleet dates'!$I$9:$I$1008,$I977-8)))</x:f>
      </x:c>
      <x:c r="I977" t="str">
        <x:f>IF(969&gt;$H$4,"",MATCH(969,'Fleet dates'!$K$9:$K$1008,0)+8)</x:f>
      </x:c>
    </x:row>
    <x:row r="978" ht="36" customHeight="1">
      <x:c r="A978" s="50" t="str">
        <x:f>IF(970&gt;$H$4,"",IF(INDEX('Fleet dates'!$A$9:$A$1008,$I978-8)="","",INDEX('Fleet dates'!$A$9:$A$1008,$I978-8)))</x:f>
      </x:c>
      <x:c r="B978" s="50" t="str">
        <x:f>IF(970&gt;$H$4,"",IF(INDEX('Fleet dates'!$B$9:$B$1008,$I978-8)="","",INDEX('Fleet dates'!$B$9:$B$1008,$I978-8)))</x:f>
      </x:c>
      <x:c r="C978" s="51" t="str">
        <x:f>IF(970&gt;$H$4,"",IF(INDEX('Fleet dates'!$C$9:$C$1008,$I978-8)="","",INDEX('Fleet dates'!$C$9:$C$1008,$I978-8)))</x:f>
      </x:c>
      <x:c r="D978" s="51" t="str">
        <x:f>IF(970&gt;$H$4,"",IF(INDEX('Fleet dates'!$D$9:$D$1008,$I978-8)="","",INDEX('Fleet dates'!$D$9:$D$1008,$I978-8)))</x:f>
      </x:c>
      <x:c r="E978" s="51" t="str">
        <x:f>IF(970&gt;$H$4,"",IF(INDEX('Fleet dates'!$E$9:$E$1008,$I978-8)="","",INDEX('Fleet dates'!$E$9:$E$1008,$I978-8)))</x:f>
      </x:c>
      <x:c r="F978" s="51" t="str">
        <x:f>IF(970&gt;$H$4,"",IF(INDEX('Fleet dates'!$F$9:$F$1008,$I978-8)="","",INDEX('Fleet dates'!$F$9:$F$1008,$I978-8)))</x:f>
      </x:c>
      <x:c r="G978" s="50" t="str">
        <x:f>IF(970&gt;$H$4,"",IF(INDEX('Fleet dates'!$G$9:$G$1008,$I978-8)="","",INDEX('Fleet dates'!$G$9:$G$1008,$I978-8)))</x:f>
      </x:c>
      <x:c r="H978" s="50" t="str">
        <x:f>IF(970&gt;$H$4,"",IF(INDEX('Fleet dates'!$I$9:$I$1008,$I978-8)="","",INDEX('Fleet dates'!$I$9:$I$1008,$I978-8)))</x:f>
      </x:c>
      <x:c r="I978" t="str">
        <x:f>IF(970&gt;$H$4,"",MATCH(970,'Fleet dates'!$K$9:$K$1008,0)+8)</x:f>
      </x:c>
    </x:row>
    <x:row r="979" ht="36" customHeight="1">
      <x:c r="A979" s="50" t="str">
        <x:f>IF(971&gt;$H$4,"",IF(INDEX('Fleet dates'!$A$9:$A$1008,$I979-8)="","",INDEX('Fleet dates'!$A$9:$A$1008,$I979-8)))</x:f>
      </x:c>
      <x:c r="B979" s="50" t="str">
        <x:f>IF(971&gt;$H$4,"",IF(INDEX('Fleet dates'!$B$9:$B$1008,$I979-8)="","",INDEX('Fleet dates'!$B$9:$B$1008,$I979-8)))</x:f>
      </x:c>
      <x:c r="C979" s="51" t="str">
        <x:f>IF(971&gt;$H$4,"",IF(INDEX('Fleet dates'!$C$9:$C$1008,$I979-8)="","",INDEX('Fleet dates'!$C$9:$C$1008,$I979-8)))</x:f>
      </x:c>
      <x:c r="D979" s="51" t="str">
        <x:f>IF(971&gt;$H$4,"",IF(INDEX('Fleet dates'!$D$9:$D$1008,$I979-8)="","",INDEX('Fleet dates'!$D$9:$D$1008,$I979-8)))</x:f>
      </x:c>
      <x:c r="E979" s="51" t="str">
        <x:f>IF(971&gt;$H$4,"",IF(INDEX('Fleet dates'!$E$9:$E$1008,$I979-8)="","",INDEX('Fleet dates'!$E$9:$E$1008,$I979-8)))</x:f>
      </x:c>
      <x:c r="F979" s="51" t="str">
        <x:f>IF(971&gt;$H$4,"",IF(INDEX('Fleet dates'!$F$9:$F$1008,$I979-8)="","",INDEX('Fleet dates'!$F$9:$F$1008,$I979-8)))</x:f>
      </x:c>
      <x:c r="G979" s="50" t="str">
        <x:f>IF(971&gt;$H$4,"",IF(INDEX('Fleet dates'!$G$9:$G$1008,$I979-8)="","",INDEX('Fleet dates'!$G$9:$G$1008,$I979-8)))</x:f>
      </x:c>
      <x:c r="H979" s="50" t="str">
        <x:f>IF(971&gt;$H$4,"",IF(INDEX('Fleet dates'!$I$9:$I$1008,$I979-8)="","",INDEX('Fleet dates'!$I$9:$I$1008,$I979-8)))</x:f>
      </x:c>
      <x:c r="I979" t="str">
        <x:f>IF(971&gt;$H$4,"",MATCH(971,'Fleet dates'!$K$9:$K$1008,0)+8)</x:f>
      </x:c>
    </x:row>
    <x:row r="980" ht="36" customHeight="1">
      <x:c r="A980" s="50" t="str">
        <x:f>IF(972&gt;$H$4,"",IF(INDEX('Fleet dates'!$A$9:$A$1008,$I980-8)="","",INDEX('Fleet dates'!$A$9:$A$1008,$I980-8)))</x:f>
      </x:c>
      <x:c r="B980" s="50" t="str">
        <x:f>IF(972&gt;$H$4,"",IF(INDEX('Fleet dates'!$B$9:$B$1008,$I980-8)="","",INDEX('Fleet dates'!$B$9:$B$1008,$I980-8)))</x:f>
      </x:c>
      <x:c r="C980" s="51" t="str">
        <x:f>IF(972&gt;$H$4,"",IF(INDEX('Fleet dates'!$C$9:$C$1008,$I980-8)="","",INDEX('Fleet dates'!$C$9:$C$1008,$I980-8)))</x:f>
      </x:c>
      <x:c r="D980" s="51" t="str">
        <x:f>IF(972&gt;$H$4,"",IF(INDEX('Fleet dates'!$D$9:$D$1008,$I980-8)="","",INDEX('Fleet dates'!$D$9:$D$1008,$I980-8)))</x:f>
      </x:c>
      <x:c r="E980" s="51" t="str">
        <x:f>IF(972&gt;$H$4,"",IF(INDEX('Fleet dates'!$E$9:$E$1008,$I980-8)="","",INDEX('Fleet dates'!$E$9:$E$1008,$I980-8)))</x:f>
      </x:c>
      <x:c r="F980" s="51" t="str">
        <x:f>IF(972&gt;$H$4,"",IF(INDEX('Fleet dates'!$F$9:$F$1008,$I980-8)="","",INDEX('Fleet dates'!$F$9:$F$1008,$I980-8)))</x:f>
      </x:c>
      <x:c r="G980" s="50" t="str">
        <x:f>IF(972&gt;$H$4,"",IF(INDEX('Fleet dates'!$G$9:$G$1008,$I980-8)="","",INDEX('Fleet dates'!$G$9:$G$1008,$I980-8)))</x:f>
      </x:c>
      <x:c r="H980" s="50" t="str">
        <x:f>IF(972&gt;$H$4,"",IF(INDEX('Fleet dates'!$I$9:$I$1008,$I980-8)="","",INDEX('Fleet dates'!$I$9:$I$1008,$I980-8)))</x:f>
      </x:c>
      <x:c r="I980" t="str">
        <x:f>IF(972&gt;$H$4,"",MATCH(972,'Fleet dates'!$K$9:$K$1008,0)+8)</x:f>
      </x:c>
    </x:row>
    <x:row r="981" ht="36" customHeight="1">
      <x:c r="A981" s="50" t="str">
        <x:f>IF(973&gt;$H$4,"",IF(INDEX('Fleet dates'!$A$9:$A$1008,$I981-8)="","",INDEX('Fleet dates'!$A$9:$A$1008,$I981-8)))</x:f>
      </x:c>
      <x:c r="B981" s="50" t="str">
        <x:f>IF(973&gt;$H$4,"",IF(INDEX('Fleet dates'!$B$9:$B$1008,$I981-8)="","",INDEX('Fleet dates'!$B$9:$B$1008,$I981-8)))</x:f>
      </x:c>
      <x:c r="C981" s="51" t="str">
        <x:f>IF(973&gt;$H$4,"",IF(INDEX('Fleet dates'!$C$9:$C$1008,$I981-8)="","",INDEX('Fleet dates'!$C$9:$C$1008,$I981-8)))</x:f>
      </x:c>
      <x:c r="D981" s="51" t="str">
        <x:f>IF(973&gt;$H$4,"",IF(INDEX('Fleet dates'!$D$9:$D$1008,$I981-8)="","",INDEX('Fleet dates'!$D$9:$D$1008,$I981-8)))</x:f>
      </x:c>
      <x:c r="E981" s="51" t="str">
        <x:f>IF(973&gt;$H$4,"",IF(INDEX('Fleet dates'!$E$9:$E$1008,$I981-8)="","",INDEX('Fleet dates'!$E$9:$E$1008,$I981-8)))</x:f>
      </x:c>
      <x:c r="F981" s="51" t="str">
        <x:f>IF(973&gt;$H$4,"",IF(INDEX('Fleet dates'!$F$9:$F$1008,$I981-8)="","",INDEX('Fleet dates'!$F$9:$F$1008,$I981-8)))</x:f>
      </x:c>
      <x:c r="G981" s="50" t="str">
        <x:f>IF(973&gt;$H$4,"",IF(INDEX('Fleet dates'!$G$9:$G$1008,$I981-8)="","",INDEX('Fleet dates'!$G$9:$G$1008,$I981-8)))</x:f>
      </x:c>
      <x:c r="H981" s="50" t="str">
        <x:f>IF(973&gt;$H$4,"",IF(INDEX('Fleet dates'!$I$9:$I$1008,$I981-8)="","",INDEX('Fleet dates'!$I$9:$I$1008,$I981-8)))</x:f>
      </x:c>
      <x:c r="I981" t="str">
        <x:f>IF(973&gt;$H$4,"",MATCH(973,'Fleet dates'!$K$9:$K$1008,0)+8)</x:f>
      </x:c>
    </x:row>
    <x:row r="982" ht="36" customHeight="1">
      <x:c r="A982" s="50" t="str">
        <x:f>IF(974&gt;$H$4,"",IF(INDEX('Fleet dates'!$A$9:$A$1008,$I982-8)="","",INDEX('Fleet dates'!$A$9:$A$1008,$I982-8)))</x:f>
      </x:c>
      <x:c r="B982" s="50" t="str">
        <x:f>IF(974&gt;$H$4,"",IF(INDEX('Fleet dates'!$B$9:$B$1008,$I982-8)="","",INDEX('Fleet dates'!$B$9:$B$1008,$I982-8)))</x:f>
      </x:c>
      <x:c r="C982" s="51" t="str">
        <x:f>IF(974&gt;$H$4,"",IF(INDEX('Fleet dates'!$C$9:$C$1008,$I982-8)="","",INDEX('Fleet dates'!$C$9:$C$1008,$I982-8)))</x:f>
      </x:c>
      <x:c r="D982" s="51" t="str">
        <x:f>IF(974&gt;$H$4,"",IF(INDEX('Fleet dates'!$D$9:$D$1008,$I982-8)="","",INDEX('Fleet dates'!$D$9:$D$1008,$I982-8)))</x:f>
      </x:c>
      <x:c r="E982" s="51" t="str">
        <x:f>IF(974&gt;$H$4,"",IF(INDEX('Fleet dates'!$E$9:$E$1008,$I982-8)="","",INDEX('Fleet dates'!$E$9:$E$1008,$I982-8)))</x:f>
      </x:c>
      <x:c r="F982" s="51" t="str">
        <x:f>IF(974&gt;$H$4,"",IF(INDEX('Fleet dates'!$F$9:$F$1008,$I982-8)="","",INDEX('Fleet dates'!$F$9:$F$1008,$I982-8)))</x:f>
      </x:c>
      <x:c r="G982" s="50" t="str">
        <x:f>IF(974&gt;$H$4,"",IF(INDEX('Fleet dates'!$G$9:$G$1008,$I982-8)="","",INDEX('Fleet dates'!$G$9:$G$1008,$I982-8)))</x:f>
      </x:c>
      <x:c r="H982" s="50" t="str">
        <x:f>IF(974&gt;$H$4,"",IF(INDEX('Fleet dates'!$I$9:$I$1008,$I982-8)="","",INDEX('Fleet dates'!$I$9:$I$1008,$I982-8)))</x:f>
      </x:c>
      <x:c r="I982" t="str">
        <x:f>IF(974&gt;$H$4,"",MATCH(974,'Fleet dates'!$K$9:$K$1008,0)+8)</x:f>
      </x:c>
    </x:row>
    <x:row r="983" ht="36" customHeight="1">
      <x:c r="A983" s="50" t="str">
        <x:f>IF(975&gt;$H$4,"",IF(INDEX('Fleet dates'!$A$9:$A$1008,$I983-8)="","",INDEX('Fleet dates'!$A$9:$A$1008,$I983-8)))</x:f>
      </x:c>
      <x:c r="B983" s="50" t="str">
        <x:f>IF(975&gt;$H$4,"",IF(INDEX('Fleet dates'!$B$9:$B$1008,$I983-8)="","",INDEX('Fleet dates'!$B$9:$B$1008,$I983-8)))</x:f>
      </x:c>
      <x:c r="C983" s="51" t="str">
        <x:f>IF(975&gt;$H$4,"",IF(INDEX('Fleet dates'!$C$9:$C$1008,$I983-8)="","",INDEX('Fleet dates'!$C$9:$C$1008,$I983-8)))</x:f>
      </x:c>
      <x:c r="D983" s="51" t="str">
        <x:f>IF(975&gt;$H$4,"",IF(INDEX('Fleet dates'!$D$9:$D$1008,$I983-8)="","",INDEX('Fleet dates'!$D$9:$D$1008,$I983-8)))</x:f>
      </x:c>
      <x:c r="E983" s="51" t="str">
        <x:f>IF(975&gt;$H$4,"",IF(INDEX('Fleet dates'!$E$9:$E$1008,$I983-8)="","",INDEX('Fleet dates'!$E$9:$E$1008,$I983-8)))</x:f>
      </x:c>
      <x:c r="F983" s="51" t="str">
        <x:f>IF(975&gt;$H$4,"",IF(INDEX('Fleet dates'!$F$9:$F$1008,$I983-8)="","",INDEX('Fleet dates'!$F$9:$F$1008,$I983-8)))</x:f>
      </x:c>
      <x:c r="G983" s="50" t="str">
        <x:f>IF(975&gt;$H$4,"",IF(INDEX('Fleet dates'!$G$9:$G$1008,$I983-8)="","",INDEX('Fleet dates'!$G$9:$G$1008,$I983-8)))</x:f>
      </x:c>
      <x:c r="H983" s="50" t="str">
        <x:f>IF(975&gt;$H$4,"",IF(INDEX('Fleet dates'!$I$9:$I$1008,$I983-8)="","",INDEX('Fleet dates'!$I$9:$I$1008,$I983-8)))</x:f>
      </x:c>
      <x:c r="I983" t="str">
        <x:f>IF(975&gt;$H$4,"",MATCH(975,'Fleet dates'!$K$9:$K$1008,0)+8)</x:f>
      </x:c>
    </x:row>
    <x:row r="984" ht="36" customHeight="1">
      <x:c r="A984" s="50" t="str">
        <x:f>IF(976&gt;$H$4,"",IF(INDEX('Fleet dates'!$A$9:$A$1008,$I984-8)="","",INDEX('Fleet dates'!$A$9:$A$1008,$I984-8)))</x:f>
      </x:c>
      <x:c r="B984" s="50" t="str">
        <x:f>IF(976&gt;$H$4,"",IF(INDEX('Fleet dates'!$B$9:$B$1008,$I984-8)="","",INDEX('Fleet dates'!$B$9:$B$1008,$I984-8)))</x:f>
      </x:c>
      <x:c r="C984" s="51" t="str">
        <x:f>IF(976&gt;$H$4,"",IF(INDEX('Fleet dates'!$C$9:$C$1008,$I984-8)="","",INDEX('Fleet dates'!$C$9:$C$1008,$I984-8)))</x:f>
      </x:c>
      <x:c r="D984" s="51" t="str">
        <x:f>IF(976&gt;$H$4,"",IF(INDEX('Fleet dates'!$D$9:$D$1008,$I984-8)="","",INDEX('Fleet dates'!$D$9:$D$1008,$I984-8)))</x:f>
      </x:c>
      <x:c r="E984" s="51" t="str">
        <x:f>IF(976&gt;$H$4,"",IF(INDEX('Fleet dates'!$E$9:$E$1008,$I984-8)="","",INDEX('Fleet dates'!$E$9:$E$1008,$I984-8)))</x:f>
      </x:c>
      <x:c r="F984" s="51" t="str">
        <x:f>IF(976&gt;$H$4,"",IF(INDEX('Fleet dates'!$F$9:$F$1008,$I984-8)="","",INDEX('Fleet dates'!$F$9:$F$1008,$I984-8)))</x:f>
      </x:c>
      <x:c r="G984" s="50" t="str">
        <x:f>IF(976&gt;$H$4,"",IF(INDEX('Fleet dates'!$G$9:$G$1008,$I984-8)="","",INDEX('Fleet dates'!$G$9:$G$1008,$I984-8)))</x:f>
      </x:c>
      <x:c r="H984" s="50" t="str">
        <x:f>IF(976&gt;$H$4,"",IF(INDEX('Fleet dates'!$I$9:$I$1008,$I984-8)="","",INDEX('Fleet dates'!$I$9:$I$1008,$I984-8)))</x:f>
      </x:c>
      <x:c r="I984" t="str">
        <x:f>IF(976&gt;$H$4,"",MATCH(976,'Fleet dates'!$K$9:$K$1008,0)+8)</x:f>
      </x:c>
    </x:row>
    <x:row r="985" ht="36" customHeight="1">
      <x:c r="A985" s="50" t="str">
        <x:f>IF(977&gt;$H$4,"",IF(INDEX('Fleet dates'!$A$9:$A$1008,$I985-8)="","",INDEX('Fleet dates'!$A$9:$A$1008,$I985-8)))</x:f>
      </x:c>
      <x:c r="B985" s="50" t="str">
        <x:f>IF(977&gt;$H$4,"",IF(INDEX('Fleet dates'!$B$9:$B$1008,$I985-8)="","",INDEX('Fleet dates'!$B$9:$B$1008,$I985-8)))</x:f>
      </x:c>
      <x:c r="C985" s="51" t="str">
        <x:f>IF(977&gt;$H$4,"",IF(INDEX('Fleet dates'!$C$9:$C$1008,$I985-8)="","",INDEX('Fleet dates'!$C$9:$C$1008,$I985-8)))</x:f>
      </x:c>
      <x:c r="D985" s="51" t="str">
        <x:f>IF(977&gt;$H$4,"",IF(INDEX('Fleet dates'!$D$9:$D$1008,$I985-8)="","",INDEX('Fleet dates'!$D$9:$D$1008,$I985-8)))</x:f>
      </x:c>
      <x:c r="E985" s="51" t="str">
        <x:f>IF(977&gt;$H$4,"",IF(INDEX('Fleet dates'!$E$9:$E$1008,$I985-8)="","",INDEX('Fleet dates'!$E$9:$E$1008,$I985-8)))</x:f>
      </x:c>
      <x:c r="F985" s="51" t="str">
        <x:f>IF(977&gt;$H$4,"",IF(INDEX('Fleet dates'!$F$9:$F$1008,$I985-8)="","",INDEX('Fleet dates'!$F$9:$F$1008,$I985-8)))</x:f>
      </x:c>
      <x:c r="G985" s="50" t="str">
        <x:f>IF(977&gt;$H$4,"",IF(INDEX('Fleet dates'!$G$9:$G$1008,$I985-8)="","",INDEX('Fleet dates'!$G$9:$G$1008,$I985-8)))</x:f>
      </x:c>
      <x:c r="H985" s="50" t="str">
        <x:f>IF(977&gt;$H$4,"",IF(INDEX('Fleet dates'!$I$9:$I$1008,$I985-8)="","",INDEX('Fleet dates'!$I$9:$I$1008,$I985-8)))</x:f>
      </x:c>
      <x:c r="I985" t="str">
        <x:f>IF(977&gt;$H$4,"",MATCH(977,'Fleet dates'!$K$9:$K$1008,0)+8)</x:f>
      </x:c>
    </x:row>
    <x:row r="986" ht="36" customHeight="1">
      <x:c r="A986" s="50" t="str">
        <x:f>IF(978&gt;$H$4,"",IF(INDEX('Fleet dates'!$A$9:$A$1008,$I986-8)="","",INDEX('Fleet dates'!$A$9:$A$1008,$I986-8)))</x:f>
      </x:c>
      <x:c r="B986" s="50" t="str">
        <x:f>IF(978&gt;$H$4,"",IF(INDEX('Fleet dates'!$B$9:$B$1008,$I986-8)="","",INDEX('Fleet dates'!$B$9:$B$1008,$I986-8)))</x:f>
      </x:c>
      <x:c r="C986" s="51" t="str">
        <x:f>IF(978&gt;$H$4,"",IF(INDEX('Fleet dates'!$C$9:$C$1008,$I986-8)="","",INDEX('Fleet dates'!$C$9:$C$1008,$I986-8)))</x:f>
      </x:c>
      <x:c r="D986" s="51" t="str">
        <x:f>IF(978&gt;$H$4,"",IF(INDEX('Fleet dates'!$D$9:$D$1008,$I986-8)="","",INDEX('Fleet dates'!$D$9:$D$1008,$I986-8)))</x:f>
      </x:c>
      <x:c r="E986" s="51" t="str">
        <x:f>IF(978&gt;$H$4,"",IF(INDEX('Fleet dates'!$E$9:$E$1008,$I986-8)="","",INDEX('Fleet dates'!$E$9:$E$1008,$I986-8)))</x:f>
      </x:c>
      <x:c r="F986" s="51" t="str">
        <x:f>IF(978&gt;$H$4,"",IF(INDEX('Fleet dates'!$F$9:$F$1008,$I986-8)="","",INDEX('Fleet dates'!$F$9:$F$1008,$I986-8)))</x:f>
      </x:c>
      <x:c r="G986" s="50" t="str">
        <x:f>IF(978&gt;$H$4,"",IF(INDEX('Fleet dates'!$G$9:$G$1008,$I986-8)="","",INDEX('Fleet dates'!$G$9:$G$1008,$I986-8)))</x:f>
      </x:c>
      <x:c r="H986" s="50" t="str">
        <x:f>IF(978&gt;$H$4,"",IF(INDEX('Fleet dates'!$I$9:$I$1008,$I986-8)="","",INDEX('Fleet dates'!$I$9:$I$1008,$I986-8)))</x:f>
      </x:c>
      <x:c r="I986" t="str">
        <x:f>IF(978&gt;$H$4,"",MATCH(978,'Fleet dates'!$K$9:$K$1008,0)+8)</x:f>
      </x:c>
    </x:row>
    <x:row r="987" ht="36" customHeight="1">
      <x:c r="A987" s="50" t="str">
        <x:f>IF(979&gt;$H$4,"",IF(INDEX('Fleet dates'!$A$9:$A$1008,$I987-8)="","",INDEX('Fleet dates'!$A$9:$A$1008,$I987-8)))</x:f>
      </x:c>
      <x:c r="B987" s="50" t="str">
        <x:f>IF(979&gt;$H$4,"",IF(INDEX('Fleet dates'!$B$9:$B$1008,$I987-8)="","",INDEX('Fleet dates'!$B$9:$B$1008,$I987-8)))</x:f>
      </x:c>
      <x:c r="C987" s="51" t="str">
        <x:f>IF(979&gt;$H$4,"",IF(INDEX('Fleet dates'!$C$9:$C$1008,$I987-8)="","",INDEX('Fleet dates'!$C$9:$C$1008,$I987-8)))</x:f>
      </x:c>
      <x:c r="D987" s="51" t="str">
        <x:f>IF(979&gt;$H$4,"",IF(INDEX('Fleet dates'!$D$9:$D$1008,$I987-8)="","",INDEX('Fleet dates'!$D$9:$D$1008,$I987-8)))</x:f>
      </x:c>
      <x:c r="E987" s="51" t="str">
        <x:f>IF(979&gt;$H$4,"",IF(INDEX('Fleet dates'!$E$9:$E$1008,$I987-8)="","",INDEX('Fleet dates'!$E$9:$E$1008,$I987-8)))</x:f>
      </x:c>
      <x:c r="F987" s="51" t="str">
        <x:f>IF(979&gt;$H$4,"",IF(INDEX('Fleet dates'!$F$9:$F$1008,$I987-8)="","",INDEX('Fleet dates'!$F$9:$F$1008,$I987-8)))</x:f>
      </x:c>
      <x:c r="G987" s="50" t="str">
        <x:f>IF(979&gt;$H$4,"",IF(INDEX('Fleet dates'!$G$9:$G$1008,$I987-8)="","",INDEX('Fleet dates'!$G$9:$G$1008,$I987-8)))</x:f>
      </x:c>
      <x:c r="H987" s="50" t="str">
        <x:f>IF(979&gt;$H$4,"",IF(INDEX('Fleet dates'!$I$9:$I$1008,$I987-8)="","",INDEX('Fleet dates'!$I$9:$I$1008,$I987-8)))</x:f>
      </x:c>
      <x:c r="I987" t="str">
        <x:f>IF(979&gt;$H$4,"",MATCH(979,'Fleet dates'!$K$9:$K$1008,0)+8)</x:f>
      </x:c>
    </x:row>
    <x:row r="988" ht="36" customHeight="1">
      <x:c r="A988" s="50" t="str">
        <x:f>IF(980&gt;$H$4,"",IF(INDEX('Fleet dates'!$A$9:$A$1008,$I988-8)="","",INDEX('Fleet dates'!$A$9:$A$1008,$I988-8)))</x:f>
      </x:c>
      <x:c r="B988" s="50" t="str">
        <x:f>IF(980&gt;$H$4,"",IF(INDEX('Fleet dates'!$B$9:$B$1008,$I988-8)="","",INDEX('Fleet dates'!$B$9:$B$1008,$I988-8)))</x:f>
      </x:c>
      <x:c r="C988" s="51" t="str">
        <x:f>IF(980&gt;$H$4,"",IF(INDEX('Fleet dates'!$C$9:$C$1008,$I988-8)="","",INDEX('Fleet dates'!$C$9:$C$1008,$I988-8)))</x:f>
      </x:c>
      <x:c r="D988" s="51" t="str">
        <x:f>IF(980&gt;$H$4,"",IF(INDEX('Fleet dates'!$D$9:$D$1008,$I988-8)="","",INDEX('Fleet dates'!$D$9:$D$1008,$I988-8)))</x:f>
      </x:c>
      <x:c r="E988" s="51" t="str">
        <x:f>IF(980&gt;$H$4,"",IF(INDEX('Fleet dates'!$E$9:$E$1008,$I988-8)="","",INDEX('Fleet dates'!$E$9:$E$1008,$I988-8)))</x:f>
      </x:c>
      <x:c r="F988" s="51" t="str">
        <x:f>IF(980&gt;$H$4,"",IF(INDEX('Fleet dates'!$F$9:$F$1008,$I988-8)="","",INDEX('Fleet dates'!$F$9:$F$1008,$I988-8)))</x:f>
      </x:c>
      <x:c r="G988" s="50" t="str">
        <x:f>IF(980&gt;$H$4,"",IF(INDEX('Fleet dates'!$G$9:$G$1008,$I988-8)="","",INDEX('Fleet dates'!$G$9:$G$1008,$I988-8)))</x:f>
      </x:c>
      <x:c r="H988" s="50" t="str">
        <x:f>IF(980&gt;$H$4,"",IF(INDEX('Fleet dates'!$I$9:$I$1008,$I988-8)="","",INDEX('Fleet dates'!$I$9:$I$1008,$I988-8)))</x:f>
      </x:c>
      <x:c r="I988" t="str">
        <x:f>IF(980&gt;$H$4,"",MATCH(980,'Fleet dates'!$K$9:$K$1008,0)+8)</x:f>
      </x:c>
    </x:row>
    <x:row r="989" ht="36" customHeight="1">
      <x:c r="A989" s="50" t="str">
        <x:f>IF(981&gt;$H$4,"",IF(INDEX('Fleet dates'!$A$9:$A$1008,$I989-8)="","",INDEX('Fleet dates'!$A$9:$A$1008,$I989-8)))</x:f>
      </x:c>
      <x:c r="B989" s="50" t="str">
        <x:f>IF(981&gt;$H$4,"",IF(INDEX('Fleet dates'!$B$9:$B$1008,$I989-8)="","",INDEX('Fleet dates'!$B$9:$B$1008,$I989-8)))</x:f>
      </x:c>
      <x:c r="C989" s="51" t="str">
        <x:f>IF(981&gt;$H$4,"",IF(INDEX('Fleet dates'!$C$9:$C$1008,$I989-8)="","",INDEX('Fleet dates'!$C$9:$C$1008,$I989-8)))</x:f>
      </x:c>
      <x:c r="D989" s="51" t="str">
        <x:f>IF(981&gt;$H$4,"",IF(INDEX('Fleet dates'!$D$9:$D$1008,$I989-8)="","",INDEX('Fleet dates'!$D$9:$D$1008,$I989-8)))</x:f>
      </x:c>
      <x:c r="E989" s="51" t="str">
        <x:f>IF(981&gt;$H$4,"",IF(INDEX('Fleet dates'!$E$9:$E$1008,$I989-8)="","",INDEX('Fleet dates'!$E$9:$E$1008,$I989-8)))</x:f>
      </x:c>
      <x:c r="F989" s="51" t="str">
        <x:f>IF(981&gt;$H$4,"",IF(INDEX('Fleet dates'!$F$9:$F$1008,$I989-8)="","",INDEX('Fleet dates'!$F$9:$F$1008,$I989-8)))</x:f>
      </x:c>
      <x:c r="G989" s="50" t="str">
        <x:f>IF(981&gt;$H$4,"",IF(INDEX('Fleet dates'!$G$9:$G$1008,$I989-8)="","",INDEX('Fleet dates'!$G$9:$G$1008,$I989-8)))</x:f>
      </x:c>
      <x:c r="H989" s="50" t="str">
        <x:f>IF(981&gt;$H$4,"",IF(INDEX('Fleet dates'!$I$9:$I$1008,$I989-8)="","",INDEX('Fleet dates'!$I$9:$I$1008,$I989-8)))</x:f>
      </x:c>
      <x:c r="I989" t="str">
        <x:f>IF(981&gt;$H$4,"",MATCH(981,'Fleet dates'!$K$9:$K$1008,0)+8)</x:f>
      </x:c>
    </x:row>
    <x:row r="990" ht="36" customHeight="1">
      <x:c r="A990" s="50" t="str">
        <x:f>IF(982&gt;$H$4,"",IF(INDEX('Fleet dates'!$A$9:$A$1008,$I990-8)="","",INDEX('Fleet dates'!$A$9:$A$1008,$I990-8)))</x:f>
      </x:c>
      <x:c r="B990" s="50" t="str">
        <x:f>IF(982&gt;$H$4,"",IF(INDEX('Fleet dates'!$B$9:$B$1008,$I990-8)="","",INDEX('Fleet dates'!$B$9:$B$1008,$I990-8)))</x:f>
      </x:c>
      <x:c r="C990" s="51" t="str">
        <x:f>IF(982&gt;$H$4,"",IF(INDEX('Fleet dates'!$C$9:$C$1008,$I990-8)="","",INDEX('Fleet dates'!$C$9:$C$1008,$I990-8)))</x:f>
      </x:c>
      <x:c r="D990" s="51" t="str">
        <x:f>IF(982&gt;$H$4,"",IF(INDEX('Fleet dates'!$D$9:$D$1008,$I990-8)="","",INDEX('Fleet dates'!$D$9:$D$1008,$I990-8)))</x:f>
      </x:c>
      <x:c r="E990" s="51" t="str">
        <x:f>IF(982&gt;$H$4,"",IF(INDEX('Fleet dates'!$E$9:$E$1008,$I990-8)="","",INDEX('Fleet dates'!$E$9:$E$1008,$I990-8)))</x:f>
      </x:c>
      <x:c r="F990" s="51" t="str">
        <x:f>IF(982&gt;$H$4,"",IF(INDEX('Fleet dates'!$F$9:$F$1008,$I990-8)="","",INDEX('Fleet dates'!$F$9:$F$1008,$I990-8)))</x:f>
      </x:c>
      <x:c r="G990" s="50" t="str">
        <x:f>IF(982&gt;$H$4,"",IF(INDEX('Fleet dates'!$G$9:$G$1008,$I990-8)="","",INDEX('Fleet dates'!$G$9:$G$1008,$I990-8)))</x:f>
      </x:c>
      <x:c r="H990" s="50" t="str">
        <x:f>IF(982&gt;$H$4,"",IF(INDEX('Fleet dates'!$I$9:$I$1008,$I990-8)="","",INDEX('Fleet dates'!$I$9:$I$1008,$I990-8)))</x:f>
      </x:c>
      <x:c r="I990" t="str">
        <x:f>IF(982&gt;$H$4,"",MATCH(982,'Fleet dates'!$K$9:$K$1008,0)+8)</x:f>
      </x:c>
    </x:row>
    <x:row r="991" ht="36" customHeight="1">
      <x:c r="A991" s="50" t="str">
        <x:f>IF(983&gt;$H$4,"",IF(INDEX('Fleet dates'!$A$9:$A$1008,$I991-8)="","",INDEX('Fleet dates'!$A$9:$A$1008,$I991-8)))</x:f>
      </x:c>
      <x:c r="B991" s="50" t="str">
        <x:f>IF(983&gt;$H$4,"",IF(INDEX('Fleet dates'!$B$9:$B$1008,$I991-8)="","",INDEX('Fleet dates'!$B$9:$B$1008,$I991-8)))</x:f>
      </x:c>
      <x:c r="C991" s="51" t="str">
        <x:f>IF(983&gt;$H$4,"",IF(INDEX('Fleet dates'!$C$9:$C$1008,$I991-8)="","",INDEX('Fleet dates'!$C$9:$C$1008,$I991-8)))</x:f>
      </x:c>
      <x:c r="D991" s="51" t="str">
        <x:f>IF(983&gt;$H$4,"",IF(INDEX('Fleet dates'!$D$9:$D$1008,$I991-8)="","",INDEX('Fleet dates'!$D$9:$D$1008,$I991-8)))</x:f>
      </x:c>
      <x:c r="E991" s="51" t="str">
        <x:f>IF(983&gt;$H$4,"",IF(INDEX('Fleet dates'!$E$9:$E$1008,$I991-8)="","",INDEX('Fleet dates'!$E$9:$E$1008,$I991-8)))</x:f>
      </x:c>
      <x:c r="F991" s="51" t="str">
        <x:f>IF(983&gt;$H$4,"",IF(INDEX('Fleet dates'!$F$9:$F$1008,$I991-8)="","",INDEX('Fleet dates'!$F$9:$F$1008,$I991-8)))</x:f>
      </x:c>
      <x:c r="G991" s="50" t="str">
        <x:f>IF(983&gt;$H$4,"",IF(INDEX('Fleet dates'!$G$9:$G$1008,$I991-8)="","",INDEX('Fleet dates'!$G$9:$G$1008,$I991-8)))</x:f>
      </x:c>
      <x:c r="H991" s="50" t="str">
        <x:f>IF(983&gt;$H$4,"",IF(INDEX('Fleet dates'!$I$9:$I$1008,$I991-8)="","",INDEX('Fleet dates'!$I$9:$I$1008,$I991-8)))</x:f>
      </x:c>
      <x:c r="I991" t="str">
        <x:f>IF(983&gt;$H$4,"",MATCH(983,'Fleet dates'!$K$9:$K$1008,0)+8)</x:f>
      </x:c>
    </x:row>
    <x:row r="992" ht="36" customHeight="1">
      <x:c r="A992" s="50" t="str">
        <x:f>IF(984&gt;$H$4,"",IF(INDEX('Fleet dates'!$A$9:$A$1008,$I992-8)="","",INDEX('Fleet dates'!$A$9:$A$1008,$I992-8)))</x:f>
      </x:c>
      <x:c r="B992" s="50" t="str">
        <x:f>IF(984&gt;$H$4,"",IF(INDEX('Fleet dates'!$B$9:$B$1008,$I992-8)="","",INDEX('Fleet dates'!$B$9:$B$1008,$I992-8)))</x:f>
      </x:c>
      <x:c r="C992" s="51" t="str">
        <x:f>IF(984&gt;$H$4,"",IF(INDEX('Fleet dates'!$C$9:$C$1008,$I992-8)="","",INDEX('Fleet dates'!$C$9:$C$1008,$I992-8)))</x:f>
      </x:c>
      <x:c r="D992" s="51" t="str">
        <x:f>IF(984&gt;$H$4,"",IF(INDEX('Fleet dates'!$D$9:$D$1008,$I992-8)="","",INDEX('Fleet dates'!$D$9:$D$1008,$I992-8)))</x:f>
      </x:c>
      <x:c r="E992" s="51" t="str">
        <x:f>IF(984&gt;$H$4,"",IF(INDEX('Fleet dates'!$E$9:$E$1008,$I992-8)="","",INDEX('Fleet dates'!$E$9:$E$1008,$I992-8)))</x:f>
      </x:c>
      <x:c r="F992" s="51" t="str">
        <x:f>IF(984&gt;$H$4,"",IF(INDEX('Fleet dates'!$F$9:$F$1008,$I992-8)="","",INDEX('Fleet dates'!$F$9:$F$1008,$I992-8)))</x:f>
      </x:c>
      <x:c r="G992" s="50" t="str">
        <x:f>IF(984&gt;$H$4,"",IF(INDEX('Fleet dates'!$G$9:$G$1008,$I992-8)="","",INDEX('Fleet dates'!$G$9:$G$1008,$I992-8)))</x:f>
      </x:c>
      <x:c r="H992" s="50" t="str">
        <x:f>IF(984&gt;$H$4,"",IF(INDEX('Fleet dates'!$I$9:$I$1008,$I992-8)="","",INDEX('Fleet dates'!$I$9:$I$1008,$I992-8)))</x:f>
      </x:c>
      <x:c r="I992" t="str">
        <x:f>IF(984&gt;$H$4,"",MATCH(984,'Fleet dates'!$K$9:$K$1008,0)+8)</x:f>
      </x:c>
    </x:row>
    <x:row r="993" ht="36" customHeight="1">
      <x:c r="A993" s="50" t="str">
        <x:f>IF(985&gt;$H$4,"",IF(INDEX('Fleet dates'!$A$9:$A$1008,$I993-8)="","",INDEX('Fleet dates'!$A$9:$A$1008,$I993-8)))</x:f>
      </x:c>
      <x:c r="B993" s="50" t="str">
        <x:f>IF(985&gt;$H$4,"",IF(INDEX('Fleet dates'!$B$9:$B$1008,$I993-8)="","",INDEX('Fleet dates'!$B$9:$B$1008,$I993-8)))</x:f>
      </x:c>
      <x:c r="C993" s="51" t="str">
        <x:f>IF(985&gt;$H$4,"",IF(INDEX('Fleet dates'!$C$9:$C$1008,$I993-8)="","",INDEX('Fleet dates'!$C$9:$C$1008,$I993-8)))</x:f>
      </x:c>
      <x:c r="D993" s="51" t="str">
        <x:f>IF(985&gt;$H$4,"",IF(INDEX('Fleet dates'!$D$9:$D$1008,$I993-8)="","",INDEX('Fleet dates'!$D$9:$D$1008,$I993-8)))</x:f>
      </x:c>
      <x:c r="E993" s="51" t="str">
        <x:f>IF(985&gt;$H$4,"",IF(INDEX('Fleet dates'!$E$9:$E$1008,$I993-8)="","",INDEX('Fleet dates'!$E$9:$E$1008,$I993-8)))</x:f>
      </x:c>
      <x:c r="F993" s="51" t="str">
        <x:f>IF(985&gt;$H$4,"",IF(INDEX('Fleet dates'!$F$9:$F$1008,$I993-8)="","",INDEX('Fleet dates'!$F$9:$F$1008,$I993-8)))</x:f>
      </x:c>
      <x:c r="G993" s="50" t="str">
        <x:f>IF(985&gt;$H$4,"",IF(INDEX('Fleet dates'!$G$9:$G$1008,$I993-8)="","",INDEX('Fleet dates'!$G$9:$G$1008,$I993-8)))</x:f>
      </x:c>
      <x:c r="H993" s="50" t="str">
        <x:f>IF(985&gt;$H$4,"",IF(INDEX('Fleet dates'!$I$9:$I$1008,$I993-8)="","",INDEX('Fleet dates'!$I$9:$I$1008,$I993-8)))</x:f>
      </x:c>
      <x:c r="I993" t="str">
        <x:f>IF(985&gt;$H$4,"",MATCH(985,'Fleet dates'!$K$9:$K$1008,0)+8)</x:f>
      </x:c>
    </x:row>
    <x:row r="994" ht="36" customHeight="1">
      <x:c r="A994" s="50" t="str">
        <x:f>IF(986&gt;$H$4,"",IF(INDEX('Fleet dates'!$A$9:$A$1008,$I994-8)="","",INDEX('Fleet dates'!$A$9:$A$1008,$I994-8)))</x:f>
      </x:c>
      <x:c r="B994" s="50" t="str">
        <x:f>IF(986&gt;$H$4,"",IF(INDEX('Fleet dates'!$B$9:$B$1008,$I994-8)="","",INDEX('Fleet dates'!$B$9:$B$1008,$I994-8)))</x:f>
      </x:c>
      <x:c r="C994" s="51" t="str">
        <x:f>IF(986&gt;$H$4,"",IF(INDEX('Fleet dates'!$C$9:$C$1008,$I994-8)="","",INDEX('Fleet dates'!$C$9:$C$1008,$I994-8)))</x:f>
      </x:c>
      <x:c r="D994" s="51" t="str">
        <x:f>IF(986&gt;$H$4,"",IF(INDEX('Fleet dates'!$D$9:$D$1008,$I994-8)="","",INDEX('Fleet dates'!$D$9:$D$1008,$I994-8)))</x:f>
      </x:c>
      <x:c r="E994" s="51" t="str">
        <x:f>IF(986&gt;$H$4,"",IF(INDEX('Fleet dates'!$E$9:$E$1008,$I994-8)="","",INDEX('Fleet dates'!$E$9:$E$1008,$I994-8)))</x:f>
      </x:c>
      <x:c r="F994" s="51" t="str">
        <x:f>IF(986&gt;$H$4,"",IF(INDEX('Fleet dates'!$F$9:$F$1008,$I994-8)="","",INDEX('Fleet dates'!$F$9:$F$1008,$I994-8)))</x:f>
      </x:c>
      <x:c r="G994" s="50" t="str">
        <x:f>IF(986&gt;$H$4,"",IF(INDEX('Fleet dates'!$G$9:$G$1008,$I994-8)="","",INDEX('Fleet dates'!$G$9:$G$1008,$I994-8)))</x:f>
      </x:c>
      <x:c r="H994" s="50" t="str">
        <x:f>IF(986&gt;$H$4,"",IF(INDEX('Fleet dates'!$I$9:$I$1008,$I994-8)="","",INDEX('Fleet dates'!$I$9:$I$1008,$I994-8)))</x:f>
      </x:c>
      <x:c r="I994" t="str">
        <x:f>IF(986&gt;$H$4,"",MATCH(986,'Fleet dates'!$K$9:$K$1008,0)+8)</x:f>
      </x:c>
    </x:row>
    <x:row r="995" ht="36" customHeight="1">
      <x:c r="A995" s="50" t="str">
        <x:f>IF(987&gt;$H$4,"",IF(INDEX('Fleet dates'!$A$9:$A$1008,$I995-8)="","",INDEX('Fleet dates'!$A$9:$A$1008,$I995-8)))</x:f>
      </x:c>
      <x:c r="B995" s="50" t="str">
        <x:f>IF(987&gt;$H$4,"",IF(INDEX('Fleet dates'!$B$9:$B$1008,$I995-8)="","",INDEX('Fleet dates'!$B$9:$B$1008,$I995-8)))</x:f>
      </x:c>
      <x:c r="C995" s="51" t="str">
        <x:f>IF(987&gt;$H$4,"",IF(INDEX('Fleet dates'!$C$9:$C$1008,$I995-8)="","",INDEX('Fleet dates'!$C$9:$C$1008,$I995-8)))</x:f>
      </x:c>
      <x:c r="D995" s="51" t="str">
        <x:f>IF(987&gt;$H$4,"",IF(INDEX('Fleet dates'!$D$9:$D$1008,$I995-8)="","",INDEX('Fleet dates'!$D$9:$D$1008,$I995-8)))</x:f>
      </x:c>
      <x:c r="E995" s="51" t="str">
        <x:f>IF(987&gt;$H$4,"",IF(INDEX('Fleet dates'!$E$9:$E$1008,$I995-8)="","",INDEX('Fleet dates'!$E$9:$E$1008,$I995-8)))</x:f>
      </x:c>
      <x:c r="F995" s="51" t="str">
        <x:f>IF(987&gt;$H$4,"",IF(INDEX('Fleet dates'!$F$9:$F$1008,$I995-8)="","",INDEX('Fleet dates'!$F$9:$F$1008,$I995-8)))</x:f>
      </x:c>
      <x:c r="G995" s="50" t="str">
        <x:f>IF(987&gt;$H$4,"",IF(INDEX('Fleet dates'!$G$9:$G$1008,$I995-8)="","",INDEX('Fleet dates'!$G$9:$G$1008,$I995-8)))</x:f>
      </x:c>
      <x:c r="H995" s="50" t="str">
        <x:f>IF(987&gt;$H$4,"",IF(INDEX('Fleet dates'!$I$9:$I$1008,$I995-8)="","",INDEX('Fleet dates'!$I$9:$I$1008,$I995-8)))</x:f>
      </x:c>
      <x:c r="I995" t="str">
        <x:f>IF(987&gt;$H$4,"",MATCH(987,'Fleet dates'!$K$9:$K$1008,0)+8)</x:f>
      </x:c>
    </x:row>
    <x:row r="996" ht="36" customHeight="1">
      <x:c r="A996" s="50" t="str">
        <x:f>IF(988&gt;$H$4,"",IF(INDEX('Fleet dates'!$A$9:$A$1008,$I996-8)="","",INDEX('Fleet dates'!$A$9:$A$1008,$I996-8)))</x:f>
      </x:c>
      <x:c r="B996" s="50" t="str">
        <x:f>IF(988&gt;$H$4,"",IF(INDEX('Fleet dates'!$B$9:$B$1008,$I996-8)="","",INDEX('Fleet dates'!$B$9:$B$1008,$I996-8)))</x:f>
      </x:c>
      <x:c r="C996" s="51" t="str">
        <x:f>IF(988&gt;$H$4,"",IF(INDEX('Fleet dates'!$C$9:$C$1008,$I996-8)="","",INDEX('Fleet dates'!$C$9:$C$1008,$I996-8)))</x:f>
      </x:c>
      <x:c r="D996" s="51" t="str">
        <x:f>IF(988&gt;$H$4,"",IF(INDEX('Fleet dates'!$D$9:$D$1008,$I996-8)="","",INDEX('Fleet dates'!$D$9:$D$1008,$I996-8)))</x:f>
      </x:c>
      <x:c r="E996" s="51" t="str">
        <x:f>IF(988&gt;$H$4,"",IF(INDEX('Fleet dates'!$E$9:$E$1008,$I996-8)="","",INDEX('Fleet dates'!$E$9:$E$1008,$I996-8)))</x:f>
      </x:c>
      <x:c r="F996" s="51" t="str">
        <x:f>IF(988&gt;$H$4,"",IF(INDEX('Fleet dates'!$F$9:$F$1008,$I996-8)="","",INDEX('Fleet dates'!$F$9:$F$1008,$I996-8)))</x:f>
      </x:c>
      <x:c r="G996" s="50" t="str">
        <x:f>IF(988&gt;$H$4,"",IF(INDEX('Fleet dates'!$G$9:$G$1008,$I996-8)="","",INDEX('Fleet dates'!$G$9:$G$1008,$I996-8)))</x:f>
      </x:c>
      <x:c r="H996" s="50" t="str">
        <x:f>IF(988&gt;$H$4,"",IF(INDEX('Fleet dates'!$I$9:$I$1008,$I996-8)="","",INDEX('Fleet dates'!$I$9:$I$1008,$I996-8)))</x:f>
      </x:c>
      <x:c r="I996" t="str">
        <x:f>IF(988&gt;$H$4,"",MATCH(988,'Fleet dates'!$K$9:$K$1008,0)+8)</x:f>
      </x:c>
    </x:row>
    <x:row r="997" ht="36" customHeight="1">
      <x:c r="A997" s="50" t="str">
        <x:f>IF(989&gt;$H$4,"",IF(INDEX('Fleet dates'!$A$9:$A$1008,$I997-8)="","",INDEX('Fleet dates'!$A$9:$A$1008,$I997-8)))</x:f>
      </x:c>
      <x:c r="B997" s="50" t="str">
        <x:f>IF(989&gt;$H$4,"",IF(INDEX('Fleet dates'!$B$9:$B$1008,$I997-8)="","",INDEX('Fleet dates'!$B$9:$B$1008,$I997-8)))</x:f>
      </x:c>
      <x:c r="C997" s="51" t="str">
        <x:f>IF(989&gt;$H$4,"",IF(INDEX('Fleet dates'!$C$9:$C$1008,$I997-8)="","",INDEX('Fleet dates'!$C$9:$C$1008,$I997-8)))</x:f>
      </x:c>
      <x:c r="D997" s="51" t="str">
        <x:f>IF(989&gt;$H$4,"",IF(INDEX('Fleet dates'!$D$9:$D$1008,$I997-8)="","",INDEX('Fleet dates'!$D$9:$D$1008,$I997-8)))</x:f>
      </x:c>
      <x:c r="E997" s="51" t="str">
        <x:f>IF(989&gt;$H$4,"",IF(INDEX('Fleet dates'!$E$9:$E$1008,$I997-8)="","",INDEX('Fleet dates'!$E$9:$E$1008,$I997-8)))</x:f>
      </x:c>
      <x:c r="F997" s="51" t="str">
        <x:f>IF(989&gt;$H$4,"",IF(INDEX('Fleet dates'!$F$9:$F$1008,$I997-8)="","",INDEX('Fleet dates'!$F$9:$F$1008,$I997-8)))</x:f>
      </x:c>
      <x:c r="G997" s="50" t="str">
        <x:f>IF(989&gt;$H$4,"",IF(INDEX('Fleet dates'!$G$9:$G$1008,$I997-8)="","",INDEX('Fleet dates'!$G$9:$G$1008,$I997-8)))</x:f>
      </x:c>
      <x:c r="H997" s="50" t="str">
        <x:f>IF(989&gt;$H$4,"",IF(INDEX('Fleet dates'!$I$9:$I$1008,$I997-8)="","",INDEX('Fleet dates'!$I$9:$I$1008,$I997-8)))</x:f>
      </x:c>
      <x:c r="I997" t="str">
        <x:f>IF(989&gt;$H$4,"",MATCH(989,'Fleet dates'!$K$9:$K$1008,0)+8)</x:f>
      </x:c>
    </x:row>
    <x:row r="998" ht="36" customHeight="1">
      <x:c r="A998" s="50" t="str">
        <x:f>IF(990&gt;$H$4,"",IF(INDEX('Fleet dates'!$A$9:$A$1008,$I998-8)="","",INDEX('Fleet dates'!$A$9:$A$1008,$I998-8)))</x:f>
      </x:c>
      <x:c r="B998" s="50" t="str">
        <x:f>IF(990&gt;$H$4,"",IF(INDEX('Fleet dates'!$B$9:$B$1008,$I998-8)="","",INDEX('Fleet dates'!$B$9:$B$1008,$I998-8)))</x:f>
      </x:c>
      <x:c r="C998" s="51" t="str">
        <x:f>IF(990&gt;$H$4,"",IF(INDEX('Fleet dates'!$C$9:$C$1008,$I998-8)="","",INDEX('Fleet dates'!$C$9:$C$1008,$I998-8)))</x:f>
      </x:c>
      <x:c r="D998" s="51" t="str">
        <x:f>IF(990&gt;$H$4,"",IF(INDEX('Fleet dates'!$D$9:$D$1008,$I998-8)="","",INDEX('Fleet dates'!$D$9:$D$1008,$I998-8)))</x:f>
      </x:c>
      <x:c r="E998" s="51" t="str">
        <x:f>IF(990&gt;$H$4,"",IF(INDEX('Fleet dates'!$E$9:$E$1008,$I998-8)="","",INDEX('Fleet dates'!$E$9:$E$1008,$I998-8)))</x:f>
      </x:c>
      <x:c r="F998" s="51" t="str">
        <x:f>IF(990&gt;$H$4,"",IF(INDEX('Fleet dates'!$F$9:$F$1008,$I998-8)="","",INDEX('Fleet dates'!$F$9:$F$1008,$I998-8)))</x:f>
      </x:c>
      <x:c r="G998" s="50" t="str">
        <x:f>IF(990&gt;$H$4,"",IF(INDEX('Fleet dates'!$G$9:$G$1008,$I998-8)="","",INDEX('Fleet dates'!$G$9:$G$1008,$I998-8)))</x:f>
      </x:c>
      <x:c r="H998" s="50" t="str">
        <x:f>IF(990&gt;$H$4,"",IF(INDEX('Fleet dates'!$I$9:$I$1008,$I998-8)="","",INDEX('Fleet dates'!$I$9:$I$1008,$I998-8)))</x:f>
      </x:c>
      <x:c r="I998" t="str">
        <x:f>IF(990&gt;$H$4,"",MATCH(990,'Fleet dates'!$K$9:$K$1008,0)+8)</x:f>
      </x:c>
    </x:row>
    <x:row r="999" ht="36" customHeight="1">
      <x:c r="A999" s="50" t="str">
        <x:f>IF(991&gt;$H$4,"",IF(INDEX('Fleet dates'!$A$9:$A$1008,$I999-8)="","",INDEX('Fleet dates'!$A$9:$A$1008,$I999-8)))</x:f>
      </x:c>
      <x:c r="B999" s="50" t="str">
        <x:f>IF(991&gt;$H$4,"",IF(INDEX('Fleet dates'!$B$9:$B$1008,$I999-8)="","",INDEX('Fleet dates'!$B$9:$B$1008,$I999-8)))</x:f>
      </x:c>
      <x:c r="C999" s="51" t="str">
        <x:f>IF(991&gt;$H$4,"",IF(INDEX('Fleet dates'!$C$9:$C$1008,$I999-8)="","",INDEX('Fleet dates'!$C$9:$C$1008,$I999-8)))</x:f>
      </x:c>
      <x:c r="D999" s="51" t="str">
        <x:f>IF(991&gt;$H$4,"",IF(INDEX('Fleet dates'!$D$9:$D$1008,$I999-8)="","",INDEX('Fleet dates'!$D$9:$D$1008,$I999-8)))</x:f>
      </x:c>
      <x:c r="E999" s="51" t="str">
        <x:f>IF(991&gt;$H$4,"",IF(INDEX('Fleet dates'!$E$9:$E$1008,$I999-8)="","",INDEX('Fleet dates'!$E$9:$E$1008,$I999-8)))</x:f>
      </x:c>
      <x:c r="F999" s="51" t="str">
        <x:f>IF(991&gt;$H$4,"",IF(INDEX('Fleet dates'!$F$9:$F$1008,$I999-8)="","",INDEX('Fleet dates'!$F$9:$F$1008,$I999-8)))</x:f>
      </x:c>
      <x:c r="G999" s="50" t="str">
        <x:f>IF(991&gt;$H$4,"",IF(INDEX('Fleet dates'!$G$9:$G$1008,$I999-8)="","",INDEX('Fleet dates'!$G$9:$G$1008,$I999-8)))</x:f>
      </x:c>
      <x:c r="H999" s="50" t="str">
        <x:f>IF(991&gt;$H$4,"",IF(INDEX('Fleet dates'!$I$9:$I$1008,$I999-8)="","",INDEX('Fleet dates'!$I$9:$I$1008,$I999-8)))</x:f>
      </x:c>
      <x:c r="I999" t="str">
        <x:f>IF(991&gt;$H$4,"",MATCH(991,'Fleet dates'!$K$9:$K$1008,0)+8)</x:f>
      </x:c>
    </x:row>
    <x:row r="1000" ht="36" customHeight="1">
      <x:c r="A1000" s="50" t="str">
        <x:f>IF(992&gt;$H$4,"",IF(INDEX('Fleet dates'!$A$9:$A$1008,$I1000-8)="","",INDEX('Fleet dates'!$A$9:$A$1008,$I1000-8)))</x:f>
      </x:c>
      <x:c r="B1000" s="50" t="str">
        <x:f>IF(992&gt;$H$4,"",IF(INDEX('Fleet dates'!$B$9:$B$1008,$I1000-8)="","",INDEX('Fleet dates'!$B$9:$B$1008,$I1000-8)))</x:f>
      </x:c>
      <x:c r="C1000" s="51" t="str">
        <x:f>IF(992&gt;$H$4,"",IF(INDEX('Fleet dates'!$C$9:$C$1008,$I1000-8)="","",INDEX('Fleet dates'!$C$9:$C$1008,$I1000-8)))</x:f>
      </x:c>
      <x:c r="D1000" s="51" t="str">
        <x:f>IF(992&gt;$H$4,"",IF(INDEX('Fleet dates'!$D$9:$D$1008,$I1000-8)="","",INDEX('Fleet dates'!$D$9:$D$1008,$I1000-8)))</x:f>
      </x:c>
      <x:c r="E1000" s="51" t="str">
        <x:f>IF(992&gt;$H$4,"",IF(INDEX('Fleet dates'!$E$9:$E$1008,$I1000-8)="","",INDEX('Fleet dates'!$E$9:$E$1008,$I1000-8)))</x:f>
      </x:c>
      <x:c r="F1000" s="51" t="str">
        <x:f>IF(992&gt;$H$4,"",IF(INDEX('Fleet dates'!$F$9:$F$1008,$I1000-8)="","",INDEX('Fleet dates'!$F$9:$F$1008,$I1000-8)))</x:f>
      </x:c>
      <x:c r="G1000" s="50" t="str">
        <x:f>IF(992&gt;$H$4,"",IF(INDEX('Fleet dates'!$G$9:$G$1008,$I1000-8)="","",INDEX('Fleet dates'!$G$9:$G$1008,$I1000-8)))</x:f>
      </x:c>
      <x:c r="H1000" s="50" t="str">
        <x:f>IF(992&gt;$H$4,"",IF(INDEX('Fleet dates'!$I$9:$I$1008,$I1000-8)="","",INDEX('Fleet dates'!$I$9:$I$1008,$I1000-8)))</x:f>
      </x:c>
      <x:c r="I1000" t="str">
        <x:f>IF(992&gt;$H$4,"",MATCH(992,'Fleet dates'!$K$9:$K$1008,0)+8)</x:f>
      </x:c>
    </x:row>
    <x:row r="1001" ht="36" customHeight="1">
      <x:c r="A1001" s="50" t="str">
        <x:f>IF(993&gt;$H$4,"",IF(INDEX('Fleet dates'!$A$9:$A$1008,$I1001-8)="","",INDEX('Fleet dates'!$A$9:$A$1008,$I1001-8)))</x:f>
      </x:c>
      <x:c r="B1001" s="50" t="str">
        <x:f>IF(993&gt;$H$4,"",IF(INDEX('Fleet dates'!$B$9:$B$1008,$I1001-8)="","",INDEX('Fleet dates'!$B$9:$B$1008,$I1001-8)))</x:f>
      </x:c>
      <x:c r="C1001" s="51" t="str">
        <x:f>IF(993&gt;$H$4,"",IF(INDEX('Fleet dates'!$C$9:$C$1008,$I1001-8)="","",INDEX('Fleet dates'!$C$9:$C$1008,$I1001-8)))</x:f>
      </x:c>
      <x:c r="D1001" s="51" t="str">
        <x:f>IF(993&gt;$H$4,"",IF(INDEX('Fleet dates'!$D$9:$D$1008,$I1001-8)="","",INDEX('Fleet dates'!$D$9:$D$1008,$I1001-8)))</x:f>
      </x:c>
      <x:c r="E1001" s="51" t="str">
        <x:f>IF(993&gt;$H$4,"",IF(INDEX('Fleet dates'!$E$9:$E$1008,$I1001-8)="","",INDEX('Fleet dates'!$E$9:$E$1008,$I1001-8)))</x:f>
      </x:c>
      <x:c r="F1001" s="51" t="str">
        <x:f>IF(993&gt;$H$4,"",IF(INDEX('Fleet dates'!$F$9:$F$1008,$I1001-8)="","",INDEX('Fleet dates'!$F$9:$F$1008,$I1001-8)))</x:f>
      </x:c>
      <x:c r="G1001" s="50" t="str">
        <x:f>IF(993&gt;$H$4,"",IF(INDEX('Fleet dates'!$G$9:$G$1008,$I1001-8)="","",INDEX('Fleet dates'!$G$9:$G$1008,$I1001-8)))</x:f>
      </x:c>
      <x:c r="H1001" s="50" t="str">
        <x:f>IF(993&gt;$H$4,"",IF(INDEX('Fleet dates'!$I$9:$I$1008,$I1001-8)="","",INDEX('Fleet dates'!$I$9:$I$1008,$I1001-8)))</x:f>
      </x:c>
      <x:c r="I1001" t="str">
        <x:f>IF(993&gt;$H$4,"",MATCH(993,'Fleet dates'!$K$9:$K$1008,0)+8)</x:f>
      </x:c>
    </x:row>
    <x:row r="1002" ht="36" customHeight="1">
      <x:c r="A1002" s="50" t="str">
        <x:f>IF(994&gt;$H$4,"",IF(INDEX('Fleet dates'!$A$9:$A$1008,$I1002-8)="","",INDEX('Fleet dates'!$A$9:$A$1008,$I1002-8)))</x:f>
      </x:c>
      <x:c r="B1002" s="50" t="str">
        <x:f>IF(994&gt;$H$4,"",IF(INDEX('Fleet dates'!$B$9:$B$1008,$I1002-8)="","",INDEX('Fleet dates'!$B$9:$B$1008,$I1002-8)))</x:f>
      </x:c>
      <x:c r="C1002" s="51" t="str">
        <x:f>IF(994&gt;$H$4,"",IF(INDEX('Fleet dates'!$C$9:$C$1008,$I1002-8)="","",INDEX('Fleet dates'!$C$9:$C$1008,$I1002-8)))</x:f>
      </x:c>
      <x:c r="D1002" s="51" t="str">
        <x:f>IF(994&gt;$H$4,"",IF(INDEX('Fleet dates'!$D$9:$D$1008,$I1002-8)="","",INDEX('Fleet dates'!$D$9:$D$1008,$I1002-8)))</x:f>
      </x:c>
      <x:c r="E1002" s="51" t="str">
        <x:f>IF(994&gt;$H$4,"",IF(INDEX('Fleet dates'!$E$9:$E$1008,$I1002-8)="","",INDEX('Fleet dates'!$E$9:$E$1008,$I1002-8)))</x:f>
      </x:c>
      <x:c r="F1002" s="51" t="str">
        <x:f>IF(994&gt;$H$4,"",IF(INDEX('Fleet dates'!$F$9:$F$1008,$I1002-8)="","",INDEX('Fleet dates'!$F$9:$F$1008,$I1002-8)))</x:f>
      </x:c>
      <x:c r="G1002" s="50" t="str">
        <x:f>IF(994&gt;$H$4,"",IF(INDEX('Fleet dates'!$G$9:$G$1008,$I1002-8)="","",INDEX('Fleet dates'!$G$9:$G$1008,$I1002-8)))</x:f>
      </x:c>
      <x:c r="H1002" s="50" t="str">
        <x:f>IF(994&gt;$H$4,"",IF(INDEX('Fleet dates'!$I$9:$I$1008,$I1002-8)="","",INDEX('Fleet dates'!$I$9:$I$1008,$I1002-8)))</x:f>
      </x:c>
      <x:c r="I1002" t="str">
        <x:f>IF(994&gt;$H$4,"",MATCH(994,'Fleet dates'!$K$9:$K$1008,0)+8)</x:f>
      </x:c>
    </x:row>
    <x:row r="1003" ht="36" customHeight="1">
      <x:c r="A1003" s="50" t="str">
        <x:f>IF(995&gt;$H$4,"",IF(INDEX('Fleet dates'!$A$9:$A$1008,$I1003-8)="","",INDEX('Fleet dates'!$A$9:$A$1008,$I1003-8)))</x:f>
      </x:c>
      <x:c r="B1003" s="50" t="str">
        <x:f>IF(995&gt;$H$4,"",IF(INDEX('Fleet dates'!$B$9:$B$1008,$I1003-8)="","",INDEX('Fleet dates'!$B$9:$B$1008,$I1003-8)))</x:f>
      </x:c>
      <x:c r="C1003" s="51" t="str">
        <x:f>IF(995&gt;$H$4,"",IF(INDEX('Fleet dates'!$C$9:$C$1008,$I1003-8)="","",INDEX('Fleet dates'!$C$9:$C$1008,$I1003-8)))</x:f>
      </x:c>
      <x:c r="D1003" s="51" t="str">
        <x:f>IF(995&gt;$H$4,"",IF(INDEX('Fleet dates'!$D$9:$D$1008,$I1003-8)="","",INDEX('Fleet dates'!$D$9:$D$1008,$I1003-8)))</x:f>
      </x:c>
      <x:c r="E1003" s="51" t="str">
        <x:f>IF(995&gt;$H$4,"",IF(INDEX('Fleet dates'!$E$9:$E$1008,$I1003-8)="","",INDEX('Fleet dates'!$E$9:$E$1008,$I1003-8)))</x:f>
      </x:c>
      <x:c r="F1003" s="51" t="str">
        <x:f>IF(995&gt;$H$4,"",IF(INDEX('Fleet dates'!$F$9:$F$1008,$I1003-8)="","",INDEX('Fleet dates'!$F$9:$F$1008,$I1003-8)))</x:f>
      </x:c>
      <x:c r="G1003" s="50" t="str">
        <x:f>IF(995&gt;$H$4,"",IF(INDEX('Fleet dates'!$G$9:$G$1008,$I1003-8)="","",INDEX('Fleet dates'!$G$9:$G$1008,$I1003-8)))</x:f>
      </x:c>
      <x:c r="H1003" s="50" t="str">
        <x:f>IF(995&gt;$H$4,"",IF(INDEX('Fleet dates'!$I$9:$I$1008,$I1003-8)="","",INDEX('Fleet dates'!$I$9:$I$1008,$I1003-8)))</x:f>
      </x:c>
      <x:c r="I1003" t="str">
        <x:f>IF(995&gt;$H$4,"",MATCH(995,'Fleet dates'!$K$9:$K$1008,0)+8)</x:f>
      </x:c>
    </x:row>
    <x:row r="1004" ht="36" customHeight="1">
      <x:c r="A1004" s="50" t="str">
        <x:f>IF(996&gt;$H$4,"",IF(INDEX('Fleet dates'!$A$9:$A$1008,$I1004-8)="","",INDEX('Fleet dates'!$A$9:$A$1008,$I1004-8)))</x:f>
      </x:c>
      <x:c r="B1004" s="50" t="str">
        <x:f>IF(996&gt;$H$4,"",IF(INDEX('Fleet dates'!$B$9:$B$1008,$I1004-8)="","",INDEX('Fleet dates'!$B$9:$B$1008,$I1004-8)))</x:f>
      </x:c>
      <x:c r="C1004" s="51" t="str">
        <x:f>IF(996&gt;$H$4,"",IF(INDEX('Fleet dates'!$C$9:$C$1008,$I1004-8)="","",INDEX('Fleet dates'!$C$9:$C$1008,$I1004-8)))</x:f>
      </x:c>
      <x:c r="D1004" s="51" t="str">
        <x:f>IF(996&gt;$H$4,"",IF(INDEX('Fleet dates'!$D$9:$D$1008,$I1004-8)="","",INDEX('Fleet dates'!$D$9:$D$1008,$I1004-8)))</x:f>
      </x:c>
      <x:c r="E1004" s="51" t="str">
        <x:f>IF(996&gt;$H$4,"",IF(INDEX('Fleet dates'!$E$9:$E$1008,$I1004-8)="","",INDEX('Fleet dates'!$E$9:$E$1008,$I1004-8)))</x:f>
      </x:c>
      <x:c r="F1004" s="51" t="str">
        <x:f>IF(996&gt;$H$4,"",IF(INDEX('Fleet dates'!$F$9:$F$1008,$I1004-8)="","",INDEX('Fleet dates'!$F$9:$F$1008,$I1004-8)))</x:f>
      </x:c>
      <x:c r="G1004" s="50" t="str">
        <x:f>IF(996&gt;$H$4,"",IF(INDEX('Fleet dates'!$G$9:$G$1008,$I1004-8)="","",INDEX('Fleet dates'!$G$9:$G$1008,$I1004-8)))</x:f>
      </x:c>
      <x:c r="H1004" s="50" t="str">
        <x:f>IF(996&gt;$H$4,"",IF(INDEX('Fleet dates'!$I$9:$I$1008,$I1004-8)="","",INDEX('Fleet dates'!$I$9:$I$1008,$I1004-8)))</x:f>
      </x:c>
      <x:c r="I1004" t="str">
        <x:f>IF(996&gt;$H$4,"",MATCH(996,'Fleet dates'!$K$9:$K$1008,0)+8)</x:f>
      </x:c>
    </x:row>
    <x:row r="1005" ht="36" customHeight="1">
      <x:c r="A1005" s="50" t="str">
        <x:f>IF(997&gt;$H$4,"",IF(INDEX('Fleet dates'!$A$9:$A$1008,$I1005-8)="","",INDEX('Fleet dates'!$A$9:$A$1008,$I1005-8)))</x:f>
      </x:c>
      <x:c r="B1005" s="50" t="str">
        <x:f>IF(997&gt;$H$4,"",IF(INDEX('Fleet dates'!$B$9:$B$1008,$I1005-8)="","",INDEX('Fleet dates'!$B$9:$B$1008,$I1005-8)))</x:f>
      </x:c>
      <x:c r="C1005" s="51" t="str">
        <x:f>IF(997&gt;$H$4,"",IF(INDEX('Fleet dates'!$C$9:$C$1008,$I1005-8)="","",INDEX('Fleet dates'!$C$9:$C$1008,$I1005-8)))</x:f>
      </x:c>
      <x:c r="D1005" s="51" t="str">
        <x:f>IF(997&gt;$H$4,"",IF(INDEX('Fleet dates'!$D$9:$D$1008,$I1005-8)="","",INDEX('Fleet dates'!$D$9:$D$1008,$I1005-8)))</x:f>
      </x:c>
      <x:c r="E1005" s="51" t="str">
        <x:f>IF(997&gt;$H$4,"",IF(INDEX('Fleet dates'!$E$9:$E$1008,$I1005-8)="","",INDEX('Fleet dates'!$E$9:$E$1008,$I1005-8)))</x:f>
      </x:c>
      <x:c r="F1005" s="51" t="str">
        <x:f>IF(997&gt;$H$4,"",IF(INDEX('Fleet dates'!$F$9:$F$1008,$I1005-8)="","",INDEX('Fleet dates'!$F$9:$F$1008,$I1005-8)))</x:f>
      </x:c>
      <x:c r="G1005" s="50" t="str">
        <x:f>IF(997&gt;$H$4,"",IF(INDEX('Fleet dates'!$G$9:$G$1008,$I1005-8)="","",INDEX('Fleet dates'!$G$9:$G$1008,$I1005-8)))</x:f>
      </x:c>
      <x:c r="H1005" s="50" t="str">
        <x:f>IF(997&gt;$H$4,"",IF(INDEX('Fleet dates'!$I$9:$I$1008,$I1005-8)="","",INDEX('Fleet dates'!$I$9:$I$1008,$I1005-8)))</x:f>
      </x:c>
      <x:c r="I1005" t="str">
        <x:f>IF(997&gt;$H$4,"",MATCH(997,'Fleet dates'!$K$9:$K$1008,0)+8)</x:f>
      </x:c>
    </x:row>
    <x:row r="1006" ht="36" customHeight="1">
      <x:c r="A1006" s="50" t="str">
        <x:f>IF(998&gt;$H$4,"",IF(INDEX('Fleet dates'!$A$9:$A$1008,$I1006-8)="","",INDEX('Fleet dates'!$A$9:$A$1008,$I1006-8)))</x:f>
      </x:c>
      <x:c r="B1006" s="50" t="str">
        <x:f>IF(998&gt;$H$4,"",IF(INDEX('Fleet dates'!$B$9:$B$1008,$I1006-8)="","",INDEX('Fleet dates'!$B$9:$B$1008,$I1006-8)))</x:f>
      </x:c>
      <x:c r="C1006" s="51" t="str">
        <x:f>IF(998&gt;$H$4,"",IF(INDEX('Fleet dates'!$C$9:$C$1008,$I1006-8)="","",INDEX('Fleet dates'!$C$9:$C$1008,$I1006-8)))</x:f>
      </x:c>
      <x:c r="D1006" s="51" t="str">
        <x:f>IF(998&gt;$H$4,"",IF(INDEX('Fleet dates'!$D$9:$D$1008,$I1006-8)="","",INDEX('Fleet dates'!$D$9:$D$1008,$I1006-8)))</x:f>
      </x:c>
      <x:c r="E1006" s="51" t="str">
        <x:f>IF(998&gt;$H$4,"",IF(INDEX('Fleet dates'!$E$9:$E$1008,$I1006-8)="","",INDEX('Fleet dates'!$E$9:$E$1008,$I1006-8)))</x:f>
      </x:c>
      <x:c r="F1006" s="51" t="str">
        <x:f>IF(998&gt;$H$4,"",IF(INDEX('Fleet dates'!$F$9:$F$1008,$I1006-8)="","",INDEX('Fleet dates'!$F$9:$F$1008,$I1006-8)))</x:f>
      </x:c>
      <x:c r="G1006" s="50" t="str">
        <x:f>IF(998&gt;$H$4,"",IF(INDEX('Fleet dates'!$G$9:$G$1008,$I1006-8)="","",INDEX('Fleet dates'!$G$9:$G$1008,$I1006-8)))</x:f>
      </x:c>
      <x:c r="H1006" s="50" t="str">
        <x:f>IF(998&gt;$H$4,"",IF(INDEX('Fleet dates'!$I$9:$I$1008,$I1006-8)="","",INDEX('Fleet dates'!$I$9:$I$1008,$I1006-8)))</x:f>
      </x:c>
      <x:c r="I1006" t="str">
        <x:f>IF(998&gt;$H$4,"",MATCH(998,'Fleet dates'!$K$9:$K$1008,0)+8)</x:f>
      </x:c>
    </x:row>
    <x:row r="1007" ht="36" customHeight="1">
      <x:c r="A1007" s="50" t="str">
        <x:f>IF(999&gt;$H$4,"",IF(INDEX('Fleet dates'!$A$9:$A$1008,$I1007-8)="","",INDEX('Fleet dates'!$A$9:$A$1008,$I1007-8)))</x:f>
      </x:c>
      <x:c r="B1007" s="50" t="str">
        <x:f>IF(999&gt;$H$4,"",IF(INDEX('Fleet dates'!$B$9:$B$1008,$I1007-8)="","",INDEX('Fleet dates'!$B$9:$B$1008,$I1007-8)))</x:f>
      </x:c>
      <x:c r="C1007" s="51" t="str">
        <x:f>IF(999&gt;$H$4,"",IF(INDEX('Fleet dates'!$C$9:$C$1008,$I1007-8)="","",INDEX('Fleet dates'!$C$9:$C$1008,$I1007-8)))</x:f>
      </x:c>
      <x:c r="D1007" s="51" t="str">
        <x:f>IF(999&gt;$H$4,"",IF(INDEX('Fleet dates'!$D$9:$D$1008,$I1007-8)="","",INDEX('Fleet dates'!$D$9:$D$1008,$I1007-8)))</x:f>
      </x:c>
      <x:c r="E1007" s="51" t="str">
        <x:f>IF(999&gt;$H$4,"",IF(INDEX('Fleet dates'!$E$9:$E$1008,$I1007-8)="","",INDEX('Fleet dates'!$E$9:$E$1008,$I1007-8)))</x:f>
      </x:c>
      <x:c r="F1007" s="51" t="str">
        <x:f>IF(999&gt;$H$4,"",IF(INDEX('Fleet dates'!$F$9:$F$1008,$I1007-8)="","",INDEX('Fleet dates'!$F$9:$F$1008,$I1007-8)))</x:f>
      </x:c>
      <x:c r="G1007" s="50" t="str">
        <x:f>IF(999&gt;$H$4,"",IF(INDEX('Fleet dates'!$G$9:$G$1008,$I1007-8)="","",INDEX('Fleet dates'!$G$9:$G$1008,$I1007-8)))</x:f>
      </x:c>
      <x:c r="H1007" s="50" t="str">
        <x:f>IF(999&gt;$H$4,"",IF(INDEX('Fleet dates'!$I$9:$I$1008,$I1007-8)="","",INDEX('Fleet dates'!$I$9:$I$1008,$I1007-8)))</x:f>
      </x:c>
      <x:c r="I1007" t="str">
        <x:f>IF(999&gt;$H$4,"",MATCH(999,'Fleet dates'!$K$9:$K$1008,0)+8)</x:f>
      </x:c>
    </x:row>
    <x:row r="1008" ht="36" customHeight="1">
      <x:c r="A1008" s="50" t="str">
        <x:f>IF(1000&gt;$H$4,"",IF(INDEX('Fleet dates'!$A$9:$A$1008,$I1008-8)="","",INDEX('Fleet dates'!$A$9:$A$1008,$I1008-8)))</x:f>
      </x:c>
      <x:c r="B1008" s="50" t="str">
        <x:f>IF(1000&gt;$H$4,"",IF(INDEX('Fleet dates'!$B$9:$B$1008,$I1008-8)="","",INDEX('Fleet dates'!$B$9:$B$1008,$I1008-8)))</x:f>
      </x:c>
      <x:c r="C1008" s="51" t="str">
        <x:f>IF(1000&gt;$H$4,"",IF(INDEX('Fleet dates'!$C$9:$C$1008,$I1008-8)="","",INDEX('Fleet dates'!$C$9:$C$1008,$I1008-8)))</x:f>
      </x:c>
      <x:c r="D1008" s="51" t="str">
        <x:f>IF(1000&gt;$H$4,"",IF(INDEX('Fleet dates'!$D$9:$D$1008,$I1008-8)="","",INDEX('Fleet dates'!$D$9:$D$1008,$I1008-8)))</x:f>
      </x:c>
      <x:c r="E1008" s="51" t="str">
        <x:f>IF(1000&gt;$H$4,"",IF(INDEX('Fleet dates'!$E$9:$E$1008,$I1008-8)="","",INDEX('Fleet dates'!$E$9:$E$1008,$I1008-8)))</x:f>
      </x:c>
      <x:c r="F1008" s="51" t="str">
        <x:f>IF(1000&gt;$H$4,"",IF(INDEX('Fleet dates'!$F$9:$F$1008,$I1008-8)="","",INDEX('Fleet dates'!$F$9:$F$1008,$I1008-8)))</x:f>
      </x:c>
      <x:c r="G1008" s="50" t="str">
        <x:f>IF(1000&gt;$H$4,"",IF(INDEX('Fleet dates'!$G$9:$G$1008,$I1008-8)="","",INDEX('Fleet dates'!$G$9:$G$1008,$I1008-8)))</x:f>
      </x:c>
      <x:c r="H1008" s="50" t="str">
        <x:f>IF(1000&gt;$H$4,"",IF(INDEX('Fleet dates'!$I$9:$I$1008,$I1008-8)="","",INDEX('Fleet dates'!$I$9:$I$1008,$I1008-8)))</x:f>
      </x:c>
      <x:c r="I1008" t="str">
        <x:f>IF(1000&gt;$H$4,"",MATCH(1000,'Fleet dates'!$K$9:$K$1008,0)+8)</x:f>
      </x:c>
    </x:row>
  </x:sheetData>
  <x:sheetProtection sheet="1" objects="1" scenarios="1" autoFilter="0" selectLockedCells="0" selectUnlockedCells="0"/>
  <x:mergeCells>
    <x:mergeCell ref="B1:H2"/>
    <x:mergeCell ref="A4:G4"/>
    <x:mergeCell ref="A5:H5"/>
    <x:mergeCell ref="A6:H6"/>
  </x:mergeCells>
  <x:pageMargins left="0.7" right="0.7" top="0.75" bottom="0.75" header="0.3" footer="0.3"/>
  <x:hyperlinks>
    <x:hyperlink ref="A6" location="'Summary'!A8" tooltip="Back to Summary"/>
  </x:hyperlinks>
  <x:drawing ns1:id="Rb7c8fd3494a94de6"/>
</x:worksheet>
</file>

<file path=xl/worksheets/sheet5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.670000076293945" hidden="0" customWidth="1"/>
    <x:col min="2" max="2" width="20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5.5600004196167" hidden="0" customWidth="1"/>
    <x:col min="7" max="7" width="18.329999923706055" hidden="0" customWidth="1"/>
    <x:col min="8" max="8" width="28.889999389648438" hidden="0" customWidth="1"/>
    <x:col min="9" max="9" hidden="1" width="14" customWidth="1"/>
  </x:cols>
  <x:sheetData>
    <x:row r="1" ht="40" customHeight="1">
      <x:c r="A1" s="3"/>
      <x:c r="B1" s="6" t="str">
        <x:v>Due soon</x:v>
      </x:c>
      <x:c r="C1" s="6" t="str">
        <x:v>Due soon</x:v>
      </x:c>
      <x:c r="D1" s="6" t="str">
        <x:v>Due soon</x:v>
      </x:c>
      <x:c r="E1" s="6" t="str">
        <x:v>Due soon</x:v>
      </x:c>
      <x:c r="F1" s="6" t="str">
        <x:v>Due soon</x:v>
      </x:c>
      <x:c r="G1" s="6" t="str">
        <x:v>Due soon</x:v>
      </x:c>
      <x:c r="H1" s="6" t="str">
        <x:v>Due soon</x:v>
      </x:c>
    </x:row>
    <x:row r="2" ht="40" customHeight="1">
      <x:c r="A2" s="3"/>
      <x:c r="B2" s="6" t="str">
        <x:v>Due soon</x:v>
      </x:c>
      <x:c r="C2" s="6" t="str">
        <x:v>Due soon</x:v>
      </x:c>
      <x:c r="D2" s="6" t="str">
        <x:v>Due soon</x:v>
      </x:c>
      <x:c r="E2" s="6" t="str">
        <x:v>Due soon</x:v>
      </x:c>
      <x:c r="F2" s="6" t="str">
        <x:v>Due soon</x:v>
      </x:c>
      <x:c r="G2" s="6" t="str">
        <x:v>Due soon</x:v>
      </x:c>
      <x:c r="H2" s="6" t="str">
        <x:v>Due soon</x:v>
      </x:c>
    </x:row>
    <x:row r="3" ht="36" customHeight="1">
      <x:c r="A3" s="2"/>
      <x:c r="B3" s="2"/>
      <x:c r="C3" s="2"/>
      <x:c r="D3" s="2"/>
      <x:c r="E3" s="2"/>
      <x:c r="F3" s="2"/>
      <x:c r="G3" s="2"/>
      <x:c r="H3" s="2"/>
    </x:row>
    <x:row r="4" ht="36" customHeight="1">
      <x:c r="A4" s="26" t="str">
        <x:v>Matching vehicles or rows</x:v>
      </x:c>
      <x:c r="B4" s="26" t="str">
        <x:v>Matching vehicles or rows</x:v>
      </x:c>
      <x:c r="C4" s="26" t="str">
        <x:v>Matching vehicles or rows</x:v>
      </x:c>
      <x:c r="D4" s="26" t="str">
        <x:v>Matching vehicles or rows</x:v>
      </x:c>
      <x:c r="E4" s="26" t="str">
        <x:v>Matching vehicles or rows</x:v>
      </x:c>
      <x:c r="F4" s="26" t="str">
        <x:v>Matching vehicles or rows</x:v>
      </x:c>
      <x:c r="G4" s="26" t="str">
        <x:v>Matching vehicles or rows</x:v>
      </x:c>
      <x:c r="H4" s="48" t="n">
        <x:f>COUNT('Fleet dates'!$L$9:$L$1008)</x:f>
        <x:v>0</x:v>
      </x:c>
    </x:row>
    <x:row r="5" ht="36" customHeight="1">
      <x:c r="A5" s="9" t="str">
        <x:v>Read-only list. Dates update when the workbook recalculates. Edit records on Fleet dates.</x:v>
      </x:c>
      <x:c r="B5" s="9" t="str">
        <x:v>Read-only list. Dates update when the workbook recalculates. Edit records on Fleet dates.</x:v>
      </x:c>
      <x:c r="C5" s="9" t="str">
        <x:v>Read-only list. Dates update when the workbook recalculates. Edit records on Fleet dates.</x:v>
      </x:c>
      <x:c r="D5" s="9" t="str">
        <x:v>Read-only list. Dates update when the workbook recalculates. Edit records on Fleet dates.</x:v>
      </x:c>
      <x:c r="E5" s="9" t="str">
        <x:v>Read-only list. Dates update when the workbook recalculates. Edit records on Fleet dates.</x:v>
      </x:c>
      <x:c r="F5" s="9" t="str">
        <x:v>Read-only list. Dates update when the workbook recalculates. Edit records on Fleet dates.</x:v>
      </x:c>
      <x:c r="G5" s="9" t="str">
        <x:v>Read-only list. Dates update when the workbook recalculates. Edit records on Fleet dates.</x:v>
      </x:c>
      <x:c r="H5" s="9" t="str">
        <x:v>Read-only list. Dates update when the workbook recalculates. Edit records on Fleet dates.</x:v>
      </x:c>
    </x:row>
    <x:row r="6" ht="36" customHeight="1">
      <x:c r="A6" s="9" t="str">
        <x:v>Back to Summary</x:v>
      </x:c>
      <x:c r="B6" s="9" t="str">
        <x:v>Back to Summary</x:v>
      </x:c>
      <x:c r="C6" s="9" t="str">
        <x:v>Back to Summary</x:v>
      </x:c>
      <x:c r="D6" s="9" t="str">
        <x:v>Back to Summary</x:v>
      </x:c>
      <x:c r="E6" s="9" t="str">
        <x:v>Back to Summary</x:v>
      </x:c>
      <x:c r="F6" s="9" t="str">
        <x:v>Back to Summary</x:v>
      </x:c>
      <x:c r="G6" s="9" t="str">
        <x:v>Back to Summary</x:v>
      </x:c>
      <x:c r="H6" s="9" t="str">
        <x:v>Back to Summary</x:v>
      </x:c>
    </x:row>
    <x:row r="7" ht="36" customHeight="1">
      <x:c r="A7" s="2"/>
      <x:c r="B7" s="2"/>
      <x:c r="C7" s="2"/>
      <x:c r="D7" s="2"/>
      <x:c r="E7" s="2"/>
      <x:c r="F7" s="2"/>
      <x:c r="G7" s="2"/>
      <x:c r="H7" s="2"/>
    </x:row>
    <x:row r="8" ht="48" customHeight="1">
      <x:c r="A8" s="49" t="str">
        <x:v>Vehicle registration</x:v>
      </x:c>
      <x:c r="B8" s="49" t="str">
        <x:v>Vehicle label</x:v>
      </x:c>
      <x:c r="C8" s="49" t="str">
        <x:v>MOT due</x:v>
      </x:c>
      <x:c r="D8" s="49" t="str">
        <x:v>Tax due</x:v>
      </x:c>
      <x:c r="E8" s="49" t="str">
        <x:v>Insurance due</x:v>
      </x:c>
      <x:c r="F8" s="49" t="str">
        <x:v>Next service due</x:v>
      </x:c>
      <x:c r="G8" s="49" t="str">
        <x:v>Responsible person</x:v>
      </x:c>
      <x:c r="H8" s="49" t="str">
        <x:v>Notes / exemptions</x:v>
      </x:c>
    </x:row>
    <x:row r="9" ht="36" customHeight="1">
      <x:c r="A9" s="50" t="str">
        <x:f>IF(1&gt;$H$4,"",IF(INDEX('Fleet dates'!$A$9:$A$1008,$I9-8)="","",INDEX('Fleet dates'!$A$9:$A$1008,$I9-8)))</x:f>
      </x:c>
      <x:c r="B9" s="50" t="str">
        <x:f>IF(1&gt;$H$4,"",IF(INDEX('Fleet dates'!$B$9:$B$1008,$I9-8)="","",INDEX('Fleet dates'!$B$9:$B$1008,$I9-8)))</x:f>
      </x:c>
      <x:c r="C9" s="51" t="str">
        <x:f>IF(1&gt;$H$4,"",IF(INDEX('Fleet dates'!$C$9:$C$1008,$I9-8)="","",INDEX('Fleet dates'!$C$9:$C$1008,$I9-8)))</x:f>
      </x:c>
      <x:c r="D9" s="51" t="str">
        <x:f>IF(1&gt;$H$4,"",IF(INDEX('Fleet dates'!$D$9:$D$1008,$I9-8)="","",INDEX('Fleet dates'!$D$9:$D$1008,$I9-8)))</x:f>
      </x:c>
      <x:c r="E9" s="51" t="str">
        <x:f>IF(1&gt;$H$4,"",IF(INDEX('Fleet dates'!$E$9:$E$1008,$I9-8)="","",INDEX('Fleet dates'!$E$9:$E$1008,$I9-8)))</x:f>
      </x:c>
      <x:c r="F9" s="51" t="str">
        <x:f>IF(1&gt;$H$4,"",IF(INDEX('Fleet dates'!$F$9:$F$1008,$I9-8)="","",INDEX('Fleet dates'!$F$9:$F$1008,$I9-8)))</x:f>
      </x:c>
      <x:c r="G9" s="50" t="str">
        <x:f>IF(1&gt;$H$4,"",IF(INDEX('Fleet dates'!$G$9:$G$1008,$I9-8)="","",INDEX('Fleet dates'!$G$9:$G$1008,$I9-8)))</x:f>
      </x:c>
      <x:c r="H9" s="50" t="str">
        <x:f>IF(1&gt;$H$4,"",IF(INDEX('Fleet dates'!$I$9:$I$1008,$I9-8)="","",INDEX('Fleet dates'!$I$9:$I$1008,$I9-8)))</x:f>
      </x:c>
      <x:c r="I9" t="str">
        <x:f>IF(1&gt;$H$4,"",MATCH(1,'Fleet dates'!$L$9:$L$1008,0)+8)</x:f>
      </x:c>
    </x:row>
    <x:row r="10" ht="36" customHeight="1">
      <x:c r="A10" s="50" t="str">
        <x:f>IF(2&gt;$H$4,"",IF(INDEX('Fleet dates'!$A$9:$A$1008,$I10-8)="","",INDEX('Fleet dates'!$A$9:$A$1008,$I10-8)))</x:f>
      </x:c>
      <x:c r="B10" s="50" t="str">
        <x:f>IF(2&gt;$H$4,"",IF(INDEX('Fleet dates'!$B$9:$B$1008,$I10-8)="","",INDEX('Fleet dates'!$B$9:$B$1008,$I10-8)))</x:f>
      </x:c>
      <x:c r="C10" s="51" t="str">
        <x:f>IF(2&gt;$H$4,"",IF(INDEX('Fleet dates'!$C$9:$C$1008,$I10-8)="","",INDEX('Fleet dates'!$C$9:$C$1008,$I10-8)))</x:f>
      </x:c>
      <x:c r="D10" s="51" t="str">
        <x:f>IF(2&gt;$H$4,"",IF(INDEX('Fleet dates'!$D$9:$D$1008,$I10-8)="","",INDEX('Fleet dates'!$D$9:$D$1008,$I10-8)))</x:f>
      </x:c>
      <x:c r="E10" s="51" t="str">
        <x:f>IF(2&gt;$H$4,"",IF(INDEX('Fleet dates'!$E$9:$E$1008,$I10-8)="","",INDEX('Fleet dates'!$E$9:$E$1008,$I10-8)))</x:f>
      </x:c>
      <x:c r="F10" s="51" t="str">
        <x:f>IF(2&gt;$H$4,"",IF(INDEX('Fleet dates'!$F$9:$F$1008,$I10-8)="","",INDEX('Fleet dates'!$F$9:$F$1008,$I10-8)))</x:f>
      </x:c>
      <x:c r="G10" s="50" t="str">
        <x:f>IF(2&gt;$H$4,"",IF(INDEX('Fleet dates'!$G$9:$G$1008,$I10-8)="","",INDEX('Fleet dates'!$G$9:$G$1008,$I10-8)))</x:f>
      </x:c>
      <x:c r="H10" s="50" t="str">
        <x:f>IF(2&gt;$H$4,"",IF(INDEX('Fleet dates'!$I$9:$I$1008,$I10-8)="","",INDEX('Fleet dates'!$I$9:$I$1008,$I10-8)))</x:f>
      </x:c>
      <x:c r="I10" t="str">
        <x:f>IF(2&gt;$H$4,"",MATCH(2,'Fleet dates'!$L$9:$L$1008,0)+8)</x:f>
      </x:c>
    </x:row>
    <x:row r="11" ht="36" customHeight="1">
      <x:c r="A11" s="50" t="str">
        <x:f>IF(3&gt;$H$4,"",IF(INDEX('Fleet dates'!$A$9:$A$1008,$I11-8)="","",INDEX('Fleet dates'!$A$9:$A$1008,$I11-8)))</x:f>
      </x:c>
      <x:c r="B11" s="50" t="str">
        <x:f>IF(3&gt;$H$4,"",IF(INDEX('Fleet dates'!$B$9:$B$1008,$I11-8)="","",INDEX('Fleet dates'!$B$9:$B$1008,$I11-8)))</x:f>
      </x:c>
      <x:c r="C11" s="51" t="str">
        <x:f>IF(3&gt;$H$4,"",IF(INDEX('Fleet dates'!$C$9:$C$1008,$I11-8)="","",INDEX('Fleet dates'!$C$9:$C$1008,$I11-8)))</x:f>
      </x:c>
      <x:c r="D11" s="51" t="str">
        <x:f>IF(3&gt;$H$4,"",IF(INDEX('Fleet dates'!$D$9:$D$1008,$I11-8)="","",INDEX('Fleet dates'!$D$9:$D$1008,$I11-8)))</x:f>
      </x:c>
      <x:c r="E11" s="51" t="str">
        <x:f>IF(3&gt;$H$4,"",IF(INDEX('Fleet dates'!$E$9:$E$1008,$I11-8)="","",INDEX('Fleet dates'!$E$9:$E$1008,$I11-8)))</x:f>
      </x:c>
      <x:c r="F11" s="51" t="str">
        <x:f>IF(3&gt;$H$4,"",IF(INDEX('Fleet dates'!$F$9:$F$1008,$I11-8)="","",INDEX('Fleet dates'!$F$9:$F$1008,$I11-8)))</x:f>
      </x:c>
      <x:c r="G11" s="50" t="str">
        <x:f>IF(3&gt;$H$4,"",IF(INDEX('Fleet dates'!$G$9:$G$1008,$I11-8)="","",INDEX('Fleet dates'!$G$9:$G$1008,$I11-8)))</x:f>
      </x:c>
      <x:c r="H11" s="50" t="str">
        <x:f>IF(3&gt;$H$4,"",IF(INDEX('Fleet dates'!$I$9:$I$1008,$I11-8)="","",INDEX('Fleet dates'!$I$9:$I$1008,$I11-8)))</x:f>
      </x:c>
      <x:c r="I11" t="str">
        <x:f>IF(3&gt;$H$4,"",MATCH(3,'Fleet dates'!$L$9:$L$1008,0)+8)</x:f>
      </x:c>
    </x:row>
    <x:row r="12" ht="36" customHeight="1">
      <x:c r="A12" s="50" t="str">
        <x:f>IF(4&gt;$H$4,"",IF(INDEX('Fleet dates'!$A$9:$A$1008,$I12-8)="","",INDEX('Fleet dates'!$A$9:$A$1008,$I12-8)))</x:f>
      </x:c>
      <x:c r="B12" s="50" t="str">
        <x:f>IF(4&gt;$H$4,"",IF(INDEX('Fleet dates'!$B$9:$B$1008,$I12-8)="","",INDEX('Fleet dates'!$B$9:$B$1008,$I12-8)))</x:f>
      </x:c>
      <x:c r="C12" s="51" t="str">
        <x:f>IF(4&gt;$H$4,"",IF(INDEX('Fleet dates'!$C$9:$C$1008,$I12-8)="","",INDEX('Fleet dates'!$C$9:$C$1008,$I12-8)))</x:f>
      </x:c>
      <x:c r="D12" s="51" t="str">
        <x:f>IF(4&gt;$H$4,"",IF(INDEX('Fleet dates'!$D$9:$D$1008,$I12-8)="","",INDEX('Fleet dates'!$D$9:$D$1008,$I12-8)))</x:f>
      </x:c>
      <x:c r="E12" s="51" t="str">
        <x:f>IF(4&gt;$H$4,"",IF(INDEX('Fleet dates'!$E$9:$E$1008,$I12-8)="","",INDEX('Fleet dates'!$E$9:$E$1008,$I12-8)))</x:f>
      </x:c>
      <x:c r="F12" s="51" t="str">
        <x:f>IF(4&gt;$H$4,"",IF(INDEX('Fleet dates'!$F$9:$F$1008,$I12-8)="","",INDEX('Fleet dates'!$F$9:$F$1008,$I12-8)))</x:f>
      </x:c>
      <x:c r="G12" s="50" t="str">
        <x:f>IF(4&gt;$H$4,"",IF(INDEX('Fleet dates'!$G$9:$G$1008,$I12-8)="","",INDEX('Fleet dates'!$G$9:$G$1008,$I12-8)))</x:f>
      </x:c>
      <x:c r="H12" s="50" t="str">
        <x:f>IF(4&gt;$H$4,"",IF(INDEX('Fleet dates'!$I$9:$I$1008,$I12-8)="","",INDEX('Fleet dates'!$I$9:$I$1008,$I12-8)))</x:f>
      </x:c>
      <x:c r="I12" t="str">
        <x:f>IF(4&gt;$H$4,"",MATCH(4,'Fleet dates'!$L$9:$L$1008,0)+8)</x:f>
      </x:c>
    </x:row>
    <x:row r="13" ht="36" customHeight="1">
      <x:c r="A13" s="50" t="str">
        <x:f>IF(5&gt;$H$4,"",IF(INDEX('Fleet dates'!$A$9:$A$1008,$I13-8)="","",INDEX('Fleet dates'!$A$9:$A$1008,$I13-8)))</x:f>
      </x:c>
      <x:c r="B13" s="50" t="str">
        <x:f>IF(5&gt;$H$4,"",IF(INDEX('Fleet dates'!$B$9:$B$1008,$I13-8)="","",INDEX('Fleet dates'!$B$9:$B$1008,$I13-8)))</x:f>
      </x:c>
      <x:c r="C13" s="51" t="str">
        <x:f>IF(5&gt;$H$4,"",IF(INDEX('Fleet dates'!$C$9:$C$1008,$I13-8)="","",INDEX('Fleet dates'!$C$9:$C$1008,$I13-8)))</x:f>
      </x:c>
      <x:c r="D13" s="51" t="str">
        <x:f>IF(5&gt;$H$4,"",IF(INDEX('Fleet dates'!$D$9:$D$1008,$I13-8)="","",INDEX('Fleet dates'!$D$9:$D$1008,$I13-8)))</x:f>
      </x:c>
      <x:c r="E13" s="51" t="str">
        <x:f>IF(5&gt;$H$4,"",IF(INDEX('Fleet dates'!$E$9:$E$1008,$I13-8)="","",INDEX('Fleet dates'!$E$9:$E$1008,$I13-8)))</x:f>
      </x:c>
      <x:c r="F13" s="51" t="str">
        <x:f>IF(5&gt;$H$4,"",IF(INDEX('Fleet dates'!$F$9:$F$1008,$I13-8)="","",INDEX('Fleet dates'!$F$9:$F$1008,$I13-8)))</x:f>
      </x:c>
      <x:c r="G13" s="50" t="str">
        <x:f>IF(5&gt;$H$4,"",IF(INDEX('Fleet dates'!$G$9:$G$1008,$I13-8)="","",INDEX('Fleet dates'!$G$9:$G$1008,$I13-8)))</x:f>
      </x:c>
      <x:c r="H13" s="50" t="str">
        <x:f>IF(5&gt;$H$4,"",IF(INDEX('Fleet dates'!$I$9:$I$1008,$I13-8)="","",INDEX('Fleet dates'!$I$9:$I$1008,$I13-8)))</x:f>
      </x:c>
      <x:c r="I13" t="str">
        <x:f>IF(5&gt;$H$4,"",MATCH(5,'Fleet dates'!$L$9:$L$1008,0)+8)</x:f>
      </x:c>
    </x:row>
    <x:row r="14" ht="36" customHeight="1">
      <x:c r="A14" s="50" t="str">
        <x:f>IF(6&gt;$H$4,"",IF(INDEX('Fleet dates'!$A$9:$A$1008,$I14-8)="","",INDEX('Fleet dates'!$A$9:$A$1008,$I14-8)))</x:f>
      </x:c>
      <x:c r="B14" s="50" t="str">
        <x:f>IF(6&gt;$H$4,"",IF(INDEX('Fleet dates'!$B$9:$B$1008,$I14-8)="","",INDEX('Fleet dates'!$B$9:$B$1008,$I14-8)))</x:f>
      </x:c>
      <x:c r="C14" s="51" t="str">
        <x:f>IF(6&gt;$H$4,"",IF(INDEX('Fleet dates'!$C$9:$C$1008,$I14-8)="","",INDEX('Fleet dates'!$C$9:$C$1008,$I14-8)))</x:f>
      </x:c>
      <x:c r="D14" s="51" t="str">
        <x:f>IF(6&gt;$H$4,"",IF(INDEX('Fleet dates'!$D$9:$D$1008,$I14-8)="","",INDEX('Fleet dates'!$D$9:$D$1008,$I14-8)))</x:f>
      </x:c>
      <x:c r="E14" s="51" t="str">
        <x:f>IF(6&gt;$H$4,"",IF(INDEX('Fleet dates'!$E$9:$E$1008,$I14-8)="","",INDEX('Fleet dates'!$E$9:$E$1008,$I14-8)))</x:f>
      </x:c>
      <x:c r="F14" s="51" t="str">
        <x:f>IF(6&gt;$H$4,"",IF(INDEX('Fleet dates'!$F$9:$F$1008,$I14-8)="","",INDEX('Fleet dates'!$F$9:$F$1008,$I14-8)))</x:f>
      </x:c>
      <x:c r="G14" s="50" t="str">
        <x:f>IF(6&gt;$H$4,"",IF(INDEX('Fleet dates'!$G$9:$G$1008,$I14-8)="","",INDEX('Fleet dates'!$G$9:$G$1008,$I14-8)))</x:f>
      </x:c>
      <x:c r="H14" s="50" t="str">
        <x:f>IF(6&gt;$H$4,"",IF(INDEX('Fleet dates'!$I$9:$I$1008,$I14-8)="","",INDEX('Fleet dates'!$I$9:$I$1008,$I14-8)))</x:f>
      </x:c>
      <x:c r="I14" t="str">
        <x:f>IF(6&gt;$H$4,"",MATCH(6,'Fleet dates'!$L$9:$L$1008,0)+8)</x:f>
      </x:c>
    </x:row>
    <x:row r="15" ht="36" customHeight="1">
      <x:c r="A15" s="50" t="str">
        <x:f>IF(7&gt;$H$4,"",IF(INDEX('Fleet dates'!$A$9:$A$1008,$I15-8)="","",INDEX('Fleet dates'!$A$9:$A$1008,$I15-8)))</x:f>
      </x:c>
      <x:c r="B15" s="50" t="str">
        <x:f>IF(7&gt;$H$4,"",IF(INDEX('Fleet dates'!$B$9:$B$1008,$I15-8)="","",INDEX('Fleet dates'!$B$9:$B$1008,$I15-8)))</x:f>
      </x:c>
      <x:c r="C15" s="51" t="str">
        <x:f>IF(7&gt;$H$4,"",IF(INDEX('Fleet dates'!$C$9:$C$1008,$I15-8)="","",INDEX('Fleet dates'!$C$9:$C$1008,$I15-8)))</x:f>
      </x:c>
      <x:c r="D15" s="51" t="str">
        <x:f>IF(7&gt;$H$4,"",IF(INDEX('Fleet dates'!$D$9:$D$1008,$I15-8)="","",INDEX('Fleet dates'!$D$9:$D$1008,$I15-8)))</x:f>
      </x:c>
      <x:c r="E15" s="51" t="str">
        <x:f>IF(7&gt;$H$4,"",IF(INDEX('Fleet dates'!$E$9:$E$1008,$I15-8)="","",INDEX('Fleet dates'!$E$9:$E$1008,$I15-8)))</x:f>
      </x:c>
      <x:c r="F15" s="51" t="str">
        <x:f>IF(7&gt;$H$4,"",IF(INDEX('Fleet dates'!$F$9:$F$1008,$I15-8)="","",INDEX('Fleet dates'!$F$9:$F$1008,$I15-8)))</x:f>
      </x:c>
      <x:c r="G15" s="50" t="str">
        <x:f>IF(7&gt;$H$4,"",IF(INDEX('Fleet dates'!$G$9:$G$1008,$I15-8)="","",INDEX('Fleet dates'!$G$9:$G$1008,$I15-8)))</x:f>
      </x:c>
      <x:c r="H15" s="50" t="str">
        <x:f>IF(7&gt;$H$4,"",IF(INDEX('Fleet dates'!$I$9:$I$1008,$I15-8)="","",INDEX('Fleet dates'!$I$9:$I$1008,$I15-8)))</x:f>
      </x:c>
      <x:c r="I15" t="str">
        <x:f>IF(7&gt;$H$4,"",MATCH(7,'Fleet dates'!$L$9:$L$1008,0)+8)</x:f>
      </x:c>
    </x:row>
    <x:row r="16" ht="36" customHeight="1">
      <x:c r="A16" s="50" t="str">
        <x:f>IF(8&gt;$H$4,"",IF(INDEX('Fleet dates'!$A$9:$A$1008,$I16-8)="","",INDEX('Fleet dates'!$A$9:$A$1008,$I16-8)))</x:f>
      </x:c>
      <x:c r="B16" s="50" t="str">
        <x:f>IF(8&gt;$H$4,"",IF(INDEX('Fleet dates'!$B$9:$B$1008,$I16-8)="","",INDEX('Fleet dates'!$B$9:$B$1008,$I16-8)))</x:f>
      </x:c>
      <x:c r="C16" s="51" t="str">
        <x:f>IF(8&gt;$H$4,"",IF(INDEX('Fleet dates'!$C$9:$C$1008,$I16-8)="","",INDEX('Fleet dates'!$C$9:$C$1008,$I16-8)))</x:f>
      </x:c>
      <x:c r="D16" s="51" t="str">
        <x:f>IF(8&gt;$H$4,"",IF(INDEX('Fleet dates'!$D$9:$D$1008,$I16-8)="","",INDEX('Fleet dates'!$D$9:$D$1008,$I16-8)))</x:f>
      </x:c>
      <x:c r="E16" s="51" t="str">
        <x:f>IF(8&gt;$H$4,"",IF(INDEX('Fleet dates'!$E$9:$E$1008,$I16-8)="","",INDEX('Fleet dates'!$E$9:$E$1008,$I16-8)))</x:f>
      </x:c>
      <x:c r="F16" s="51" t="str">
        <x:f>IF(8&gt;$H$4,"",IF(INDEX('Fleet dates'!$F$9:$F$1008,$I16-8)="","",INDEX('Fleet dates'!$F$9:$F$1008,$I16-8)))</x:f>
      </x:c>
      <x:c r="G16" s="50" t="str">
        <x:f>IF(8&gt;$H$4,"",IF(INDEX('Fleet dates'!$G$9:$G$1008,$I16-8)="","",INDEX('Fleet dates'!$G$9:$G$1008,$I16-8)))</x:f>
      </x:c>
      <x:c r="H16" s="50" t="str">
        <x:f>IF(8&gt;$H$4,"",IF(INDEX('Fleet dates'!$I$9:$I$1008,$I16-8)="","",INDEX('Fleet dates'!$I$9:$I$1008,$I16-8)))</x:f>
      </x:c>
      <x:c r="I16" t="str">
        <x:f>IF(8&gt;$H$4,"",MATCH(8,'Fleet dates'!$L$9:$L$1008,0)+8)</x:f>
      </x:c>
    </x:row>
    <x:row r="17" ht="36" customHeight="1">
      <x:c r="A17" s="50" t="str">
        <x:f>IF(9&gt;$H$4,"",IF(INDEX('Fleet dates'!$A$9:$A$1008,$I17-8)="","",INDEX('Fleet dates'!$A$9:$A$1008,$I17-8)))</x:f>
      </x:c>
      <x:c r="B17" s="50" t="str">
        <x:f>IF(9&gt;$H$4,"",IF(INDEX('Fleet dates'!$B$9:$B$1008,$I17-8)="","",INDEX('Fleet dates'!$B$9:$B$1008,$I17-8)))</x:f>
      </x:c>
      <x:c r="C17" s="51" t="str">
        <x:f>IF(9&gt;$H$4,"",IF(INDEX('Fleet dates'!$C$9:$C$1008,$I17-8)="","",INDEX('Fleet dates'!$C$9:$C$1008,$I17-8)))</x:f>
      </x:c>
      <x:c r="D17" s="51" t="str">
        <x:f>IF(9&gt;$H$4,"",IF(INDEX('Fleet dates'!$D$9:$D$1008,$I17-8)="","",INDEX('Fleet dates'!$D$9:$D$1008,$I17-8)))</x:f>
      </x:c>
      <x:c r="E17" s="51" t="str">
        <x:f>IF(9&gt;$H$4,"",IF(INDEX('Fleet dates'!$E$9:$E$1008,$I17-8)="","",INDEX('Fleet dates'!$E$9:$E$1008,$I17-8)))</x:f>
      </x:c>
      <x:c r="F17" s="51" t="str">
        <x:f>IF(9&gt;$H$4,"",IF(INDEX('Fleet dates'!$F$9:$F$1008,$I17-8)="","",INDEX('Fleet dates'!$F$9:$F$1008,$I17-8)))</x:f>
      </x:c>
      <x:c r="G17" s="50" t="str">
        <x:f>IF(9&gt;$H$4,"",IF(INDEX('Fleet dates'!$G$9:$G$1008,$I17-8)="","",INDEX('Fleet dates'!$G$9:$G$1008,$I17-8)))</x:f>
      </x:c>
      <x:c r="H17" s="50" t="str">
        <x:f>IF(9&gt;$H$4,"",IF(INDEX('Fleet dates'!$I$9:$I$1008,$I17-8)="","",INDEX('Fleet dates'!$I$9:$I$1008,$I17-8)))</x:f>
      </x:c>
      <x:c r="I17" t="str">
        <x:f>IF(9&gt;$H$4,"",MATCH(9,'Fleet dates'!$L$9:$L$1008,0)+8)</x:f>
      </x:c>
    </x:row>
    <x:row r="18" ht="36" customHeight="1">
      <x:c r="A18" s="50" t="str">
        <x:f>IF(10&gt;$H$4,"",IF(INDEX('Fleet dates'!$A$9:$A$1008,$I18-8)="","",INDEX('Fleet dates'!$A$9:$A$1008,$I18-8)))</x:f>
      </x:c>
      <x:c r="B18" s="50" t="str">
        <x:f>IF(10&gt;$H$4,"",IF(INDEX('Fleet dates'!$B$9:$B$1008,$I18-8)="","",INDEX('Fleet dates'!$B$9:$B$1008,$I18-8)))</x:f>
      </x:c>
      <x:c r="C18" s="51" t="str">
        <x:f>IF(10&gt;$H$4,"",IF(INDEX('Fleet dates'!$C$9:$C$1008,$I18-8)="","",INDEX('Fleet dates'!$C$9:$C$1008,$I18-8)))</x:f>
      </x:c>
      <x:c r="D18" s="51" t="str">
        <x:f>IF(10&gt;$H$4,"",IF(INDEX('Fleet dates'!$D$9:$D$1008,$I18-8)="","",INDEX('Fleet dates'!$D$9:$D$1008,$I18-8)))</x:f>
      </x:c>
      <x:c r="E18" s="51" t="str">
        <x:f>IF(10&gt;$H$4,"",IF(INDEX('Fleet dates'!$E$9:$E$1008,$I18-8)="","",INDEX('Fleet dates'!$E$9:$E$1008,$I18-8)))</x:f>
      </x:c>
      <x:c r="F18" s="51" t="str">
        <x:f>IF(10&gt;$H$4,"",IF(INDEX('Fleet dates'!$F$9:$F$1008,$I18-8)="","",INDEX('Fleet dates'!$F$9:$F$1008,$I18-8)))</x:f>
      </x:c>
      <x:c r="G18" s="50" t="str">
        <x:f>IF(10&gt;$H$4,"",IF(INDEX('Fleet dates'!$G$9:$G$1008,$I18-8)="","",INDEX('Fleet dates'!$G$9:$G$1008,$I18-8)))</x:f>
      </x:c>
      <x:c r="H18" s="50" t="str">
        <x:f>IF(10&gt;$H$4,"",IF(INDEX('Fleet dates'!$I$9:$I$1008,$I18-8)="","",INDEX('Fleet dates'!$I$9:$I$1008,$I18-8)))</x:f>
      </x:c>
      <x:c r="I18" t="str">
        <x:f>IF(10&gt;$H$4,"",MATCH(10,'Fleet dates'!$L$9:$L$1008,0)+8)</x:f>
      </x:c>
    </x:row>
    <x:row r="19" ht="36" customHeight="1">
      <x:c r="A19" s="50" t="str">
        <x:f>IF(11&gt;$H$4,"",IF(INDEX('Fleet dates'!$A$9:$A$1008,$I19-8)="","",INDEX('Fleet dates'!$A$9:$A$1008,$I19-8)))</x:f>
      </x:c>
      <x:c r="B19" s="50" t="str">
        <x:f>IF(11&gt;$H$4,"",IF(INDEX('Fleet dates'!$B$9:$B$1008,$I19-8)="","",INDEX('Fleet dates'!$B$9:$B$1008,$I19-8)))</x:f>
      </x:c>
      <x:c r="C19" s="51" t="str">
        <x:f>IF(11&gt;$H$4,"",IF(INDEX('Fleet dates'!$C$9:$C$1008,$I19-8)="","",INDEX('Fleet dates'!$C$9:$C$1008,$I19-8)))</x:f>
      </x:c>
      <x:c r="D19" s="51" t="str">
        <x:f>IF(11&gt;$H$4,"",IF(INDEX('Fleet dates'!$D$9:$D$1008,$I19-8)="","",INDEX('Fleet dates'!$D$9:$D$1008,$I19-8)))</x:f>
      </x:c>
      <x:c r="E19" s="51" t="str">
        <x:f>IF(11&gt;$H$4,"",IF(INDEX('Fleet dates'!$E$9:$E$1008,$I19-8)="","",INDEX('Fleet dates'!$E$9:$E$1008,$I19-8)))</x:f>
      </x:c>
      <x:c r="F19" s="51" t="str">
        <x:f>IF(11&gt;$H$4,"",IF(INDEX('Fleet dates'!$F$9:$F$1008,$I19-8)="","",INDEX('Fleet dates'!$F$9:$F$1008,$I19-8)))</x:f>
      </x:c>
      <x:c r="G19" s="50" t="str">
        <x:f>IF(11&gt;$H$4,"",IF(INDEX('Fleet dates'!$G$9:$G$1008,$I19-8)="","",INDEX('Fleet dates'!$G$9:$G$1008,$I19-8)))</x:f>
      </x:c>
      <x:c r="H19" s="50" t="str">
        <x:f>IF(11&gt;$H$4,"",IF(INDEX('Fleet dates'!$I$9:$I$1008,$I19-8)="","",INDEX('Fleet dates'!$I$9:$I$1008,$I19-8)))</x:f>
      </x:c>
      <x:c r="I19" t="str">
        <x:f>IF(11&gt;$H$4,"",MATCH(11,'Fleet dates'!$L$9:$L$1008,0)+8)</x:f>
      </x:c>
    </x:row>
    <x:row r="20" ht="36" customHeight="1">
      <x:c r="A20" s="50" t="str">
        <x:f>IF(12&gt;$H$4,"",IF(INDEX('Fleet dates'!$A$9:$A$1008,$I20-8)="","",INDEX('Fleet dates'!$A$9:$A$1008,$I20-8)))</x:f>
      </x:c>
      <x:c r="B20" s="50" t="str">
        <x:f>IF(12&gt;$H$4,"",IF(INDEX('Fleet dates'!$B$9:$B$1008,$I20-8)="","",INDEX('Fleet dates'!$B$9:$B$1008,$I20-8)))</x:f>
      </x:c>
      <x:c r="C20" s="51" t="str">
        <x:f>IF(12&gt;$H$4,"",IF(INDEX('Fleet dates'!$C$9:$C$1008,$I20-8)="","",INDEX('Fleet dates'!$C$9:$C$1008,$I20-8)))</x:f>
      </x:c>
      <x:c r="D20" s="51" t="str">
        <x:f>IF(12&gt;$H$4,"",IF(INDEX('Fleet dates'!$D$9:$D$1008,$I20-8)="","",INDEX('Fleet dates'!$D$9:$D$1008,$I20-8)))</x:f>
      </x:c>
      <x:c r="E20" s="51" t="str">
        <x:f>IF(12&gt;$H$4,"",IF(INDEX('Fleet dates'!$E$9:$E$1008,$I20-8)="","",INDEX('Fleet dates'!$E$9:$E$1008,$I20-8)))</x:f>
      </x:c>
      <x:c r="F20" s="51" t="str">
        <x:f>IF(12&gt;$H$4,"",IF(INDEX('Fleet dates'!$F$9:$F$1008,$I20-8)="","",INDEX('Fleet dates'!$F$9:$F$1008,$I20-8)))</x:f>
      </x:c>
      <x:c r="G20" s="50" t="str">
        <x:f>IF(12&gt;$H$4,"",IF(INDEX('Fleet dates'!$G$9:$G$1008,$I20-8)="","",INDEX('Fleet dates'!$G$9:$G$1008,$I20-8)))</x:f>
      </x:c>
      <x:c r="H20" s="50" t="str">
        <x:f>IF(12&gt;$H$4,"",IF(INDEX('Fleet dates'!$I$9:$I$1008,$I20-8)="","",INDEX('Fleet dates'!$I$9:$I$1008,$I20-8)))</x:f>
      </x:c>
      <x:c r="I20" t="str">
        <x:f>IF(12&gt;$H$4,"",MATCH(12,'Fleet dates'!$L$9:$L$1008,0)+8)</x:f>
      </x:c>
    </x:row>
    <x:row r="21" ht="36" customHeight="1">
      <x:c r="A21" s="50" t="str">
        <x:f>IF(13&gt;$H$4,"",IF(INDEX('Fleet dates'!$A$9:$A$1008,$I21-8)="","",INDEX('Fleet dates'!$A$9:$A$1008,$I21-8)))</x:f>
      </x:c>
      <x:c r="B21" s="50" t="str">
        <x:f>IF(13&gt;$H$4,"",IF(INDEX('Fleet dates'!$B$9:$B$1008,$I21-8)="","",INDEX('Fleet dates'!$B$9:$B$1008,$I21-8)))</x:f>
      </x:c>
      <x:c r="C21" s="51" t="str">
        <x:f>IF(13&gt;$H$4,"",IF(INDEX('Fleet dates'!$C$9:$C$1008,$I21-8)="","",INDEX('Fleet dates'!$C$9:$C$1008,$I21-8)))</x:f>
      </x:c>
      <x:c r="D21" s="51" t="str">
        <x:f>IF(13&gt;$H$4,"",IF(INDEX('Fleet dates'!$D$9:$D$1008,$I21-8)="","",INDEX('Fleet dates'!$D$9:$D$1008,$I21-8)))</x:f>
      </x:c>
      <x:c r="E21" s="51" t="str">
        <x:f>IF(13&gt;$H$4,"",IF(INDEX('Fleet dates'!$E$9:$E$1008,$I21-8)="","",INDEX('Fleet dates'!$E$9:$E$1008,$I21-8)))</x:f>
      </x:c>
      <x:c r="F21" s="51" t="str">
        <x:f>IF(13&gt;$H$4,"",IF(INDEX('Fleet dates'!$F$9:$F$1008,$I21-8)="","",INDEX('Fleet dates'!$F$9:$F$1008,$I21-8)))</x:f>
      </x:c>
      <x:c r="G21" s="50" t="str">
        <x:f>IF(13&gt;$H$4,"",IF(INDEX('Fleet dates'!$G$9:$G$1008,$I21-8)="","",INDEX('Fleet dates'!$G$9:$G$1008,$I21-8)))</x:f>
      </x:c>
      <x:c r="H21" s="50" t="str">
        <x:f>IF(13&gt;$H$4,"",IF(INDEX('Fleet dates'!$I$9:$I$1008,$I21-8)="","",INDEX('Fleet dates'!$I$9:$I$1008,$I21-8)))</x:f>
      </x:c>
      <x:c r="I21" t="str">
        <x:f>IF(13&gt;$H$4,"",MATCH(13,'Fleet dates'!$L$9:$L$1008,0)+8)</x:f>
      </x:c>
    </x:row>
    <x:row r="22" ht="36" customHeight="1">
      <x:c r="A22" s="50" t="str">
        <x:f>IF(14&gt;$H$4,"",IF(INDEX('Fleet dates'!$A$9:$A$1008,$I22-8)="","",INDEX('Fleet dates'!$A$9:$A$1008,$I22-8)))</x:f>
      </x:c>
      <x:c r="B22" s="50" t="str">
        <x:f>IF(14&gt;$H$4,"",IF(INDEX('Fleet dates'!$B$9:$B$1008,$I22-8)="","",INDEX('Fleet dates'!$B$9:$B$1008,$I22-8)))</x:f>
      </x:c>
      <x:c r="C22" s="51" t="str">
        <x:f>IF(14&gt;$H$4,"",IF(INDEX('Fleet dates'!$C$9:$C$1008,$I22-8)="","",INDEX('Fleet dates'!$C$9:$C$1008,$I22-8)))</x:f>
      </x:c>
      <x:c r="D22" s="51" t="str">
        <x:f>IF(14&gt;$H$4,"",IF(INDEX('Fleet dates'!$D$9:$D$1008,$I22-8)="","",INDEX('Fleet dates'!$D$9:$D$1008,$I22-8)))</x:f>
      </x:c>
      <x:c r="E22" s="51" t="str">
        <x:f>IF(14&gt;$H$4,"",IF(INDEX('Fleet dates'!$E$9:$E$1008,$I22-8)="","",INDEX('Fleet dates'!$E$9:$E$1008,$I22-8)))</x:f>
      </x:c>
      <x:c r="F22" s="51" t="str">
        <x:f>IF(14&gt;$H$4,"",IF(INDEX('Fleet dates'!$F$9:$F$1008,$I22-8)="","",INDEX('Fleet dates'!$F$9:$F$1008,$I22-8)))</x:f>
      </x:c>
      <x:c r="G22" s="50" t="str">
        <x:f>IF(14&gt;$H$4,"",IF(INDEX('Fleet dates'!$G$9:$G$1008,$I22-8)="","",INDEX('Fleet dates'!$G$9:$G$1008,$I22-8)))</x:f>
      </x:c>
      <x:c r="H22" s="50" t="str">
        <x:f>IF(14&gt;$H$4,"",IF(INDEX('Fleet dates'!$I$9:$I$1008,$I22-8)="","",INDEX('Fleet dates'!$I$9:$I$1008,$I22-8)))</x:f>
      </x:c>
      <x:c r="I22" t="str">
        <x:f>IF(14&gt;$H$4,"",MATCH(14,'Fleet dates'!$L$9:$L$1008,0)+8)</x:f>
      </x:c>
    </x:row>
    <x:row r="23" ht="36" customHeight="1">
      <x:c r="A23" s="50" t="str">
        <x:f>IF(15&gt;$H$4,"",IF(INDEX('Fleet dates'!$A$9:$A$1008,$I23-8)="","",INDEX('Fleet dates'!$A$9:$A$1008,$I23-8)))</x:f>
      </x:c>
      <x:c r="B23" s="50" t="str">
        <x:f>IF(15&gt;$H$4,"",IF(INDEX('Fleet dates'!$B$9:$B$1008,$I23-8)="","",INDEX('Fleet dates'!$B$9:$B$1008,$I23-8)))</x:f>
      </x:c>
      <x:c r="C23" s="51" t="str">
        <x:f>IF(15&gt;$H$4,"",IF(INDEX('Fleet dates'!$C$9:$C$1008,$I23-8)="","",INDEX('Fleet dates'!$C$9:$C$1008,$I23-8)))</x:f>
      </x:c>
      <x:c r="D23" s="51" t="str">
        <x:f>IF(15&gt;$H$4,"",IF(INDEX('Fleet dates'!$D$9:$D$1008,$I23-8)="","",INDEX('Fleet dates'!$D$9:$D$1008,$I23-8)))</x:f>
      </x:c>
      <x:c r="E23" s="51" t="str">
        <x:f>IF(15&gt;$H$4,"",IF(INDEX('Fleet dates'!$E$9:$E$1008,$I23-8)="","",INDEX('Fleet dates'!$E$9:$E$1008,$I23-8)))</x:f>
      </x:c>
      <x:c r="F23" s="51" t="str">
        <x:f>IF(15&gt;$H$4,"",IF(INDEX('Fleet dates'!$F$9:$F$1008,$I23-8)="","",INDEX('Fleet dates'!$F$9:$F$1008,$I23-8)))</x:f>
      </x:c>
      <x:c r="G23" s="50" t="str">
        <x:f>IF(15&gt;$H$4,"",IF(INDEX('Fleet dates'!$G$9:$G$1008,$I23-8)="","",INDEX('Fleet dates'!$G$9:$G$1008,$I23-8)))</x:f>
      </x:c>
      <x:c r="H23" s="50" t="str">
        <x:f>IF(15&gt;$H$4,"",IF(INDEX('Fleet dates'!$I$9:$I$1008,$I23-8)="","",INDEX('Fleet dates'!$I$9:$I$1008,$I23-8)))</x:f>
      </x:c>
      <x:c r="I23" t="str">
        <x:f>IF(15&gt;$H$4,"",MATCH(15,'Fleet dates'!$L$9:$L$1008,0)+8)</x:f>
      </x:c>
    </x:row>
    <x:row r="24" ht="36" customHeight="1">
      <x:c r="A24" s="50" t="str">
        <x:f>IF(16&gt;$H$4,"",IF(INDEX('Fleet dates'!$A$9:$A$1008,$I24-8)="","",INDEX('Fleet dates'!$A$9:$A$1008,$I24-8)))</x:f>
      </x:c>
      <x:c r="B24" s="50" t="str">
        <x:f>IF(16&gt;$H$4,"",IF(INDEX('Fleet dates'!$B$9:$B$1008,$I24-8)="","",INDEX('Fleet dates'!$B$9:$B$1008,$I24-8)))</x:f>
      </x:c>
      <x:c r="C24" s="51" t="str">
        <x:f>IF(16&gt;$H$4,"",IF(INDEX('Fleet dates'!$C$9:$C$1008,$I24-8)="","",INDEX('Fleet dates'!$C$9:$C$1008,$I24-8)))</x:f>
      </x:c>
      <x:c r="D24" s="51" t="str">
        <x:f>IF(16&gt;$H$4,"",IF(INDEX('Fleet dates'!$D$9:$D$1008,$I24-8)="","",INDEX('Fleet dates'!$D$9:$D$1008,$I24-8)))</x:f>
      </x:c>
      <x:c r="E24" s="51" t="str">
        <x:f>IF(16&gt;$H$4,"",IF(INDEX('Fleet dates'!$E$9:$E$1008,$I24-8)="","",INDEX('Fleet dates'!$E$9:$E$1008,$I24-8)))</x:f>
      </x:c>
      <x:c r="F24" s="51" t="str">
        <x:f>IF(16&gt;$H$4,"",IF(INDEX('Fleet dates'!$F$9:$F$1008,$I24-8)="","",INDEX('Fleet dates'!$F$9:$F$1008,$I24-8)))</x:f>
      </x:c>
      <x:c r="G24" s="50" t="str">
        <x:f>IF(16&gt;$H$4,"",IF(INDEX('Fleet dates'!$G$9:$G$1008,$I24-8)="","",INDEX('Fleet dates'!$G$9:$G$1008,$I24-8)))</x:f>
      </x:c>
      <x:c r="H24" s="50" t="str">
        <x:f>IF(16&gt;$H$4,"",IF(INDEX('Fleet dates'!$I$9:$I$1008,$I24-8)="","",INDEX('Fleet dates'!$I$9:$I$1008,$I24-8)))</x:f>
      </x:c>
      <x:c r="I24" t="str">
        <x:f>IF(16&gt;$H$4,"",MATCH(16,'Fleet dates'!$L$9:$L$1008,0)+8)</x:f>
      </x:c>
    </x:row>
    <x:row r="25" ht="36" customHeight="1">
      <x:c r="A25" s="50" t="str">
        <x:f>IF(17&gt;$H$4,"",IF(INDEX('Fleet dates'!$A$9:$A$1008,$I25-8)="","",INDEX('Fleet dates'!$A$9:$A$1008,$I25-8)))</x:f>
      </x:c>
      <x:c r="B25" s="50" t="str">
        <x:f>IF(17&gt;$H$4,"",IF(INDEX('Fleet dates'!$B$9:$B$1008,$I25-8)="","",INDEX('Fleet dates'!$B$9:$B$1008,$I25-8)))</x:f>
      </x:c>
      <x:c r="C25" s="51" t="str">
        <x:f>IF(17&gt;$H$4,"",IF(INDEX('Fleet dates'!$C$9:$C$1008,$I25-8)="","",INDEX('Fleet dates'!$C$9:$C$1008,$I25-8)))</x:f>
      </x:c>
      <x:c r="D25" s="51" t="str">
        <x:f>IF(17&gt;$H$4,"",IF(INDEX('Fleet dates'!$D$9:$D$1008,$I25-8)="","",INDEX('Fleet dates'!$D$9:$D$1008,$I25-8)))</x:f>
      </x:c>
      <x:c r="E25" s="51" t="str">
        <x:f>IF(17&gt;$H$4,"",IF(INDEX('Fleet dates'!$E$9:$E$1008,$I25-8)="","",INDEX('Fleet dates'!$E$9:$E$1008,$I25-8)))</x:f>
      </x:c>
      <x:c r="F25" s="51" t="str">
        <x:f>IF(17&gt;$H$4,"",IF(INDEX('Fleet dates'!$F$9:$F$1008,$I25-8)="","",INDEX('Fleet dates'!$F$9:$F$1008,$I25-8)))</x:f>
      </x:c>
      <x:c r="G25" s="50" t="str">
        <x:f>IF(17&gt;$H$4,"",IF(INDEX('Fleet dates'!$G$9:$G$1008,$I25-8)="","",INDEX('Fleet dates'!$G$9:$G$1008,$I25-8)))</x:f>
      </x:c>
      <x:c r="H25" s="50" t="str">
        <x:f>IF(17&gt;$H$4,"",IF(INDEX('Fleet dates'!$I$9:$I$1008,$I25-8)="","",INDEX('Fleet dates'!$I$9:$I$1008,$I25-8)))</x:f>
      </x:c>
      <x:c r="I25" t="str">
        <x:f>IF(17&gt;$H$4,"",MATCH(17,'Fleet dates'!$L$9:$L$1008,0)+8)</x:f>
      </x:c>
    </x:row>
    <x:row r="26" ht="36" customHeight="1">
      <x:c r="A26" s="50" t="str">
        <x:f>IF(18&gt;$H$4,"",IF(INDEX('Fleet dates'!$A$9:$A$1008,$I26-8)="","",INDEX('Fleet dates'!$A$9:$A$1008,$I26-8)))</x:f>
      </x:c>
      <x:c r="B26" s="50" t="str">
        <x:f>IF(18&gt;$H$4,"",IF(INDEX('Fleet dates'!$B$9:$B$1008,$I26-8)="","",INDEX('Fleet dates'!$B$9:$B$1008,$I26-8)))</x:f>
      </x:c>
      <x:c r="C26" s="51" t="str">
        <x:f>IF(18&gt;$H$4,"",IF(INDEX('Fleet dates'!$C$9:$C$1008,$I26-8)="","",INDEX('Fleet dates'!$C$9:$C$1008,$I26-8)))</x:f>
      </x:c>
      <x:c r="D26" s="51" t="str">
        <x:f>IF(18&gt;$H$4,"",IF(INDEX('Fleet dates'!$D$9:$D$1008,$I26-8)="","",INDEX('Fleet dates'!$D$9:$D$1008,$I26-8)))</x:f>
      </x:c>
      <x:c r="E26" s="51" t="str">
        <x:f>IF(18&gt;$H$4,"",IF(INDEX('Fleet dates'!$E$9:$E$1008,$I26-8)="","",INDEX('Fleet dates'!$E$9:$E$1008,$I26-8)))</x:f>
      </x:c>
      <x:c r="F26" s="51" t="str">
        <x:f>IF(18&gt;$H$4,"",IF(INDEX('Fleet dates'!$F$9:$F$1008,$I26-8)="","",INDEX('Fleet dates'!$F$9:$F$1008,$I26-8)))</x:f>
      </x:c>
      <x:c r="G26" s="50" t="str">
        <x:f>IF(18&gt;$H$4,"",IF(INDEX('Fleet dates'!$G$9:$G$1008,$I26-8)="","",INDEX('Fleet dates'!$G$9:$G$1008,$I26-8)))</x:f>
      </x:c>
      <x:c r="H26" s="50" t="str">
        <x:f>IF(18&gt;$H$4,"",IF(INDEX('Fleet dates'!$I$9:$I$1008,$I26-8)="","",INDEX('Fleet dates'!$I$9:$I$1008,$I26-8)))</x:f>
      </x:c>
      <x:c r="I26" t="str">
        <x:f>IF(18&gt;$H$4,"",MATCH(18,'Fleet dates'!$L$9:$L$1008,0)+8)</x:f>
      </x:c>
    </x:row>
    <x:row r="27" ht="36" customHeight="1">
      <x:c r="A27" s="50" t="str">
        <x:f>IF(19&gt;$H$4,"",IF(INDEX('Fleet dates'!$A$9:$A$1008,$I27-8)="","",INDEX('Fleet dates'!$A$9:$A$1008,$I27-8)))</x:f>
      </x:c>
      <x:c r="B27" s="50" t="str">
        <x:f>IF(19&gt;$H$4,"",IF(INDEX('Fleet dates'!$B$9:$B$1008,$I27-8)="","",INDEX('Fleet dates'!$B$9:$B$1008,$I27-8)))</x:f>
      </x:c>
      <x:c r="C27" s="51" t="str">
        <x:f>IF(19&gt;$H$4,"",IF(INDEX('Fleet dates'!$C$9:$C$1008,$I27-8)="","",INDEX('Fleet dates'!$C$9:$C$1008,$I27-8)))</x:f>
      </x:c>
      <x:c r="D27" s="51" t="str">
        <x:f>IF(19&gt;$H$4,"",IF(INDEX('Fleet dates'!$D$9:$D$1008,$I27-8)="","",INDEX('Fleet dates'!$D$9:$D$1008,$I27-8)))</x:f>
      </x:c>
      <x:c r="E27" s="51" t="str">
        <x:f>IF(19&gt;$H$4,"",IF(INDEX('Fleet dates'!$E$9:$E$1008,$I27-8)="","",INDEX('Fleet dates'!$E$9:$E$1008,$I27-8)))</x:f>
      </x:c>
      <x:c r="F27" s="51" t="str">
        <x:f>IF(19&gt;$H$4,"",IF(INDEX('Fleet dates'!$F$9:$F$1008,$I27-8)="","",INDEX('Fleet dates'!$F$9:$F$1008,$I27-8)))</x:f>
      </x:c>
      <x:c r="G27" s="50" t="str">
        <x:f>IF(19&gt;$H$4,"",IF(INDEX('Fleet dates'!$G$9:$G$1008,$I27-8)="","",INDEX('Fleet dates'!$G$9:$G$1008,$I27-8)))</x:f>
      </x:c>
      <x:c r="H27" s="50" t="str">
        <x:f>IF(19&gt;$H$4,"",IF(INDEX('Fleet dates'!$I$9:$I$1008,$I27-8)="","",INDEX('Fleet dates'!$I$9:$I$1008,$I27-8)))</x:f>
      </x:c>
      <x:c r="I27" t="str">
        <x:f>IF(19&gt;$H$4,"",MATCH(19,'Fleet dates'!$L$9:$L$1008,0)+8)</x:f>
      </x:c>
    </x:row>
    <x:row r="28" ht="36" customHeight="1">
      <x:c r="A28" s="50" t="str">
        <x:f>IF(20&gt;$H$4,"",IF(INDEX('Fleet dates'!$A$9:$A$1008,$I28-8)="","",INDEX('Fleet dates'!$A$9:$A$1008,$I28-8)))</x:f>
      </x:c>
      <x:c r="B28" s="50" t="str">
        <x:f>IF(20&gt;$H$4,"",IF(INDEX('Fleet dates'!$B$9:$B$1008,$I28-8)="","",INDEX('Fleet dates'!$B$9:$B$1008,$I28-8)))</x:f>
      </x:c>
      <x:c r="C28" s="51" t="str">
        <x:f>IF(20&gt;$H$4,"",IF(INDEX('Fleet dates'!$C$9:$C$1008,$I28-8)="","",INDEX('Fleet dates'!$C$9:$C$1008,$I28-8)))</x:f>
      </x:c>
      <x:c r="D28" s="51" t="str">
        <x:f>IF(20&gt;$H$4,"",IF(INDEX('Fleet dates'!$D$9:$D$1008,$I28-8)="","",INDEX('Fleet dates'!$D$9:$D$1008,$I28-8)))</x:f>
      </x:c>
      <x:c r="E28" s="51" t="str">
        <x:f>IF(20&gt;$H$4,"",IF(INDEX('Fleet dates'!$E$9:$E$1008,$I28-8)="","",INDEX('Fleet dates'!$E$9:$E$1008,$I28-8)))</x:f>
      </x:c>
      <x:c r="F28" s="51" t="str">
        <x:f>IF(20&gt;$H$4,"",IF(INDEX('Fleet dates'!$F$9:$F$1008,$I28-8)="","",INDEX('Fleet dates'!$F$9:$F$1008,$I28-8)))</x:f>
      </x:c>
      <x:c r="G28" s="50" t="str">
        <x:f>IF(20&gt;$H$4,"",IF(INDEX('Fleet dates'!$G$9:$G$1008,$I28-8)="","",INDEX('Fleet dates'!$G$9:$G$1008,$I28-8)))</x:f>
      </x:c>
      <x:c r="H28" s="50" t="str">
        <x:f>IF(20&gt;$H$4,"",IF(INDEX('Fleet dates'!$I$9:$I$1008,$I28-8)="","",INDEX('Fleet dates'!$I$9:$I$1008,$I28-8)))</x:f>
      </x:c>
      <x:c r="I28" t="str">
        <x:f>IF(20&gt;$H$4,"",MATCH(20,'Fleet dates'!$L$9:$L$1008,0)+8)</x:f>
      </x:c>
    </x:row>
    <x:row r="29" ht="36" customHeight="1">
      <x:c r="A29" s="50" t="str">
        <x:f>IF(21&gt;$H$4,"",IF(INDEX('Fleet dates'!$A$9:$A$1008,$I29-8)="","",INDEX('Fleet dates'!$A$9:$A$1008,$I29-8)))</x:f>
      </x:c>
      <x:c r="B29" s="50" t="str">
        <x:f>IF(21&gt;$H$4,"",IF(INDEX('Fleet dates'!$B$9:$B$1008,$I29-8)="","",INDEX('Fleet dates'!$B$9:$B$1008,$I29-8)))</x:f>
      </x:c>
      <x:c r="C29" s="51" t="str">
        <x:f>IF(21&gt;$H$4,"",IF(INDEX('Fleet dates'!$C$9:$C$1008,$I29-8)="","",INDEX('Fleet dates'!$C$9:$C$1008,$I29-8)))</x:f>
      </x:c>
      <x:c r="D29" s="51" t="str">
        <x:f>IF(21&gt;$H$4,"",IF(INDEX('Fleet dates'!$D$9:$D$1008,$I29-8)="","",INDEX('Fleet dates'!$D$9:$D$1008,$I29-8)))</x:f>
      </x:c>
      <x:c r="E29" s="51" t="str">
        <x:f>IF(21&gt;$H$4,"",IF(INDEX('Fleet dates'!$E$9:$E$1008,$I29-8)="","",INDEX('Fleet dates'!$E$9:$E$1008,$I29-8)))</x:f>
      </x:c>
      <x:c r="F29" s="51" t="str">
        <x:f>IF(21&gt;$H$4,"",IF(INDEX('Fleet dates'!$F$9:$F$1008,$I29-8)="","",INDEX('Fleet dates'!$F$9:$F$1008,$I29-8)))</x:f>
      </x:c>
      <x:c r="G29" s="50" t="str">
        <x:f>IF(21&gt;$H$4,"",IF(INDEX('Fleet dates'!$G$9:$G$1008,$I29-8)="","",INDEX('Fleet dates'!$G$9:$G$1008,$I29-8)))</x:f>
      </x:c>
      <x:c r="H29" s="50" t="str">
        <x:f>IF(21&gt;$H$4,"",IF(INDEX('Fleet dates'!$I$9:$I$1008,$I29-8)="","",INDEX('Fleet dates'!$I$9:$I$1008,$I29-8)))</x:f>
      </x:c>
      <x:c r="I29" t="str">
        <x:f>IF(21&gt;$H$4,"",MATCH(21,'Fleet dates'!$L$9:$L$1008,0)+8)</x:f>
      </x:c>
    </x:row>
    <x:row r="30" ht="36" customHeight="1">
      <x:c r="A30" s="50" t="str">
        <x:f>IF(22&gt;$H$4,"",IF(INDEX('Fleet dates'!$A$9:$A$1008,$I30-8)="","",INDEX('Fleet dates'!$A$9:$A$1008,$I30-8)))</x:f>
      </x:c>
      <x:c r="B30" s="50" t="str">
        <x:f>IF(22&gt;$H$4,"",IF(INDEX('Fleet dates'!$B$9:$B$1008,$I30-8)="","",INDEX('Fleet dates'!$B$9:$B$1008,$I30-8)))</x:f>
      </x:c>
      <x:c r="C30" s="51" t="str">
        <x:f>IF(22&gt;$H$4,"",IF(INDEX('Fleet dates'!$C$9:$C$1008,$I30-8)="","",INDEX('Fleet dates'!$C$9:$C$1008,$I30-8)))</x:f>
      </x:c>
      <x:c r="D30" s="51" t="str">
        <x:f>IF(22&gt;$H$4,"",IF(INDEX('Fleet dates'!$D$9:$D$1008,$I30-8)="","",INDEX('Fleet dates'!$D$9:$D$1008,$I30-8)))</x:f>
      </x:c>
      <x:c r="E30" s="51" t="str">
        <x:f>IF(22&gt;$H$4,"",IF(INDEX('Fleet dates'!$E$9:$E$1008,$I30-8)="","",INDEX('Fleet dates'!$E$9:$E$1008,$I30-8)))</x:f>
      </x:c>
      <x:c r="F30" s="51" t="str">
        <x:f>IF(22&gt;$H$4,"",IF(INDEX('Fleet dates'!$F$9:$F$1008,$I30-8)="","",INDEX('Fleet dates'!$F$9:$F$1008,$I30-8)))</x:f>
      </x:c>
      <x:c r="G30" s="50" t="str">
        <x:f>IF(22&gt;$H$4,"",IF(INDEX('Fleet dates'!$G$9:$G$1008,$I30-8)="","",INDEX('Fleet dates'!$G$9:$G$1008,$I30-8)))</x:f>
      </x:c>
      <x:c r="H30" s="50" t="str">
        <x:f>IF(22&gt;$H$4,"",IF(INDEX('Fleet dates'!$I$9:$I$1008,$I30-8)="","",INDEX('Fleet dates'!$I$9:$I$1008,$I30-8)))</x:f>
      </x:c>
      <x:c r="I30" t="str">
        <x:f>IF(22&gt;$H$4,"",MATCH(22,'Fleet dates'!$L$9:$L$1008,0)+8)</x:f>
      </x:c>
    </x:row>
    <x:row r="31" ht="36" customHeight="1">
      <x:c r="A31" s="50" t="str">
        <x:f>IF(23&gt;$H$4,"",IF(INDEX('Fleet dates'!$A$9:$A$1008,$I31-8)="","",INDEX('Fleet dates'!$A$9:$A$1008,$I31-8)))</x:f>
      </x:c>
      <x:c r="B31" s="50" t="str">
        <x:f>IF(23&gt;$H$4,"",IF(INDEX('Fleet dates'!$B$9:$B$1008,$I31-8)="","",INDEX('Fleet dates'!$B$9:$B$1008,$I31-8)))</x:f>
      </x:c>
      <x:c r="C31" s="51" t="str">
        <x:f>IF(23&gt;$H$4,"",IF(INDEX('Fleet dates'!$C$9:$C$1008,$I31-8)="","",INDEX('Fleet dates'!$C$9:$C$1008,$I31-8)))</x:f>
      </x:c>
      <x:c r="D31" s="51" t="str">
        <x:f>IF(23&gt;$H$4,"",IF(INDEX('Fleet dates'!$D$9:$D$1008,$I31-8)="","",INDEX('Fleet dates'!$D$9:$D$1008,$I31-8)))</x:f>
      </x:c>
      <x:c r="E31" s="51" t="str">
        <x:f>IF(23&gt;$H$4,"",IF(INDEX('Fleet dates'!$E$9:$E$1008,$I31-8)="","",INDEX('Fleet dates'!$E$9:$E$1008,$I31-8)))</x:f>
      </x:c>
      <x:c r="F31" s="51" t="str">
        <x:f>IF(23&gt;$H$4,"",IF(INDEX('Fleet dates'!$F$9:$F$1008,$I31-8)="","",INDEX('Fleet dates'!$F$9:$F$1008,$I31-8)))</x:f>
      </x:c>
      <x:c r="G31" s="50" t="str">
        <x:f>IF(23&gt;$H$4,"",IF(INDEX('Fleet dates'!$G$9:$G$1008,$I31-8)="","",INDEX('Fleet dates'!$G$9:$G$1008,$I31-8)))</x:f>
      </x:c>
      <x:c r="H31" s="50" t="str">
        <x:f>IF(23&gt;$H$4,"",IF(INDEX('Fleet dates'!$I$9:$I$1008,$I31-8)="","",INDEX('Fleet dates'!$I$9:$I$1008,$I31-8)))</x:f>
      </x:c>
      <x:c r="I31" t="str">
        <x:f>IF(23&gt;$H$4,"",MATCH(23,'Fleet dates'!$L$9:$L$1008,0)+8)</x:f>
      </x:c>
    </x:row>
    <x:row r="32" ht="36" customHeight="1">
      <x:c r="A32" s="50" t="str">
        <x:f>IF(24&gt;$H$4,"",IF(INDEX('Fleet dates'!$A$9:$A$1008,$I32-8)="","",INDEX('Fleet dates'!$A$9:$A$1008,$I32-8)))</x:f>
      </x:c>
      <x:c r="B32" s="50" t="str">
        <x:f>IF(24&gt;$H$4,"",IF(INDEX('Fleet dates'!$B$9:$B$1008,$I32-8)="","",INDEX('Fleet dates'!$B$9:$B$1008,$I32-8)))</x:f>
      </x:c>
      <x:c r="C32" s="51" t="str">
        <x:f>IF(24&gt;$H$4,"",IF(INDEX('Fleet dates'!$C$9:$C$1008,$I32-8)="","",INDEX('Fleet dates'!$C$9:$C$1008,$I32-8)))</x:f>
      </x:c>
      <x:c r="D32" s="51" t="str">
        <x:f>IF(24&gt;$H$4,"",IF(INDEX('Fleet dates'!$D$9:$D$1008,$I32-8)="","",INDEX('Fleet dates'!$D$9:$D$1008,$I32-8)))</x:f>
      </x:c>
      <x:c r="E32" s="51" t="str">
        <x:f>IF(24&gt;$H$4,"",IF(INDEX('Fleet dates'!$E$9:$E$1008,$I32-8)="","",INDEX('Fleet dates'!$E$9:$E$1008,$I32-8)))</x:f>
      </x:c>
      <x:c r="F32" s="51" t="str">
        <x:f>IF(24&gt;$H$4,"",IF(INDEX('Fleet dates'!$F$9:$F$1008,$I32-8)="","",INDEX('Fleet dates'!$F$9:$F$1008,$I32-8)))</x:f>
      </x:c>
      <x:c r="G32" s="50" t="str">
        <x:f>IF(24&gt;$H$4,"",IF(INDEX('Fleet dates'!$G$9:$G$1008,$I32-8)="","",INDEX('Fleet dates'!$G$9:$G$1008,$I32-8)))</x:f>
      </x:c>
      <x:c r="H32" s="50" t="str">
        <x:f>IF(24&gt;$H$4,"",IF(INDEX('Fleet dates'!$I$9:$I$1008,$I32-8)="","",INDEX('Fleet dates'!$I$9:$I$1008,$I32-8)))</x:f>
      </x:c>
      <x:c r="I32" t="str">
        <x:f>IF(24&gt;$H$4,"",MATCH(24,'Fleet dates'!$L$9:$L$1008,0)+8)</x:f>
      </x:c>
    </x:row>
    <x:row r="33" ht="36" customHeight="1">
      <x:c r="A33" s="50" t="str">
        <x:f>IF(25&gt;$H$4,"",IF(INDEX('Fleet dates'!$A$9:$A$1008,$I33-8)="","",INDEX('Fleet dates'!$A$9:$A$1008,$I33-8)))</x:f>
      </x:c>
      <x:c r="B33" s="50" t="str">
        <x:f>IF(25&gt;$H$4,"",IF(INDEX('Fleet dates'!$B$9:$B$1008,$I33-8)="","",INDEX('Fleet dates'!$B$9:$B$1008,$I33-8)))</x:f>
      </x:c>
      <x:c r="C33" s="51" t="str">
        <x:f>IF(25&gt;$H$4,"",IF(INDEX('Fleet dates'!$C$9:$C$1008,$I33-8)="","",INDEX('Fleet dates'!$C$9:$C$1008,$I33-8)))</x:f>
      </x:c>
      <x:c r="D33" s="51" t="str">
        <x:f>IF(25&gt;$H$4,"",IF(INDEX('Fleet dates'!$D$9:$D$1008,$I33-8)="","",INDEX('Fleet dates'!$D$9:$D$1008,$I33-8)))</x:f>
      </x:c>
      <x:c r="E33" s="51" t="str">
        <x:f>IF(25&gt;$H$4,"",IF(INDEX('Fleet dates'!$E$9:$E$1008,$I33-8)="","",INDEX('Fleet dates'!$E$9:$E$1008,$I33-8)))</x:f>
      </x:c>
      <x:c r="F33" s="51" t="str">
        <x:f>IF(25&gt;$H$4,"",IF(INDEX('Fleet dates'!$F$9:$F$1008,$I33-8)="","",INDEX('Fleet dates'!$F$9:$F$1008,$I33-8)))</x:f>
      </x:c>
      <x:c r="G33" s="50" t="str">
        <x:f>IF(25&gt;$H$4,"",IF(INDEX('Fleet dates'!$G$9:$G$1008,$I33-8)="","",INDEX('Fleet dates'!$G$9:$G$1008,$I33-8)))</x:f>
      </x:c>
      <x:c r="H33" s="50" t="str">
        <x:f>IF(25&gt;$H$4,"",IF(INDEX('Fleet dates'!$I$9:$I$1008,$I33-8)="","",INDEX('Fleet dates'!$I$9:$I$1008,$I33-8)))</x:f>
      </x:c>
      <x:c r="I33" t="str">
        <x:f>IF(25&gt;$H$4,"",MATCH(25,'Fleet dates'!$L$9:$L$1008,0)+8)</x:f>
      </x:c>
    </x:row>
    <x:row r="34" ht="36" customHeight="1">
      <x:c r="A34" s="50" t="str">
        <x:f>IF(26&gt;$H$4,"",IF(INDEX('Fleet dates'!$A$9:$A$1008,$I34-8)="","",INDEX('Fleet dates'!$A$9:$A$1008,$I34-8)))</x:f>
      </x:c>
      <x:c r="B34" s="50" t="str">
        <x:f>IF(26&gt;$H$4,"",IF(INDEX('Fleet dates'!$B$9:$B$1008,$I34-8)="","",INDEX('Fleet dates'!$B$9:$B$1008,$I34-8)))</x:f>
      </x:c>
      <x:c r="C34" s="51" t="str">
        <x:f>IF(26&gt;$H$4,"",IF(INDEX('Fleet dates'!$C$9:$C$1008,$I34-8)="","",INDEX('Fleet dates'!$C$9:$C$1008,$I34-8)))</x:f>
      </x:c>
      <x:c r="D34" s="51" t="str">
        <x:f>IF(26&gt;$H$4,"",IF(INDEX('Fleet dates'!$D$9:$D$1008,$I34-8)="","",INDEX('Fleet dates'!$D$9:$D$1008,$I34-8)))</x:f>
      </x:c>
      <x:c r="E34" s="51" t="str">
        <x:f>IF(26&gt;$H$4,"",IF(INDEX('Fleet dates'!$E$9:$E$1008,$I34-8)="","",INDEX('Fleet dates'!$E$9:$E$1008,$I34-8)))</x:f>
      </x:c>
      <x:c r="F34" s="51" t="str">
        <x:f>IF(26&gt;$H$4,"",IF(INDEX('Fleet dates'!$F$9:$F$1008,$I34-8)="","",INDEX('Fleet dates'!$F$9:$F$1008,$I34-8)))</x:f>
      </x:c>
      <x:c r="G34" s="50" t="str">
        <x:f>IF(26&gt;$H$4,"",IF(INDEX('Fleet dates'!$G$9:$G$1008,$I34-8)="","",INDEX('Fleet dates'!$G$9:$G$1008,$I34-8)))</x:f>
      </x:c>
      <x:c r="H34" s="50" t="str">
        <x:f>IF(26&gt;$H$4,"",IF(INDEX('Fleet dates'!$I$9:$I$1008,$I34-8)="","",INDEX('Fleet dates'!$I$9:$I$1008,$I34-8)))</x:f>
      </x:c>
      <x:c r="I34" t="str">
        <x:f>IF(26&gt;$H$4,"",MATCH(26,'Fleet dates'!$L$9:$L$1008,0)+8)</x:f>
      </x:c>
    </x:row>
    <x:row r="35" ht="36" customHeight="1">
      <x:c r="A35" s="50" t="str">
        <x:f>IF(27&gt;$H$4,"",IF(INDEX('Fleet dates'!$A$9:$A$1008,$I35-8)="","",INDEX('Fleet dates'!$A$9:$A$1008,$I35-8)))</x:f>
      </x:c>
      <x:c r="B35" s="50" t="str">
        <x:f>IF(27&gt;$H$4,"",IF(INDEX('Fleet dates'!$B$9:$B$1008,$I35-8)="","",INDEX('Fleet dates'!$B$9:$B$1008,$I35-8)))</x:f>
      </x:c>
      <x:c r="C35" s="51" t="str">
        <x:f>IF(27&gt;$H$4,"",IF(INDEX('Fleet dates'!$C$9:$C$1008,$I35-8)="","",INDEX('Fleet dates'!$C$9:$C$1008,$I35-8)))</x:f>
      </x:c>
      <x:c r="D35" s="51" t="str">
        <x:f>IF(27&gt;$H$4,"",IF(INDEX('Fleet dates'!$D$9:$D$1008,$I35-8)="","",INDEX('Fleet dates'!$D$9:$D$1008,$I35-8)))</x:f>
      </x:c>
      <x:c r="E35" s="51" t="str">
        <x:f>IF(27&gt;$H$4,"",IF(INDEX('Fleet dates'!$E$9:$E$1008,$I35-8)="","",INDEX('Fleet dates'!$E$9:$E$1008,$I35-8)))</x:f>
      </x:c>
      <x:c r="F35" s="51" t="str">
        <x:f>IF(27&gt;$H$4,"",IF(INDEX('Fleet dates'!$F$9:$F$1008,$I35-8)="","",INDEX('Fleet dates'!$F$9:$F$1008,$I35-8)))</x:f>
      </x:c>
      <x:c r="G35" s="50" t="str">
        <x:f>IF(27&gt;$H$4,"",IF(INDEX('Fleet dates'!$G$9:$G$1008,$I35-8)="","",INDEX('Fleet dates'!$G$9:$G$1008,$I35-8)))</x:f>
      </x:c>
      <x:c r="H35" s="50" t="str">
        <x:f>IF(27&gt;$H$4,"",IF(INDEX('Fleet dates'!$I$9:$I$1008,$I35-8)="","",INDEX('Fleet dates'!$I$9:$I$1008,$I35-8)))</x:f>
      </x:c>
      <x:c r="I35" t="str">
        <x:f>IF(27&gt;$H$4,"",MATCH(27,'Fleet dates'!$L$9:$L$1008,0)+8)</x:f>
      </x:c>
    </x:row>
    <x:row r="36" ht="36" customHeight="1">
      <x:c r="A36" s="50" t="str">
        <x:f>IF(28&gt;$H$4,"",IF(INDEX('Fleet dates'!$A$9:$A$1008,$I36-8)="","",INDEX('Fleet dates'!$A$9:$A$1008,$I36-8)))</x:f>
      </x:c>
      <x:c r="B36" s="50" t="str">
        <x:f>IF(28&gt;$H$4,"",IF(INDEX('Fleet dates'!$B$9:$B$1008,$I36-8)="","",INDEX('Fleet dates'!$B$9:$B$1008,$I36-8)))</x:f>
      </x:c>
      <x:c r="C36" s="51" t="str">
        <x:f>IF(28&gt;$H$4,"",IF(INDEX('Fleet dates'!$C$9:$C$1008,$I36-8)="","",INDEX('Fleet dates'!$C$9:$C$1008,$I36-8)))</x:f>
      </x:c>
      <x:c r="D36" s="51" t="str">
        <x:f>IF(28&gt;$H$4,"",IF(INDEX('Fleet dates'!$D$9:$D$1008,$I36-8)="","",INDEX('Fleet dates'!$D$9:$D$1008,$I36-8)))</x:f>
      </x:c>
      <x:c r="E36" s="51" t="str">
        <x:f>IF(28&gt;$H$4,"",IF(INDEX('Fleet dates'!$E$9:$E$1008,$I36-8)="","",INDEX('Fleet dates'!$E$9:$E$1008,$I36-8)))</x:f>
      </x:c>
      <x:c r="F36" s="51" t="str">
        <x:f>IF(28&gt;$H$4,"",IF(INDEX('Fleet dates'!$F$9:$F$1008,$I36-8)="","",INDEX('Fleet dates'!$F$9:$F$1008,$I36-8)))</x:f>
      </x:c>
      <x:c r="G36" s="50" t="str">
        <x:f>IF(28&gt;$H$4,"",IF(INDEX('Fleet dates'!$G$9:$G$1008,$I36-8)="","",INDEX('Fleet dates'!$G$9:$G$1008,$I36-8)))</x:f>
      </x:c>
      <x:c r="H36" s="50" t="str">
        <x:f>IF(28&gt;$H$4,"",IF(INDEX('Fleet dates'!$I$9:$I$1008,$I36-8)="","",INDEX('Fleet dates'!$I$9:$I$1008,$I36-8)))</x:f>
      </x:c>
      <x:c r="I36" t="str">
        <x:f>IF(28&gt;$H$4,"",MATCH(28,'Fleet dates'!$L$9:$L$1008,0)+8)</x:f>
      </x:c>
    </x:row>
    <x:row r="37" ht="36" customHeight="1">
      <x:c r="A37" s="50" t="str">
        <x:f>IF(29&gt;$H$4,"",IF(INDEX('Fleet dates'!$A$9:$A$1008,$I37-8)="","",INDEX('Fleet dates'!$A$9:$A$1008,$I37-8)))</x:f>
      </x:c>
      <x:c r="B37" s="50" t="str">
        <x:f>IF(29&gt;$H$4,"",IF(INDEX('Fleet dates'!$B$9:$B$1008,$I37-8)="","",INDEX('Fleet dates'!$B$9:$B$1008,$I37-8)))</x:f>
      </x:c>
      <x:c r="C37" s="51" t="str">
        <x:f>IF(29&gt;$H$4,"",IF(INDEX('Fleet dates'!$C$9:$C$1008,$I37-8)="","",INDEX('Fleet dates'!$C$9:$C$1008,$I37-8)))</x:f>
      </x:c>
      <x:c r="D37" s="51" t="str">
        <x:f>IF(29&gt;$H$4,"",IF(INDEX('Fleet dates'!$D$9:$D$1008,$I37-8)="","",INDEX('Fleet dates'!$D$9:$D$1008,$I37-8)))</x:f>
      </x:c>
      <x:c r="E37" s="51" t="str">
        <x:f>IF(29&gt;$H$4,"",IF(INDEX('Fleet dates'!$E$9:$E$1008,$I37-8)="","",INDEX('Fleet dates'!$E$9:$E$1008,$I37-8)))</x:f>
      </x:c>
      <x:c r="F37" s="51" t="str">
        <x:f>IF(29&gt;$H$4,"",IF(INDEX('Fleet dates'!$F$9:$F$1008,$I37-8)="","",INDEX('Fleet dates'!$F$9:$F$1008,$I37-8)))</x:f>
      </x:c>
      <x:c r="G37" s="50" t="str">
        <x:f>IF(29&gt;$H$4,"",IF(INDEX('Fleet dates'!$G$9:$G$1008,$I37-8)="","",INDEX('Fleet dates'!$G$9:$G$1008,$I37-8)))</x:f>
      </x:c>
      <x:c r="H37" s="50" t="str">
        <x:f>IF(29&gt;$H$4,"",IF(INDEX('Fleet dates'!$I$9:$I$1008,$I37-8)="","",INDEX('Fleet dates'!$I$9:$I$1008,$I37-8)))</x:f>
      </x:c>
      <x:c r="I37" t="str">
        <x:f>IF(29&gt;$H$4,"",MATCH(29,'Fleet dates'!$L$9:$L$1008,0)+8)</x:f>
      </x:c>
    </x:row>
    <x:row r="38" ht="36" customHeight="1">
      <x:c r="A38" s="50" t="str">
        <x:f>IF(30&gt;$H$4,"",IF(INDEX('Fleet dates'!$A$9:$A$1008,$I38-8)="","",INDEX('Fleet dates'!$A$9:$A$1008,$I38-8)))</x:f>
      </x:c>
      <x:c r="B38" s="50" t="str">
        <x:f>IF(30&gt;$H$4,"",IF(INDEX('Fleet dates'!$B$9:$B$1008,$I38-8)="","",INDEX('Fleet dates'!$B$9:$B$1008,$I38-8)))</x:f>
      </x:c>
      <x:c r="C38" s="51" t="str">
        <x:f>IF(30&gt;$H$4,"",IF(INDEX('Fleet dates'!$C$9:$C$1008,$I38-8)="","",INDEX('Fleet dates'!$C$9:$C$1008,$I38-8)))</x:f>
      </x:c>
      <x:c r="D38" s="51" t="str">
        <x:f>IF(30&gt;$H$4,"",IF(INDEX('Fleet dates'!$D$9:$D$1008,$I38-8)="","",INDEX('Fleet dates'!$D$9:$D$1008,$I38-8)))</x:f>
      </x:c>
      <x:c r="E38" s="51" t="str">
        <x:f>IF(30&gt;$H$4,"",IF(INDEX('Fleet dates'!$E$9:$E$1008,$I38-8)="","",INDEX('Fleet dates'!$E$9:$E$1008,$I38-8)))</x:f>
      </x:c>
      <x:c r="F38" s="51" t="str">
        <x:f>IF(30&gt;$H$4,"",IF(INDEX('Fleet dates'!$F$9:$F$1008,$I38-8)="","",INDEX('Fleet dates'!$F$9:$F$1008,$I38-8)))</x:f>
      </x:c>
      <x:c r="G38" s="50" t="str">
        <x:f>IF(30&gt;$H$4,"",IF(INDEX('Fleet dates'!$G$9:$G$1008,$I38-8)="","",INDEX('Fleet dates'!$G$9:$G$1008,$I38-8)))</x:f>
      </x:c>
      <x:c r="H38" s="50" t="str">
        <x:f>IF(30&gt;$H$4,"",IF(INDEX('Fleet dates'!$I$9:$I$1008,$I38-8)="","",INDEX('Fleet dates'!$I$9:$I$1008,$I38-8)))</x:f>
      </x:c>
      <x:c r="I38" t="str">
        <x:f>IF(30&gt;$H$4,"",MATCH(30,'Fleet dates'!$L$9:$L$1008,0)+8)</x:f>
      </x:c>
    </x:row>
    <x:row r="39" ht="36" customHeight="1">
      <x:c r="A39" s="50" t="str">
        <x:f>IF(31&gt;$H$4,"",IF(INDEX('Fleet dates'!$A$9:$A$1008,$I39-8)="","",INDEX('Fleet dates'!$A$9:$A$1008,$I39-8)))</x:f>
      </x:c>
      <x:c r="B39" s="50" t="str">
        <x:f>IF(31&gt;$H$4,"",IF(INDEX('Fleet dates'!$B$9:$B$1008,$I39-8)="","",INDEX('Fleet dates'!$B$9:$B$1008,$I39-8)))</x:f>
      </x:c>
      <x:c r="C39" s="51" t="str">
        <x:f>IF(31&gt;$H$4,"",IF(INDEX('Fleet dates'!$C$9:$C$1008,$I39-8)="","",INDEX('Fleet dates'!$C$9:$C$1008,$I39-8)))</x:f>
      </x:c>
      <x:c r="D39" s="51" t="str">
        <x:f>IF(31&gt;$H$4,"",IF(INDEX('Fleet dates'!$D$9:$D$1008,$I39-8)="","",INDEX('Fleet dates'!$D$9:$D$1008,$I39-8)))</x:f>
      </x:c>
      <x:c r="E39" s="51" t="str">
        <x:f>IF(31&gt;$H$4,"",IF(INDEX('Fleet dates'!$E$9:$E$1008,$I39-8)="","",INDEX('Fleet dates'!$E$9:$E$1008,$I39-8)))</x:f>
      </x:c>
      <x:c r="F39" s="51" t="str">
        <x:f>IF(31&gt;$H$4,"",IF(INDEX('Fleet dates'!$F$9:$F$1008,$I39-8)="","",INDEX('Fleet dates'!$F$9:$F$1008,$I39-8)))</x:f>
      </x:c>
      <x:c r="G39" s="50" t="str">
        <x:f>IF(31&gt;$H$4,"",IF(INDEX('Fleet dates'!$G$9:$G$1008,$I39-8)="","",INDEX('Fleet dates'!$G$9:$G$1008,$I39-8)))</x:f>
      </x:c>
      <x:c r="H39" s="50" t="str">
        <x:f>IF(31&gt;$H$4,"",IF(INDEX('Fleet dates'!$I$9:$I$1008,$I39-8)="","",INDEX('Fleet dates'!$I$9:$I$1008,$I39-8)))</x:f>
      </x:c>
      <x:c r="I39" t="str">
        <x:f>IF(31&gt;$H$4,"",MATCH(31,'Fleet dates'!$L$9:$L$1008,0)+8)</x:f>
      </x:c>
    </x:row>
    <x:row r="40" ht="36" customHeight="1">
      <x:c r="A40" s="50" t="str">
        <x:f>IF(32&gt;$H$4,"",IF(INDEX('Fleet dates'!$A$9:$A$1008,$I40-8)="","",INDEX('Fleet dates'!$A$9:$A$1008,$I40-8)))</x:f>
      </x:c>
      <x:c r="B40" s="50" t="str">
        <x:f>IF(32&gt;$H$4,"",IF(INDEX('Fleet dates'!$B$9:$B$1008,$I40-8)="","",INDEX('Fleet dates'!$B$9:$B$1008,$I40-8)))</x:f>
      </x:c>
      <x:c r="C40" s="51" t="str">
        <x:f>IF(32&gt;$H$4,"",IF(INDEX('Fleet dates'!$C$9:$C$1008,$I40-8)="","",INDEX('Fleet dates'!$C$9:$C$1008,$I40-8)))</x:f>
      </x:c>
      <x:c r="D40" s="51" t="str">
        <x:f>IF(32&gt;$H$4,"",IF(INDEX('Fleet dates'!$D$9:$D$1008,$I40-8)="","",INDEX('Fleet dates'!$D$9:$D$1008,$I40-8)))</x:f>
      </x:c>
      <x:c r="E40" s="51" t="str">
        <x:f>IF(32&gt;$H$4,"",IF(INDEX('Fleet dates'!$E$9:$E$1008,$I40-8)="","",INDEX('Fleet dates'!$E$9:$E$1008,$I40-8)))</x:f>
      </x:c>
      <x:c r="F40" s="51" t="str">
        <x:f>IF(32&gt;$H$4,"",IF(INDEX('Fleet dates'!$F$9:$F$1008,$I40-8)="","",INDEX('Fleet dates'!$F$9:$F$1008,$I40-8)))</x:f>
      </x:c>
      <x:c r="G40" s="50" t="str">
        <x:f>IF(32&gt;$H$4,"",IF(INDEX('Fleet dates'!$G$9:$G$1008,$I40-8)="","",INDEX('Fleet dates'!$G$9:$G$1008,$I40-8)))</x:f>
      </x:c>
      <x:c r="H40" s="50" t="str">
        <x:f>IF(32&gt;$H$4,"",IF(INDEX('Fleet dates'!$I$9:$I$1008,$I40-8)="","",INDEX('Fleet dates'!$I$9:$I$1008,$I40-8)))</x:f>
      </x:c>
      <x:c r="I40" t="str">
        <x:f>IF(32&gt;$H$4,"",MATCH(32,'Fleet dates'!$L$9:$L$1008,0)+8)</x:f>
      </x:c>
    </x:row>
    <x:row r="41" ht="36" customHeight="1">
      <x:c r="A41" s="50" t="str">
        <x:f>IF(33&gt;$H$4,"",IF(INDEX('Fleet dates'!$A$9:$A$1008,$I41-8)="","",INDEX('Fleet dates'!$A$9:$A$1008,$I41-8)))</x:f>
      </x:c>
      <x:c r="B41" s="50" t="str">
        <x:f>IF(33&gt;$H$4,"",IF(INDEX('Fleet dates'!$B$9:$B$1008,$I41-8)="","",INDEX('Fleet dates'!$B$9:$B$1008,$I41-8)))</x:f>
      </x:c>
      <x:c r="C41" s="51" t="str">
        <x:f>IF(33&gt;$H$4,"",IF(INDEX('Fleet dates'!$C$9:$C$1008,$I41-8)="","",INDEX('Fleet dates'!$C$9:$C$1008,$I41-8)))</x:f>
      </x:c>
      <x:c r="D41" s="51" t="str">
        <x:f>IF(33&gt;$H$4,"",IF(INDEX('Fleet dates'!$D$9:$D$1008,$I41-8)="","",INDEX('Fleet dates'!$D$9:$D$1008,$I41-8)))</x:f>
      </x:c>
      <x:c r="E41" s="51" t="str">
        <x:f>IF(33&gt;$H$4,"",IF(INDEX('Fleet dates'!$E$9:$E$1008,$I41-8)="","",INDEX('Fleet dates'!$E$9:$E$1008,$I41-8)))</x:f>
      </x:c>
      <x:c r="F41" s="51" t="str">
        <x:f>IF(33&gt;$H$4,"",IF(INDEX('Fleet dates'!$F$9:$F$1008,$I41-8)="","",INDEX('Fleet dates'!$F$9:$F$1008,$I41-8)))</x:f>
      </x:c>
      <x:c r="G41" s="50" t="str">
        <x:f>IF(33&gt;$H$4,"",IF(INDEX('Fleet dates'!$G$9:$G$1008,$I41-8)="","",INDEX('Fleet dates'!$G$9:$G$1008,$I41-8)))</x:f>
      </x:c>
      <x:c r="H41" s="50" t="str">
        <x:f>IF(33&gt;$H$4,"",IF(INDEX('Fleet dates'!$I$9:$I$1008,$I41-8)="","",INDEX('Fleet dates'!$I$9:$I$1008,$I41-8)))</x:f>
      </x:c>
      <x:c r="I41" t="str">
        <x:f>IF(33&gt;$H$4,"",MATCH(33,'Fleet dates'!$L$9:$L$1008,0)+8)</x:f>
      </x:c>
    </x:row>
    <x:row r="42" ht="36" customHeight="1">
      <x:c r="A42" s="50" t="str">
        <x:f>IF(34&gt;$H$4,"",IF(INDEX('Fleet dates'!$A$9:$A$1008,$I42-8)="","",INDEX('Fleet dates'!$A$9:$A$1008,$I42-8)))</x:f>
      </x:c>
      <x:c r="B42" s="50" t="str">
        <x:f>IF(34&gt;$H$4,"",IF(INDEX('Fleet dates'!$B$9:$B$1008,$I42-8)="","",INDEX('Fleet dates'!$B$9:$B$1008,$I42-8)))</x:f>
      </x:c>
      <x:c r="C42" s="51" t="str">
        <x:f>IF(34&gt;$H$4,"",IF(INDEX('Fleet dates'!$C$9:$C$1008,$I42-8)="","",INDEX('Fleet dates'!$C$9:$C$1008,$I42-8)))</x:f>
      </x:c>
      <x:c r="D42" s="51" t="str">
        <x:f>IF(34&gt;$H$4,"",IF(INDEX('Fleet dates'!$D$9:$D$1008,$I42-8)="","",INDEX('Fleet dates'!$D$9:$D$1008,$I42-8)))</x:f>
      </x:c>
      <x:c r="E42" s="51" t="str">
        <x:f>IF(34&gt;$H$4,"",IF(INDEX('Fleet dates'!$E$9:$E$1008,$I42-8)="","",INDEX('Fleet dates'!$E$9:$E$1008,$I42-8)))</x:f>
      </x:c>
      <x:c r="F42" s="51" t="str">
        <x:f>IF(34&gt;$H$4,"",IF(INDEX('Fleet dates'!$F$9:$F$1008,$I42-8)="","",INDEX('Fleet dates'!$F$9:$F$1008,$I42-8)))</x:f>
      </x:c>
      <x:c r="G42" s="50" t="str">
        <x:f>IF(34&gt;$H$4,"",IF(INDEX('Fleet dates'!$G$9:$G$1008,$I42-8)="","",INDEX('Fleet dates'!$G$9:$G$1008,$I42-8)))</x:f>
      </x:c>
      <x:c r="H42" s="50" t="str">
        <x:f>IF(34&gt;$H$4,"",IF(INDEX('Fleet dates'!$I$9:$I$1008,$I42-8)="","",INDEX('Fleet dates'!$I$9:$I$1008,$I42-8)))</x:f>
      </x:c>
      <x:c r="I42" t="str">
        <x:f>IF(34&gt;$H$4,"",MATCH(34,'Fleet dates'!$L$9:$L$1008,0)+8)</x:f>
      </x:c>
    </x:row>
    <x:row r="43" ht="36" customHeight="1">
      <x:c r="A43" s="50" t="str">
        <x:f>IF(35&gt;$H$4,"",IF(INDEX('Fleet dates'!$A$9:$A$1008,$I43-8)="","",INDEX('Fleet dates'!$A$9:$A$1008,$I43-8)))</x:f>
      </x:c>
      <x:c r="B43" s="50" t="str">
        <x:f>IF(35&gt;$H$4,"",IF(INDEX('Fleet dates'!$B$9:$B$1008,$I43-8)="","",INDEX('Fleet dates'!$B$9:$B$1008,$I43-8)))</x:f>
      </x:c>
      <x:c r="C43" s="51" t="str">
        <x:f>IF(35&gt;$H$4,"",IF(INDEX('Fleet dates'!$C$9:$C$1008,$I43-8)="","",INDEX('Fleet dates'!$C$9:$C$1008,$I43-8)))</x:f>
      </x:c>
      <x:c r="D43" s="51" t="str">
        <x:f>IF(35&gt;$H$4,"",IF(INDEX('Fleet dates'!$D$9:$D$1008,$I43-8)="","",INDEX('Fleet dates'!$D$9:$D$1008,$I43-8)))</x:f>
      </x:c>
      <x:c r="E43" s="51" t="str">
        <x:f>IF(35&gt;$H$4,"",IF(INDEX('Fleet dates'!$E$9:$E$1008,$I43-8)="","",INDEX('Fleet dates'!$E$9:$E$1008,$I43-8)))</x:f>
      </x:c>
      <x:c r="F43" s="51" t="str">
        <x:f>IF(35&gt;$H$4,"",IF(INDEX('Fleet dates'!$F$9:$F$1008,$I43-8)="","",INDEX('Fleet dates'!$F$9:$F$1008,$I43-8)))</x:f>
      </x:c>
      <x:c r="G43" s="50" t="str">
        <x:f>IF(35&gt;$H$4,"",IF(INDEX('Fleet dates'!$G$9:$G$1008,$I43-8)="","",INDEX('Fleet dates'!$G$9:$G$1008,$I43-8)))</x:f>
      </x:c>
      <x:c r="H43" s="50" t="str">
        <x:f>IF(35&gt;$H$4,"",IF(INDEX('Fleet dates'!$I$9:$I$1008,$I43-8)="","",INDEX('Fleet dates'!$I$9:$I$1008,$I43-8)))</x:f>
      </x:c>
      <x:c r="I43" t="str">
        <x:f>IF(35&gt;$H$4,"",MATCH(35,'Fleet dates'!$L$9:$L$1008,0)+8)</x:f>
      </x:c>
    </x:row>
    <x:row r="44" ht="36" customHeight="1">
      <x:c r="A44" s="50" t="str">
        <x:f>IF(36&gt;$H$4,"",IF(INDEX('Fleet dates'!$A$9:$A$1008,$I44-8)="","",INDEX('Fleet dates'!$A$9:$A$1008,$I44-8)))</x:f>
      </x:c>
      <x:c r="B44" s="50" t="str">
        <x:f>IF(36&gt;$H$4,"",IF(INDEX('Fleet dates'!$B$9:$B$1008,$I44-8)="","",INDEX('Fleet dates'!$B$9:$B$1008,$I44-8)))</x:f>
      </x:c>
      <x:c r="C44" s="51" t="str">
        <x:f>IF(36&gt;$H$4,"",IF(INDEX('Fleet dates'!$C$9:$C$1008,$I44-8)="","",INDEX('Fleet dates'!$C$9:$C$1008,$I44-8)))</x:f>
      </x:c>
      <x:c r="D44" s="51" t="str">
        <x:f>IF(36&gt;$H$4,"",IF(INDEX('Fleet dates'!$D$9:$D$1008,$I44-8)="","",INDEX('Fleet dates'!$D$9:$D$1008,$I44-8)))</x:f>
      </x:c>
      <x:c r="E44" s="51" t="str">
        <x:f>IF(36&gt;$H$4,"",IF(INDEX('Fleet dates'!$E$9:$E$1008,$I44-8)="","",INDEX('Fleet dates'!$E$9:$E$1008,$I44-8)))</x:f>
      </x:c>
      <x:c r="F44" s="51" t="str">
        <x:f>IF(36&gt;$H$4,"",IF(INDEX('Fleet dates'!$F$9:$F$1008,$I44-8)="","",INDEX('Fleet dates'!$F$9:$F$1008,$I44-8)))</x:f>
      </x:c>
      <x:c r="G44" s="50" t="str">
        <x:f>IF(36&gt;$H$4,"",IF(INDEX('Fleet dates'!$G$9:$G$1008,$I44-8)="","",INDEX('Fleet dates'!$G$9:$G$1008,$I44-8)))</x:f>
      </x:c>
      <x:c r="H44" s="50" t="str">
        <x:f>IF(36&gt;$H$4,"",IF(INDEX('Fleet dates'!$I$9:$I$1008,$I44-8)="","",INDEX('Fleet dates'!$I$9:$I$1008,$I44-8)))</x:f>
      </x:c>
      <x:c r="I44" t="str">
        <x:f>IF(36&gt;$H$4,"",MATCH(36,'Fleet dates'!$L$9:$L$1008,0)+8)</x:f>
      </x:c>
    </x:row>
    <x:row r="45" ht="36" customHeight="1">
      <x:c r="A45" s="50" t="str">
        <x:f>IF(37&gt;$H$4,"",IF(INDEX('Fleet dates'!$A$9:$A$1008,$I45-8)="","",INDEX('Fleet dates'!$A$9:$A$1008,$I45-8)))</x:f>
      </x:c>
      <x:c r="B45" s="50" t="str">
        <x:f>IF(37&gt;$H$4,"",IF(INDEX('Fleet dates'!$B$9:$B$1008,$I45-8)="","",INDEX('Fleet dates'!$B$9:$B$1008,$I45-8)))</x:f>
      </x:c>
      <x:c r="C45" s="51" t="str">
        <x:f>IF(37&gt;$H$4,"",IF(INDEX('Fleet dates'!$C$9:$C$1008,$I45-8)="","",INDEX('Fleet dates'!$C$9:$C$1008,$I45-8)))</x:f>
      </x:c>
      <x:c r="D45" s="51" t="str">
        <x:f>IF(37&gt;$H$4,"",IF(INDEX('Fleet dates'!$D$9:$D$1008,$I45-8)="","",INDEX('Fleet dates'!$D$9:$D$1008,$I45-8)))</x:f>
      </x:c>
      <x:c r="E45" s="51" t="str">
        <x:f>IF(37&gt;$H$4,"",IF(INDEX('Fleet dates'!$E$9:$E$1008,$I45-8)="","",INDEX('Fleet dates'!$E$9:$E$1008,$I45-8)))</x:f>
      </x:c>
      <x:c r="F45" s="51" t="str">
        <x:f>IF(37&gt;$H$4,"",IF(INDEX('Fleet dates'!$F$9:$F$1008,$I45-8)="","",INDEX('Fleet dates'!$F$9:$F$1008,$I45-8)))</x:f>
      </x:c>
      <x:c r="G45" s="50" t="str">
        <x:f>IF(37&gt;$H$4,"",IF(INDEX('Fleet dates'!$G$9:$G$1008,$I45-8)="","",INDEX('Fleet dates'!$G$9:$G$1008,$I45-8)))</x:f>
      </x:c>
      <x:c r="H45" s="50" t="str">
        <x:f>IF(37&gt;$H$4,"",IF(INDEX('Fleet dates'!$I$9:$I$1008,$I45-8)="","",INDEX('Fleet dates'!$I$9:$I$1008,$I45-8)))</x:f>
      </x:c>
      <x:c r="I45" t="str">
        <x:f>IF(37&gt;$H$4,"",MATCH(37,'Fleet dates'!$L$9:$L$1008,0)+8)</x:f>
      </x:c>
    </x:row>
    <x:row r="46" ht="36" customHeight="1">
      <x:c r="A46" s="50" t="str">
        <x:f>IF(38&gt;$H$4,"",IF(INDEX('Fleet dates'!$A$9:$A$1008,$I46-8)="","",INDEX('Fleet dates'!$A$9:$A$1008,$I46-8)))</x:f>
      </x:c>
      <x:c r="B46" s="50" t="str">
        <x:f>IF(38&gt;$H$4,"",IF(INDEX('Fleet dates'!$B$9:$B$1008,$I46-8)="","",INDEX('Fleet dates'!$B$9:$B$1008,$I46-8)))</x:f>
      </x:c>
      <x:c r="C46" s="51" t="str">
        <x:f>IF(38&gt;$H$4,"",IF(INDEX('Fleet dates'!$C$9:$C$1008,$I46-8)="","",INDEX('Fleet dates'!$C$9:$C$1008,$I46-8)))</x:f>
      </x:c>
      <x:c r="D46" s="51" t="str">
        <x:f>IF(38&gt;$H$4,"",IF(INDEX('Fleet dates'!$D$9:$D$1008,$I46-8)="","",INDEX('Fleet dates'!$D$9:$D$1008,$I46-8)))</x:f>
      </x:c>
      <x:c r="E46" s="51" t="str">
        <x:f>IF(38&gt;$H$4,"",IF(INDEX('Fleet dates'!$E$9:$E$1008,$I46-8)="","",INDEX('Fleet dates'!$E$9:$E$1008,$I46-8)))</x:f>
      </x:c>
      <x:c r="F46" s="51" t="str">
        <x:f>IF(38&gt;$H$4,"",IF(INDEX('Fleet dates'!$F$9:$F$1008,$I46-8)="","",INDEX('Fleet dates'!$F$9:$F$1008,$I46-8)))</x:f>
      </x:c>
      <x:c r="G46" s="50" t="str">
        <x:f>IF(38&gt;$H$4,"",IF(INDEX('Fleet dates'!$G$9:$G$1008,$I46-8)="","",INDEX('Fleet dates'!$G$9:$G$1008,$I46-8)))</x:f>
      </x:c>
      <x:c r="H46" s="50" t="str">
        <x:f>IF(38&gt;$H$4,"",IF(INDEX('Fleet dates'!$I$9:$I$1008,$I46-8)="","",INDEX('Fleet dates'!$I$9:$I$1008,$I46-8)))</x:f>
      </x:c>
      <x:c r="I46" t="str">
        <x:f>IF(38&gt;$H$4,"",MATCH(38,'Fleet dates'!$L$9:$L$1008,0)+8)</x:f>
      </x:c>
    </x:row>
    <x:row r="47" ht="36" customHeight="1">
      <x:c r="A47" s="50" t="str">
        <x:f>IF(39&gt;$H$4,"",IF(INDEX('Fleet dates'!$A$9:$A$1008,$I47-8)="","",INDEX('Fleet dates'!$A$9:$A$1008,$I47-8)))</x:f>
      </x:c>
      <x:c r="B47" s="50" t="str">
        <x:f>IF(39&gt;$H$4,"",IF(INDEX('Fleet dates'!$B$9:$B$1008,$I47-8)="","",INDEX('Fleet dates'!$B$9:$B$1008,$I47-8)))</x:f>
      </x:c>
      <x:c r="C47" s="51" t="str">
        <x:f>IF(39&gt;$H$4,"",IF(INDEX('Fleet dates'!$C$9:$C$1008,$I47-8)="","",INDEX('Fleet dates'!$C$9:$C$1008,$I47-8)))</x:f>
      </x:c>
      <x:c r="D47" s="51" t="str">
        <x:f>IF(39&gt;$H$4,"",IF(INDEX('Fleet dates'!$D$9:$D$1008,$I47-8)="","",INDEX('Fleet dates'!$D$9:$D$1008,$I47-8)))</x:f>
      </x:c>
      <x:c r="E47" s="51" t="str">
        <x:f>IF(39&gt;$H$4,"",IF(INDEX('Fleet dates'!$E$9:$E$1008,$I47-8)="","",INDEX('Fleet dates'!$E$9:$E$1008,$I47-8)))</x:f>
      </x:c>
      <x:c r="F47" s="51" t="str">
        <x:f>IF(39&gt;$H$4,"",IF(INDEX('Fleet dates'!$F$9:$F$1008,$I47-8)="","",INDEX('Fleet dates'!$F$9:$F$1008,$I47-8)))</x:f>
      </x:c>
      <x:c r="G47" s="50" t="str">
        <x:f>IF(39&gt;$H$4,"",IF(INDEX('Fleet dates'!$G$9:$G$1008,$I47-8)="","",INDEX('Fleet dates'!$G$9:$G$1008,$I47-8)))</x:f>
      </x:c>
      <x:c r="H47" s="50" t="str">
        <x:f>IF(39&gt;$H$4,"",IF(INDEX('Fleet dates'!$I$9:$I$1008,$I47-8)="","",INDEX('Fleet dates'!$I$9:$I$1008,$I47-8)))</x:f>
      </x:c>
      <x:c r="I47" t="str">
        <x:f>IF(39&gt;$H$4,"",MATCH(39,'Fleet dates'!$L$9:$L$1008,0)+8)</x:f>
      </x:c>
    </x:row>
    <x:row r="48" ht="36" customHeight="1">
      <x:c r="A48" s="50" t="str">
        <x:f>IF(40&gt;$H$4,"",IF(INDEX('Fleet dates'!$A$9:$A$1008,$I48-8)="","",INDEX('Fleet dates'!$A$9:$A$1008,$I48-8)))</x:f>
      </x:c>
      <x:c r="B48" s="50" t="str">
        <x:f>IF(40&gt;$H$4,"",IF(INDEX('Fleet dates'!$B$9:$B$1008,$I48-8)="","",INDEX('Fleet dates'!$B$9:$B$1008,$I48-8)))</x:f>
      </x:c>
      <x:c r="C48" s="51" t="str">
        <x:f>IF(40&gt;$H$4,"",IF(INDEX('Fleet dates'!$C$9:$C$1008,$I48-8)="","",INDEX('Fleet dates'!$C$9:$C$1008,$I48-8)))</x:f>
      </x:c>
      <x:c r="D48" s="51" t="str">
        <x:f>IF(40&gt;$H$4,"",IF(INDEX('Fleet dates'!$D$9:$D$1008,$I48-8)="","",INDEX('Fleet dates'!$D$9:$D$1008,$I48-8)))</x:f>
      </x:c>
      <x:c r="E48" s="51" t="str">
        <x:f>IF(40&gt;$H$4,"",IF(INDEX('Fleet dates'!$E$9:$E$1008,$I48-8)="","",INDEX('Fleet dates'!$E$9:$E$1008,$I48-8)))</x:f>
      </x:c>
      <x:c r="F48" s="51" t="str">
        <x:f>IF(40&gt;$H$4,"",IF(INDEX('Fleet dates'!$F$9:$F$1008,$I48-8)="","",INDEX('Fleet dates'!$F$9:$F$1008,$I48-8)))</x:f>
      </x:c>
      <x:c r="G48" s="50" t="str">
        <x:f>IF(40&gt;$H$4,"",IF(INDEX('Fleet dates'!$G$9:$G$1008,$I48-8)="","",INDEX('Fleet dates'!$G$9:$G$1008,$I48-8)))</x:f>
      </x:c>
      <x:c r="H48" s="50" t="str">
        <x:f>IF(40&gt;$H$4,"",IF(INDEX('Fleet dates'!$I$9:$I$1008,$I48-8)="","",INDEX('Fleet dates'!$I$9:$I$1008,$I48-8)))</x:f>
      </x:c>
      <x:c r="I48" t="str">
        <x:f>IF(40&gt;$H$4,"",MATCH(40,'Fleet dates'!$L$9:$L$1008,0)+8)</x:f>
      </x:c>
    </x:row>
    <x:row r="49" ht="36" customHeight="1">
      <x:c r="A49" s="50" t="str">
        <x:f>IF(41&gt;$H$4,"",IF(INDEX('Fleet dates'!$A$9:$A$1008,$I49-8)="","",INDEX('Fleet dates'!$A$9:$A$1008,$I49-8)))</x:f>
      </x:c>
      <x:c r="B49" s="50" t="str">
        <x:f>IF(41&gt;$H$4,"",IF(INDEX('Fleet dates'!$B$9:$B$1008,$I49-8)="","",INDEX('Fleet dates'!$B$9:$B$1008,$I49-8)))</x:f>
      </x:c>
      <x:c r="C49" s="51" t="str">
        <x:f>IF(41&gt;$H$4,"",IF(INDEX('Fleet dates'!$C$9:$C$1008,$I49-8)="","",INDEX('Fleet dates'!$C$9:$C$1008,$I49-8)))</x:f>
      </x:c>
      <x:c r="D49" s="51" t="str">
        <x:f>IF(41&gt;$H$4,"",IF(INDEX('Fleet dates'!$D$9:$D$1008,$I49-8)="","",INDEX('Fleet dates'!$D$9:$D$1008,$I49-8)))</x:f>
      </x:c>
      <x:c r="E49" s="51" t="str">
        <x:f>IF(41&gt;$H$4,"",IF(INDEX('Fleet dates'!$E$9:$E$1008,$I49-8)="","",INDEX('Fleet dates'!$E$9:$E$1008,$I49-8)))</x:f>
      </x:c>
      <x:c r="F49" s="51" t="str">
        <x:f>IF(41&gt;$H$4,"",IF(INDEX('Fleet dates'!$F$9:$F$1008,$I49-8)="","",INDEX('Fleet dates'!$F$9:$F$1008,$I49-8)))</x:f>
      </x:c>
      <x:c r="G49" s="50" t="str">
        <x:f>IF(41&gt;$H$4,"",IF(INDEX('Fleet dates'!$G$9:$G$1008,$I49-8)="","",INDEX('Fleet dates'!$G$9:$G$1008,$I49-8)))</x:f>
      </x:c>
      <x:c r="H49" s="50" t="str">
        <x:f>IF(41&gt;$H$4,"",IF(INDEX('Fleet dates'!$I$9:$I$1008,$I49-8)="","",INDEX('Fleet dates'!$I$9:$I$1008,$I49-8)))</x:f>
      </x:c>
      <x:c r="I49" t="str">
        <x:f>IF(41&gt;$H$4,"",MATCH(41,'Fleet dates'!$L$9:$L$1008,0)+8)</x:f>
      </x:c>
    </x:row>
    <x:row r="50" ht="36" customHeight="1">
      <x:c r="A50" s="50" t="str">
        <x:f>IF(42&gt;$H$4,"",IF(INDEX('Fleet dates'!$A$9:$A$1008,$I50-8)="","",INDEX('Fleet dates'!$A$9:$A$1008,$I50-8)))</x:f>
      </x:c>
      <x:c r="B50" s="50" t="str">
        <x:f>IF(42&gt;$H$4,"",IF(INDEX('Fleet dates'!$B$9:$B$1008,$I50-8)="","",INDEX('Fleet dates'!$B$9:$B$1008,$I50-8)))</x:f>
      </x:c>
      <x:c r="C50" s="51" t="str">
        <x:f>IF(42&gt;$H$4,"",IF(INDEX('Fleet dates'!$C$9:$C$1008,$I50-8)="","",INDEX('Fleet dates'!$C$9:$C$1008,$I50-8)))</x:f>
      </x:c>
      <x:c r="D50" s="51" t="str">
        <x:f>IF(42&gt;$H$4,"",IF(INDEX('Fleet dates'!$D$9:$D$1008,$I50-8)="","",INDEX('Fleet dates'!$D$9:$D$1008,$I50-8)))</x:f>
      </x:c>
      <x:c r="E50" s="51" t="str">
        <x:f>IF(42&gt;$H$4,"",IF(INDEX('Fleet dates'!$E$9:$E$1008,$I50-8)="","",INDEX('Fleet dates'!$E$9:$E$1008,$I50-8)))</x:f>
      </x:c>
      <x:c r="F50" s="51" t="str">
        <x:f>IF(42&gt;$H$4,"",IF(INDEX('Fleet dates'!$F$9:$F$1008,$I50-8)="","",INDEX('Fleet dates'!$F$9:$F$1008,$I50-8)))</x:f>
      </x:c>
      <x:c r="G50" s="50" t="str">
        <x:f>IF(42&gt;$H$4,"",IF(INDEX('Fleet dates'!$G$9:$G$1008,$I50-8)="","",INDEX('Fleet dates'!$G$9:$G$1008,$I50-8)))</x:f>
      </x:c>
      <x:c r="H50" s="50" t="str">
        <x:f>IF(42&gt;$H$4,"",IF(INDEX('Fleet dates'!$I$9:$I$1008,$I50-8)="","",INDEX('Fleet dates'!$I$9:$I$1008,$I50-8)))</x:f>
      </x:c>
      <x:c r="I50" t="str">
        <x:f>IF(42&gt;$H$4,"",MATCH(42,'Fleet dates'!$L$9:$L$1008,0)+8)</x:f>
      </x:c>
    </x:row>
    <x:row r="51" ht="36" customHeight="1">
      <x:c r="A51" s="50" t="str">
        <x:f>IF(43&gt;$H$4,"",IF(INDEX('Fleet dates'!$A$9:$A$1008,$I51-8)="","",INDEX('Fleet dates'!$A$9:$A$1008,$I51-8)))</x:f>
      </x:c>
      <x:c r="B51" s="50" t="str">
        <x:f>IF(43&gt;$H$4,"",IF(INDEX('Fleet dates'!$B$9:$B$1008,$I51-8)="","",INDEX('Fleet dates'!$B$9:$B$1008,$I51-8)))</x:f>
      </x:c>
      <x:c r="C51" s="51" t="str">
        <x:f>IF(43&gt;$H$4,"",IF(INDEX('Fleet dates'!$C$9:$C$1008,$I51-8)="","",INDEX('Fleet dates'!$C$9:$C$1008,$I51-8)))</x:f>
      </x:c>
      <x:c r="D51" s="51" t="str">
        <x:f>IF(43&gt;$H$4,"",IF(INDEX('Fleet dates'!$D$9:$D$1008,$I51-8)="","",INDEX('Fleet dates'!$D$9:$D$1008,$I51-8)))</x:f>
      </x:c>
      <x:c r="E51" s="51" t="str">
        <x:f>IF(43&gt;$H$4,"",IF(INDEX('Fleet dates'!$E$9:$E$1008,$I51-8)="","",INDEX('Fleet dates'!$E$9:$E$1008,$I51-8)))</x:f>
      </x:c>
      <x:c r="F51" s="51" t="str">
        <x:f>IF(43&gt;$H$4,"",IF(INDEX('Fleet dates'!$F$9:$F$1008,$I51-8)="","",INDEX('Fleet dates'!$F$9:$F$1008,$I51-8)))</x:f>
      </x:c>
      <x:c r="G51" s="50" t="str">
        <x:f>IF(43&gt;$H$4,"",IF(INDEX('Fleet dates'!$G$9:$G$1008,$I51-8)="","",INDEX('Fleet dates'!$G$9:$G$1008,$I51-8)))</x:f>
      </x:c>
      <x:c r="H51" s="50" t="str">
        <x:f>IF(43&gt;$H$4,"",IF(INDEX('Fleet dates'!$I$9:$I$1008,$I51-8)="","",INDEX('Fleet dates'!$I$9:$I$1008,$I51-8)))</x:f>
      </x:c>
      <x:c r="I51" t="str">
        <x:f>IF(43&gt;$H$4,"",MATCH(43,'Fleet dates'!$L$9:$L$1008,0)+8)</x:f>
      </x:c>
    </x:row>
    <x:row r="52" ht="36" customHeight="1">
      <x:c r="A52" s="50" t="str">
        <x:f>IF(44&gt;$H$4,"",IF(INDEX('Fleet dates'!$A$9:$A$1008,$I52-8)="","",INDEX('Fleet dates'!$A$9:$A$1008,$I52-8)))</x:f>
      </x:c>
      <x:c r="B52" s="50" t="str">
        <x:f>IF(44&gt;$H$4,"",IF(INDEX('Fleet dates'!$B$9:$B$1008,$I52-8)="","",INDEX('Fleet dates'!$B$9:$B$1008,$I52-8)))</x:f>
      </x:c>
      <x:c r="C52" s="51" t="str">
        <x:f>IF(44&gt;$H$4,"",IF(INDEX('Fleet dates'!$C$9:$C$1008,$I52-8)="","",INDEX('Fleet dates'!$C$9:$C$1008,$I52-8)))</x:f>
      </x:c>
      <x:c r="D52" s="51" t="str">
        <x:f>IF(44&gt;$H$4,"",IF(INDEX('Fleet dates'!$D$9:$D$1008,$I52-8)="","",INDEX('Fleet dates'!$D$9:$D$1008,$I52-8)))</x:f>
      </x:c>
      <x:c r="E52" s="51" t="str">
        <x:f>IF(44&gt;$H$4,"",IF(INDEX('Fleet dates'!$E$9:$E$1008,$I52-8)="","",INDEX('Fleet dates'!$E$9:$E$1008,$I52-8)))</x:f>
      </x:c>
      <x:c r="F52" s="51" t="str">
        <x:f>IF(44&gt;$H$4,"",IF(INDEX('Fleet dates'!$F$9:$F$1008,$I52-8)="","",INDEX('Fleet dates'!$F$9:$F$1008,$I52-8)))</x:f>
      </x:c>
      <x:c r="G52" s="50" t="str">
        <x:f>IF(44&gt;$H$4,"",IF(INDEX('Fleet dates'!$G$9:$G$1008,$I52-8)="","",INDEX('Fleet dates'!$G$9:$G$1008,$I52-8)))</x:f>
      </x:c>
      <x:c r="H52" s="50" t="str">
        <x:f>IF(44&gt;$H$4,"",IF(INDEX('Fleet dates'!$I$9:$I$1008,$I52-8)="","",INDEX('Fleet dates'!$I$9:$I$1008,$I52-8)))</x:f>
      </x:c>
      <x:c r="I52" t="str">
        <x:f>IF(44&gt;$H$4,"",MATCH(44,'Fleet dates'!$L$9:$L$1008,0)+8)</x:f>
      </x:c>
    </x:row>
    <x:row r="53" ht="36" customHeight="1">
      <x:c r="A53" s="50" t="str">
        <x:f>IF(45&gt;$H$4,"",IF(INDEX('Fleet dates'!$A$9:$A$1008,$I53-8)="","",INDEX('Fleet dates'!$A$9:$A$1008,$I53-8)))</x:f>
      </x:c>
      <x:c r="B53" s="50" t="str">
        <x:f>IF(45&gt;$H$4,"",IF(INDEX('Fleet dates'!$B$9:$B$1008,$I53-8)="","",INDEX('Fleet dates'!$B$9:$B$1008,$I53-8)))</x:f>
      </x:c>
      <x:c r="C53" s="51" t="str">
        <x:f>IF(45&gt;$H$4,"",IF(INDEX('Fleet dates'!$C$9:$C$1008,$I53-8)="","",INDEX('Fleet dates'!$C$9:$C$1008,$I53-8)))</x:f>
      </x:c>
      <x:c r="D53" s="51" t="str">
        <x:f>IF(45&gt;$H$4,"",IF(INDEX('Fleet dates'!$D$9:$D$1008,$I53-8)="","",INDEX('Fleet dates'!$D$9:$D$1008,$I53-8)))</x:f>
      </x:c>
      <x:c r="E53" s="51" t="str">
        <x:f>IF(45&gt;$H$4,"",IF(INDEX('Fleet dates'!$E$9:$E$1008,$I53-8)="","",INDEX('Fleet dates'!$E$9:$E$1008,$I53-8)))</x:f>
      </x:c>
      <x:c r="F53" s="51" t="str">
        <x:f>IF(45&gt;$H$4,"",IF(INDEX('Fleet dates'!$F$9:$F$1008,$I53-8)="","",INDEX('Fleet dates'!$F$9:$F$1008,$I53-8)))</x:f>
      </x:c>
      <x:c r="G53" s="50" t="str">
        <x:f>IF(45&gt;$H$4,"",IF(INDEX('Fleet dates'!$G$9:$G$1008,$I53-8)="","",INDEX('Fleet dates'!$G$9:$G$1008,$I53-8)))</x:f>
      </x:c>
      <x:c r="H53" s="50" t="str">
        <x:f>IF(45&gt;$H$4,"",IF(INDEX('Fleet dates'!$I$9:$I$1008,$I53-8)="","",INDEX('Fleet dates'!$I$9:$I$1008,$I53-8)))</x:f>
      </x:c>
      <x:c r="I53" t="str">
        <x:f>IF(45&gt;$H$4,"",MATCH(45,'Fleet dates'!$L$9:$L$1008,0)+8)</x:f>
      </x:c>
    </x:row>
    <x:row r="54" ht="36" customHeight="1">
      <x:c r="A54" s="50" t="str">
        <x:f>IF(46&gt;$H$4,"",IF(INDEX('Fleet dates'!$A$9:$A$1008,$I54-8)="","",INDEX('Fleet dates'!$A$9:$A$1008,$I54-8)))</x:f>
      </x:c>
      <x:c r="B54" s="50" t="str">
        <x:f>IF(46&gt;$H$4,"",IF(INDEX('Fleet dates'!$B$9:$B$1008,$I54-8)="","",INDEX('Fleet dates'!$B$9:$B$1008,$I54-8)))</x:f>
      </x:c>
      <x:c r="C54" s="51" t="str">
        <x:f>IF(46&gt;$H$4,"",IF(INDEX('Fleet dates'!$C$9:$C$1008,$I54-8)="","",INDEX('Fleet dates'!$C$9:$C$1008,$I54-8)))</x:f>
      </x:c>
      <x:c r="D54" s="51" t="str">
        <x:f>IF(46&gt;$H$4,"",IF(INDEX('Fleet dates'!$D$9:$D$1008,$I54-8)="","",INDEX('Fleet dates'!$D$9:$D$1008,$I54-8)))</x:f>
      </x:c>
      <x:c r="E54" s="51" t="str">
        <x:f>IF(46&gt;$H$4,"",IF(INDEX('Fleet dates'!$E$9:$E$1008,$I54-8)="","",INDEX('Fleet dates'!$E$9:$E$1008,$I54-8)))</x:f>
      </x:c>
      <x:c r="F54" s="51" t="str">
        <x:f>IF(46&gt;$H$4,"",IF(INDEX('Fleet dates'!$F$9:$F$1008,$I54-8)="","",INDEX('Fleet dates'!$F$9:$F$1008,$I54-8)))</x:f>
      </x:c>
      <x:c r="G54" s="50" t="str">
        <x:f>IF(46&gt;$H$4,"",IF(INDEX('Fleet dates'!$G$9:$G$1008,$I54-8)="","",INDEX('Fleet dates'!$G$9:$G$1008,$I54-8)))</x:f>
      </x:c>
      <x:c r="H54" s="50" t="str">
        <x:f>IF(46&gt;$H$4,"",IF(INDEX('Fleet dates'!$I$9:$I$1008,$I54-8)="","",INDEX('Fleet dates'!$I$9:$I$1008,$I54-8)))</x:f>
      </x:c>
      <x:c r="I54" t="str">
        <x:f>IF(46&gt;$H$4,"",MATCH(46,'Fleet dates'!$L$9:$L$1008,0)+8)</x:f>
      </x:c>
    </x:row>
    <x:row r="55" ht="36" customHeight="1">
      <x:c r="A55" s="50" t="str">
        <x:f>IF(47&gt;$H$4,"",IF(INDEX('Fleet dates'!$A$9:$A$1008,$I55-8)="","",INDEX('Fleet dates'!$A$9:$A$1008,$I55-8)))</x:f>
      </x:c>
      <x:c r="B55" s="50" t="str">
        <x:f>IF(47&gt;$H$4,"",IF(INDEX('Fleet dates'!$B$9:$B$1008,$I55-8)="","",INDEX('Fleet dates'!$B$9:$B$1008,$I55-8)))</x:f>
      </x:c>
      <x:c r="C55" s="51" t="str">
        <x:f>IF(47&gt;$H$4,"",IF(INDEX('Fleet dates'!$C$9:$C$1008,$I55-8)="","",INDEX('Fleet dates'!$C$9:$C$1008,$I55-8)))</x:f>
      </x:c>
      <x:c r="D55" s="51" t="str">
        <x:f>IF(47&gt;$H$4,"",IF(INDEX('Fleet dates'!$D$9:$D$1008,$I55-8)="","",INDEX('Fleet dates'!$D$9:$D$1008,$I55-8)))</x:f>
      </x:c>
      <x:c r="E55" s="51" t="str">
        <x:f>IF(47&gt;$H$4,"",IF(INDEX('Fleet dates'!$E$9:$E$1008,$I55-8)="","",INDEX('Fleet dates'!$E$9:$E$1008,$I55-8)))</x:f>
      </x:c>
      <x:c r="F55" s="51" t="str">
        <x:f>IF(47&gt;$H$4,"",IF(INDEX('Fleet dates'!$F$9:$F$1008,$I55-8)="","",INDEX('Fleet dates'!$F$9:$F$1008,$I55-8)))</x:f>
      </x:c>
      <x:c r="G55" s="50" t="str">
        <x:f>IF(47&gt;$H$4,"",IF(INDEX('Fleet dates'!$G$9:$G$1008,$I55-8)="","",INDEX('Fleet dates'!$G$9:$G$1008,$I55-8)))</x:f>
      </x:c>
      <x:c r="H55" s="50" t="str">
        <x:f>IF(47&gt;$H$4,"",IF(INDEX('Fleet dates'!$I$9:$I$1008,$I55-8)="","",INDEX('Fleet dates'!$I$9:$I$1008,$I55-8)))</x:f>
      </x:c>
      <x:c r="I55" t="str">
        <x:f>IF(47&gt;$H$4,"",MATCH(47,'Fleet dates'!$L$9:$L$1008,0)+8)</x:f>
      </x:c>
    </x:row>
    <x:row r="56" ht="36" customHeight="1">
      <x:c r="A56" s="50" t="str">
        <x:f>IF(48&gt;$H$4,"",IF(INDEX('Fleet dates'!$A$9:$A$1008,$I56-8)="","",INDEX('Fleet dates'!$A$9:$A$1008,$I56-8)))</x:f>
      </x:c>
      <x:c r="B56" s="50" t="str">
        <x:f>IF(48&gt;$H$4,"",IF(INDEX('Fleet dates'!$B$9:$B$1008,$I56-8)="","",INDEX('Fleet dates'!$B$9:$B$1008,$I56-8)))</x:f>
      </x:c>
      <x:c r="C56" s="51" t="str">
        <x:f>IF(48&gt;$H$4,"",IF(INDEX('Fleet dates'!$C$9:$C$1008,$I56-8)="","",INDEX('Fleet dates'!$C$9:$C$1008,$I56-8)))</x:f>
      </x:c>
      <x:c r="D56" s="51" t="str">
        <x:f>IF(48&gt;$H$4,"",IF(INDEX('Fleet dates'!$D$9:$D$1008,$I56-8)="","",INDEX('Fleet dates'!$D$9:$D$1008,$I56-8)))</x:f>
      </x:c>
      <x:c r="E56" s="51" t="str">
        <x:f>IF(48&gt;$H$4,"",IF(INDEX('Fleet dates'!$E$9:$E$1008,$I56-8)="","",INDEX('Fleet dates'!$E$9:$E$1008,$I56-8)))</x:f>
      </x:c>
      <x:c r="F56" s="51" t="str">
        <x:f>IF(48&gt;$H$4,"",IF(INDEX('Fleet dates'!$F$9:$F$1008,$I56-8)="","",INDEX('Fleet dates'!$F$9:$F$1008,$I56-8)))</x:f>
      </x:c>
      <x:c r="G56" s="50" t="str">
        <x:f>IF(48&gt;$H$4,"",IF(INDEX('Fleet dates'!$G$9:$G$1008,$I56-8)="","",INDEX('Fleet dates'!$G$9:$G$1008,$I56-8)))</x:f>
      </x:c>
      <x:c r="H56" s="50" t="str">
        <x:f>IF(48&gt;$H$4,"",IF(INDEX('Fleet dates'!$I$9:$I$1008,$I56-8)="","",INDEX('Fleet dates'!$I$9:$I$1008,$I56-8)))</x:f>
      </x:c>
      <x:c r="I56" t="str">
        <x:f>IF(48&gt;$H$4,"",MATCH(48,'Fleet dates'!$L$9:$L$1008,0)+8)</x:f>
      </x:c>
    </x:row>
    <x:row r="57" ht="36" customHeight="1">
      <x:c r="A57" s="50" t="str">
        <x:f>IF(49&gt;$H$4,"",IF(INDEX('Fleet dates'!$A$9:$A$1008,$I57-8)="","",INDEX('Fleet dates'!$A$9:$A$1008,$I57-8)))</x:f>
      </x:c>
      <x:c r="B57" s="50" t="str">
        <x:f>IF(49&gt;$H$4,"",IF(INDEX('Fleet dates'!$B$9:$B$1008,$I57-8)="","",INDEX('Fleet dates'!$B$9:$B$1008,$I57-8)))</x:f>
      </x:c>
      <x:c r="C57" s="51" t="str">
        <x:f>IF(49&gt;$H$4,"",IF(INDEX('Fleet dates'!$C$9:$C$1008,$I57-8)="","",INDEX('Fleet dates'!$C$9:$C$1008,$I57-8)))</x:f>
      </x:c>
      <x:c r="D57" s="51" t="str">
        <x:f>IF(49&gt;$H$4,"",IF(INDEX('Fleet dates'!$D$9:$D$1008,$I57-8)="","",INDEX('Fleet dates'!$D$9:$D$1008,$I57-8)))</x:f>
      </x:c>
      <x:c r="E57" s="51" t="str">
        <x:f>IF(49&gt;$H$4,"",IF(INDEX('Fleet dates'!$E$9:$E$1008,$I57-8)="","",INDEX('Fleet dates'!$E$9:$E$1008,$I57-8)))</x:f>
      </x:c>
      <x:c r="F57" s="51" t="str">
        <x:f>IF(49&gt;$H$4,"",IF(INDEX('Fleet dates'!$F$9:$F$1008,$I57-8)="","",INDEX('Fleet dates'!$F$9:$F$1008,$I57-8)))</x:f>
      </x:c>
      <x:c r="G57" s="50" t="str">
        <x:f>IF(49&gt;$H$4,"",IF(INDEX('Fleet dates'!$G$9:$G$1008,$I57-8)="","",INDEX('Fleet dates'!$G$9:$G$1008,$I57-8)))</x:f>
      </x:c>
      <x:c r="H57" s="50" t="str">
        <x:f>IF(49&gt;$H$4,"",IF(INDEX('Fleet dates'!$I$9:$I$1008,$I57-8)="","",INDEX('Fleet dates'!$I$9:$I$1008,$I57-8)))</x:f>
      </x:c>
      <x:c r="I57" t="str">
        <x:f>IF(49&gt;$H$4,"",MATCH(49,'Fleet dates'!$L$9:$L$1008,0)+8)</x:f>
      </x:c>
    </x:row>
    <x:row r="58" ht="36" customHeight="1">
      <x:c r="A58" s="50" t="str">
        <x:f>IF(50&gt;$H$4,"",IF(INDEX('Fleet dates'!$A$9:$A$1008,$I58-8)="","",INDEX('Fleet dates'!$A$9:$A$1008,$I58-8)))</x:f>
      </x:c>
      <x:c r="B58" s="50" t="str">
        <x:f>IF(50&gt;$H$4,"",IF(INDEX('Fleet dates'!$B$9:$B$1008,$I58-8)="","",INDEX('Fleet dates'!$B$9:$B$1008,$I58-8)))</x:f>
      </x:c>
      <x:c r="C58" s="51" t="str">
        <x:f>IF(50&gt;$H$4,"",IF(INDEX('Fleet dates'!$C$9:$C$1008,$I58-8)="","",INDEX('Fleet dates'!$C$9:$C$1008,$I58-8)))</x:f>
      </x:c>
      <x:c r="D58" s="51" t="str">
        <x:f>IF(50&gt;$H$4,"",IF(INDEX('Fleet dates'!$D$9:$D$1008,$I58-8)="","",INDEX('Fleet dates'!$D$9:$D$1008,$I58-8)))</x:f>
      </x:c>
      <x:c r="E58" s="51" t="str">
        <x:f>IF(50&gt;$H$4,"",IF(INDEX('Fleet dates'!$E$9:$E$1008,$I58-8)="","",INDEX('Fleet dates'!$E$9:$E$1008,$I58-8)))</x:f>
      </x:c>
      <x:c r="F58" s="51" t="str">
        <x:f>IF(50&gt;$H$4,"",IF(INDEX('Fleet dates'!$F$9:$F$1008,$I58-8)="","",INDEX('Fleet dates'!$F$9:$F$1008,$I58-8)))</x:f>
      </x:c>
      <x:c r="G58" s="50" t="str">
        <x:f>IF(50&gt;$H$4,"",IF(INDEX('Fleet dates'!$G$9:$G$1008,$I58-8)="","",INDEX('Fleet dates'!$G$9:$G$1008,$I58-8)))</x:f>
      </x:c>
      <x:c r="H58" s="50" t="str">
        <x:f>IF(50&gt;$H$4,"",IF(INDEX('Fleet dates'!$I$9:$I$1008,$I58-8)="","",INDEX('Fleet dates'!$I$9:$I$1008,$I58-8)))</x:f>
      </x:c>
      <x:c r="I58" t="str">
        <x:f>IF(50&gt;$H$4,"",MATCH(50,'Fleet dates'!$L$9:$L$1008,0)+8)</x:f>
      </x:c>
    </x:row>
    <x:row r="59" ht="36" customHeight="1">
      <x:c r="A59" s="50" t="str">
        <x:f>IF(51&gt;$H$4,"",IF(INDEX('Fleet dates'!$A$9:$A$1008,$I59-8)="","",INDEX('Fleet dates'!$A$9:$A$1008,$I59-8)))</x:f>
      </x:c>
      <x:c r="B59" s="50" t="str">
        <x:f>IF(51&gt;$H$4,"",IF(INDEX('Fleet dates'!$B$9:$B$1008,$I59-8)="","",INDEX('Fleet dates'!$B$9:$B$1008,$I59-8)))</x:f>
      </x:c>
      <x:c r="C59" s="51" t="str">
        <x:f>IF(51&gt;$H$4,"",IF(INDEX('Fleet dates'!$C$9:$C$1008,$I59-8)="","",INDEX('Fleet dates'!$C$9:$C$1008,$I59-8)))</x:f>
      </x:c>
      <x:c r="D59" s="51" t="str">
        <x:f>IF(51&gt;$H$4,"",IF(INDEX('Fleet dates'!$D$9:$D$1008,$I59-8)="","",INDEX('Fleet dates'!$D$9:$D$1008,$I59-8)))</x:f>
      </x:c>
      <x:c r="E59" s="51" t="str">
        <x:f>IF(51&gt;$H$4,"",IF(INDEX('Fleet dates'!$E$9:$E$1008,$I59-8)="","",INDEX('Fleet dates'!$E$9:$E$1008,$I59-8)))</x:f>
      </x:c>
      <x:c r="F59" s="51" t="str">
        <x:f>IF(51&gt;$H$4,"",IF(INDEX('Fleet dates'!$F$9:$F$1008,$I59-8)="","",INDEX('Fleet dates'!$F$9:$F$1008,$I59-8)))</x:f>
      </x:c>
      <x:c r="G59" s="50" t="str">
        <x:f>IF(51&gt;$H$4,"",IF(INDEX('Fleet dates'!$G$9:$G$1008,$I59-8)="","",INDEX('Fleet dates'!$G$9:$G$1008,$I59-8)))</x:f>
      </x:c>
      <x:c r="H59" s="50" t="str">
        <x:f>IF(51&gt;$H$4,"",IF(INDEX('Fleet dates'!$I$9:$I$1008,$I59-8)="","",INDEX('Fleet dates'!$I$9:$I$1008,$I59-8)))</x:f>
      </x:c>
      <x:c r="I59" t="str">
        <x:f>IF(51&gt;$H$4,"",MATCH(51,'Fleet dates'!$L$9:$L$1008,0)+8)</x:f>
      </x:c>
    </x:row>
    <x:row r="60" ht="36" customHeight="1">
      <x:c r="A60" s="50" t="str">
        <x:f>IF(52&gt;$H$4,"",IF(INDEX('Fleet dates'!$A$9:$A$1008,$I60-8)="","",INDEX('Fleet dates'!$A$9:$A$1008,$I60-8)))</x:f>
      </x:c>
      <x:c r="B60" s="50" t="str">
        <x:f>IF(52&gt;$H$4,"",IF(INDEX('Fleet dates'!$B$9:$B$1008,$I60-8)="","",INDEX('Fleet dates'!$B$9:$B$1008,$I60-8)))</x:f>
      </x:c>
      <x:c r="C60" s="51" t="str">
        <x:f>IF(52&gt;$H$4,"",IF(INDEX('Fleet dates'!$C$9:$C$1008,$I60-8)="","",INDEX('Fleet dates'!$C$9:$C$1008,$I60-8)))</x:f>
      </x:c>
      <x:c r="D60" s="51" t="str">
        <x:f>IF(52&gt;$H$4,"",IF(INDEX('Fleet dates'!$D$9:$D$1008,$I60-8)="","",INDEX('Fleet dates'!$D$9:$D$1008,$I60-8)))</x:f>
      </x:c>
      <x:c r="E60" s="51" t="str">
        <x:f>IF(52&gt;$H$4,"",IF(INDEX('Fleet dates'!$E$9:$E$1008,$I60-8)="","",INDEX('Fleet dates'!$E$9:$E$1008,$I60-8)))</x:f>
      </x:c>
      <x:c r="F60" s="51" t="str">
        <x:f>IF(52&gt;$H$4,"",IF(INDEX('Fleet dates'!$F$9:$F$1008,$I60-8)="","",INDEX('Fleet dates'!$F$9:$F$1008,$I60-8)))</x:f>
      </x:c>
      <x:c r="G60" s="50" t="str">
        <x:f>IF(52&gt;$H$4,"",IF(INDEX('Fleet dates'!$G$9:$G$1008,$I60-8)="","",INDEX('Fleet dates'!$G$9:$G$1008,$I60-8)))</x:f>
      </x:c>
      <x:c r="H60" s="50" t="str">
        <x:f>IF(52&gt;$H$4,"",IF(INDEX('Fleet dates'!$I$9:$I$1008,$I60-8)="","",INDEX('Fleet dates'!$I$9:$I$1008,$I60-8)))</x:f>
      </x:c>
      <x:c r="I60" t="str">
        <x:f>IF(52&gt;$H$4,"",MATCH(52,'Fleet dates'!$L$9:$L$1008,0)+8)</x:f>
      </x:c>
    </x:row>
    <x:row r="61" ht="36" customHeight="1">
      <x:c r="A61" s="50" t="str">
        <x:f>IF(53&gt;$H$4,"",IF(INDEX('Fleet dates'!$A$9:$A$1008,$I61-8)="","",INDEX('Fleet dates'!$A$9:$A$1008,$I61-8)))</x:f>
      </x:c>
      <x:c r="B61" s="50" t="str">
        <x:f>IF(53&gt;$H$4,"",IF(INDEX('Fleet dates'!$B$9:$B$1008,$I61-8)="","",INDEX('Fleet dates'!$B$9:$B$1008,$I61-8)))</x:f>
      </x:c>
      <x:c r="C61" s="51" t="str">
        <x:f>IF(53&gt;$H$4,"",IF(INDEX('Fleet dates'!$C$9:$C$1008,$I61-8)="","",INDEX('Fleet dates'!$C$9:$C$1008,$I61-8)))</x:f>
      </x:c>
      <x:c r="D61" s="51" t="str">
        <x:f>IF(53&gt;$H$4,"",IF(INDEX('Fleet dates'!$D$9:$D$1008,$I61-8)="","",INDEX('Fleet dates'!$D$9:$D$1008,$I61-8)))</x:f>
      </x:c>
      <x:c r="E61" s="51" t="str">
        <x:f>IF(53&gt;$H$4,"",IF(INDEX('Fleet dates'!$E$9:$E$1008,$I61-8)="","",INDEX('Fleet dates'!$E$9:$E$1008,$I61-8)))</x:f>
      </x:c>
      <x:c r="F61" s="51" t="str">
        <x:f>IF(53&gt;$H$4,"",IF(INDEX('Fleet dates'!$F$9:$F$1008,$I61-8)="","",INDEX('Fleet dates'!$F$9:$F$1008,$I61-8)))</x:f>
      </x:c>
      <x:c r="G61" s="50" t="str">
        <x:f>IF(53&gt;$H$4,"",IF(INDEX('Fleet dates'!$G$9:$G$1008,$I61-8)="","",INDEX('Fleet dates'!$G$9:$G$1008,$I61-8)))</x:f>
      </x:c>
      <x:c r="H61" s="50" t="str">
        <x:f>IF(53&gt;$H$4,"",IF(INDEX('Fleet dates'!$I$9:$I$1008,$I61-8)="","",INDEX('Fleet dates'!$I$9:$I$1008,$I61-8)))</x:f>
      </x:c>
      <x:c r="I61" t="str">
        <x:f>IF(53&gt;$H$4,"",MATCH(53,'Fleet dates'!$L$9:$L$1008,0)+8)</x:f>
      </x:c>
    </x:row>
    <x:row r="62" ht="36" customHeight="1">
      <x:c r="A62" s="50" t="str">
        <x:f>IF(54&gt;$H$4,"",IF(INDEX('Fleet dates'!$A$9:$A$1008,$I62-8)="","",INDEX('Fleet dates'!$A$9:$A$1008,$I62-8)))</x:f>
      </x:c>
      <x:c r="B62" s="50" t="str">
        <x:f>IF(54&gt;$H$4,"",IF(INDEX('Fleet dates'!$B$9:$B$1008,$I62-8)="","",INDEX('Fleet dates'!$B$9:$B$1008,$I62-8)))</x:f>
      </x:c>
      <x:c r="C62" s="51" t="str">
        <x:f>IF(54&gt;$H$4,"",IF(INDEX('Fleet dates'!$C$9:$C$1008,$I62-8)="","",INDEX('Fleet dates'!$C$9:$C$1008,$I62-8)))</x:f>
      </x:c>
      <x:c r="D62" s="51" t="str">
        <x:f>IF(54&gt;$H$4,"",IF(INDEX('Fleet dates'!$D$9:$D$1008,$I62-8)="","",INDEX('Fleet dates'!$D$9:$D$1008,$I62-8)))</x:f>
      </x:c>
      <x:c r="E62" s="51" t="str">
        <x:f>IF(54&gt;$H$4,"",IF(INDEX('Fleet dates'!$E$9:$E$1008,$I62-8)="","",INDEX('Fleet dates'!$E$9:$E$1008,$I62-8)))</x:f>
      </x:c>
      <x:c r="F62" s="51" t="str">
        <x:f>IF(54&gt;$H$4,"",IF(INDEX('Fleet dates'!$F$9:$F$1008,$I62-8)="","",INDEX('Fleet dates'!$F$9:$F$1008,$I62-8)))</x:f>
      </x:c>
      <x:c r="G62" s="50" t="str">
        <x:f>IF(54&gt;$H$4,"",IF(INDEX('Fleet dates'!$G$9:$G$1008,$I62-8)="","",INDEX('Fleet dates'!$G$9:$G$1008,$I62-8)))</x:f>
      </x:c>
      <x:c r="H62" s="50" t="str">
        <x:f>IF(54&gt;$H$4,"",IF(INDEX('Fleet dates'!$I$9:$I$1008,$I62-8)="","",INDEX('Fleet dates'!$I$9:$I$1008,$I62-8)))</x:f>
      </x:c>
      <x:c r="I62" t="str">
        <x:f>IF(54&gt;$H$4,"",MATCH(54,'Fleet dates'!$L$9:$L$1008,0)+8)</x:f>
      </x:c>
    </x:row>
    <x:row r="63" ht="36" customHeight="1">
      <x:c r="A63" s="50" t="str">
        <x:f>IF(55&gt;$H$4,"",IF(INDEX('Fleet dates'!$A$9:$A$1008,$I63-8)="","",INDEX('Fleet dates'!$A$9:$A$1008,$I63-8)))</x:f>
      </x:c>
      <x:c r="B63" s="50" t="str">
        <x:f>IF(55&gt;$H$4,"",IF(INDEX('Fleet dates'!$B$9:$B$1008,$I63-8)="","",INDEX('Fleet dates'!$B$9:$B$1008,$I63-8)))</x:f>
      </x:c>
      <x:c r="C63" s="51" t="str">
        <x:f>IF(55&gt;$H$4,"",IF(INDEX('Fleet dates'!$C$9:$C$1008,$I63-8)="","",INDEX('Fleet dates'!$C$9:$C$1008,$I63-8)))</x:f>
      </x:c>
      <x:c r="D63" s="51" t="str">
        <x:f>IF(55&gt;$H$4,"",IF(INDEX('Fleet dates'!$D$9:$D$1008,$I63-8)="","",INDEX('Fleet dates'!$D$9:$D$1008,$I63-8)))</x:f>
      </x:c>
      <x:c r="E63" s="51" t="str">
        <x:f>IF(55&gt;$H$4,"",IF(INDEX('Fleet dates'!$E$9:$E$1008,$I63-8)="","",INDEX('Fleet dates'!$E$9:$E$1008,$I63-8)))</x:f>
      </x:c>
      <x:c r="F63" s="51" t="str">
        <x:f>IF(55&gt;$H$4,"",IF(INDEX('Fleet dates'!$F$9:$F$1008,$I63-8)="","",INDEX('Fleet dates'!$F$9:$F$1008,$I63-8)))</x:f>
      </x:c>
      <x:c r="G63" s="50" t="str">
        <x:f>IF(55&gt;$H$4,"",IF(INDEX('Fleet dates'!$G$9:$G$1008,$I63-8)="","",INDEX('Fleet dates'!$G$9:$G$1008,$I63-8)))</x:f>
      </x:c>
      <x:c r="H63" s="50" t="str">
        <x:f>IF(55&gt;$H$4,"",IF(INDEX('Fleet dates'!$I$9:$I$1008,$I63-8)="","",INDEX('Fleet dates'!$I$9:$I$1008,$I63-8)))</x:f>
      </x:c>
      <x:c r="I63" t="str">
        <x:f>IF(55&gt;$H$4,"",MATCH(55,'Fleet dates'!$L$9:$L$1008,0)+8)</x:f>
      </x:c>
    </x:row>
    <x:row r="64" ht="36" customHeight="1">
      <x:c r="A64" s="50" t="str">
        <x:f>IF(56&gt;$H$4,"",IF(INDEX('Fleet dates'!$A$9:$A$1008,$I64-8)="","",INDEX('Fleet dates'!$A$9:$A$1008,$I64-8)))</x:f>
      </x:c>
      <x:c r="B64" s="50" t="str">
        <x:f>IF(56&gt;$H$4,"",IF(INDEX('Fleet dates'!$B$9:$B$1008,$I64-8)="","",INDEX('Fleet dates'!$B$9:$B$1008,$I64-8)))</x:f>
      </x:c>
      <x:c r="C64" s="51" t="str">
        <x:f>IF(56&gt;$H$4,"",IF(INDEX('Fleet dates'!$C$9:$C$1008,$I64-8)="","",INDEX('Fleet dates'!$C$9:$C$1008,$I64-8)))</x:f>
      </x:c>
      <x:c r="D64" s="51" t="str">
        <x:f>IF(56&gt;$H$4,"",IF(INDEX('Fleet dates'!$D$9:$D$1008,$I64-8)="","",INDEX('Fleet dates'!$D$9:$D$1008,$I64-8)))</x:f>
      </x:c>
      <x:c r="E64" s="51" t="str">
        <x:f>IF(56&gt;$H$4,"",IF(INDEX('Fleet dates'!$E$9:$E$1008,$I64-8)="","",INDEX('Fleet dates'!$E$9:$E$1008,$I64-8)))</x:f>
      </x:c>
      <x:c r="F64" s="51" t="str">
        <x:f>IF(56&gt;$H$4,"",IF(INDEX('Fleet dates'!$F$9:$F$1008,$I64-8)="","",INDEX('Fleet dates'!$F$9:$F$1008,$I64-8)))</x:f>
      </x:c>
      <x:c r="G64" s="50" t="str">
        <x:f>IF(56&gt;$H$4,"",IF(INDEX('Fleet dates'!$G$9:$G$1008,$I64-8)="","",INDEX('Fleet dates'!$G$9:$G$1008,$I64-8)))</x:f>
      </x:c>
      <x:c r="H64" s="50" t="str">
        <x:f>IF(56&gt;$H$4,"",IF(INDEX('Fleet dates'!$I$9:$I$1008,$I64-8)="","",INDEX('Fleet dates'!$I$9:$I$1008,$I64-8)))</x:f>
      </x:c>
      <x:c r="I64" t="str">
        <x:f>IF(56&gt;$H$4,"",MATCH(56,'Fleet dates'!$L$9:$L$1008,0)+8)</x:f>
      </x:c>
    </x:row>
    <x:row r="65" ht="36" customHeight="1">
      <x:c r="A65" s="50" t="str">
        <x:f>IF(57&gt;$H$4,"",IF(INDEX('Fleet dates'!$A$9:$A$1008,$I65-8)="","",INDEX('Fleet dates'!$A$9:$A$1008,$I65-8)))</x:f>
      </x:c>
      <x:c r="B65" s="50" t="str">
        <x:f>IF(57&gt;$H$4,"",IF(INDEX('Fleet dates'!$B$9:$B$1008,$I65-8)="","",INDEX('Fleet dates'!$B$9:$B$1008,$I65-8)))</x:f>
      </x:c>
      <x:c r="C65" s="51" t="str">
        <x:f>IF(57&gt;$H$4,"",IF(INDEX('Fleet dates'!$C$9:$C$1008,$I65-8)="","",INDEX('Fleet dates'!$C$9:$C$1008,$I65-8)))</x:f>
      </x:c>
      <x:c r="D65" s="51" t="str">
        <x:f>IF(57&gt;$H$4,"",IF(INDEX('Fleet dates'!$D$9:$D$1008,$I65-8)="","",INDEX('Fleet dates'!$D$9:$D$1008,$I65-8)))</x:f>
      </x:c>
      <x:c r="E65" s="51" t="str">
        <x:f>IF(57&gt;$H$4,"",IF(INDEX('Fleet dates'!$E$9:$E$1008,$I65-8)="","",INDEX('Fleet dates'!$E$9:$E$1008,$I65-8)))</x:f>
      </x:c>
      <x:c r="F65" s="51" t="str">
        <x:f>IF(57&gt;$H$4,"",IF(INDEX('Fleet dates'!$F$9:$F$1008,$I65-8)="","",INDEX('Fleet dates'!$F$9:$F$1008,$I65-8)))</x:f>
      </x:c>
      <x:c r="G65" s="50" t="str">
        <x:f>IF(57&gt;$H$4,"",IF(INDEX('Fleet dates'!$G$9:$G$1008,$I65-8)="","",INDEX('Fleet dates'!$G$9:$G$1008,$I65-8)))</x:f>
      </x:c>
      <x:c r="H65" s="50" t="str">
        <x:f>IF(57&gt;$H$4,"",IF(INDEX('Fleet dates'!$I$9:$I$1008,$I65-8)="","",INDEX('Fleet dates'!$I$9:$I$1008,$I65-8)))</x:f>
      </x:c>
      <x:c r="I65" t="str">
        <x:f>IF(57&gt;$H$4,"",MATCH(57,'Fleet dates'!$L$9:$L$1008,0)+8)</x:f>
      </x:c>
    </x:row>
    <x:row r="66" ht="36" customHeight="1">
      <x:c r="A66" s="50" t="str">
        <x:f>IF(58&gt;$H$4,"",IF(INDEX('Fleet dates'!$A$9:$A$1008,$I66-8)="","",INDEX('Fleet dates'!$A$9:$A$1008,$I66-8)))</x:f>
      </x:c>
      <x:c r="B66" s="50" t="str">
        <x:f>IF(58&gt;$H$4,"",IF(INDEX('Fleet dates'!$B$9:$B$1008,$I66-8)="","",INDEX('Fleet dates'!$B$9:$B$1008,$I66-8)))</x:f>
      </x:c>
      <x:c r="C66" s="51" t="str">
        <x:f>IF(58&gt;$H$4,"",IF(INDEX('Fleet dates'!$C$9:$C$1008,$I66-8)="","",INDEX('Fleet dates'!$C$9:$C$1008,$I66-8)))</x:f>
      </x:c>
      <x:c r="D66" s="51" t="str">
        <x:f>IF(58&gt;$H$4,"",IF(INDEX('Fleet dates'!$D$9:$D$1008,$I66-8)="","",INDEX('Fleet dates'!$D$9:$D$1008,$I66-8)))</x:f>
      </x:c>
      <x:c r="E66" s="51" t="str">
        <x:f>IF(58&gt;$H$4,"",IF(INDEX('Fleet dates'!$E$9:$E$1008,$I66-8)="","",INDEX('Fleet dates'!$E$9:$E$1008,$I66-8)))</x:f>
      </x:c>
      <x:c r="F66" s="51" t="str">
        <x:f>IF(58&gt;$H$4,"",IF(INDEX('Fleet dates'!$F$9:$F$1008,$I66-8)="","",INDEX('Fleet dates'!$F$9:$F$1008,$I66-8)))</x:f>
      </x:c>
      <x:c r="G66" s="50" t="str">
        <x:f>IF(58&gt;$H$4,"",IF(INDEX('Fleet dates'!$G$9:$G$1008,$I66-8)="","",INDEX('Fleet dates'!$G$9:$G$1008,$I66-8)))</x:f>
      </x:c>
      <x:c r="H66" s="50" t="str">
        <x:f>IF(58&gt;$H$4,"",IF(INDEX('Fleet dates'!$I$9:$I$1008,$I66-8)="","",INDEX('Fleet dates'!$I$9:$I$1008,$I66-8)))</x:f>
      </x:c>
      <x:c r="I66" t="str">
        <x:f>IF(58&gt;$H$4,"",MATCH(58,'Fleet dates'!$L$9:$L$1008,0)+8)</x:f>
      </x:c>
    </x:row>
    <x:row r="67" ht="36" customHeight="1">
      <x:c r="A67" s="50" t="str">
        <x:f>IF(59&gt;$H$4,"",IF(INDEX('Fleet dates'!$A$9:$A$1008,$I67-8)="","",INDEX('Fleet dates'!$A$9:$A$1008,$I67-8)))</x:f>
      </x:c>
      <x:c r="B67" s="50" t="str">
        <x:f>IF(59&gt;$H$4,"",IF(INDEX('Fleet dates'!$B$9:$B$1008,$I67-8)="","",INDEX('Fleet dates'!$B$9:$B$1008,$I67-8)))</x:f>
      </x:c>
      <x:c r="C67" s="51" t="str">
        <x:f>IF(59&gt;$H$4,"",IF(INDEX('Fleet dates'!$C$9:$C$1008,$I67-8)="","",INDEX('Fleet dates'!$C$9:$C$1008,$I67-8)))</x:f>
      </x:c>
      <x:c r="D67" s="51" t="str">
        <x:f>IF(59&gt;$H$4,"",IF(INDEX('Fleet dates'!$D$9:$D$1008,$I67-8)="","",INDEX('Fleet dates'!$D$9:$D$1008,$I67-8)))</x:f>
      </x:c>
      <x:c r="E67" s="51" t="str">
        <x:f>IF(59&gt;$H$4,"",IF(INDEX('Fleet dates'!$E$9:$E$1008,$I67-8)="","",INDEX('Fleet dates'!$E$9:$E$1008,$I67-8)))</x:f>
      </x:c>
      <x:c r="F67" s="51" t="str">
        <x:f>IF(59&gt;$H$4,"",IF(INDEX('Fleet dates'!$F$9:$F$1008,$I67-8)="","",INDEX('Fleet dates'!$F$9:$F$1008,$I67-8)))</x:f>
      </x:c>
      <x:c r="G67" s="50" t="str">
        <x:f>IF(59&gt;$H$4,"",IF(INDEX('Fleet dates'!$G$9:$G$1008,$I67-8)="","",INDEX('Fleet dates'!$G$9:$G$1008,$I67-8)))</x:f>
      </x:c>
      <x:c r="H67" s="50" t="str">
        <x:f>IF(59&gt;$H$4,"",IF(INDEX('Fleet dates'!$I$9:$I$1008,$I67-8)="","",INDEX('Fleet dates'!$I$9:$I$1008,$I67-8)))</x:f>
      </x:c>
      <x:c r="I67" t="str">
        <x:f>IF(59&gt;$H$4,"",MATCH(59,'Fleet dates'!$L$9:$L$1008,0)+8)</x:f>
      </x:c>
    </x:row>
    <x:row r="68" ht="36" customHeight="1">
      <x:c r="A68" s="50" t="str">
        <x:f>IF(60&gt;$H$4,"",IF(INDEX('Fleet dates'!$A$9:$A$1008,$I68-8)="","",INDEX('Fleet dates'!$A$9:$A$1008,$I68-8)))</x:f>
      </x:c>
      <x:c r="B68" s="50" t="str">
        <x:f>IF(60&gt;$H$4,"",IF(INDEX('Fleet dates'!$B$9:$B$1008,$I68-8)="","",INDEX('Fleet dates'!$B$9:$B$1008,$I68-8)))</x:f>
      </x:c>
      <x:c r="C68" s="51" t="str">
        <x:f>IF(60&gt;$H$4,"",IF(INDEX('Fleet dates'!$C$9:$C$1008,$I68-8)="","",INDEX('Fleet dates'!$C$9:$C$1008,$I68-8)))</x:f>
      </x:c>
      <x:c r="D68" s="51" t="str">
        <x:f>IF(60&gt;$H$4,"",IF(INDEX('Fleet dates'!$D$9:$D$1008,$I68-8)="","",INDEX('Fleet dates'!$D$9:$D$1008,$I68-8)))</x:f>
      </x:c>
      <x:c r="E68" s="51" t="str">
        <x:f>IF(60&gt;$H$4,"",IF(INDEX('Fleet dates'!$E$9:$E$1008,$I68-8)="","",INDEX('Fleet dates'!$E$9:$E$1008,$I68-8)))</x:f>
      </x:c>
      <x:c r="F68" s="51" t="str">
        <x:f>IF(60&gt;$H$4,"",IF(INDEX('Fleet dates'!$F$9:$F$1008,$I68-8)="","",INDEX('Fleet dates'!$F$9:$F$1008,$I68-8)))</x:f>
      </x:c>
      <x:c r="G68" s="50" t="str">
        <x:f>IF(60&gt;$H$4,"",IF(INDEX('Fleet dates'!$G$9:$G$1008,$I68-8)="","",INDEX('Fleet dates'!$G$9:$G$1008,$I68-8)))</x:f>
      </x:c>
      <x:c r="H68" s="50" t="str">
        <x:f>IF(60&gt;$H$4,"",IF(INDEX('Fleet dates'!$I$9:$I$1008,$I68-8)="","",INDEX('Fleet dates'!$I$9:$I$1008,$I68-8)))</x:f>
      </x:c>
      <x:c r="I68" t="str">
        <x:f>IF(60&gt;$H$4,"",MATCH(60,'Fleet dates'!$L$9:$L$1008,0)+8)</x:f>
      </x:c>
    </x:row>
    <x:row r="69" ht="36" customHeight="1">
      <x:c r="A69" s="50" t="str">
        <x:f>IF(61&gt;$H$4,"",IF(INDEX('Fleet dates'!$A$9:$A$1008,$I69-8)="","",INDEX('Fleet dates'!$A$9:$A$1008,$I69-8)))</x:f>
      </x:c>
      <x:c r="B69" s="50" t="str">
        <x:f>IF(61&gt;$H$4,"",IF(INDEX('Fleet dates'!$B$9:$B$1008,$I69-8)="","",INDEX('Fleet dates'!$B$9:$B$1008,$I69-8)))</x:f>
      </x:c>
      <x:c r="C69" s="51" t="str">
        <x:f>IF(61&gt;$H$4,"",IF(INDEX('Fleet dates'!$C$9:$C$1008,$I69-8)="","",INDEX('Fleet dates'!$C$9:$C$1008,$I69-8)))</x:f>
      </x:c>
      <x:c r="D69" s="51" t="str">
        <x:f>IF(61&gt;$H$4,"",IF(INDEX('Fleet dates'!$D$9:$D$1008,$I69-8)="","",INDEX('Fleet dates'!$D$9:$D$1008,$I69-8)))</x:f>
      </x:c>
      <x:c r="E69" s="51" t="str">
        <x:f>IF(61&gt;$H$4,"",IF(INDEX('Fleet dates'!$E$9:$E$1008,$I69-8)="","",INDEX('Fleet dates'!$E$9:$E$1008,$I69-8)))</x:f>
      </x:c>
      <x:c r="F69" s="51" t="str">
        <x:f>IF(61&gt;$H$4,"",IF(INDEX('Fleet dates'!$F$9:$F$1008,$I69-8)="","",INDEX('Fleet dates'!$F$9:$F$1008,$I69-8)))</x:f>
      </x:c>
      <x:c r="G69" s="50" t="str">
        <x:f>IF(61&gt;$H$4,"",IF(INDEX('Fleet dates'!$G$9:$G$1008,$I69-8)="","",INDEX('Fleet dates'!$G$9:$G$1008,$I69-8)))</x:f>
      </x:c>
      <x:c r="H69" s="50" t="str">
        <x:f>IF(61&gt;$H$4,"",IF(INDEX('Fleet dates'!$I$9:$I$1008,$I69-8)="","",INDEX('Fleet dates'!$I$9:$I$1008,$I69-8)))</x:f>
      </x:c>
      <x:c r="I69" t="str">
        <x:f>IF(61&gt;$H$4,"",MATCH(61,'Fleet dates'!$L$9:$L$1008,0)+8)</x:f>
      </x:c>
    </x:row>
    <x:row r="70" ht="36" customHeight="1">
      <x:c r="A70" s="50" t="str">
        <x:f>IF(62&gt;$H$4,"",IF(INDEX('Fleet dates'!$A$9:$A$1008,$I70-8)="","",INDEX('Fleet dates'!$A$9:$A$1008,$I70-8)))</x:f>
      </x:c>
      <x:c r="B70" s="50" t="str">
        <x:f>IF(62&gt;$H$4,"",IF(INDEX('Fleet dates'!$B$9:$B$1008,$I70-8)="","",INDEX('Fleet dates'!$B$9:$B$1008,$I70-8)))</x:f>
      </x:c>
      <x:c r="C70" s="51" t="str">
        <x:f>IF(62&gt;$H$4,"",IF(INDEX('Fleet dates'!$C$9:$C$1008,$I70-8)="","",INDEX('Fleet dates'!$C$9:$C$1008,$I70-8)))</x:f>
      </x:c>
      <x:c r="D70" s="51" t="str">
        <x:f>IF(62&gt;$H$4,"",IF(INDEX('Fleet dates'!$D$9:$D$1008,$I70-8)="","",INDEX('Fleet dates'!$D$9:$D$1008,$I70-8)))</x:f>
      </x:c>
      <x:c r="E70" s="51" t="str">
        <x:f>IF(62&gt;$H$4,"",IF(INDEX('Fleet dates'!$E$9:$E$1008,$I70-8)="","",INDEX('Fleet dates'!$E$9:$E$1008,$I70-8)))</x:f>
      </x:c>
      <x:c r="F70" s="51" t="str">
        <x:f>IF(62&gt;$H$4,"",IF(INDEX('Fleet dates'!$F$9:$F$1008,$I70-8)="","",INDEX('Fleet dates'!$F$9:$F$1008,$I70-8)))</x:f>
      </x:c>
      <x:c r="G70" s="50" t="str">
        <x:f>IF(62&gt;$H$4,"",IF(INDEX('Fleet dates'!$G$9:$G$1008,$I70-8)="","",INDEX('Fleet dates'!$G$9:$G$1008,$I70-8)))</x:f>
      </x:c>
      <x:c r="H70" s="50" t="str">
        <x:f>IF(62&gt;$H$4,"",IF(INDEX('Fleet dates'!$I$9:$I$1008,$I70-8)="","",INDEX('Fleet dates'!$I$9:$I$1008,$I70-8)))</x:f>
      </x:c>
      <x:c r="I70" t="str">
        <x:f>IF(62&gt;$H$4,"",MATCH(62,'Fleet dates'!$L$9:$L$1008,0)+8)</x:f>
      </x:c>
    </x:row>
    <x:row r="71" ht="36" customHeight="1">
      <x:c r="A71" s="50" t="str">
        <x:f>IF(63&gt;$H$4,"",IF(INDEX('Fleet dates'!$A$9:$A$1008,$I71-8)="","",INDEX('Fleet dates'!$A$9:$A$1008,$I71-8)))</x:f>
      </x:c>
      <x:c r="B71" s="50" t="str">
        <x:f>IF(63&gt;$H$4,"",IF(INDEX('Fleet dates'!$B$9:$B$1008,$I71-8)="","",INDEX('Fleet dates'!$B$9:$B$1008,$I71-8)))</x:f>
      </x:c>
      <x:c r="C71" s="51" t="str">
        <x:f>IF(63&gt;$H$4,"",IF(INDEX('Fleet dates'!$C$9:$C$1008,$I71-8)="","",INDEX('Fleet dates'!$C$9:$C$1008,$I71-8)))</x:f>
      </x:c>
      <x:c r="D71" s="51" t="str">
        <x:f>IF(63&gt;$H$4,"",IF(INDEX('Fleet dates'!$D$9:$D$1008,$I71-8)="","",INDEX('Fleet dates'!$D$9:$D$1008,$I71-8)))</x:f>
      </x:c>
      <x:c r="E71" s="51" t="str">
        <x:f>IF(63&gt;$H$4,"",IF(INDEX('Fleet dates'!$E$9:$E$1008,$I71-8)="","",INDEX('Fleet dates'!$E$9:$E$1008,$I71-8)))</x:f>
      </x:c>
      <x:c r="F71" s="51" t="str">
        <x:f>IF(63&gt;$H$4,"",IF(INDEX('Fleet dates'!$F$9:$F$1008,$I71-8)="","",INDEX('Fleet dates'!$F$9:$F$1008,$I71-8)))</x:f>
      </x:c>
      <x:c r="G71" s="50" t="str">
        <x:f>IF(63&gt;$H$4,"",IF(INDEX('Fleet dates'!$G$9:$G$1008,$I71-8)="","",INDEX('Fleet dates'!$G$9:$G$1008,$I71-8)))</x:f>
      </x:c>
      <x:c r="H71" s="50" t="str">
        <x:f>IF(63&gt;$H$4,"",IF(INDEX('Fleet dates'!$I$9:$I$1008,$I71-8)="","",INDEX('Fleet dates'!$I$9:$I$1008,$I71-8)))</x:f>
      </x:c>
      <x:c r="I71" t="str">
        <x:f>IF(63&gt;$H$4,"",MATCH(63,'Fleet dates'!$L$9:$L$1008,0)+8)</x:f>
      </x:c>
    </x:row>
    <x:row r="72" ht="36" customHeight="1">
      <x:c r="A72" s="50" t="str">
        <x:f>IF(64&gt;$H$4,"",IF(INDEX('Fleet dates'!$A$9:$A$1008,$I72-8)="","",INDEX('Fleet dates'!$A$9:$A$1008,$I72-8)))</x:f>
      </x:c>
      <x:c r="B72" s="50" t="str">
        <x:f>IF(64&gt;$H$4,"",IF(INDEX('Fleet dates'!$B$9:$B$1008,$I72-8)="","",INDEX('Fleet dates'!$B$9:$B$1008,$I72-8)))</x:f>
      </x:c>
      <x:c r="C72" s="51" t="str">
        <x:f>IF(64&gt;$H$4,"",IF(INDEX('Fleet dates'!$C$9:$C$1008,$I72-8)="","",INDEX('Fleet dates'!$C$9:$C$1008,$I72-8)))</x:f>
      </x:c>
      <x:c r="D72" s="51" t="str">
        <x:f>IF(64&gt;$H$4,"",IF(INDEX('Fleet dates'!$D$9:$D$1008,$I72-8)="","",INDEX('Fleet dates'!$D$9:$D$1008,$I72-8)))</x:f>
      </x:c>
      <x:c r="E72" s="51" t="str">
        <x:f>IF(64&gt;$H$4,"",IF(INDEX('Fleet dates'!$E$9:$E$1008,$I72-8)="","",INDEX('Fleet dates'!$E$9:$E$1008,$I72-8)))</x:f>
      </x:c>
      <x:c r="F72" s="51" t="str">
        <x:f>IF(64&gt;$H$4,"",IF(INDEX('Fleet dates'!$F$9:$F$1008,$I72-8)="","",INDEX('Fleet dates'!$F$9:$F$1008,$I72-8)))</x:f>
      </x:c>
      <x:c r="G72" s="50" t="str">
        <x:f>IF(64&gt;$H$4,"",IF(INDEX('Fleet dates'!$G$9:$G$1008,$I72-8)="","",INDEX('Fleet dates'!$G$9:$G$1008,$I72-8)))</x:f>
      </x:c>
      <x:c r="H72" s="50" t="str">
        <x:f>IF(64&gt;$H$4,"",IF(INDEX('Fleet dates'!$I$9:$I$1008,$I72-8)="","",INDEX('Fleet dates'!$I$9:$I$1008,$I72-8)))</x:f>
      </x:c>
      <x:c r="I72" t="str">
        <x:f>IF(64&gt;$H$4,"",MATCH(64,'Fleet dates'!$L$9:$L$1008,0)+8)</x:f>
      </x:c>
    </x:row>
    <x:row r="73" ht="36" customHeight="1">
      <x:c r="A73" s="50" t="str">
        <x:f>IF(65&gt;$H$4,"",IF(INDEX('Fleet dates'!$A$9:$A$1008,$I73-8)="","",INDEX('Fleet dates'!$A$9:$A$1008,$I73-8)))</x:f>
      </x:c>
      <x:c r="B73" s="50" t="str">
        <x:f>IF(65&gt;$H$4,"",IF(INDEX('Fleet dates'!$B$9:$B$1008,$I73-8)="","",INDEX('Fleet dates'!$B$9:$B$1008,$I73-8)))</x:f>
      </x:c>
      <x:c r="C73" s="51" t="str">
        <x:f>IF(65&gt;$H$4,"",IF(INDEX('Fleet dates'!$C$9:$C$1008,$I73-8)="","",INDEX('Fleet dates'!$C$9:$C$1008,$I73-8)))</x:f>
      </x:c>
      <x:c r="D73" s="51" t="str">
        <x:f>IF(65&gt;$H$4,"",IF(INDEX('Fleet dates'!$D$9:$D$1008,$I73-8)="","",INDEX('Fleet dates'!$D$9:$D$1008,$I73-8)))</x:f>
      </x:c>
      <x:c r="E73" s="51" t="str">
        <x:f>IF(65&gt;$H$4,"",IF(INDEX('Fleet dates'!$E$9:$E$1008,$I73-8)="","",INDEX('Fleet dates'!$E$9:$E$1008,$I73-8)))</x:f>
      </x:c>
      <x:c r="F73" s="51" t="str">
        <x:f>IF(65&gt;$H$4,"",IF(INDEX('Fleet dates'!$F$9:$F$1008,$I73-8)="","",INDEX('Fleet dates'!$F$9:$F$1008,$I73-8)))</x:f>
      </x:c>
      <x:c r="G73" s="50" t="str">
        <x:f>IF(65&gt;$H$4,"",IF(INDEX('Fleet dates'!$G$9:$G$1008,$I73-8)="","",INDEX('Fleet dates'!$G$9:$G$1008,$I73-8)))</x:f>
      </x:c>
      <x:c r="H73" s="50" t="str">
        <x:f>IF(65&gt;$H$4,"",IF(INDEX('Fleet dates'!$I$9:$I$1008,$I73-8)="","",INDEX('Fleet dates'!$I$9:$I$1008,$I73-8)))</x:f>
      </x:c>
      <x:c r="I73" t="str">
        <x:f>IF(65&gt;$H$4,"",MATCH(65,'Fleet dates'!$L$9:$L$1008,0)+8)</x:f>
      </x:c>
    </x:row>
    <x:row r="74" ht="36" customHeight="1">
      <x:c r="A74" s="50" t="str">
        <x:f>IF(66&gt;$H$4,"",IF(INDEX('Fleet dates'!$A$9:$A$1008,$I74-8)="","",INDEX('Fleet dates'!$A$9:$A$1008,$I74-8)))</x:f>
      </x:c>
      <x:c r="B74" s="50" t="str">
        <x:f>IF(66&gt;$H$4,"",IF(INDEX('Fleet dates'!$B$9:$B$1008,$I74-8)="","",INDEX('Fleet dates'!$B$9:$B$1008,$I74-8)))</x:f>
      </x:c>
      <x:c r="C74" s="51" t="str">
        <x:f>IF(66&gt;$H$4,"",IF(INDEX('Fleet dates'!$C$9:$C$1008,$I74-8)="","",INDEX('Fleet dates'!$C$9:$C$1008,$I74-8)))</x:f>
      </x:c>
      <x:c r="D74" s="51" t="str">
        <x:f>IF(66&gt;$H$4,"",IF(INDEX('Fleet dates'!$D$9:$D$1008,$I74-8)="","",INDEX('Fleet dates'!$D$9:$D$1008,$I74-8)))</x:f>
      </x:c>
      <x:c r="E74" s="51" t="str">
        <x:f>IF(66&gt;$H$4,"",IF(INDEX('Fleet dates'!$E$9:$E$1008,$I74-8)="","",INDEX('Fleet dates'!$E$9:$E$1008,$I74-8)))</x:f>
      </x:c>
      <x:c r="F74" s="51" t="str">
        <x:f>IF(66&gt;$H$4,"",IF(INDEX('Fleet dates'!$F$9:$F$1008,$I74-8)="","",INDEX('Fleet dates'!$F$9:$F$1008,$I74-8)))</x:f>
      </x:c>
      <x:c r="G74" s="50" t="str">
        <x:f>IF(66&gt;$H$4,"",IF(INDEX('Fleet dates'!$G$9:$G$1008,$I74-8)="","",INDEX('Fleet dates'!$G$9:$G$1008,$I74-8)))</x:f>
      </x:c>
      <x:c r="H74" s="50" t="str">
        <x:f>IF(66&gt;$H$4,"",IF(INDEX('Fleet dates'!$I$9:$I$1008,$I74-8)="","",INDEX('Fleet dates'!$I$9:$I$1008,$I74-8)))</x:f>
      </x:c>
      <x:c r="I74" t="str">
        <x:f>IF(66&gt;$H$4,"",MATCH(66,'Fleet dates'!$L$9:$L$1008,0)+8)</x:f>
      </x:c>
    </x:row>
    <x:row r="75" ht="36" customHeight="1">
      <x:c r="A75" s="50" t="str">
        <x:f>IF(67&gt;$H$4,"",IF(INDEX('Fleet dates'!$A$9:$A$1008,$I75-8)="","",INDEX('Fleet dates'!$A$9:$A$1008,$I75-8)))</x:f>
      </x:c>
      <x:c r="B75" s="50" t="str">
        <x:f>IF(67&gt;$H$4,"",IF(INDEX('Fleet dates'!$B$9:$B$1008,$I75-8)="","",INDEX('Fleet dates'!$B$9:$B$1008,$I75-8)))</x:f>
      </x:c>
      <x:c r="C75" s="51" t="str">
        <x:f>IF(67&gt;$H$4,"",IF(INDEX('Fleet dates'!$C$9:$C$1008,$I75-8)="","",INDEX('Fleet dates'!$C$9:$C$1008,$I75-8)))</x:f>
      </x:c>
      <x:c r="D75" s="51" t="str">
        <x:f>IF(67&gt;$H$4,"",IF(INDEX('Fleet dates'!$D$9:$D$1008,$I75-8)="","",INDEX('Fleet dates'!$D$9:$D$1008,$I75-8)))</x:f>
      </x:c>
      <x:c r="E75" s="51" t="str">
        <x:f>IF(67&gt;$H$4,"",IF(INDEX('Fleet dates'!$E$9:$E$1008,$I75-8)="","",INDEX('Fleet dates'!$E$9:$E$1008,$I75-8)))</x:f>
      </x:c>
      <x:c r="F75" s="51" t="str">
        <x:f>IF(67&gt;$H$4,"",IF(INDEX('Fleet dates'!$F$9:$F$1008,$I75-8)="","",INDEX('Fleet dates'!$F$9:$F$1008,$I75-8)))</x:f>
      </x:c>
      <x:c r="G75" s="50" t="str">
        <x:f>IF(67&gt;$H$4,"",IF(INDEX('Fleet dates'!$G$9:$G$1008,$I75-8)="","",INDEX('Fleet dates'!$G$9:$G$1008,$I75-8)))</x:f>
      </x:c>
      <x:c r="H75" s="50" t="str">
        <x:f>IF(67&gt;$H$4,"",IF(INDEX('Fleet dates'!$I$9:$I$1008,$I75-8)="","",INDEX('Fleet dates'!$I$9:$I$1008,$I75-8)))</x:f>
      </x:c>
      <x:c r="I75" t="str">
        <x:f>IF(67&gt;$H$4,"",MATCH(67,'Fleet dates'!$L$9:$L$1008,0)+8)</x:f>
      </x:c>
    </x:row>
    <x:row r="76" ht="36" customHeight="1">
      <x:c r="A76" s="50" t="str">
        <x:f>IF(68&gt;$H$4,"",IF(INDEX('Fleet dates'!$A$9:$A$1008,$I76-8)="","",INDEX('Fleet dates'!$A$9:$A$1008,$I76-8)))</x:f>
      </x:c>
      <x:c r="B76" s="50" t="str">
        <x:f>IF(68&gt;$H$4,"",IF(INDEX('Fleet dates'!$B$9:$B$1008,$I76-8)="","",INDEX('Fleet dates'!$B$9:$B$1008,$I76-8)))</x:f>
      </x:c>
      <x:c r="C76" s="51" t="str">
        <x:f>IF(68&gt;$H$4,"",IF(INDEX('Fleet dates'!$C$9:$C$1008,$I76-8)="","",INDEX('Fleet dates'!$C$9:$C$1008,$I76-8)))</x:f>
      </x:c>
      <x:c r="D76" s="51" t="str">
        <x:f>IF(68&gt;$H$4,"",IF(INDEX('Fleet dates'!$D$9:$D$1008,$I76-8)="","",INDEX('Fleet dates'!$D$9:$D$1008,$I76-8)))</x:f>
      </x:c>
      <x:c r="E76" s="51" t="str">
        <x:f>IF(68&gt;$H$4,"",IF(INDEX('Fleet dates'!$E$9:$E$1008,$I76-8)="","",INDEX('Fleet dates'!$E$9:$E$1008,$I76-8)))</x:f>
      </x:c>
      <x:c r="F76" s="51" t="str">
        <x:f>IF(68&gt;$H$4,"",IF(INDEX('Fleet dates'!$F$9:$F$1008,$I76-8)="","",INDEX('Fleet dates'!$F$9:$F$1008,$I76-8)))</x:f>
      </x:c>
      <x:c r="G76" s="50" t="str">
        <x:f>IF(68&gt;$H$4,"",IF(INDEX('Fleet dates'!$G$9:$G$1008,$I76-8)="","",INDEX('Fleet dates'!$G$9:$G$1008,$I76-8)))</x:f>
      </x:c>
      <x:c r="H76" s="50" t="str">
        <x:f>IF(68&gt;$H$4,"",IF(INDEX('Fleet dates'!$I$9:$I$1008,$I76-8)="","",INDEX('Fleet dates'!$I$9:$I$1008,$I76-8)))</x:f>
      </x:c>
      <x:c r="I76" t="str">
        <x:f>IF(68&gt;$H$4,"",MATCH(68,'Fleet dates'!$L$9:$L$1008,0)+8)</x:f>
      </x:c>
    </x:row>
    <x:row r="77" ht="36" customHeight="1">
      <x:c r="A77" s="50" t="str">
        <x:f>IF(69&gt;$H$4,"",IF(INDEX('Fleet dates'!$A$9:$A$1008,$I77-8)="","",INDEX('Fleet dates'!$A$9:$A$1008,$I77-8)))</x:f>
      </x:c>
      <x:c r="B77" s="50" t="str">
        <x:f>IF(69&gt;$H$4,"",IF(INDEX('Fleet dates'!$B$9:$B$1008,$I77-8)="","",INDEX('Fleet dates'!$B$9:$B$1008,$I77-8)))</x:f>
      </x:c>
      <x:c r="C77" s="51" t="str">
        <x:f>IF(69&gt;$H$4,"",IF(INDEX('Fleet dates'!$C$9:$C$1008,$I77-8)="","",INDEX('Fleet dates'!$C$9:$C$1008,$I77-8)))</x:f>
      </x:c>
      <x:c r="D77" s="51" t="str">
        <x:f>IF(69&gt;$H$4,"",IF(INDEX('Fleet dates'!$D$9:$D$1008,$I77-8)="","",INDEX('Fleet dates'!$D$9:$D$1008,$I77-8)))</x:f>
      </x:c>
      <x:c r="E77" s="51" t="str">
        <x:f>IF(69&gt;$H$4,"",IF(INDEX('Fleet dates'!$E$9:$E$1008,$I77-8)="","",INDEX('Fleet dates'!$E$9:$E$1008,$I77-8)))</x:f>
      </x:c>
      <x:c r="F77" s="51" t="str">
        <x:f>IF(69&gt;$H$4,"",IF(INDEX('Fleet dates'!$F$9:$F$1008,$I77-8)="","",INDEX('Fleet dates'!$F$9:$F$1008,$I77-8)))</x:f>
      </x:c>
      <x:c r="G77" s="50" t="str">
        <x:f>IF(69&gt;$H$4,"",IF(INDEX('Fleet dates'!$G$9:$G$1008,$I77-8)="","",INDEX('Fleet dates'!$G$9:$G$1008,$I77-8)))</x:f>
      </x:c>
      <x:c r="H77" s="50" t="str">
        <x:f>IF(69&gt;$H$4,"",IF(INDEX('Fleet dates'!$I$9:$I$1008,$I77-8)="","",INDEX('Fleet dates'!$I$9:$I$1008,$I77-8)))</x:f>
      </x:c>
      <x:c r="I77" t="str">
        <x:f>IF(69&gt;$H$4,"",MATCH(69,'Fleet dates'!$L$9:$L$1008,0)+8)</x:f>
      </x:c>
    </x:row>
    <x:row r="78" ht="36" customHeight="1">
      <x:c r="A78" s="50" t="str">
        <x:f>IF(70&gt;$H$4,"",IF(INDEX('Fleet dates'!$A$9:$A$1008,$I78-8)="","",INDEX('Fleet dates'!$A$9:$A$1008,$I78-8)))</x:f>
      </x:c>
      <x:c r="B78" s="50" t="str">
        <x:f>IF(70&gt;$H$4,"",IF(INDEX('Fleet dates'!$B$9:$B$1008,$I78-8)="","",INDEX('Fleet dates'!$B$9:$B$1008,$I78-8)))</x:f>
      </x:c>
      <x:c r="C78" s="51" t="str">
        <x:f>IF(70&gt;$H$4,"",IF(INDEX('Fleet dates'!$C$9:$C$1008,$I78-8)="","",INDEX('Fleet dates'!$C$9:$C$1008,$I78-8)))</x:f>
      </x:c>
      <x:c r="D78" s="51" t="str">
        <x:f>IF(70&gt;$H$4,"",IF(INDEX('Fleet dates'!$D$9:$D$1008,$I78-8)="","",INDEX('Fleet dates'!$D$9:$D$1008,$I78-8)))</x:f>
      </x:c>
      <x:c r="E78" s="51" t="str">
        <x:f>IF(70&gt;$H$4,"",IF(INDEX('Fleet dates'!$E$9:$E$1008,$I78-8)="","",INDEX('Fleet dates'!$E$9:$E$1008,$I78-8)))</x:f>
      </x:c>
      <x:c r="F78" s="51" t="str">
        <x:f>IF(70&gt;$H$4,"",IF(INDEX('Fleet dates'!$F$9:$F$1008,$I78-8)="","",INDEX('Fleet dates'!$F$9:$F$1008,$I78-8)))</x:f>
      </x:c>
      <x:c r="G78" s="50" t="str">
        <x:f>IF(70&gt;$H$4,"",IF(INDEX('Fleet dates'!$G$9:$G$1008,$I78-8)="","",INDEX('Fleet dates'!$G$9:$G$1008,$I78-8)))</x:f>
      </x:c>
      <x:c r="H78" s="50" t="str">
        <x:f>IF(70&gt;$H$4,"",IF(INDEX('Fleet dates'!$I$9:$I$1008,$I78-8)="","",INDEX('Fleet dates'!$I$9:$I$1008,$I78-8)))</x:f>
      </x:c>
      <x:c r="I78" t="str">
        <x:f>IF(70&gt;$H$4,"",MATCH(70,'Fleet dates'!$L$9:$L$1008,0)+8)</x:f>
      </x:c>
    </x:row>
    <x:row r="79" ht="36" customHeight="1">
      <x:c r="A79" s="50" t="str">
        <x:f>IF(71&gt;$H$4,"",IF(INDEX('Fleet dates'!$A$9:$A$1008,$I79-8)="","",INDEX('Fleet dates'!$A$9:$A$1008,$I79-8)))</x:f>
      </x:c>
      <x:c r="B79" s="50" t="str">
        <x:f>IF(71&gt;$H$4,"",IF(INDEX('Fleet dates'!$B$9:$B$1008,$I79-8)="","",INDEX('Fleet dates'!$B$9:$B$1008,$I79-8)))</x:f>
      </x:c>
      <x:c r="C79" s="51" t="str">
        <x:f>IF(71&gt;$H$4,"",IF(INDEX('Fleet dates'!$C$9:$C$1008,$I79-8)="","",INDEX('Fleet dates'!$C$9:$C$1008,$I79-8)))</x:f>
      </x:c>
      <x:c r="D79" s="51" t="str">
        <x:f>IF(71&gt;$H$4,"",IF(INDEX('Fleet dates'!$D$9:$D$1008,$I79-8)="","",INDEX('Fleet dates'!$D$9:$D$1008,$I79-8)))</x:f>
      </x:c>
      <x:c r="E79" s="51" t="str">
        <x:f>IF(71&gt;$H$4,"",IF(INDEX('Fleet dates'!$E$9:$E$1008,$I79-8)="","",INDEX('Fleet dates'!$E$9:$E$1008,$I79-8)))</x:f>
      </x:c>
      <x:c r="F79" s="51" t="str">
        <x:f>IF(71&gt;$H$4,"",IF(INDEX('Fleet dates'!$F$9:$F$1008,$I79-8)="","",INDEX('Fleet dates'!$F$9:$F$1008,$I79-8)))</x:f>
      </x:c>
      <x:c r="G79" s="50" t="str">
        <x:f>IF(71&gt;$H$4,"",IF(INDEX('Fleet dates'!$G$9:$G$1008,$I79-8)="","",INDEX('Fleet dates'!$G$9:$G$1008,$I79-8)))</x:f>
      </x:c>
      <x:c r="H79" s="50" t="str">
        <x:f>IF(71&gt;$H$4,"",IF(INDEX('Fleet dates'!$I$9:$I$1008,$I79-8)="","",INDEX('Fleet dates'!$I$9:$I$1008,$I79-8)))</x:f>
      </x:c>
      <x:c r="I79" t="str">
        <x:f>IF(71&gt;$H$4,"",MATCH(71,'Fleet dates'!$L$9:$L$1008,0)+8)</x:f>
      </x:c>
    </x:row>
    <x:row r="80" ht="36" customHeight="1">
      <x:c r="A80" s="50" t="str">
        <x:f>IF(72&gt;$H$4,"",IF(INDEX('Fleet dates'!$A$9:$A$1008,$I80-8)="","",INDEX('Fleet dates'!$A$9:$A$1008,$I80-8)))</x:f>
      </x:c>
      <x:c r="B80" s="50" t="str">
        <x:f>IF(72&gt;$H$4,"",IF(INDEX('Fleet dates'!$B$9:$B$1008,$I80-8)="","",INDEX('Fleet dates'!$B$9:$B$1008,$I80-8)))</x:f>
      </x:c>
      <x:c r="C80" s="51" t="str">
        <x:f>IF(72&gt;$H$4,"",IF(INDEX('Fleet dates'!$C$9:$C$1008,$I80-8)="","",INDEX('Fleet dates'!$C$9:$C$1008,$I80-8)))</x:f>
      </x:c>
      <x:c r="D80" s="51" t="str">
        <x:f>IF(72&gt;$H$4,"",IF(INDEX('Fleet dates'!$D$9:$D$1008,$I80-8)="","",INDEX('Fleet dates'!$D$9:$D$1008,$I80-8)))</x:f>
      </x:c>
      <x:c r="E80" s="51" t="str">
        <x:f>IF(72&gt;$H$4,"",IF(INDEX('Fleet dates'!$E$9:$E$1008,$I80-8)="","",INDEX('Fleet dates'!$E$9:$E$1008,$I80-8)))</x:f>
      </x:c>
      <x:c r="F80" s="51" t="str">
        <x:f>IF(72&gt;$H$4,"",IF(INDEX('Fleet dates'!$F$9:$F$1008,$I80-8)="","",INDEX('Fleet dates'!$F$9:$F$1008,$I80-8)))</x:f>
      </x:c>
      <x:c r="G80" s="50" t="str">
        <x:f>IF(72&gt;$H$4,"",IF(INDEX('Fleet dates'!$G$9:$G$1008,$I80-8)="","",INDEX('Fleet dates'!$G$9:$G$1008,$I80-8)))</x:f>
      </x:c>
      <x:c r="H80" s="50" t="str">
        <x:f>IF(72&gt;$H$4,"",IF(INDEX('Fleet dates'!$I$9:$I$1008,$I80-8)="","",INDEX('Fleet dates'!$I$9:$I$1008,$I80-8)))</x:f>
      </x:c>
      <x:c r="I80" t="str">
        <x:f>IF(72&gt;$H$4,"",MATCH(72,'Fleet dates'!$L$9:$L$1008,0)+8)</x:f>
      </x:c>
    </x:row>
    <x:row r="81" ht="36" customHeight="1">
      <x:c r="A81" s="50" t="str">
        <x:f>IF(73&gt;$H$4,"",IF(INDEX('Fleet dates'!$A$9:$A$1008,$I81-8)="","",INDEX('Fleet dates'!$A$9:$A$1008,$I81-8)))</x:f>
      </x:c>
      <x:c r="B81" s="50" t="str">
        <x:f>IF(73&gt;$H$4,"",IF(INDEX('Fleet dates'!$B$9:$B$1008,$I81-8)="","",INDEX('Fleet dates'!$B$9:$B$1008,$I81-8)))</x:f>
      </x:c>
      <x:c r="C81" s="51" t="str">
        <x:f>IF(73&gt;$H$4,"",IF(INDEX('Fleet dates'!$C$9:$C$1008,$I81-8)="","",INDEX('Fleet dates'!$C$9:$C$1008,$I81-8)))</x:f>
      </x:c>
      <x:c r="D81" s="51" t="str">
        <x:f>IF(73&gt;$H$4,"",IF(INDEX('Fleet dates'!$D$9:$D$1008,$I81-8)="","",INDEX('Fleet dates'!$D$9:$D$1008,$I81-8)))</x:f>
      </x:c>
      <x:c r="E81" s="51" t="str">
        <x:f>IF(73&gt;$H$4,"",IF(INDEX('Fleet dates'!$E$9:$E$1008,$I81-8)="","",INDEX('Fleet dates'!$E$9:$E$1008,$I81-8)))</x:f>
      </x:c>
      <x:c r="F81" s="51" t="str">
        <x:f>IF(73&gt;$H$4,"",IF(INDEX('Fleet dates'!$F$9:$F$1008,$I81-8)="","",INDEX('Fleet dates'!$F$9:$F$1008,$I81-8)))</x:f>
      </x:c>
      <x:c r="G81" s="50" t="str">
        <x:f>IF(73&gt;$H$4,"",IF(INDEX('Fleet dates'!$G$9:$G$1008,$I81-8)="","",INDEX('Fleet dates'!$G$9:$G$1008,$I81-8)))</x:f>
      </x:c>
      <x:c r="H81" s="50" t="str">
        <x:f>IF(73&gt;$H$4,"",IF(INDEX('Fleet dates'!$I$9:$I$1008,$I81-8)="","",INDEX('Fleet dates'!$I$9:$I$1008,$I81-8)))</x:f>
      </x:c>
      <x:c r="I81" t="str">
        <x:f>IF(73&gt;$H$4,"",MATCH(73,'Fleet dates'!$L$9:$L$1008,0)+8)</x:f>
      </x:c>
    </x:row>
    <x:row r="82" ht="36" customHeight="1">
      <x:c r="A82" s="50" t="str">
        <x:f>IF(74&gt;$H$4,"",IF(INDEX('Fleet dates'!$A$9:$A$1008,$I82-8)="","",INDEX('Fleet dates'!$A$9:$A$1008,$I82-8)))</x:f>
      </x:c>
      <x:c r="B82" s="50" t="str">
        <x:f>IF(74&gt;$H$4,"",IF(INDEX('Fleet dates'!$B$9:$B$1008,$I82-8)="","",INDEX('Fleet dates'!$B$9:$B$1008,$I82-8)))</x:f>
      </x:c>
      <x:c r="C82" s="51" t="str">
        <x:f>IF(74&gt;$H$4,"",IF(INDEX('Fleet dates'!$C$9:$C$1008,$I82-8)="","",INDEX('Fleet dates'!$C$9:$C$1008,$I82-8)))</x:f>
      </x:c>
      <x:c r="D82" s="51" t="str">
        <x:f>IF(74&gt;$H$4,"",IF(INDEX('Fleet dates'!$D$9:$D$1008,$I82-8)="","",INDEX('Fleet dates'!$D$9:$D$1008,$I82-8)))</x:f>
      </x:c>
      <x:c r="E82" s="51" t="str">
        <x:f>IF(74&gt;$H$4,"",IF(INDEX('Fleet dates'!$E$9:$E$1008,$I82-8)="","",INDEX('Fleet dates'!$E$9:$E$1008,$I82-8)))</x:f>
      </x:c>
      <x:c r="F82" s="51" t="str">
        <x:f>IF(74&gt;$H$4,"",IF(INDEX('Fleet dates'!$F$9:$F$1008,$I82-8)="","",INDEX('Fleet dates'!$F$9:$F$1008,$I82-8)))</x:f>
      </x:c>
      <x:c r="G82" s="50" t="str">
        <x:f>IF(74&gt;$H$4,"",IF(INDEX('Fleet dates'!$G$9:$G$1008,$I82-8)="","",INDEX('Fleet dates'!$G$9:$G$1008,$I82-8)))</x:f>
      </x:c>
      <x:c r="H82" s="50" t="str">
        <x:f>IF(74&gt;$H$4,"",IF(INDEX('Fleet dates'!$I$9:$I$1008,$I82-8)="","",INDEX('Fleet dates'!$I$9:$I$1008,$I82-8)))</x:f>
      </x:c>
      <x:c r="I82" t="str">
        <x:f>IF(74&gt;$H$4,"",MATCH(74,'Fleet dates'!$L$9:$L$1008,0)+8)</x:f>
      </x:c>
    </x:row>
    <x:row r="83" ht="36" customHeight="1">
      <x:c r="A83" s="50" t="str">
        <x:f>IF(75&gt;$H$4,"",IF(INDEX('Fleet dates'!$A$9:$A$1008,$I83-8)="","",INDEX('Fleet dates'!$A$9:$A$1008,$I83-8)))</x:f>
      </x:c>
      <x:c r="B83" s="50" t="str">
        <x:f>IF(75&gt;$H$4,"",IF(INDEX('Fleet dates'!$B$9:$B$1008,$I83-8)="","",INDEX('Fleet dates'!$B$9:$B$1008,$I83-8)))</x:f>
      </x:c>
      <x:c r="C83" s="51" t="str">
        <x:f>IF(75&gt;$H$4,"",IF(INDEX('Fleet dates'!$C$9:$C$1008,$I83-8)="","",INDEX('Fleet dates'!$C$9:$C$1008,$I83-8)))</x:f>
      </x:c>
      <x:c r="D83" s="51" t="str">
        <x:f>IF(75&gt;$H$4,"",IF(INDEX('Fleet dates'!$D$9:$D$1008,$I83-8)="","",INDEX('Fleet dates'!$D$9:$D$1008,$I83-8)))</x:f>
      </x:c>
      <x:c r="E83" s="51" t="str">
        <x:f>IF(75&gt;$H$4,"",IF(INDEX('Fleet dates'!$E$9:$E$1008,$I83-8)="","",INDEX('Fleet dates'!$E$9:$E$1008,$I83-8)))</x:f>
      </x:c>
      <x:c r="F83" s="51" t="str">
        <x:f>IF(75&gt;$H$4,"",IF(INDEX('Fleet dates'!$F$9:$F$1008,$I83-8)="","",INDEX('Fleet dates'!$F$9:$F$1008,$I83-8)))</x:f>
      </x:c>
      <x:c r="G83" s="50" t="str">
        <x:f>IF(75&gt;$H$4,"",IF(INDEX('Fleet dates'!$G$9:$G$1008,$I83-8)="","",INDEX('Fleet dates'!$G$9:$G$1008,$I83-8)))</x:f>
      </x:c>
      <x:c r="H83" s="50" t="str">
        <x:f>IF(75&gt;$H$4,"",IF(INDEX('Fleet dates'!$I$9:$I$1008,$I83-8)="","",INDEX('Fleet dates'!$I$9:$I$1008,$I83-8)))</x:f>
      </x:c>
      <x:c r="I83" t="str">
        <x:f>IF(75&gt;$H$4,"",MATCH(75,'Fleet dates'!$L$9:$L$1008,0)+8)</x:f>
      </x:c>
    </x:row>
    <x:row r="84" ht="36" customHeight="1">
      <x:c r="A84" s="50" t="str">
        <x:f>IF(76&gt;$H$4,"",IF(INDEX('Fleet dates'!$A$9:$A$1008,$I84-8)="","",INDEX('Fleet dates'!$A$9:$A$1008,$I84-8)))</x:f>
      </x:c>
      <x:c r="B84" s="50" t="str">
        <x:f>IF(76&gt;$H$4,"",IF(INDEX('Fleet dates'!$B$9:$B$1008,$I84-8)="","",INDEX('Fleet dates'!$B$9:$B$1008,$I84-8)))</x:f>
      </x:c>
      <x:c r="C84" s="51" t="str">
        <x:f>IF(76&gt;$H$4,"",IF(INDEX('Fleet dates'!$C$9:$C$1008,$I84-8)="","",INDEX('Fleet dates'!$C$9:$C$1008,$I84-8)))</x:f>
      </x:c>
      <x:c r="D84" s="51" t="str">
        <x:f>IF(76&gt;$H$4,"",IF(INDEX('Fleet dates'!$D$9:$D$1008,$I84-8)="","",INDEX('Fleet dates'!$D$9:$D$1008,$I84-8)))</x:f>
      </x:c>
      <x:c r="E84" s="51" t="str">
        <x:f>IF(76&gt;$H$4,"",IF(INDEX('Fleet dates'!$E$9:$E$1008,$I84-8)="","",INDEX('Fleet dates'!$E$9:$E$1008,$I84-8)))</x:f>
      </x:c>
      <x:c r="F84" s="51" t="str">
        <x:f>IF(76&gt;$H$4,"",IF(INDEX('Fleet dates'!$F$9:$F$1008,$I84-8)="","",INDEX('Fleet dates'!$F$9:$F$1008,$I84-8)))</x:f>
      </x:c>
      <x:c r="G84" s="50" t="str">
        <x:f>IF(76&gt;$H$4,"",IF(INDEX('Fleet dates'!$G$9:$G$1008,$I84-8)="","",INDEX('Fleet dates'!$G$9:$G$1008,$I84-8)))</x:f>
      </x:c>
      <x:c r="H84" s="50" t="str">
        <x:f>IF(76&gt;$H$4,"",IF(INDEX('Fleet dates'!$I$9:$I$1008,$I84-8)="","",INDEX('Fleet dates'!$I$9:$I$1008,$I84-8)))</x:f>
      </x:c>
      <x:c r="I84" t="str">
        <x:f>IF(76&gt;$H$4,"",MATCH(76,'Fleet dates'!$L$9:$L$1008,0)+8)</x:f>
      </x:c>
    </x:row>
    <x:row r="85" ht="36" customHeight="1">
      <x:c r="A85" s="50" t="str">
        <x:f>IF(77&gt;$H$4,"",IF(INDEX('Fleet dates'!$A$9:$A$1008,$I85-8)="","",INDEX('Fleet dates'!$A$9:$A$1008,$I85-8)))</x:f>
      </x:c>
      <x:c r="B85" s="50" t="str">
        <x:f>IF(77&gt;$H$4,"",IF(INDEX('Fleet dates'!$B$9:$B$1008,$I85-8)="","",INDEX('Fleet dates'!$B$9:$B$1008,$I85-8)))</x:f>
      </x:c>
      <x:c r="C85" s="51" t="str">
        <x:f>IF(77&gt;$H$4,"",IF(INDEX('Fleet dates'!$C$9:$C$1008,$I85-8)="","",INDEX('Fleet dates'!$C$9:$C$1008,$I85-8)))</x:f>
      </x:c>
      <x:c r="D85" s="51" t="str">
        <x:f>IF(77&gt;$H$4,"",IF(INDEX('Fleet dates'!$D$9:$D$1008,$I85-8)="","",INDEX('Fleet dates'!$D$9:$D$1008,$I85-8)))</x:f>
      </x:c>
      <x:c r="E85" s="51" t="str">
        <x:f>IF(77&gt;$H$4,"",IF(INDEX('Fleet dates'!$E$9:$E$1008,$I85-8)="","",INDEX('Fleet dates'!$E$9:$E$1008,$I85-8)))</x:f>
      </x:c>
      <x:c r="F85" s="51" t="str">
        <x:f>IF(77&gt;$H$4,"",IF(INDEX('Fleet dates'!$F$9:$F$1008,$I85-8)="","",INDEX('Fleet dates'!$F$9:$F$1008,$I85-8)))</x:f>
      </x:c>
      <x:c r="G85" s="50" t="str">
        <x:f>IF(77&gt;$H$4,"",IF(INDEX('Fleet dates'!$G$9:$G$1008,$I85-8)="","",INDEX('Fleet dates'!$G$9:$G$1008,$I85-8)))</x:f>
      </x:c>
      <x:c r="H85" s="50" t="str">
        <x:f>IF(77&gt;$H$4,"",IF(INDEX('Fleet dates'!$I$9:$I$1008,$I85-8)="","",INDEX('Fleet dates'!$I$9:$I$1008,$I85-8)))</x:f>
      </x:c>
      <x:c r="I85" t="str">
        <x:f>IF(77&gt;$H$4,"",MATCH(77,'Fleet dates'!$L$9:$L$1008,0)+8)</x:f>
      </x:c>
    </x:row>
    <x:row r="86" ht="36" customHeight="1">
      <x:c r="A86" s="50" t="str">
        <x:f>IF(78&gt;$H$4,"",IF(INDEX('Fleet dates'!$A$9:$A$1008,$I86-8)="","",INDEX('Fleet dates'!$A$9:$A$1008,$I86-8)))</x:f>
      </x:c>
      <x:c r="B86" s="50" t="str">
        <x:f>IF(78&gt;$H$4,"",IF(INDEX('Fleet dates'!$B$9:$B$1008,$I86-8)="","",INDEX('Fleet dates'!$B$9:$B$1008,$I86-8)))</x:f>
      </x:c>
      <x:c r="C86" s="51" t="str">
        <x:f>IF(78&gt;$H$4,"",IF(INDEX('Fleet dates'!$C$9:$C$1008,$I86-8)="","",INDEX('Fleet dates'!$C$9:$C$1008,$I86-8)))</x:f>
      </x:c>
      <x:c r="D86" s="51" t="str">
        <x:f>IF(78&gt;$H$4,"",IF(INDEX('Fleet dates'!$D$9:$D$1008,$I86-8)="","",INDEX('Fleet dates'!$D$9:$D$1008,$I86-8)))</x:f>
      </x:c>
      <x:c r="E86" s="51" t="str">
        <x:f>IF(78&gt;$H$4,"",IF(INDEX('Fleet dates'!$E$9:$E$1008,$I86-8)="","",INDEX('Fleet dates'!$E$9:$E$1008,$I86-8)))</x:f>
      </x:c>
      <x:c r="F86" s="51" t="str">
        <x:f>IF(78&gt;$H$4,"",IF(INDEX('Fleet dates'!$F$9:$F$1008,$I86-8)="","",INDEX('Fleet dates'!$F$9:$F$1008,$I86-8)))</x:f>
      </x:c>
      <x:c r="G86" s="50" t="str">
        <x:f>IF(78&gt;$H$4,"",IF(INDEX('Fleet dates'!$G$9:$G$1008,$I86-8)="","",INDEX('Fleet dates'!$G$9:$G$1008,$I86-8)))</x:f>
      </x:c>
      <x:c r="H86" s="50" t="str">
        <x:f>IF(78&gt;$H$4,"",IF(INDEX('Fleet dates'!$I$9:$I$1008,$I86-8)="","",INDEX('Fleet dates'!$I$9:$I$1008,$I86-8)))</x:f>
      </x:c>
      <x:c r="I86" t="str">
        <x:f>IF(78&gt;$H$4,"",MATCH(78,'Fleet dates'!$L$9:$L$1008,0)+8)</x:f>
      </x:c>
    </x:row>
    <x:row r="87" ht="36" customHeight="1">
      <x:c r="A87" s="50" t="str">
        <x:f>IF(79&gt;$H$4,"",IF(INDEX('Fleet dates'!$A$9:$A$1008,$I87-8)="","",INDEX('Fleet dates'!$A$9:$A$1008,$I87-8)))</x:f>
      </x:c>
      <x:c r="B87" s="50" t="str">
        <x:f>IF(79&gt;$H$4,"",IF(INDEX('Fleet dates'!$B$9:$B$1008,$I87-8)="","",INDEX('Fleet dates'!$B$9:$B$1008,$I87-8)))</x:f>
      </x:c>
      <x:c r="C87" s="51" t="str">
        <x:f>IF(79&gt;$H$4,"",IF(INDEX('Fleet dates'!$C$9:$C$1008,$I87-8)="","",INDEX('Fleet dates'!$C$9:$C$1008,$I87-8)))</x:f>
      </x:c>
      <x:c r="D87" s="51" t="str">
        <x:f>IF(79&gt;$H$4,"",IF(INDEX('Fleet dates'!$D$9:$D$1008,$I87-8)="","",INDEX('Fleet dates'!$D$9:$D$1008,$I87-8)))</x:f>
      </x:c>
      <x:c r="E87" s="51" t="str">
        <x:f>IF(79&gt;$H$4,"",IF(INDEX('Fleet dates'!$E$9:$E$1008,$I87-8)="","",INDEX('Fleet dates'!$E$9:$E$1008,$I87-8)))</x:f>
      </x:c>
      <x:c r="F87" s="51" t="str">
        <x:f>IF(79&gt;$H$4,"",IF(INDEX('Fleet dates'!$F$9:$F$1008,$I87-8)="","",INDEX('Fleet dates'!$F$9:$F$1008,$I87-8)))</x:f>
      </x:c>
      <x:c r="G87" s="50" t="str">
        <x:f>IF(79&gt;$H$4,"",IF(INDEX('Fleet dates'!$G$9:$G$1008,$I87-8)="","",INDEX('Fleet dates'!$G$9:$G$1008,$I87-8)))</x:f>
      </x:c>
      <x:c r="H87" s="50" t="str">
        <x:f>IF(79&gt;$H$4,"",IF(INDEX('Fleet dates'!$I$9:$I$1008,$I87-8)="","",INDEX('Fleet dates'!$I$9:$I$1008,$I87-8)))</x:f>
      </x:c>
      <x:c r="I87" t="str">
        <x:f>IF(79&gt;$H$4,"",MATCH(79,'Fleet dates'!$L$9:$L$1008,0)+8)</x:f>
      </x:c>
    </x:row>
    <x:row r="88" ht="36" customHeight="1">
      <x:c r="A88" s="50" t="str">
        <x:f>IF(80&gt;$H$4,"",IF(INDEX('Fleet dates'!$A$9:$A$1008,$I88-8)="","",INDEX('Fleet dates'!$A$9:$A$1008,$I88-8)))</x:f>
      </x:c>
      <x:c r="B88" s="50" t="str">
        <x:f>IF(80&gt;$H$4,"",IF(INDEX('Fleet dates'!$B$9:$B$1008,$I88-8)="","",INDEX('Fleet dates'!$B$9:$B$1008,$I88-8)))</x:f>
      </x:c>
      <x:c r="C88" s="51" t="str">
        <x:f>IF(80&gt;$H$4,"",IF(INDEX('Fleet dates'!$C$9:$C$1008,$I88-8)="","",INDEX('Fleet dates'!$C$9:$C$1008,$I88-8)))</x:f>
      </x:c>
      <x:c r="D88" s="51" t="str">
        <x:f>IF(80&gt;$H$4,"",IF(INDEX('Fleet dates'!$D$9:$D$1008,$I88-8)="","",INDEX('Fleet dates'!$D$9:$D$1008,$I88-8)))</x:f>
      </x:c>
      <x:c r="E88" s="51" t="str">
        <x:f>IF(80&gt;$H$4,"",IF(INDEX('Fleet dates'!$E$9:$E$1008,$I88-8)="","",INDEX('Fleet dates'!$E$9:$E$1008,$I88-8)))</x:f>
      </x:c>
      <x:c r="F88" s="51" t="str">
        <x:f>IF(80&gt;$H$4,"",IF(INDEX('Fleet dates'!$F$9:$F$1008,$I88-8)="","",INDEX('Fleet dates'!$F$9:$F$1008,$I88-8)))</x:f>
      </x:c>
      <x:c r="G88" s="50" t="str">
        <x:f>IF(80&gt;$H$4,"",IF(INDEX('Fleet dates'!$G$9:$G$1008,$I88-8)="","",INDEX('Fleet dates'!$G$9:$G$1008,$I88-8)))</x:f>
      </x:c>
      <x:c r="H88" s="50" t="str">
        <x:f>IF(80&gt;$H$4,"",IF(INDEX('Fleet dates'!$I$9:$I$1008,$I88-8)="","",INDEX('Fleet dates'!$I$9:$I$1008,$I88-8)))</x:f>
      </x:c>
      <x:c r="I88" t="str">
        <x:f>IF(80&gt;$H$4,"",MATCH(80,'Fleet dates'!$L$9:$L$1008,0)+8)</x:f>
      </x:c>
    </x:row>
    <x:row r="89" ht="36" customHeight="1">
      <x:c r="A89" s="50" t="str">
        <x:f>IF(81&gt;$H$4,"",IF(INDEX('Fleet dates'!$A$9:$A$1008,$I89-8)="","",INDEX('Fleet dates'!$A$9:$A$1008,$I89-8)))</x:f>
      </x:c>
      <x:c r="B89" s="50" t="str">
        <x:f>IF(81&gt;$H$4,"",IF(INDEX('Fleet dates'!$B$9:$B$1008,$I89-8)="","",INDEX('Fleet dates'!$B$9:$B$1008,$I89-8)))</x:f>
      </x:c>
      <x:c r="C89" s="51" t="str">
        <x:f>IF(81&gt;$H$4,"",IF(INDEX('Fleet dates'!$C$9:$C$1008,$I89-8)="","",INDEX('Fleet dates'!$C$9:$C$1008,$I89-8)))</x:f>
      </x:c>
      <x:c r="D89" s="51" t="str">
        <x:f>IF(81&gt;$H$4,"",IF(INDEX('Fleet dates'!$D$9:$D$1008,$I89-8)="","",INDEX('Fleet dates'!$D$9:$D$1008,$I89-8)))</x:f>
      </x:c>
      <x:c r="E89" s="51" t="str">
        <x:f>IF(81&gt;$H$4,"",IF(INDEX('Fleet dates'!$E$9:$E$1008,$I89-8)="","",INDEX('Fleet dates'!$E$9:$E$1008,$I89-8)))</x:f>
      </x:c>
      <x:c r="F89" s="51" t="str">
        <x:f>IF(81&gt;$H$4,"",IF(INDEX('Fleet dates'!$F$9:$F$1008,$I89-8)="","",INDEX('Fleet dates'!$F$9:$F$1008,$I89-8)))</x:f>
      </x:c>
      <x:c r="G89" s="50" t="str">
        <x:f>IF(81&gt;$H$4,"",IF(INDEX('Fleet dates'!$G$9:$G$1008,$I89-8)="","",INDEX('Fleet dates'!$G$9:$G$1008,$I89-8)))</x:f>
      </x:c>
      <x:c r="H89" s="50" t="str">
        <x:f>IF(81&gt;$H$4,"",IF(INDEX('Fleet dates'!$I$9:$I$1008,$I89-8)="","",INDEX('Fleet dates'!$I$9:$I$1008,$I89-8)))</x:f>
      </x:c>
      <x:c r="I89" t="str">
        <x:f>IF(81&gt;$H$4,"",MATCH(81,'Fleet dates'!$L$9:$L$1008,0)+8)</x:f>
      </x:c>
    </x:row>
    <x:row r="90" ht="36" customHeight="1">
      <x:c r="A90" s="50" t="str">
        <x:f>IF(82&gt;$H$4,"",IF(INDEX('Fleet dates'!$A$9:$A$1008,$I90-8)="","",INDEX('Fleet dates'!$A$9:$A$1008,$I90-8)))</x:f>
      </x:c>
      <x:c r="B90" s="50" t="str">
        <x:f>IF(82&gt;$H$4,"",IF(INDEX('Fleet dates'!$B$9:$B$1008,$I90-8)="","",INDEX('Fleet dates'!$B$9:$B$1008,$I90-8)))</x:f>
      </x:c>
      <x:c r="C90" s="51" t="str">
        <x:f>IF(82&gt;$H$4,"",IF(INDEX('Fleet dates'!$C$9:$C$1008,$I90-8)="","",INDEX('Fleet dates'!$C$9:$C$1008,$I90-8)))</x:f>
      </x:c>
      <x:c r="D90" s="51" t="str">
        <x:f>IF(82&gt;$H$4,"",IF(INDEX('Fleet dates'!$D$9:$D$1008,$I90-8)="","",INDEX('Fleet dates'!$D$9:$D$1008,$I90-8)))</x:f>
      </x:c>
      <x:c r="E90" s="51" t="str">
        <x:f>IF(82&gt;$H$4,"",IF(INDEX('Fleet dates'!$E$9:$E$1008,$I90-8)="","",INDEX('Fleet dates'!$E$9:$E$1008,$I90-8)))</x:f>
      </x:c>
      <x:c r="F90" s="51" t="str">
        <x:f>IF(82&gt;$H$4,"",IF(INDEX('Fleet dates'!$F$9:$F$1008,$I90-8)="","",INDEX('Fleet dates'!$F$9:$F$1008,$I90-8)))</x:f>
      </x:c>
      <x:c r="G90" s="50" t="str">
        <x:f>IF(82&gt;$H$4,"",IF(INDEX('Fleet dates'!$G$9:$G$1008,$I90-8)="","",INDEX('Fleet dates'!$G$9:$G$1008,$I90-8)))</x:f>
      </x:c>
      <x:c r="H90" s="50" t="str">
        <x:f>IF(82&gt;$H$4,"",IF(INDEX('Fleet dates'!$I$9:$I$1008,$I90-8)="","",INDEX('Fleet dates'!$I$9:$I$1008,$I90-8)))</x:f>
      </x:c>
      <x:c r="I90" t="str">
        <x:f>IF(82&gt;$H$4,"",MATCH(82,'Fleet dates'!$L$9:$L$1008,0)+8)</x:f>
      </x:c>
    </x:row>
    <x:row r="91" ht="36" customHeight="1">
      <x:c r="A91" s="50" t="str">
        <x:f>IF(83&gt;$H$4,"",IF(INDEX('Fleet dates'!$A$9:$A$1008,$I91-8)="","",INDEX('Fleet dates'!$A$9:$A$1008,$I91-8)))</x:f>
      </x:c>
      <x:c r="B91" s="50" t="str">
        <x:f>IF(83&gt;$H$4,"",IF(INDEX('Fleet dates'!$B$9:$B$1008,$I91-8)="","",INDEX('Fleet dates'!$B$9:$B$1008,$I91-8)))</x:f>
      </x:c>
      <x:c r="C91" s="51" t="str">
        <x:f>IF(83&gt;$H$4,"",IF(INDEX('Fleet dates'!$C$9:$C$1008,$I91-8)="","",INDEX('Fleet dates'!$C$9:$C$1008,$I91-8)))</x:f>
      </x:c>
      <x:c r="D91" s="51" t="str">
        <x:f>IF(83&gt;$H$4,"",IF(INDEX('Fleet dates'!$D$9:$D$1008,$I91-8)="","",INDEX('Fleet dates'!$D$9:$D$1008,$I91-8)))</x:f>
      </x:c>
      <x:c r="E91" s="51" t="str">
        <x:f>IF(83&gt;$H$4,"",IF(INDEX('Fleet dates'!$E$9:$E$1008,$I91-8)="","",INDEX('Fleet dates'!$E$9:$E$1008,$I91-8)))</x:f>
      </x:c>
      <x:c r="F91" s="51" t="str">
        <x:f>IF(83&gt;$H$4,"",IF(INDEX('Fleet dates'!$F$9:$F$1008,$I91-8)="","",INDEX('Fleet dates'!$F$9:$F$1008,$I91-8)))</x:f>
      </x:c>
      <x:c r="G91" s="50" t="str">
        <x:f>IF(83&gt;$H$4,"",IF(INDEX('Fleet dates'!$G$9:$G$1008,$I91-8)="","",INDEX('Fleet dates'!$G$9:$G$1008,$I91-8)))</x:f>
      </x:c>
      <x:c r="H91" s="50" t="str">
        <x:f>IF(83&gt;$H$4,"",IF(INDEX('Fleet dates'!$I$9:$I$1008,$I91-8)="","",INDEX('Fleet dates'!$I$9:$I$1008,$I91-8)))</x:f>
      </x:c>
      <x:c r="I91" t="str">
        <x:f>IF(83&gt;$H$4,"",MATCH(83,'Fleet dates'!$L$9:$L$1008,0)+8)</x:f>
      </x:c>
    </x:row>
    <x:row r="92" ht="36" customHeight="1">
      <x:c r="A92" s="50" t="str">
        <x:f>IF(84&gt;$H$4,"",IF(INDEX('Fleet dates'!$A$9:$A$1008,$I92-8)="","",INDEX('Fleet dates'!$A$9:$A$1008,$I92-8)))</x:f>
      </x:c>
      <x:c r="B92" s="50" t="str">
        <x:f>IF(84&gt;$H$4,"",IF(INDEX('Fleet dates'!$B$9:$B$1008,$I92-8)="","",INDEX('Fleet dates'!$B$9:$B$1008,$I92-8)))</x:f>
      </x:c>
      <x:c r="C92" s="51" t="str">
        <x:f>IF(84&gt;$H$4,"",IF(INDEX('Fleet dates'!$C$9:$C$1008,$I92-8)="","",INDEX('Fleet dates'!$C$9:$C$1008,$I92-8)))</x:f>
      </x:c>
      <x:c r="D92" s="51" t="str">
        <x:f>IF(84&gt;$H$4,"",IF(INDEX('Fleet dates'!$D$9:$D$1008,$I92-8)="","",INDEX('Fleet dates'!$D$9:$D$1008,$I92-8)))</x:f>
      </x:c>
      <x:c r="E92" s="51" t="str">
        <x:f>IF(84&gt;$H$4,"",IF(INDEX('Fleet dates'!$E$9:$E$1008,$I92-8)="","",INDEX('Fleet dates'!$E$9:$E$1008,$I92-8)))</x:f>
      </x:c>
      <x:c r="F92" s="51" t="str">
        <x:f>IF(84&gt;$H$4,"",IF(INDEX('Fleet dates'!$F$9:$F$1008,$I92-8)="","",INDEX('Fleet dates'!$F$9:$F$1008,$I92-8)))</x:f>
      </x:c>
      <x:c r="G92" s="50" t="str">
        <x:f>IF(84&gt;$H$4,"",IF(INDEX('Fleet dates'!$G$9:$G$1008,$I92-8)="","",INDEX('Fleet dates'!$G$9:$G$1008,$I92-8)))</x:f>
      </x:c>
      <x:c r="H92" s="50" t="str">
        <x:f>IF(84&gt;$H$4,"",IF(INDEX('Fleet dates'!$I$9:$I$1008,$I92-8)="","",INDEX('Fleet dates'!$I$9:$I$1008,$I92-8)))</x:f>
      </x:c>
      <x:c r="I92" t="str">
        <x:f>IF(84&gt;$H$4,"",MATCH(84,'Fleet dates'!$L$9:$L$1008,0)+8)</x:f>
      </x:c>
    </x:row>
    <x:row r="93" ht="36" customHeight="1">
      <x:c r="A93" s="50" t="str">
        <x:f>IF(85&gt;$H$4,"",IF(INDEX('Fleet dates'!$A$9:$A$1008,$I93-8)="","",INDEX('Fleet dates'!$A$9:$A$1008,$I93-8)))</x:f>
      </x:c>
      <x:c r="B93" s="50" t="str">
        <x:f>IF(85&gt;$H$4,"",IF(INDEX('Fleet dates'!$B$9:$B$1008,$I93-8)="","",INDEX('Fleet dates'!$B$9:$B$1008,$I93-8)))</x:f>
      </x:c>
      <x:c r="C93" s="51" t="str">
        <x:f>IF(85&gt;$H$4,"",IF(INDEX('Fleet dates'!$C$9:$C$1008,$I93-8)="","",INDEX('Fleet dates'!$C$9:$C$1008,$I93-8)))</x:f>
      </x:c>
      <x:c r="D93" s="51" t="str">
        <x:f>IF(85&gt;$H$4,"",IF(INDEX('Fleet dates'!$D$9:$D$1008,$I93-8)="","",INDEX('Fleet dates'!$D$9:$D$1008,$I93-8)))</x:f>
      </x:c>
      <x:c r="E93" s="51" t="str">
        <x:f>IF(85&gt;$H$4,"",IF(INDEX('Fleet dates'!$E$9:$E$1008,$I93-8)="","",INDEX('Fleet dates'!$E$9:$E$1008,$I93-8)))</x:f>
      </x:c>
      <x:c r="F93" s="51" t="str">
        <x:f>IF(85&gt;$H$4,"",IF(INDEX('Fleet dates'!$F$9:$F$1008,$I93-8)="","",INDEX('Fleet dates'!$F$9:$F$1008,$I93-8)))</x:f>
      </x:c>
      <x:c r="G93" s="50" t="str">
        <x:f>IF(85&gt;$H$4,"",IF(INDEX('Fleet dates'!$G$9:$G$1008,$I93-8)="","",INDEX('Fleet dates'!$G$9:$G$1008,$I93-8)))</x:f>
      </x:c>
      <x:c r="H93" s="50" t="str">
        <x:f>IF(85&gt;$H$4,"",IF(INDEX('Fleet dates'!$I$9:$I$1008,$I93-8)="","",INDEX('Fleet dates'!$I$9:$I$1008,$I93-8)))</x:f>
      </x:c>
      <x:c r="I93" t="str">
        <x:f>IF(85&gt;$H$4,"",MATCH(85,'Fleet dates'!$L$9:$L$1008,0)+8)</x:f>
      </x:c>
    </x:row>
    <x:row r="94" ht="36" customHeight="1">
      <x:c r="A94" s="50" t="str">
        <x:f>IF(86&gt;$H$4,"",IF(INDEX('Fleet dates'!$A$9:$A$1008,$I94-8)="","",INDEX('Fleet dates'!$A$9:$A$1008,$I94-8)))</x:f>
      </x:c>
      <x:c r="B94" s="50" t="str">
        <x:f>IF(86&gt;$H$4,"",IF(INDEX('Fleet dates'!$B$9:$B$1008,$I94-8)="","",INDEX('Fleet dates'!$B$9:$B$1008,$I94-8)))</x:f>
      </x:c>
      <x:c r="C94" s="51" t="str">
        <x:f>IF(86&gt;$H$4,"",IF(INDEX('Fleet dates'!$C$9:$C$1008,$I94-8)="","",INDEX('Fleet dates'!$C$9:$C$1008,$I94-8)))</x:f>
      </x:c>
      <x:c r="D94" s="51" t="str">
        <x:f>IF(86&gt;$H$4,"",IF(INDEX('Fleet dates'!$D$9:$D$1008,$I94-8)="","",INDEX('Fleet dates'!$D$9:$D$1008,$I94-8)))</x:f>
      </x:c>
      <x:c r="E94" s="51" t="str">
        <x:f>IF(86&gt;$H$4,"",IF(INDEX('Fleet dates'!$E$9:$E$1008,$I94-8)="","",INDEX('Fleet dates'!$E$9:$E$1008,$I94-8)))</x:f>
      </x:c>
      <x:c r="F94" s="51" t="str">
        <x:f>IF(86&gt;$H$4,"",IF(INDEX('Fleet dates'!$F$9:$F$1008,$I94-8)="","",INDEX('Fleet dates'!$F$9:$F$1008,$I94-8)))</x:f>
      </x:c>
      <x:c r="G94" s="50" t="str">
        <x:f>IF(86&gt;$H$4,"",IF(INDEX('Fleet dates'!$G$9:$G$1008,$I94-8)="","",INDEX('Fleet dates'!$G$9:$G$1008,$I94-8)))</x:f>
      </x:c>
      <x:c r="H94" s="50" t="str">
        <x:f>IF(86&gt;$H$4,"",IF(INDEX('Fleet dates'!$I$9:$I$1008,$I94-8)="","",INDEX('Fleet dates'!$I$9:$I$1008,$I94-8)))</x:f>
      </x:c>
      <x:c r="I94" t="str">
        <x:f>IF(86&gt;$H$4,"",MATCH(86,'Fleet dates'!$L$9:$L$1008,0)+8)</x:f>
      </x:c>
    </x:row>
    <x:row r="95" ht="36" customHeight="1">
      <x:c r="A95" s="50" t="str">
        <x:f>IF(87&gt;$H$4,"",IF(INDEX('Fleet dates'!$A$9:$A$1008,$I95-8)="","",INDEX('Fleet dates'!$A$9:$A$1008,$I95-8)))</x:f>
      </x:c>
      <x:c r="B95" s="50" t="str">
        <x:f>IF(87&gt;$H$4,"",IF(INDEX('Fleet dates'!$B$9:$B$1008,$I95-8)="","",INDEX('Fleet dates'!$B$9:$B$1008,$I95-8)))</x:f>
      </x:c>
      <x:c r="C95" s="51" t="str">
        <x:f>IF(87&gt;$H$4,"",IF(INDEX('Fleet dates'!$C$9:$C$1008,$I95-8)="","",INDEX('Fleet dates'!$C$9:$C$1008,$I95-8)))</x:f>
      </x:c>
      <x:c r="D95" s="51" t="str">
        <x:f>IF(87&gt;$H$4,"",IF(INDEX('Fleet dates'!$D$9:$D$1008,$I95-8)="","",INDEX('Fleet dates'!$D$9:$D$1008,$I95-8)))</x:f>
      </x:c>
      <x:c r="E95" s="51" t="str">
        <x:f>IF(87&gt;$H$4,"",IF(INDEX('Fleet dates'!$E$9:$E$1008,$I95-8)="","",INDEX('Fleet dates'!$E$9:$E$1008,$I95-8)))</x:f>
      </x:c>
      <x:c r="F95" s="51" t="str">
        <x:f>IF(87&gt;$H$4,"",IF(INDEX('Fleet dates'!$F$9:$F$1008,$I95-8)="","",INDEX('Fleet dates'!$F$9:$F$1008,$I95-8)))</x:f>
      </x:c>
      <x:c r="G95" s="50" t="str">
        <x:f>IF(87&gt;$H$4,"",IF(INDEX('Fleet dates'!$G$9:$G$1008,$I95-8)="","",INDEX('Fleet dates'!$G$9:$G$1008,$I95-8)))</x:f>
      </x:c>
      <x:c r="H95" s="50" t="str">
        <x:f>IF(87&gt;$H$4,"",IF(INDEX('Fleet dates'!$I$9:$I$1008,$I95-8)="","",INDEX('Fleet dates'!$I$9:$I$1008,$I95-8)))</x:f>
      </x:c>
      <x:c r="I95" t="str">
        <x:f>IF(87&gt;$H$4,"",MATCH(87,'Fleet dates'!$L$9:$L$1008,0)+8)</x:f>
      </x:c>
    </x:row>
    <x:row r="96" ht="36" customHeight="1">
      <x:c r="A96" s="50" t="str">
        <x:f>IF(88&gt;$H$4,"",IF(INDEX('Fleet dates'!$A$9:$A$1008,$I96-8)="","",INDEX('Fleet dates'!$A$9:$A$1008,$I96-8)))</x:f>
      </x:c>
      <x:c r="B96" s="50" t="str">
        <x:f>IF(88&gt;$H$4,"",IF(INDEX('Fleet dates'!$B$9:$B$1008,$I96-8)="","",INDEX('Fleet dates'!$B$9:$B$1008,$I96-8)))</x:f>
      </x:c>
      <x:c r="C96" s="51" t="str">
        <x:f>IF(88&gt;$H$4,"",IF(INDEX('Fleet dates'!$C$9:$C$1008,$I96-8)="","",INDEX('Fleet dates'!$C$9:$C$1008,$I96-8)))</x:f>
      </x:c>
      <x:c r="D96" s="51" t="str">
        <x:f>IF(88&gt;$H$4,"",IF(INDEX('Fleet dates'!$D$9:$D$1008,$I96-8)="","",INDEX('Fleet dates'!$D$9:$D$1008,$I96-8)))</x:f>
      </x:c>
      <x:c r="E96" s="51" t="str">
        <x:f>IF(88&gt;$H$4,"",IF(INDEX('Fleet dates'!$E$9:$E$1008,$I96-8)="","",INDEX('Fleet dates'!$E$9:$E$1008,$I96-8)))</x:f>
      </x:c>
      <x:c r="F96" s="51" t="str">
        <x:f>IF(88&gt;$H$4,"",IF(INDEX('Fleet dates'!$F$9:$F$1008,$I96-8)="","",INDEX('Fleet dates'!$F$9:$F$1008,$I96-8)))</x:f>
      </x:c>
      <x:c r="G96" s="50" t="str">
        <x:f>IF(88&gt;$H$4,"",IF(INDEX('Fleet dates'!$G$9:$G$1008,$I96-8)="","",INDEX('Fleet dates'!$G$9:$G$1008,$I96-8)))</x:f>
      </x:c>
      <x:c r="H96" s="50" t="str">
        <x:f>IF(88&gt;$H$4,"",IF(INDEX('Fleet dates'!$I$9:$I$1008,$I96-8)="","",INDEX('Fleet dates'!$I$9:$I$1008,$I96-8)))</x:f>
      </x:c>
      <x:c r="I96" t="str">
        <x:f>IF(88&gt;$H$4,"",MATCH(88,'Fleet dates'!$L$9:$L$1008,0)+8)</x:f>
      </x:c>
    </x:row>
    <x:row r="97" ht="36" customHeight="1">
      <x:c r="A97" s="50" t="str">
        <x:f>IF(89&gt;$H$4,"",IF(INDEX('Fleet dates'!$A$9:$A$1008,$I97-8)="","",INDEX('Fleet dates'!$A$9:$A$1008,$I97-8)))</x:f>
      </x:c>
      <x:c r="B97" s="50" t="str">
        <x:f>IF(89&gt;$H$4,"",IF(INDEX('Fleet dates'!$B$9:$B$1008,$I97-8)="","",INDEX('Fleet dates'!$B$9:$B$1008,$I97-8)))</x:f>
      </x:c>
      <x:c r="C97" s="51" t="str">
        <x:f>IF(89&gt;$H$4,"",IF(INDEX('Fleet dates'!$C$9:$C$1008,$I97-8)="","",INDEX('Fleet dates'!$C$9:$C$1008,$I97-8)))</x:f>
      </x:c>
      <x:c r="D97" s="51" t="str">
        <x:f>IF(89&gt;$H$4,"",IF(INDEX('Fleet dates'!$D$9:$D$1008,$I97-8)="","",INDEX('Fleet dates'!$D$9:$D$1008,$I97-8)))</x:f>
      </x:c>
      <x:c r="E97" s="51" t="str">
        <x:f>IF(89&gt;$H$4,"",IF(INDEX('Fleet dates'!$E$9:$E$1008,$I97-8)="","",INDEX('Fleet dates'!$E$9:$E$1008,$I97-8)))</x:f>
      </x:c>
      <x:c r="F97" s="51" t="str">
        <x:f>IF(89&gt;$H$4,"",IF(INDEX('Fleet dates'!$F$9:$F$1008,$I97-8)="","",INDEX('Fleet dates'!$F$9:$F$1008,$I97-8)))</x:f>
      </x:c>
      <x:c r="G97" s="50" t="str">
        <x:f>IF(89&gt;$H$4,"",IF(INDEX('Fleet dates'!$G$9:$G$1008,$I97-8)="","",INDEX('Fleet dates'!$G$9:$G$1008,$I97-8)))</x:f>
      </x:c>
      <x:c r="H97" s="50" t="str">
        <x:f>IF(89&gt;$H$4,"",IF(INDEX('Fleet dates'!$I$9:$I$1008,$I97-8)="","",INDEX('Fleet dates'!$I$9:$I$1008,$I97-8)))</x:f>
      </x:c>
      <x:c r="I97" t="str">
        <x:f>IF(89&gt;$H$4,"",MATCH(89,'Fleet dates'!$L$9:$L$1008,0)+8)</x:f>
      </x:c>
    </x:row>
    <x:row r="98" ht="36" customHeight="1">
      <x:c r="A98" s="50" t="str">
        <x:f>IF(90&gt;$H$4,"",IF(INDEX('Fleet dates'!$A$9:$A$1008,$I98-8)="","",INDEX('Fleet dates'!$A$9:$A$1008,$I98-8)))</x:f>
      </x:c>
      <x:c r="B98" s="50" t="str">
        <x:f>IF(90&gt;$H$4,"",IF(INDEX('Fleet dates'!$B$9:$B$1008,$I98-8)="","",INDEX('Fleet dates'!$B$9:$B$1008,$I98-8)))</x:f>
      </x:c>
      <x:c r="C98" s="51" t="str">
        <x:f>IF(90&gt;$H$4,"",IF(INDEX('Fleet dates'!$C$9:$C$1008,$I98-8)="","",INDEX('Fleet dates'!$C$9:$C$1008,$I98-8)))</x:f>
      </x:c>
      <x:c r="D98" s="51" t="str">
        <x:f>IF(90&gt;$H$4,"",IF(INDEX('Fleet dates'!$D$9:$D$1008,$I98-8)="","",INDEX('Fleet dates'!$D$9:$D$1008,$I98-8)))</x:f>
      </x:c>
      <x:c r="E98" s="51" t="str">
        <x:f>IF(90&gt;$H$4,"",IF(INDEX('Fleet dates'!$E$9:$E$1008,$I98-8)="","",INDEX('Fleet dates'!$E$9:$E$1008,$I98-8)))</x:f>
      </x:c>
      <x:c r="F98" s="51" t="str">
        <x:f>IF(90&gt;$H$4,"",IF(INDEX('Fleet dates'!$F$9:$F$1008,$I98-8)="","",INDEX('Fleet dates'!$F$9:$F$1008,$I98-8)))</x:f>
      </x:c>
      <x:c r="G98" s="50" t="str">
        <x:f>IF(90&gt;$H$4,"",IF(INDEX('Fleet dates'!$G$9:$G$1008,$I98-8)="","",INDEX('Fleet dates'!$G$9:$G$1008,$I98-8)))</x:f>
      </x:c>
      <x:c r="H98" s="50" t="str">
        <x:f>IF(90&gt;$H$4,"",IF(INDEX('Fleet dates'!$I$9:$I$1008,$I98-8)="","",INDEX('Fleet dates'!$I$9:$I$1008,$I98-8)))</x:f>
      </x:c>
      <x:c r="I98" t="str">
        <x:f>IF(90&gt;$H$4,"",MATCH(90,'Fleet dates'!$L$9:$L$1008,0)+8)</x:f>
      </x:c>
    </x:row>
    <x:row r="99" ht="36" customHeight="1">
      <x:c r="A99" s="50" t="str">
        <x:f>IF(91&gt;$H$4,"",IF(INDEX('Fleet dates'!$A$9:$A$1008,$I99-8)="","",INDEX('Fleet dates'!$A$9:$A$1008,$I99-8)))</x:f>
      </x:c>
      <x:c r="B99" s="50" t="str">
        <x:f>IF(91&gt;$H$4,"",IF(INDEX('Fleet dates'!$B$9:$B$1008,$I99-8)="","",INDEX('Fleet dates'!$B$9:$B$1008,$I99-8)))</x:f>
      </x:c>
      <x:c r="C99" s="51" t="str">
        <x:f>IF(91&gt;$H$4,"",IF(INDEX('Fleet dates'!$C$9:$C$1008,$I99-8)="","",INDEX('Fleet dates'!$C$9:$C$1008,$I99-8)))</x:f>
      </x:c>
      <x:c r="D99" s="51" t="str">
        <x:f>IF(91&gt;$H$4,"",IF(INDEX('Fleet dates'!$D$9:$D$1008,$I99-8)="","",INDEX('Fleet dates'!$D$9:$D$1008,$I99-8)))</x:f>
      </x:c>
      <x:c r="E99" s="51" t="str">
        <x:f>IF(91&gt;$H$4,"",IF(INDEX('Fleet dates'!$E$9:$E$1008,$I99-8)="","",INDEX('Fleet dates'!$E$9:$E$1008,$I99-8)))</x:f>
      </x:c>
      <x:c r="F99" s="51" t="str">
        <x:f>IF(91&gt;$H$4,"",IF(INDEX('Fleet dates'!$F$9:$F$1008,$I99-8)="","",INDEX('Fleet dates'!$F$9:$F$1008,$I99-8)))</x:f>
      </x:c>
      <x:c r="G99" s="50" t="str">
        <x:f>IF(91&gt;$H$4,"",IF(INDEX('Fleet dates'!$G$9:$G$1008,$I99-8)="","",INDEX('Fleet dates'!$G$9:$G$1008,$I99-8)))</x:f>
      </x:c>
      <x:c r="H99" s="50" t="str">
        <x:f>IF(91&gt;$H$4,"",IF(INDEX('Fleet dates'!$I$9:$I$1008,$I99-8)="","",INDEX('Fleet dates'!$I$9:$I$1008,$I99-8)))</x:f>
      </x:c>
      <x:c r="I99" t="str">
        <x:f>IF(91&gt;$H$4,"",MATCH(91,'Fleet dates'!$L$9:$L$1008,0)+8)</x:f>
      </x:c>
    </x:row>
    <x:row r="100" ht="36" customHeight="1">
      <x:c r="A100" s="50" t="str">
        <x:f>IF(92&gt;$H$4,"",IF(INDEX('Fleet dates'!$A$9:$A$1008,$I100-8)="","",INDEX('Fleet dates'!$A$9:$A$1008,$I100-8)))</x:f>
      </x:c>
      <x:c r="B100" s="50" t="str">
        <x:f>IF(92&gt;$H$4,"",IF(INDEX('Fleet dates'!$B$9:$B$1008,$I100-8)="","",INDEX('Fleet dates'!$B$9:$B$1008,$I100-8)))</x:f>
      </x:c>
      <x:c r="C100" s="51" t="str">
        <x:f>IF(92&gt;$H$4,"",IF(INDEX('Fleet dates'!$C$9:$C$1008,$I100-8)="","",INDEX('Fleet dates'!$C$9:$C$1008,$I100-8)))</x:f>
      </x:c>
      <x:c r="D100" s="51" t="str">
        <x:f>IF(92&gt;$H$4,"",IF(INDEX('Fleet dates'!$D$9:$D$1008,$I100-8)="","",INDEX('Fleet dates'!$D$9:$D$1008,$I100-8)))</x:f>
      </x:c>
      <x:c r="E100" s="51" t="str">
        <x:f>IF(92&gt;$H$4,"",IF(INDEX('Fleet dates'!$E$9:$E$1008,$I100-8)="","",INDEX('Fleet dates'!$E$9:$E$1008,$I100-8)))</x:f>
      </x:c>
      <x:c r="F100" s="51" t="str">
        <x:f>IF(92&gt;$H$4,"",IF(INDEX('Fleet dates'!$F$9:$F$1008,$I100-8)="","",INDEX('Fleet dates'!$F$9:$F$1008,$I100-8)))</x:f>
      </x:c>
      <x:c r="G100" s="50" t="str">
        <x:f>IF(92&gt;$H$4,"",IF(INDEX('Fleet dates'!$G$9:$G$1008,$I100-8)="","",INDEX('Fleet dates'!$G$9:$G$1008,$I100-8)))</x:f>
      </x:c>
      <x:c r="H100" s="50" t="str">
        <x:f>IF(92&gt;$H$4,"",IF(INDEX('Fleet dates'!$I$9:$I$1008,$I100-8)="","",INDEX('Fleet dates'!$I$9:$I$1008,$I100-8)))</x:f>
      </x:c>
      <x:c r="I100" t="str">
        <x:f>IF(92&gt;$H$4,"",MATCH(92,'Fleet dates'!$L$9:$L$1008,0)+8)</x:f>
      </x:c>
    </x:row>
    <x:row r="101" ht="36" customHeight="1">
      <x:c r="A101" s="50" t="str">
        <x:f>IF(93&gt;$H$4,"",IF(INDEX('Fleet dates'!$A$9:$A$1008,$I101-8)="","",INDEX('Fleet dates'!$A$9:$A$1008,$I101-8)))</x:f>
      </x:c>
      <x:c r="B101" s="50" t="str">
        <x:f>IF(93&gt;$H$4,"",IF(INDEX('Fleet dates'!$B$9:$B$1008,$I101-8)="","",INDEX('Fleet dates'!$B$9:$B$1008,$I101-8)))</x:f>
      </x:c>
      <x:c r="C101" s="51" t="str">
        <x:f>IF(93&gt;$H$4,"",IF(INDEX('Fleet dates'!$C$9:$C$1008,$I101-8)="","",INDEX('Fleet dates'!$C$9:$C$1008,$I101-8)))</x:f>
      </x:c>
      <x:c r="D101" s="51" t="str">
        <x:f>IF(93&gt;$H$4,"",IF(INDEX('Fleet dates'!$D$9:$D$1008,$I101-8)="","",INDEX('Fleet dates'!$D$9:$D$1008,$I101-8)))</x:f>
      </x:c>
      <x:c r="E101" s="51" t="str">
        <x:f>IF(93&gt;$H$4,"",IF(INDEX('Fleet dates'!$E$9:$E$1008,$I101-8)="","",INDEX('Fleet dates'!$E$9:$E$1008,$I101-8)))</x:f>
      </x:c>
      <x:c r="F101" s="51" t="str">
        <x:f>IF(93&gt;$H$4,"",IF(INDEX('Fleet dates'!$F$9:$F$1008,$I101-8)="","",INDEX('Fleet dates'!$F$9:$F$1008,$I101-8)))</x:f>
      </x:c>
      <x:c r="G101" s="50" t="str">
        <x:f>IF(93&gt;$H$4,"",IF(INDEX('Fleet dates'!$G$9:$G$1008,$I101-8)="","",INDEX('Fleet dates'!$G$9:$G$1008,$I101-8)))</x:f>
      </x:c>
      <x:c r="H101" s="50" t="str">
        <x:f>IF(93&gt;$H$4,"",IF(INDEX('Fleet dates'!$I$9:$I$1008,$I101-8)="","",INDEX('Fleet dates'!$I$9:$I$1008,$I101-8)))</x:f>
      </x:c>
      <x:c r="I101" t="str">
        <x:f>IF(93&gt;$H$4,"",MATCH(93,'Fleet dates'!$L$9:$L$1008,0)+8)</x:f>
      </x:c>
    </x:row>
    <x:row r="102" ht="36" customHeight="1">
      <x:c r="A102" s="50" t="str">
        <x:f>IF(94&gt;$H$4,"",IF(INDEX('Fleet dates'!$A$9:$A$1008,$I102-8)="","",INDEX('Fleet dates'!$A$9:$A$1008,$I102-8)))</x:f>
      </x:c>
      <x:c r="B102" s="50" t="str">
        <x:f>IF(94&gt;$H$4,"",IF(INDEX('Fleet dates'!$B$9:$B$1008,$I102-8)="","",INDEX('Fleet dates'!$B$9:$B$1008,$I102-8)))</x:f>
      </x:c>
      <x:c r="C102" s="51" t="str">
        <x:f>IF(94&gt;$H$4,"",IF(INDEX('Fleet dates'!$C$9:$C$1008,$I102-8)="","",INDEX('Fleet dates'!$C$9:$C$1008,$I102-8)))</x:f>
      </x:c>
      <x:c r="D102" s="51" t="str">
        <x:f>IF(94&gt;$H$4,"",IF(INDEX('Fleet dates'!$D$9:$D$1008,$I102-8)="","",INDEX('Fleet dates'!$D$9:$D$1008,$I102-8)))</x:f>
      </x:c>
      <x:c r="E102" s="51" t="str">
        <x:f>IF(94&gt;$H$4,"",IF(INDEX('Fleet dates'!$E$9:$E$1008,$I102-8)="","",INDEX('Fleet dates'!$E$9:$E$1008,$I102-8)))</x:f>
      </x:c>
      <x:c r="F102" s="51" t="str">
        <x:f>IF(94&gt;$H$4,"",IF(INDEX('Fleet dates'!$F$9:$F$1008,$I102-8)="","",INDEX('Fleet dates'!$F$9:$F$1008,$I102-8)))</x:f>
      </x:c>
      <x:c r="G102" s="50" t="str">
        <x:f>IF(94&gt;$H$4,"",IF(INDEX('Fleet dates'!$G$9:$G$1008,$I102-8)="","",INDEX('Fleet dates'!$G$9:$G$1008,$I102-8)))</x:f>
      </x:c>
      <x:c r="H102" s="50" t="str">
        <x:f>IF(94&gt;$H$4,"",IF(INDEX('Fleet dates'!$I$9:$I$1008,$I102-8)="","",INDEX('Fleet dates'!$I$9:$I$1008,$I102-8)))</x:f>
      </x:c>
      <x:c r="I102" t="str">
        <x:f>IF(94&gt;$H$4,"",MATCH(94,'Fleet dates'!$L$9:$L$1008,0)+8)</x:f>
      </x:c>
    </x:row>
    <x:row r="103" ht="36" customHeight="1">
      <x:c r="A103" s="50" t="str">
        <x:f>IF(95&gt;$H$4,"",IF(INDEX('Fleet dates'!$A$9:$A$1008,$I103-8)="","",INDEX('Fleet dates'!$A$9:$A$1008,$I103-8)))</x:f>
      </x:c>
      <x:c r="B103" s="50" t="str">
        <x:f>IF(95&gt;$H$4,"",IF(INDEX('Fleet dates'!$B$9:$B$1008,$I103-8)="","",INDEX('Fleet dates'!$B$9:$B$1008,$I103-8)))</x:f>
      </x:c>
      <x:c r="C103" s="51" t="str">
        <x:f>IF(95&gt;$H$4,"",IF(INDEX('Fleet dates'!$C$9:$C$1008,$I103-8)="","",INDEX('Fleet dates'!$C$9:$C$1008,$I103-8)))</x:f>
      </x:c>
      <x:c r="D103" s="51" t="str">
        <x:f>IF(95&gt;$H$4,"",IF(INDEX('Fleet dates'!$D$9:$D$1008,$I103-8)="","",INDEX('Fleet dates'!$D$9:$D$1008,$I103-8)))</x:f>
      </x:c>
      <x:c r="E103" s="51" t="str">
        <x:f>IF(95&gt;$H$4,"",IF(INDEX('Fleet dates'!$E$9:$E$1008,$I103-8)="","",INDEX('Fleet dates'!$E$9:$E$1008,$I103-8)))</x:f>
      </x:c>
      <x:c r="F103" s="51" t="str">
        <x:f>IF(95&gt;$H$4,"",IF(INDEX('Fleet dates'!$F$9:$F$1008,$I103-8)="","",INDEX('Fleet dates'!$F$9:$F$1008,$I103-8)))</x:f>
      </x:c>
      <x:c r="G103" s="50" t="str">
        <x:f>IF(95&gt;$H$4,"",IF(INDEX('Fleet dates'!$G$9:$G$1008,$I103-8)="","",INDEX('Fleet dates'!$G$9:$G$1008,$I103-8)))</x:f>
      </x:c>
      <x:c r="H103" s="50" t="str">
        <x:f>IF(95&gt;$H$4,"",IF(INDEX('Fleet dates'!$I$9:$I$1008,$I103-8)="","",INDEX('Fleet dates'!$I$9:$I$1008,$I103-8)))</x:f>
      </x:c>
      <x:c r="I103" t="str">
        <x:f>IF(95&gt;$H$4,"",MATCH(95,'Fleet dates'!$L$9:$L$1008,0)+8)</x:f>
      </x:c>
    </x:row>
    <x:row r="104" ht="36" customHeight="1">
      <x:c r="A104" s="50" t="str">
        <x:f>IF(96&gt;$H$4,"",IF(INDEX('Fleet dates'!$A$9:$A$1008,$I104-8)="","",INDEX('Fleet dates'!$A$9:$A$1008,$I104-8)))</x:f>
      </x:c>
      <x:c r="B104" s="50" t="str">
        <x:f>IF(96&gt;$H$4,"",IF(INDEX('Fleet dates'!$B$9:$B$1008,$I104-8)="","",INDEX('Fleet dates'!$B$9:$B$1008,$I104-8)))</x:f>
      </x:c>
      <x:c r="C104" s="51" t="str">
        <x:f>IF(96&gt;$H$4,"",IF(INDEX('Fleet dates'!$C$9:$C$1008,$I104-8)="","",INDEX('Fleet dates'!$C$9:$C$1008,$I104-8)))</x:f>
      </x:c>
      <x:c r="D104" s="51" t="str">
        <x:f>IF(96&gt;$H$4,"",IF(INDEX('Fleet dates'!$D$9:$D$1008,$I104-8)="","",INDEX('Fleet dates'!$D$9:$D$1008,$I104-8)))</x:f>
      </x:c>
      <x:c r="E104" s="51" t="str">
        <x:f>IF(96&gt;$H$4,"",IF(INDEX('Fleet dates'!$E$9:$E$1008,$I104-8)="","",INDEX('Fleet dates'!$E$9:$E$1008,$I104-8)))</x:f>
      </x:c>
      <x:c r="F104" s="51" t="str">
        <x:f>IF(96&gt;$H$4,"",IF(INDEX('Fleet dates'!$F$9:$F$1008,$I104-8)="","",INDEX('Fleet dates'!$F$9:$F$1008,$I104-8)))</x:f>
      </x:c>
      <x:c r="G104" s="50" t="str">
        <x:f>IF(96&gt;$H$4,"",IF(INDEX('Fleet dates'!$G$9:$G$1008,$I104-8)="","",INDEX('Fleet dates'!$G$9:$G$1008,$I104-8)))</x:f>
      </x:c>
      <x:c r="H104" s="50" t="str">
        <x:f>IF(96&gt;$H$4,"",IF(INDEX('Fleet dates'!$I$9:$I$1008,$I104-8)="","",INDEX('Fleet dates'!$I$9:$I$1008,$I104-8)))</x:f>
      </x:c>
      <x:c r="I104" t="str">
        <x:f>IF(96&gt;$H$4,"",MATCH(96,'Fleet dates'!$L$9:$L$1008,0)+8)</x:f>
      </x:c>
    </x:row>
    <x:row r="105" ht="36" customHeight="1">
      <x:c r="A105" s="50" t="str">
        <x:f>IF(97&gt;$H$4,"",IF(INDEX('Fleet dates'!$A$9:$A$1008,$I105-8)="","",INDEX('Fleet dates'!$A$9:$A$1008,$I105-8)))</x:f>
      </x:c>
      <x:c r="B105" s="50" t="str">
        <x:f>IF(97&gt;$H$4,"",IF(INDEX('Fleet dates'!$B$9:$B$1008,$I105-8)="","",INDEX('Fleet dates'!$B$9:$B$1008,$I105-8)))</x:f>
      </x:c>
      <x:c r="C105" s="51" t="str">
        <x:f>IF(97&gt;$H$4,"",IF(INDEX('Fleet dates'!$C$9:$C$1008,$I105-8)="","",INDEX('Fleet dates'!$C$9:$C$1008,$I105-8)))</x:f>
      </x:c>
      <x:c r="D105" s="51" t="str">
        <x:f>IF(97&gt;$H$4,"",IF(INDEX('Fleet dates'!$D$9:$D$1008,$I105-8)="","",INDEX('Fleet dates'!$D$9:$D$1008,$I105-8)))</x:f>
      </x:c>
      <x:c r="E105" s="51" t="str">
        <x:f>IF(97&gt;$H$4,"",IF(INDEX('Fleet dates'!$E$9:$E$1008,$I105-8)="","",INDEX('Fleet dates'!$E$9:$E$1008,$I105-8)))</x:f>
      </x:c>
      <x:c r="F105" s="51" t="str">
        <x:f>IF(97&gt;$H$4,"",IF(INDEX('Fleet dates'!$F$9:$F$1008,$I105-8)="","",INDEX('Fleet dates'!$F$9:$F$1008,$I105-8)))</x:f>
      </x:c>
      <x:c r="G105" s="50" t="str">
        <x:f>IF(97&gt;$H$4,"",IF(INDEX('Fleet dates'!$G$9:$G$1008,$I105-8)="","",INDEX('Fleet dates'!$G$9:$G$1008,$I105-8)))</x:f>
      </x:c>
      <x:c r="H105" s="50" t="str">
        <x:f>IF(97&gt;$H$4,"",IF(INDEX('Fleet dates'!$I$9:$I$1008,$I105-8)="","",INDEX('Fleet dates'!$I$9:$I$1008,$I105-8)))</x:f>
      </x:c>
      <x:c r="I105" t="str">
        <x:f>IF(97&gt;$H$4,"",MATCH(97,'Fleet dates'!$L$9:$L$1008,0)+8)</x:f>
      </x:c>
    </x:row>
    <x:row r="106" ht="36" customHeight="1">
      <x:c r="A106" s="50" t="str">
        <x:f>IF(98&gt;$H$4,"",IF(INDEX('Fleet dates'!$A$9:$A$1008,$I106-8)="","",INDEX('Fleet dates'!$A$9:$A$1008,$I106-8)))</x:f>
      </x:c>
      <x:c r="B106" s="50" t="str">
        <x:f>IF(98&gt;$H$4,"",IF(INDEX('Fleet dates'!$B$9:$B$1008,$I106-8)="","",INDEX('Fleet dates'!$B$9:$B$1008,$I106-8)))</x:f>
      </x:c>
      <x:c r="C106" s="51" t="str">
        <x:f>IF(98&gt;$H$4,"",IF(INDEX('Fleet dates'!$C$9:$C$1008,$I106-8)="","",INDEX('Fleet dates'!$C$9:$C$1008,$I106-8)))</x:f>
      </x:c>
      <x:c r="D106" s="51" t="str">
        <x:f>IF(98&gt;$H$4,"",IF(INDEX('Fleet dates'!$D$9:$D$1008,$I106-8)="","",INDEX('Fleet dates'!$D$9:$D$1008,$I106-8)))</x:f>
      </x:c>
      <x:c r="E106" s="51" t="str">
        <x:f>IF(98&gt;$H$4,"",IF(INDEX('Fleet dates'!$E$9:$E$1008,$I106-8)="","",INDEX('Fleet dates'!$E$9:$E$1008,$I106-8)))</x:f>
      </x:c>
      <x:c r="F106" s="51" t="str">
        <x:f>IF(98&gt;$H$4,"",IF(INDEX('Fleet dates'!$F$9:$F$1008,$I106-8)="","",INDEX('Fleet dates'!$F$9:$F$1008,$I106-8)))</x:f>
      </x:c>
      <x:c r="G106" s="50" t="str">
        <x:f>IF(98&gt;$H$4,"",IF(INDEX('Fleet dates'!$G$9:$G$1008,$I106-8)="","",INDEX('Fleet dates'!$G$9:$G$1008,$I106-8)))</x:f>
      </x:c>
      <x:c r="H106" s="50" t="str">
        <x:f>IF(98&gt;$H$4,"",IF(INDEX('Fleet dates'!$I$9:$I$1008,$I106-8)="","",INDEX('Fleet dates'!$I$9:$I$1008,$I106-8)))</x:f>
      </x:c>
      <x:c r="I106" t="str">
        <x:f>IF(98&gt;$H$4,"",MATCH(98,'Fleet dates'!$L$9:$L$1008,0)+8)</x:f>
      </x:c>
    </x:row>
    <x:row r="107" ht="36" customHeight="1">
      <x:c r="A107" s="50" t="str">
        <x:f>IF(99&gt;$H$4,"",IF(INDEX('Fleet dates'!$A$9:$A$1008,$I107-8)="","",INDEX('Fleet dates'!$A$9:$A$1008,$I107-8)))</x:f>
      </x:c>
      <x:c r="B107" s="50" t="str">
        <x:f>IF(99&gt;$H$4,"",IF(INDEX('Fleet dates'!$B$9:$B$1008,$I107-8)="","",INDEX('Fleet dates'!$B$9:$B$1008,$I107-8)))</x:f>
      </x:c>
      <x:c r="C107" s="51" t="str">
        <x:f>IF(99&gt;$H$4,"",IF(INDEX('Fleet dates'!$C$9:$C$1008,$I107-8)="","",INDEX('Fleet dates'!$C$9:$C$1008,$I107-8)))</x:f>
      </x:c>
      <x:c r="D107" s="51" t="str">
        <x:f>IF(99&gt;$H$4,"",IF(INDEX('Fleet dates'!$D$9:$D$1008,$I107-8)="","",INDEX('Fleet dates'!$D$9:$D$1008,$I107-8)))</x:f>
      </x:c>
      <x:c r="E107" s="51" t="str">
        <x:f>IF(99&gt;$H$4,"",IF(INDEX('Fleet dates'!$E$9:$E$1008,$I107-8)="","",INDEX('Fleet dates'!$E$9:$E$1008,$I107-8)))</x:f>
      </x:c>
      <x:c r="F107" s="51" t="str">
        <x:f>IF(99&gt;$H$4,"",IF(INDEX('Fleet dates'!$F$9:$F$1008,$I107-8)="","",INDEX('Fleet dates'!$F$9:$F$1008,$I107-8)))</x:f>
      </x:c>
      <x:c r="G107" s="50" t="str">
        <x:f>IF(99&gt;$H$4,"",IF(INDEX('Fleet dates'!$G$9:$G$1008,$I107-8)="","",INDEX('Fleet dates'!$G$9:$G$1008,$I107-8)))</x:f>
      </x:c>
      <x:c r="H107" s="50" t="str">
        <x:f>IF(99&gt;$H$4,"",IF(INDEX('Fleet dates'!$I$9:$I$1008,$I107-8)="","",INDEX('Fleet dates'!$I$9:$I$1008,$I107-8)))</x:f>
      </x:c>
      <x:c r="I107" t="str">
        <x:f>IF(99&gt;$H$4,"",MATCH(99,'Fleet dates'!$L$9:$L$1008,0)+8)</x:f>
      </x:c>
    </x:row>
    <x:row r="108" ht="36" customHeight="1">
      <x:c r="A108" s="50" t="str">
        <x:f>IF(100&gt;$H$4,"",IF(INDEX('Fleet dates'!$A$9:$A$1008,$I108-8)="","",INDEX('Fleet dates'!$A$9:$A$1008,$I108-8)))</x:f>
      </x:c>
      <x:c r="B108" s="50" t="str">
        <x:f>IF(100&gt;$H$4,"",IF(INDEX('Fleet dates'!$B$9:$B$1008,$I108-8)="","",INDEX('Fleet dates'!$B$9:$B$1008,$I108-8)))</x:f>
      </x:c>
      <x:c r="C108" s="51" t="str">
        <x:f>IF(100&gt;$H$4,"",IF(INDEX('Fleet dates'!$C$9:$C$1008,$I108-8)="","",INDEX('Fleet dates'!$C$9:$C$1008,$I108-8)))</x:f>
      </x:c>
      <x:c r="D108" s="51" t="str">
        <x:f>IF(100&gt;$H$4,"",IF(INDEX('Fleet dates'!$D$9:$D$1008,$I108-8)="","",INDEX('Fleet dates'!$D$9:$D$1008,$I108-8)))</x:f>
      </x:c>
      <x:c r="E108" s="51" t="str">
        <x:f>IF(100&gt;$H$4,"",IF(INDEX('Fleet dates'!$E$9:$E$1008,$I108-8)="","",INDEX('Fleet dates'!$E$9:$E$1008,$I108-8)))</x:f>
      </x:c>
      <x:c r="F108" s="51" t="str">
        <x:f>IF(100&gt;$H$4,"",IF(INDEX('Fleet dates'!$F$9:$F$1008,$I108-8)="","",INDEX('Fleet dates'!$F$9:$F$1008,$I108-8)))</x:f>
      </x:c>
      <x:c r="G108" s="50" t="str">
        <x:f>IF(100&gt;$H$4,"",IF(INDEX('Fleet dates'!$G$9:$G$1008,$I108-8)="","",INDEX('Fleet dates'!$G$9:$G$1008,$I108-8)))</x:f>
      </x:c>
      <x:c r="H108" s="50" t="str">
        <x:f>IF(100&gt;$H$4,"",IF(INDEX('Fleet dates'!$I$9:$I$1008,$I108-8)="","",INDEX('Fleet dates'!$I$9:$I$1008,$I108-8)))</x:f>
      </x:c>
      <x:c r="I108" t="str">
        <x:f>IF(100&gt;$H$4,"",MATCH(100,'Fleet dates'!$L$9:$L$1008,0)+8)</x:f>
      </x:c>
    </x:row>
    <x:row r="109" ht="36" customHeight="1">
      <x:c r="A109" s="50" t="str">
        <x:f>IF(101&gt;$H$4,"",IF(INDEX('Fleet dates'!$A$9:$A$1008,$I109-8)="","",INDEX('Fleet dates'!$A$9:$A$1008,$I109-8)))</x:f>
      </x:c>
      <x:c r="B109" s="50" t="str">
        <x:f>IF(101&gt;$H$4,"",IF(INDEX('Fleet dates'!$B$9:$B$1008,$I109-8)="","",INDEX('Fleet dates'!$B$9:$B$1008,$I109-8)))</x:f>
      </x:c>
      <x:c r="C109" s="51" t="str">
        <x:f>IF(101&gt;$H$4,"",IF(INDEX('Fleet dates'!$C$9:$C$1008,$I109-8)="","",INDEX('Fleet dates'!$C$9:$C$1008,$I109-8)))</x:f>
      </x:c>
      <x:c r="D109" s="51" t="str">
        <x:f>IF(101&gt;$H$4,"",IF(INDEX('Fleet dates'!$D$9:$D$1008,$I109-8)="","",INDEX('Fleet dates'!$D$9:$D$1008,$I109-8)))</x:f>
      </x:c>
      <x:c r="E109" s="51" t="str">
        <x:f>IF(101&gt;$H$4,"",IF(INDEX('Fleet dates'!$E$9:$E$1008,$I109-8)="","",INDEX('Fleet dates'!$E$9:$E$1008,$I109-8)))</x:f>
      </x:c>
      <x:c r="F109" s="51" t="str">
        <x:f>IF(101&gt;$H$4,"",IF(INDEX('Fleet dates'!$F$9:$F$1008,$I109-8)="","",INDEX('Fleet dates'!$F$9:$F$1008,$I109-8)))</x:f>
      </x:c>
      <x:c r="G109" s="50" t="str">
        <x:f>IF(101&gt;$H$4,"",IF(INDEX('Fleet dates'!$G$9:$G$1008,$I109-8)="","",INDEX('Fleet dates'!$G$9:$G$1008,$I109-8)))</x:f>
      </x:c>
      <x:c r="H109" s="50" t="str">
        <x:f>IF(101&gt;$H$4,"",IF(INDEX('Fleet dates'!$I$9:$I$1008,$I109-8)="","",INDEX('Fleet dates'!$I$9:$I$1008,$I109-8)))</x:f>
      </x:c>
      <x:c r="I109" t="str">
        <x:f>IF(101&gt;$H$4,"",MATCH(101,'Fleet dates'!$L$9:$L$1008,0)+8)</x:f>
      </x:c>
    </x:row>
    <x:row r="110" ht="36" customHeight="1">
      <x:c r="A110" s="50" t="str">
        <x:f>IF(102&gt;$H$4,"",IF(INDEX('Fleet dates'!$A$9:$A$1008,$I110-8)="","",INDEX('Fleet dates'!$A$9:$A$1008,$I110-8)))</x:f>
      </x:c>
      <x:c r="B110" s="50" t="str">
        <x:f>IF(102&gt;$H$4,"",IF(INDEX('Fleet dates'!$B$9:$B$1008,$I110-8)="","",INDEX('Fleet dates'!$B$9:$B$1008,$I110-8)))</x:f>
      </x:c>
      <x:c r="C110" s="51" t="str">
        <x:f>IF(102&gt;$H$4,"",IF(INDEX('Fleet dates'!$C$9:$C$1008,$I110-8)="","",INDEX('Fleet dates'!$C$9:$C$1008,$I110-8)))</x:f>
      </x:c>
      <x:c r="D110" s="51" t="str">
        <x:f>IF(102&gt;$H$4,"",IF(INDEX('Fleet dates'!$D$9:$D$1008,$I110-8)="","",INDEX('Fleet dates'!$D$9:$D$1008,$I110-8)))</x:f>
      </x:c>
      <x:c r="E110" s="51" t="str">
        <x:f>IF(102&gt;$H$4,"",IF(INDEX('Fleet dates'!$E$9:$E$1008,$I110-8)="","",INDEX('Fleet dates'!$E$9:$E$1008,$I110-8)))</x:f>
      </x:c>
      <x:c r="F110" s="51" t="str">
        <x:f>IF(102&gt;$H$4,"",IF(INDEX('Fleet dates'!$F$9:$F$1008,$I110-8)="","",INDEX('Fleet dates'!$F$9:$F$1008,$I110-8)))</x:f>
      </x:c>
      <x:c r="G110" s="50" t="str">
        <x:f>IF(102&gt;$H$4,"",IF(INDEX('Fleet dates'!$G$9:$G$1008,$I110-8)="","",INDEX('Fleet dates'!$G$9:$G$1008,$I110-8)))</x:f>
      </x:c>
      <x:c r="H110" s="50" t="str">
        <x:f>IF(102&gt;$H$4,"",IF(INDEX('Fleet dates'!$I$9:$I$1008,$I110-8)="","",INDEX('Fleet dates'!$I$9:$I$1008,$I110-8)))</x:f>
      </x:c>
      <x:c r="I110" t="str">
        <x:f>IF(102&gt;$H$4,"",MATCH(102,'Fleet dates'!$L$9:$L$1008,0)+8)</x:f>
      </x:c>
    </x:row>
    <x:row r="111" ht="36" customHeight="1">
      <x:c r="A111" s="50" t="str">
        <x:f>IF(103&gt;$H$4,"",IF(INDEX('Fleet dates'!$A$9:$A$1008,$I111-8)="","",INDEX('Fleet dates'!$A$9:$A$1008,$I111-8)))</x:f>
      </x:c>
      <x:c r="B111" s="50" t="str">
        <x:f>IF(103&gt;$H$4,"",IF(INDEX('Fleet dates'!$B$9:$B$1008,$I111-8)="","",INDEX('Fleet dates'!$B$9:$B$1008,$I111-8)))</x:f>
      </x:c>
      <x:c r="C111" s="51" t="str">
        <x:f>IF(103&gt;$H$4,"",IF(INDEX('Fleet dates'!$C$9:$C$1008,$I111-8)="","",INDEX('Fleet dates'!$C$9:$C$1008,$I111-8)))</x:f>
      </x:c>
      <x:c r="D111" s="51" t="str">
        <x:f>IF(103&gt;$H$4,"",IF(INDEX('Fleet dates'!$D$9:$D$1008,$I111-8)="","",INDEX('Fleet dates'!$D$9:$D$1008,$I111-8)))</x:f>
      </x:c>
      <x:c r="E111" s="51" t="str">
        <x:f>IF(103&gt;$H$4,"",IF(INDEX('Fleet dates'!$E$9:$E$1008,$I111-8)="","",INDEX('Fleet dates'!$E$9:$E$1008,$I111-8)))</x:f>
      </x:c>
      <x:c r="F111" s="51" t="str">
        <x:f>IF(103&gt;$H$4,"",IF(INDEX('Fleet dates'!$F$9:$F$1008,$I111-8)="","",INDEX('Fleet dates'!$F$9:$F$1008,$I111-8)))</x:f>
      </x:c>
      <x:c r="G111" s="50" t="str">
        <x:f>IF(103&gt;$H$4,"",IF(INDEX('Fleet dates'!$G$9:$G$1008,$I111-8)="","",INDEX('Fleet dates'!$G$9:$G$1008,$I111-8)))</x:f>
      </x:c>
      <x:c r="H111" s="50" t="str">
        <x:f>IF(103&gt;$H$4,"",IF(INDEX('Fleet dates'!$I$9:$I$1008,$I111-8)="","",INDEX('Fleet dates'!$I$9:$I$1008,$I111-8)))</x:f>
      </x:c>
      <x:c r="I111" t="str">
        <x:f>IF(103&gt;$H$4,"",MATCH(103,'Fleet dates'!$L$9:$L$1008,0)+8)</x:f>
      </x:c>
    </x:row>
    <x:row r="112" ht="36" customHeight="1">
      <x:c r="A112" s="50" t="str">
        <x:f>IF(104&gt;$H$4,"",IF(INDEX('Fleet dates'!$A$9:$A$1008,$I112-8)="","",INDEX('Fleet dates'!$A$9:$A$1008,$I112-8)))</x:f>
      </x:c>
      <x:c r="B112" s="50" t="str">
        <x:f>IF(104&gt;$H$4,"",IF(INDEX('Fleet dates'!$B$9:$B$1008,$I112-8)="","",INDEX('Fleet dates'!$B$9:$B$1008,$I112-8)))</x:f>
      </x:c>
      <x:c r="C112" s="51" t="str">
        <x:f>IF(104&gt;$H$4,"",IF(INDEX('Fleet dates'!$C$9:$C$1008,$I112-8)="","",INDEX('Fleet dates'!$C$9:$C$1008,$I112-8)))</x:f>
      </x:c>
      <x:c r="D112" s="51" t="str">
        <x:f>IF(104&gt;$H$4,"",IF(INDEX('Fleet dates'!$D$9:$D$1008,$I112-8)="","",INDEX('Fleet dates'!$D$9:$D$1008,$I112-8)))</x:f>
      </x:c>
      <x:c r="E112" s="51" t="str">
        <x:f>IF(104&gt;$H$4,"",IF(INDEX('Fleet dates'!$E$9:$E$1008,$I112-8)="","",INDEX('Fleet dates'!$E$9:$E$1008,$I112-8)))</x:f>
      </x:c>
      <x:c r="F112" s="51" t="str">
        <x:f>IF(104&gt;$H$4,"",IF(INDEX('Fleet dates'!$F$9:$F$1008,$I112-8)="","",INDEX('Fleet dates'!$F$9:$F$1008,$I112-8)))</x:f>
      </x:c>
      <x:c r="G112" s="50" t="str">
        <x:f>IF(104&gt;$H$4,"",IF(INDEX('Fleet dates'!$G$9:$G$1008,$I112-8)="","",INDEX('Fleet dates'!$G$9:$G$1008,$I112-8)))</x:f>
      </x:c>
      <x:c r="H112" s="50" t="str">
        <x:f>IF(104&gt;$H$4,"",IF(INDEX('Fleet dates'!$I$9:$I$1008,$I112-8)="","",INDEX('Fleet dates'!$I$9:$I$1008,$I112-8)))</x:f>
      </x:c>
      <x:c r="I112" t="str">
        <x:f>IF(104&gt;$H$4,"",MATCH(104,'Fleet dates'!$L$9:$L$1008,0)+8)</x:f>
      </x:c>
    </x:row>
    <x:row r="113" ht="36" customHeight="1">
      <x:c r="A113" s="50" t="str">
        <x:f>IF(105&gt;$H$4,"",IF(INDEX('Fleet dates'!$A$9:$A$1008,$I113-8)="","",INDEX('Fleet dates'!$A$9:$A$1008,$I113-8)))</x:f>
      </x:c>
      <x:c r="B113" s="50" t="str">
        <x:f>IF(105&gt;$H$4,"",IF(INDEX('Fleet dates'!$B$9:$B$1008,$I113-8)="","",INDEX('Fleet dates'!$B$9:$B$1008,$I113-8)))</x:f>
      </x:c>
      <x:c r="C113" s="51" t="str">
        <x:f>IF(105&gt;$H$4,"",IF(INDEX('Fleet dates'!$C$9:$C$1008,$I113-8)="","",INDEX('Fleet dates'!$C$9:$C$1008,$I113-8)))</x:f>
      </x:c>
      <x:c r="D113" s="51" t="str">
        <x:f>IF(105&gt;$H$4,"",IF(INDEX('Fleet dates'!$D$9:$D$1008,$I113-8)="","",INDEX('Fleet dates'!$D$9:$D$1008,$I113-8)))</x:f>
      </x:c>
      <x:c r="E113" s="51" t="str">
        <x:f>IF(105&gt;$H$4,"",IF(INDEX('Fleet dates'!$E$9:$E$1008,$I113-8)="","",INDEX('Fleet dates'!$E$9:$E$1008,$I113-8)))</x:f>
      </x:c>
      <x:c r="F113" s="51" t="str">
        <x:f>IF(105&gt;$H$4,"",IF(INDEX('Fleet dates'!$F$9:$F$1008,$I113-8)="","",INDEX('Fleet dates'!$F$9:$F$1008,$I113-8)))</x:f>
      </x:c>
      <x:c r="G113" s="50" t="str">
        <x:f>IF(105&gt;$H$4,"",IF(INDEX('Fleet dates'!$G$9:$G$1008,$I113-8)="","",INDEX('Fleet dates'!$G$9:$G$1008,$I113-8)))</x:f>
      </x:c>
      <x:c r="H113" s="50" t="str">
        <x:f>IF(105&gt;$H$4,"",IF(INDEX('Fleet dates'!$I$9:$I$1008,$I113-8)="","",INDEX('Fleet dates'!$I$9:$I$1008,$I113-8)))</x:f>
      </x:c>
      <x:c r="I113" t="str">
        <x:f>IF(105&gt;$H$4,"",MATCH(105,'Fleet dates'!$L$9:$L$1008,0)+8)</x:f>
      </x:c>
    </x:row>
    <x:row r="114" ht="36" customHeight="1">
      <x:c r="A114" s="50" t="str">
        <x:f>IF(106&gt;$H$4,"",IF(INDEX('Fleet dates'!$A$9:$A$1008,$I114-8)="","",INDEX('Fleet dates'!$A$9:$A$1008,$I114-8)))</x:f>
      </x:c>
      <x:c r="B114" s="50" t="str">
        <x:f>IF(106&gt;$H$4,"",IF(INDEX('Fleet dates'!$B$9:$B$1008,$I114-8)="","",INDEX('Fleet dates'!$B$9:$B$1008,$I114-8)))</x:f>
      </x:c>
      <x:c r="C114" s="51" t="str">
        <x:f>IF(106&gt;$H$4,"",IF(INDEX('Fleet dates'!$C$9:$C$1008,$I114-8)="","",INDEX('Fleet dates'!$C$9:$C$1008,$I114-8)))</x:f>
      </x:c>
      <x:c r="D114" s="51" t="str">
        <x:f>IF(106&gt;$H$4,"",IF(INDEX('Fleet dates'!$D$9:$D$1008,$I114-8)="","",INDEX('Fleet dates'!$D$9:$D$1008,$I114-8)))</x:f>
      </x:c>
      <x:c r="E114" s="51" t="str">
        <x:f>IF(106&gt;$H$4,"",IF(INDEX('Fleet dates'!$E$9:$E$1008,$I114-8)="","",INDEX('Fleet dates'!$E$9:$E$1008,$I114-8)))</x:f>
      </x:c>
      <x:c r="F114" s="51" t="str">
        <x:f>IF(106&gt;$H$4,"",IF(INDEX('Fleet dates'!$F$9:$F$1008,$I114-8)="","",INDEX('Fleet dates'!$F$9:$F$1008,$I114-8)))</x:f>
      </x:c>
      <x:c r="G114" s="50" t="str">
        <x:f>IF(106&gt;$H$4,"",IF(INDEX('Fleet dates'!$G$9:$G$1008,$I114-8)="","",INDEX('Fleet dates'!$G$9:$G$1008,$I114-8)))</x:f>
      </x:c>
      <x:c r="H114" s="50" t="str">
        <x:f>IF(106&gt;$H$4,"",IF(INDEX('Fleet dates'!$I$9:$I$1008,$I114-8)="","",INDEX('Fleet dates'!$I$9:$I$1008,$I114-8)))</x:f>
      </x:c>
      <x:c r="I114" t="str">
        <x:f>IF(106&gt;$H$4,"",MATCH(106,'Fleet dates'!$L$9:$L$1008,0)+8)</x:f>
      </x:c>
    </x:row>
    <x:row r="115" ht="36" customHeight="1">
      <x:c r="A115" s="50" t="str">
        <x:f>IF(107&gt;$H$4,"",IF(INDEX('Fleet dates'!$A$9:$A$1008,$I115-8)="","",INDEX('Fleet dates'!$A$9:$A$1008,$I115-8)))</x:f>
      </x:c>
      <x:c r="B115" s="50" t="str">
        <x:f>IF(107&gt;$H$4,"",IF(INDEX('Fleet dates'!$B$9:$B$1008,$I115-8)="","",INDEX('Fleet dates'!$B$9:$B$1008,$I115-8)))</x:f>
      </x:c>
      <x:c r="C115" s="51" t="str">
        <x:f>IF(107&gt;$H$4,"",IF(INDEX('Fleet dates'!$C$9:$C$1008,$I115-8)="","",INDEX('Fleet dates'!$C$9:$C$1008,$I115-8)))</x:f>
      </x:c>
      <x:c r="D115" s="51" t="str">
        <x:f>IF(107&gt;$H$4,"",IF(INDEX('Fleet dates'!$D$9:$D$1008,$I115-8)="","",INDEX('Fleet dates'!$D$9:$D$1008,$I115-8)))</x:f>
      </x:c>
      <x:c r="E115" s="51" t="str">
        <x:f>IF(107&gt;$H$4,"",IF(INDEX('Fleet dates'!$E$9:$E$1008,$I115-8)="","",INDEX('Fleet dates'!$E$9:$E$1008,$I115-8)))</x:f>
      </x:c>
      <x:c r="F115" s="51" t="str">
        <x:f>IF(107&gt;$H$4,"",IF(INDEX('Fleet dates'!$F$9:$F$1008,$I115-8)="","",INDEX('Fleet dates'!$F$9:$F$1008,$I115-8)))</x:f>
      </x:c>
      <x:c r="G115" s="50" t="str">
        <x:f>IF(107&gt;$H$4,"",IF(INDEX('Fleet dates'!$G$9:$G$1008,$I115-8)="","",INDEX('Fleet dates'!$G$9:$G$1008,$I115-8)))</x:f>
      </x:c>
      <x:c r="H115" s="50" t="str">
        <x:f>IF(107&gt;$H$4,"",IF(INDEX('Fleet dates'!$I$9:$I$1008,$I115-8)="","",INDEX('Fleet dates'!$I$9:$I$1008,$I115-8)))</x:f>
      </x:c>
      <x:c r="I115" t="str">
        <x:f>IF(107&gt;$H$4,"",MATCH(107,'Fleet dates'!$L$9:$L$1008,0)+8)</x:f>
      </x:c>
    </x:row>
    <x:row r="116" ht="36" customHeight="1">
      <x:c r="A116" s="50" t="str">
        <x:f>IF(108&gt;$H$4,"",IF(INDEX('Fleet dates'!$A$9:$A$1008,$I116-8)="","",INDEX('Fleet dates'!$A$9:$A$1008,$I116-8)))</x:f>
      </x:c>
      <x:c r="B116" s="50" t="str">
        <x:f>IF(108&gt;$H$4,"",IF(INDEX('Fleet dates'!$B$9:$B$1008,$I116-8)="","",INDEX('Fleet dates'!$B$9:$B$1008,$I116-8)))</x:f>
      </x:c>
      <x:c r="C116" s="51" t="str">
        <x:f>IF(108&gt;$H$4,"",IF(INDEX('Fleet dates'!$C$9:$C$1008,$I116-8)="","",INDEX('Fleet dates'!$C$9:$C$1008,$I116-8)))</x:f>
      </x:c>
      <x:c r="D116" s="51" t="str">
        <x:f>IF(108&gt;$H$4,"",IF(INDEX('Fleet dates'!$D$9:$D$1008,$I116-8)="","",INDEX('Fleet dates'!$D$9:$D$1008,$I116-8)))</x:f>
      </x:c>
      <x:c r="E116" s="51" t="str">
        <x:f>IF(108&gt;$H$4,"",IF(INDEX('Fleet dates'!$E$9:$E$1008,$I116-8)="","",INDEX('Fleet dates'!$E$9:$E$1008,$I116-8)))</x:f>
      </x:c>
      <x:c r="F116" s="51" t="str">
        <x:f>IF(108&gt;$H$4,"",IF(INDEX('Fleet dates'!$F$9:$F$1008,$I116-8)="","",INDEX('Fleet dates'!$F$9:$F$1008,$I116-8)))</x:f>
      </x:c>
      <x:c r="G116" s="50" t="str">
        <x:f>IF(108&gt;$H$4,"",IF(INDEX('Fleet dates'!$G$9:$G$1008,$I116-8)="","",INDEX('Fleet dates'!$G$9:$G$1008,$I116-8)))</x:f>
      </x:c>
      <x:c r="H116" s="50" t="str">
        <x:f>IF(108&gt;$H$4,"",IF(INDEX('Fleet dates'!$I$9:$I$1008,$I116-8)="","",INDEX('Fleet dates'!$I$9:$I$1008,$I116-8)))</x:f>
      </x:c>
      <x:c r="I116" t="str">
        <x:f>IF(108&gt;$H$4,"",MATCH(108,'Fleet dates'!$L$9:$L$1008,0)+8)</x:f>
      </x:c>
    </x:row>
    <x:row r="117" ht="36" customHeight="1">
      <x:c r="A117" s="50" t="str">
        <x:f>IF(109&gt;$H$4,"",IF(INDEX('Fleet dates'!$A$9:$A$1008,$I117-8)="","",INDEX('Fleet dates'!$A$9:$A$1008,$I117-8)))</x:f>
      </x:c>
      <x:c r="B117" s="50" t="str">
        <x:f>IF(109&gt;$H$4,"",IF(INDEX('Fleet dates'!$B$9:$B$1008,$I117-8)="","",INDEX('Fleet dates'!$B$9:$B$1008,$I117-8)))</x:f>
      </x:c>
      <x:c r="C117" s="51" t="str">
        <x:f>IF(109&gt;$H$4,"",IF(INDEX('Fleet dates'!$C$9:$C$1008,$I117-8)="","",INDEX('Fleet dates'!$C$9:$C$1008,$I117-8)))</x:f>
      </x:c>
      <x:c r="D117" s="51" t="str">
        <x:f>IF(109&gt;$H$4,"",IF(INDEX('Fleet dates'!$D$9:$D$1008,$I117-8)="","",INDEX('Fleet dates'!$D$9:$D$1008,$I117-8)))</x:f>
      </x:c>
      <x:c r="E117" s="51" t="str">
        <x:f>IF(109&gt;$H$4,"",IF(INDEX('Fleet dates'!$E$9:$E$1008,$I117-8)="","",INDEX('Fleet dates'!$E$9:$E$1008,$I117-8)))</x:f>
      </x:c>
      <x:c r="F117" s="51" t="str">
        <x:f>IF(109&gt;$H$4,"",IF(INDEX('Fleet dates'!$F$9:$F$1008,$I117-8)="","",INDEX('Fleet dates'!$F$9:$F$1008,$I117-8)))</x:f>
      </x:c>
      <x:c r="G117" s="50" t="str">
        <x:f>IF(109&gt;$H$4,"",IF(INDEX('Fleet dates'!$G$9:$G$1008,$I117-8)="","",INDEX('Fleet dates'!$G$9:$G$1008,$I117-8)))</x:f>
      </x:c>
      <x:c r="H117" s="50" t="str">
        <x:f>IF(109&gt;$H$4,"",IF(INDEX('Fleet dates'!$I$9:$I$1008,$I117-8)="","",INDEX('Fleet dates'!$I$9:$I$1008,$I117-8)))</x:f>
      </x:c>
      <x:c r="I117" t="str">
        <x:f>IF(109&gt;$H$4,"",MATCH(109,'Fleet dates'!$L$9:$L$1008,0)+8)</x:f>
      </x:c>
    </x:row>
    <x:row r="118" ht="36" customHeight="1">
      <x:c r="A118" s="50" t="str">
        <x:f>IF(110&gt;$H$4,"",IF(INDEX('Fleet dates'!$A$9:$A$1008,$I118-8)="","",INDEX('Fleet dates'!$A$9:$A$1008,$I118-8)))</x:f>
      </x:c>
      <x:c r="B118" s="50" t="str">
        <x:f>IF(110&gt;$H$4,"",IF(INDEX('Fleet dates'!$B$9:$B$1008,$I118-8)="","",INDEX('Fleet dates'!$B$9:$B$1008,$I118-8)))</x:f>
      </x:c>
      <x:c r="C118" s="51" t="str">
        <x:f>IF(110&gt;$H$4,"",IF(INDEX('Fleet dates'!$C$9:$C$1008,$I118-8)="","",INDEX('Fleet dates'!$C$9:$C$1008,$I118-8)))</x:f>
      </x:c>
      <x:c r="D118" s="51" t="str">
        <x:f>IF(110&gt;$H$4,"",IF(INDEX('Fleet dates'!$D$9:$D$1008,$I118-8)="","",INDEX('Fleet dates'!$D$9:$D$1008,$I118-8)))</x:f>
      </x:c>
      <x:c r="E118" s="51" t="str">
        <x:f>IF(110&gt;$H$4,"",IF(INDEX('Fleet dates'!$E$9:$E$1008,$I118-8)="","",INDEX('Fleet dates'!$E$9:$E$1008,$I118-8)))</x:f>
      </x:c>
      <x:c r="F118" s="51" t="str">
        <x:f>IF(110&gt;$H$4,"",IF(INDEX('Fleet dates'!$F$9:$F$1008,$I118-8)="","",INDEX('Fleet dates'!$F$9:$F$1008,$I118-8)))</x:f>
      </x:c>
      <x:c r="G118" s="50" t="str">
        <x:f>IF(110&gt;$H$4,"",IF(INDEX('Fleet dates'!$G$9:$G$1008,$I118-8)="","",INDEX('Fleet dates'!$G$9:$G$1008,$I118-8)))</x:f>
      </x:c>
      <x:c r="H118" s="50" t="str">
        <x:f>IF(110&gt;$H$4,"",IF(INDEX('Fleet dates'!$I$9:$I$1008,$I118-8)="","",INDEX('Fleet dates'!$I$9:$I$1008,$I118-8)))</x:f>
      </x:c>
      <x:c r="I118" t="str">
        <x:f>IF(110&gt;$H$4,"",MATCH(110,'Fleet dates'!$L$9:$L$1008,0)+8)</x:f>
      </x:c>
    </x:row>
    <x:row r="119" ht="36" customHeight="1">
      <x:c r="A119" s="50" t="str">
        <x:f>IF(111&gt;$H$4,"",IF(INDEX('Fleet dates'!$A$9:$A$1008,$I119-8)="","",INDEX('Fleet dates'!$A$9:$A$1008,$I119-8)))</x:f>
      </x:c>
      <x:c r="B119" s="50" t="str">
        <x:f>IF(111&gt;$H$4,"",IF(INDEX('Fleet dates'!$B$9:$B$1008,$I119-8)="","",INDEX('Fleet dates'!$B$9:$B$1008,$I119-8)))</x:f>
      </x:c>
      <x:c r="C119" s="51" t="str">
        <x:f>IF(111&gt;$H$4,"",IF(INDEX('Fleet dates'!$C$9:$C$1008,$I119-8)="","",INDEX('Fleet dates'!$C$9:$C$1008,$I119-8)))</x:f>
      </x:c>
      <x:c r="D119" s="51" t="str">
        <x:f>IF(111&gt;$H$4,"",IF(INDEX('Fleet dates'!$D$9:$D$1008,$I119-8)="","",INDEX('Fleet dates'!$D$9:$D$1008,$I119-8)))</x:f>
      </x:c>
      <x:c r="E119" s="51" t="str">
        <x:f>IF(111&gt;$H$4,"",IF(INDEX('Fleet dates'!$E$9:$E$1008,$I119-8)="","",INDEX('Fleet dates'!$E$9:$E$1008,$I119-8)))</x:f>
      </x:c>
      <x:c r="F119" s="51" t="str">
        <x:f>IF(111&gt;$H$4,"",IF(INDEX('Fleet dates'!$F$9:$F$1008,$I119-8)="","",INDEX('Fleet dates'!$F$9:$F$1008,$I119-8)))</x:f>
      </x:c>
      <x:c r="G119" s="50" t="str">
        <x:f>IF(111&gt;$H$4,"",IF(INDEX('Fleet dates'!$G$9:$G$1008,$I119-8)="","",INDEX('Fleet dates'!$G$9:$G$1008,$I119-8)))</x:f>
      </x:c>
      <x:c r="H119" s="50" t="str">
        <x:f>IF(111&gt;$H$4,"",IF(INDEX('Fleet dates'!$I$9:$I$1008,$I119-8)="","",INDEX('Fleet dates'!$I$9:$I$1008,$I119-8)))</x:f>
      </x:c>
      <x:c r="I119" t="str">
        <x:f>IF(111&gt;$H$4,"",MATCH(111,'Fleet dates'!$L$9:$L$1008,0)+8)</x:f>
      </x:c>
    </x:row>
    <x:row r="120" ht="36" customHeight="1">
      <x:c r="A120" s="50" t="str">
        <x:f>IF(112&gt;$H$4,"",IF(INDEX('Fleet dates'!$A$9:$A$1008,$I120-8)="","",INDEX('Fleet dates'!$A$9:$A$1008,$I120-8)))</x:f>
      </x:c>
      <x:c r="B120" s="50" t="str">
        <x:f>IF(112&gt;$H$4,"",IF(INDEX('Fleet dates'!$B$9:$B$1008,$I120-8)="","",INDEX('Fleet dates'!$B$9:$B$1008,$I120-8)))</x:f>
      </x:c>
      <x:c r="C120" s="51" t="str">
        <x:f>IF(112&gt;$H$4,"",IF(INDEX('Fleet dates'!$C$9:$C$1008,$I120-8)="","",INDEX('Fleet dates'!$C$9:$C$1008,$I120-8)))</x:f>
      </x:c>
      <x:c r="D120" s="51" t="str">
        <x:f>IF(112&gt;$H$4,"",IF(INDEX('Fleet dates'!$D$9:$D$1008,$I120-8)="","",INDEX('Fleet dates'!$D$9:$D$1008,$I120-8)))</x:f>
      </x:c>
      <x:c r="E120" s="51" t="str">
        <x:f>IF(112&gt;$H$4,"",IF(INDEX('Fleet dates'!$E$9:$E$1008,$I120-8)="","",INDEX('Fleet dates'!$E$9:$E$1008,$I120-8)))</x:f>
      </x:c>
      <x:c r="F120" s="51" t="str">
        <x:f>IF(112&gt;$H$4,"",IF(INDEX('Fleet dates'!$F$9:$F$1008,$I120-8)="","",INDEX('Fleet dates'!$F$9:$F$1008,$I120-8)))</x:f>
      </x:c>
      <x:c r="G120" s="50" t="str">
        <x:f>IF(112&gt;$H$4,"",IF(INDEX('Fleet dates'!$G$9:$G$1008,$I120-8)="","",INDEX('Fleet dates'!$G$9:$G$1008,$I120-8)))</x:f>
      </x:c>
      <x:c r="H120" s="50" t="str">
        <x:f>IF(112&gt;$H$4,"",IF(INDEX('Fleet dates'!$I$9:$I$1008,$I120-8)="","",INDEX('Fleet dates'!$I$9:$I$1008,$I120-8)))</x:f>
      </x:c>
      <x:c r="I120" t="str">
        <x:f>IF(112&gt;$H$4,"",MATCH(112,'Fleet dates'!$L$9:$L$1008,0)+8)</x:f>
      </x:c>
    </x:row>
    <x:row r="121" ht="36" customHeight="1">
      <x:c r="A121" s="50" t="str">
        <x:f>IF(113&gt;$H$4,"",IF(INDEX('Fleet dates'!$A$9:$A$1008,$I121-8)="","",INDEX('Fleet dates'!$A$9:$A$1008,$I121-8)))</x:f>
      </x:c>
      <x:c r="B121" s="50" t="str">
        <x:f>IF(113&gt;$H$4,"",IF(INDEX('Fleet dates'!$B$9:$B$1008,$I121-8)="","",INDEX('Fleet dates'!$B$9:$B$1008,$I121-8)))</x:f>
      </x:c>
      <x:c r="C121" s="51" t="str">
        <x:f>IF(113&gt;$H$4,"",IF(INDEX('Fleet dates'!$C$9:$C$1008,$I121-8)="","",INDEX('Fleet dates'!$C$9:$C$1008,$I121-8)))</x:f>
      </x:c>
      <x:c r="D121" s="51" t="str">
        <x:f>IF(113&gt;$H$4,"",IF(INDEX('Fleet dates'!$D$9:$D$1008,$I121-8)="","",INDEX('Fleet dates'!$D$9:$D$1008,$I121-8)))</x:f>
      </x:c>
      <x:c r="E121" s="51" t="str">
        <x:f>IF(113&gt;$H$4,"",IF(INDEX('Fleet dates'!$E$9:$E$1008,$I121-8)="","",INDEX('Fleet dates'!$E$9:$E$1008,$I121-8)))</x:f>
      </x:c>
      <x:c r="F121" s="51" t="str">
        <x:f>IF(113&gt;$H$4,"",IF(INDEX('Fleet dates'!$F$9:$F$1008,$I121-8)="","",INDEX('Fleet dates'!$F$9:$F$1008,$I121-8)))</x:f>
      </x:c>
      <x:c r="G121" s="50" t="str">
        <x:f>IF(113&gt;$H$4,"",IF(INDEX('Fleet dates'!$G$9:$G$1008,$I121-8)="","",INDEX('Fleet dates'!$G$9:$G$1008,$I121-8)))</x:f>
      </x:c>
      <x:c r="H121" s="50" t="str">
        <x:f>IF(113&gt;$H$4,"",IF(INDEX('Fleet dates'!$I$9:$I$1008,$I121-8)="","",INDEX('Fleet dates'!$I$9:$I$1008,$I121-8)))</x:f>
      </x:c>
      <x:c r="I121" t="str">
        <x:f>IF(113&gt;$H$4,"",MATCH(113,'Fleet dates'!$L$9:$L$1008,0)+8)</x:f>
      </x:c>
    </x:row>
    <x:row r="122" ht="36" customHeight="1">
      <x:c r="A122" s="50" t="str">
        <x:f>IF(114&gt;$H$4,"",IF(INDEX('Fleet dates'!$A$9:$A$1008,$I122-8)="","",INDEX('Fleet dates'!$A$9:$A$1008,$I122-8)))</x:f>
      </x:c>
      <x:c r="B122" s="50" t="str">
        <x:f>IF(114&gt;$H$4,"",IF(INDEX('Fleet dates'!$B$9:$B$1008,$I122-8)="","",INDEX('Fleet dates'!$B$9:$B$1008,$I122-8)))</x:f>
      </x:c>
      <x:c r="C122" s="51" t="str">
        <x:f>IF(114&gt;$H$4,"",IF(INDEX('Fleet dates'!$C$9:$C$1008,$I122-8)="","",INDEX('Fleet dates'!$C$9:$C$1008,$I122-8)))</x:f>
      </x:c>
      <x:c r="D122" s="51" t="str">
        <x:f>IF(114&gt;$H$4,"",IF(INDEX('Fleet dates'!$D$9:$D$1008,$I122-8)="","",INDEX('Fleet dates'!$D$9:$D$1008,$I122-8)))</x:f>
      </x:c>
      <x:c r="E122" s="51" t="str">
        <x:f>IF(114&gt;$H$4,"",IF(INDEX('Fleet dates'!$E$9:$E$1008,$I122-8)="","",INDEX('Fleet dates'!$E$9:$E$1008,$I122-8)))</x:f>
      </x:c>
      <x:c r="F122" s="51" t="str">
        <x:f>IF(114&gt;$H$4,"",IF(INDEX('Fleet dates'!$F$9:$F$1008,$I122-8)="","",INDEX('Fleet dates'!$F$9:$F$1008,$I122-8)))</x:f>
      </x:c>
      <x:c r="G122" s="50" t="str">
        <x:f>IF(114&gt;$H$4,"",IF(INDEX('Fleet dates'!$G$9:$G$1008,$I122-8)="","",INDEX('Fleet dates'!$G$9:$G$1008,$I122-8)))</x:f>
      </x:c>
      <x:c r="H122" s="50" t="str">
        <x:f>IF(114&gt;$H$4,"",IF(INDEX('Fleet dates'!$I$9:$I$1008,$I122-8)="","",INDEX('Fleet dates'!$I$9:$I$1008,$I122-8)))</x:f>
      </x:c>
      <x:c r="I122" t="str">
        <x:f>IF(114&gt;$H$4,"",MATCH(114,'Fleet dates'!$L$9:$L$1008,0)+8)</x:f>
      </x:c>
    </x:row>
    <x:row r="123" ht="36" customHeight="1">
      <x:c r="A123" s="50" t="str">
        <x:f>IF(115&gt;$H$4,"",IF(INDEX('Fleet dates'!$A$9:$A$1008,$I123-8)="","",INDEX('Fleet dates'!$A$9:$A$1008,$I123-8)))</x:f>
      </x:c>
      <x:c r="B123" s="50" t="str">
        <x:f>IF(115&gt;$H$4,"",IF(INDEX('Fleet dates'!$B$9:$B$1008,$I123-8)="","",INDEX('Fleet dates'!$B$9:$B$1008,$I123-8)))</x:f>
      </x:c>
      <x:c r="C123" s="51" t="str">
        <x:f>IF(115&gt;$H$4,"",IF(INDEX('Fleet dates'!$C$9:$C$1008,$I123-8)="","",INDEX('Fleet dates'!$C$9:$C$1008,$I123-8)))</x:f>
      </x:c>
      <x:c r="D123" s="51" t="str">
        <x:f>IF(115&gt;$H$4,"",IF(INDEX('Fleet dates'!$D$9:$D$1008,$I123-8)="","",INDEX('Fleet dates'!$D$9:$D$1008,$I123-8)))</x:f>
      </x:c>
      <x:c r="E123" s="51" t="str">
        <x:f>IF(115&gt;$H$4,"",IF(INDEX('Fleet dates'!$E$9:$E$1008,$I123-8)="","",INDEX('Fleet dates'!$E$9:$E$1008,$I123-8)))</x:f>
      </x:c>
      <x:c r="F123" s="51" t="str">
        <x:f>IF(115&gt;$H$4,"",IF(INDEX('Fleet dates'!$F$9:$F$1008,$I123-8)="","",INDEX('Fleet dates'!$F$9:$F$1008,$I123-8)))</x:f>
      </x:c>
      <x:c r="G123" s="50" t="str">
        <x:f>IF(115&gt;$H$4,"",IF(INDEX('Fleet dates'!$G$9:$G$1008,$I123-8)="","",INDEX('Fleet dates'!$G$9:$G$1008,$I123-8)))</x:f>
      </x:c>
      <x:c r="H123" s="50" t="str">
        <x:f>IF(115&gt;$H$4,"",IF(INDEX('Fleet dates'!$I$9:$I$1008,$I123-8)="","",INDEX('Fleet dates'!$I$9:$I$1008,$I123-8)))</x:f>
      </x:c>
      <x:c r="I123" t="str">
        <x:f>IF(115&gt;$H$4,"",MATCH(115,'Fleet dates'!$L$9:$L$1008,0)+8)</x:f>
      </x:c>
    </x:row>
    <x:row r="124" ht="36" customHeight="1">
      <x:c r="A124" s="50" t="str">
        <x:f>IF(116&gt;$H$4,"",IF(INDEX('Fleet dates'!$A$9:$A$1008,$I124-8)="","",INDEX('Fleet dates'!$A$9:$A$1008,$I124-8)))</x:f>
      </x:c>
      <x:c r="B124" s="50" t="str">
        <x:f>IF(116&gt;$H$4,"",IF(INDEX('Fleet dates'!$B$9:$B$1008,$I124-8)="","",INDEX('Fleet dates'!$B$9:$B$1008,$I124-8)))</x:f>
      </x:c>
      <x:c r="C124" s="51" t="str">
        <x:f>IF(116&gt;$H$4,"",IF(INDEX('Fleet dates'!$C$9:$C$1008,$I124-8)="","",INDEX('Fleet dates'!$C$9:$C$1008,$I124-8)))</x:f>
      </x:c>
      <x:c r="D124" s="51" t="str">
        <x:f>IF(116&gt;$H$4,"",IF(INDEX('Fleet dates'!$D$9:$D$1008,$I124-8)="","",INDEX('Fleet dates'!$D$9:$D$1008,$I124-8)))</x:f>
      </x:c>
      <x:c r="E124" s="51" t="str">
        <x:f>IF(116&gt;$H$4,"",IF(INDEX('Fleet dates'!$E$9:$E$1008,$I124-8)="","",INDEX('Fleet dates'!$E$9:$E$1008,$I124-8)))</x:f>
      </x:c>
      <x:c r="F124" s="51" t="str">
        <x:f>IF(116&gt;$H$4,"",IF(INDEX('Fleet dates'!$F$9:$F$1008,$I124-8)="","",INDEX('Fleet dates'!$F$9:$F$1008,$I124-8)))</x:f>
      </x:c>
      <x:c r="G124" s="50" t="str">
        <x:f>IF(116&gt;$H$4,"",IF(INDEX('Fleet dates'!$G$9:$G$1008,$I124-8)="","",INDEX('Fleet dates'!$G$9:$G$1008,$I124-8)))</x:f>
      </x:c>
      <x:c r="H124" s="50" t="str">
        <x:f>IF(116&gt;$H$4,"",IF(INDEX('Fleet dates'!$I$9:$I$1008,$I124-8)="","",INDEX('Fleet dates'!$I$9:$I$1008,$I124-8)))</x:f>
      </x:c>
      <x:c r="I124" t="str">
        <x:f>IF(116&gt;$H$4,"",MATCH(116,'Fleet dates'!$L$9:$L$1008,0)+8)</x:f>
      </x:c>
    </x:row>
    <x:row r="125" ht="36" customHeight="1">
      <x:c r="A125" s="50" t="str">
        <x:f>IF(117&gt;$H$4,"",IF(INDEX('Fleet dates'!$A$9:$A$1008,$I125-8)="","",INDEX('Fleet dates'!$A$9:$A$1008,$I125-8)))</x:f>
      </x:c>
      <x:c r="B125" s="50" t="str">
        <x:f>IF(117&gt;$H$4,"",IF(INDEX('Fleet dates'!$B$9:$B$1008,$I125-8)="","",INDEX('Fleet dates'!$B$9:$B$1008,$I125-8)))</x:f>
      </x:c>
      <x:c r="C125" s="51" t="str">
        <x:f>IF(117&gt;$H$4,"",IF(INDEX('Fleet dates'!$C$9:$C$1008,$I125-8)="","",INDEX('Fleet dates'!$C$9:$C$1008,$I125-8)))</x:f>
      </x:c>
      <x:c r="D125" s="51" t="str">
        <x:f>IF(117&gt;$H$4,"",IF(INDEX('Fleet dates'!$D$9:$D$1008,$I125-8)="","",INDEX('Fleet dates'!$D$9:$D$1008,$I125-8)))</x:f>
      </x:c>
      <x:c r="E125" s="51" t="str">
        <x:f>IF(117&gt;$H$4,"",IF(INDEX('Fleet dates'!$E$9:$E$1008,$I125-8)="","",INDEX('Fleet dates'!$E$9:$E$1008,$I125-8)))</x:f>
      </x:c>
      <x:c r="F125" s="51" t="str">
        <x:f>IF(117&gt;$H$4,"",IF(INDEX('Fleet dates'!$F$9:$F$1008,$I125-8)="","",INDEX('Fleet dates'!$F$9:$F$1008,$I125-8)))</x:f>
      </x:c>
      <x:c r="G125" s="50" t="str">
        <x:f>IF(117&gt;$H$4,"",IF(INDEX('Fleet dates'!$G$9:$G$1008,$I125-8)="","",INDEX('Fleet dates'!$G$9:$G$1008,$I125-8)))</x:f>
      </x:c>
      <x:c r="H125" s="50" t="str">
        <x:f>IF(117&gt;$H$4,"",IF(INDEX('Fleet dates'!$I$9:$I$1008,$I125-8)="","",INDEX('Fleet dates'!$I$9:$I$1008,$I125-8)))</x:f>
      </x:c>
      <x:c r="I125" t="str">
        <x:f>IF(117&gt;$H$4,"",MATCH(117,'Fleet dates'!$L$9:$L$1008,0)+8)</x:f>
      </x:c>
    </x:row>
    <x:row r="126" ht="36" customHeight="1">
      <x:c r="A126" s="50" t="str">
        <x:f>IF(118&gt;$H$4,"",IF(INDEX('Fleet dates'!$A$9:$A$1008,$I126-8)="","",INDEX('Fleet dates'!$A$9:$A$1008,$I126-8)))</x:f>
      </x:c>
      <x:c r="B126" s="50" t="str">
        <x:f>IF(118&gt;$H$4,"",IF(INDEX('Fleet dates'!$B$9:$B$1008,$I126-8)="","",INDEX('Fleet dates'!$B$9:$B$1008,$I126-8)))</x:f>
      </x:c>
      <x:c r="C126" s="51" t="str">
        <x:f>IF(118&gt;$H$4,"",IF(INDEX('Fleet dates'!$C$9:$C$1008,$I126-8)="","",INDEX('Fleet dates'!$C$9:$C$1008,$I126-8)))</x:f>
      </x:c>
      <x:c r="D126" s="51" t="str">
        <x:f>IF(118&gt;$H$4,"",IF(INDEX('Fleet dates'!$D$9:$D$1008,$I126-8)="","",INDEX('Fleet dates'!$D$9:$D$1008,$I126-8)))</x:f>
      </x:c>
      <x:c r="E126" s="51" t="str">
        <x:f>IF(118&gt;$H$4,"",IF(INDEX('Fleet dates'!$E$9:$E$1008,$I126-8)="","",INDEX('Fleet dates'!$E$9:$E$1008,$I126-8)))</x:f>
      </x:c>
      <x:c r="F126" s="51" t="str">
        <x:f>IF(118&gt;$H$4,"",IF(INDEX('Fleet dates'!$F$9:$F$1008,$I126-8)="","",INDEX('Fleet dates'!$F$9:$F$1008,$I126-8)))</x:f>
      </x:c>
      <x:c r="G126" s="50" t="str">
        <x:f>IF(118&gt;$H$4,"",IF(INDEX('Fleet dates'!$G$9:$G$1008,$I126-8)="","",INDEX('Fleet dates'!$G$9:$G$1008,$I126-8)))</x:f>
      </x:c>
      <x:c r="H126" s="50" t="str">
        <x:f>IF(118&gt;$H$4,"",IF(INDEX('Fleet dates'!$I$9:$I$1008,$I126-8)="","",INDEX('Fleet dates'!$I$9:$I$1008,$I126-8)))</x:f>
      </x:c>
      <x:c r="I126" t="str">
        <x:f>IF(118&gt;$H$4,"",MATCH(118,'Fleet dates'!$L$9:$L$1008,0)+8)</x:f>
      </x:c>
    </x:row>
    <x:row r="127" ht="36" customHeight="1">
      <x:c r="A127" s="50" t="str">
        <x:f>IF(119&gt;$H$4,"",IF(INDEX('Fleet dates'!$A$9:$A$1008,$I127-8)="","",INDEX('Fleet dates'!$A$9:$A$1008,$I127-8)))</x:f>
      </x:c>
      <x:c r="B127" s="50" t="str">
        <x:f>IF(119&gt;$H$4,"",IF(INDEX('Fleet dates'!$B$9:$B$1008,$I127-8)="","",INDEX('Fleet dates'!$B$9:$B$1008,$I127-8)))</x:f>
      </x:c>
      <x:c r="C127" s="51" t="str">
        <x:f>IF(119&gt;$H$4,"",IF(INDEX('Fleet dates'!$C$9:$C$1008,$I127-8)="","",INDEX('Fleet dates'!$C$9:$C$1008,$I127-8)))</x:f>
      </x:c>
      <x:c r="D127" s="51" t="str">
        <x:f>IF(119&gt;$H$4,"",IF(INDEX('Fleet dates'!$D$9:$D$1008,$I127-8)="","",INDEX('Fleet dates'!$D$9:$D$1008,$I127-8)))</x:f>
      </x:c>
      <x:c r="E127" s="51" t="str">
        <x:f>IF(119&gt;$H$4,"",IF(INDEX('Fleet dates'!$E$9:$E$1008,$I127-8)="","",INDEX('Fleet dates'!$E$9:$E$1008,$I127-8)))</x:f>
      </x:c>
      <x:c r="F127" s="51" t="str">
        <x:f>IF(119&gt;$H$4,"",IF(INDEX('Fleet dates'!$F$9:$F$1008,$I127-8)="","",INDEX('Fleet dates'!$F$9:$F$1008,$I127-8)))</x:f>
      </x:c>
      <x:c r="G127" s="50" t="str">
        <x:f>IF(119&gt;$H$4,"",IF(INDEX('Fleet dates'!$G$9:$G$1008,$I127-8)="","",INDEX('Fleet dates'!$G$9:$G$1008,$I127-8)))</x:f>
      </x:c>
      <x:c r="H127" s="50" t="str">
        <x:f>IF(119&gt;$H$4,"",IF(INDEX('Fleet dates'!$I$9:$I$1008,$I127-8)="","",INDEX('Fleet dates'!$I$9:$I$1008,$I127-8)))</x:f>
      </x:c>
      <x:c r="I127" t="str">
        <x:f>IF(119&gt;$H$4,"",MATCH(119,'Fleet dates'!$L$9:$L$1008,0)+8)</x:f>
      </x:c>
    </x:row>
    <x:row r="128" ht="36" customHeight="1">
      <x:c r="A128" s="50" t="str">
        <x:f>IF(120&gt;$H$4,"",IF(INDEX('Fleet dates'!$A$9:$A$1008,$I128-8)="","",INDEX('Fleet dates'!$A$9:$A$1008,$I128-8)))</x:f>
      </x:c>
      <x:c r="B128" s="50" t="str">
        <x:f>IF(120&gt;$H$4,"",IF(INDEX('Fleet dates'!$B$9:$B$1008,$I128-8)="","",INDEX('Fleet dates'!$B$9:$B$1008,$I128-8)))</x:f>
      </x:c>
      <x:c r="C128" s="51" t="str">
        <x:f>IF(120&gt;$H$4,"",IF(INDEX('Fleet dates'!$C$9:$C$1008,$I128-8)="","",INDEX('Fleet dates'!$C$9:$C$1008,$I128-8)))</x:f>
      </x:c>
      <x:c r="D128" s="51" t="str">
        <x:f>IF(120&gt;$H$4,"",IF(INDEX('Fleet dates'!$D$9:$D$1008,$I128-8)="","",INDEX('Fleet dates'!$D$9:$D$1008,$I128-8)))</x:f>
      </x:c>
      <x:c r="E128" s="51" t="str">
        <x:f>IF(120&gt;$H$4,"",IF(INDEX('Fleet dates'!$E$9:$E$1008,$I128-8)="","",INDEX('Fleet dates'!$E$9:$E$1008,$I128-8)))</x:f>
      </x:c>
      <x:c r="F128" s="51" t="str">
        <x:f>IF(120&gt;$H$4,"",IF(INDEX('Fleet dates'!$F$9:$F$1008,$I128-8)="","",INDEX('Fleet dates'!$F$9:$F$1008,$I128-8)))</x:f>
      </x:c>
      <x:c r="G128" s="50" t="str">
        <x:f>IF(120&gt;$H$4,"",IF(INDEX('Fleet dates'!$G$9:$G$1008,$I128-8)="","",INDEX('Fleet dates'!$G$9:$G$1008,$I128-8)))</x:f>
      </x:c>
      <x:c r="H128" s="50" t="str">
        <x:f>IF(120&gt;$H$4,"",IF(INDEX('Fleet dates'!$I$9:$I$1008,$I128-8)="","",INDEX('Fleet dates'!$I$9:$I$1008,$I128-8)))</x:f>
      </x:c>
      <x:c r="I128" t="str">
        <x:f>IF(120&gt;$H$4,"",MATCH(120,'Fleet dates'!$L$9:$L$1008,0)+8)</x:f>
      </x:c>
    </x:row>
    <x:row r="129" ht="36" customHeight="1">
      <x:c r="A129" s="50" t="str">
        <x:f>IF(121&gt;$H$4,"",IF(INDEX('Fleet dates'!$A$9:$A$1008,$I129-8)="","",INDEX('Fleet dates'!$A$9:$A$1008,$I129-8)))</x:f>
      </x:c>
      <x:c r="B129" s="50" t="str">
        <x:f>IF(121&gt;$H$4,"",IF(INDEX('Fleet dates'!$B$9:$B$1008,$I129-8)="","",INDEX('Fleet dates'!$B$9:$B$1008,$I129-8)))</x:f>
      </x:c>
      <x:c r="C129" s="51" t="str">
        <x:f>IF(121&gt;$H$4,"",IF(INDEX('Fleet dates'!$C$9:$C$1008,$I129-8)="","",INDEX('Fleet dates'!$C$9:$C$1008,$I129-8)))</x:f>
      </x:c>
      <x:c r="D129" s="51" t="str">
        <x:f>IF(121&gt;$H$4,"",IF(INDEX('Fleet dates'!$D$9:$D$1008,$I129-8)="","",INDEX('Fleet dates'!$D$9:$D$1008,$I129-8)))</x:f>
      </x:c>
      <x:c r="E129" s="51" t="str">
        <x:f>IF(121&gt;$H$4,"",IF(INDEX('Fleet dates'!$E$9:$E$1008,$I129-8)="","",INDEX('Fleet dates'!$E$9:$E$1008,$I129-8)))</x:f>
      </x:c>
      <x:c r="F129" s="51" t="str">
        <x:f>IF(121&gt;$H$4,"",IF(INDEX('Fleet dates'!$F$9:$F$1008,$I129-8)="","",INDEX('Fleet dates'!$F$9:$F$1008,$I129-8)))</x:f>
      </x:c>
      <x:c r="G129" s="50" t="str">
        <x:f>IF(121&gt;$H$4,"",IF(INDEX('Fleet dates'!$G$9:$G$1008,$I129-8)="","",INDEX('Fleet dates'!$G$9:$G$1008,$I129-8)))</x:f>
      </x:c>
      <x:c r="H129" s="50" t="str">
        <x:f>IF(121&gt;$H$4,"",IF(INDEX('Fleet dates'!$I$9:$I$1008,$I129-8)="","",INDEX('Fleet dates'!$I$9:$I$1008,$I129-8)))</x:f>
      </x:c>
      <x:c r="I129" t="str">
        <x:f>IF(121&gt;$H$4,"",MATCH(121,'Fleet dates'!$L$9:$L$1008,0)+8)</x:f>
      </x:c>
    </x:row>
    <x:row r="130" ht="36" customHeight="1">
      <x:c r="A130" s="50" t="str">
        <x:f>IF(122&gt;$H$4,"",IF(INDEX('Fleet dates'!$A$9:$A$1008,$I130-8)="","",INDEX('Fleet dates'!$A$9:$A$1008,$I130-8)))</x:f>
      </x:c>
      <x:c r="B130" s="50" t="str">
        <x:f>IF(122&gt;$H$4,"",IF(INDEX('Fleet dates'!$B$9:$B$1008,$I130-8)="","",INDEX('Fleet dates'!$B$9:$B$1008,$I130-8)))</x:f>
      </x:c>
      <x:c r="C130" s="51" t="str">
        <x:f>IF(122&gt;$H$4,"",IF(INDEX('Fleet dates'!$C$9:$C$1008,$I130-8)="","",INDEX('Fleet dates'!$C$9:$C$1008,$I130-8)))</x:f>
      </x:c>
      <x:c r="D130" s="51" t="str">
        <x:f>IF(122&gt;$H$4,"",IF(INDEX('Fleet dates'!$D$9:$D$1008,$I130-8)="","",INDEX('Fleet dates'!$D$9:$D$1008,$I130-8)))</x:f>
      </x:c>
      <x:c r="E130" s="51" t="str">
        <x:f>IF(122&gt;$H$4,"",IF(INDEX('Fleet dates'!$E$9:$E$1008,$I130-8)="","",INDEX('Fleet dates'!$E$9:$E$1008,$I130-8)))</x:f>
      </x:c>
      <x:c r="F130" s="51" t="str">
        <x:f>IF(122&gt;$H$4,"",IF(INDEX('Fleet dates'!$F$9:$F$1008,$I130-8)="","",INDEX('Fleet dates'!$F$9:$F$1008,$I130-8)))</x:f>
      </x:c>
      <x:c r="G130" s="50" t="str">
        <x:f>IF(122&gt;$H$4,"",IF(INDEX('Fleet dates'!$G$9:$G$1008,$I130-8)="","",INDEX('Fleet dates'!$G$9:$G$1008,$I130-8)))</x:f>
      </x:c>
      <x:c r="H130" s="50" t="str">
        <x:f>IF(122&gt;$H$4,"",IF(INDEX('Fleet dates'!$I$9:$I$1008,$I130-8)="","",INDEX('Fleet dates'!$I$9:$I$1008,$I130-8)))</x:f>
      </x:c>
      <x:c r="I130" t="str">
        <x:f>IF(122&gt;$H$4,"",MATCH(122,'Fleet dates'!$L$9:$L$1008,0)+8)</x:f>
      </x:c>
    </x:row>
    <x:row r="131" ht="36" customHeight="1">
      <x:c r="A131" s="50" t="str">
        <x:f>IF(123&gt;$H$4,"",IF(INDEX('Fleet dates'!$A$9:$A$1008,$I131-8)="","",INDEX('Fleet dates'!$A$9:$A$1008,$I131-8)))</x:f>
      </x:c>
      <x:c r="B131" s="50" t="str">
        <x:f>IF(123&gt;$H$4,"",IF(INDEX('Fleet dates'!$B$9:$B$1008,$I131-8)="","",INDEX('Fleet dates'!$B$9:$B$1008,$I131-8)))</x:f>
      </x:c>
      <x:c r="C131" s="51" t="str">
        <x:f>IF(123&gt;$H$4,"",IF(INDEX('Fleet dates'!$C$9:$C$1008,$I131-8)="","",INDEX('Fleet dates'!$C$9:$C$1008,$I131-8)))</x:f>
      </x:c>
      <x:c r="D131" s="51" t="str">
        <x:f>IF(123&gt;$H$4,"",IF(INDEX('Fleet dates'!$D$9:$D$1008,$I131-8)="","",INDEX('Fleet dates'!$D$9:$D$1008,$I131-8)))</x:f>
      </x:c>
      <x:c r="E131" s="51" t="str">
        <x:f>IF(123&gt;$H$4,"",IF(INDEX('Fleet dates'!$E$9:$E$1008,$I131-8)="","",INDEX('Fleet dates'!$E$9:$E$1008,$I131-8)))</x:f>
      </x:c>
      <x:c r="F131" s="51" t="str">
        <x:f>IF(123&gt;$H$4,"",IF(INDEX('Fleet dates'!$F$9:$F$1008,$I131-8)="","",INDEX('Fleet dates'!$F$9:$F$1008,$I131-8)))</x:f>
      </x:c>
      <x:c r="G131" s="50" t="str">
        <x:f>IF(123&gt;$H$4,"",IF(INDEX('Fleet dates'!$G$9:$G$1008,$I131-8)="","",INDEX('Fleet dates'!$G$9:$G$1008,$I131-8)))</x:f>
      </x:c>
      <x:c r="H131" s="50" t="str">
        <x:f>IF(123&gt;$H$4,"",IF(INDEX('Fleet dates'!$I$9:$I$1008,$I131-8)="","",INDEX('Fleet dates'!$I$9:$I$1008,$I131-8)))</x:f>
      </x:c>
      <x:c r="I131" t="str">
        <x:f>IF(123&gt;$H$4,"",MATCH(123,'Fleet dates'!$L$9:$L$1008,0)+8)</x:f>
      </x:c>
    </x:row>
    <x:row r="132" ht="36" customHeight="1">
      <x:c r="A132" s="50" t="str">
        <x:f>IF(124&gt;$H$4,"",IF(INDEX('Fleet dates'!$A$9:$A$1008,$I132-8)="","",INDEX('Fleet dates'!$A$9:$A$1008,$I132-8)))</x:f>
      </x:c>
      <x:c r="B132" s="50" t="str">
        <x:f>IF(124&gt;$H$4,"",IF(INDEX('Fleet dates'!$B$9:$B$1008,$I132-8)="","",INDEX('Fleet dates'!$B$9:$B$1008,$I132-8)))</x:f>
      </x:c>
      <x:c r="C132" s="51" t="str">
        <x:f>IF(124&gt;$H$4,"",IF(INDEX('Fleet dates'!$C$9:$C$1008,$I132-8)="","",INDEX('Fleet dates'!$C$9:$C$1008,$I132-8)))</x:f>
      </x:c>
      <x:c r="D132" s="51" t="str">
        <x:f>IF(124&gt;$H$4,"",IF(INDEX('Fleet dates'!$D$9:$D$1008,$I132-8)="","",INDEX('Fleet dates'!$D$9:$D$1008,$I132-8)))</x:f>
      </x:c>
      <x:c r="E132" s="51" t="str">
        <x:f>IF(124&gt;$H$4,"",IF(INDEX('Fleet dates'!$E$9:$E$1008,$I132-8)="","",INDEX('Fleet dates'!$E$9:$E$1008,$I132-8)))</x:f>
      </x:c>
      <x:c r="F132" s="51" t="str">
        <x:f>IF(124&gt;$H$4,"",IF(INDEX('Fleet dates'!$F$9:$F$1008,$I132-8)="","",INDEX('Fleet dates'!$F$9:$F$1008,$I132-8)))</x:f>
      </x:c>
      <x:c r="G132" s="50" t="str">
        <x:f>IF(124&gt;$H$4,"",IF(INDEX('Fleet dates'!$G$9:$G$1008,$I132-8)="","",INDEX('Fleet dates'!$G$9:$G$1008,$I132-8)))</x:f>
      </x:c>
      <x:c r="H132" s="50" t="str">
        <x:f>IF(124&gt;$H$4,"",IF(INDEX('Fleet dates'!$I$9:$I$1008,$I132-8)="","",INDEX('Fleet dates'!$I$9:$I$1008,$I132-8)))</x:f>
      </x:c>
      <x:c r="I132" t="str">
        <x:f>IF(124&gt;$H$4,"",MATCH(124,'Fleet dates'!$L$9:$L$1008,0)+8)</x:f>
      </x:c>
    </x:row>
    <x:row r="133" ht="36" customHeight="1">
      <x:c r="A133" s="50" t="str">
        <x:f>IF(125&gt;$H$4,"",IF(INDEX('Fleet dates'!$A$9:$A$1008,$I133-8)="","",INDEX('Fleet dates'!$A$9:$A$1008,$I133-8)))</x:f>
      </x:c>
      <x:c r="B133" s="50" t="str">
        <x:f>IF(125&gt;$H$4,"",IF(INDEX('Fleet dates'!$B$9:$B$1008,$I133-8)="","",INDEX('Fleet dates'!$B$9:$B$1008,$I133-8)))</x:f>
      </x:c>
      <x:c r="C133" s="51" t="str">
        <x:f>IF(125&gt;$H$4,"",IF(INDEX('Fleet dates'!$C$9:$C$1008,$I133-8)="","",INDEX('Fleet dates'!$C$9:$C$1008,$I133-8)))</x:f>
      </x:c>
      <x:c r="D133" s="51" t="str">
        <x:f>IF(125&gt;$H$4,"",IF(INDEX('Fleet dates'!$D$9:$D$1008,$I133-8)="","",INDEX('Fleet dates'!$D$9:$D$1008,$I133-8)))</x:f>
      </x:c>
      <x:c r="E133" s="51" t="str">
        <x:f>IF(125&gt;$H$4,"",IF(INDEX('Fleet dates'!$E$9:$E$1008,$I133-8)="","",INDEX('Fleet dates'!$E$9:$E$1008,$I133-8)))</x:f>
      </x:c>
      <x:c r="F133" s="51" t="str">
        <x:f>IF(125&gt;$H$4,"",IF(INDEX('Fleet dates'!$F$9:$F$1008,$I133-8)="","",INDEX('Fleet dates'!$F$9:$F$1008,$I133-8)))</x:f>
      </x:c>
      <x:c r="G133" s="50" t="str">
        <x:f>IF(125&gt;$H$4,"",IF(INDEX('Fleet dates'!$G$9:$G$1008,$I133-8)="","",INDEX('Fleet dates'!$G$9:$G$1008,$I133-8)))</x:f>
      </x:c>
      <x:c r="H133" s="50" t="str">
        <x:f>IF(125&gt;$H$4,"",IF(INDEX('Fleet dates'!$I$9:$I$1008,$I133-8)="","",INDEX('Fleet dates'!$I$9:$I$1008,$I133-8)))</x:f>
      </x:c>
      <x:c r="I133" t="str">
        <x:f>IF(125&gt;$H$4,"",MATCH(125,'Fleet dates'!$L$9:$L$1008,0)+8)</x:f>
      </x:c>
    </x:row>
    <x:row r="134" ht="36" customHeight="1">
      <x:c r="A134" s="50" t="str">
        <x:f>IF(126&gt;$H$4,"",IF(INDEX('Fleet dates'!$A$9:$A$1008,$I134-8)="","",INDEX('Fleet dates'!$A$9:$A$1008,$I134-8)))</x:f>
      </x:c>
      <x:c r="B134" s="50" t="str">
        <x:f>IF(126&gt;$H$4,"",IF(INDEX('Fleet dates'!$B$9:$B$1008,$I134-8)="","",INDEX('Fleet dates'!$B$9:$B$1008,$I134-8)))</x:f>
      </x:c>
      <x:c r="C134" s="51" t="str">
        <x:f>IF(126&gt;$H$4,"",IF(INDEX('Fleet dates'!$C$9:$C$1008,$I134-8)="","",INDEX('Fleet dates'!$C$9:$C$1008,$I134-8)))</x:f>
      </x:c>
      <x:c r="D134" s="51" t="str">
        <x:f>IF(126&gt;$H$4,"",IF(INDEX('Fleet dates'!$D$9:$D$1008,$I134-8)="","",INDEX('Fleet dates'!$D$9:$D$1008,$I134-8)))</x:f>
      </x:c>
      <x:c r="E134" s="51" t="str">
        <x:f>IF(126&gt;$H$4,"",IF(INDEX('Fleet dates'!$E$9:$E$1008,$I134-8)="","",INDEX('Fleet dates'!$E$9:$E$1008,$I134-8)))</x:f>
      </x:c>
      <x:c r="F134" s="51" t="str">
        <x:f>IF(126&gt;$H$4,"",IF(INDEX('Fleet dates'!$F$9:$F$1008,$I134-8)="","",INDEX('Fleet dates'!$F$9:$F$1008,$I134-8)))</x:f>
      </x:c>
      <x:c r="G134" s="50" t="str">
        <x:f>IF(126&gt;$H$4,"",IF(INDEX('Fleet dates'!$G$9:$G$1008,$I134-8)="","",INDEX('Fleet dates'!$G$9:$G$1008,$I134-8)))</x:f>
      </x:c>
      <x:c r="H134" s="50" t="str">
        <x:f>IF(126&gt;$H$4,"",IF(INDEX('Fleet dates'!$I$9:$I$1008,$I134-8)="","",INDEX('Fleet dates'!$I$9:$I$1008,$I134-8)))</x:f>
      </x:c>
      <x:c r="I134" t="str">
        <x:f>IF(126&gt;$H$4,"",MATCH(126,'Fleet dates'!$L$9:$L$1008,0)+8)</x:f>
      </x:c>
    </x:row>
    <x:row r="135" ht="36" customHeight="1">
      <x:c r="A135" s="50" t="str">
        <x:f>IF(127&gt;$H$4,"",IF(INDEX('Fleet dates'!$A$9:$A$1008,$I135-8)="","",INDEX('Fleet dates'!$A$9:$A$1008,$I135-8)))</x:f>
      </x:c>
      <x:c r="B135" s="50" t="str">
        <x:f>IF(127&gt;$H$4,"",IF(INDEX('Fleet dates'!$B$9:$B$1008,$I135-8)="","",INDEX('Fleet dates'!$B$9:$B$1008,$I135-8)))</x:f>
      </x:c>
      <x:c r="C135" s="51" t="str">
        <x:f>IF(127&gt;$H$4,"",IF(INDEX('Fleet dates'!$C$9:$C$1008,$I135-8)="","",INDEX('Fleet dates'!$C$9:$C$1008,$I135-8)))</x:f>
      </x:c>
      <x:c r="D135" s="51" t="str">
        <x:f>IF(127&gt;$H$4,"",IF(INDEX('Fleet dates'!$D$9:$D$1008,$I135-8)="","",INDEX('Fleet dates'!$D$9:$D$1008,$I135-8)))</x:f>
      </x:c>
      <x:c r="E135" s="51" t="str">
        <x:f>IF(127&gt;$H$4,"",IF(INDEX('Fleet dates'!$E$9:$E$1008,$I135-8)="","",INDEX('Fleet dates'!$E$9:$E$1008,$I135-8)))</x:f>
      </x:c>
      <x:c r="F135" s="51" t="str">
        <x:f>IF(127&gt;$H$4,"",IF(INDEX('Fleet dates'!$F$9:$F$1008,$I135-8)="","",INDEX('Fleet dates'!$F$9:$F$1008,$I135-8)))</x:f>
      </x:c>
      <x:c r="G135" s="50" t="str">
        <x:f>IF(127&gt;$H$4,"",IF(INDEX('Fleet dates'!$G$9:$G$1008,$I135-8)="","",INDEX('Fleet dates'!$G$9:$G$1008,$I135-8)))</x:f>
      </x:c>
      <x:c r="H135" s="50" t="str">
        <x:f>IF(127&gt;$H$4,"",IF(INDEX('Fleet dates'!$I$9:$I$1008,$I135-8)="","",INDEX('Fleet dates'!$I$9:$I$1008,$I135-8)))</x:f>
      </x:c>
      <x:c r="I135" t="str">
        <x:f>IF(127&gt;$H$4,"",MATCH(127,'Fleet dates'!$L$9:$L$1008,0)+8)</x:f>
      </x:c>
    </x:row>
    <x:row r="136" ht="36" customHeight="1">
      <x:c r="A136" s="50" t="str">
        <x:f>IF(128&gt;$H$4,"",IF(INDEX('Fleet dates'!$A$9:$A$1008,$I136-8)="","",INDEX('Fleet dates'!$A$9:$A$1008,$I136-8)))</x:f>
      </x:c>
      <x:c r="B136" s="50" t="str">
        <x:f>IF(128&gt;$H$4,"",IF(INDEX('Fleet dates'!$B$9:$B$1008,$I136-8)="","",INDEX('Fleet dates'!$B$9:$B$1008,$I136-8)))</x:f>
      </x:c>
      <x:c r="C136" s="51" t="str">
        <x:f>IF(128&gt;$H$4,"",IF(INDEX('Fleet dates'!$C$9:$C$1008,$I136-8)="","",INDEX('Fleet dates'!$C$9:$C$1008,$I136-8)))</x:f>
      </x:c>
      <x:c r="D136" s="51" t="str">
        <x:f>IF(128&gt;$H$4,"",IF(INDEX('Fleet dates'!$D$9:$D$1008,$I136-8)="","",INDEX('Fleet dates'!$D$9:$D$1008,$I136-8)))</x:f>
      </x:c>
      <x:c r="E136" s="51" t="str">
        <x:f>IF(128&gt;$H$4,"",IF(INDEX('Fleet dates'!$E$9:$E$1008,$I136-8)="","",INDEX('Fleet dates'!$E$9:$E$1008,$I136-8)))</x:f>
      </x:c>
      <x:c r="F136" s="51" t="str">
        <x:f>IF(128&gt;$H$4,"",IF(INDEX('Fleet dates'!$F$9:$F$1008,$I136-8)="","",INDEX('Fleet dates'!$F$9:$F$1008,$I136-8)))</x:f>
      </x:c>
      <x:c r="G136" s="50" t="str">
        <x:f>IF(128&gt;$H$4,"",IF(INDEX('Fleet dates'!$G$9:$G$1008,$I136-8)="","",INDEX('Fleet dates'!$G$9:$G$1008,$I136-8)))</x:f>
      </x:c>
      <x:c r="H136" s="50" t="str">
        <x:f>IF(128&gt;$H$4,"",IF(INDEX('Fleet dates'!$I$9:$I$1008,$I136-8)="","",INDEX('Fleet dates'!$I$9:$I$1008,$I136-8)))</x:f>
      </x:c>
      <x:c r="I136" t="str">
        <x:f>IF(128&gt;$H$4,"",MATCH(128,'Fleet dates'!$L$9:$L$1008,0)+8)</x:f>
      </x:c>
    </x:row>
    <x:row r="137" ht="36" customHeight="1">
      <x:c r="A137" s="50" t="str">
        <x:f>IF(129&gt;$H$4,"",IF(INDEX('Fleet dates'!$A$9:$A$1008,$I137-8)="","",INDEX('Fleet dates'!$A$9:$A$1008,$I137-8)))</x:f>
      </x:c>
      <x:c r="B137" s="50" t="str">
        <x:f>IF(129&gt;$H$4,"",IF(INDEX('Fleet dates'!$B$9:$B$1008,$I137-8)="","",INDEX('Fleet dates'!$B$9:$B$1008,$I137-8)))</x:f>
      </x:c>
      <x:c r="C137" s="51" t="str">
        <x:f>IF(129&gt;$H$4,"",IF(INDEX('Fleet dates'!$C$9:$C$1008,$I137-8)="","",INDEX('Fleet dates'!$C$9:$C$1008,$I137-8)))</x:f>
      </x:c>
      <x:c r="D137" s="51" t="str">
        <x:f>IF(129&gt;$H$4,"",IF(INDEX('Fleet dates'!$D$9:$D$1008,$I137-8)="","",INDEX('Fleet dates'!$D$9:$D$1008,$I137-8)))</x:f>
      </x:c>
      <x:c r="E137" s="51" t="str">
        <x:f>IF(129&gt;$H$4,"",IF(INDEX('Fleet dates'!$E$9:$E$1008,$I137-8)="","",INDEX('Fleet dates'!$E$9:$E$1008,$I137-8)))</x:f>
      </x:c>
      <x:c r="F137" s="51" t="str">
        <x:f>IF(129&gt;$H$4,"",IF(INDEX('Fleet dates'!$F$9:$F$1008,$I137-8)="","",INDEX('Fleet dates'!$F$9:$F$1008,$I137-8)))</x:f>
      </x:c>
      <x:c r="G137" s="50" t="str">
        <x:f>IF(129&gt;$H$4,"",IF(INDEX('Fleet dates'!$G$9:$G$1008,$I137-8)="","",INDEX('Fleet dates'!$G$9:$G$1008,$I137-8)))</x:f>
      </x:c>
      <x:c r="H137" s="50" t="str">
        <x:f>IF(129&gt;$H$4,"",IF(INDEX('Fleet dates'!$I$9:$I$1008,$I137-8)="","",INDEX('Fleet dates'!$I$9:$I$1008,$I137-8)))</x:f>
      </x:c>
      <x:c r="I137" t="str">
        <x:f>IF(129&gt;$H$4,"",MATCH(129,'Fleet dates'!$L$9:$L$1008,0)+8)</x:f>
      </x:c>
    </x:row>
    <x:row r="138" ht="36" customHeight="1">
      <x:c r="A138" s="50" t="str">
        <x:f>IF(130&gt;$H$4,"",IF(INDEX('Fleet dates'!$A$9:$A$1008,$I138-8)="","",INDEX('Fleet dates'!$A$9:$A$1008,$I138-8)))</x:f>
      </x:c>
      <x:c r="B138" s="50" t="str">
        <x:f>IF(130&gt;$H$4,"",IF(INDEX('Fleet dates'!$B$9:$B$1008,$I138-8)="","",INDEX('Fleet dates'!$B$9:$B$1008,$I138-8)))</x:f>
      </x:c>
      <x:c r="C138" s="51" t="str">
        <x:f>IF(130&gt;$H$4,"",IF(INDEX('Fleet dates'!$C$9:$C$1008,$I138-8)="","",INDEX('Fleet dates'!$C$9:$C$1008,$I138-8)))</x:f>
      </x:c>
      <x:c r="D138" s="51" t="str">
        <x:f>IF(130&gt;$H$4,"",IF(INDEX('Fleet dates'!$D$9:$D$1008,$I138-8)="","",INDEX('Fleet dates'!$D$9:$D$1008,$I138-8)))</x:f>
      </x:c>
      <x:c r="E138" s="51" t="str">
        <x:f>IF(130&gt;$H$4,"",IF(INDEX('Fleet dates'!$E$9:$E$1008,$I138-8)="","",INDEX('Fleet dates'!$E$9:$E$1008,$I138-8)))</x:f>
      </x:c>
      <x:c r="F138" s="51" t="str">
        <x:f>IF(130&gt;$H$4,"",IF(INDEX('Fleet dates'!$F$9:$F$1008,$I138-8)="","",INDEX('Fleet dates'!$F$9:$F$1008,$I138-8)))</x:f>
      </x:c>
      <x:c r="G138" s="50" t="str">
        <x:f>IF(130&gt;$H$4,"",IF(INDEX('Fleet dates'!$G$9:$G$1008,$I138-8)="","",INDEX('Fleet dates'!$G$9:$G$1008,$I138-8)))</x:f>
      </x:c>
      <x:c r="H138" s="50" t="str">
        <x:f>IF(130&gt;$H$4,"",IF(INDEX('Fleet dates'!$I$9:$I$1008,$I138-8)="","",INDEX('Fleet dates'!$I$9:$I$1008,$I138-8)))</x:f>
      </x:c>
      <x:c r="I138" t="str">
        <x:f>IF(130&gt;$H$4,"",MATCH(130,'Fleet dates'!$L$9:$L$1008,0)+8)</x:f>
      </x:c>
    </x:row>
    <x:row r="139" ht="36" customHeight="1">
      <x:c r="A139" s="50" t="str">
        <x:f>IF(131&gt;$H$4,"",IF(INDEX('Fleet dates'!$A$9:$A$1008,$I139-8)="","",INDEX('Fleet dates'!$A$9:$A$1008,$I139-8)))</x:f>
      </x:c>
      <x:c r="B139" s="50" t="str">
        <x:f>IF(131&gt;$H$4,"",IF(INDEX('Fleet dates'!$B$9:$B$1008,$I139-8)="","",INDEX('Fleet dates'!$B$9:$B$1008,$I139-8)))</x:f>
      </x:c>
      <x:c r="C139" s="51" t="str">
        <x:f>IF(131&gt;$H$4,"",IF(INDEX('Fleet dates'!$C$9:$C$1008,$I139-8)="","",INDEX('Fleet dates'!$C$9:$C$1008,$I139-8)))</x:f>
      </x:c>
      <x:c r="D139" s="51" t="str">
        <x:f>IF(131&gt;$H$4,"",IF(INDEX('Fleet dates'!$D$9:$D$1008,$I139-8)="","",INDEX('Fleet dates'!$D$9:$D$1008,$I139-8)))</x:f>
      </x:c>
      <x:c r="E139" s="51" t="str">
        <x:f>IF(131&gt;$H$4,"",IF(INDEX('Fleet dates'!$E$9:$E$1008,$I139-8)="","",INDEX('Fleet dates'!$E$9:$E$1008,$I139-8)))</x:f>
      </x:c>
      <x:c r="F139" s="51" t="str">
        <x:f>IF(131&gt;$H$4,"",IF(INDEX('Fleet dates'!$F$9:$F$1008,$I139-8)="","",INDEX('Fleet dates'!$F$9:$F$1008,$I139-8)))</x:f>
      </x:c>
      <x:c r="G139" s="50" t="str">
        <x:f>IF(131&gt;$H$4,"",IF(INDEX('Fleet dates'!$G$9:$G$1008,$I139-8)="","",INDEX('Fleet dates'!$G$9:$G$1008,$I139-8)))</x:f>
      </x:c>
      <x:c r="H139" s="50" t="str">
        <x:f>IF(131&gt;$H$4,"",IF(INDEX('Fleet dates'!$I$9:$I$1008,$I139-8)="","",INDEX('Fleet dates'!$I$9:$I$1008,$I139-8)))</x:f>
      </x:c>
      <x:c r="I139" t="str">
        <x:f>IF(131&gt;$H$4,"",MATCH(131,'Fleet dates'!$L$9:$L$1008,0)+8)</x:f>
      </x:c>
    </x:row>
    <x:row r="140" ht="36" customHeight="1">
      <x:c r="A140" s="50" t="str">
        <x:f>IF(132&gt;$H$4,"",IF(INDEX('Fleet dates'!$A$9:$A$1008,$I140-8)="","",INDEX('Fleet dates'!$A$9:$A$1008,$I140-8)))</x:f>
      </x:c>
      <x:c r="B140" s="50" t="str">
        <x:f>IF(132&gt;$H$4,"",IF(INDEX('Fleet dates'!$B$9:$B$1008,$I140-8)="","",INDEX('Fleet dates'!$B$9:$B$1008,$I140-8)))</x:f>
      </x:c>
      <x:c r="C140" s="51" t="str">
        <x:f>IF(132&gt;$H$4,"",IF(INDEX('Fleet dates'!$C$9:$C$1008,$I140-8)="","",INDEX('Fleet dates'!$C$9:$C$1008,$I140-8)))</x:f>
      </x:c>
      <x:c r="D140" s="51" t="str">
        <x:f>IF(132&gt;$H$4,"",IF(INDEX('Fleet dates'!$D$9:$D$1008,$I140-8)="","",INDEX('Fleet dates'!$D$9:$D$1008,$I140-8)))</x:f>
      </x:c>
      <x:c r="E140" s="51" t="str">
        <x:f>IF(132&gt;$H$4,"",IF(INDEX('Fleet dates'!$E$9:$E$1008,$I140-8)="","",INDEX('Fleet dates'!$E$9:$E$1008,$I140-8)))</x:f>
      </x:c>
      <x:c r="F140" s="51" t="str">
        <x:f>IF(132&gt;$H$4,"",IF(INDEX('Fleet dates'!$F$9:$F$1008,$I140-8)="","",INDEX('Fleet dates'!$F$9:$F$1008,$I140-8)))</x:f>
      </x:c>
      <x:c r="G140" s="50" t="str">
        <x:f>IF(132&gt;$H$4,"",IF(INDEX('Fleet dates'!$G$9:$G$1008,$I140-8)="","",INDEX('Fleet dates'!$G$9:$G$1008,$I140-8)))</x:f>
      </x:c>
      <x:c r="H140" s="50" t="str">
        <x:f>IF(132&gt;$H$4,"",IF(INDEX('Fleet dates'!$I$9:$I$1008,$I140-8)="","",INDEX('Fleet dates'!$I$9:$I$1008,$I140-8)))</x:f>
      </x:c>
      <x:c r="I140" t="str">
        <x:f>IF(132&gt;$H$4,"",MATCH(132,'Fleet dates'!$L$9:$L$1008,0)+8)</x:f>
      </x:c>
    </x:row>
    <x:row r="141" ht="36" customHeight="1">
      <x:c r="A141" s="50" t="str">
        <x:f>IF(133&gt;$H$4,"",IF(INDEX('Fleet dates'!$A$9:$A$1008,$I141-8)="","",INDEX('Fleet dates'!$A$9:$A$1008,$I141-8)))</x:f>
      </x:c>
      <x:c r="B141" s="50" t="str">
        <x:f>IF(133&gt;$H$4,"",IF(INDEX('Fleet dates'!$B$9:$B$1008,$I141-8)="","",INDEX('Fleet dates'!$B$9:$B$1008,$I141-8)))</x:f>
      </x:c>
      <x:c r="C141" s="51" t="str">
        <x:f>IF(133&gt;$H$4,"",IF(INDEX('Fleet dates'!$C$9:$C$1008,$I141-8)="","",INDEX('Fleet dates'!$C$9:$C$1008,$I141-8)))</x:f>
      </x:c>
      <x:c r="D141" s="51" t="str">
        <x:f>IF(133&gt;$H$4,"",IF(INDEX('Fleet dates'!$D$9:$D$1008,$I141-8)="","",INDEX('Fleet dates'!$D$9:$D$1008,$I141-8)))</x:f>
      </x:c>
      <x:c r="E141" s="51" t="str">
        <x:f>IF(133&gt;$H$4,"",IF(INDEX('Fleet dates'!$E$9:$E$1008,$I141-8)="","",INDEX('Fleet dates'!$E$9:$E$1008,$I141-8)))</x:f>
      </x:c>
      <x:c r="F141" s="51" t="str">
        <x:f>IF(133&gt;$H$4,"",IF(INDEX('Fleet dates'!$F$9:$F$1008,$I141-8)="","",INDEX('Fleet dates'!$F$9:$F$1008,$I141-8)))</x:f>
      </x:c>
      <x:c r="G141" s="50" t="str">
        <x:f>IF(133&gt;$H$4,"",IF(INDEX('Fleet dates'!$G$9:$G$1008,$I141-8)="","",INDEX('Fleet dates'!$G$9:$G$1008,$I141-8)))</x:f>
      </x:c>
      <x:c r="H141" s="50" t="str">
        <x:f>IF(133&gt;$H$4,"",IF(INDEX('Fleet dates'!$I$9:$I$1008,$I141-8)="","",INDEX('Fleet dates'!$I$9:$I$1008,$I141-8)))</x:f>
      </x:c>
      <x:c r="I141" t="str">
        <x:f>IF(133&gt;$H$4,"",MATCH(133,'Fleet dates'!$L$9:$L$1008,0)+8)</x:f>
      </x:c>
    </x:row>
    <x:row r="142" ht="36" customHeight="1">
      <x:c r="A142" s="50" t="str">
        <x:f>IF(134&gt;$H$4,"",IF(INDEX('Fleet dates'!$A$9:$A$1008,$I142-8)="","",INDEX('Fleet dates'!$A$9:$A$1008,$I142-8)))</x:f>
      </x:c>
      <x:c r="B142" s="50" t="str">
        <x:f>IF(134&gt;$H$4,"",IF(INDEX('Fleet dates'!$B$9:$B$1008,$I142-8)="","",INDEX('Fleet dates'!$B$9:$B$1008,$I142-8)))</x:f>
      </x:c>
      <x:c r="C142" s="51" t="str">
        <x:f>IF(134&gt;$H$4,"",IF(INDEX('Fleet dates'!$C$9:$C$1008,$I142-8)="","",INDEX('Fleet dates'!$C$9:$C$1008,$I142-8)))</x:f>
      </x:c>
      <x:c r="D142" s="51" t="str">
        <x:f>IF(134&gt;$H$4,"",IF(INDEX('Fleet dates'!$D$9:$D$1008,$I142-8)="","",INDEX('Fleet dates'!$D$9:$D$1008,$I142-8)))</x:f>
      </x:c>
      <x:c r="E142" s="51" t="str">
        <x:f>IF(134&gt;$H$4,"",IF(INDEX('Fleet dates'!$E$9:$E$1008,$I142-8)="","",INDEX('Fleet dates'!$E$9:$E$1008,$I142-8)))</x:f>
      </x:c>
      <x:c r="F142" s="51" t="str">
        <x:f>IF(134&gt;$H$4,"",IF(INDEX('Fleet dates'!$F$9:$F$1008,$I142-8)="","",INDEX('Fleet dates'!$F$9:$F$1008,$I142-8)))</x:f>
      </x:c>
      <x:c r="G142" s="50" t="str">
        <x:f>IF(134&gt;$H$4,"",IF(INDEX('Fleet dates'!$G$9:$G$1008,$I142-8)="","",INDEX('Fleet dates'!$G$9:$G$1008,$I142-8)))</x:f>
      </x:c>
      <x:c r="H142" s="50" t="str">
        <x:f>IF(134&gt;$H$4,"",IF(INDEX('Fleet dates'!$I$9:$I$1008,$I142-8)="","",INDEX('Fleet dates'!$I$9:$I$1008,$I142-8)))</x:f>
      </x:c>
      <x:c r="I142" t="str">
        <x:f>IF(134&gt;$H$4,"",MATCH(134,'Fleet dates'!$L$9:$L$1008,0)+8)</x:f>
      </x:c>
    </x:row>
    <x:row r="143" ht="36" customHeight="1">
      <x:c r="A143" s="50" t="str">
        <x:f>IF(135&gt;$H$4,"",IF(INDEX('Fleet dates'!$A$9:$A$1008,$I143-8)="","",INDEX('Fleet dates'!$A$9:$A$1008,$I143-8)))</x:f>
      </x:c>
      <x:c r="B143" s="50" t="str">
        <x:f>IF(135&gt;$H$4,"",IF(INDEX('Fleet dates'!$B$9:$B$1008,$I143-8)="","",INDEX('Fleet dates'!$B$9:$B$1008,$I143-8)))</x:f>
      </x:c>
      <x:c r="C143" s="51" t="str">
        <x:f>IF(135&gt;$H$4,"",IF(INDEX('Fleet dates'!$C$9:$C$1008,$I143-8)="","",INDEX('Fleet dates'!$C$9:$C$1008,$I143-8)))</x:f>
      </x:c>
      <x:c r="D143" s="51" t="str">
        <x:f>IF(135&gt;$H$4,"",IF(INDEX('Fleet dates'!$D$9:$D$1008,$I143-8)="","",INDEX('Fleet dates'!$D$9:$D$1008,$I143-8)))</x:f>
      </x:c>
      <x:c r="E143" s="51" t="str">
        <x:f>IF(135&gt;$H$4,"",IF(INDEX('Fleet dates'!$E$9:$E$1008,$I143-8)="","",INDEX('Fleet dates'!$E$9:$E$1008,$I143-8)))</x:f>
      </x:c>
      <x:c r="F143" s="51" t="str">
        <x:f>IF(135&gt;$H$4,"",IF(INDEX('Fleet dates'!$F$9:$F$1008,$I143-8)="","",INDEX('Fleet dates'!$F$9:$F$1008,$I143-8)))</x:f>
      </x:c>
      <x:c r="G143" s="50" t="str">
        <x:f>IF(135&gt;$H$4,"",IF(INDEX('Fleet dates'!$G$9:$G$1008,$I143-8)="","",INDEX('Fleet dates'!$G$9:$G$1008,$I143-8)))</x:f>
      </x:c>
      <x:c r="H143" s="50" t="str">
        <x:f>IF(135&gt;$H$4,"",IF(INDEX('Fleet dates'!$I$9:$I$1008,$I143-8)="","",INDEX('Fleet dates'!$I$9:$I$1008,$I143-8)))</x:f>
      </x:c>
      <x:c r="I143" t="str">
        <x:f>IF(135&gt;$H$4,"",MATCH(135,'Fleet dates'!$L$9:$L$1008,0)+8)</x:f>
      </x:c>
    </x:row>
    <x:row r="144" ht="36" customHeight="1">
      <x:c r="A144" s="50" t="str">
        <x:f>IF(136&gt;$H$4,"",IF(INDEX('Fleet dates'!$A$9:$A$1008,$I144-8)="","",INDEX('Fleet dates'!$A$9:$A$1008,$I144-8)))</x:f>
      </x:c>
      <x:c r="B144" s="50" t="str">
        <x:f>IF(136&gt;$H$4,"",IF(INDEX('Fleet dates'!$B$9:$B$1008,$I144-8)="","",INDEX('Fleet dates'!$B$9:$B$1008,$I144-8)))</x:f>
      </x:c>
      <x:c r="C144" s="51" t="str">
        <x:f>IF(136&gt;$H$4,"",IF(INDEX('Fleet dates'!$C$9:$C$1008,$I144-8)="","",INDEX('Fleet dates'!$C$9:$C$1008,$I144-8)))</x:f>
      </x:c>
      <x:c r="D144" s="51" t="str">
        <x:f>IF(136&gt;$H$4,"",IF(INDEX('Fleet dates'!$D$9:$D$1008,$I144-8)="","",INDEX('Fleet dates'!$D$9:$D$1008,$I144-8)))</x:f>
      </x:c>
      <x:c r="E144" s="51" t="str">
        <x:f>IF(136&gt;$H$4,"",IF(INDEX('Fleet dates'!$E$9:$E$1008,$I144-8)="","",INDEX('Fleet dates'!$E$9:$E$1008,$I144-8)))</x:f>
      </x:c>
      <x:c r="F144" s="51" t="str">
        <x:f>IF(136&gt;$H$4,"",IF(INDEX('Fleet dates'!$F$9:$F$1008,$I144-8)="","",INDEX('Fleet dates'!$F$9:$F$1008,$I144-8)))</x:f>
      </x:c>
      <x:c r="G144" s="50" t="str">
        <x:f>IF(136&gt;$H$4,"",IF(INDEX('Fleet dates'!$G$9:$G$1008,$I144-8)="","",INDEX('Fleet dates'!$G$9:$G$1008,$I144-8)))</x:f>
      </x:c>
      <x:c r="H144" s="50" t="str">
        <x:f>IF(136&gt;$H$4,"",IF(INDEX('Fleet dates'!$I$9:$I$1008,$I144-8)="","",INDEX('Fleet dates'!$I$9:$I$1008,$I144-8)))</x:f>
      </x:c>
      <x:c r="I144" t="str">
        <x:f>IF(136&gt;$H$4,"",MATCH(136,'Fleet dates'!$L$9:$L$1008,0)+8)</x:f>
      </x:c>
    </x:row>
    <x:row r="145" ht="36" customHeight="1">
      <x:c r="A145" s="50" t="str">
        <x:f>IF(137&gt;$H$4,"",IF(INDEX('Fleet dates'!$A$9:$A$1008,$I145-8)="","",INDEX('Fleet dates'!$A$9:$A$1008,$I145-8)))</x:f>
      </x:c>
      <x:c r="B145" s="50" t="str">
        <x:f>IF(137&gt;$H$4,"",IF(INDEX('Fleet dates'!$B$9:$B$1008,$I145-8)="","",INDEX('Fleet dates'!$B$9:$B$1008,$I145-8)))</x:f>
      </x:c>
      <x:c r="C145" s="51" t="str">
        <x:f>IF(137&gt;$H$4,"",IF(INDEX('Fleet dates'!$C$9:$C$1008,$I145-8)="","",INDEX('Fleet dates'!$C$9:$C$1008,$I145-8)))</x:f>
      </x:c>
      <x:c r="D145" s="51" t="str">
        <x:f>IF(137&gt;$H$4,"",IF(INDEX('Fleet dates'!$D$9:$D$1008,$I145-8)="","",INDEX('Fleet dates'!$D$9:$D$1008,$I145-8)))</x:f>
      </x:c>
      <x:c r="E145" s="51" t="str">
        <x:f>IF(137&gt;$H$4,"",IF(INDEX('Fleet dates'!$E$9:$E$1008,$I145-8)="","",INDEX('Fleet dates'!$E$9:$E$1008,$I145-8)))</x:f>
      </x:c>
      <x:c r="F145" s="51" t="str">
        <x:f>IF(137&gt;$H$4,"",IF(INDEX('Fleet dates'!$F$9:$F$1008,$I145-8)="","",INDEX('Fleet dates'!$F$9:$F$1008,$I145-8)))</x:f>
      </x:c>
      <x:c r="G145" s="50" t="str">
        <x:f>IF(137&gt;$H$4,"",IF(INDEX('Fleet dates'!$G$9:$G$1008,$I145-8)="","",INDEX('Fleet dates'!$G$9:$G$1008,$I145-8)))</x:f>
      </x:c>
      <x:c r="H145" s="50" t="str">
        <x:f>IF(137&gt;$H$4,"",IF(INDEX('Fleet dates'!$I$9:$I$1008,$I145-8)="","",INDEX('Fleet dates'!$I$9:$I$1008,$I145-8)))</x:f>
      </x:c>
      <x:c r="I145" t="str">
        <x:f>IF(137&gt;$H$4,"",MATCH(137,'Fleet dates'!$L$9:$L$1008,0)+8)</x:f>
      </x:c>
    </x:row>
    <x:row r="146" ht="36" customHeight="1">
      <x:c r="A146" s="50" t="str">
        <x:f>IF(138&gt;$H$4,"",IF(INDEX('Fleet dates'!$A$9:$A$1008,$I146-8)="","",INDEX('Fleet dates'!$A$9:$A$1008,$I146-8)))</x:f>
      </x:c>
      <x:c r="B146" s="50" t="str">
        <x:f>IF(138&gt;$H$4,"",IF(INDEX('Fleet dates'!$B$9:$B$1008,$I146-8)="","",INDEX('Fleet dates'!$B$9:$B$1008,$I146-8)))</x:f>
      </x:c>
      <x:c r="C146" s="51" t="str">
        <x:f>IF(138&gt;$H$4,"",IF(INDEX('Fleet dates'!$C$9:$C$1008,$I146-8)="","",INDEX('Fleet dates'!$C$9:$C$1008,$I146-8)))</x:f>
      </x:c>
      <x:c r="D146" s="51" t="str">
        <x:f>IF(138&gt;$H$4,"",IF(INDEX('Fleet dates'!$D$9:$D$1008,$I146-8)="","",INDEX('Fleet dates'!$D$9:$D$1008,$I146-8)))</x:f>
      </x:c>
      <x:c r="E146" s="51" t="str">
        <x:f>IF(138&gt;$H$4,"",IF(INDEX('Fleet dates'!$E$9:$E$1008,$I146-8)="","",INDEX('Fleet dates'!$E$9:$E$1008,$I146-8)))</x:f>
      </x:c>
      <x:c r="F146" s="51" t="str">
        <x:f>IF(138&gt;$H$4,"",IF(INDEX('Fleet dates'!$F$9:$F$1008,$I146-8)="","",INDEX('Fleet dates'!$F$9:$F$1008,$I146-8)))</x:f>
      </x:c>
      <x:c r="G146" s="50" t="str">
        <x:f>IF(138&gt;$H$4,"",IF(INDEX('Fleet dates'!$G$9:$G$1008,$I146-8)="","",INDEX('Fleet dates'!$G$9:$G$1008,$I146-8)))</x:f>
      </x:c>
      <x:c r="H146" s="50" t="str">
        <x:f>IF(138&gt;$H$4,"",IF(INDEX('Fleet dates'!$I$9:$I$1008,$I146-8)="","",INDEX('Fleet dates'!$I$9:$I$1008,$I146-8)))</x:f>
      </x:c>
      <x:c r="I146" t="str">
        <x:f>IF(138&gt;$H$4,"",MATCH(138,'Fleet dates'!$L$9:$L$1008,0)+8)</x:f>
      </x:c>
    </x:row>
    <x:row r="147" ht="36" customHeight="1">
      <x:c r="A147" s="50" t="str">
        <x:f>IF(139&gt;$H$4,"",IF(INDEX('Fleet dates'!$A$9:$A$1008,$I147-8)="","",INDEX('Fleet dates'!$A$9:$A$1008,$I147-8)))</x:f>
      </x:c>
      <x:c r="B147" s="50" t="str">
        <x:f>IF(139&gt;$H$4,"",IF(INDEX('Fleet dates'!$B$9:$B$1008,$I147-8)="","",INDEX('Fleet dates'!$B$9:$B$1008,$I147-8)))</x:f>
      </x:c>
      <x:c r="C147" s="51" t="str">
        <x:f>IF(139&gt;$H$4,"",IF(INDEX('Fleet dates'!$C$9:$C$1008,$I147-8)="","",INDEX('Fleet dates'!$C$9:$C$1008,$I147-8)))</x:f>
      </x:c>
      <x:c r="D147" s="51" t="str">
        <x:f>IF(139&gt;$H$4,"",IF(INDEX('Fleet dates'!$D$9:$D$1008,$I147-8)="","",INDEX('Fleet dates'!$D$9:$D$1008,$I147-8)))</x:f>
      </x:c>
      <x:c r="E147" s="51" t="str">
        <x:f>IF(139&gt;$H$4,"",IF(INDEX('Fleet dates'!$E$9:$E$1008,$I147-8)="","",INDEX('Fleet dates'!$E$9:$E$1008,$I147-8)))</x:f>
      </x:c>
      <x:c r="F147" s="51" t="str">
        <x:f>IF(139&gt;$H$4,"",IF(INDEX('Fleet dates'!$F$9:$F$1008,$I147-8)="","",INDEX('Fleet dates'!$F$9:$F$1008,$I147-8)))</x:f>
      </x:c>
      <x:c r="G147" s="50" t="str">
        <x:f>IF(139&gt;$H$4,"",IF(INDEX('Fleet dates'!$G$9:$G$1008,$I147-8)="","",INDEX('Fleet dates'!$G$9:$G$1008,$I147-8)))</x:f>
      </x:c>
      <x:c r="H147" s="50" t="str">
        <x:f>IF(139&gt;$H$4,"",IF(INDEX('Fleet dates'!$I$9:$I$1008,$I147-8)="","",INDEX('Fleet dates'!$I$9:$I$1008,$I147-8)))</x:f>
      </x:c>
      <x:c r="I147" t="str">
        <x:f>IF(139&gt;$H$4,"",MATCH(139,'Fleet dates'!$L$9:$L$1008,0)+8)</x:f>
      </x:c>
    </x:row>
    <x:row r="148" ht="36" customHeight="1">
      <x:c r="A148" s="50" t="str">
        <x:f>IF(140&gt;$H$4,"",IF(INDEX('Fleet dates'!$A$9:$A$1008,$I148-8)="","",INDEX('Fleet dates'!$A$9:$A$1008,$I148-8)))</x:f>
      </x:c>
      <x:c r="B148" s="50" t="str">
        <x:f>IF(140&gt;$H$4,"",IF(INDEX('Fleet dates'!$B$9:$B$1008,$I148-8)="","",INDEX('Fleet dates'!$B$9:$B$1008,$I148-8)))</x:f>
      </x:c>
      <x:c r="C148" s="51" t="str">
        <x:f>IF(140&gt;$H$4,"",IF(INDEX('Fleet dates'!$C$9:$C$1008,$I148-8)="","",INDEX('Fleet dates'!$C$9:$C$1008,$I148-8)))</x:f>
      </x:c>
      <x:c r="D148" s="51" t="str">
        <x:f>IF(140&gt;$H$4,"",IF(INDEX('Fleet dates'!$D$9:$D$1008,$I148-8)="","",INDEX('Fleet dates'!$D$9:$D$1008,$I148-8)))</x:f>
      </x:c>
      <x:c r="E148" s="51" t="str">
        <x:f>IF(140&gt;$H$4,"",IF(INDEX('Fleet dates'!$E$9:$E$1008,$I148-8)="","",INDEX('Fleet dates'!$E$9:$E$1008,$I148-8)))</x:f>
      </x:c>
      <x:c r="F148" s="51" t="str">
        <x:f>IF(140&gt;$H$4,"",IF(INDEX('Fleet dates'!$F$9:$F$1008,$I148-8)="","",INDEX('Fleet dates'!$F$9:$F$1008,$I148-8)))</x:f>
      </x:c>
      <x:c r="G148" s="50" t="str">
        <x:f>IF(140&gt;$H$4,"",IF(INDEX('Fleet dates'!$G$9:$G$1008,$I148-8)="","",INDEX('Fleet dates'!$G$9:$G$1008,$I148-8)))</x:f>
      </x:c>
      <x:c r="H148" s="50" t="str">
        <x:f>IF(140&gt;$H$4,"",IF(INDEX('Fleet dates'!$I$9:$I$1008,$I148-8)="","",INDEX('Fleet dates'!$I$9:$I$1008,$I148-8)))</x:f>
      </x:c>
      <x:c r="I148" t="str">
        <x:f>IF(140&gt;$H$4,"",MATCH(140,'Fleet dates'!$L$9:$L$1008,0)+8)</x:f>
      </x:c>
    </x:row>
    <x:row r="149" ht="36" customHeight="1">
      <x:c r="A149" s="50" t="str">
        <x:f>IF(141&gt;$H$4,"",IF(INDEX('Fleet dates'!$A$9:$A$1008,$I149-8)="","",INDEX('Fleet dates'!$A$9:$A$1008,$I149-8)))</x:f>
      </x:c>
      <x:c r="B149" s="50" t="str">
        <x:f>IF(141&gt;$H$4,"",IF(INDEX('Fleet dates'!$B$9:$B$1008,$I149-8)="","",INDEX('Fleet dates'!$B$9:$B$1008,$I149-8)))</x:f>
      </x:c>
      <x:c r="C149" s="51" t="str">
        <x:f>IF(141&gt;$H$4,"",IF(INDEX('Fleet dates'!$C$9:$C$1008,$I149-8)="","",INDEX('Fleet dates'!$C$9:$C$1008,$I149-8)))</x:f>
      </x:c>
      <x:c r="D149" s="51" t="str">
        <x:f>IF(141&gt;$H$4,"",IF(INDEX('Fleet dates'!$D$9:$D$1008,$I149-8)="","",INDEX('Fleet dates'!$D$9:$D$1008,$I149-8)))</x:f>
      </x:c>
      <x:c r="E149" s="51" t="str">
        <x:f>IF(141&gt;$H$4,"",IF(INDEX('Fleet dates'!$E$9:$E$1008,$I149-8)="","",INDEX('Fleet dates'!$E$9:$E$1008,$I149-8)))</x:f>
      </x:c>
      <x:c r="F149" s="51" t="str">
        <x:f>IF(141&gt;$H$4,"",IF(INDEX('Fleet dates'!$F$9:$F$1008,$I149-8)="","",INDEX('Fleet dates'!$F$9:$F$1008,$I149-8)))</x:f>
      </x:c>
      <x:c r="G149" s="50" t="str">
        <x:f>IF(141&gt;$H$4,"",IF(INDEX('Fleet dates'!$G$9:$G$1008,$I149-8)="","",INDEX('Fleet dates'!$G$9:$G$1008,$I149-8)))</x:f>
      </x:c>
      <x:c r="H149" s="50" t="str">
        <x:f>IF(141&gt;$H$4,"",IF(INDEX('Fleet dates'!$I$9:$I$1008,$I149-8)="","",INDEX('Fleet dates'!$I$9:$I$1008,$I149-8)))</x:f>
      </x:c>
      <x:c r="I149" t="str">
        <x:f>IF(141&gt;$H$4,"",MATCH(141,'Fleet dates'!$L$9:$L$1008,0)+8)</x:f>
      </x:c>
    </x:row>
    <x:row r="150" ht="36" customHeight="1">
      <x:c r="A150" s="50" t="str">
        <x:f>IF(142&gt;$H$4,"",IF(INDEX('Fleet dates'!$A$9:$A$1008,$I150-8)="","",INDEX('Fleet dates'!$A$9:$A$1008,$I150-8)))</x:f>
      </x:c>
      <x:c r="B150" s="50" t="str">
        <x:f>IF(142&gt;$H$4,"",IF(INDEX('Fleet dates'!$B$9:$B$1008,$I150-8)="","",INDEX('Fleet dates'!$B$9:$B$1008,$I150-8)))</x:f>
      </x:c>
      <x:c r="C150" s="51" t="str">
        <x:f>IF(142&gt;$H$4,"",IF(INDEX('Fleet dates'!$C$9:$C$1008,$I150-8)="","",INDEX('Fleet dates'!$C$9:$C$1008,$I150-8)))</x:f>
      </x:c>
      <x:c r="D150" s="51" t="str">
        <x:f>IF(142&gt;$H$4,"",IF(INDEX('Fleet dates'!$D$9:$D$1008,$I150-8)="","",INDEX('Fleet dates'!$D$9:$D$1008,$I150-8)))</x:f>
      </x:c>
      <x:c r="E150" s="51" t="str">
        <x:f>IF(142&gt;$H$4,"",IF(INDEX('Fleet dates'!$E$9:$E$1008,$I150-8)="","",INDEX('Fleet dates'!$E$9:$E$1008,$I150-8)))</x:f>
      </x:c>
      <x:c r="F150" s="51" t="str">
        <x:f>IF(142&gt;$H$4,"",IF(INDEX('Fleet dates'!$F$9:$F$1008,$I150-8)="","",INDEX('Fleet dates'!$F$9:$F$1008,$I150-8)))</x:f>
      </x:c>
      <x:c r="G150" s="50" t="str">
        <x:f>IF(142&gt;$H$4,"",IF(INDEX('Fleet dates'!$G$9:$G$1008,$I150-8)="","",INDEX('Fleet dates'!$G$9:$G$1008,$I150-8)))</x:f>
      </x:c>
      <x:c r="H150" s="50" t="str">
        <x:f>IF(142&gt;$H$4,"",IF(INDEX('Fleet dates'!$I$9:$I$1008,$I150-8)="","",INDEX('Fleet dates'!$I$9:$I$1008,$I150-8)))</x:f>
      </x:c>
      <x:c r="I150" t="str">
        <x:f>IF(142&gt;$H$4,"",MATCH(142,'Fleet dates'!$L$9:$L$1008,0)+8)</x:f>
      </x:c>
    </x:row>
    <x:row r="151" ht="36" customHeight="1">
      <x:c r="A151" s="50" t="str">
        <x:f>IF(143&gt;$H$4,"",IF(INDEX('Fleet dates'!$A$9:$A$1008,$I151-8)="","",INDEX('Fleet dates'!$A$9:$A$1008,$I151-8)))</x:f>
      </x:c>
      <x:c r="B151" s="50" t="str">
        <x:f>IF(143&gt;$H$4,"",IF(INDEX('Fleet dates'!$B$9:$B$1008,$I151-8)="","",INDEX('Fleet dates'!$B$9:$B$1008,$I151-8)))</x:f>
      </x:c>
      <x:c r="C151" s="51" t="str">
        <x:f>IF(143&gt;$H$4,"",IF(INDEX('Fleet dates'!$C$9:$C$1008,$I151-8)="","",INDEX('Fleet dates'!$C$9:$C$1008,$I151-8)))</x:f>
      </x:c>
      <x:c r="D151" s="51" t="str">
        <x:f>IF(143&gt;$H$4,"",IF(INDEX('Fleet dates'!$D$9:$D$1008,$I151-8)="","",INDEX('Fleet dates'!$D$9:$D$1008,$I151-8)))</x:f>
      </x:c>
      <x:c r="E151" s="51" t="str">
        <x:f>IF(143&gt;$H$4,"",IF(INDEX('Fleet dates'!$E$9:$E$1008,$I151-8)="","",INDEX('Fleet dates'!$E$9:$E$1008,$I151-8)))</x:f>
      </x:c>
      <x:c r="F151" s="51" t="str">
        <x:f>IF(143&gt;$H$4,"",IF(INDEX('Fleet dates'!$F$9:$F$1008,$I151-8)="","",INDEX('Fleet dates'!$F$9:$F$1008,$I151-8)))</x:f>
      </x:c>
      <x:c r="G151" s="50" t="str">
        <x:f>IF(143&gt;$H$4,"",IF(INDEX('Fleet dates'!$G$9:$G$1008,$I151-8)="","",INDEX('Fleet dates'!$G$9:$G$1008,$I151-8)))</x:f>
      </x:c>
      <x:c r="H151" s="50" t="str">
        <x:f>IF(143&gt;$H$4,"",IF(INDEX('Fleet dates'!$I$9:$I$1008,$I151-8)="","",INDEX('Fleet dates'!$I$9:$I$1008,$I151-8)))</x:f>
      </x:c>
      <x:c r="I151" t="str">
        <x:f>IF(143&gt;$H$4,"",MATCH(143,'Fleet dates'!$L$9:$L$1008,0)+8)</x:f>
      </x:c>
    </x:row>
    <x:row r="152" ht="36" customHeight="1">
      <x:c r="A152" s="50" t="str">
        <x:f>IF(144&gt;$H$4,"",IF(INDEX('Fleet dates'!$A$9:$A$1008,$I152-8)="","",INDEX('Fleet dates'!$A$9:$A$1008,$I152-8)))</x:f>
      </x:c>
      <x:c r="B152" s="50" t="str">
        <x:f>IF(144&gt;$H$4,"",IF(INDEX('Fleet dates'!$B$9:$B$1008,$I152-8)="","",INDEX('Fleet dates'!$B$9:$B$1008,$I152-8)))</x:f>
      </x:c>
      <x:c r="C152" s="51" t="str">
        <x:f>IF(144&gt;$H$4,"",IF(INDEX('Fleet dates'!$C$9:$C$1008,$I152-8)="","",INDEX('Fleet dates'!$C$9:$C$1008,$I152-8)))</x:f>
      </x:c>
      <x:c r="D152" s="51" t="str">
        <x:f>IF(144&gt;$H$4,"",IF(INDEX('Fleet dates'!$D$9:$D$1008,$I152-8)="","",INDEX('Fleet dates'!$D$9:$D$1008,$I152-8)))</x:f>
      </x:c>
      <x:c r="E152" s="51" t="str">
        <x:f>IF(144&gt;$H$4,"",IF(INDEX('Fleet dates'!$E$9:$E$1008,$I152-8)="","",INDEX('Fleet dates'!$E$9:$E$1008,$I152-8)))</x:f>
      </x:c>
      <x:c r="F152" s="51" t="str">
        <x:f>IF(144&gt;$H$4,"",IF(INDEX('Fleet dates'!$F$9:$F$1008,$I152-8)="","",INDEX('Fleet dates'!$F$9:$F$1008,$I152-8)))</x:f>
      </x:c>
      <x:c r="G152" s="50" t="str">
        <x:f>IF(144&gt;$H$4,"",IF(INDEX('Fleet dates'!$G$9:$G$1008,$I152-8)="","",INDEX('Fleet dates'!$G$9:$G$1008,$I152-8)))</x:f>
      </x:c>
      <x:c r="H152" s="50" t="str">
        <x:f>IF(144&gt;$H$4,"",IF(INDEX('Fleet dates'!$I$9:$I$1008,$I152-8)="","",INDEX('Fleet dates'!$I$9:$I$1008,$I152-8)))</x:f>
      </x:c>
      <x:c r="I152" t="str">
        <x:f>IF(144&gt;$H$4,"",MATCH(144,'Fleet dates'!$L$9:$L$1008,0)+8)</x:f>
      </x:c>
    </x:row>
    <x:row r="153" ht="36" customHeight="1">
      <x:c r="A153" s="50" t="str">
        <x:f>IF(145&gt;$H$4,"",IF(INDEX('Fleet dates'!$A$9:$A$1008,$I153-8)="","",INDEX('Fleet dates'!$A$9:$A$1008,$I153-8)))</x:f>
      </x:c>
      <x:c r="B153" s="50" t="str">
        <x:f>IF(145&gt;$H$4,"",IF(INDEX('Fleet dates'!$B$9:$B$1008,$I153-8)="","",INDEX('Fleet dates'!$B$9:$B$1008,$I153-8)))</x:f>
      </x:c>
      <x:c r="C153" s="51" t="str">
        <x:f>IF(145&gt;$H$4,"",IF(INDEX('Fleet dates'!$C$9:$C$1008,$I153-8)="","",INDEX('Fleet dates'!$C$9:$C$1008,$I153-8)))</x:f>
      </x:c>
      <x:c r="D153" s="51" t="str">
        <x:f>IF(145&gt;$H$4,"",IF(INDEX('Fleet dates'!$D$9:$D$1008,$I153-8)="","",INDEX('Fleet dates'!$D$9:$D$1008,$I153-8)))</x:f>
      </x:c>
      <x:c r="E153" s="51" t="str">
        <x:f>IF(145&gt;$H$4,"",IF(INDEX('Fleet dates'!$E$9:$E$1008,$I153-8)="","",INDEX('Fleet dates'!$E$9:$E$1008,$I153-8)))</x:f>
      </x:c>
      <x:c r="F153" s="51" t="str">
        <x:f>IF(145&gt;$H$4,"",IF(INDEX('Fleet dates'!$F$9:$F$1008,$I153-8)="","",INDEX('Fleet dates'!$F$9:$F$1008,$I153-8)))</x:f>
      </x:c>
      <x:c r="G153" s="50" t="str">
        <x:f>IF(145&gt;$H$4,"",IF(INDEX('Fleet dates'!$G$9:$G$1008,$I153-8)="","",INDEX('Fleet dates'!$G$9:$G$1008,$I153-8)))</x:f>
      </x:c>
      <x:c r="H153" s="50" t="str">
        <x:f>IF(145&gt;$H$4,"",IF(INDEX('Fleet dates'!$I$9:$I$1008,$I153-8)="","",INDEX('Fleet dates'!$I$9:$I$1008,$I153-8)))</x:f>
      </x:c>
      <x:c r="I153" t="str">
        <x:f>IF(145&gt;$H$4,"",MATCH(145,'Fleet dates'!$L$9:$L$1008,0)+8)</x:f>
      </x:c>
    </x:row>
    <x:row r="154" ht="36" customHeight="1">
      <x:c r="A154" s="50" t="str">
        <x:f>IF(146&gt;$H$4,"",IF(INDEX('Fleet dates'!$A$9:$A$1008,$I154-8)="","",INDEX('Fleet dates'!$A$9:$A$1008,$I154-8)))</x:f>
      </x:c>
      <x:c r="B154" s="50" t="str">
        <x:f>IF(146&gt;$H$4,"",IF(INDEX('Fleet dates'!$B$9:$B$1008,$I154-8)="","",INDEX('Fleet dates'!$B$9:$B$1008,$I154-8)))</x:f>
      </x:c>
      <x:c r="C154" s="51" t="str">
        <x:f>IF(146&gt;$H$4,"",IF(INDEX('Fleet dates'!$C$9:$C$1008,$I154-8)="","",INDEX('Fleet dates'!$C$9:$C$1008,$I154-8)))</x:f>
      </x:c>
      <x:c r="D154" s="51" t="str">
        <x:f>IF(146&gt;$H$4,"",IF(INDEX('Fleet dates'!$D$9:$D$1008,$I154-8)="","",INDEX('Fleet dates'!$D$9:$D$1008,$I154-8)))</x:f>
      </x:c>
      <x:c r="E154" s="51" t="str">
        <x:f>IF(146&gt;$H$4,"",IF(INDEX('Fleet dates'!$E$9:$E$1008,$I154-8)="","",INDEX('Fleet dates'!$E$9:$E$1008,$I154-8)))</x:f>
      </x:c>
      <x:c r="F154" s="51" t="str">
        <x:f>IF(146&gt;$H$4,"",IF(INDEX('Fleet dates'!$F$9:$F$1008,$I154-8)="","",INDEX('Fleet dates'!$F$9:$F$1008,$I154-8)))</x:f>
      </x:c>
      <x:c r="G154" s="50" t="str">
        <x:f>IF(146&gt;$H$4,"",IF(INDEX('Fleet dates'!$G$9:$G$1008,$I154-8)="","",INDEX('Fleet dates'!$G$9:$G$1008,$I154-8)))</x:f>
      </x:c>
      <x:c r="H154" s="50" t="str">
        <x:f>IF(146&gt;$H$4,"",IF(INDEX('Fleet dates'!$I$9:$I$1008,$I154-8)="","",INDEX('Fleet dates'!$I$9:$I$1008,$I154-8)))</x:f>
      </x:c>
      <x:c r="I154" t="str">
        <x:f>IF(146&gt;$H$4,"",MATCH(146,'Fleet dates'!$L$9:$L$1008,0)+8)</x:f>
      </x:c>
    </x:row>
    <x:row r="155" ht="36" customHeight="1">
      <x:c r="A155" s="50" t="str">
        <x:f>IF(147&gt;$H$4,"",IF(INDEX('Fleet dates'!$A$9:$A$1008,$I155-8)="","",INDEX('Fleet dates'!$A$9:$A$1008,$I155-8)))</x:f>
      </x:c>
      <x:c r="B155" s="50" t="str">
        <x:f>IF(147&gt;$H$4,"",IF(INDEX('Fleet dates'!$B$9:$B$1008,$I155-8)="","",INDEX('Fleet dates'!$B$9:$B$1008,$I155-8)))</x:f>
      </x:c>
      <x:c r="C155" s="51" t="str">
        <x:f>IF(147&gt;$H$4,"",IF(INDEX('Fleet dates'!$C$9:$C$1008,$I155-8)="","",INDEX('Fleet dates'!$C$9:$C$1008,$I155-8)))</x:f>
      </x:c>
      <x:c r="D155" s="51" t="str">
        <x:f>IF(147&gt;$H$4,"",IF(INDEX('Fleet dates'!$D$9:$D$1008,$I155-8)="","",INDEX('Fleet dates'!$D$9:$D$1008,$I155-8)))</x:f>
      </x:c>
      <x:c r="E155" s="51" t="str">
        <x:f>IF(147&gt;$H$4,"",IF(INDEX('Fleet dates'!$E$9:$E$1008,$I155-8)="","",INDEX('Fleet dates'!$E$9:$E$1008,$I155-8)))</x:f>
      </x:c>
      <x:c r="F155" s="51" t="str">
        <x:f>IF(147&gt;$H$4,"",IF(INDEX('Fleet dates'!$F$9:$F$1008,$I155-8)="","",INDEX('Fleet dates'!$F$9:$F$1008,$I155-8)))</x:f>
      </x:c>
      <x:c r="G155" s="50" t="str">
        <x:f>IF(147&gt;$H$4,"",IF(INDEX('Fleet dates'!$G$9:$G$1008,$I155-8)="","",INDEX('Fleet dates'!$G$9:$G$1008,$I155-8)))</x:f>
      </x:c>
      <x:c r="H155" s="50" t="str">
        <x:f>IF(147&gt;$H$4,"",IF(INDEX('Fleet dates'!$I$9:$I$1008,$I155-8)="","",INDEX('Fleet dates'!$I$9:$I$1008,$I155-8)))</x:f>
      </x:c>
      <x:c r="I155" t="str">
        <x:f>IF(147&gt;$H$4,"",MATCH(147,'Fleet dates'!$L$9:$L$1008,0)+8)</x:f>
      </x:c>
    </x:row>
    <x:row r="156" ht="36" customHeight="1">
      <x:c r="A156" s="50" t="str">
        <x:f>IF(148&gt;$H$4,"",IF(INDEX('Fleet dates'!$A$9:$A$1008,$I156-8)="","",INDEX('Fleet dates'!$A$9:$A$1008,$I156-8)))</x:f>
      </x:c>
      <x:c r="B156" s="50" t="str">
        <x:f>IF(148&gt;$H$4,"",IF(INDEX('Fleet dates'!$B$9:$B$1008,$I156-8)="","",INDEX('Fleet dates'!$B$9:$B$1008,$I156-8)))</x:f>
      </x:c>
      <x:c r="C156" s="51" t="str">
        <x:f>IF(148&gt;$H$4,"",IF(INDEX('Fleet dates'!$C$9:$C$1008,$I156-8)="","",INDEX('Fleet dates'!$C$9:$C$1008,$I156-8)))</x:f>
      </x:c>
      <x:c r="D156" s="51" t="str">
        <x:f>IF(148&gt;$H$4,"",IF(INDEX('Fleet dates'!$D$9:$D$1008,$I156-8)="","",INDEX('Fleet dates'!$D$9:$D$1008,$I156-8)))</x:f>
      </x:c>
      <x:c r="E156" s="51" t="str">
        <x:f>IF(148&gt;$H$4,"",IF(INDEX('Fleet dates'!$E$9:$E$1008,$I156-8)="","",INDEX('Fleet dates'!$E$9:$E$1008,$I156-8)))</x:f>
      </x:c>
      <x:c r="F156" s="51" t="str">
        <x:f>IF(148&gt;$H$4,"",IF(INDEX('Fleet dates'!$F$9:$F$1008,$I156-8)="","",INDEX('Fleet dates'!$F$9:$F$1008,$I156-8)))</x:f>
      </x:c>
      <x:c r="G156" s="50" t="str">
        <x:f>IF(148&gt;$H$4,"",IF(INDEX('Fleet dates'!$G$9:$G$1008,$I156-8)="","",INDEX('Fleet dates'!$G$9:$G$1008,$I156-8)))</x:f>
      </x:c>
      <x:c r="H156" s="50" t="str">
        <x:f>IF(148&gt;$H$4,"",IF(INDEX('Fleet dates'!$I$9:$I$1008,$I156-8)="","",INDEX('Fleet dates'!$I$9:$I$1008,$I156-8)))</x:f>
      </x:c>
      <x:c r="I156" t="str">
        <x:f>IF(148&gt;$H$4,"",MATCH(148,'Fleet dates'!$L$9:$L$1008,0)+8)</x:f>
      </x:c>
    </x:row>
    <x:row r="157" ht="36" customHeight="1">
      <x:c r="A157" s="50" t="str">
        <x:f>IF(149&gt;$H$4,"",IF(INDEX('Fleet dates'!$A$9:$A$1008,$I157-8)="","",INDEX('Fleet dates'!$A$9:$A$1008,$I157-8)))</x:f>
      </x:c>
      <x:c r="B157" s="50" t="str">
        <x:f>IF(149&gt;$H$4,"",IF(INDEX('Fleet dates'!$B$9:$B$1008,$I157-8)="","",INDEX('Fleet dates'!$B$9:$B$1008,$I157-8)))</x:f>
      </x:c>
      <x:c r="C157" s="51" t="str">
        <x:f>IF(149&gt;$H$4,"",IF(INDEX('Fleet dates'!$C$9:$C$1008,$I157-8)="","",INDEX('Fleet dates'!$C$9:$C$1008,$I157-8)))</x:f>
      </x:c>
      <x:c r="D157" s="51" t="str">
        <x:f>IF(149&gt;$H$4,"",IF(INDEX('Fleet dates'!$D$9:$D$1008,$I157-8)="","",INDEX('Fleet dates'!$D$9:$D$1008,$I157-8)))</x:f>
      </x:c>
      <x:c r="E157" s="51" t="str">
        <x:f>IF(149&gt;$H$4,"",IF(INDEX('Fleet dates'!$E$9:$E$1008,$I157-8)="","",INDEX('Fleet dates'!$E$9:$E$1008,$I157-8)))</x:f>
      </x:c>
      <x:c r="F157" s="51" t="str">
        <x:f>IF(149&gt;$H$4,"",IF(INDEX('Fleet dates'!$F$9:$F$1008,$I157-8)="","",INDEX('Fleet dates'!$F$9:$F$1008,$I157-8)))</x:f>
      </x:c>
      <x:c r="G157" s="50" t="str">
        <x:f>IF(149&gt;$H$4,"",IF(INDEX('Fleet dates'!$G$9:$G$1008,$I157-8)="","",INDEX('Fleet dates'!$G$9:$G$1008,$I157-8)))</x:f>
      </x:c>
      <x:c r="H157" s="50" t="str">
        <x:f>IF(149&gt;$H$4,"",IF(INDEX('Fleet dates'!$I$9:$I$1008,$I157-8)="","",INDEX('Fleet dates'!$I$9:$I$1008,$I157-8)))</x:f>
      </x:c>
      <x:c r="I157" t="str">
        <x:f>IF(149&gt;$H$4,"",MATCH(149,'Fleet dates'!$L$9:$L$1008,0)+8)</x:f>
      </x:c>
    </x:row>
    <x:row r="158" ht="36" customHeight="1">
      <x:c r="A158" s="50" t="str">
        <x:f>IF(150&gt;$H$4,"",IF(INDEX('Fleet dates'!$A$9:$A$1008,$I158-8)="","",INDEX('Fleet dates'!$A$9:$A$1008,$I158-8)))</x:f>
      </x:c>
      <x:c r="B158" s="50" t="str">
        <x:f>IF(150&gt;$H$4,"",IF(INDEX('Fleet dates'!$B$9:$B$1008,$I158-8)="","",INDEX('Fleet dates'!$B$9:$B$1008,$I158-8)))</x:f>
      </x:c>
      <x:c r="C158" s="51" t="str">
        <x:f>IF(150&gt;$H$4,"",IF(INDEX('Fleet dates'!$C$9:$C$1008,$I158-8)="","",INDEX('Fleet dates'!$C$9:$C$1008,$I158-8)))</x:f>
      </x:c>
      <x:c r="D158" s="51" t="str">
        <x:f>IF(150&gt;$H$4,"",IF(INDEX('Fleet dates'!$D$9:$D$1008,$I158-8)="","",INDEX('Fleet dates'!$D$9:$D$1008,$I158-8)))</x:f>
      </x:c>
      <x:c r="E158" s="51" t="str">
        <x:f>IF(150&gt;$H$4,"",IF(INDEX('Fleet dates'!$E$9:$E$1008,$I158-8)="","",INDEX('Fleet dates'!$E$9:$E$1008,$I158-8)))</x:f>
      </x:c>
      <x:c r="F158" s="51" t="str">
        <x:f>IF(150&gt;$H$4,"",IF(INDEX('Fleet dates'!$F$9:$F$1008,$I158-8)="","",INDEX('Fleet dates'!$F$9:$F$1008,$I158-8)))</x:f>
      </x:c>
      <x:c r="G158" s="50" t="str">
        <x:f>IF(150&gt;$H$4,"",IF(INDEX('Fleet dates'!$G$9:$G$1008,$I158-8)="","",INDEX('Fleet dates'!$G$9:$G$1008,$I158-8)))</x:f>
      </x:c>
      <x:c r="H158" s="50" t="str">
        <x:f>IF(150&gt;$H$4,"",IF(INDEX('Fleet dates'!$I$9:$I$1008,$I158-8)="","",INDEX('Fleet dates'!$I$9:$I$1008,$I158-8)))</x:f>
      </x:c>
      <x:c r="I158" t="str">
        <x:f>IF(150&gt;$H$4,"",MATCH(150,'Fleet dates'!$L$9:$L$1008,0)+8)</x:f>
      </x:c>
    </x:row>
    <x:row r="159" ht="36" customHeight="1">
      <x:c r="A159" s="50" t="str">
        <x:f>IF(151&gt;$H$4,"",IF(INDEX('Fleet dates'!$A$9:$A$1008,$I159-8)="","",INDEX('Fleet dates'!$A$9:$A$1008,$I159-8)))</x:f>
      </x:c>
      <x:c r="B159" s="50" t="str">
        <x:f>IF(151&gt;$H$4,"",IF(INDEX('Fleet dates'!$B$9:$B$1008,$I159-8)="","",INDEX('Fleet dates'!$B$9:$B$1008,$I159-8)))</x:f>
      </x:c>
      <x:c r="C159" s="51" t="str">
        <x:f>IF(151&gt;$H$4,"",IF(INDEX('Fleet dates'!$C$9:$C$1008,$I159-8)="","",INDEX('Fleet dates'!$C$9:$C$1008,$I159-8)))</x:f>
      </x:c>
      <x:c r="D159" s="51" t="str">
        <x:f>IF(151&gt;$H$4,"",IF(INDEX('Fleet dates'!$D$9:$D$1008,$I159-8)="","",INDEX('Fleet dates'!$D$9:$D$1008,$I159-8)))</x:f>
      </x:c>
      <x:c r="E159" s="51" t="str">
        <x:f>IF(151&gt;$H$4,"",IF(INDEX('Fleet dates'!$E$9:$E$1008,$I159-8)="","",INDEX('Fleet dates'!$E$9:$E$1008,$I159-8)))</x:f>
      </x:c>
      <x:c r="F159" s="51" t="str">
        <x:f>IF(151&gt;$H$4,"",IF(INDEX('Fleet dates'!$F$9:$F$1008,$I159-8)="","",INDEX('Fleet dates'!$F$9:$F$1008,$I159-8)))</x:f>
      </x:c>
      <x:c r="G159" s="50" t="str">
        <x:f>IF(151&gt;$H$4,"",IF(INDEX('Fleet dates'!$G$9:$G$1008,$I159-8)="","",INDEX('Fleet dates'!$G$9:$G$1008,$I159-8)))</x:f>
      </x:c>
      <x:c r="H159" s="50" t="str">
        <x:f>IF(151&gt;$H$4,"",IF(INDEX('Fleet dates'!$I$9:$I$1008,$I159-8)="","",INDEX('Fleet dates'!$I$9:$I$1008,$I159-8)))</x:f>
      </x:c>
      <x:c r="I159" t="str">
        <x:f>IF(151&gt;$H$4,"",MATCH(151,'Fleet dates'!$L$9:$L$1008,0)+8)</x:f>
      </x:c>
    </x:row>
    <x:row r="160" ht="36" customHeight="1">
      <x:c r="A160" s="50" t="str">
        <x:f>IF(152&gt;$H$4,"",IF(INDEX('Fleet dates'!$A$9:$A$1008,$I160-8)="","",INDEX('Fleet dates'!$A$9:$A$1008,$I160-8)))</x:f>
      </x:c>
      <x:c r="B160" s="50" t="str">
        <x:f>IF(152&gt;$H$4,"",IF(INDEX('Fleet dates'!$B$9:$B$1008,$I160-8)="","",INDEX('Fleet dates'!$B$9:$B$1008,$I160-8)))</x:f>
      </x:c>
      <x:c r="C160" s="51" t="str">
        <x:f>IF(152&gt;$H$4,"",IF(INDEX('Fleet dates'!$C$9:$C$1008,$I160-8)="","",INDEX('Fleet dates'!$C$9:$C$1008,$I160-8)))</x:f>
      </x:c>
      <x:c r="D160" s="51" t="str">
        <x:f>IF(152&gt;$H$4,"",IF(INDEX('Fleet dates'!$D$9:$D$1008,$I160-8)="","",INDEX('Fleet dates'!$D$9:$D$1008,$I160-8)))</x:f>
      </x:c>
      <x:c r="E160" s="51" t="str">
        <x:f>IF(152&gt;$H$4,"",IF(INDEX('Fleet dates'!$E$9:$E$1008,$I160-8)="","",INDEX('Fleet dates'!$E$9:$E$1008,$I160-8)))</x:f>
      </x:c>
      <x:c r="F160" s="51" t="str">
        <x:f>IF(152&gt;$H$4,"",IF(INDEX('Fleet dates'!$F$9:$F$1008,$I160-8)="","",INDEX('Fleet dates'!$F$9:$F$1008,$I160-8)))</x:f>
      </x:c>
      <x:c r="G160" s="50" t="str">
        <x:f>IF(152&gt;$H$4,"",IF(INDEX('Fleet dates'!$G$9:$G$1008,$I160-8)="","",INDEX('Fleet dates'!$G$9:$G$1008,$I160-8)))</x:f>
      </x:c>
      <x:c r="H160" s="50" t="str">
        <x:f>IF(152&gt;$H$4,"",IF(INDEX('Fleet dates'!$I$9:$I$1008,$I160-8)="","",INDEX('Fleet dates'!$I$9:$I$1008,$I160-8)))</x:f>
      </x:c>
      <x:c r="I160" t="str">
        <x:f>IF(152&gt;$H$4,"",MATCH(152,'Fleet dates'!$L$9:$L$1008,0)+8)</x:f>
      </x:c>
    </x:row>
    <x:row r="161" ht="36" customHeight="1">
      <x:c r="A161" s="50" t="str">
        <x:f>IF(153&gt;$H$4,"",IF(INDEX('Fleet dates'!$A$9:$A$1008,$I161-8)="","",INDEX('Fleet dates'!$A$9:$A$1008,$I161-8)))</x:f>
      </x:c>
      <x:c r="B161" s="50" t="str">
        <x:f>IF(153&gt;$H$4,"",IF(INDEX('Fleet dates'!$B$9:$B$1008,$I161-8)="","",INDEX('Fleet dates'!$B$9:$B$1008,$I161-8)))</x:f>
      </x:c>
      <x:c r="C161" s="51" t="str">
        <x:f>IF(153&gt;$H$4,"",IF(INDEX('Fleet dates'!$C$9:$C$1008,$I161-8)="","",INDEX('Fleet dates'!$C$9:$C$1008,$I161-8)))</x:f>
      </x:c>
      <x:c r="D161" s="51" t="str">
        <x:f>IF(153&gt;$H$4,"",IF(INDEX('Fleet dates'!$D$9:$D$1008,$I161-8)="","",INDEX('Fleet dates'!$D$9:$D$1008,$I161-8)))</x:f>
      </x:c>
      <x:c r="E161" s="51" t="str">
        <x:f>IF(153&gt;$H$4,"",IF(INDEX('Fleet dates'!$E$9:$E$1008,$I161-8)="","",INDEX('Fleet dates'!$E$9:$E$1008,$I161-8)))</x:f>
      </x:c>
      <x:c r="F161" s="51" t="str">
        <x:f>IF(153&gt;$H$4,"",IF(INDEX('Fleet dates'!$F$9:$F$1008,$I161-8)="","",INDEX('Fleet dates'!$F$9:$F$1008,$I161-8)))</x:f>
      </x:c>
      <x:c r="G161" s="50" t="str">
        <x:f>IF(153&gt;$H$4,"",IF(INDEX('Fleet dates'!$G$9:$G$1008,$I161-8)="","",INDEX('Fleet dates'!$G$9:$G$1008,$I161-8)))</x:f>
      </x:c>
      <x:c r="H161" s="50" t="str">
        <x:f>IF(153&gt;$H$4,"",IF(INDEX('Fleet dates'!$I$9:$I$1008,$I161-8)="","",INDEX('Fleet dates'!$I$9:$I$1008,$I161-8)))</x:f>
      </x:c>
      <x:c r="I161" t="str">
        <x:f>IF(153&gt;$H$4,"",MATCH(153,'Fleet dates'!$L$9:$L$1008,0)+8)</x:f>
      </x:c>
    </x:row>
    <x:row r="162" ht="36" customHeight="1">
      <x:c r="A162" s="50" t="str">
        <x:f>IF(154&gt;$H$4,"",IF(INDEX('Fleet dates'!$A$9:$A$1008,$I162-8)="","",INDEX('Fleet dates'!$A$9:$A$1008,$I162-8)))</x:f>
      </x:c>
      <x:c r="B162" s="50" t="str">
        <x:f>IF(154&gt;$H$4,"",IF(INDEX('Fleet dates'!$B$9:$B$1008,$I162-8)="","",INDEX('Fleet dates'!$B$9:$B$1008,$I162-8)))</x:f>
      </x:c>
      <x:c r="C162" s="51" t="str">
        <x:f>IF(154&gt;$H$4,"",IF(INDEX('Fleet dates'!$C$9:$C$1008,$I162-8)="","",INDEX('Fleet dates'!$C$9:$C$1008,$I162-8)))</x:f>
      </x:c>
      <x:c r="D162" s="51" t="str">
        <x:f>IF(154&gt;$H$4,"",IF(INDEX('Fleet dates'!$D$9:$D$1008,$I162-8)="","",INDEX('Fleet dates'!$D$9:$D$1008,$I162-8)))</x:f>
      </x:c>
      <x:c r="E162" s="51" t="str">
        <x:f>IF(154&gt;$H$4,"",IF(INDEX('Fleet dates'!$E$9:$E$1008,$I162-8)="","",INDEX('Fleet dates'!$E$9:$E$1008,$I162-8)))</x:f>
      </x:c>
      <x:c r="F162" s="51" t="str">
        <x:f>IF(154&gt;$H$4,"",IF(INDEX('Fleet dates'!$F$9:$F$1008,$I162-8)="","",INDEX('Fleet dates'!$F$9:$F$1008,$I162-8)))</x:f>
      </x:c>
      <x:c r="G162" s="50" t="str">
        <x:f>IF(154&gt;$H$4,"",IF(INDEX('Fleet dates'!$G$9:$G$1008,$I162-8)="","",INDEX('Fleet dates'!$G$9:$G$1008,$I162-8)))</x:f>
      </x:c>
      <x:c r="H162" s="50" t="str">
        <x:f>IF(154&gt;$H$4,"",IF(INDEX('Fleet dates'!$I$9:$I$1008,$I162-8)="","",INDEX('Fleet dates'!$I$9:$I$1008,$I162-8)))</x:f>
      </x:c>
      <x:c r="I162" t="str">
        <x:f>IF(154&gt;$H$4,"",MATCH(154,'Fleet dates'!$L$9:$L$1008,0)+8)</x:f>
      </x:c>
    </x:row>
    <x:row r="163" ht="36" customHeight="1">
      <x:c r="A163" s="50" t="str">
        <x:f>IF(155&gt;$H$4,"",IF(INDEX('Fleet dates'!$A$9:$A$1008,$I163-8)="","",INDEX('Fleet dates'!$A$9:$A$1008,$I163-8)))</x:f>
      </x:c>
      <x:c r="B163" s="50" t="str">
        <x:f>IF(155&gt;$H$4,"",IF(INDEX('Fleet dates'!$B$9:$B$1008,$I163-8)="","",INDEX('Fleet dates'!$B$9:$B$1008,$I163-8)))</x:f>
      </x:c>
      <x:c r="C163" s="51" t="str">
        <x:f>IF(155&gt;$H$4,"",IF(INDEX('Fleet dates'!$C$9:$C$1008,$I163-8)="","",INDEX('Fleet dates'!$C$9:$C$1008,$I163-8)))</x:f>
      </x:c>
      <x:c r="D163" s="51" t="str">
        <x:f>IF(155&gt;$H$4,"",IF(INDEX('Fleet dates'!$D$9:$D$1008,$I163-8)="","",INDEX('Fleet dates'!$D$9:$D$1008,$I163-8)))</x:f>
      </x:c>
      <x:c r="E163" s="51" t="str">
        <x:f>IF(155&gt;$H$4,"",IF(INDEX('Fleet dates'!$E$9:$E$1008,$I163-8)="","",INDEX('Fleet dates'!$E$9:$E$1008,$I163-8)))</x:f>
      </x:c>
      <x:c r="F163" s="51" t="str">
        <x:f>IF(155&gt;$H$4,"",IF(INDEX('Fleet dates'!$F$9:$F$1008,$I163-8)="","",INDEX('Fleet dates'!$F$9:$F$1008,$I163-8)))</x:f>
      </x:c>
      <x:c r="G163" s="50" t="str">
        <x:f>IF(155&gt;$H$4,"",IF(INDEX('Fleet dates'!$G$9:$G$1008,$I163-8)="","",INDEX('Fleet dates'!$G$9:$G$1008,$I163-8)))</x:f>
      </x:c>
      <x:c r="H163" s="50" t="str">
        <x:f>IF(155&gt;$H$4,"",IF(INDEX('Fleet dates'!$I$9:$I$1008,$I163-8)="","",INDEX('Fleet dates'!$I$9:$I$1008,$I163-8)))</x:f>
      </x:c>
      <x:c r="I163" t="str">
        <x:f>IF(155&gt;$H$4,"",MATCH(155,'Fleet dates'!$L$9:$L$1008,0)+8)</x:f>
      </x:c>
    </x:row>
    <x:row r="164" ht="36" customHeight="1">
      <x:c r="A164" s="50" t="str">
        <x:f>IF(156&gt;$H$4,"",IF(INDEX('Fleet dates'!$A$9:$A$1008,$I164-8)="","",INDEX('Fleet dates'!$A$9:$A$1008,$I164-8)))</x:f>
      </x:c>
      <x:c r="B164" s="50" t="str">
        <x:f>IF(156&gt;$H$4,"",IF(INDEX('Fleet dates'!$B$9:$B$1008,$I164-8)="","",INDEX('Fleet dates'!$B$9:$B$1008,$I164-8)))</x:f>
      </x:c>
      <x:c r="C164" s="51" t="str">
        <x:f>IF(156&gt;$H$4,"",IF(INDEX('Fleet dates'!$C$9:$C$1008,$I164-8)="","",INDEX('Fleet dates'!$C$9:$C$1008,$I164-8)))</x:f>
      </x:c>
      <x:c r="D164" s="51" t="str">
        <x:f>IF(156&gt;$H$4,"",IF(INDEX('Fleet dates'!$D$9:$D$1008,$I164-8)="","",INDEX('Fleet dates'!$D$9:$D$1008,$I164-8)))</x:f>
      </x:c>
      <x:c r="E164" s="51" t="str">
        <x:f>IF(156&gt;$H$4,"",IF(INDEX('Fleet dates'!$E$9:$E$1008,$I164-8)="","",INDEX('Fleet dates'!$E$9:$E$1008,$I164-8)))</x:f>
      </x:c>
      <x:c r="F164" s="51" t="str">
        <x:f>IF(156&gt;$H$4,"",IF(INDEX('Fleet dates'!$F$9:$F$1008,$I164-8)="","",INDEX('Fleet dates'!$F$9:$F$1008,$I164-8)))</x:f>
      </x:c>
      <x:c r="G164" s="50" t="str">
        <x:f>IF(156&gt;$H$4,"",IF(INDEX('Fleet dates'!$G$9:$G$1008,$I164-8)="","",INDEX('Fleet dates'!$G$9:$G$1008,$I164-8)))</x:f>
      </x:c>
      <x:c r="H164" s="50" t="str">
        <x:f>IF(156&gt;$H$4,"",IF(INDEX('Fleet dates'!$I$9:$I$1008,$I164-8)="","",INDEX('Fleet dates'!$I$9:$I$1008,$I164-8)))</x:f>
      </x:c>
      <x:c r="I164" t="str">
        <x:f>IF(156&gt;$H$4,"",MATCH(156,'Fleet dates'!$L$9:$L$1008,0)+8)</x:f>
      </x:c>
    </x:row>
    <x:row r="165" ht="36" customHeight="1">
      <x:c r="A165" s="50" t="str">
        <x:f>IF(157&gt;$H$4,"",IF(INDEX('Fleet dates'!$A$9:$A$1008,$I165-8)="","",INDEX('Fleet dates'!$A$9:$A$1008,$I165-8)))</x:f>
      </x:c>
      <x:c r="B165" s="50" t="str">
        <x:f>IF(157&gt;$H$4,"",IF(INDEX('Fleet dates'!$B$9:$B$1008,$I165-8)="","",INDEX('Fleet dates'!$B$9:$B$1008,$I165-8)))</x:f>
      </x:c>
      <x:c r="C165" s="51" t="str">
        <x:f>IF(157&gt;$H$4,"",IF(INDEX('Fleet dates'!$C$9:$C$1008,$I165-8)="","",INDEX('Fleet dates'!$C$9:$C$1008,$I165-8)))</x:f>
      </x:c>
      <x:c r="D165" s="51" t="str">
        <x:f>IF(157&gt;$H$4,"",IF(INDEX('Fleet dates'!$D$9:$D$1008,$I165-8)="","",INDEX('Fleet dates'!$D$9:$D$1008,$I165-8)))</x:f>
      </x:c>
      <x:c r="E165" s="51" t="str">
        <x:f>IF(157&gt;$H$4,"",IF(INDEX('Fleet dates'!$E$9:$E$1008,$I165-8)="","",INDEX('Fleet dates'!$E$9:$E$1008,$I165-8)))</x:f>
      </x:c>
      <x:c r="F165" s="51" t="str">
        <x:f>IF(157&gt;$H$4,"",IF(INDEX('Fleet dates'!$F$9:$F$1008,$I165-8)="","",INDEX('Fleet dates'!$F$9:$F$1008,$I165-8)))</x:f>
      </x:c>
      <x:c r="G165" s="50" t="str">
        <x:f>IF(157&gt;$H$4,"",IF(INDEX('Fleet dates'!$G$9:$G$1008,$I165-8)="","",INDEX('Fleet dates'!$G$9:$G$1008,$I165-8)))</x:f>
      </x:c>
      <x:c r="H165" s="50" t="str">
        <x:f>IF(157&gt;$H$4,"",IF(INDEX('Fleet dates'!$I$9:$I$1008,$I165-8)="","",INDEX('Fleet dates'!$I$9:$I$1008,$I165-8)))</x:f>
      </x:c>
      <x:c r="I165" t="str">
        <x:f>IF(157&gt;$H$4,"",MATCH(157,'Fleet dates'!$L$9:$L$1008,0)+8)</x:f>
      </x:c>
    </x:row>
    <x:row r="166" ht="36" customHeight="1">
      <x:c r="A166" s="50" t="str">
        <x:f>IF(158&gt;$H$4,"",IF(INDEX('Fleet dates'!$A$9:$A$1008,$I166-8)="","",INDEX('Fleet dates'!$A$9:$A$1008,$I166-8)))</x:f>
      </x:c>
      <x:c r="B166" s="50" t="str">
        <x:f>IF(158&gt;$H$4,"",IF(INDEX('Fleet dates'!$B$9:$B$1008,$I166-8)="","",INDEX('Fleet dates'!$B$9:$B$1008,$I166-8)))</x:f>
      </x:c>
      <x:c r="C166" s="51" t="str">
        <x:f>IF(158&gt;$H$4,"",IF(INDEX('Fleet dates'!$C$9:$C$1008,$I166-8)="","",INDEX('Fleet dates'!$C$9:$C$1008,$I166-8)))</x:f>
      </x:c>
      <x:c r="D166" s="51" t="str">
        <x:f>IF(158&gt;$H$4,"",IF(INDEX('Fleet dates'!$D$9:$D$1008,$I166-8)="","",INDEX('Fleet dates'!$D$9:$D$1008,$I166-8)))</x:f>
      </x:c>
      <x:c r="E166" s="51" t="str">
        <x:f>IF(158&gt;$H$4,"",IF(INDEX('Fleet dates'!$E$9:$E$1008,$I166-8)="","",INDEX('Fleet dates'!$E$9:$E$1008,$I166-8)))</x:f>
      </x:c>
      <x:c r="F166" s="51" t="str">
        <x:f>IF(158&gt;$H$4,"",IF(INDEX('Fleet dates'!$F$9:$F$1008,$I166-8)="","",INDEX('Fleet dates'!$F$9:$F$1008,$I166-8)))</x:f>
      </x:c>
      <x:c r="G166" s="50" t="str">
        <x:f>IF(158&gt;$H$4,"",IF(INDEX('Fleet dates'!$G$9:$G$1008,$I166-8)="","",INDEX('Fleet dates'!$G$9:$G$1008,$I166-8)))</x:f>
      </x:c>
      <x:c r="H166" s="50" t="str">
        <x:f>IF(158&gt;$H$4,"",IF(INDEX('Fleet dates'!$I$9:$I$1008,$I166-8)="","",INDEX('Fleet dates'!$I$9:$I$1008,$I166-8)))</x:f>
      </x:c>
      <x:c r="I166" t="str">
        <x:f>IF(158&gt;$H$4,"",MATCH(158,'Fleet dates'!$L$9:$L$1008,0)+8)</x:f>
      </x:c>
    </x:row>
    <x:row r="167" ht="36" customHeight="1">
      <x:c r="A167" s="50" t="str">
        <x:f>IF(159&gt;$H$4,"",IF(INDEX('Fleet dates'!$A$9:$A$1008,$I167-8)="","",INDEX('Fleet dates'!$A$9:$A$1008,$I167-8)))</x:f>
      </x:c>
      <x:c r="B167" s="50" t="str">
        <x:f>IF(159&gt;$H$4,"",IF(INDEX('Fleet dates'!$B$9:$B$1008,$I167-8)="","",INDEX('Fleet dates'!$B$9:$B$1008,$I167-8)))</x:f>
      </x:c>
      <x:c r="C167" s="51" t="str">
        <x:f>IF(159&gt;$H$4,"",IF(INDEX('Fleet dates'!$C$9:$C$1008,$I167-8)="","",INDEX('Fleet dates'!$C$9:$C$1008,$I167-8)))</x:f>
      </x:c>
      <x:c r="D167" s="51" t="str">
        <x:f>IF(159&gt;$H$4,"",IF(INDEX('Fleet dates'!$D$9:$D$1008,$I167-8)="","",INDEX('Fleet dates'!$D$9:$D$1008,$I167-8)))</x:f>
      </x:c>
      <x:c r="E167" s="51" t="str">
        <x:f>IF(159&gt;$H$4,"",IF(INDEX('Fleet dates'!$E$9:$E$1008,$I167-8)="","",INDEX('Fleet dates'!$E$9:$E$1008,$I167-8)))</x:f>
      </x:c>
      <x:c r="F167" s="51" t="str">
        <x:f>IF(159&gt;$H$4,"",IF(INDEX('Fleet dates'!$F$9:$F$1008,$I167-8)="","",INDEX('Fleet dates'!$F$9:$F$1008,$I167-8)))</x:f>
      </x:c>
      <x:c r="G167" s="50" t="str">
        <x:f>IF(159&gt;$H$4,"",IF(INDEX('Fleet dates'!$G$9:$G$1008,$I167-8)="","",INDEX('Fleet dates'!$G$9:$G$1008,$I167-8)))</x:f>
      </x:c>
      <x:c r="H167" s="50" t="str">
        <x:f>IF(159&gt;$H$4,"",IF(INDEX('Fleet dates'!$I$9:$I$1008,$I167-8)="","",INDEX('Fleet dates'!$I$9:$I$1008,$I167-8)))</x:f>
      </x:c>
      <x:c r="I167" t="str">
        <x:f>IF(159&gt;$H$4,"",MATCH(159,'Fleet dates'!$L$9:$L$1008,0)+8)</x:f>
      </x:c>
    </x:row>
    <x:row r="168" ht="36" customHeight="1">
      <x:c r="A168" s="50" t="str">
        <x:f>IF(160&gt;$H$4,"",IF(INDEX('Fleet dates'!$A$9:$A$1008,$I168-8)="","",INDEX('Fleet dates'!$A$9:$A$1008,$I168-8)))</x:f>
      </x:c>
      <x:c r="B168" s="50" t="str">
        <x:f>IF(160&gt;$H$4,"",IF(INDEX('Fleet dates'!$B$9:$B$1008,$I168-8)="","",INDEX('Fleet dates'!$B$9:$B$1008,$I168-8)))</x:f>
      </x:c>
      <x:c r="C168" s="51" t="str">
        <x:f>IF(160&gt;$H$4,"",IF(INDEX('Fleet dates'!$C$9:$C$1008,$I168-8)="","",INDEX('Fleet dates'!$C$9:$C$1008,$I168-8)))</x:f>
      </x:c>
      <x:c r="D168" s="51" t="str">
        <x:f>IF(160&gt;$H$4,"",IF(INDEX('Fleet dates'!$D$9:$D$1008,$I168-8)="","",INDEX('Fleet dates'!$D$9:$D$1008,$I168-8)))</x:f>
      </x:c>
      <x:c r="E168" s="51" t="str">
        <x:f>IF(160&gt;$H$4,"",IF(INDEX('Fleet dates'!$E$9:$E$1008,$I168-8)="","",INDEX('Fleet dates'!$E$9:$E$1008,$I168-8)))</x:f>
      </x:c>
      <x:c r="F168" s="51" t="str">
        <x:f>IF(160&gt;$H$4,"",IF(INDEX('Fleet dates'!$F$9:$F$1008,$I168-8)="","",INDEX('Fleet dates'!$F$9:$F$1008,$I168-8)))</x:f>
      </x:c>
      <x:c r="G168" s="50" t="str">
        <x:f>IF(160&gt;$H$4,"",IF(INDEX('Fleet dates'!$G$9:$G$1008,$I168-8)="","",INDEX('Fleet dates'!$G$9:$G$1008,$I168-8)))</x:f>
      </x:c>
      <x:c r="H168" s="50" t="str">
        <x:f>IF(160&gt;$H$4,"",IF(INDEX('Fleet dates'!$I$9:$I$1008,$I168-8)="","",INDEX('Fleet dates'!$I$9:$I$1008,$I168-8)))</x:f>
      </x:c>
      <x:c r="I168" t="str">
        <x:f>IF(160&gt;$H$4,"",MATCH(160,'Fleet dates'!$L$9:$L$1008,0)+8)</x:f>
      </x:c>
    </x:row>
    <x:row r="169" ht="36" customHeight="1">
      <x:c r="A169" s="50" t="str">
        <x:f>IF(161&gt;$H$4,"",IF(INDEX('Fleet dates'!$A$9:$A$1008,$I169-8)="","",INDEX('Fleet dates'!$A$9:$A$1008,$I169-8)))</x:f>
      </x:c>
      <x:c r="B169" s="50" t="str">
        <x:f>IF(161&gt;$H$4,"",IF(INDEX('Fleet dates'!$B$9:$B$1008,$I169-8)="","",INDEX('Fleet dates'!$B$9:$B$1008,$I169-8)))</x:f>
      </x:c>
      <x:c r="C169" s="51" t="str">
        <x:f>IF(161&gt;$H$4,"",IF(INDEX('Fleet dates'!$C$9:$C$1008,$I169-8)="","",INDEX('Fleet dates'!$C$9:$C$1008,$I169-8)))</x:f>
      </x:c>
      <x:c r="D169" s="51" t="str">
        <x:f>IF(161&gt;$H$4,"",IF(INDEX('Fleet dates'!$D$9:$D$1008,$I169-8)="","",INDEX('Fleet dates'!$D$9:$D$1008,$I169-8)))</x:f>
      </x:c>
      <x:c r="E169" s="51" t="str">
        <x:f>IF(161&gt;$H$4,"",IF(INDEX('Fleet dates'!$E$9:$E$1008,$I169-8)="","",INDEX('Fleet dates'!$E$9:$E$1008,$I169-8)))</x:f>
      </x:c>
      <x:c r="F169" s="51" t="str">
        <x:f>IF(161&gt;$H$4,"",IF(INDEX('Fleet dates'!$F$9:$F$1008,$I169-8)="","",INDEX('Fleet dates'!$F$9:$F$1008,$I169-8)))</x:f>
      </x:c>
      <x:c r="G169" s="50" t="str">
        <x:f>IF(161&gt;$H$4,"",IF(INDEX('Fleet dates'!$G$9:$G$1008,$I169-8)="","",INDEX('Fleet dates'!$G$9:$G$1008,$I169-8)))</x:f>
      </x:c>
      <x:c r="H169" s="50" t="str">
        <x:f>IF(161&gt;$H$4,"",IF(INDEX('Fleet dates'!$I$9:$I$1008,$I169-8)="","",INDEX('Fleet dates'!$I$9:$I$1008,$I169-8)))</x:f>
      </x:c>
      <x:c r="I169" t="str">
        <x:f>IF(161&gt;$H$4,"",MATCH(161,'Fleet dates'!$L$9:$L$1008,0)+8)</x:f>
      </x:c>
    </x:row>
    <x:row r="170" ht="36" customHeight="1">
      <x:c r="A170" s="50" t="str">
        <x:f>IF(162&gt;$H$4,"",IF(INDEX('Fleet dates'!$A$9:$A$1008,$I170-8)="","",INDEX('Fleet dates'!$A$9:$A$1008,$I170-8)))</x:f>
      </x:c>
      <x:c r="B170" s="50" t="str">
        <x:f>IF(162&gt;$H$4,"",IF(INDEX('Fleet dates'!$B$9:$B$1008,$I170-8)="","",INDEX('Fleet dates'!$B$9:$B$1008,$I170-8)))</x:f>
      </x:c>
      <x:c r="C170" s="51" t="str">
        <x:f>IF(162&gt;$H$4,"",IF(INDEX('Fleet dates'!$C$9:$C$1008,$I170-8)="","",INDEX('Fleet dates'!$C$9:$C$1008,$I170-8)))</x:f>
      </x:c>
      <x:c r="D170" s="51" t="str">
        <x:f>IF(162&gt;$H$4,"",IF(INDEX('Fleet dates'!$D$9:$D$1008,$I170-8)="","",INDEX('Fleet dates'!$D$9:$D$1008,$I170-8)))</x:f>
      </x:c>
      <x:c r="E170" s="51" t="str">
        <x:f>IF(162&gt;$H$4,"",IF(INDEX('Fleet dates'!$E$9:$E$1008,$I170-8)="","",INDEX('Fleet dates'!$E$9:$E$1008,$I170-8)))</x:f>
      </x:c>
      <x:c r="F170" s="51" t="str">
        <x:f>IF(162&gt;$H$4,"",IF(INDEX('Fleet dates'!$F$9:$F$1008,$I170-8)="","",INDEX('Fleet dates'!$F$9:$F$1008,$I170-8)))</x:f>
      </x:c>
      <x:c r="G170" s="50" t="str">
        <x:f>IF(162&gt;$H$4,"",IF(INDEX('Fleet dates'!$G$9:$G$1008,$I170-8)="","",INDEX('Fleet dates'!$G$9:$G$1008,$I170-8)))</x:f>
      </x:c>
      <x:c r="H170" s="50" t="str">
        <x:f>IF(162&gt;$H$4,"",IF(INDEX('Fleet dates'!$I$9:$I$1008,$I170-8)="","",INDEX('Fleet dates'!$I$9:$I$1008,$I170-8)))</x:f>
      </x:c>
      <x:c r="I170" t="str">
        <x:f>IF(162&gt;$H$4,"",MATCH(162,'Fleet dates'!$L$9:$L$1008,0)+8)</x:f>
      </x:c>
    </x:row>
    <x:row r="171" ht="36" customHeight="1">
      <x:c r="A171" s="50" t="str">
        <x:f>IF(163&gt;$H$4,"",IF(INDEX('Fleet dates'!$A$9:$A$1008,$I171-8)="","",INDEX('Fleet dates'!$A$9:$A$1008,$I171-8)))</x:f>
      </x:c>
      <x:c r="B171" s="50" t="str">
        <x:f>IF(163&gt;$H$4,"",IF(INDEX('Fleet dates'!$B$9:$B$1008,$I171-8)="","",INDEX('Fleet dates'!$B$9:$B$1008,$I171-8)))</x:f>
      </x:c>
      <x:c r="C171" s="51" t="str">
        <x:f>IF(163&gt;$H$4,"",IF(INDEX('Fleet dates'!$C$9:$C$1008,$I171-8)="","",INDEX('Fleet dates'!$C$9:$C$1008,$I171-8)))</x:f>
      </x:c>
      <x:c r="D171" s="51" t="str">
        <x:f>IF(163&gt;$H$4,"",IF(INDEX('Fleet dates'!$D$9:$D$1008,$I171-8)="","",INDEX('Fleet dates'!$D$9:$D$1008,$I171-8)))</x:f>
      </x:c>
      <x:c r="E171" s="51" t="str">
        <x:f>IF(163&gt;$H$4,"",IF(INDEX('Fleet dates'!$E$9:$E$1008,$I171-8)="","",INDEX('Fleet dates'!$E$9:$E$1008,$I171-8)))</x:f>
      </x:c>
      <x:c r="F171" s="51" t="str">
        <x:f>IF(163&gt;$H$4,"",IF(INDEX('Fleet dates'!$F$9:$F$1008,$I171-8)="","",INDEX('Fleet dates'!$F$9:$F$1008,$I171-8)))</x:f>
      </x:c>
      <x:c r="G171" s="50" t="str">
        <x:f>IF(163&gt;$H$4,"",IF(INDEX('Fleet dates'!$G$9:$G$1008,$I171-8)="","",INDEX('Fleet dates'!$G$9:$G$1008,$I171-8)))</x:f>
      </x:c>
      <x:c r="H171" s="50" t="str">
        <x:f>IF(163&gt;$H$4,"",IF(INDEX('Fleet dates'!$I$9:$I$1008,$I171-8)="","",INDEX('Fleet dates'!$I$9:$I$1008,$I171-8)))</x:f>
      </x:c>
      <x:c r="I171" t="str">
        <x:f>IF(163&gt;$H$4,"",MATCH(163,'Fleet dates'!$L$9:$L$1008,0)+8)</x:f>
      </x:c>
    </x:row>
    <x:row r="172" ht="36" customHeight="1">
      <x:c r="A172" s="50" t="str">
        <x:f>IF(164&gt;$H$4,"",IF(INDEX('Fleet dates'!$A$9:$A$1008,$I172-8)="","",INDEX('Fleet dates'!$A$9:$A$1008,$I172-8)))</x:f>
      </x:c>
      <x:c r="B172" s="50" t="str">
        <x:f>IF(164&gt;$H$4,"",IF(INDEX('Fleet dates'!$B$9:$B$1008,$I172-8)="","",INDEX('Fleet dates'!$B$9:$B$1008,$I172-8)))</x:f>
      </x:c>
      <x:c r="C172" s="51" t="str">
        <x:f>IF(164&gt;$H$4,"",IF(INDEX('Fleet dates'!$C$9:$C$1008,$I172-8)="","",INDEX('Fleet dates'!$C$9:$C$1008,$I172-8)))</x:f>
      </x:c>
      <x:c r="D172" s="51" t="str">
        <x:f>IF(164&gt;$H$4,"",IF(INDEX('Fleet dates'!$D$9:$D$1008,$I172-8)="","",INDEX('Fleet dates'!$D$9:$D$1008,$I172-8)))</x:f>
      </x:c>
      <x:c r="E172" s="51" t="str">
        <x:f>IF(164&gt;$H$4,"",IF(INDEX('Fleet dates'!$E$9:$E$1008,$I172-8)="","",INDEX('Fleet dates'!$E$9:$E$1008,$I172-8)))</x:f>
      </x:c>
      <x:c r="F172" s="51" t="str">
        <x:f>IF(164&gt;$H$4,"",IF(INDEX('Fleet dates'!$F$9:$F$1008,$I172-8)="","",INDEX('Fleet dates'!$F$9:$F$1008,$I172-8)))</x:f>
      </x:c>
      <x:c r="G172" s="50" t="str">
        <x:f>IF(164&gt;$H$4,"",IF(INDEX('Fleet dates'!$G$9:$G$1008,$I172-8)="","",INDEX('Fleet dates'!$G$9:$G$1008,$I172-8)))</x:f>
      </x:c>
      <x:c r="H172" s="50" t="str">
        <x:f>IF(164&gt;$H$4,"",IF(INDEX('Fleet dates'!$I$9:$I$1008,$I172-8)="","",INDEX('Fleet dates'!$I$9:$I$1008,$I172-8)))</x:f>
      </x:c>
      <x:c r="I172" t="str">
        <x:f>IF(164&gt;$H$4,"",MATCH(164,'Fleet dates'!$L$9:$L$1008,0)+8)</x:f>
      </x:c>
    </x:row>
    <x:row r="173" ht="36" customHeight="1">
      <x:c r="A173" s="50" t="str">
        <x:f>IF(165&gt;$H$4,"",IF(INDEX('Fleet dates'!$A$9:$A$1008,$I173-8)="","",INDEX('Fleet dates'!$A$9:$A$1008,$I173-8)))</x:f>
      </x:c>
      <x:c r="B173" s="50" t="str">
        <x:f>IF(165&gt;$H$4,"",IF(INDEX('Fleet dates'!$B$9:$B$1008,$I173-8)="","",INDEX('Fleet dates'!$B$9:$B$1008,$I173-8)))</x:f>
      </x:c>
      <x:c r="C173" s="51" t="str">
        <x:f>IF(165&gt;$H$4,"",IF(INDEX('Fleet dates'!$C$9:$C$1008,$I173-8)="","",INDEX('Fleet dates'!$C$9:$C$1008,$I173-8)))</x:f>
      </x:c>
      <x:c r="D173" s="51" t="str">
        <x:f>IF(165&gt;$H$4,"",IF(INDEX('Fleet dates'!$D$9:$D$1008,$I173-8)="","",INDEX('Fleet dates'!$D$9:$D$1008,$I173-8)))</x:f>
      </x:c>
      <x:c r="E173" s="51" t="str">
        <x:f>IF(165&gt;$H$4,"",IF(INDEX('Fleet dates'!$E$9:$E$1008,$I173-8)="","",INDEX('Fleet dates'!$E$9:$E$1008,$I173-8)))</x:f>
      </x:c>
      <x:c r="F173" s="51" t="str">
        <x:f>IF(165&gt;$H$4,"",IF(INDEX('Fleet dates'!$F$9:$F$1008,$I173-8)="","",INDEX('Fleet dates'!$F$9:$F$1008,$I173-8)))</x:f>
      </x:c>
      <x:c r="G173" s="50" t="str">
        <x:f>IF(165&gt;$H$4,"",IF(INDEX('Fleet dates'!$G$9:$G$1008,$I173-8)="","",INDEX('Fleet dates'!$G$9:$G$1008,$I173-8)))</x:f>
      </x:c>
      <x:c r="H173" s="50" t="str">
        <x:f>IF(165&gt;$H$4,"",IF(INDEX('Fleet dates'!$I$9:$I$1008,$I173-8)="","",INDEX('Fleet dates'!$I$9:$I$1008,$I173-8)))</x:f>
      </x:c>
      <x:c r="I173" t="str">
        <x:f>IF(165&gt;$H$4,"",MATCH(165,'Fleet dates'!$L$9:$L$1008,0)+8)</x:f>
      </x:c>
    </x:row>
    <x:row r="174" ht="36" customHeight="1">
      <x:c r="A174" s="50" t="str">
        <x:f>IF(166&gt;$H$4,"",IF(INDEX('Fleet dates'!$A$9:$A$1008,$I174-8)="","",INDEX('Fleet dates'!$A$9:$A$1008,$I174-8)))</x:f>
      </x:c>
      <x:c r="B174" s="50" t="str">
        <x:f>IF(166&gt;$H$4,"",IF(INDEX('Fleet dates'!$B$9:$B$1008,$I174-8)="","",INDEX('Fleet dates'!$B$9:$B$1008,$I174-8)))</x:f>
      </x:c>
      <x:c r="C174" s="51" t="str">
        <x:f>IF(166&gt;$H$4,"",IF(INDEX('Fleet dates'!$C$9:$C$1008,$I174-8)="","",INDEX('Fleet dates'!$C$9:$C$1008,$I174-8)))</x:f>
      </x:c>
      <x:c r="D174" s="51" t="str">
        <x:f>IF(166&gt;$H$4,"",IF(INDEX('Fleet dates'!$D$9:$D$1008,$I174-8)="","",INDEX('Fleet dates'!$D$9:$D$1008,$I174-8)))</x:f>
      </x:c>
      <x:c r="E174" s="51" t="str">
        <x:f>IF(166&gt;$H$4,"",IF(INDEX('Fleet dates'!$E$9:$E$1008,$I174-8)="","",INDEX('Fleet dates'!$E$9:$E$1008,$I174-8)))</x:f>
      </x:c>
      <x:c r="F174" s="51" t="str">
        <x:f>IF(166&gt;$H$4,"",IF(INDEX('Fleet dates'!$F$9:$F$1008,$I174-8)="","",INDEX('Fleet dates'!$F$9:$F$1008,$I174-8)))</x:f>
      </x:c>
      <x:c r="G174" s="50" t="str">
        <x:f>IF(166&gt;$H$4,"",IF(INDEX('Fleet dates'!$G$9:$G$1008,$I174-8)="","",INDEX('Fleet dates'!$G$9:$G$1008,$I174-8)))</x:f>
      </x:c>
      <x:c r="H174" s="50" t="str">
        <x:f>IF(166&gt;$H$4,"",IF(INDEX('Fleet dates'!$I$9:$I$1008,$I174-8)="","",INDEX('Fleet dates'!$I$9:$I$1008,$I174-8)))</x:f>
      </x:c>
      <x:c r="I174" t="str">
        <x:f>IF(166&gt;$H$4,"",MATCH(166,'Fleet dates'!$L$9:$L$1008,0)+8)</x:f>
      </x:c>
    </x:row>
    <x:row r="175" ht="36" customHeight="1">
      <x:c r="A175" s="50" t="str">
        <x:f>IF(167&gt;$H$4,"",IF(INDEX('Fleet dates'!$A$9:$A$1008,$I175-8)="","",INDEX('Fleet dates'!$A$9:$A$1008,$I175-8)))</x:f>
      </x:c>
      <x:c r="B175" s="50" t="str">
        <x:f>IF(167&gt;$H$4,"",IF(INDEX('Fleet dates'!$B$9:$B$1008,$I175-8)="","",INDEX('Fleet dates'!$B$9:$B$1008,$I175-8)))</x:f>
      </x:c>
      <x:c r="C175" s="51" t="str">
        <x:f>IF(167&gt;$H$4,"",IF(INDEX('Fleet dates'!$C$9:$C$1008,$I175-8)="","",INDEX('Fleet dates'!$C$9:$C$1008,$I175-8)))</x:f>
      </x:c>
      <x:c r="D175" s="51" t="str">
        <x:f>IF(167&gt;$H$4,"",IF(INDEX('Fleet dates'!$D$9:$D$1008,$I175-8)="","",INDEX('Fleet dates'!$D$9:$D$1008,$I175-8)))</x:f>
      </x:c>
      <x:c r="E175" s="51" t="str">
        <x:f>IF(167&gt;$H$4,"",IF(INDEX('Fleet dates'!$E$9:$E$1008,$I175-8)="","",INDEX('Fleet dates'!$E$9:$E$1008,$I175-8)))</x:f>
      </x:c>
      <x:c r="F175" s="51" t="str">
        <x:f>IF(167&gt;$H$4,"",IF(INDEX('Fleet dates'!$F$9:$F$1008,$I175-8)="","",INDEX('Fleet dates'!$F$9:$F$1008,$I175-8)))</x:f>
      </x:c>
      <x:c r="G175" s="50" t="str">
        <x:f>IF(167&gt;$H$4,"",IF(INDEX('Fleet dates'!$G$9:$G$1008,$I175-8)="","",INDEX('Fleet dates'!$G$9:$G$1008,$I175-8)))</x:f>
      </x:c>
      <x:c r="H175" s="50" t="str">
        <x:f>IF(167&gt;$H$4,"",IF(INDEX('Fleet dates'!$I$9:$I$1008,$I175-8)="","",INDEX('Fleet dates'!$I$9:$I$1008,$I175-8)))</x:f>
      </x:c>
      <x:c r="I175" t="str">
        <x:f>IF(167&gt;$H$4,"",MATCH(167,'Fleet dates'!$L$9:$L$1008,0)+8)</x:f>
      </x:c>
    </x:row>
    <x:row r="176" ht="36" customHeight="1">
      <x:c r="A176" s="50" t="str">
        <x:f>IF(168&gt;$H$4,"",IF(INDEX('Fleet dates'!$A$9:$A$1008,$I176-8)="","",INDEX('Fleet dates'!$A$9:$A$1008,$I176-8)))</x:f>
      </x:c>
      <x:c r="B176" s="50" t="str">
        <x:f>IF(168&gt;$H$4,"",IF(INDEX('Fleet dates'!$B$9:$B$1008,$I176-8)="","",INDEX('Fleet dates'!$B$9:$B$1008,$I176-8)))</x:f>
      </x:c>
      <x:c r="C176" s="51" t="str">
        <x:f>IF(168&gt;$H$4,"",IF(INDEX('Fleet dates'!$C$9:$C$1008,$I176-8)="","",INDEX('Fleet dates'!$C$9:$C$1008,$I176-8)))</x:f>
      </x:c>
      <x:c r="D176" s="51" t="str">
        <x:f>IF(168&gt;$H$4,"",IF(INDEX('Fleet dates'!$D$9:$D$1008,$I176-8)="","",INDEX('Fleet dates'!$D$9:$D$1008,$I176-8)))</x:f>
      </x:c>
      <x:c r="E176" s="51" t="str">
        <x:f>IF(168&gt;$H$4,"",IF(INDEX('Fleet dates'!$E$9:$E$1008,$I176-8)="","",INDEX('Fleet dates'!$E$9:$E$1008,$I176-8)))</x:f>
      </x:c>
      <x:c r="F176" s="51" t="str">
        <x:f>IF(168&gt;$H$4,"",IF(INDEX('Fleet dates'!$F$9:$F$1008,$I176-8)="","",INDEX('Fleet dates'!$F$9:$F$1008,$I176-8)))</x:f>
      </x:c>
      <x:c r="G176" s="50" t="str">
        <x:f>IF(168&gt;$H$4,"",IF(INDEX('Fleet dates'!$G$9:$G$1008,$I176-8)="","",INDEX('Fleet dates'!$G$9:$G$1008,$I176-8)))</x:f>
      </x:c>
      <x:c r="H176" s="50" t="str">
        <x:f>IF(168&gt;$H$4,"",IF(INDEX('Fleet dates'!$I$9:$I$1008,$I176-8)="","",INDEX('Fleet dates'!$I$9:$I$1008,$I176-8)))</x:f>
      </x:c>
      <x:c r="I176" t="str">
        <x:f>IF(168&gt;$H$4,"",MATCH(168,'Fleet dates'!$L$9:$L$1008,0)+8)</x:f>
      </x:c>
    </x:row>
    <x:row r="177" ht="36" customHeight="1">
      <x:c r="A177" s="50" t="str">
        <x:f>IF(169&gt;$H$4,"",IF(INDEX('Fleet dates'!$A$9:$A$1008,$I177-8)="","",INDEX('Fleet dates'!$A$9:$A$1008,$I177-8)))</x:f>
      </x:c>
      <x:c r="B177" s="50" t="str">
        <x:f>IF(169&gt;$H$4,"",IF(INDEX('Fleet dates'!$B$9:$B$1008,$I177-8)="","",INDEX('Fleet dates'!$B$9:$B$1008,$I177-8)))</x:f>
      </x:c>
      <x:c r="C177" s="51" t="str">
        <x:f>IF(169&gt;$H$4,"",IF(INDEX('Fleet dates'!$C$9:$C$1008,$I177-8)="","",INDEX('Fleet dates'!$C$9:$C$1008,$I177-8)))</x:f>
      </x:c>
      <x:c r="D177" s="51" t="str">
        <x:f>IF(169&gt;$H$4,"",IF(INDEX('Fleet dates'!$D$9:$D$1008,$I177-8)="","",INDEX('Fleet dates'!$D$9:$D$1008,$I177-8)))</x:f>
      </x:c>
      <x:c r="E177" s="51" t="str">
        <x:f>IF(169&gt;$H$4,"",IF(INDEX('Fleet dates'!$E$9:$E$1008,$I177-8)="","",INDEX('Fleet dates'!$E$9:$E$1008,$I177-8)))</x:f>
      </x:c>
      <x:c r="F177" s="51" t="str">
        <x:f>IF(169&gt;$H$4,"",IF(INDEX('Fleet dates'!$F$9:$F$1008,$I177-8)="","",INDEX('Fleet dates'!$F$9:$F$1008,$I177-8)))</x:f>
      </x:c>
      <x:c r="G177" s="50" t="str">
        <x:f>IF(169&gt;$H$4,"",IF(INDEX('Fleet dates'!$G$9:$G$1008,$I177-8)="","",INDEX('Fleet dates'!$G$9:$G$1008,$I177-8)))</x:f>
      </x:c>
      <x:c r="H177" s="50" t="str">
        <x:f>IF(169&gt;$H$4,"",IF(INDEX('Fleet dates'!$I$9:$I$1008,$I177-8)="","",INDEX('Fleet dates'!$I$9:$I$1008,$I177-8)))</x:f>
      </x:c>
      <x:c r="I177" t="str">
        <x:f>IF(169&gt;$H$4,"",MATCH(169,'Fleet dates'!$L$9:$L$1008,0)+8)</x:f>
      </x:c>
    </x:row>
    <x:row r="178" ht="36" customHeight="1">
      <x:c r="A178" s="50" t="str">
        <x:f>IF(170&gt;$H$4,"",IF(INDEX('Fleet dates'!$A$9:$A$1008,$I178-8)="","",INDEX('Fleet dates'!$A$9:$A$1008,$I178-8)))</x:f>
      </x:c>
      <x:c r="B178" s="50" t="str">
        <x:f>IF(170&gt;$H$4,"",IF(INDEX('Fleet dates'!$B$9:$B$1008,$I178-8)="","",INDEX('Fleet dates'!$B$9:$B$1008,$I178-8)))</x:f>
      </x:c>
      <x:c r="C178" s="51" t="str">
        <x:f>IF(170&gt;$H$4,"",IF(INDEX('Fleet dates'!$C$9:$C$1008,$I178-8)="","",INDEX('Fleet dates'!$C$9:$C$1008,$I178-8)))</x:f>
      </x:c>
      <x:c r="D178" s="51" t="str">
        <x:f>IF(170&gt;$H$4,"",IF(INDEX('Fleet dates'!$D$9:$D$1008,$I178-8)="","",INDEX('Fleet dates'!$D$9:$D$1008,$I178-8)))</x:f>
      </x:c>
      <x:c r="E178" s="51" t="str">
        <x:f>IF(170&gt;$H$4,"",IF(INDEX('Fleet dates'!$E$9:$E$1008,$I178-8)="","",INDEX('Fleet dates'!$E$9:$E$1008,$I178-8)))</x:f>
      </x:c>
      <x:c r="F178" s="51" t="str">
        <x:f>IF(170&gt;$H$4,"",IF(INDEX('Fleet dates'!$F$9:$F$1008,$I178-8)="","",INDEX('Fleet dates'!$F$9:$F$1008,$I178-8)))</x:f>
      </x:c>
      <x:c r="G178" s="50" t="str">
        <x:f>IF(170&gt;$H$4,"",IF(INDEX('Fleet dates'!$G$9:$G$1008,$I178-8)="","",INDEX('Fleet dates'!$G$9:$G$1008,$I178-8)))</x:f>
      </x:c>
      <x:c r="H178" s="50" t="str">
        <x:f>IF(170&gt;$H$4,"",IF(INDEX('Fleet dates'!$I$9:$I$1008,$I178-8)="","",INDEX('Fleet dates'!$I$9:$I$1008,$I178-8)))</x:f>
      </x:c>
      <x:c r="I178" t="str">
        <x:f>IF(170&gt;$H$4,"",MATCH(170,'Fleet dates'!$L$9:$L$1008,0)+8)</x:f>
      </x:c>
    </x:row>
    <x:row r="179" ht="36" customHeight="1">
      <x:c r="A179" s="50" t="str">
        <x:f>IF(171&gt;$H$4,"",IF(INDEX('Fleet dates'!$A$9:$A$1008,$I179-8)="","",INDEX('Fleet dates'!$A$9:$A$1008,$I179-8)))</x:f>
      </x:c>
      <x:c r="B179" s="50" t="str">
        <x:f>IF(171&gt;$H$4,"",IF(INDEX('Fleet dates'!$B$9:$B$1008,$I179-8)="","",INDEX('Fleet dates'!$B$9:$B$1008,$I179-8)))</x:f>
      </x:c>
      <x:c r="C179" s="51" t="str">
        <x:f>IF(171&gt;$H$4,"",IF(INDEX('Fleet dates'!$C$9:$C$1008,$I179-8)="","",INDEX('Fleet dates'!$C$9:$C$1008,$I179-8)))</x:f>
      </x:c>
      <x:c r="D179" s="51" t="str">
        <x:f>IF(171&gt;$H$4,"",IF(INDEX('Fleet dates'!$D$9:$D$1008,$I179-8)="","",INDEX('Fleet dates'!$D$9:$D$1008,$I179-8)))</x:f>
      </x:c>
      <x:c r="E179" s="51" t="str">
        <x:f>IF(171&gt;$H$4,"",IF(INDEX('Fleet dates'!$E$9:$E$1008,$I179-8)="","",INDEX('Fleet dates'!$E$9:$E$1008,$I179-8)))</x:f>
      </x:c>
      <x:c r="F179" s="51" t="str">
        <x:f>IF(171&gt;$H$4,"",IF(INDEX('Fleet dates'!$F$9:$F$1008,$I179-8)="","",INDEX('Fleet dates'!$F$9:$F$1008,$I179-8)))</x:f>
      </x:c>
      <x:c r="G179" s="50" t="str">
        <x:f>IF(171&gt;$H$4,"",IF(INDEX('Fleet dates'!$G$9:$G$1008,$I179-8)="","",INDEX('Fleet dates'!$G$9:$G$1008,$I179-8)))</x:f>
      </x:c>
      <x:c r="H179" s="50" t="str">
        <x:f>IF(171&gt;$H$4,"",IF(INDEX('Fleet dates'!$I$9:$I$1008,$I179-8)="","",INDEX('Fleet dates'!$I$9:$I$1008,$I179-8)))</x:f>
      </x:c>
      <x:c r="I179" t="str">
        <x:f>IF(171&gt;$H$4,"",MATCH(171,'Fleet dates'!$L$9:$L$1008,0)+8)</x:f>
      </x:c>
    </x:row>
    <x:row r="180" ht="36" customHeight="1">
      <x:c r="A180" s="50" t="str">
        <x:f>IF(172&gt;$H$4,"",IF(INDEX('Fleet dates'!$A$9:$A$1008,$I180-8)="","",INDEX('Fleet dates'!$A$9:$A$1008,$I180-8)))</x:f>
      </x:c>
      <x:c r="B180" s="50" t="str">
        <x:f>IF(172&gt;$H$4,"",IF(INDEX('Fleet dates'!$B$9:$B$1008,$I180-8)="","",INDEX('Fleet dates'!$B$9:$B$1008,$I180-8)))</x:f>
      </x:c>
      <x:c r="C180" s="51" t="str">
        <x:f>IF(172&gt;$H$4,"",IF(INDEX('Fleet dates'!$C$9:$C$1008,$I180-8)="","",INDEX('Fleet dates'!$C$9:$C$1008,$I180-8)))</x:f>
      </x:c>
      <x:c r="D180" s="51" t="str">
        <x:f>IF(172&gt;$H$4,"",IF(INDEX('Fleet dates'!$D$9:$D$1008,$I180-8)="","",INDEX('Fleet dates'!$D$9:$D$1008,$I180-8)))</x:f>
      </x:c>
      <x:c r="E180" s="51" t="str">
        <x:f>IF(172&gt;$H$4,"",IF(INDEX('Fleet dates'!$E$9:$E$1008,$I180-8)="","",INDEX('Fleet dates'!$E$9:$E$1008,$I180-8)))</x:f>
      </x:c>
      <x:c r="F180" s="51" t="str">
        <x:f>IF(172&gt;$H$4,"",IF(INDEX('Fleet dates'!$F$9:$F$1008,$I180-8)="","",INDEX('Fleet dates'!$F$9:$F$1008,$I180-8)))</x:f>
      </x:c>
      <x:c r="G180" s="50" t="str">
        <x:f>IF(172&gt;$H$4,"",IF(INDEX('Fleet dates'!$G$9:$G$1008,$I180-8)="","",INDEX('Fleet dates'!$G$9:$G$1008,$I180-8)))</x:f>
      </x:c>
      <x:c r="H180" s="50" t="str">
        <x:f>IF(172&gt;$H$4,"",IF(INDEX('Fleet dates'!$I$9:$I$1008,$I180-8)="","",INDEX('Fleet dates'!$I$9:$I$1008,$I180-8)))</x:f>
      </x:c>
      <x:c r="I180" t="str">
        <x:f>IF(172&gt;$H$4,"",MATCH(172,'Fleet dates'!$L$9:$L$1008,0)+8)</x:f>
      </x:c>
    </x:row>
    <x:row r="181" ht="36" customHeight="1">
      <x:c r="A181" s="50" t="str">
        <x:f>IF(173&gt;$H$4,"",IF(INDEX('Fleet dates'!$A$9:$A$1008,$I181-8)="","",INDEX('Fleet dates'!$A$9:$A$1008,$I181-8)))</x:f>
      </x:c>
      <x:c r="B181" s="50" t="str">
        <x:f>IF(173&gt;$H$4,"",IF(INDEX('Fleet dates'!$B$9:$B$1008,$I181-8)="","",INDEX('Fleet dates'!$B$9:$B$1008,$I181-8)))</x:f>
      </x:c>
      <x:c r="C181" s="51" t="str">
        <x:f>IF(173&gt;$H$4,"",IF(INDEX('Fleet dates'!$C$9:$C$1008,$I181-8)="","",INDEX('Fleet dates'!$C$9:$C$1008,$I181-8)))</x:f>
      </x:c>
      <x:c r="D181" s="51" t="str">
        <x:f>IF(173&gt;$H$4,"",IF(INDEX('Fleet dates'!$D$9:$D$1008,$I181-8)="","",INDEX('Fleet dates'!$D$9:$D$1008,$I181-8)))</x:f>
      </x:c>
      <x:c r="E181" s="51" t="str">
        <x:f>IF(173&gt;$H$4,"",IF(INDEX('Fleet dates'!$E$9:$E$1008,$I181-8)="","",INDEX('Fleet dates'!$E$9:$E$1008,$I181-8)))</x:f>
      </x:c>
      <x:c r="F181" s="51" t="str">
        <x:f>IF(173&gt;$H$4,"",IF(INDEX('Fleet dates'!$F$9:$F$1008,$I181-8)="","",INDEX('Fleet dates'!$F$9:$F$1008,$I181-8)))</x:f>
      </x:c>
      <x:c r="G181" s="50" t="str">
        <x:f>IF(173&gt;$H$4,"",IF(INDEX('Fleet dates'!$G$9:$G$1008,$I181-8)="","",INDEX('Fleet dates'!$G$9:$G$1008,$I181-8)))</x:f>
      </x:c>
      <x:c r="H181" s="50" t="str">
        <x:f>IF(173&gt;$H$4,"",IF(INDEX('Fleet dates'!$I$9:$I$1008,$I181-8)="","",INDEX('Fleet dates'!$I$9:$I$1008,$I181-8)))</x:f>
      </x:c>
      <x:c r="I181" t="str">
        <x:f>IF(173&gt;$H$4,"",MATCH(173,'Fleet dates'!$L$9:$L$1008,0)+8)</x:f>
      </x:c>
    </x:row>
    <x:row r="182" ht="36" customHeight="1">
      <x:c r="A182" s="50" t="str">
        <x:f>IF(174&gt;$H$4,"",IF(INDEX('Fleet dates'!$A$9:$A$1008,$I182-8)="","",INDEX('Fleet dates'!$A$9:$A$1008,$I182-8)))</x:f>
      </x:c>
      <x:c r="B182" s="50" t="str">
        <x:f>IF(174&gt;$H$4,"",IF(INDEX('Fleet dates'!$B$9:$B$1008,$I182-8)="","",INDEX('Fleet dates'!$B$9:$B$1008,$I182-8)))</x:f>
      </x:c>
      <x:c r="C182" s="51" t="str">
        <x:f>IF(174&gt;$H$4,"",IF(INDEX('Fleet dates'!$C$9:$C$1008,$I182-8)="","",INDEX('Fleet dates'!$C$9:$C$1008,$I182-8)))</x:f>
      </x:c>
      <x:c r="D182" s="51" t="str">
        <x:f>IF(174&gt;$H$4,"",IF(INDEX('Fleet dates'!$D$9:$D$1008,$I182-8)="","",INDEX('Fleet dates'!$D$9:$D$1008,$I182-8)))</x:f>
      </x:c>
      <x:c r="E182" s="51" t="str">
        <x:f>IF(174&gt;$H$4,"",IF(INDEX('Fleet dates'!$E$9:$E$1008,$I182-8)="","",INDEX('Fleet dates'!$E$9:$E$1008,$I182-8)))</x:f>
      </x:c>
      <x:c r="F182" s="51" t="str">
        <x:f>IF(174&gt;$H$4,"",IF(INDEX('Fleet dates'!$F$9:$F$1008,$I182-8)="","",INDEX('Fleet dates'!$F$9:$F$1008,$I182-8)))</x:f>
      </x:c>
      <x:c r="G182" s="50" t="str">
        <x:f>IF(174&gt;$H$4,"",IF(INDEX('Fleet dates'!$G$9:$G$1008,$I182-8)="","",INDEX('Fleet dates'!$G$9:$G$1008,$I182-8)))</x:f>
      </x:c>
      <x:c r="H182" s="50" t="str">
        <x:f>IF(174&gt;$H$4,"",IF(INDEX('Fleet dates'!$I$9:$I$1008,$I182-8)="","",INDEX('Fleet dates'!$I$9:$I$1008,$I182-8)))</x:f>
      </x:c>
      <x:c r="I182" t="str">
        <x:f>IF(174&gt;$H$4,"",MATCH(174,'Fleet dates'!$L$9:$L$1008,0)+8)</x:f>
      </x:c>
    </x:row>
    <x:row r="183" ht="36" customHeight="1">
      <x:c r="A183" s="50" t="str">
        <x:f>IF(175&gt;$H$4,"",IF(INDEX('Fleet dates'!$A$9:$A$1008,$I183-8)="","",INDEX('Fleet dates'!$A$9:$A$1008,$I183-8)))</x:f>
      </x:c>
      <x:c r="B183" s="50" t="str">
        <x:f>IF(175&gt;$H$4,"",IF(INDEX('Fleet dates'!$B$9:$B$1008,$I183-8)="","",INDEX('Fleet dates'!$B$9:$B$1008,$I183-8)))</x:f>
      </x:c>
      <x:c r="C183" s="51" t="str">
        <x:f>IF(175&gt;$H$4,"",IF(INDEX('Fleet dates'!$C$9:$C$1008,$I183-8)="","",INDEX('Fleet dates'!$C$9:$C$1008,$I183-8)))</x:f>
      </x:c>
      <x:c r="D183" s="51" t="str">
        <x:f>IF(175&gt;$H$4,"",IF(INDEX('Fleet dates'!$D$9:$D$1008,$I183-8)="","",INDEX('Fleet dates'!$D$9:$D$1008,$I183-8)))</x:f>
      </x:c>
      <x:c r="E183" s="51" t="str">
        <x:f>IF(175&gt;$H$4,"",IF(INDEX('Fleet dates'!$E$9:$E$1008,$I183-8)="","",INDEX('Fleet dates'!$E$9:$E$1008,$I183-8)))</x:f>
      </x:c>
      <x:c r="F183" s="51" t="str">
        <x:f>IF(175&gt;$H$4,"",IF(INDEX('Fleet dates'!$F$9:$F$1008,$I183-8)="","",INDEX('Fleet dates'!$F$9:$F$1008,$I183-8)))</x:f>
      </x:c>
      <x:c r="G183" s="50" t="str">
        <x:f>IF(175&gt;$H$4,"",IF(INDEX('Fleet dates'!$G$9:$G$1008,$I183-8)="","",INDEX('Fleet dates'!$G$9:$G$1008,$I183-8)))</x:f>
      </x:c>
      <x:c r="H183" s="50" t="str">
        <x:f>IF(175&gt;$H$4,"",IF(INDEX('Fleet dates'!$I$9:$I$1008,$I183-8)="","",INDEX('Fleet dates'!$I$9:$I$1008,$I183-8)))</x:f>
      </x:c>
      <x:c r="I183" t="str">
        <x:f>IF(175&gt;$H$4,"",MATCH(175,'Fleet dates'!$L$9:$L$1008,0)+8)</x:f>
      </x:c>
    </x:row>
    <x:row r="184" ht="36" customHeight="1">
      <x:c r="A184" s="50" t="str">
        <x:f>IF(176&gt;$H$4,"",IF(INDEX('Fleet dates'!$A$9:$A$1008,$I184-8)="","",INDEX('Fleet dates'!$A$9:$A$1008,$I184-8)))</x:f>
      </x:c>
      <x:c r="B184" s="50" t="str">
        <x:f>IF(176&gt;$H$4,"",IF(INDEX('Fleet dates'!$B$9:$B$1008,$I184-8)="","",INDEX('Fleet dates'!$B$9:$B$1008,$I184-8)))</x:f>
      </x:c>
      <x:c r="C184" s="51" t="str">
        <x:f>IF(176&gt;$H$4,"",IF(INDEX('Fleet dates'!$C$9:$C$1008,$I184-8)="","",INDEX('Fleet dates'!$C$9:$C$1008,$I184-8)))</x:f>
      </x:c>
      <x:c r="D184" s="51" t="str">
        <x:f>IF(176&gt;$H$4,"",IF(INDEX('Fleet dates'!$D$9:$D$1008,$I184-8)="","",INDEX('Fleet dates'!$D$9:$D$1008,$I184-8)))</x:f>
      </x:c>
      <x:c r="E184" s="51" t="str">
        <x:f>IF(176&gt;$H$4,"",IF(INDEX('Fleet dates'!$E$9:$E$1008,$I184-8)="","",INDEX('Fleet dates'!$E$9:$E$1008,$I184-8)))</x:f>
      </x:c>
      <x:c r="F184" s="51" t="str">
        <x:f>IF(176&gt;$H$4,"",IF(INDEX('Fleet dates'!$F$9:$F$1008,$I184-8)="","",INDEX('Fleet dates'!$F$9:$F$1008,$I184-8)))</x:f>
      </x:c>
      <x:c r="G184" s="50" t="str">
        <x:f>IF(176&gt;$H$4,"",IF(INDEX('Fleet dates'!$G$9:$G$1008,$I184-8)="","",INDEX('Fleet dates'!$G$9:$G$1008,$I184-8)))</x:f>
      </x:c>
      <x:c r="H184" s="50" t="str">
        <x:f>IF(176&gt;$H$4,"",IF(INDEX('Fleet dates'!$I$9:$I$1008,$I184-8)="","",INDEX('Fleet dates'!$I$9:$I$1008,$I184-8)))</x:f>
      </x:c>
      <x:c r="I184" t="str">
        <x:f>IF(176&gt;$H$4,"",MATCH(176,'Fleet dates'!$L$9:$L$1008,0)+8)</x:f>
      </x:c>
    </x:row>
    <x:row r="185" ht="36" customHeight="1">
      <x:c r="A185" s="50" t="str">
        <x:f>IF(177&gt;$H$4,"",IF(INDEX('Fleet dates'!$A$9:$A$1008,$I185-8)="","",INDEX('Fleet dates'!$A$9:$A$1008,$I185-8)))</x:f>
      </x:c>
      <x:c r="B185" s="50" t="str">
        <x:f>IF(177&gt;$H$4,"",IF(INDEX('Fleet dates'!$B$9:$B$1008,$I185-8)="","",INDEX('Fleet dates'!$B$9:$B$1008,$I185-8)))</x:f>
      </x:c>
      <x:c r="C185" s="51" t="str">
        <x:f>IF(177&gt;$H$4,"",IF(INDEX('Fleet dates'!$C$9:$C$1008,$I185-8)="","",INDEX('Fleet dates'!$C$9:$C$1008,$I185-8)))</x:f>
      </x:c>
      <x:c r="D185" s="51" t="str">
        <x:f>IF(177&gt;$H$4,"",IF(INDEX('Fleet dates'!$D$9:$D$1008,$I185-8)="","",INDEX('Fleet dates'!$D$9:$D$1008,$I185-8)))</x:f>
      </x:c>
      <x:c r="E185" s="51" t="str">
        <x:f>IF(177&gt;$H$4,"",IF(INDEX('Fleet dates'!$E$9:$E$1008,$I185-8)="","",INDEX('Fleet dates'!$E$9:$E$1008,$I185-8)))</x:f>
      </x:c>
      <x:c r="F185" s="51" t="str">
        <x:f>IF(177&gt;$H$4,"",IF(INDEX('Fleet dates'!$F$9:$F$1008,$I185-8)="","",INDEX('Fleet dates'!$F$9:$F$1008,$I185-8)))</x:f>
      </x:c>
      <x:c r="G185" s="50" t="str">
        <x:f>IF(177&gt;$H$4,"",IF(INDEX('Fleet dates'!$G$9:$G$1008,$I185-8)="","",INDEX('Fleet dates'!$G$9:$G$1008,$I185-8)))</x:f>
      </x:c>
      <x:c r="H185" s="50" t="str">
        <x:f>IF(177&gt;$H$4,"",IF(INDEX('Fleet dates'!$I$9:$I$1008,$I185-8)="","",INDEX('Fleet dates'!$I$9:$I$1008,$I185-8)))</x:f>
      </x:c>
      <x:c r="I185" t="str">
        <x:f>IF(177&gt;$H$4,"",MATCH(177,'Fleet dates'!$L$9:$L$1008,0)+8)</x:f>
      </x:c>
    </x:row>
    <x:row r="186" ht="36" customHeight="1">
      <x:c r="A186" s="50" t="str">
        <x:f>IF(178&gt;$H$4,"",IF(INDEX('Fleet dates'!$A$9:$A$1008,$I186-8)="","",INDEX('Fleet dates'!$A$9:$A$1008,$I186-8)))</x:f>
      </x:c>
      <x:c r="B186" s="50" t="str">
        <x:f>IF(178&gt;$H$4,"",IF(INDEX('Fleet dates'!$B$9:$B$1008,$I186-8)="","",INDEX('Fleet dates'!$B$9:$B$1008,$I186-8)))</x:f>
      </x:c>
      <x:c r="C186" s="51" t="str">
        <x:f>IF(178&gt;$H$4,"",IF(INDEX('Fleet dates'!$C$9:$C$1008,$I186-8)="","",INDEX('Fleet dates'!$C$9:$C$1008,$I186-8)))</x:f>
      </x:c>
      <x:c r="D186" s="51" t="str">
        <x:f>IF(178&gt;$H$4,"",IF(INDEX('Fleet dates'!$D$9:$D$1008,$I186-8)="","",INDEX('Fleet dates'!$D$9:$D$1008,$I186-8)))</x:f>
      </x:c>
      <x:c r="E186" s="51" t="str">
        <x:f>IF(178&gt;$H$4,"",IF(INDEX('Fleet dates'!$E$9:$E$1008,$I186-8)="","",INDEX('Fleet dates'!$E$9:$E$1008,$I186-8)))</x:f>
      </x:c>
      <x:c r="F186" s="51" t="str">
        <x:f>IF(178&gt;$H$4,"",IF(INDEX('Fleet dates'!$F$9:$F$1008,$I186-8)="","",INDEX('Fleet dates'!$F$9:$F$1008,$I186-8)))</x:f>
      </x:c>
      <x:c r="G186" s="50" t="str">
        <x:f>IF(178&gt;$H$4,"",IF(INDEX('Fleet dates'!$G$9:$G$1008,$I186-8)="","",INDEX('Fleet dates'!$G$9:$G$1008,$I186-8)))</x:f>
      </x:c>
      <x:c r="H186" s="50" t="str">
        <x:f>IF(178&gt;$H$4,"",IF(INDEX('Fleet dates'!$I$9:$I$1008,$I186-8)="","",INDEX('Fleet dates'!$I$9:$I$1008,$I186-8)))</x:f>
      </x:c>
      <x:c r="I186" t="str">
        <x:f>IF(178&gt;$H$4,"",MATCH(178,'Fleet dates'!$L$9:$L$1008,0)+8)</x:f>
      </x:c>
    </x:row>
    <x:row r="187" ht="36" customHeight="1">
      <x:c r="A187" s="50" t="str">
        <x:f>IF(179&gt;$H$4,"",IF(INDEX('Fleet dates'!$A$9:$A$1008,$I187-8)="","",INDEX('Fleet dates'!$A$9:$A$1008,$I187-8)))</x:f>
      </x:c>
      <x:c r="B187" s="50" t="str">
        <x:f>IF(179&gt;$H$4,"",IF(INDEX('Fleet dates'!$B$9:$B$1008,$I187-8)="","",INDEX('Fleet dates'!$B$9:$B$1008,$I187-8)))</x:f>
      </x:c>
      <x:c r="C187" s="51" t="str">
        <x:f>IF(179&gt;$H$4,"",IF(INDEX('Fleet dates'!$C$9:$C$1008,$I187-8)="","",INDEX('Fleet dates'!$C$9:$C$1008,$I187-8)))</x:f>
      </x:c>
      <x:c r="D187" s="51" t="str">
        <x:f>IF(179&gt;$H$4,"",IF(INDEX('Fleet dates'!$D$9:$D$1008,$I187-8)="","",INDEX('Fleet dates'!$D$9:$D$1008,$I187-8)))</x:f>
      </x:c>
      <x:c r="E187" s="51" t="str">
        <x:f>IF(179&gt;$H$4,"",IF(INDEX('Fleet dates'!$E$9:$E$1008,$I187-8)="","",INDEX('Fleet dates'!$E$9:$E$1008,$I187-8)))</x:f>
      </x:c>
      <x:c r="F187" s="51" t="str">
        <x:f>IF(179&gt;$H$4,"",IF(INDEX('Fleet dates'!$F$9:$F$1008,$I187-8)="","",INDEX('Fleet dates'!$F$9:$F$1008,$I187-8)))</x:f>
      </x:c>
      <x:c r="G187" s="50" t="str">
        <x:f>IF(179&gt;$H$4,"",IF(INDEX('Fleet dates'!$G$9:$G$1008,$I187-8)="","",INDEX('Fleet dates'!$G$9:$G$1008,$I187-8)))</x:f>
      </x:c>
      <x:c r="H187" s="50" t="str">
        <x:f>IF(179&gt;$H$4,"",IF(INDEX('Fleet dates'!$I$9:$I$1008,$I187-8)="","",INDEX('Fleet dates'!$I$9:$I$1008,$I187-8)))</x:f>
      </x:c>
      <x:c r="I187" t="str">
        <x:f>IF(179&gt;$H$4,"",MATCH(179,'Fleet dates'!$L$9:$L$1008,0)+8)</x:f>
      </x:c>
    </x:row>
    <x:row r="188" ht="36" customHeight="1">
      <x:c r="A188" s="50" t="str">
        <x:f>IF(180&gt;$H$4,"",IF(INDEX('Fleet dates'!$A$9:$A$1008,$I188-8)="","",INDEX('Fleet dates'!$A$9:$A$1008,$I188-8)))</x:f>
      </x:c>
      <x:c r="B188" s="50" t="str">
        <x:f>IF(180&gt;$H$4,"",IF(INDEX('Fleet dates'!$B$9:$B$1008,$I188-8)="","",INDEX('Fleet dates'!$B$9:$B$1008,$I188-8)))</x:f>
      </x:c>
      <x:c r="C188" s="51" t="str">
        <x:f>IF(180&gt;$H$4,"",IF(INDEX('Fleet dates'!$C$9:$C$1008,$I188-8)="","",INDEX('Fleet dates'!$C$9:$C$1008,$I188-8)))</x:f>
      </x:c>
      <x:c r="D188" s="51" t="str">
        <x:f>IF(180&gt;$H$4,"",IF(INDEX('Fleet dates'!$D$9:$D$1008,$I188-8)="","",INDEX('Fleet dates'!$D$9:$D$1008,$I188-8)))</x:f>
      </x:c>
      <x:c r="E188" s="51" t="str">
        <x:f>IF(180&gt;$H$4,"",IF(INDEX('Fleet dates'!$E$9:$E$1008,$I188-8)="","",INDEX('Fleet dates'!$E$9:$E$1008,$I188-8)))</x:f>
      </x:c>
      <x:c r="F188" s="51" t="str">
        <x:f>IF(180&gt;$H$4,"",IF(INDEX('Fleet dates'!$F$9:$F$1008,$I188-8)="","",INDEX('Fleet dates'!$F$9:$F$1008,$I188-8)))</x:f>
      </x:c>
      <x:c r="G188" s="50" t="str">
        <x:f>IF(180&gt;$H$4,"",IF(INDEX('Fleet dates'!$G$9:$G$1008,$I188-8)="","",INDEX('Fleet dates'!$G$9:$G$1008,$I188-8)))</x:f>
      </x:c>
      <x:c r="H188" s="50" t="str">
        <x:f>IF(180&gt;$H$4,"",IF(INDEX('Fleet dates'!$I$9:$I$1008,$I188-8)="","",INDEX('Fleet dates'!$I$9:$I$1008,$I188-8)))</x:f>
      </x:c>
      <x:c r="I188" t="str">
        <x:f>IF(180&gt;$H$4,"",MATCH(180,'Fleet dates'!$L$9:$L$1008,0)+8)</x:f>
      </x:c>
    </x:row>
    <x:row r="189" ht="36" customHeight="1">
      <x:c r="A189" s="50" t="str">
        <x:f>IF(181&gt;$H$4,"",IF(INDEX('Fleet dates'!$A$9:$A$1008,$I189-8)="","",INDEX('Fleet dates'!$A$9:$A$1008,$I189-8)))</x:f>
      </x:c>
      <x:c r="B189" s="50" t="str">
        <x:f>IF(181&gt;$H$4,"",IF(INDEX('Fleet dates'!$B$9:$B$1008,$I189-8)="","",INDEX('Fleet dates'!$B$9:$B$1008,$I189-8)))</x:f>
      </x:c>
      <x:c r="C189" s="51" t="str">
        <x:f>IF(181&gt;$H$4,"",IF(INDEX('Fleet dates'!$C$9:$C$1008,$I189-8)="","",INDEX('Fleet dates'!$C$9:$C$1008,$I189-8)))</x:f>
      </x:c>
      <x:c r="D189" s="51" t="str">
        <x:f>IF(181&gt;$H$4,"",IF(INDEX('Fleet dates'!$D$9:$D$1008,$I189-8)="","",INDEX('Fleet dates'!$D$9:$D$1008,$I189-8)))</x:f>
      </x:c>
      <x:c r="E189" s="51" t="str">
        <x:f>IF(181&gt;$H$4,"",IF(INDEX('Fleet dates'!$E$9:$E$1008,$I189-8)="","",INDEX('Fleet dates'!$E$9:$E$1008,$I189-8)))</x:f>
      </x:c>
      <x:c r="F189" s="51" t="str">
        <x:f>IF(181&gt;$H$4,"",IF(INDEX('Fleet dates'!$F$9:$F$1008,$I189-8)="","",INDEX('Fleet dates'!$F$9:$F$1008,$I189-8)))</x:f>
      </x:c>
      <x:c r="G189" s="50" t="str">
        <x:f>IF(181&gt;$H$4,"",IF(INDEX('Fleet dates'!$G$9:$G$1008,$I189-8)="","",INDEX('Fleet dates'!$G$9:$G$1008,$I189-8)))</x:f>
      </x:c>
      <x:c r="H189" s="50" t="str">
        <x:f>IF(181&gt;$H$4,"",IF(INDEX('Fleet dates'!$I$9:$I$1008,$I189-8)="","",INDEX('Fleet dates'!$I$9:$I$1008,$I189-8)))</x:f>
      </x:c>
      <x:c r="I189" t="str">
        <x:f>IF(181&gt;$H$4,"",MATCH(181,'Fleet dates'!$L$9:$L$1008,0)+8)</x:f>
      </x:c>
    </x:row>
    <x:row r="190" ht="36" customHeight="1">
      <x:c r="A190" s="50" t="str">
        <x:f>IF(182&gt;$H$4,"",IF(INDEX('Fleet dates'!$A$9:$A$1008,$I190-8)="","",INDEX('Fleet dates'!$A$9:$A$1008,$I190-8)))</x:f>
      </x:c>
      <x:c r="B190" s="50" t="str">
        <x:f>IF(182&gt;$H$4,"",IF(INDEX('Fleet dates'!$B$9:$B$1008,$I190-8)="","",INDEX('Fleet dates'!$B$9:$B$1008,$I190-8)))</x:f>
      </x:c>
      <x:c r="C190" s="51" t="str">
        <x:f>IF(182&gt;$H$4,"",IF(INDEX('Fleet dates'!$C$9:$C$1008,$I190-8)="","",INDEX('Fleet dates'!$C$9:$C$1008,$I190-8)))</x:f>
      </x:c>
      <x:c r="D190" s="51" t="str">
        <x:f>IF(182&gt;$H$4,"",IF(INDEX('Fleet dates'!$D$9:$D$1008,$I190-8)="","",INDEX('Fleet dates'!$D$9:$D$1008,$I190-8)))</x:f>
      </x:c>
      <x:c r="E190" s="51" t="str">
        <x:f>IF(182&gt;$H$4,"",IF(INDEX('Fleet dates'!$E$9:$E$1008,$I190-8)="","",INDEX('Fleet dates'!$E$9:$E$1008,$I190-8)))</x:f>
      </x:c>
      <x:c r="F190" s="51" t="str">
        <x:f>IF(182&gt;$H$4,"",IF(INDEX('Fleet dates'!$F$9:$F$1008,$I190-8)="","",INDEX('Fleet dates'!$F$9:$F$1008,$I190-8)))</x:f>
      </x:c>
      <x:c r="G190" s="50" t="str">
        <x:f>IF(182&gt;$H$4,"",IF(INDEX('Fleet dates'!$G$9:$G$1008,$I190-8)="","",INDEX('Fleet dates'!$G$9:$G$1008,$I190-8)))</x:f>
      </x:c>
      <x:c r="H190" s="50" t="str">
        <x:f>IF(182&gt;$H$4,"",IF(INDEX('Fleet dates'!$I$9:$I$1008,$I190-8)="","",INDEX('Fleet dates'!$I$9:$I$1008,$I190-8)))</x:f>
      </x:c>
      <x:c r="I190" t="str">
        <x:f>IF(182&gt;$H$4,"",MATCH(182,'Fleet dates'!$L$9:$L$1008,0)+8)</x:f>
      </x:c>
    </x:row>
    <x:row r="191" ht="36" customHeight="1">
      <x:c r="A191" s="50" t="str">
        <x:f>IF(183&gt;$H$4,"",IF(INDEX('Fleet dates'!$A$9:$A$1008,$I191-8)="","",INDEX('Fleet dates'!$A$9:$A$1008,$I191-8)))</x:f>
      </x:c>
      <x:c r="B191" s="50" t="str">
        <x:f>IF(183&gt;$H$4,"",IF(INDEX('Fleet dates'!$B$9:$B$1008,$I191-8)="","",INDEX('Fleet dates'!$B$9:$B$1008,$I191-8)))</x:f>
      </x:c>
      <x:c r="C191" s="51" t="str">
        <x:f>IF(183&gt;$H$4,"",IF(INDEX('Fleet dates'!$C$9:$C$1008,$I191-8)="","",INDEX('Fleet dates'!$C$9:$C$1008,$I191-8)))</x:f>
      </x:c>
      <x:c r="D191" s="51" t="str">
        <x:f>IF(183&gt;$H$4,"",IF(INDEX('Fleet dates'!$D$9:$D$1008,$I191-8)="","",INDEX('Fleet dates'!$D$9:$D$1008,$I191-8)))</x:f>
      </x:c>
      <x:c r="E191" s="51" t="str">
        <x:f>IF(183&gt;$H$4,"",IF(INDEX('Fleet dates'!$E$9:$E$1008,$I191-8)="","",INDEX('Fleet dates'!$E$9:$E$1008,$I191-8)))</x:f>
      </x:c>
      <x:c r="F191" s="51" t="str">
        <x:f>IF(183&gt;$H$4,"",IF(INDEX('Fleet dates'!$F$9:$F$1008,$I191-8)="","",INDEX('Fleet dates'!$F$9:$F$1008,$I191-8)))</x:f>
      </x:c>
      <x:c r="G191" s="50" t="str">
        <x:f>IF(183&gt;$H$4,"",IF(INDEX('Fleet dates'!$G$9:$G$1008,$I191-8)="","",INDEX('Fleet dates'!$G$9:$G$1008,$I191-8)))</x:f>
      </x:c>
      <x:c r="H191" s="50" t="str">
        <x:f>IF(183&gt;$H$4,"",IF(INDEX('Fleet dates'!$I$9:$I$1008,$I191-8)="","",INDEX('Fleet dates'!$I$9:$I$1008,$I191-8)))</x:f>
      </x:c>
      <x:c r="I191" t="str">
        <x:f>IF(183&gt;$H$4,"",MATCH(183,'Fleet dates'!$L$9:$L$1008,0)+8)</x:f>
      </x:c>
    </x:row>
    <x:row r="192" ht="36" customHeight="1">
      <x:c r="A192" s="50" t="str">
        <x:f>IF(184&gt;$H$4,"",IF(INDEX('Fleet dates'!$A$9:$A$1008,$I192-8)="","",INDEX('Fleet dates'!$A$9:$A$1008,$I192-8)))</x:f>
      </x:c>
      <x:c r="B192" s="50" t="str">
        <x:f>IF(184&gt;$H$4,"",IF(INDEX('Fleet dates'!$B$9:$B$1008,$I192-8)="","",INDEX('Fleet dates'!$B$9:$B$1008,$I192-8)))</x:f>
      </x:c>
      <x:c r="C192" s="51" t="str">
        <x:f>IF(184&gt;$H$4,"",IF(INDEX('Fleet dates'!$C$9:$C$1008,$I192-8)="","",INDEX('Fleet dates'!$C$9:$C$1008,$I192-8)))</x:f>
      </x:c>
      <x:c r="D192" s="51" t="str">
        <x:f>IF(184&gt;$H$4,"",IF(INDEX('Fleet dates'!$D$9:$D$1008,$I192-8)="","",INDEX('Fleet dates'!$D$9:$D$1008,$I192-8)))</x:f>
      </x:c>
      <x:c r="E192" s="51" t="str">
        <x:f>IF(184&gt;$H$4,"",IF(INDEX('Fleet dates'!$E$9:$E$1008,$I192-8)="","",INDEX('Fleet dates'!$E$9:$E$1008,$I192-8)))</x:f>
      </x:c>
      <x:c r="F192" s="51" t="str">
        <x:f>IF(184&gt;$H$4,"",IF(INDEX('Fleet dates'!$F$9:$F$1008,$I192-8)="","",INDEX('Fleet dates'!$F$9:$F$1008,$I192-8)))</x:f>
      </x:c>
      <x:c r="G192" s="50" t="str">
        <x:f>IF(184&gt;$H$4,"",IF(INDEX('Fleet dates'!$G$9:$G$1008,$I192-8)="","",INDEX('Fleet dates'!$G$9:$G$1008,$I192-8)))</x:f>
      </x:c>
      <x:c r="H192" s="50" t="str">
        <x:f>IF(184&gt;$H$4,"",IF(INDEX('Fleet dates'!$I$9:$I$1008,$I192-8)="","",INDEX('Fleet dates'!$I$9:$I$1008,$I192-8)))</x:f>
      </x:c>
      <x:c r="I192" t="str">
        <x:f>IF(184&gt;$H$4,"",MATCH(184,'Fleet dates'!$L$9:$L$1008,0)+8)</x:f>
      </x:c>
    </x:row>
    <x:row r="193" ht="36" customHeight="1">
      <x:c r="A193" s="50" t="str">
        <x:f>IF(185&gt;$H$4,"",IF(INDEX('Fleet dates'!$A$9:$A$1008,$I193-8)="","",INDEX('Fleet dates'!$A$9:$A$1008,$I193-8)))</x:f>
      </x:c>
      <x:c r="B193" s="50" t="str">
        <x:f>IF(185&gt;$H$4,"",IF(INDEX('Fleet dates'!$B$9:$B$1008,$I193-8)="","",INDEX('Fleet dates'!$B$9:$B$1008,$I193-8)))</x:f>
      </x:c>
      <x:c r="C193" s="51" t="str">
        <x:f>IF(185&gt;$H$4,"",IF(INDEX('Fleet dates'!$C$9:$C$1008,$I193-8)="","",INDEX('Fleet dates'!$C$9:$C$1008,$I193-8)))</x:f>
      </x:c>
      <x:c r="D193" s="51" t="str">
        <x:f>IF(185&gt;$H$4,"",IF(INDEX('Fleet dates'!$D$9:$D$1008,$I193-8)="","",INDEX('Fleet dates'!$D$9:$D$1008,$I193-8)))</x:f>
      </x:c>
      <x:c r="E193" s="51" t="str">
        <x:f>IF(185&gt;$H$4,"",IF(INDEX('Fleet dates'!$E$9:$E$1008,$I193-8)="","",INDEX('Fleet dates'!$E$9:$E$1008,$I193-8)))</x:f>
      </x:c>
      <x:c r="F193" s="51" t="str">
        <x:f>IF(185&gt;$H$4,"",IF(INDEX('Fleet dates'!$F$9:$F$1008,$I193-8)="","",INDEX('Fleet dates'!$F$9:$F$1008,$I193-8)))</x:f>
      </x:c>
      <x:c r="G193" s="50" t="str">
        <x:f>IF(185&gt;$H$4,"",IF(INDEX('Fleet dates'!$G$9:$G$1008,$I193-8)="","",INDEX('Fleet dates'!$G$9:$G$1008,$I193-8)))</x:f>
      </x:c>
      <x:c r="H193" s="50" t="str">
        <x:f>IF(185&gt;$H$4,"",IF(INDEX('Fleet dates'!$I$9:$I$1008,$I193-8)="","",INDEX('Fleet dates'!$I$9:$I$1008,$I193-8)))</x:f>
      </x:c>
      <x:c r="I193" t="str">
        <x:f>IF(185&gt;$H$4,"",MATCH(185,'Fleet dates'!$L$9:$L$1008,0)+8)</x:f>
      </x:c>
    </x:row>
    <x:row r="194" ht="36" customHeight="1">
      <x:c r="A194" s="50" t="str">
        <x:f>IF(186&gt;$H$4,"",IF(INDEX('Fleet dates'!$A$9:$A$1008,$I194-8)="","",INDEX('Fleet dates'!$A$9:$A$1008,$I194-8)))</x:f>
      </x:c>
      <x:c r="B194" s="50" t="str">
        <x:f>IF(186&gt;$H$4,"",IF(INDEX('Fleet dates'!$B$9:$B$1008,$I194-8)="","",INDEX('Fleet dates'!$B$9:$B$1008,$I194-8)))</x:f>
      </x:c>
      <x:c r="C194" s="51" t="str">
        <x:f>IF(186&gt;$H$4,"",IF(INDEX('Fleet dates'!$C$9:$C$1008,$I194-8)="","",INDEX('Fleet dates'!$C$9:$C$1008,$I194-8)))</x:f>
      </x:c>
      <x:c r="D194" s="51" t="str">
        <x:f>IF(186&gt;$H$4,"",IF(INDEX('Fleet dates'!$D$9:$D$1008,$I194-8)="","",INDEX('Fleet dates'!$D$9:$D$1008,$I194-8)))</x:f>
      </x:c>
      <x:c r="E194" s="51" t="str">
        <x:f>IF(186&gt;$H$4,"",IF(INDEX('Fleet dates'!$E$9:$E$1008,$I194-8)="","",INDEX('Fleet dates'!$E$9:$E$1008,$I194-8)))</x:f>
      </x:c>
      <x:c r="F194" s="51" t="str">
        <x:f>IF(186&gt;$H$4,"",IF(INDEX('Fleet dates'!$F$9:$F$1008,$I194-8)="","",INDEX('Fleet dates'!$F$9:$F$1008,$I194-8)))</x:f>
      </x:c>
      <x:c r="G194" s="50" t="str">
        <x:f>IF(186&gt;$H$4,"",IF(INDEX('Fleet dates'!$G$9:$G$1008,$I194-8)="","",INDEX('Fleet dates'!$G$9:$G$1008,$I194-8)))</x:f>
      </x:c>
      <x:c r="H194" s="50" t="str">
        <x:f>IF(186&gt;$H$4,"",IF(INDEX('Fleet dates'!$I$9:$I$1008,$I194-8)="","",INDEX('Fleet dates'!$I$9:$I$1008,$I194-8)))</x:f>
      </x:c>
      <x:c r="I194" t="str">
        <x:f>IF(186&gt;$H$4,"",MATCH(186,'Fleet dates'!$L$9:$L$1008,0)+8)</x:f>
      </x:c>
    </x:row>
    <x:row r="195" ht="36" customHeight="1">
      <x:c r="A195" s="50" t="str">
        <x:f>IF(187&gt;$H$4,"",IF(INDEX('Fleet dates'!$A$9:$A$1008,$I195-8)="","",INDEX('Fleet dates'!$A$9:$A$1008,$I195-8)))</x:f>
      </x:c>
      <x:c r="B195" s="50" t="str">
        <x:f>IF(187&gt;$H$4,"",IF(INDEX('Fleet dates'!$B$9:$B$1008,$I195-8)="","",INDEX('Fleet dates'!$B$9:$B$1008,$I195-8)))</x:f>
      </x:c>
      <x:c r="C195" s="51" t="str">
        <x:f>IF(187&gt;$H$4,"",IF(INDEX('Fleet dates'!$C$9:$C$1008,$I195-8)="","",INDEX('Fleet dates'!$C$9:$C$1008,$I195-8)))</x:f>
      </x:c>
      <x:c r="D195" s="51" t="str">
        <x:f>IF(187&gt;$H$4,"",IF(INDEX('Fleet dates'!$D$9:$D$1008,$I195-8)="","",INDEX('Fleet dates'!$D$9:$D$1008,$I195-8)))</x:f>
      </x:c>
      <x:c r="E195" s="51" t="str">
        <x:f>IF(187&gt;$H$4,"",IF(INDEX('Fleet dates'!$E$9:$E$1008,$I195-8)="","",INDEX('Fleet dates'!$E$9:$E$1008,$I195-8)))</x:f>
      </x:c>
      <x:c r="F195" s="51" t="str">
        <x:f>IF(187&gt;$H$4,"",IF(INDEX('Fleet dates'!$F$9:$F$1008,$I195-8)="","",INDEX('Fleet dates'!$F$9:$F$1008,$I195-8)))</x:f>
      </x:c>
      <x:c r="G195" s="50" t="str">
        <x:f>IF(187&gt;$H$4,"",IF(INDEX('Fleet dates'!$G$9:$G$1008,$I195-8)="","",INDEX('Fleet dates'!$G$9:$G$1008,$I195-8)))</x:f>
      </x:c>
      <x:c r="H195" s="50" t="str">
        <x:f>IF(187&gt;$H$4,"",IF(INDEX('Fleet dates'!$I$9:$I$1008,$I195-8)="","",INDEX('Fleet dates'!$I$9:$I$1008,$I195-8)))</x:f>
      </x:c>
      <x:c r="I195" t="str">
        <x:f>IF(187&gt;$H$4,"",MATCH(187,'Fleet dates'!$L$9:$L$1008,0)+8)</x:f>
      </x:c>
    </x:row>
    <x:row r="196" ht="36" customHeight="1">
      <x:c r="A196" s="50" t="str">
        <x:f>IF(188&gt;$H$4,"",IF(INDEX('Fleet dates'!$A$9:$A$1008,$I196-8)="","",INDEX('Fleet dates'!$A$9:$A$1008,$I196-8)))</x:f>
      </x:c>
      <x:c r="B196" s="50" t="str">
        <x:f>IF(188&gt;$H$4,"",IF(INDEX('Fleet dates'!$B$9:$B$1008,$I196-8)="","",INDEX('Fleet dates'!$B$9:$B$1008,$I196-8)))</x:f>
      </x:c>
      <x:c r="C196" s="51" t="str">
        <x:f>IF(188&gt;$H$4,"",IF(INDEX('Fleet dates'!$C$9:$C$1008,$I196-8)="","",INDEX('Fleet dates'!$C$9:$C$1008,$I196-8)))</x:f>
      </x:c>
      <x:c r="D196" s="51" t="str">
        <x:f>IF(188&gt;$H$4,"",IF(INDEX('Fleet dates'!$D$9:$D$1008,$I196-8)="","",INDEX('Fleet dates'!$D$9:$D$1008,$I196-8)))</x:f>
      </x:c>
      <x:c r="E196" s="51" t="str">
        <x:f>IF(188&gt;$H$4,"",IF(INDEX('Fleet dates'!$E$9:$E$1008,$I196-8)="","",INDEX('Fleet dates'!$E$9:$E$1008,$I196-8)))</x:f>
      </x:c>
      <x:c r="F196" s="51" t="str">
        <x:f>IF(188&gt;$H$4,"",IF(INDEX('Fleet dates'!$F$9:$F$1008,$I196-8)="","",INDEX('Fleet dates'!$F$9:$F$1008,$I196-8)))</x:f>
      </x:c>
      <x:c r="G196" s="50" t="str">
        <x:f>IF(188&gt;$H$4,"",IF(INDEX('Fleet dates'!$G$9:$G$1008,$I196-8)="","",INDEX('Fleet dates'!$G$9:$G$1008,$I196-8)))</x:f>
      </x:c>
      <x:c r="H196" s="50" t="str">
        <x:f>IF(188&gt;$H$4,"",IF(INDEX('Fleet dates'!$I$9:$I$1008,$I196-8)="","",INDEX('Fleet dates'!$I$9:$I$1008,$I196-8)))</x:f>
      </x:c>
      <x:c r="I196" t="str">
        <x:f>IF(188&gt;$H$4,"",MATCH(188,'Fleet dates'!$L$9:$L$1008,0)+8)</x:f>
      </x:c>
    </x:row>
    <x:row r="197" ht="36" customHeight="1">
      <x:c r="A197" s="50" t="str">
        <x:f>IF(189&gt;$H$4,"",IF(INDEX('Fleet dates'!$A$9:$A$1008,$I197-8)="","",INDEX('Fleet dates'!$A$9:$A$1008,$I197-8)))</x:f>
      </x:c>
      <x:c r="B197" s="50" t="str">
        <x:f>IF(189&gt;$H$4,"",IF(INDEX('Fleet dates'!$B$9:$B$1008,$I197-8)="","",INDEX('Fleet dates'!$B$9:$B$1008,$I197-8)))</x:f>
      </x:c>
      <x:c r="C197" s="51" t="str">
        <x:f>IF(189&gt;$H$4,"",IF(INDEX('Fleet dates'!$C$9:$C$1008,$I197-8)="","",INDEX('Fleet dates'!$C$9:$C$1008,$I197-8)))</x:f>
      </x:c>
      <x:c r="D197" s="51" t="str">
        <x:f>IF(189&gt;$H$4,"",IF(INDEX('Fleet dates'!$D$9:$D$1008,$I197-8)="","",INDEX('Fleet dates'!$D$9:$D$1008,$I197-8)))</x:f>
      </x:c>
      <x:c r="E197" s="51" t="str">
        <x:f>IF(189&gt;$H$4,"",IF(INDEX('Fleet dates'!$E$9:$E$1008,$I197-8)="","",INDEX('Fleet dates'!$E$9:$E$1008,$I197-8)))</x:f>
      </x:c>
      <x:c r="F197" s="51" t="str">
        <x:f>IF(189&gt;$H$4,"",IF(INDEX('Fleet dates'!$F$9:$F$1008,$I197-8)="","",INDEX('Fleet dates'!$F$9:$F$1008,$I197-8)))</x:f>
      </x:c>
      <x:c r="G197" s="50" t="str">
        <x:f>IF(189&gt;$H$4,"",IF(INDEX('Fleet dates'!$G$9:$G$1008,$I197-8)="","",INDEX('Fleet dates'!$G$9:$G$1008,$I197-8)))</x:f>
      </x:c>
      <x:c r="H197" s="50" t="str">
        <x:f>IF(189&gt;$H$4,"",IF(INDEX('Fleet dates'!$I$9:$I$1008,$I197-8)="","",INDEX('Fleet dates'!$I$9:$I$1008,$I197-8)))</x:f>
      </x:c>
      <x:c r="I197" t="str">
        <x:f>IF(189&gt;$H$4,"",MATCH(189,'Fleet dates'!$L$9:$L$1008,0)+8)</x:f>
      </x:c>
    </x:row>
    <x:row r="198" ht="36" customHeight="1">
      <x:c r="A198" s="50" t="str">
        <x:f>IF(190&gt;$H$4,"",IF(INDEX('Fleet dates'!$A$9:$A$1008,$I198-8)="","",INDEX('Fleet dates'!$A$9:$A$1008,$I198-8)))</x:f>
      </x:c>
      <x:c r="B198" s="50" t="str">
        <x:f>IF(190&gt;$H$4,"",IF(INDEX('Fleet dates'!$B$9:$B$1008,$I198-8)="","",INDEX('Fleet dates'!$B$9:$B$1008,$I198-8)))</x:f>
      </x:c>
      <x:c r="C198" s="51" t="str">
        <x:f>IF(190&gt;$H$4,"",IF(INDEX('Fleet dates'!$C$9:$C$1008,$I198-8)="","",INDEX('Fleet dates'!$C$9:$C$1008,$I198-8)))</x:f>
      </x:c>
      <x:c r="D198" s="51" t="str">
        <x:f>IF(190&gt;$H$4,"",IF(INDEX('Fleet dates'!$D$9:$D$1008,$I198-8)="","",INDEX('Fleet dates'!$D$9:$D$1008,$I198-8)))</x:f>
      </x:c>
      <x:c r="E198" s="51" t="str">
        <x:f>IF(190&gt;$H$4,"",IF(INDEX('Fleet dates'!$E$9:$E$1008,$I198-8)="","",INDEX('Fleet dates'!$E$9:$E$1008,$I198-8)))</x:f>
      </x:c>
      <x:c r="F198" s="51" t="str">
        <x:f>IF(190&gt;$H$4,"",IF(INDEX('Fleet dates'!$F$9:$F$1008,$I198-8)="","",INDEX('Fleet dates'!$F$9:$F$1008,$I198-8)))</x:f>
      </x:c>
      <x:c r="G198" s="50" t="str">
        <x:f>IF(190&gt;$H$4,"",IF(INDEX('Fleet dates'!$G$9:$G$1008,$I198-8)="","",INDEX('Fleet dates'!$G$9:$G$1008,$I198-8)))</x:f>
      </x:c>
      <x:c r="H198" s="50" t="str">
        <x:f>IF(190&gt;$H$4,"",IF(INDEX('Fleet dates'!$I$9:$I$1008,$I198-8)="","",INDEX('Fleet dates'!$I$9:$I$1008,$I198-8)))</x:f>
      </x:c>
      <x:c r="I198" t="str">
        <x:f>IF(190&gt;$H$4,"",MATCH(190,'Fleet dates'!$L$9:$L$1008,0)+8)</x:f>
      </x:c>
    </x:row>
    <x:row r="199" ht="36" customHeight="1">
      <x:c r="A199" s="50" t="str">
        <x:f>IF(191&gt;$H$4,"",IF(INDEX('Fleet dates'!$A$9:$A$1008,$I199-8)="","",INDEX('Fleet dates'!$A$9:$A$1008,$I199-8)))</x:f>
      </x:c>
      <x:c r="B199" s="50" t="str">
        <x:f>IF(191&gt;$H$4,"",IF(INDEX('Fleet dates'!$B$9:$B$1008,$I199-8)="","",INDEX('Fleet dates'!$B$9:$B$1008,$I199-8)))</x:f>
      </x:c>
      <x:c r="C199" s="51" t="str">
        <x:f>IF(191&gt;$H$4,"",IF(INDEX('Fleet dates'!$C$9:$C$1008,$I199-8)="","",INDEX('Fleet dates'!$C$9:$C$1008,$I199-8)))</x:f>
      </x:c>
      <x:c r="D199" s="51" t="str">
        <x:f>IF(191&gt;$H$4,"",IF(INDEX('Fleet dates'!$D$9:$D$1008,$I199-8)="","",INDEX('Fleet dates'!$D$9:$D$1008,$I199-8)))</x:f>
      </x:c>
      <x:c r="E199" s="51" t="str">
        <x:f>IF(191&gt;$H$4,"",IF(INDEX('Fleet dates'!$E$9:$E$1008,$I199-8)="","",INDEX('Fleet dates'!$E$9:$E$1008,$I199-8)))</x:f>
      </x:c>
      <x:c r="F199" s="51" t="str">
        <x:f>IF(191&gt;$H$4,"",IF(INDEX('Fleet dates'!$F$9:$F$1008,$I199-8)="","",INDEX('Fleet dates'!$F$9:$F$1008,$I199-8)))</x:f>
      </x:c>
      <x:c r="G199" s="50" t="str">
        <x:f>IF(191&gt;$H$4,"",IF(INDEX('Fleet dates'!$G$9:$G$1008,$I199-8)="","",INDEX('Fleet dates'!$G$9:$G$1008,$I199-8)))</x:f>
      </x:c>
      <x:c r="H199" s="50" t="str">
        <x:f>IF(191&gt;$H$4,"",IF(INDEX('Fleet dates'!$I$9:$I$1008,$I199-8)="","",INDEX('Fleet dates'!$I$9:$I$1008,$I199-8)))</x:f>
      </x:c>
      <x:c r="I199" t="str">
        <x:f>IF(191&gt;$H$4,"",MATCH(191,'Fleet dates'!$L$9:$L$1008,0)+8)</x:f>
      </x:c>
    </x:row>
    <x:row r="200" ht="36" customHeight="1">
      <x:c r="A200" s="50" t="str">
        <x:f>IF(192&gt;$H$4,"",IF(INDEX('Fleet dates'!$A$9:$A$1008,$I200-8)="","",INDEX('Fleet dates'!$A$9:$A$1008,$I200-8)))</x:f>
      </x:c>
      <x:c r="B200" s="50" t="str">
        <x:f>IF(192&gt;$H$4,"",IF(INDEX('Fleet dates'!$B$9:$B$1008,$I200-8)="","",INDEX('Fleet dates'!$B$9:$B$1008,$I200-8)))</x:f>
      </x:c>
      <x:c r="C200" s="51" t="str">
        <x:f>IF(192&gt;$H$4,"",IF(INDEX('Fleet dates'!$C$9:$C$1008,$I200-8)="","",INDEX('Fleet dates'!$C$9:$C$1008,$I200-8)))</x:f>
      </x:c>
      <x:c r="D200" s="51" t="str">
        <x:f>IF(192&gt;$H$4,"",IF(INDEX('Fleet dates'!$D$9:$D$1008,$I200-8)="","",INDEX('Fleet dates'!$D$9:$D$1008,$I200-8)))</x:f>
      </x:c>
      <x:c r="E200" s="51" t="str">
        <x:f>IF(192&gt;$H$4,"",IF(INDEX('Fleet dates'!$E$9:$E$1008,$I200-8)="","",INDEX('Fleet dates'!$E$9:$E$1008,$I200-8)))</x:f>
      </x:c>
      <x:c r="F200" s="51" t="str">
        <x:f>IF(192&gt;$H$4,"",IF(INDEX('Fleet dates'!$F$9:$F$1008,$I200-8)="","",INDEX('Fleet dates'!$F$9:$F$1008,$I200-8)))</x:f>
      </x:c>
      <x:c r="G200" s="50" t="str">
        <x:f>IF(192&gt;$H$4,"",IF(INDEX('Fleet dates'!$G$9:$G$1008,$I200-8)="","",INDEX('Fleet dates'!$G$9:$G$1008,$I200-8)))</x:f>
      </x:c>
      <x:c r="H200" s="50" t="str">
        <x:f>IF(192&gt;$H$4,"",IF(INDEX('Fleet dates'!$I$9:$I$1008,$I200-8)="","",INDEX('Fleet dates'!$I$9:$I$1008,$I200-8)))</x:f>
      </x:c>
      <x:c r="I200" t="str">
        <x:f>IF(192&gt;$H$4,"",MATCH(192,'Fleet dates'!$L$9:$L$1008,0)+8)</x:f>
      </x:c>
    </x:row>
    <x:row r="201" ht="36" customHeight="1">
      <x:c r="A201" s="50" t="str">
        <x:f>IF(193&gt;$H$4,"",IF(INDEX('Fleet dates'!$A$9:$A$1008,$I201-8)="","",INDEX('Fleet dates'!$A$9:$A$1008,$I201-8)))</x:f>
      </x:c>
      <x:c r="B201" s="50" t="str">
        <x:f>IF(193&gt;$H$4,"",IF(INDEX('Fleet dates'!$B$9:$B$1008,$I201-8)="","",INDEX('Fleet dates'!$B$9:$B$1008,$I201-8)))</x:f>
      </x:c>
      <x:c r="C201" s="51" t="str">
        <x:f>IF(193&gt;$H$4,"",IF(INDEX('Fleet dates'!$C$9:$C$1008,$I201-8)="","",INDEX('Fleet dates'!$C$9:$C$1008,$I201-8)))</x:f>
      </x:c>
      <x:c r="D201" s="51" t="str">
        <x:f>IF(193&gt;$H$4,"",IF(INDEX('Fleet dates'!$D$9:$D$1008,$I201-8)="","",INDEX('Fleet dates'!$D$9:$D$1008,$I201-8)))</x:f>
      </x:c>
      <x:c r="E201" s="51" t="str">
        <x:f>IF(193&gt;$H$4,"",IF(INDEX('Fleet dates'!$E$9:$E$1008,$I201-8)="","",INDEX('Fleet dates'!$E$9:$E$1008,$I201-8)))</x:f>
      </x:c>
      <x:c r="F201" s="51" t="str">
        <x:f>IF(193&gt;$H$4,"",IF(INDEX('Fleet dates'!$F$9:$F$1008,$I201-8)="","",INDEX('Fleet dates'!$F$9:$F$1008,$I201-8)))</x:f>
      </x:c>
      <x:c r="G201" s="50" t="str">
        <x:f>IF(193&gt;$H$4,"",IF(INDEX('Fleet dates'!$G$9:$G$1008,$I201-8)="","",INDEX('Fleet dates'!$G$9:$G$1008,$I201-8)))</x:f>
      </x:c>
      <x:c r="H201" s="50" t="str">
        <x:f>IF(193&gt;$H$4,"",IF(INDEX('Fleet dates'!$I$9:$I$1008,$I201-8)="","",INDEX('Fleet dates'!$I$9:$I$1008,$I201-8)))</x:f>
      </x:c>
      <x:c r="I201" t="str">
        <x:f>IF(193&gt;$H$4,"",MATCH(193,'Fleet dates'!$L$9:$L$1008,0)+8)</x:f>
      </x:c>
    </x:row>
    <x:row r="202" ht="36" customHeight="1">
      <x:c r="A202" s="50" t="str">
        <x:f>IF(194&gt;$H$4,"",IF(INDEX('Fleet dates'!$A$9:$A$1008,$I202-8)="","",INDEX('Fleet dates'!$A$9:$A$1008,$I202-8)))</x:f>
      </x:c>
      <x:c r="B202" s="50" t="str">
        <x:f>IF(194&gt;$H$4,"",IF(INDEX('Fleet dates'!$B$9:$B$1008,$I202-8)="","",INDEX('Fleet dates'!$B$9:$B$1008,$I202-8)))</x:f>
      </x:c>
      <x:c r="C202" s="51" t="str">
        <x:f>IF(194&gt;$H$4,"",IF(INDEX('Fleet dates'!$C$9:$C$1008,$I202-8)="","",INDEX('Fleet dates'!$C$9:$C$1008,$I202-8)))</x:f>
      </x:c>
      <x:c r="D202" s="51" t="str">
        <x:f>IF(194&gt;$H$4,"",IF(INDEX('Fleet dates'!$D$9:$D$1008,$I202-8)="","",INDEX('Fleet dates'!$D$9:$D$1008,$I202-8)))</x:f>
      </x:c>
      <x:c r="E202" s="51" t="str">
        <x:f>IF(194&gt;$H$4,"",IF(INDEX('Fleet dates'!$E$9:$E$1008,$I202-8)="","",INDEX('Fleet dates'!$E$9:$E$1008,$I202-8)))</x:f>
      </x:c>
      <x:c r="F202" s="51" t="str">
        <x:f>IF(194&gt;$H$4,"",IF(INDEX('Fleet dates'!$F$9:$F$1008,$I202-8)="","",INDEX('Fleet dates'!$F$9:$F$1008,$I202-8)))</x:f>
      </x:c>
      <x:c r="G202" s="50" t="str">
        <x:f>IF(194&gt;$H$4,"",IF(INDEX('Fleet dates'!$G$9:$G$1008,$I202-8)="","",INDEX('Fleet dates'!$G$9:$G$1008,$I202-8)))</x:f>
      </x:c>
      <x:c r="H202" s="50" t="str">
        <x:f>IF(194&gt;$H$4,"",IF(INDEX('Fleet dates'!$I$9:$I$1008,$I202-8)="","",INDEX('Fleet dates'!$I$9:$I$1008,$I202-8)))</x:f>
      </x:c>
      <x:c r="I202" t="str">
        <x:f>IF(194&gt;$H$4,"",MATCH(194,'Fleet dates'!$L$9:$L$1008,0)+8)</x:f>
      </x:c>
    </x:row>
    <x:row r="203" ht="36" customHeight="1">
      <x:c r="A203" s="50" t="str">
        <x:f>IF(195&gt;$H$4,"",IF(INDEX('Fleet dates'!$A$9:$A$1008,$I203-8)="","",INDEX('Fleet dates'!$A$9:$A$1008,$I203-8)))</x:f>
      </x:c>
      <x:c r="B203" s="50" t="str">
        <x:f>IF(195&gt;$H$4,"",IF(INDEX('Fleet dates'!$B$9:$B$1008,$I203-8)="","",INDEX('Fleet dates'!$B$9:$B$1008,$I203-8)))</x:f>
      </x:c>
      <x:c r="C203" s="51" t="str">
        <x:f>IF(195&gt;$H$4,"",IF(INDEX('Fleet dates'!$C$9:$C$1008,$I203-8)="","",INDEX('Fleet dates'!$C$9:$C$1008,$I203-8)))</x:f>
      </x:c>
      <x:c r="D203" s="51" t="str">
        <x:f>IF(195&gt;$H$4,"",IF(INDEX('Fleet dates'!$D$9:$D$1008,$I203-8)="","",INDEX('Fleet dates'!$D$9:$D$1008,$I203-8)))</x:f>
      </x:c>
      <x:c r="E203" s="51" t="str">
        <x:f>IF(195&gt;$H$4,"",IF(INDEX('Fleet dates'!$E$9:$E$1008,$I203-8)="","",INDEX('Fleet dates'!$E$9:$E$1008,$I203-8)))</x:f>
      </x:c>
      <x:c r="F203" s="51" t="str">
        <x:f>IF(195&gt;$H$4,"",IF(INDEX('Fleet dates'!$F$9:$F$1008,$I203-8)="","",INDEX('Fleet dates'!$F$9:$F$1008,$I203-8)))</x:f>
      </x:c>
      <x:c r="G203" s="50" t="str">
        <x:f>IF(195&gt;$H$4,"",IF(INDEX('Fleet dates'!$G$9:$G$1008,$I203-8)="","",INDEX('Fleet dates'!$G$9:$G$1008,$I203-8)))</x:f>
      </x:c>
      <x:c r="H203" s="50" t="str">
        <x:f>IF(195&gt;$H$4,"",IF(INDEX('Fleet dates'!$I$9:$I$1008,$I203-8)="","",INDEX('Fleet dates'!$I$9:$I$1008,$I203-8)))</x:f>
      </x:c>
      <x:c r="I203" t="str">
        <x:f>IF(195&gt;$H$4,"",MATCH(195,'Fleet dates'!$L$9:$L$1008,0)+8)</x:f>
      </x:c>
    </x:row>
    <x:row r="204" ht="36" customHeight="1">
      <x:c r="A204" s="50" t="str">
        <x:f>IF(196&gt;$H$4,"",IF(INDEX('Fleet dates'!$A$9:$A$1008,$I204-8)="","",INDEX('Fleet dates'!$A$9:$A$1008,$I204-8)))</x:f>
      </x:c>
      <x:c r="B204" s="50" t="str">
        <x:f>IF(196&gt;$H$4,"",IF(INDEX('Fleet dates'!$B$9:$B$1008,$I204-8)="","",INDEX('Fleet dates'!$B$9:$B$1008,$I204-8)))</x:f>
      </x:c>
      <x:c r="C204" s="51" t="str">
        <x:f>IF(196&gt;$H$4,"",IF(INDEX('Fleet dates'!$C$9:$C$1008,$I204-8)="","",INDEX('Fleet dates'!$C$9:$C$1008,$I204-8)))</x:f>
      </x:c>
      <x:c r="D204" s="51" t="str">
        <x:f>IF(196&gt;$H$4,"",IF(INDEX('Fleet dates'!$D$9:$D$1008,$I204-8)="","",INDEX('Fleet dates'!$D$9:$D$1008,$I204-8)))</x:f>
      </x:c>
      <x:c r="E204" s="51" t="str">
        <x:f>IF(196&gt;$H$4,"",IF(INDEX('Fleet dates'!$E$9:$E$1008,$I204-8)="","",INDEX('Fleet dates'!$E$9:$E$1008,$I204-8)))</x:f>
      </x:c>
      <x:c r="F204" s="51" t="str">
        <x:f>IF(196&gt;$H$4,"",IF(INDEX('Fleet dates'!$F$9:$F$1008,$I204-8)="","",INDEX('Fleet dates'!$F$9:$F$1008,$I204-8)))</x:f>
      </x:c>
      <x:c r="G204" s="50" t="str">
        <x:f>IF(196&gt;$H$4,"",IF(INDEX('Fleet dates'!$G$9:$G$1008,$I204-8)="","",INDEX('Fleet dates'!$G$9:$G$1008,$I204-8)))</x:f>
      </x:c>
      <x:c r="H204" s="50" t="str">
        <x:f>IF(196&gt;$H$4,"",IF(INDEX('Fleet dates'!$I$9:$I$1008,$I204-8)="","",INDEX('Fleet dates'!$I$9:$I$1008,$I204-8)))</x:f>
      </x:c>
      <x:c r="I204" t="str">
        <x:f>IF(196&gt;$H$4,"",MATCH(196,'Fleet dates'!$L$9:$L$1008,0)+8)</x:f>
      </x:c>
    </x:row>
    <x:row r="205" ht="36" customHeight="1">
      <x:c r="A205" s="50" t="str">
        <x:f>IF(197&gt;$H$4,"",IF(INDEX('Fleet dates'!$A$9:$A$1008,$I205-8)="","",INDEX('Fleet dates'!$A$9:$A$1008,$I205-8)))</x:f>
      </x:c>
      <x:c r="B205" s="50" t="str">
        <x:f>IF(197&gt;$H$4,"",IF(INDEX('Fleet dates'!$B$9:$B$1008,$I205-8)="","",INDEX('Fleet dates'!$B$9:$B$1008,$I205-8)))</x:f>
      </x:c>
      <x:c r="C205" s="51" t="str">
        <x:f>IF(197&gt;$H$4,"",IF(INDEX('Fleet dates'!$C$9:$C$1008,$I205-8)="","",INDEX('Fleet dates'!$C$9:$C$1008,$I205-8)))</x:f>
      </x:c>
      <x:c r="D205" s="51" t="str">
        <x:f>IF(197&gt;$H$4,"",IF(INDEX('Fleet dates'!$D$9:$D$1008,$I205-8)="","",INDEX('Fleet dates'!$D$9:$D$1008,$I205-8)))</x:f>
      </x:c>
      <x:c r="E205" s="51" t="str">
        <x:f>IF(197&gt;$H$4,"",IF(INDEX('Fleet dates'!$E$9:$E$1008,$I205-8)="","",INDEX('Fleet dates'!$E$9:$E$1008,$I205-8)))</x:f>
      </x:c>
      <x:c r="F205" s="51" t="str">
        <x:f>IF(197&gt;$H$4,"",IF(INDEX('Fleet dates'!$F$9:$F$1008,$I205-8)="","",INDEX('Fleet dates'!$F$9:$F$1008,$I205-8)))</x:f>
      </x:c>
      <x:c r="G205" s="50" t="str">
        <x:f>IF(197&gt;$H$4,"",IF(INDEX('Fleet dates'!$G$9:$G$1008,$I205-8)="","",INDEX('Fleet dates'!$G$9:$G$1008,$I205-8)))</x:f>
      </x:c>
      <x:c r="H205" s="50" t="str">
        <x:f>IF(197&gt;$H$4,"",IF(INDEX('Fleet dates'!$I$9:$I$1008,$I205-8)="","",INDEX('Fleet dates'!$I$9:$I$1008,$I205-8)))</x:f>
      </x:c>
      <x:c r="I205" t="str">
        <x:f>IF(197&gt;$H$4,"",MATCH(197,'Fleet dates'!$L$9:$L$1008,0)+8)</x:f>
      </x:c>
    </x:row>
    <x:row r="206" ht="36" customHeight="1">
      <x:c r="A206" s="50" t="str">
        <x:f>IF(198&gt;$H$4,"",IF(INDEX('Fleet dates'!$A$9:$A$1008,$I206-8)="","",INDEX('Fleet dates'!$A$9:$A$1008,$I206-8)))</x:f>
      </x:c>
      <x:c r="B206" s="50" t="str">
        <x:f>IF(198&gt;$H$4,"",IF(INDEX('Fleet dates'!$B$9:$B$1008,$I206-8)="","",INDEX('Fleet dates'!$B$9:$B$1008,$I206-8)))</x:f>
      </x:c>
      <x:c r="C206" s="51" t="str">
        <x:f>IF(198&gt;$H$4,"",IF(INDEX('Fleet dates'!$C$9:$C$1008,$I206-8)="","",INDEX('Fleet dates'!$C$9:$C$1008,$I206-8)))</x:f>
      </x:c>
      <x:c r="D206" s="51" t="str">
        <x:f>IF(198&gt;$H$4,"",IF(INDEX('Fleet dates'!$D$9:$D$1008,$I206-8)="","",INDEX('Fleet dates'!$D$9:$D$1008,$I206-8)))</x:f>
      </x:c>
      <x:c r="E206" s="51" t="str">
        <x:f>IF(198&gt;$H$4,"",IF(INDEX('Fleet dates'!$E$9:$E$1008,$I206-8)="","",INDEX('Fleet dates'!$E$9:$E$1008,$I206-8)))</x:f>
      </x:c>
      <x:c r="F206" s="51" t="str">
        <x:f>IF(198&gt;$H$4,"",IF(INDEX('Fleet dates'!$F$9:$F$1008,$I206-8)="","",INDEX('Fleet dates'!$F$9:$F$1008,$I206-8)))</x:f>
      </x:c>
      <x:c r="G206" s="50" t="str">
        <x:f>IF(198&gt;$H$4,"",IF(INDEX('Fleet dates'!$G$9:$G$1008,$I206-8)="","",INDEX('Fleet dates'!$G$9:$G$1008,$I206-8)))</x:f>
      </x:c>
      <x:c r="H206" s="50" t="str">
        <x:f>IF(198&gt;$H$4,"",IF(INDEX('Fleet dates'!$I$9:$I$1008,$I206-8)="","",INDEX('Fleet dates'!$I$9:$I$1008,$I206-8)))</x:f>
      </x:c>
      <x:c r="I206" t="str">
        <x:f>IF(198&gt;$H$4,"",MATCH(198,'Fleet dates'!$L$9:$L$1008,0)+8)</x:f>
      </x:c>
    </x:row>
    <x:row r="207" ht="36" customHeight="1">
      <x:c r="A207" s="50" t="str">
        <x:f>IF(199&gt;$H$4,"",IF(INDEX('Fleet dates'!$A$9:$A$1008,$I207-8)="","",INDEX('Fleet dates'!$A$9:$A$1008,$I207-8)))</x:f>
      </x:c>
      <x:c r="B207" s="50" t="str">
        <x:f>IF(199&gt;$H$4,"",IF(INDEX('Fleet dates'!$B$9:$B$1008,$I207-8)="","",INDEX('Fleet dates'!$B$9:$B$1008,$I207-8)))</x:f>
      </x:c>
      <x:c r="C207" s="51" t="str">
        <x:f>IF(199&gt;$H$4,"",IF(INDEX('Fleet dates'!$C$9:$C$1008,$I207-8)="","",INDEX('Fleet dates'!$C$9:$C$1008,$I207-8)))</x:f>
      </x:c>
      <x:c r="D207" s="51" t="str">
        <x:f>IF(199&gt;$H$4,"",IF(INDEX('Fleet dates'!$D$9:$D$1008,$I207-8)="","",INDEX('Fleet dates'!$D$9:$D$1008,$I207-8)))</x:f>
      </x:c>
      <x:c r="E207" s="51" t="str">
        <x:f>IF(199&gt;$H$4,"",IF(INDEX('Fleet dates'!$E$9:$E$1008,$I207-8)="","",INDEX('Fleet dates'!$E$9:$E$1008,$I207-8)))</x:f>
      </x:c>
      <x:c r="F207" s="51" t="str">
        <x:f>IF(199&gt;$H$4,"",IF(INDEX('Fleet dates'!$F$9:$F$1008,$I207-8)="","",INDEX('Fleet dates'!$F$9:$F$1008,$I207-8)))</x:f>
      </x:c>
      <x:c r="G207" s="50" t="str">
        <x:f>IF(199&gt;$H$4,"",IF(INDEX('Fleet dates'!$G$9:$G$1008,$I207-8)="","",INDEX('Fleet dates'!$G$9:$G$1008,$I207-8)))</x:f>
      </x:c>
      <x:c r="H207" s="50" t="str">
        <x:f>IF(199&gt;$H$4,"",IF(INDEX('Fleet dates'!$I$9:$I$1008,$I207-8)="","",INDEX('Fleet dates'!$I$9:$I$1008,$I207-8)))</x:f>
      </x:c>
      <x:c r="I207" t="str">
        <x:f>IF(199&gt;$H$4,"",MATCH(199,'Fleet dates'!$L$9:$L$1008,0)+8)</x:f>
      </x:c>
    </x:row>
    <x:row r="208" ht="36" customHeight="1">
      <x:c r="A208" s="50" t="str">
        <x:f>IF(200&gt;$H$4,"",IF(INDEX('Fleet dates'!$A$9:$A$1008,$I208-8)="","",INDEX('Fleet dates'!$A$9:$A$1008,$I208-8)))</x:f>
      </x:c>
      <x:c r="B208" s="50" t="str">
        <x:f>IF(200&gt;$H$4,"",IF(INDEX('Fleet dates'!$B$9:$B$1008,$I208-8)="","",INDEX('Fleet dates'!$B$9:$B$1008,$I208-8)))</x:f>
      </x:c>
      <x:c r="C208" s="51" t="str">
        <x:f>IF(200&gt;$H$4,"",IF(INDEX('Fleet dates'!$C$9:$C$1008,$I208-8)="","",INDEX('Fleet dates'!$C$9:$C$1008,$I208-8)))</x:f>
      </x:c>
      <x:c r="D208" s="51" t="str">
        <x:f>IF(200&gt;$H$4,"",IF(INDEX('Fleet dates'!$D$9:$D$1008,$I208-8)="","",INDEX('Fleet dates'!$D$9:$D$1008,$I208-8)))</x:f>
      </x:c>
      <x:c r="E208" s="51" t="str">
        <x:f>IF(200&gt;$H$4,"",IF(INDEX('Fleet dates'!$E$9:$E$1008,$I208-8)="","",INDEX('Fleet dates'!$E$9:$E$1008,$I208-8)))</x:f>
      </x:c>
      <x:c r="F208" s="51" t="str">
        <x:f>IF(200&gt;$H$4,"",IF(INDEX('Fleet dates'!$F$9:$F$1008,$I208-8)="","",INDEX('Fleet dates'!$F$9:$F$1008,$I208-8)))</x:f>
      </x:c>
      <x:c r="G208" s="50" t="str">
        <x:f>IF(200&gt;$H$4,"",IF(INDEX('Fleet dates'!$G$9:$G$1008,$I208-8)="","",INDEX('Fleet dates'!$G$9:$G$1008,$I208-8)))</x:f>
      </x:c>
      <x:c r="H208" s="50" t="str">
        <x:f>IF(200&gt;$H$4,"",IF(INDEX('Fleet dates'!$I$9:$I$1008,$I208-8)="","",INDEX('Fleet dates'!$I$9:$I$1008,$I208-8)))</x:f>
      </x:c>
      <x:c r="I208" t="str">
        <x:f>IF(200&gt;$H$4,"",MATCH(200,'Fleet dates'!$L$9:$L$1008,0)+8)</x:f>
      </x:c>
    </x:row>
    <x:row r="209" ht="36" customHeight="1">
      <x:c r="A209" s="50" t="str">
        <x:f>IF(201&gt;$H$4,"",IF(INDEX('Fleet dates'!$A$9:$A$1008,$I209-8)="","",INDEX('Fleet dates'!$A$9:$A$1008,$I209-8)))</x:f>
      </x:c>
      <x:c r="B209" s="50" t="str">
        <x:f>IF(201&gt;$H$4,"",IF(INDEX('Fleet dates'!$B$9:$B$1008,$I209-8)="","",INDEX('Fleet dates'!$B$9:$B$1008,$I209-8)))</x:f>
      </x:c>
      <x:c r="C209" s="51" t="str">
        <x:f>IF(201&gt;$H$4,"",IF(INDEX('Fleet dates'!$C$9:$C$1008,$I209-8)="","",INDEX('Fleet dates'!$C$9:$C$1008,$I209-8)))</x:f>
      </x:c>
      <x:c r="D209" s="51" t="str">
        <x:f>IF(201&gt;$H$4,"",IF(INDEX('Fleet dates'!$D$9:$D$1008,$I209-8)="","",INDEX('Fleet dates'!$D$9:$D$1008,$I209-8)))</x:f>
      </x:c>
      <x:c r="E209" s="51" t="str">
        <x:f>IF(201&gt;$H$4,"",IF(INDEX('Fleet dates'!$E$9:$E$1008,$I209-8)="","",INDEX('Fleet dates'!$E$9:$E$1008,$I209-8)))</x:f>
      </x:c>
      <x:c r="F209" s="51" t="str">
        <x:f>IF(201&gt;$H$4,"",IF(INDEX('Fleet dates'!$F$9:$F$1008,$I209-8)="","",INDEX('Fleet dates'!$F$9:$F$1008,$I209-8)))</x:f>
      </x:c>
      <x:c r="G209" s="50" t="str">
        <x:f>IF(201&gt;$H$4,"",IF(INDEX('Fleet dates'!$G$9:$G$1008,$I209-8)="","",INDEX('Fleet dates'!$G$9:$G$1008,$I209-8)))</x:f>
      </x:c>
      <x:c r="H209" s="50" t="str">
        <x:f>IF(201&gt;$H$4,"",IF(INDEX('Fleet dates'!$I$9:$I$1008,$I209-8)="","",INDEX('Fleet dates'!$I$9:$I$1008,$I209-8)))</x:f>
      </x:c>
      <x:c r="I209" t="str">
        <x:f>IF(201&gt;$H$4,"",MATCH(201,'Fleet dates'!$L$9:$L$1008,0)+8)</x:f>
      </x:c>
    </x:row>
    <x:row r="210" ht="36" customHeight="1">
      <x:c r="A210" s="50" t="str">
        <x:f>IF(202&gt;$H$4,"",IF(INDEX('Fleet dates'!$A$9:$A$1008,$I210-8)="","",INDEX('Fleet dates'!$A$9:$A$1008,$I210-8)))</x:f>
      </x:c>
      <x:c r="B210" s="50" t="str">
        <x:f>IF(202&gt;$H$4,"",IF(INDEX('Fleet dates'!$B$9:$B$1008,$I210-8)="","",INDEX('Fleet dates'!$B$9:$B$1008,$I210-8)))</x:f>
      </x:c>
      <x:c r="C210" s="51" t="str">
        <x:f>IF(202&gt;$H$4,"",IF(INDEX('Fleet dates'!$C$9:$C$1008,$I210-8)="","",INDEX('Fleet dates'!$C$9:$C$1008,$I210-8)))</x:f>
      </x:c>
      <x:c r="D210" s="51" t="str">
        <x:f>IF(202&gt;$H$4,"",IF(INDEX('Fleet dates'!$D$9:$D$1008,$I210-8)="","",INDEX('Fleet dates'!$D$9:$D$1008,$I210-8)))</x:f>
      </x:c>
      <x:c r="E210" s="51" t="str">
        <x:f>IF(202&gt;$H$4,"",IF(INDEX('Fleet dates'!$E$9:$E$1008,$I210-8)="","",INDEX('Fleet dates'!$E$9:$E$1008,$I210-8)))</x:f>
      </x:c>
      <x:c r="F210" s="51" t="str">
        <x:f>IF(202&gt;$H$4,"",IF(INDEX('Fleet dates'!$F$9:$F$1008,$I210-8)="","",INDEX('Fleet dates'!$F$9:$F$1008,$I210-8)))</x:f>
      </x:c>
      <x:c r="G210" s="50" t="str">
        <x:f>IF(202&gt;$H$4,"",IF(INDEX('Fleet dates'!$G$9:$G$1008,$I210-8)="","",INDEX('Fleet dates'!$G$9:$G$1008,$I210-8)))</x:f>
      </x:c>
      <x:c r="H210" s="50" t="str">
        <x:f>IF(202&gt;$H$4,"",IF(INDEX('Fleet dates'!$I$9:$I$1008,$I210-8)="","",INDEX('Fleet dates'!$I$9:$I$1008,$I210-8)))</x:f>
      </x:c>
      <x:c r="I210" t="str">
        <x:f>IF(202&gt;$H$4,"",MATCH(202,'Fleet dates'!$L$9:$L$1008,0)+8)</x:f>
      </x:c>
    </x:row>
    <x:row r="211" ht="36" customHeight="1">
      <x:c r="A211" s="50" t="str">
        <x:f>IF(203&gt;$H$4,"",IF(INDEX('Fleet dates'!$A$9:$A$1008,$I211-8)="","",INDEX('Fleet dates'!$A$9:$A$1008,$I211-8)))</x:f>
      </x:c>
      <x:c r="B211" s="50" t="str">
        <x:f>IF(203&gt;$H$4,"",IF(INDEX('Fleet dates'!$B$9:$B$1008,$I211-8)="","",INDEX('Fleet dates'!$B$9:$B$1008,$I211-8)))</x:f>
      </x:c>
      <x:c r="C211" s="51" t="str">
        <x:f>IF(203&gt;$H$4,"",IF(INDEX('Fleet dates'!$C$9:$C$1008,$I211-8)="","",INDEX('Fleet dates'!$C$9:$C$1008,$I211-8)))</x:f>
      </x:c>
      <x:c r="D211" s="51" t="str">
        <x:f>IF(203&gt;$H$4,"",IF(INDEX('Fleet dates'!$D$9:$D$1008,$I211-8)="","",INDEX('Fleet dates'!$D$9:$D$1008,$I211-8)))</x:f>
      </x:c>
      <x:c r="E211" s="51" t="str">
        <x:f>IF(203&gt;$H$4,"",IF(INDEX('Fleet dates'!$E$9:$E$1008,$I211-8)="","",INDEX('Fleet dates'!$E$9:$E$1008,$I211-8)))</x:f>
      </x:c>
      <x:c r="F211" s="51" t="str">
        <x:f>IF(203&gt;$H$4,"",IF(INDEX('Fleet dates'!$F$9:$F$1008,$I211-8)="","",INDEX('Fleet dates'!$F$9:$F$1008,$I211-8)))</x:f>
      </x:c>
      <x:c r="G211" s="50" t="str">
        <x:f>IF(203&gt;$H$4,"",IF(INDEX('Fleet dates'!$G$9:$G$1008,$I211-8)="","",INDEX('Fleet dates'!$G$9:$G$1008,$I211-8)))</x:f>
      </x:c>
      <x:c r="H211" s="50" t="str">
        <x:f>IF(203&gt;$H$4,"",IF(INDEX('Fleet dates'!$I$9:$I$1008,$I211-8)="","",INDEX('Fleet dates'!$I$9:$I$1008,$I211-8)))</x:f>
      </x:c>
      <x:c r="I211" t="str">
        <x:f>IF(203&gt;$H$4,"",MATCH(203,'Fleet dates'!$L$9:$L$1008,0)+8)</x:f>
      </x:c>
    </x:row>
    <x:row r="212" ht="36" customHeight="1">
      <x:c r="A212" s="50" t="str">
        <x:f>IF(204&gt;$H$4,"",IF(INDEX('Fleet dates'!$A$9:$A$1008,$I212-8)="","",INDEX('Fleet dates'!$A$9:$A$1008,$I212-8)))</x:f>
      </x:c>
      <x:c r="B212" s="50" t="str">
        <x:f>IF(204&gt;$H$4,"",IF(INDEX('Fleet dates'!$B$9:$B$1008,$I212-8)="","",INDEX('Fleet dates'!$B$9:$B$1008,$I212-8)))</x:f>
      </x:c>
      <x:c r="C212" s="51" t="str">
        <x:f>IF(204&gt;$H$4,"",IF(INDEX('Fleet dates'!$C$9:$C$1008,$I212-8)="","",INDEX('Fleet dates'!$C$9:$C$1008,$I212-8)))</x:f>
      </x:c>
      <x:c r="D212" s="51" t="str">
        <x:f>IF(204&gt;$H$4,"",IF(INDEX('Fleet dates'!$D$9:$D$1008,$I212-8)="","",INDEX('Fleet dates'!$D$9:$D$1008,$I212-8)))</x:f>
      </x:c>
      <x:c r="E212" s="51" t="str">
        <x:f>IF(204&gt;$H$4,"",IF(INDEX('Fleet dates'!$E$9:$E$1008,$I212-8)="","",INDEX('Fleet dates'!$E$9:$E$1008,$I212-8)))</x:f>
      </x:c>
      <x:c r="F212" s="51" t="str">
        <x:f>IF(204&gt;$H$4,"",IF(INDEX('Fleet dates'!$F$9:$F$1008,$I212-8)="","",INDEX('Fleet dates'!$F$9:$F$1008,$I212-8)))</x:f>
      </x:c>
      <x:c r="G212" s="50" t="str">
        <x:f>IF(204&gt;$H$4,"",IF(INDEX('Fleet dates'!$G$9:$G$1008,$I212-8)="","",INDEX('Fleet dates'!$G$9:$G$1008,$I212-8)))</x:f>
      </x:c>
      <x:c r="H212" s="50" t="str">
        <x:f>IF(204&gt;$H$4,"",IF(INDEX('Fleet dates'!$I$9:$I$1008,$I212-8)="","",INDEX('Fleet dates'!$I$9:$I$1008,$I212-8)))</x:f>
      </x:c>
      <x:c r="I212" t="str">
        <x:f>IF(204&gt;$H$4,"",MATCH(204,'Fleet dates'!$L$9:$L$1008,0)+8)</x:f>
      </x:c>
    </x:row>
    <x:row r="213" ht="36" customHeight="1">
      <x:c r="A213" s="50" t="str">
        <x:f>IF(205&gt;$H$4,"",IF(INDEX('Fleet dates'!$A$9:$A$1008,$I213-8)="","",INDEX('Fleet dates'!$A$9:$A$1008,$I213-8)))</x:f>
      </x:c>
      <x:c r="B213" s="50" t="str">
        <x:f>IF(205&gt;$H$4,"",IF(INDEX('Fleet dates'!$B$9:$B$1008,$I213-8)="","",INDEX('Fleet dates'!$B$9:$B$1008,$I213-8)))</x:f>
      </x:c>
      <x:c r="C213" s="51" t="str">
        <x:f>IF(205&gt;$H$4,"",IF(INDEX('Fleet dates'!$C$9:$C$1008,$I213-8)="","",INDEX('Fleet dates'!$C$9:$C$1008,$I213-8)))</x:f>
      </x:c>
      <x:c r="D213" s="51" t="str">
        <x:f>IF(205&gt;$H$4,"",IF(INDEX('Fleet dates'!$D$9:$D$1008,$I213-8)="","",INDEX('Fleet dates'!$D$9:$D$1008,$I213-8)))</x:f>
      </x:c>
      <x:c r="E213" s="51" t="str">
        <x:f>IF(205&gt;$H$4,"",IF(INDEX('Fleet dates'!$E$9:$E$1008,$I213-8)="","",INDEX('Fleet dates'!$E$9:$E$1008,$I213-8)))</x:f>
      </x:c>
      <x:c r="F213" s="51" t="str">
        <x:f>IF(205&gt;$H$4,"",IF(INDEX('Fleet dates'!$F$9:$F$1008,$I213-8)="","",INDEX('Fleet dates'!$F$9:$F$1008,$I213-8)))</x:f>
      </x:c>
      <x:c r="G213" s="50" t="str">
        <x:f>IF(205&gt;$H$4,"",IF(INDEX('Fleet dates'!$G$9:$G$1008,$I213-8)="","",INDEX('Fleet dates'!$G$9:$G$1008,$I213-8)))</x:f>
      </x:c>
      <x:c r="H213" s="50" t="str">
        <x:f>IF(205&gt;$H$4,"",IF(INDEX('Fleet dates'!$I$9:$I$1008,$I213-8)="","",INDEX('Fleet dates'!$I$9:$I$1008,$I213-8)))</x:f>
      </x:c>
      <x:c r="I213" t="str">
        <x:f>IF(205&gt;$H$4,"",MATCH(205,'Fleet dates'!$L$9:$L$1008,0)+8)</x:f>
      </x:c>
    </x:row>
    <x:row r="214" ht="36" customHeight="1">
      <x:c r="A214" s="50" t="str">
        <x:f>IF(206&gt;$H$4,"",IF(INDEX('Fleet dates'!$A$9:$A$1008,$I214-8)="","",INDEX('Fleet dates'!$A$9:$A$1008,$I214-8)))</x:f>
      </x:c>
      <x:c r="B214" s="50" t="str">
        <x:f>IF(206&gt;$H$4,"",IF(INDEX('Fleet dates'!$B$9:$B$1008,$I214-8)="","",INDEX('Fleet dates'!$B$9:$B$1008,$I214-8)))</x:f>
      </x:c>
      <x:c r="C214" s="51" t="str">
        <x:f>IF(206&gt;$H$4,"",IF(INDEX('Fleet dates'!$C$9:$C$1008,$I214-8)="","",INDEX('Fleet dates'!$C$9:$C$1008,$I214-8)))</x:f>
      </x:c>
      <x:c r="D214" s="51" t="str">
        <x:f>IF(206&gt;$H$4,"",IF(INDEX('Fleet dates'!$D$9:$D$1008,$I214-8)="","",INDEX('Fleet dates'!$D$9:$D$1008,$I214-8)))</x:f>
      </x:c>
      <x:c r="E214" s="51" t="str">
        <x:f>IF(206&gt;$H$4,"",IF(INDEX('Fleet dates'!$E$9:$E$1008,$I214-8)="","",INDEX('Fleet dates'!$E$9:$E$1008,$I214-8)))</x:f>
      </x:c>
      <x:c r="F214" s="51" t="str">
        <x:f>IF(206&gt;$H$4,"",IF(INDEX('Fleet dates'!$F$9:$F$1008,$I214-8)="","",INDEX('Fleet dates'!$F$9:$F$1008,$I214-8)))</x:f>
      </x:c>
      <x:c r="G214" s="50" t="str">
        <x:f>IF(206&gt;$H$4,"",IF(INDEX('Fleet dates'!$G$9:$G$1008,$I214-8)="","",INDEX('Fleet dates'!$G$9:$G$1008,$I214-8)))</x:f>
      </x:c>
      <x:c r="H214" s="50" t="str">
        <x:f>IF(206&gt;$H$4,"",IF(INDEX('Fleet dates'!$I$9:$I$1008,$I214-8)="","",INDEX('Fleet dates'!$I$9:$I$1008,$I214-8)))</x:f>
      </x:c>
      <x:c r="I214" t="str">
        <x:f>IF(206&gt;$H$4,"",MATCH(206,'Fleet dates'!$L$9:$L$1008,0)+8)</x:f>
      </x:c>
    </x:row>
    <x:row r="215" ht="36" customHeight="1">
      <x:c r="A215" s="50" t="str">
        <x:f>IF(207&gt;$H$4,"",IF(INDEX('Fleet dates'!$A$9:$A$1008,$I215-8)="","",INDEX('Fleet dates'!$A$9:$A$1008,$I215-8)))</x:f>
      </x:c>
      <x:c r="B215" s="50" t="str">
        <x:f>IF(207&gt;$H$4,"",IF(INDEX('Fleet dates'!$B$9:$B$1008,$I215-8)="","",INDEX('Fleet dates'!$B$9:$B$1008,$I215-8)))</x:f>
      </x:c>
      <x:c r="C215" s="51" t="str">
        <x:f>IF(207&gt;$H$4,"",IF(INDEX('Fleet dates'!$C$9:$C$1008,$I215-8)="","",INDEX('Fleet dates'!$C$9:$C$1008,$I215-8)))</x:f>
      </x:c>
      <x:c r="D215" s="51" t="str">
        <x:f>IF(207&gt;$H$4,"",IF(INDEX('Fleet dates'!$D$9:$D$1008,$I215-8)="","",INDEX('Fleet dates'!$D$9:$D$1008,$I215-8)))</x:f>
      </x:c>
      <x:c r="E215" s="51" t="str">
        <x:f>IF(207&gt;$H$4,"",IF(INDEX('Fleet dates'!$E$9:$E$1008,$I215-8)="","",INDEX('Fleet dates'!$E$9:$E$1008,$I215-8)))</x:f>
      </x:c>
      <x:c r="F215" s="51" t="str">
        <x:f>IF(207&gt;$H$4,"",IF(INDEX('Fleet dates'!$F$9:$F$1008,$I215-8)="","",INDEX('Fleet dates'!$F$9:$F$1008,$I215-8)))</x:f>
      </x:c>
      <x:c r="G215" s="50" t="str">
        <x:f>IF(207&gt;$H$4,"",IF(INDEX('Fleet dates'!$G$9:$G$1008,$I215-8)="","",INDEX('Fleet dates'!$G$9:$G$1008,$I215-8)))</x:f>
      </x:c>
      <x:c r="H215" s="50" t="str">
        <x:f>IF(207&gt;$H$4,"",IF(INDEX('Fleet dates'!$I$9:$I$1008,$I215-8)="","",INDEX('Fleet dates'!$I$9:$I$1008,$I215-8)))</x:f>
      </x:c>
      <x:c r="I215" t="str">
        <x:f>IF(207&gt;$H$4,"",MATCH(207,'Fleet dates'!$L$9:$L$1008,0)+8)</x:f>
      </x:c>
    </x:row>
    <x:row r="216" ht="36" customHeight="1">
      <x:c r="A216" s="50" t="str">
        <x:f>IF(208&gt;$H$4,"",IF(INDEX('Fleet dates'!$A$9:$A$1008,$I216-8)="","",INDEX('Fleet dates'!$A$9:$A$1008,$I216-8)))</x:f>
      </x:c>
      <x:c r="B216" s="50" t="str">
        <x:f>IF(208&gt;$H$4,"",IF(INDEX('Fleet dates'!$B$9:$B$1008,$I216-8)="","",INDEX('Fleet dates'!$B$9:$B$1008,$I216-8)))</x:f>
      </x:c>
      <x:c r="C216" s="51" t="str">
        <x:f>IF(208&gt;$H$4,"",IF(INDEX('Fleet dates'!$C$9:$C$1008,$I216-8)="","",INDEX('Fleet dates'!$C$9:$C$1008,$I216-8)))</x:f>
      </x:c>
      <x:c r="D216" s="51" t="str">
        <x:f>IF(208&gt;$H$4,"",IF(INDEX('Fleet dates'!$D$9:$D$1008,$I216-8)="","",INDEX('Fleet dates'!$D$9:$D$1008,$I216-8)))</x:f>
      </x:c>
      <x:c r="E216" s="51" t="str">
        <x:f>IF(208&gt;$H$4,"",IF(INDEX('Fleet dates'!$E$9:$E$1008,$I216-8)="","",INDEX('Fleet dates'!$E$9:$E$1008,$I216-8)))</x:f>
      </x:c>
      <x:c r="F216" s="51" t="str">
        <x:f>IF(208&gt;$H$4,"",IF(INDEX('Fleet dates'!$F$9:$F$1008,$I216-8)="","",INDEX('Fleet dates'!$F$9:$F$1008,$I216-8)))</x:f>
      </x:c>
      <x:c r="G216" s="50" t="str">
        <x:f>IF(208&gt;$H$4,"",IF(INDEX('Fleet dates'!$G$9:$G$1008,$I216-8)="","",INDEX('Fleet dates'!$G$9:$G$1008,$I216-8)))</x:f>
      </x:c>
      <x:c r="H216" s="50" t="str">
        <x:f>IF(208&gt;$H$4,"",IF(INDEX('Fleet dates'!$I$9:$I$1008,$I216-8)="","",INDEX('Fleet dates'!$I$9:$I$1008,$I216-8)))</x:f>
      </x:c>
      <x:c r="I216" t="str">
        <x:f>IF(208&gt;$H$4,"",MATCH(208,'Fleet dates'!$L$9:$L$1008,0)+8)</x:f>
      </x:c>
    </x:row>
    <x:row r="217" ht="36" customHeight="1">
      <x:c r="A217" s="50" t="str">
        <x:f>IF(209&gt;$H$4,"",IF(INDEX('Fleet dates'!$A$9:$A$1008,$I217-8)="","",INDEX('Fleet dates'!$A$9:$A$1008,$I217-8)))</x:f>
      </x:c>
      <x:c r="B217" s="50" t="str">
        <x:f>IF(209&gt;$H$4,"",IF(INDEX('Fleet dates'!$B$9:$B$1008,$I217-8)="","",INDEX('Fleet dates'!$B$9:$B$1008,$I217-8)))</x:f>
      </x:c>
      <x:c r="C217" s="51" t="str">
        <x:f>IF(209&gt;$H$4,"",IF(INDEX('Fleet dates'!$C$9:$C$1008,$I217-8)="","",INDEX('Fleet dates'!$C$9:$C$1008,$I217-8)))</x:f>
      </x:c>
      <x:c r="D217" s="51" t="str">
        <x:f>IF(209&gt;$H$4,"",IF(INDEX('Fleet dates'!$D$9:$D$1008,$I217-8)="","",INDEX('Fleet dates'!$D$9:$D$1008,$I217-8)))</x:f>
      </x:c>
      <x:c r="E217" s="51" t="str">
        <x:f>IF(209&gt;$H$4,"",IF(INDEX('Fleet dates'!$E$9:$E$1008,$I217-8)="","",INDEX('Fleet dates'!$E$9:$E$1008,$I217-8)))</x:f>
      </x:c>
      <x:c r="F217" s="51" t="str">
        <x:f>IF(209&gt;$H$4,"",IF(INDEX('Fleet dates'!$F$9:$F$1008,$I217-8)="","",INDEX('Fleet dates'!$F$9:$F$1008,$I217-8)))</x:f>
      </x:c>
      <x:c r="G217" s="50" t="str">
        <x:f>IF(209&gt;$H$4,"",IF(INDEX('Fleet dates'!$G$9:$G$1008,$I217-8)="","",INDEX('Fleet dates'!$G$9:$G$1008,$I217-8)))</x:f>
      </x:c>
      <x:c r="H217" s="50" t="str">
        <x:f>IF(209&gt;$H$4,"",IF(INDEX('Fleet dates'!$I$9:$I$1008,$I217-8)="","",INDEX('Fleet dates'!$I$9:$I$1008,$I217-8)))</x:f>
      </x:c>
      <x:c r="I217" t="str">
        <x:f>IF(209&gt;$H$4,"",MATCH(209,'Fleet dates'!$L$9:$L$1008,0)+8)</x:f>
      </x:c>
    </x:row>
    <x:row r="218" ht="36" customHeight="1">
      <x:c r="A218" s="50" t="str">
        <x:f>IF(210&gt;$H$4,"",IF(INDEX('Fleet dates'!$A$9:$A$1008,$I218-8)="","",INDEX('Fleet dates'!$A$9:$A$1008,$I218-8)))</x:f>
      </x:c>
      <x:c r="B218" s="50" t="str">
        <x:f>IF(210&gt;$H$4,"",IF(INDEX('Fleet dates'!$B$9:$B$1008,$I218-8)="","",INDEX('Fleet dates'!$B$9:$B$1008,$I218-8)))</x:f>
      </x:c>
      <x:c r="C218" s="51" t="str">
        <x:f>IF(210&gt;$H$4,"",IF(INDEX('Fleet dates'!$C$9:$C$1008,$I218-8)="","",INDEX('Fleet dates'!$C$9:$C$1008,$I218-8)))</x:f>
      </x:c>
      <x:c r="D218" s="51" t="str">
        <x:f>IF(210&gt;$H$4,"",IF(INDEX('Fleet dates'!$D$9:$D$1008,$I218-8)="","",INDEX('Fleet dates'!$D$9:$D$1008,$I218-8)))</x:f>
      </x:c>
      <x:c r="E218" s="51" t="str">
        <x:f>IF(210&gt;$H$4,"",IF(INDEX('Fleet dates'!$E$9:$E$1008,$I218-8)="","",INDEX('Fleet dates'!$E$9:$E$1008,$I218-8)))</x:f>
      </x:c>
      <x:c r="F218" s="51" t="str">
        <x:f>IF(210&gt;$H$4,"",IF(INDEX('Fleet dates'!$F$9:$F$1008,$I218-8)="","",INDEX('Fleet dates'!$F$9:$F$1008,$I218-8)))</x:f>
      </x:c>
      <x:c r="G218" s="50" t="str">
        <x:f>IF(210&gt;$H$4,"",IF(INDEX('Fleet dates'!$G$9:$G$1008,$I218-8)="","",INDEX('Fleet dates'!$G$9:$G$1008,$I218-8)))</x:f>
      </x:c>
      <x:c r="H218" s="50" t="str">
        <x:f>IF(210&gt;$H$4,"",IF(INDEX('Fleet dates'!$I$9:$I$1008,$I218-8)="","",INDEX('Fleet dates'!$I$9:$I$1008,$I218-8)))</x:f>
      </x:c>
      <x:c r="I218" t="str">
        <x:f>IF(210&gt;$H$4,"",MATCH(210,'Fleet dates'!$L$9:$L$1008,0)+8)</x:f>
      </x:c>
    </x:row>
    <x:row r="219" ht="36" customHeight="1">
      <x:c r="A219" s="50" t="str">
        <x:f>IF(211&gt;$H$4,"",IF(INDEX('Fleet dates'!$A$9:$A$1008,$I219-8)="","",INDEX('Fleet dates'!$A$9:$A$1008,$I219-8)))</x:f>
      </x:c>
      <x:c r="B219" s="50" t="str">
        <x:f>IF(211&gt;$H$4,"",IF(INDEX('Fleet dates'!$B$9:$B$1008,$I219-8)="","",INDEX('Fleet dates'!$B$9:$B$1008,$I219-8)))</x:f>
      </x:c>
      <x:c r="C219" s="51" t="str">
        <x:f>IF(211&gt;$H$4,"",IF(INDEX('Fleet dates'!$C$9:$C$1008,$I219-8)="","",INDEX('Fleet dates'!$C$9:$C$1008,$I219-8)))</x:f>
      </x:c>
      <x:c r="D219" s="51" t="str">
        <x:f>IF(211&gt;$H$4,"",IF(INDEX('Fleet dates'!$D$9:$D$1008,$I219-8)="","",INDEX('Fleet dates'!$D$9:$D$1008,$I219-8)))</x:f>
      </x:c>
      <x:c r="E219" s="51" t="str">
        <x:f>IF(211&gt;$H$4,"",IF(INDEX('Fleet dates'!$E$9:$E$1008,$I219-8)="","",INDEX('Fleet dates'!$E$9:$E$1008,$I219-8)))</x:f>
      </x:c>
      <x:c r="F219" s="51" t="str">
        <x:f>IF(211&gt;$H$4,"",IF(INDEX('Fleet dates'!$F$9:$F$1008,$I219-8)="","",INDEX('Fleet dates'!$F$9:$F$1008,$I219-8)))</x:f>
      </x:c>
      <x:c r="G219" s="50" t="str">
        <x:f>IF(211&gt;$H$4,"",IF(INDEX('Fleet dates'!$G$9:$G$1008,$I219-8)="","",INDEX('Fleet dates'!$G$9:$G$1008,$I219-8)))</x:f>
      </x:c>
      <x:c r="H219" s="50" t="str">
        <x:f>IF(211&gt;$H$4,"",IF(INDEX('Fleet dates'!$I$9:$I$1008,$I219-8)="","",INDEX('Fleet dates'!$I$9:$I$1008,$I219-8)))</x:f>
      </x:c>
      <x:c r="I219" t="str">
        <x:f>IF(211&gt;$H$4,"",MATCH(211,'Fleet dates'!$L$9:$L$1008,0)+8)</x:f>
      </x:c>
    </x:row>
    <x:row r="220" ht="36" customHeight="1">
      <x:c r="A220" s="50" t="str">
        <x:f>IF(212&gt;$H$4,"",IF(INDEX('Fleet dates'!$A$9:$A$1008,$I220-8)="","",INDEX('Fleet dates'!$A$9:$A$1008,$I220-8)))</x:f>
      </x:c>
      <x:c r="B220" s="50" t="str">
        <x:f>IF(212&gt;$H$4,"",IF(INDEX('Fleet dates'!$B$9:$B$1008,$I220-8)="","",INDEX('Fleet dates'!$B$9:$B$1008,$I220-8)))</x:f>
      </x:c>
      <x:c r="C220" s="51" t="str">
        <x:f>IF(212&gt;$H$4,"",IF(INDEX('Fleet dates'!$C$9:$C$1008,$I220-8)="","",INDEX('Fleet dates'!$C$9:$C$1008,$I220-8)))</x:f>
      </x:c>
      <x:c r="D220" s="51" t="str">
        <x:f>IF(212&gt;$H$4,"",IF(INDEX('Fleet dates'!$D$9:$D$1008,$I220-8)="","",INDEX('Fleet dates'!$D$9:$D$1008,$I220-8)))</x:f>
      </x:c>
      <x:c r="E220" s="51" t="str">
        <x:f>IF(212&gt;$H$4,"",IF(INDEX('Fleet dates'!$E$9:$E$1008,$I220-8)="","",INDEX('Fleet dates'!$E$9:$E$1008,$I220-8)))</x:f>
      </x:c>
      <x:c r="F220" s="51" t="str">
        <x:f>IF(212&gt;$H$4,"",IF(INDEX('Fleet dates'!$F$9:$F$1008,$I220-8)="","",INDEX('Fleet dates'!$F$9:$F$1008,$I220-8)))</x:f>
      </x:c>
      <x:c r="G220" s="50" t="str">
        <x:f>IF(212&gt;$H$4,"",IF(INDEX('Fleet dates'!$G$9:$G$1008,$I220-8)="","",INDEX('Fleet dates'!$G$9:$G$1008,$I220-8)))</x:f>
      </x:c>
      <x:c r="H220" s="50" t="str">
        <x:f>IF(212&gt;$H$4,"",IF(INDEX('Fleet dates'!$I$9:$I$1008,$I220-8)="","",INDEX('Fleet dates'!$I$9:$I$1008,$I220-8)))</x:f>
      </x:c>
      <x:c r="I220" t="str">
        <x:f>IF(212&gt;$H$4,"",MATCH(212,'Fleet dates'!$L$9:$L$1008,0)+8)</x:f>
      </x:c>
    </x:row>
    <x:row r="221" ht="36" customHeight="1">
      <x:c r="A221" s="50" t="str">
        <x:f>IF(213&gt;$H$4,"",IF(INDEX('Fleet dates'!$A$9:$A$1008,$I221-8)="","",INDEX('Fleet dates'!$A$9:$A$1008,$I221-8)))</x:f>
      </x:c>
      <x:c r="B221" s="50" t="str">
        <x:f>IF(213&gt;$H$4,"",IF(INDEX('Fleet dates'!$B$9:$B$1008,$I221-8)="","",INDEX('Fleet dates'!$B$9:$B$1008,$I221-8)))</x:f>
      </x:c>
      <x:c r="C221" s="51" t="str">
        <x:f>IF(213&gt;$H$4,"",IF(INDEX('Fleet dates'!$C$9:$C$1008,$I221-8)="","",INDEX('Fleet dates'!$C$9:$C$1008,$I221-8)))</x:f>
      </x:c>
      <x:c r="D221" s="51" t="str">
        <x:f>IF(213&gt;$H$4,"",IF(INDEX('Fleet dates'!$D$9:$D$1008,$I221-8)="","",INDEX('Fleet dates'!$D$9:$D$1008,$I221-8)))</x:f>
      </x:c>
      <x:c r="E221" s="51" t="str">
        <x:f>IF(213&gt;$H$4,"",IF(INDEX('Fleet dates'!$E$9:$E$1008,$I221-8)="","",INDEX('Fleet dates'!$E$9:$E$1008,$I221-8)))</x:f>
      </x:c>
      <x:c r="F221" s="51" t="str">
        <x:f>IF(213&gt;$H$4,"",IF(INDEX('Fleet dates'!$F$9:$F$1008,$I221-8)="","",INDEX('Fleet dates'!$F$9:$F$1008,$I221-8)))</x:f>
      </x:c>
      <x:c r="G221" s="50" t="str">
        <x:f>IF(213&gt;$H$4,"",IF(INDEX('Fleet dates'!$G$9:$G$1008,$I221-8)="","",INDEX('Fleet dates'!$G$9:$G$1008,$I221-8)))</x:f>
      </x:c>
      <x:c r="H221" s="50" t="str">
        <x:f>IF(213&gt;$H$4,"",IF(INDEX('Fleet dates'!$I$9:$I$1008,$I221-8)="","",INDEX('Fleet dates'!$I$9:$I$1008,$I221-8)))</x:f>
      </x:c>
      <x:c r="I221" t="str">
        <x:f>IF(213&gt;$H$4,"",MATCH(213,'Fleet dates'!$L$9:$L$1008,0)+8)</x:f>
      </x:c>
    </x:row>
    <x:row r="222" ht="36" customHeight="1">
      <x:c r="A222" s="50" t="str">
        <x:f>IF(214&gt;$H$4,"",IF(INDEX('Fleet dates'!$A$9:$A$1008,$I222-8)="","",INDEX('Fleet dates'!$A$9:$A$1008,$I222-8)))</x:f>
      </x:c>
      <x:c r="B222" s="50" t="str">
        <x:f>IF(214&gt;$H$4,"",IF(INDEX('Fleet dates'!$B$9:$B$1008,$I222-8)="","",INDEX('Fleet dates'!$B$9:$B$1008,$I222-8)))</x:f>
      </x:c>
      <x:c r="C222" s="51" t="str">
        <x:f>IF(214&gt;$H$4,"",IF(INDEX('Fleet dates'!$C$9:$C$1008,$I222-8)="","",INDEX('Fleet dates'!$C$9:$C$1008,$I222-8)))</x:f>
      </x:c>
      <x:c r="D222" s="51" t="str">
        <x:f>IF(214&gt;$H$4,"",IF(INDEX('Fleet dates'!$D$9:$D$1008,$I222-8)="","",INDEX('Fleet dates'!$D$9:$D$1008,$I222-8)))</x:f>
      </x:c>
      <x:c r="E222" s="51" t="str">
        <x:f>IF(214&gt;$H$4,"",IF(INDEX('Fleet dates'!$E$9:$E$1008,$I222-8)="","",INDEX('Fleet dates'!$E$9:$E$1008,$I222-8)))</x:f>
      </x:c>
      <x:c r="F222" s="51" t="str">
        <x:f>IF(214&gt;$H$4,"",IF(INDEX('Fleet dates'!$F$9:$F$1008,$I222-8)="","",INDEX('Fleet dates'!$F$9:$F$1008,$I222-8)))</x:f>
      </x:c>
      <x:c r="G222" s="50" t="str">
        <x:f>IF(214&gt;$H$4,"",IF(INDEX('Fleet dates'!$G$9:$G$1008,$I222-8)="","",INDEX('Fleet dates'!$G$9:$G$1008,$I222-8)))</x:f>
      </x:c>
      <x:c r="H222" s="50" t="str">
        <x:f>IF(214&gt;$H$4,"",IF(INDEX('Fleet dates'!$I$9:$I$1008,$I222-8)="","",INDEX('Fleet dates'!$I$9:$I$1008,$I222-8)))</x:f>
      </x:c>
      <x:c r="I222" t="str">
        <x:f>IF(214&gt;$H$4,"",MATCH(214,'Fleet dates'!$L$9:$L$1008,0)+8)</x:f>
      </x:c>
    </x:row>
    <x:row r="223" ht="36" customHeight="1">
      <x:c r="A223" s="50" t="str">
        <x:f>IF(215&gt;$H$4,"",IF(INDEX('Fleet dates'!$A$9:$A$1008,$I223-8)="","",INDEX('Fleet dates'!$A$9:$A$1008,$I223-8)))</x:f>
      </x:c>
      <x:c r="B223" s="50" t="str">
        <x:f>IF(215&gt;$H$4,"",IF(INDEX('Fleet dates'!$B$9:$B$1008,$I223-8)="","",INDEX('Fleet dates'!$B$9:$B$1008,$I223-8)))</x:f>
      </x:c>
      <x:c r="C223" s="51" t="str">
        <x:f>IF(215&gt;$H$4,"",IF(INDEX('Fleet dates'!$C$9:$C$1008,$I223-8)="","",INDEX('Fleet dates'!$C$9:$C$1008,$I223-8)))</x:f>
      </x:c>
      <x:c r="D223" s="51" t="str">
        <x:f>IF(215&gt;$H$4,"",IF(INDEX('Fleet dates'!$D$9:$D$1008,$I223-8)="","",INDEX('Fleet dates'!$D$9:$D$1008,$I223-8)))</x:f>
      </x:c>
      <x:c r="E223" s="51" t="str">
        <x:f>IF(215&gt;$H$4,"",IF(INDEX('Fleet dates'!$E$9:$E$1008,$I223-8)="","",INDEX('Fleet dates'!$E$9:$E$1008,$I223-8)))</x:f>
      </x:c>
      <x:c r="F223" s="51" t="str">
        <x:f>IF(215&gt;$H$4,"",IF(INDEX('Fleet dates'!$F$9:$F$1008,$I223-8)="","",INDEX('Fleet dates'!$F$9:$F$1008,$I223-8)))</x:f>
      </x:c>
      <x:c r="G223" s="50" t="str">
        <x:f>IF(215&gt;$H$4,"",IF(INDEX('Fleet dates'!$G$9:$G$1008,$I223-8)="","",INDEX('Fleet dates'!$G$9:$G$1008,$I223-8)))</x:f>
      </x:c>
      <x:c r="H223" s="50" t="str">
        <x:f>IF(215&gt;$H$4,"",IF(INDEX('Fleet dates'!$I$9:$I$1008,$I223-8)="","",INDEX('Fleet dates'!$I$9:$I$1008,$I223-8)))</x:f>
      </x:c>
      <x:c r="I223" t="str">
        <x:f>IF(215&gt;$H$4,"",MATCH(215,'Fleet dates'!$L$9:$L$1008,0)+8)</x:f>
      </x:c>
    </x:row>
    <x:row r="224" ht="36" customHeight="1">
      <x:c r="A224" s="50" t="str">
        <x:f>IF(216&gt;$H$4,"",IF(INDEX('Fleet dates'!$A$9:$A$1008,$I224-8)="","",INDEX('Fleet dates'!$A$9:$A$1008,$I224-8)))</x:f>
      </x:c>
      <x:c r="B224" s="50" t="str">
        <x:f>IF(216&gt;$H$4,"",IF(INDEX('Fleet dates'!$B$9:$B$1008,$I224-8)="","",INDEX('Fleet dates'!$B$9:$B$1008,$I224-8)))</x:f>
      </x:c>
      <x:c r="C224" s="51" t="str">
        <x:f>IF(216&gt;$H$4,"",IF(INDEX('Fleet dates'!$C$9:$C$1008,$I224-8)="","",INDEX('Fleet dates'!$C$9:$C$1008,$I224-8)))</x:f>
      </x:c>
      <x:c r="D224" s="51" t="str">
        <x:f>IF(216&gt;$H$4,"",IF(INDEX('Fleet dates'!$D$9:$D$1008,$I224-8)="","",INDEX('Fleet dates'!$D$9:$D$1008,$I224-8)))</x:f>
      </x:c>
      <x:c r="E224" s="51" t="str">
        <x:f>IF(216&gt;$H$4,"",IF(INDEX('Fleet dates'!$E$9:$E$1008,$I224-8)="","",INDEX('Fleet dates'!$E$9:$E$1008,$I224-8)))</x:f>
      </x:c>
      <x:c r="F224" s="51" t="str">
        <x:f>IF(216&gt;$H$4,"",IF(INDEX('Fleet dates'!$F$9:$F$1008,$I224-8)="","",INDEX('Fleet dates'!$F$9:$F$1008,$I224-8)))</x:f>
      </x:c>
      <x:c r="G224" s="50" t="str">
        <x:f>IF(216&gt;$H$4,"",IF(INDEX('Fleet dates'!$G$9:$G$1008,$I224-8)="","",INDEX('Fleet dates'!$G$9:$G$1008,$I224-8)))</x:f>
      </x:c>
      <x:c r="H224" s="50" t="str">
        <x:f>IF(216&gt;$H$4,"",IF(INDEX('Fleet dates'!$I$9:$I$1008,$I224-8)="","",INDEX('Fleet dates'!$I$9:$I$1008,$I224-8)))</x:f>
      </x:c>
      <x:c r="I224" t="str">
        <x:f>IF(216&gt;$H$4,"",MATCH(216,'Fleet dates'!$L$9:$L$1008,0)+8)</x:f>
      </x:c>
    </x:row>
    <x:row r="225" ht="36" customHeight="1">
      <x:c r="A225" s="50" t="str">
        <x:f>IF(217&gt;$H$4,"",IF(INDEX('Fleet dates'!$A$9:$A$1008,$I225-8)="","",INDEX('Fleet dates'!$A$9:$A$1008,$I225-8)))</x:f>
      </x:c>
      <x:c r="B225" s="50" t="str">
        <x:f>IF(217&gt;$H$4,"",IF(INDEX('Fleet dates'!$B$9:$B$1008,$I225-8)="","",INDEX('Fleet dates'!$B$9:$B$1008,$I225-8)))</x:f>
      </x:c>
      <x:c r="C225" s="51" t="str">
        <x:f>IF(217&gt;$H$4,"",IF(INDEX('Fleet dates'!$C$9:$C$1008,$I225-8)="","",INDEX('Fleet dates'!$C$9:$C$1008,$I225-8)))</x:f>
      </x:c>
      <x:c r="D225" s="51" t="str">
        <x:f>IF(217&gt;$H$4,"",IF(INDEX('Fleet dates'!$D$9:$D$1008,$I225-8)="","",INDEX('Fleet dates'!$D$9:$D$1008,$I225-8)))</x:f>
      </x:c>
      <x:c r="E225" s="51" t="str">
        <x:f>IF(217&gt;$H$4,"",IF(INDEX('Fleet dates'!$E$9:$E$1008,$I225-8)="","",INDEX('Fleet dates'!$E$9:$E$1008,$I225-8)))</x:f>
      </x:c>
      <x:c r="F225" s="51" t="str">
        <x:f>IF(217&gt;$H$4,"",IF(INDEX('Fleet dates'!$F$9:$F$1008,$I225-8)="","",INDEX('Fleet dates'!$F$9:$F$1008,$I225-8)))</x:f>
      </x:c>
      <x:c r="G225" s="50" t="str">
        <x:f>IF(217&gt;$H$4,"",IF(INDEX('Fleet dates'!$G$9:$G$1008,$I225-8)="","",INDEX('Fleet dates'!$G$9:$G$1008,$I225-8)))</x:f>
      </x:c>
      <x:c r="H225" s="50" t="str">
        <x:f>IF(217&gt;$H$4,"",IF(INDEX('Fleet dates'!$I$9:$I$1008,$I225-8)="","",INDEX('Fleet dates'!$I$9:$I$1008,$I225-8)))</x:f>
      </x:c>
      <x:c r="I225" t="str">
        <x:f>IF(217&gt;$H$4,"",MATCH(217,'Fleet dates'!$L$9:$L$1008,0)+8)</x:f>
      </x:c>
    </x:row>
    <x:row r="226" ht="36" customHeight="1">
      <x:c r="A226" s="50" t="str">
        <x:f>IF(218&gt;$H$4,"",IF(INDEX('Fleet dates'!$A$9:$A$1008,$I226-8)="","",INDEX('Fleet dates'!$A$9:$A$1008,$I226-8)))</x:f>
      </x:c>
      <x:c r="B226" s="50" t="str">
        <x:f>IF(218&gt;$H$4,"",IF(INDEX('Fleet dates'!$B$9:$B$1008,$I226-8)="","",INDEX('Fleet dates'!$B$9:$B$1008,$I226-8)))</x:f>
      </x:c>
      <x:c r="C226" s="51" t="str">
        <x:f>IF(218&gt;$H$4,"",IF(INDEX('Fleet dates'!$C$9:$C$1008,$I226-8)="","",INDEX('Fleet dates'!$C$9:$C$1008,$I226-8)))</x:f>
      </x:c>
      <x:c r="D226" s="51" t="str">
        <x:f>IF(218&gt;$H$4,"",IF(INDEX('Fleet dates'!$D$9:$D$1008,$I226-8)="","",INDEX('Fleet dates'!$D$9:$D$1008,$I226-8)))</x:f>
      </x:c>
      <x:c r="E226" s="51" t="str">
        <x:f>IF(218&gt;$H$4,"",IF(INDEX('Fleet dates'!$E$9:$E$1008,$I226-8)="","",INDEX('Fleet dates'!$E$9:$E$1008,$I226-8)))</x:f>
      </x:c>
      <x:c r="F226" s="51" t="str">
        <x:f>IF(218&gt;$H$4,"",IF(INDEX('Fleet dates'!$F$9:$F$1008,$I226-8)="","",INDEX('Fleet dates'!$F$9:$F$1008,$I226-8)))</x:f>
      </x:c>
      <x:c r="G226" s="50" t="str">
        <x:f>IF(218&gt;$H$4,"",IF(INDEX('Fleet dates'!$G$9:$G$1008,$I226-8)="","",INDEX('Fleet dates'!$G$9:$G$1008,$I226-8)))</x:f>
      </x:c>
      <x:c r="H226" s="50" t="str">
        <x:f>IF(218&gt;$H$4,"",IF(INDEX('Fleet dates'!$I$9:$I$1008,$I226-8)="","",INDEX('Fleet dates'!$I$9:$I$1008,$I226-8)))</x:f>
      </x:c>
      <x:c r="I226" t="str">
        <x:f>IF(218&gt;$H$4,"",MATCH(218,'Fleet dates'!$L$9:$L$1008,0)+8)</x:f>
      </x:c>
    </x:row>
    <x:row r="227" ht="36" customHeight="1">
      <x:c r="A227" s="50" t="str">
        <x:f>IF(219&gt;$H$4,"",IF(INDEX('Fleet dates'!$A$9:$A$1008,$I227-8)="","",INDEX('Fleet dates'!$A$9:$A$1008,$I227-8)))</x:f>
      </x:c>
      <x:c r="B227" s="50" t="str">
        <x:f>IF(219&gt;$H$4,"",IF(INDEX('Fleet dates'!$B$9:$B$1008,$I227-8)="","",INDEX('Fleet dates'!$B$9:$B$1008,$I227-8)))</x:f>
      </x:c>
      <x:c r="C227" s="51" t="str">
        <x:f>IF(219&gt;$H$4,"",IF(INDEX('Fleet dates'!$C$9:$C$1008,$I227-8)="","",INDEX('Fleet dates'!$C$9:$C$1008,$I227-8)))</x:f>
      </x:c>
      <x:c r="D227" s="51" t="str">
        <x:f>IF(219&gt;$H$4,"",IF(INDEX('Fleet dates'!$D$9:$D$1008,$I227-8)="","",INDEX('Fleet dates'!$D$9:$D$1008,$I227-8)))</x:f>
      </x:c>
      <x:c r="E227" s="51" t="str">
        <x:f>IF(219&gt;$H$4,"",IF(INDEX('Fleet dates'!$E$9:$E$1008,$I227-8)="","",INDEX('Fleet dates'!$E$9:$E$1008,$I227-8)))</x:f>
      </x:c>
      <x:c r="F227" s="51" t="str">
        <x:f>IF(219&gt;$H$4,"",IF(INDEX('Fleet dates'!$F$9:$F$1008,$I227-8)="","",INDEX('Fleet dates'!$F$9:$F$1008,$I227-8)))</x:f>
      </x:c>
      <x:c r="G227" s="50" t="str">
        <x:f>IF(219&gt;$H$4,"",IF(INDEX('Fleet dates'!$G$9:$G$1008,$I227-8)="","",INDEX('Fleet dates'!$G$9:$G$1008,$I227-8)))</x:f>
      </x:c>
      <x:c r="H227" s="50" t="str">
        <x:f>IF(219&gt;$H$4,"",IF(INDEX('Fleet dates'!$I$9:$I$1008,$I227-8)="","",INDEX('Fleet dates'!$I$9:$I$1008,$I227-8)))</x:f>
      </x:c>
      <x:c r="I227" t="str">
        <x:f>IF(219&gt;$H$4,"",MATCH(219,'Fleet dates'!$L$9:$L$1008,0)+8)</x:f>
      </x:c>
    </x:row>
    <x:row r="228" ht="36" customHeight="1">
      <x:c r="A228" s="50" t="str">
        <x:f>IF(220&gt;$H$4,"",IF(INDEX('Fleet dates'!$A$9:$A$1008,$I228-8)="","",INDEX('Fleet dates'!$A$9:$A$1008,$I228-8)))</x:f>
      </x:c>
      <x:c r="B228" s="50" t="str">
        <x:f>IF(220&gt;$H$4,"",IF(INDEX('Fleet dates'!$B$9:$B$1008,$I228-8)="","",INDEX('Fleet dates'!$B$9:$B$1008,$I228-8)))</x:f>
      </x:c>
      <x:c r="C228" s="51" t="str">
        <x:f>IF(220&gt;$H$4,"",IF(INDEX('Fleet dates'!$C$9:$C$1008,$I228-8)="","",INDEX('Fleet dates'!$C$9:$C$1008,$I228-8)))</x:f>
      </x:c>
      <x:c r="D228" s="51" t="str">
        <x:f>IF(220&gt;$H$4,"",IF(INDEX('Fleet dates'!$D$9:$D$1008,$I228-8)="","",INDEX('Fleet dates'!$D$9:$D$1008,$I228-8)))</x:f>
      </x:c>
      <x:c r="E228" s="51" t="str">
        <x:f>IF(220&gt;$H$4,"",IF(INDEX('Fleet dates'!$E$9:$E$1008,$I228-8)="","",INDEX('Fleet dates'!$E$9:$E$1008,$I228-8)))</x:f>
      </x:c>
      <x:c r="F228" s="51" t="str">
        <x:f>IF(220&gt;$H$4,"",IF(INDEX('Fleet dates'!$F$9:$F$1008,$I228-8)="","",INDEX('Fleet dates'!$F$9:$F$1008,$I228-8)))</x:f>
      </x:c>
      <x:c r="G228" s="50" t="str">
        <x:f>IF(220&gt;$H$4,"",IF(INDEX('Fleet dates'!$G$9:$G$1008,$I228-8)="","",INDEX('Fleet dates'!$G$9:$G$1008,$I228-8)))</x:f>
      </x:c>
      <x:c r="H228" s="50" t="str">
        <x:f>IF(220&gt;$H$4,"",IF(INDEX('Fleet dates'!$I$9:$I$1008,$I228-8)="","",INDEX('Fleet dates'!$I$9:$I$1008,$I228-8)))</x:f>
      </x:c>
      <x:c r="I228" t="str">
        <x:f>IF(220&gt;$H$4,"",MATCH(220,'Fleet dates'!$L$9:$L$1008,0)+8)</x:f>
      </x:c>
    </x:row>
    <x:row r="229" ht="36" customHeight="1">
      <x:c r="A229" s="50" t="str">
        <x:f>IF(221&gt;$H$4,"",IF(INDEX('Fleet dates'!$A$9:$A$1008,$I229-8)="","",INDEX('Fleet dates'!$A$9:$A$1008,$I229-8)))</x:f>
      </x:c>
      <x:c r="B229" s="50" t="str">
        <x:f>IF(221&gt;$H$4,"",IF(INDEX('Fleet dates'!$B$9:$B$1008,$I229-8)="","",INDEX('Fleet dates'!$B$9:$B$1008,$I229-8)))</x:f>
      </x:c>
      <x:c r="C229" s="51" t="str">
        <x:f>IF(221&gt;$H$4,"",IF(INDEX('Fleet dates'!$C$9:$C$1008,$I229-8)="","",INDEX('Fleet dates'!$C$9:$C$1008,$I229-8)))</x:f>
      </x:c>
      <x:c r="D229" s="51" t="str">
        <x:f>IF(221&gt;$H$4,"",IF(INDEX('Fleet dates'!$D$9:$D$1008,$I229-8)="","",INDEX('Fleet dates'!$D$9:$D$1008,$I229-8)))</x:f>
      </x:c>
      <x:c r="E229" s="51" t="str">
        <x:f>IF(221&gt;$H$4,"",IF(INDEX('Fleet dates'!$E$9:$E$1008,$I229-8)="","",INDEX('Fleet dates'!$E$9:$E$1008,$I229-8)))</x:f>
      </x:c>
      <x:c r="F229" s="51" t="str">
        <x:f>IF(221&gt;$H$4,"",IF(INDEX('Fleet dates'!$F$9:$F$1008,$I229-8)="","",INDEX('Fleet dates'!$F$9:$F$1008,$I229-8)))</x:f>
      </x:c>
      <x:c r="G229" s="50" t="str">
        <x:f>IF(221&gt;$H$4,"",IF(INDEX('Fleet dates'!$G$9:$G$1008,$I229-8)="","",INDEX('Fleet dates'!$G$9:$G$1008,$I229-8)))</x:f>
      </x:c>
      <x:c r="H229" s="50" t="str">
        <x:f>IF(221&gt;$H$4,"",IF(INDEX('Fleet dates'!$I$9:$I$1008,$I229-8)="","",INDEX('Fleet dates'!$I$9:$I$1008,$I229-8)))</x:f>
      </x:c>
      <x:c r="I229" t="str">
        <x:f>IF(221&gt;$H$4,"",MATCH(221,'Fleet dates'!$L$9:$L$1008,0)+8)</x:f>
      </x:c>
    </x:row>
    <x:row r="230" ht="36" customHeight="1">
      <x:c r="A230" s="50" t="str">
        <x:f>IF(222&gt;$H$4,"",IF(INDEX('Fleet dates'!$A$9:$A$1008,$I230-8)="","",INDEX('Fleet dates'!$A$9:$A$1008,$I230-8)))</x:f>
      </x:c>
      <x:c r="B230" s="50" t="str">
        <x:f>IF(222&gt;$H$4,"",IF(INDEX('Fleet dates'!$B$9:$B$1008,$I230-8)="","",INDEX('Fleet dates'!$B$9:$B$1008,$I230-8)))</x:f>
      </x:c>
      <x:c r="C230" s="51" t="str">
        <x:f>IF(222&gt;$H$4,"",IF(INDEX('Fleet dates'!$C$9:$C$1008,$I230-8)="","",INDEX('Fleet dates'!$C$9:$C$1008,$I230-8)))</x:f>
      </x:c>
      <x:c r="D230" s="51" t="str">
        <x:f>IF(222&gt;$H$4,"",IF(INDEX('Fleet dates'!$D$9:$D$1008,$I230-8)="","",INDEX('Fleet dates'!$D$9:$D$1008,$I230-8)))</x:f>
      </x:c>
      <x:c r="E230" s="51" t="str">
        <x:f>IF(222&gt;$H$4,"",IF(INDEX('Fleet dates'!$E$9:$E$1008,$I230-8)="","",INDEX('Fleet dates'!$E$9:$E$1008,$I230-8)))</x:f>
      </x:c>
      <x:c r="F230" s="51" t="str">
        <x:f>IF(222&gt;$H$4,"",IF(INDEX('Fleet dates'!$F$9:$F$1008,$I230-8)="","",INDEX('Fleet dates'!$F$9:$F$1008,$I230-8)))</x:f>
      </x:c>
      <x:c r="G230" s="50" t="str">
        <x:f>IF(222&gt;$H$4,"",IF(INDEX('Fleet dates'!$G$9:$G$1008,$I230-8)="","",INDEX('Fleet dates'!$G$9:$G$1008,$I230-8)))</x:f>
      </x:c>
      <x:c r="H230" s="50" t="str">
        <x:f>IF(222&gt;$H$4,"",IF(INDEX('Fleet dates'!$I$9:$I$1008,$I230-8)="","",INDEX('Fleet dates'!$I$9:$I$1008,$I230-8)))</x:f>
      </x:c>
      <x:c r="I230" t="str">
        <x:f>IF(222&gt;$H$4,"",MATCH(222,'Fleet dates'!$L$9:$L$1008,0)+8)</x:f>
      </x:c>
    </x:row>
    <x:row r="231" ht="36" customHeight="1">
      <x:c r="A231" s="50" t="str">
        <x:f>IF(223&gt;$H$4,"",IF(INDEX('Fleet dates'!$A$9:$A$1008,$I231-8)="","",INDEX('Fleet dates'!$A$9:$A$1008,$I231-8)))</x:f>
      </x:c>
      <x:c r="B231" s="50" t="str">
        <x:f>IF(223&gt;$H$4,"",IF(INDEX('Fleet dates'!$B$9:$B$1008,$I231-8)="","",INDEX('Fleet dates'!$B$9:$B$1008,$I231-8)))</x:f>
      </x:c>
      <x:c r="C231" s="51" t="str">
        <x:f>IF(223&gt;$H$4,"",IF(INDEX('Fleet dates'!$C$9:$C$1008,$I231-8)="","",INDEX('Fleet dates'!$C$9:$C$1008,$I231-8)))</x:f>
      </x:c>
      <x:c r="D231" s="51" t="str">
        <x:f>IF(223&gt;$H$4,"",IF(INDEX('Fleet dates'!$D$9:$D$1008,$I231-8)="","",INDEX('Fleet dates'!$D$9:$D$1008,$I231-8)))</x:f>
      </x:c>
      <x:c r="E231" s="51" t="str">
        <x:f>IF(223&gt;$H$4,"",IF(INDEX('Fleet dates'!$E$9:$E$1008,$I231-8)="","",INDEX('Fleet dates'!$E$9:$E$1008,$I231-8)))</x:f>
      </x:c>
      <x:c r="F231" s="51" t="str">
        <x:f>IF(223&gt;$H$4,"",IF(INDEX('Fleet dates'!$F$9:$F$1008,$I231-8)="","",INDEX('Fleet dates'!$F$9:$F$1008,$I231-8)))</x:f>
      </x:c>
      <x:c r="G231" s="50" t="str">
        <x:f>IF(223&gt;$H$4,"",IF(INDEX('Fleet dates'!$G$9:$G$1008,$I231-8)="","",INDEX('Fleet dates'!$G$9:$G$1008,$I231-8)))</x:f>
      </x:c>
      <x:c r="H231" s="50" t="str">
        <x:f>IF(223&gt;$H$4,"",IF(INDEX('Fleet dates'!$I$9:$I$1008,$I231-8)="","",INDEX('Fleet dates'!$I$9:$I$1008,$I231-8)))</x:f>
      </x:c>
      <x:c r="I231" t="str">
        <x:f>IF(223&gt;$H$4,"",MATCH(223,'Fleet dates'!$L$9:$L$1008,0)+8)</x:f>
      </x:c>
    </x:row>
    <x:row r="232" ht="36" customHeight="1">
      <x:c r="A232" s="50" t="str">
        <x:f>IF(224&gt;$H$4,"",IF(INDEX('Fleet dates'!$A$9:$A$1008,$I232-8)="","",INDEX('Fleet dates'!$A$9:$A$1008,$I232-8)))</x:f>
      </x:c>
      <x:c r="B232" s="50" t="str">
        <x:f>IF(224&gt;$H$4,"",IF(INDEX('Fleet dates'!$B$9:$B$1008,$I232-8)="","",INDEX('Fleet dates'!$B$9:$B$1008,$I232-8)))</x:f>
      </x:c>
      <x:c r="C232" s="51" t="str">
        <x:f>IF(224&gt;$H$4,"",IF(INDEX('Fleet dates'!$C$9:$C$1008,$I232-8)="","",INDEX('Fleet dates'!$C$9:$C$1008,$I232-8)))</x:f>
      </x:c>
      <x:c r="D232" s="51" t="str">
        <x:f>IF(224&gt;$H$4,"",IF(INDEX('Fleet dates'!$D$9:$D$1008,$I232-8)="","",INDEX('Fleet dates'!$D$9:$D$1008,$I232-8)))</x:f>
      </x:c>
      <x:c r="E232" s="51" t="str">
        <x:f>IF(224&gt;$H$4,"",IF(INDEX('Fleet dates'!$E$9:$E$1008,$I232-8)="","",INDEX('Fleet dates'!$E$9:$E$1008,$I232-8)))</x:f>
      </x:c>
      <x:c r="F232" s="51" t="str">
        <x:f>IF(224&gt;$H$4,"",IF(INDEX('Fleet dates'!$F$9:$F$1008,$I232-8)="","",INDEX('Fleet dates'!$F$9:$F$1008,$I232-8)))</x:f>
      </x:c>
      <x:c r="G232" s="50" t="str">
        <x:f>IF(224&gt;$H$4,"",IF(INDEX('Fleet dates'!$G$9:$G$1008,$I232-8)="","",INDEX('Fleet dates'!$G$9:$G$1008,$I232-8)))</x:f>
      </x:c>
      <x:c r="H232" s="50" t="str">
        <x:f>IF(224&gt;$H$4,"",IF(INDEX('Fleet dates'!$I$9:$I$1008,$I232-8)="","",INDEX('Fleet dates'!$I$9:$I$1008,$I232-8)))</x:f>
      </x:c>
      <x:c r="I232" t="str">
        <x:f>IF(224&gt;$H$4,"",MATCH(224,'Fleet dates'!$L$9:$L$1008,0)+8)</x:f>
      </x:c>
    </x:row>
    <x:row r="233" ht="36" customHeight="1">
      <x:c r="A233" s="50" t="str">
        <x:f>IF(225&gt;$H$4,"",IF(INDEX('Fleet dates'!$A$9:$A$1008,$I233-8)="","",INDEX('Fleet dates'!$A$9:$A$1008,$I233-8)))</x:f>
      </x:c>
      <x:c r="B233" s="50" t="str">
        <x:f>IF(225&gt;$H$4,"",IF(INDEX('Fleet dates'!$B$9:$B$1008,$I233-8)="","",INDEX('Fleet dates'!$B$9:$B$1008,$I233-8)))</x:f>
      </x:c>
      <x:c r="C233" s="51" t="str">
        <x:f>IF(225&gt;$H$4,"",IF(INDEX('Fleet dates'!$C$9:$C$1008,$I233-8)="","",INDEX('Fleet dates'!$C$9:$C$1008,$I233-8)))</x:f>
      </x:c>
      <x:c r="D233" s="51" t="str">
        <x:f>IF(225&gt;$H$4,"",IF(INDEX('Fleet dates'!$D$9:$D$1008,$I233-8)="","",INDEX('Fleet dates'!$D$9:$D$1008,$I233-8)))</x:f>
      </x:c>
      <x:c r="E233" s="51" t="str">
        <x:f>IF(225&gt;$H$4,"",IF(INDEX('Fleet dates'!$E$9:$E$1008,$I233-8)="","",INDEX('Fleet dates'!$E$9:$E$1008,$I233-8)))</x:f>
      </x:c>
      <x:c r="F233" s="51" t="str">
        <x:f>IF(225&gt;$H$4,"",IF(INDEX('Fleet dates'!$F$9:$F$1008,$I233-8)="","",INDEX('Fleet dates'!$F$9:$F$1008,$I233-8)))</x:f>
      </x:c>
      <x:c r="G233" s="50" t="str">
        <x:f>IF(225&gt;$H$4,"",IF(INDEX('Fleet dates'!$G$9:$G$1008,$I233-8)="","",INDEX('Fleet dates'!$G$9:$G$1008,$I233-8)))</x:f>
      </x:c>
      <x:c r="H233" s="50" t="str">
        <x:f>IF(225&gt;$H$4,"",IF(INDEX('Fleet dates'!$I$9:$I$1008,$I233-8)="","",INDEX('Fleet dates'!$I$9:$I$1008,$I233-8)))</x:f>
      </x:c>
      <x:c r="I233" t="str">
        <x:f>IF(225&gt;$H$4,"",MATCH(225,'Fleet dates'!$L$9:$L$1008,0)+8)</x:f>
      </x:c>
    </x:row>
    <x:row r="234" ht="36" customHeight="1">
      <x:c r="A234" s="50" t="str">
        <x:f>IF(226&gt;$H$4,"",IF(INDEX('Fleet dates'!$A$9:$A$1008,$I234-8)="","",INDEX('Fleet dates'!$A$9:$A$1008,$I234-8)))</x:f>
      </x:c>
      <x:c r="B234" s="50" t="str">
        <x:f>IF(226&gt;$H$4,"",IF(INDEX('Fleet dates'!$B$9:$B$1008,$I234-8)="","",INDEX('Fleet dates'!$B$9:$B$1008,$I234-8)))</x:f>
      </x:c>
      <x:c r="C234" s="51" t="str">
        <x:f>IF(226&gt;$H$4,"",IF(INDEX('Fleet dates'!$C$9:$C$1008,$I234-8)="","",INDEX('Fleet dates'!$C$9:$C$1008,$I234-8)))</x:f>
      </x:c>
      <x:c r="D234" s="51" t="str">
        <x:f>IF(226&gt;$H$4,"",IF(INDEX('Fleet dates'!$D$9:$D$1008,$I234-8)="","",INDEX('Fleet dates'!$D$9:$D$1008,$I234-8)))</x:f>
      </x:c>
      <x:c r="E234" s="51" t="str">
        <x:f>IF(226&gt;$H$4,"",IF(INDEX('Fleet dates'!$E$9:$E$1008,$I234-8)="","",INDEX('Fleet dates'!$E$9:$E$1008,$I234-8)))</x:f>
      </x:c>
      <x:c r="F234" s="51" t="str">
        <x:f>IF(226&gt;$H$4,"",IF(INDEX('Fleet dates'!$F$9:$F$1008,$I234-8)="","",INDEX('Fleet dates'!$F$9:$F$1008,$I234-8)))</x:f>
      </x:c>
      <x:c r="G234" s="50" t="str">
        <x:f>IF(226&gt;$H$4,"",IF(INDEX('Fleet dates'!$G$9:$G$1008,$I234-8)="","",INDEX('Fleet dates'!$G$9:$G$1008,$I234-8)))</x:f>
      </x:c>
      <x:c r="H234" s="50" t="str">
        <x:f>IF(226&gt;$H$4,"",IF(INDEX('Fleet dates'!$I$9:$I$1008,$I234-8)="","",INDEX('Fleet dates'!$I$9:$I$1008,$I234-8)))</x:f>
      </x:c>
      <x:c r="I234" t="str">
        <x:f>IF(226&gt;$H$4,"",MATCH(226,'Fleet dates'!$L$9:$L$1008,0)+8)</x:f>
      </x:c>
    </x:row>
    <x:row r="235" ht="36" customHeight="1">
      <x:c r="A235" s="50" t="str">
        <x:f>IF(227&gt;$H$4,"",IF(INDEX('Fleet dates'!$A$9:$A$1008,$I235-8)="","",INDEX('Fleet dates'!$A$9:$A$1008,$I235-8)))</x:f>
      </x:c>
      <x:c r="B235" s="50" t="str">
        <x:f>IF(227&gt;$H$4,"",IF(INDEX('Fleet dates'!$B$9:$B$1008,$I235-8)="","",INDEX('Fleet dates'!$B$9:$B$1008,$I235-8)))</x:f>
      </x:c>
      <x:c r="C235" s="51" t="str">
        <x:f>IF(227&gt;$H$4,"",IF(INDEX('Fleet dates'!$C$9:$C$1008,$I235-8)="","",INDEX('Fleet dates'!$C$9:$C$1008,$I235-8)))</x:f>
      </x:c>
      <x:c r="D235" s="51" t="str">
        <x:f>IF(227&gt;$H$4,"",IF(INDEX('Fleet dates'!$D$9:$D$1008,$I235-8)="","",INDEX('Fleet dates'!$D$9:$D$1008,$I235-8)))</x:f>
      </x:c>
      <x:c r="E235" s="51" t="str">
        <x:f>IF(227&gt;$H$4,"",IF(INDEX('Fleet dates'!$E$9:$E$1008,$I235-8)="","",INDEX('Fleet dates'!$E$9:$E$1008,$I235-8)))</x:f>
      </x:c>
      <x:c r="F235" s="51" t="str">
        <x:f>IF(227&gt;$H$4,"",IF(INDEX('Fleet dates'!$F$9:$F$1008,$I235-8)="","",INDEX('Fleet dates'!$F$9:$F$1008,$I235-8)))</x:f>
      </x:c>
      <x:c r="G235" s="50" t="str">
        <x:f>IF(227&gt;$H$4,"",IF(INDEX('Fleet dates'!$G$9:$G$1008,$I235-8)="","",INDEX('Fleet dates'!$G$9:$G$1008,$I235-8)))</x:f>
      </x:c>
      <x:c r="H235" s="50" t="str">
        <x:f>IF(227&gt;$H$4,"",IF(INDEX('Fleet dates'!$I$9:$I$1008,$I235-8)="","",INDEX('Fleet dates'!$I$9:$I$1008,$I235-8)))</x:f>
      </x:c>
      <x:c r="I235" t="str">
        <x:f>IF(227&gt;$H$4,"",MATCH(227,'Fleet dates'!$L$9:$L$1008,0)+8)</x:f>
      </x:c>
    </x:row>
    <x:row r="236" ht="36" customHeight="1">
      <x:c r="A236" s="50" t="str">
        <x:f>IF(228&gt;$H$4,"",IF(INDEX('Fleet dates'!$A$9:$A$1008,$I236-8)="","",INDEX('Fleet dates'!$A$9:$A$1008,$I236-8)))</x:f>
      </x:c>
      <x:c r="B236" s="50" t="str">
        <x:f>IF(228&gt;$H$4,"",IF(INDEX('Fleet dates'!$B$9:$B$1008,$I236-8)="","",INDEX('Fleet dates'!$B$9:$B$1008,$I236-8)))</x:f>
      </x:c>
      <x:c r="C236" s="51" t="str">
        <x:f>IF(228&gt;$H$4,"",IF(INDEX('Fleet dates'!$C$9:$C$1008,$I236-8)="","",INDEX('Fleet dates'!$C$9:$C$1008,$I236-8)))</x:f>
      </x:c>
      <x:c r="D236" s="51" t="str">
        <x:f>IF(228&gt;$H$4,"",IF(INDEX('Fleet dates'!$D$9:$D$1008,$I236-8)="","",INDEX('Fleet dates'!$D$9:$D$1008,$I236-8)))</x:f>
      </x:c>
      <x:c r="E236" s="51" t="str">
        <x:f>IF(228&gt;$H$4,"",IF(INDEX('Fleet dates'!$E$9:$E$1008,$I236-8)="","",INDEX('Fleet dates'!$E$9:$E$1008,$I236-8)))</x:f>
      </x:c>
      <x:c r="F236" s="51" t="str">
        <x:f>IF(228&gt;$H$4,"",IF(INDEX('Fleet dates'!$F$9:$F$1008,$I236-8)="","",INDEX('Fleet dates'!$F$9:$F$1008,$I236-8)))</x:f>
      </x:c>
      <x:c r="G236" s="50" t="str">
        <x:f>IF(228&gt;$H$4,"",IF(INDEX('Fleet dates'!$G$9:$G$1008,$I236-8)="","",INDEX('Fleet dates'!$G$9:$G$1008,$I236-8)))</x:f>
      </x:c>
      <x:c r="H236" s="50" t="str">
        <x:f>IF(228&gt;$H$4,"",IF(INDEX('Fleet dates'!$I$9:$I$1008,$I236-8)="","",INDEX('Fleet dates'!$I$9:$I$1008,$I236-8)))</x:f>
      </x:c>
      <x:c r="I236" t="str">
        <x:f>IF(228&gt;$H$4,"",MATCH(228,'Fleet dates'!$L$9:$L$1008,0)+8)</x:f>
      </x:c>
    </x:row>
    <x:row r="237" ht="36" customHeight="1">
      <x:c r="A237" s="50" t="str">
        <x:f>IF(229&gt;$H$4,"",IF(INDEX('Fleet dates'!$A$9:$A$1008,$I237-8)="","",INDEX('Fleet dates'!$A$9:$A$1008,$I237-8)))</x:f>
      </x:c>
      <x:c r="B237" s="50" t="str">
        <x:f>IF(229&gt;$H$4,"",IF(INDEX('Fleet dates'!$B$9:$B$1008,$I237-8)="","",INDEX('Fleet dates'!$B$9:$B$1008,$I237-8)))</x:f>
      </x:c>
      <x:c r="C237" s="51" t="str">
        <x:f>IF(229&gt;$H$4,"",IF(INDEX('Fleet dates'!$C$9:$C$1008,$I237-8)="","",INDEX('Fleet dates'!$C$9:$C$1008,$I237-8)))</x:f>
      </x:c>
      <x:c r="D237" s="51" t="str">
        <x:f>IF(229&gt;$H$4,"",IF(INDEX('Fleet dates'!$D$9:$D$1008,$I237-8)="","",INDEX('Fleet dates'!$D$9:$D$1008,$I237-8)))</x:f>
      </x:c>
      <x:c r="E237" s="51" t="str">
        <x:f>IF(229&gt;$H$4,"",IF(INDEX('Fleet dates'!$E$9:$E$1008,$I237-8)="","",INDEX('Fleet dates'!$E$9:$E$1008,$I237-8)))</x:f>
      </x:c>
      <x:c r="F237" s="51" t="str">
        <x:f>IF(229&gt;$H$4,"",IF(INDEX('Fleet dates'!$F$9:$F$1008,$I237-8)="","",INDEX('Fleet dates'!$F$9:$F$1008,$I237-8)))</x:f>
      </x:c>
      <x:c r="G237" s="50" t="str">
        <x:f>IF(229&gt;$H$4,"",IF(INDEX('Fleet dates'!$G$9:$G$1008,$I237-8)="","",INDEX('Fleet dates'!$G$9:$G$1008,$I237-8)))</x:f>
      </x:c>
      <x:c r="H237" s="50" t="str">
        <x:f>IF(229&gt;$H$4,"",IF(INDEX('Fleet dates'!$I$9:$I$1008,$I237-8)="","",INDEX('Fleet dates'!$I$9:$I$1008,$I237-8)))</x:f>
      </x:c>
      <x:c r="I237" t="str">
        <x:f>IF(229&gt;$H$4,"",MATCH(229,'Fleet dates'!$L$9:$L$1008,0)+8)</x:f>
      </x:c>
    </x:row>
    <x:row r="238" ht="36" customHeight="1">
      <x:c r="A238" s="50" t="str">
        <x:f>IF(230&gt;$H$4,"",IF(INDEX('Fleet dates'!$A$9:$A$1008,$I238-8)="","",INDEX('Fleet dates'!$A$9:$A$1008,$I238-8)))</x:f>
      </x:c>
      <x:c r="B238" s="50" t="str">
        <x:f>IF(230&gt;$H$4,"",IF(INDEX('Fleet dates'!$B$9:$B$1008,$I238-8)="","",INDEX('Fleet dates'!$B$9:$B$1008,$I238-8)))</x:f>
      </x:c>
      <x:c r="C238" s="51" t="str">
        <x:f>IF(230&gt;$H$4,"",IF(INDEX('Fleet dates'!$C$9:$C$1008,$I238-8)="","",INDEX('Fleet dates'!$C$9:$C$1008,$I238-8)))</x:f>
      </x:c>
      <x:c r="D238" s="51" t="str">
        <x:f>IF(230&gt;$H$4,"",IF(INDEX('Fleet dates'!$D$9:$D$1008,$I238-8)="","",INDEX('Fleet dates'!$D$9:$D$1008,$I238-8)))</x:f>
      </x:c>
      <x:c r="E238" s="51" t="str">
        <x:f>IF(230&gt;$H$4,"",IF(INDEX('Fleet dates'!$E$9:$E$1008,$I238-8)="","",INDEX('Fleet dates'!$E$9:$E$1008,$I238-8)))</x:f>
      </x:c>
      <x:c r="F238" s="51" t="str">
        <x:f>IF(230&gt;$H$4,"",IF(INDEX('Fleet dates'!$F$9:$F$1008,$I238-8)="","",INDEX('Fleet dates'!$F$9:$F$1008,$I238-8)))</x:f>
      </x:c>
      <x:c r="G238" s="50" t="str">
        <x:f>IF(230&gt;$H$4,"",IF(INDEX('Fleet dates'!$G$9:$G$1008,$I238-8)="","",INDEX('Fleet dates'!$G$9:$G$1008,$I238-8)))</x:f>
      </x:c>
      <x:c r="H238" s="50" t="str">
        <x:f>IF(230&gt;$H$4,"",IF(INDEX('Fleet dates'!$I$9:$I$1008,$I238-8)="","",INDEX('Fleet dates'!$I$9:$I$1008,$I238-8)))</x:f>
      </x:c>
      <x:c r="I238" t="str">
        <x:f>IF(230&gt;$H$4,"",MATCH(230,'Fleet dates'!$L$9:$L$1008,0)+8)</x:f>
      </x:c>
    </x:row>
    <x:row r="239" ht="36" customHeight="1">
      <x:c r="A239" s="50" t="str">
        <x:f>IF(231&gt;$H$4,"",IF(INDEX('Fleet dates'!$A$9:$A$1008,$I239-8)="","",INDEX('Fleet dates'!$A$9:$A$1008,$I239-8)))</x:f>
      </x:c>
      <x:c r="B239" s="50" t="str">
        <x:f>IF(231&gt;$H$4,"",IF(INDEX('Fleet dates'!$B$9:$B$1008,$I239-8)="","",INDEX('Fleet dates'!$B$9:$B$1008,$I239-8)))</x:f>
      </x:c>
      <x:c r="C239" s="51" t="str">
        <x:f>IF(231&gt;$H$4,"",IF(INDEX('Fleet dates'!$C$9:$C$1008,$I239-8)="","",INDEX('Fleet dates'!$C$9:$C$1008,$I239-8)))</x:f>
      </x:c>
      <x:c r="D239" s="51" t="str">
        <x:f>IF(231&gt;$H$4,"",IF(INDEX('Fleet dates'!$D$9:$D$1008,$I239-8)="","",INDEX('Fleet dates'!$D$9:$D$1008,$I239-8)))</x:f>
      </x:c>
      <x:c r="E239" s="51" t="str">
        <x:f>IF(231&gt;$H$4,"",IF(INDEX('Fleet dates'!$E$9:$E$1008,$I239-8)="","",INDEX('Fleet dates'!$E$9:$E$1008,$I239-8)))</x:f>
      </x:c>
      <x:c r="F239" s="51" t="str">
        <x:f>IF(231&gt;$H$4,"",IF(INDEX('Fleet dates'!$F$9:$F$1008,$I239-8)="","",INDEX('Fleet dates'!$F$9:$F$1008,$I239-8)))</x:f>
      </x:c>
      <x:c r="G239" s="50" t="str">
        <x:f>IF(231&gt;$H$4,"",IF(INDEX('Fleet dates'!$G$9:$G$1008,$I239-8)="","",INDEX('Fleet dates'!$G$9:$G$1008,$I239-8)))</x:f>
      </x:c>
      <x:c r="H239" s="50" t="str">
        <x:f>IF(231&gt;$H$4,"",IF(INDEX('Fleet dates'!$I$9:$I$1008,$I239-8)="","",INDEX('Fleet dates'!$I$9:$I$1008,$I239-8)))</x:f>
      </x:c>
      <x:c r="I239" t="str">
        <x:f>IF(231&gt;$H$4,"",MATCH(231,'Fleet dates'!$L$9:$L$1008,0)+8)</x:f>
      </x:c>
    </x:row>
    <x:row r="240" ht="36" customHeight="1">
      <x:c r="A240" s="50" t="str">
        <x:f>IF(232&gt;$H$4,"",IF(INDEX('Fleet dates'!$A$9:$A$1008,$I240-8)="","",INDEX('Fleet dates'!$A$9:$A$1008,$I240-8)))</x:f>
      </x:c>
      <x:c r="B240" s="50" t="str">
        <x:f>IF(232&gt;$H$4,"",IF(INDEX('Fleet dates'!$B$9:$B$1008,$I240-8)="","",INDEX('Fleet dates'!$B$9:$B$1008,$I240-8)))</x:f>
      </x:c>
      <x:c r="C240" s="51" t="str">
        <x:f>IF(232&gt;$H$4,"",IF(INDEX('Fleet dates'!$C$9:$C$1008,$I240-8)="","",INDEX('Fleet dates'!$C$9:$C$1008,$I240-8)))</x:f>
      </x:c>
      <x:c r="D240" s="51" t="str">
        <x:f>IF(232&gt;$H$4,"",IF(INDEX('Fleet dates'!$D$9:$D$1008,$I240-8)="","",INDEX('Fleet dates'!$D$9:$D$1008,$I240-8)))</x:f>
      </x:c>
      <x:c r="E240" s="51" t="str">
        <x:f>IF(232&gt;$H$4,"",IF(INDEX('Fleet dates'!$E$9:$E$1008,$I240-8)="","",INDEX('Fleet dates'!$E$9:$E$1008,$I240-8)))</x:f>
      </x:c>
      <x:c r="F240" s="51" t="str">
        <x:f>IF(232&gt;$H$4,"",IF(INDEX('Fleet dates'!$F$9:$F$1008,$I240-8)="","",INDEX('Fleet dates'!$F$9:$F$1008,$I240-8)))</x:f>
      </x:c>
      <x:c r="G240" s="50" t="str">
        <x:f>IF(232&gt;$H$4,"",IF(INDEX('Fleet dates'!$G$9:$G$1008,$I240-8)="","",INDEX('Fleet dates'!$G$9:$G$1008,$I240-8)))</x:f>
      </x:c>
      <x:c r="H240" s="50" t="str">
        <x:f>IF(232&gt;$H$4,"",IF(INDEX('Fleet dates'!$I$9:$I$1008,$I240-8)="","",INDEX('Fleet dates'!$I$9:$I$1008,$I240-8)))</x:f>
      </x:c>
      <x:c r="I240" t="str">
        <x:f>IF(232&gt;$H$4,"",MATCH(232,'Fleet dates'!$L$9:$L$1008,0)+8)</x:f>
      </x:c>
    </x:row>
    <x:row r="241" ht="36" customHeight="1">
      <x:c r="A241" s="50" t="str">
        <x:f>IF(233&gt;$H$4,"",IF(INDEX('Fleet dates'!$A$9:$A$1008,$I241-8)="","",INDEX('Fleet dates'!$A$9:$A$1008,$I241-8)))</x:f>
      </x:c>
      <x:c r="B241" s="50" t="str">
        <x:f>IF(233&gt;$H$4,"",IF(INDEX('Fleet dates'!$B$9:$B$1008,$I241-8)="","",INDEX('Fleet dates'!$B$9:$B$1008,$I241-8)))</x:f>
      </x:c>
      <x:c r="C241" s="51" t="str">
        <x:f>IF(233&gt;$H$4,"",IF(INDEX('Fleet dates'!$C$9:$C$1008,$I241-8)="","",INDEX('Fleet dates'!$C$9:$C$1008,$I241-8)))</x:f>
      </x:c>
      <x:c r="D241" s="51" t="str">
        <x:f>IF(233&gt;$H$4,"",IF(INDEX('Fleet dates'!$D$9:$D$1008,$I241-8)="","",INDEX('Fleet dates'!$D$9:$D$1008,$I241-8)))</x:f>
      </x:c>
      <x:c r="E241" s="51" t="str">
        <x:f>IF(233&gt;$H$4,"",IF(INDEX('Fleet dates'!$E$9:$E$1008,$I241-8)="","",INDEX('Fleet dates'!$E$9:$E$1008,$I241-8)))</x:f>
      </x:c>
      <x:c r="F241" s="51" t="str">
        <x:f>IF(233&gt;$H$4,"",IF(INDEX('Fleet dates'!$F$9:$F$1008,$I241-8)="","",INDEX('Fleet dates'!$F$9:$F$1008,$I241-8)))</x:f>
      </x:c>
      <x:c r="G241" s="50" t="str">
        <x:f>IF(233&gt;$H$4,"",IF(INDEX('Fleet dates'!$G$9:$G$1008,$I241-8)="","",INDEX('Fleet dates'!$G$9:$G$1008,$I241-8)))</x:f>
      </x:c>
      <x:c r="H241" s="50" t="str">
        <x:f>IF(233&gt;$H$4,"",IF(INDEX('Fleet dates'!$I$9:$I$1008,$I241-8)="","",INDEX('Fleet dates'!$I$9:$I$1008,$I241-8)))</x:f>
      </x:c>
      <x:c r="I241" t="str">
        <x:f>IF(233&gt;$H$4,"",MATCH(233,'Fleet dates'!$L$9:$L$1008,0)+8)</x:f>
      </x:c>
    </x:row>
    <x:row r="242" ht="36" customHeight="1">
      <x:c r="A242" s="50" t="str">
        <x:f>IF(234&gt;$H$4,"",IF(INDEX('Fleet dates'!$A$9:$A$1008,$I242-8)="","",INDEX('Fleet dates'!$A$9:$A$1008,$I242-8)))</x:f>
      </x:c>
      <x:c r="B242" s="50" t="str">
        <x:f>IF(234&gt;$H$4,"",IF(INDEX('Fleet dates'!$B$9:$B$1008,$I242-8)="","",INDEX('Fleet dates'!$B$9:$B$1008,$I242-8)))</x:f>
      </x:c>
      <x:c r="C242" s="51" t="str">
        <x:f>IF(234&gt;$H$4,"",IF(INDEX('Fleet dates'!$C$9:$C$1008,$I242-8)="","",INDEX('Fleet dates'!$C$9:$C$1008,$I242-8)))</x:f>
      </x:c>
      <x:c r="D242" s="51" t="str">
        <x:f>IF(234&gt;$H$4,"",IF(INDEX('Fleet dates'!$D$9:$D$1008,$I242-8)="","",INDEX('Fleet dates'!$D$9:$D$1008,$I242-8)))</x:f>
      </x:c>
      <x:c r="E242" s="51" t="str">
        <x:f>IF(234&gt;$H$4,"",IF(INDEX('Fleet dates'!$E$9:$E$1008,$I242-8)="","",INDEX('Fleet dates'!$E$9:$E$1008,$I242-8)))</x:f>
      </x:c>
      <x:c r="F242" s="51" t="str">
        <x:f>IF(234&gt;$H$4,"",IF(INDEX('Fleet dates'!$F$9:$F$1008,$I242-8)="","",INDEX('Fleet dates'!$F$9:$F$1008,$I242-8)))</x:f>
      </x:c>
      <x:c r="G242" s="50" t="str">
        <x:f>IF(234&gt;$H$4,"",IF(INDEX('Fleet dates'!$G$9:$G$1008,$I242-8)="","",INDEX('Fleet dates'!$G$9:$G$1008,$I242-8)))</x:f>
      </x:c>
      <x:c r="H242" s="50" t="str">
        <x:f>IF(234&gt;$H$4,"",IF(INDEX('Fleet dates'!$I$9:$I$1008,$I242-8)="","",INDEX('Fleet dates'!$I$9:$I$1008,$I242-8)))</x:f>
      </x:c>
      <x:c r="I242" t="str">
        <x:f>IF(234&gt;$H$4,"",MATCH(234,'Fleet dates'!$L$9:$L$1008,0)+8)</x:f>
      </x:c>
    </x:row>
    <x:row r="243" ht="36" customHeight="1">
      <x:c r="A243" s="50" t="str">
        <x:f>IF(235&gt;$H$4,"",IF(INDEX('Fleet dates'!$A$9:$A$1008,$I243-8)="","",INDEX('Fleet dates'!$A$9:$A$1008,$I243-8)))</x:f>
      </x:c>
      <x:c r="B243" s="50" t="str">
        <x:f>IF(235&gt;$H$4,"",IF(INDEX('Fleet dates'!$B$9:$B$1008,$I243-8)="","",INDEX('Fleet dates'!$B$9:$B$1008,$I243-8)))</x:f>
      </x:c>
      <x:c r="C243" s="51" t="str">
        <x:f>IF(235&gt;$H$4,"",IF(INDEX('Fleet dates'!$C$9:$C$1008,$I243-8)="","",INDEX('Fleet dates'!$C$9:$C$1008,$I243-8)))</x:f>
      </x:c>
      <x:c r="D243" s="51" t="str">
        <x:f>IF(235&gt;$H$4,"",IF(INDEX('Fleet dates'!$D$9:$D$1008,$I243-8)="","",INDEX('Fleet dates'!$D$9:$D$1008,$I243-8)))</x:f>
      </x:c>
      <x:c r="E243" s="51" t="str">
        <x:f>IF(235&gt;$H$4,"",IF(INDEX('Fleet dates'!$E$9:$E$1008,$I243-8)="","",INDEX('Fleet dates'!$E$9:$E$1008,$I243-8)))</x:f>
      </x:c>
      <x:c r="F243" s="51" t="str">
        <x:f>IF(235&gt;$H$4,"",IF(INDEX('Fleet dates'!$F$9:$F$1008,$I243-8)="","",INDEX('Fleet dates'!$F$9:$F$1008,$I243-8)))</x:f>
      </x:c>
      <x:c r="G243" s="50" t="str">
        <x:f>IF(235&gt;$H$4,"",IF(INDEX('Fleet dates'!$G$9:$G$1008,$I243-8)="","",INDEX('Fleet dates'!$G$9:$G$1008,$I243-8)))</x:f>
      </x:c>
      <x:c r="H243" s="50" t="str">
        <x:f>IF(235&gt;$H$4,"",IF(INDEX('Fleet dates'!$I$9:$I$1008,$I243-8)="","",INDEX('Fleet dates'!$I$9:$I$1008,$I243-8)))</x:f>
      </x:c>
      <x:c r="I243" t="str">
        <x:f>IF(235&gt;$H$4,"",MATCH(235,'Fleet dates'!$L$9:$L$1008,0)+8)</x:f>
      </x:c>
    </x:row>
    <x:row r="244" ht="36" customHeight="1">
      <x:c r="A244" s="50" t="str">
        <x:f>IF(236&gt;$H$4,"",IF(INDEX('Fleet dates'!$A$9:$A$1008,$I244-8)="","",INDEX('Fleet dates'!$A$9:$A$1008,$I244-8)))</x:f>
      </x:c>
      <x:c r="B244" s="50" t="str">
        <x:f>IF(236&gt;$H$4,"",IF(INDEX('Fleet dates'!$B$9:$B$1008,$I244-8)="","",INDEX('Fleet dates'!$B$9:$B$1008,$I244-8)))</x:f>
      </x:c>
      <x:c r="C244" s="51" t="str">
        <x:f>IF(236&gt;$H$4,"",IF(INDEX('Fleet dates'!$C$9:$C$1008,$I244-8)="","",INDEX('Fleet dates'!$C$9:$C$1008,$I244-8)))</x:f>
      </x:c>
      <x:c r="D244" s="51" t="str">
        <x:f>IF(236&gt;$H$4,"",IF(INDEX('Fleet dates'!$D$9:$D$1008,$I244-8)="","",INDEX('Fleet dates'!$D$9:$D$1008,$I244-8)))</x:f>
      </x:c>
      <x:c r="E244" s="51" t="str">
        <x:f>IF(236&gt;$H$4,"",IF(INDEX('Fleet dates'!$E$9:$E$1008,$I244-8)="","",INDEX('Fleet dates'!$E$9:$E$1008,$I244-8)))</x:f>
      </x:c>
      <x:c r="F244" s="51" t="str">
        <x:f>IF(236&gt;$H$4,"",IF(INDEX('Fleet dates'!$F$9:$F$1008,$I244-8)="","",INDEX('Fleet dates'!$F$9:$F$1008,$I244-8)))</x:f>
      </x:c>
      <x:c r="G244" s="50" t="str">
        <x:f>IF(236&gt;$H$4,"",IF(INDEX('Fleet dates'!$G$9:$G$1008,$I244-8)="","",INDEX('Fleet dates'!$G$9:$G$1008,$I244-8)))</x:f>
      </x:c>
      <x:c r="H244" s="50" t="str">
        <x:f>IF(236&gt;$H$4,"",IF(INDEX('Fleet dates'!$I$9:$I$1008,$I244-8)="","",INDEX('Fleet dates'!$I$9:$I$1008,$I244-8)))</x:f>
      </x:c>
      <x:c r="I244" t="str">
        <x:f>IF(236&gt;$H$4,"",MATCH(236,'Fleet dates'!$L$9:$L$1008,0)+8)</x:f>
      </x:c>
    </x:row>
    <x:row r="245" ht="36" customHeight="1">
      <x:c r="A245" s="50" t="str">
        <x:f>IF(237&gt;$H$4,"",IF(INDEX('Fleet dates'!$A$9:$A$1008,$I245-8)="","",INDEX('Fleet dates'!$A$9:$A$1008,$I245-8)))</x:f>
      </x:c>
      <x:c r="B245" s="50" t="str">
        <x:f>IF(237&gt;$H$4,"",IF(INDEX('Fleet dates'!$B$9:$B$1008,$I245-8)="","",INDEX('Fleet dates'!$B$9:$B$1008,$I245-8)))</x:f>
      </x:c>
      <x:c r="C245" s="51" t="str">
        <x:f>IF(237&gt;$H$4,"",IF(INDEX('Fleet dates'!$C$9:$C$1008,$I245-8)="","",INDEX('Fleet dates'!$C$9:$C$1008,$I245-8)))</x:f>
      </x:c>
      <x:c r="D245" s="51" t="str">
        <x:f>IF(237&gt;$H$4,"",IF(INDEX('Fleet dates'!$D$9:$D$1008,$I245-8)="","",INDEX('Fleet dates'!$D$9:$D$1008,$I245-8)))</x:f>
      </x:c>
      <x:c r="E245" s="51" t="str">
        <x:f>IF(237&gt;$H$4,"",IF(INDEX('Fleet dates'!$E$9:$E$1008,$I245-8)="","",INDEX('Fleet dates'!$E$9:$E$1008,$I245-8)))</x:f>
      </x:c>
      <x:c r="F245" s="51" t="str">
        <x:f>IF(237&gt;$H$4,"",IF(INDEX('Fleet dates'!$F$9:$F$1008,$I245-8)="","",INDEX('Fleet dates'!$F$9:$F$1008,$I245-8)))</x:f>
      </x:c>
      <x:c r="G245" s="50" t="str">
        <x:f>IF(237&gt;$H$4,"",IF(INDEX('Fleet dates'!$G$9:$G$1008,$I245-8)="","",INDEX('Fleet dates'!$G$9:$G$1008,$I245-8)))</x:f>
      </x:c>
      <x:c r="H245" s="50" t="str">
        <x:f>IF(237&gt;$H$4,"",IF(INDEX('Fleet dates'!$I$9:$I$1008,$I245-8)="","",INDEX('Fleet dates'!$I$9:$I$1008,$I245-8)))</x:f>
      </x:c>
      <x:c r="I245" t="str">
        <x:f>IF(237&gt;$H$4,"",MATCH(237,'Fleet dates'!$L$9:$L$1008,0)+8)</x:f>
      </x:c>
    </x:row>
    <x:row r="246" ht="36" customHeight="1">
      <x:c r="A246" s="50" t="str">
        <x:f>IF(238&gt;$H$4,"",IF(INDEX('Fleet dates'!$A$9:$A$1008,$I246-8)="","",INDEX('Fleet dates'!$A$9:$A$1008,$I246-8)))</x:f>
      </x:c>
      <x:c r="B246" s="50" t="str">
        <x:f>IF(238&gt;$H$4,"",IF(INDEX('Fleet dates'!$B$9:$B$1008,$I246-8)="","",INDEX('Fleet dates'!$B$9:$B$1008,$I246-8)))</x:f>
      </x:c>
      <x:c r="C246" s="51" t="str">
        <x:f>IF(238&gt;$H$4,"",IF(INDEX('Fleet dates'!$C$9:$C$1008,$I246-8)="","",INDEX('Fleet dates'!$C$9:$C$1008,$I246-8)))</x:f>
      </x:c>
      <x:c r="D246" s="51" t="str">
        <x:f>IF(238&gt;$H$4,"",IF(INDEX('Fleet dates'!$D$9:$D$1008,$I246-8)="","",INDEX('Fleet dates'!$D$9:$D$1008,$I246-8)))</x:f>
      </x:c>
      <x:c r="E246" s="51" t="str">
        <x:f>IF(238&gt;$H$4,"",IF(INDEX('Fleet dates'!$E$9:$E$1008,$I246-8)="","",INDEX('Fleet dates'!$E$9:$E$1008,$I246-8)))</x:f>
      </x:c>
      <x:c r="F246" s="51" t="str">
        <x:f>IF(238&gt;$H$4,"",IF(INDEX('Fleet dates'!$F$9:$F$1008,$I246-8)="","",INDEX('Fleet dates'!$F$9:$F$1008,$I246-8)))</x:f>
      </x:c>
      <x:c r="G246" s="50" t="str">
        <x:f>IF(238&gt;$H$4,"",IF(INDEX('Fleet dates'!$G$9:$G$1008,$I246-8)="","",INDEX('Fleet dates'!$G$9:$G$1008,$I246-8)))</x:f>
      </x:c>
      <x:c r="H246" s="50" t="str">
        <x:f>IF(238&gt;$H$4,"",IF(INDEX('Fleet dates'!$I$9:$I$1008,$I246-8)="","",INDEX('Fleet dates'!$I$9:$I$1008,$I246-8)))</x:f>
      </x:c>
      <x:c r="I246" t="str">
        <x:f>IF(238&gt;$H$4,"",MATCH(238,'Fleet dates'!$L$9:$L$1008,0)+8)</x:f>
      </x:c>
    </x:row>
    <x:row r="247" ht="36" customHeight="1">
      <x:c r="A247" s="50" t="str">
        <x:f>IF(239&gt;$H$4,"",IF(INDEX('Fleet dates'!$A$9:$A$1008,$I247-8)="","",INDEX('Fleet dates'!$A$9:$A$1008,$I247-8)))</x:f>
      </x:c>
      <x:c r="B247" s="50" t="str">
        <x:f>IF(239&gt;$H$4,"",IF(INDEX('Fleet dates'!$B$9:$B$1008,$I247-8)="","",INDEX('Fleet dates'!$B$9:$B$1008,$I247-8)))</x:f>
      </x:c>
      <x:c r="C247" s="51" t="str">
        <x:f>IF(239&gt;$H$4,"",IF(INDEX('Fleet dates'!$C$9:$C$1008,$I247-8)="","",INDEX('Fleet dates'!$C$9:$C$1008,$I247-8)))</x:f>
      </x:c>
      <x:c r="D247" s="51" t="str">
        <x:f>IF(239&gt;$H$4,"",IF(INDEX('Fleet dates'!$D$9:$D$1008,$I247-8)="","",INDEX('Fleet dates'!$D$9:$D$1008,$I247-8)))</x:f>
      </x:c>
      <x:c r="E247" s="51" t="str">
        <x:f>IF(239&gt;$H$4,"",IF(INDEX('Fleet dates'!$E$9:$E$1008,$I247-8)="","",INDEX('Fleet dates'!$E$9:$E$1008,$I247-8)))</x:f>
      </x:c>
      <x:c r="F247" s="51" t="str">
        <x:f>IF(239&gt;$H$4,"",IF(INDEX('Fleet dates'!$F$9:$F$1008,$I247-8)="","",INDEX('Fleet dates'!$F$9:$F$1008,$I247-8)))</x:f>
      </x:c>
      <x:c r="G247" s="50" t="str">
        <x:f>IF(239&gt;$H$4,"",IF(INDEX('Fleet dates'!$G$9:$G$1008,$I247-8)="","",INDEX('Fleet dates'!$G$9:$G$1008,$I247-8)))</x:f>
      </x:c>
      <x:c r="H247" s="50" t="str">
        <x:f>IF(239&gt;$H$4,"",IF(INDEX('Fleet dates'!$I$9:$I$1008,$I247-8)="","",INDEX('Fleet dates'!$I$9:$I$1008,$I247-8)))</x:f>
      </x:c>
      <x:c r="I247" t="str">
        <x:f>IF(239&gt;$H$4,"",MATCH(239,'Fleet dates'!$L$9:$L$1008,0)+8)</x:f>
      </x:c>
    </x:row>
    <x:row r="248" ht="36" customHeight="1">
      <x:c r="A248" s="50" t="str">
        <x:f>IF(240&gt;$H$4,"",IF(INDEX('Fleet dates'!$A$9:$A$1008,$I248-8)="","",INDEX('Fleet dates'!$A$9:$A$1008,$I248-8)))</x:f>
      </x:c>
      <x:c r="B248" s="50" t="str">
        <x:f>IF(240&gt;$H$4,"",IF(INDEX('Fleet dates'!$B$9:$B$1008,$I248-8)="","",INDEX('Fleet dates'!$B$9:$B$1008,$I248-8)))</x:f>
      </x:c>
      <x:c r="C248" s="51" t="str">
        <x:f>IF(240&gt;$H$4,"",IF(INDEX('Fleet dates'!$C$9:$C$1008,$I248-8)="","",INDEX('Fleet dates'!$C$9:$C$1008,$I248-8)))</x:f>
      </x:c>
      <x:c r="D248" s="51" t="str">
        <x:f>IF(240&gt;$H$4,"",IF(INDEX('Fleet dates'!$D$9:$D$1008,$I248-8)="","",INDEX('Fleet dates'!$D$9:$D$1008,$I248-8)))</x:f>
      </x:c>
      <x:c r="E248" s="51" t="str">
        <x:f>IF(240&gt;$H$4,"",IF(INDEX('Fleet dates'!$E$9:$E$1008,$I248-8)="","",INDEX('Fleet dates'!$E$9:$E$1008,$I248-8)))</x:f>
      </x:c>
      <x:c r="F248" s="51" t="str">
        <x:f>IF(240&gt;$H$4,"",IF(INDEX('Fleet dates'!$F$9:$F$1008,$I248-8)="","",INDEX('Fleet dates'!$F$9:$F$1008,$I248-8)))</x:f>
      </x:c>
      <x:c r="G248" s="50" t="str">
        <x:f>IF(240&gt;$H$4,"",IF(INDEX('Fleet dates'!$G$9:$G$1008,$I248-8)="","",INDEX('Fleet dates'!$G$9:$G$1008,$I248-8)))</x:f>
      </x:c>
      <x:c r="H248" s="50" t="str">
        <x:f>IF(240&gt;$H$4,"",IF(INDEX('Fleet dates'!$I$9:$I$1008,$I248-8)="","",INDEX('Fleet dates'!$I$9:$I$1008,$I248-8)))</x:f>
      </x:c>
      <x:c r="I248" t="str">
        <x:f>IF(240&gt;$H$4,"",MATCH(240,'Fleet dates'!$L$9:$L$1008,0)+8)</x:f>
      </x:c>
    </x:row>
    <x:row r="249" ht="36" customHeight="1">
      <x:c r="A249" s="50" t="str">
        <x:f>IF(241&gt;$H$4,"",IF(INDEX('Fleet dates'!$A$9:$A$1008,$I249-8)="","",INDEX('Fleet dates'!$A$9:$A$1008,$I249-8)))</x:f>
      </x:c>
      <x:c r="B249" s="50" t="str">
        <x:f>IF(241&gt;$H$4,"",IF(INDEX('Fleet dates'!$B$9:$B$1008,$I249-8)="","",INDEX('Fleet dates'!$B$9:$B$1008,$I249-8)))</x:f>
      </x:c>
      <x:c r="C249" s="51" t="str">
        <x:f>IF(241&gt;$H$4,"",IF(INDEX('Fleet dates'!$C$9:$C$1008,$I249-8)="","",INDEX('Fleet dates'!$C$9:$C$1008,$I249-8)))</x:f>
      </x:c>
      <x:c r="D249" s="51" t="str">
        <x:f>IF(241&gt;$H$4,"",IF(INDEX('Fleet dates'!$D$9:$D$1008,$I249-8)="","",INDEX('Fleet dates'!$D$9:$D$1008,$I249-8)))</x:f>
      </x:c>
      <x:c r="E249" s="51" t="str">
        <x:f>IF(241&gt;$H$4,"",IF(INDEX('Fleet dates'!$E$9:$E$1008,$I249-8)="","",INDEX('Fleet dates'!$E$9:$E$1008,$I249-8)))</x:f>
      </x:c>
      <x:c r="F249" s="51" t="str">
        <x:f>IF(241&gt;$H$4,"",IF(INDEX('Fleet dates'!$F$9:$F$1008,$I249-8)="","",INDEX('Fleet dates'!$F$9:$F$1008,$I249-8)))</x:f>
      </x:c>
      <x:c r="G249" s="50" t="str">
        <x:f>IF(241&gt;$H$4,"",IF(INDEX('Fleet dates'!$G$9:$G$1008,$I249-8)="","",INDEX('Fleet dates'!$G$9:$G$1008,$I249-8)))</x:f>
      </x:c>
      <x:c r="H249" s="50" t="str">
        <x:f>IF(241&gt;$H$4,"",IF(INDEX('Fleet dates'!$I$9:$I$1008,$I249-8)="","",INDEX('Fleet dates'!$I$9:$I$1008,$I249-8)))</x:f>
      </x:c>
      <x:c r="I249" t="str">
        <x:f>IF(241&gt;$H$4,"",MATCH(241,'Fleet dates'!$L$9:$L$1008,0)+8)</x:f>
      </x:c>
    </x:row>
    <x:row r="250" ht="36" customHeight="1">
      <x:c r="A250" s="50" t="str">
        <x:f>IF(242&gt;$H$4,"",IF(INDEX('Fleet dates'!$A$9:$A$1008,$I250-8)="","",INDEX('Fleet dates'!$A$9:$A$1008,$I250-8)))</x:f>
      </x:c>
      <x:c r="B250" s="50" t="str">
        <x:f>IF(242&gt;$H$4,"",IF(INDEX('Fleet dates'!$B$9:$B$1008,$I250-8)="","",INDEX('Fleet dates'!$B$9:$B$1008,$I250-8)))</x:f>
      </x:c>
      <x:c r="C250" s="51" t="str">
        <x:f>IF(242&gt;$H$4,"",IF(INDEX('Fleet dates'!$C$9:$C$1008,$I250-8)="","",INDEX('Fleet dates'!$C$9:$C$1008,$I250-8)))</x:f>
      </x:c>
      <x:c r="D250" s="51" t="str">
        <x:f>IF(242&gt;$H$4,"",IF(INDEX('Fleet dates'!$D$9:$D$1008,$I250-8)="","",INDEX('Fleet dates'!$D$9:$D$1008,$I250-8)))</x:f>
      </x:c>
      <x:c r="E250" s="51" t="str">
        <x:f>IF(242&gt;$H$4,"",IF(INDEX('Fleet dates'!$E$9:$E$1008,$I250-8)="","",INDEX('Fleet dates'!$E$9:$E$1008,$I250-8)))</x:f>
      </x:c>
      <x:c r="F250" s="51" t="str">
        <x:f>IF(242&gt;$H$4,"",IF(INDEX('Fleet dates'!$F$9:$F$1008,$I250-8)="","",INDEX('Fleet dates'!$F$9:$F$1008,$I250-8)))</x:f>
      </x:c>
      <x:c r="G250" s="50" t="str">
        <x:f>IF(242&gt;$H$4,"",IF(INDEX('Fleet dates'!$G$9:$G$1008,$I250-8)="","",INDEX('Fleet dates'!$G$9:$G$1008,$I250-8)))</x:f>
      </x:c>
      <x:c r="H250" s="50" t="str">
        <x:f>IF(242&gt;$H$4,"",IF(INDEX('Fleet dates'!$I$9:$I$1008,$I250-8)="","",INDEX('Fleet dates'!$I$9:$I$1008,$I250-8)))</x:f>
      </x:c>
      <x:c r="I250" t="str">
        <x:f>IF(242&gt;$H$4,"",MATCH(242,'Fleet dates'!$L$9:$L$1008,0)+8)</x:f>
      </x:c>
    </x:row>
    <x:row r="251" ht="36" customHeight="1">
      <x:c r="A251" s="50" t="str">
        <x:f>IF(243&gt;$H$4,"",IF(INDEX('Fleet dates'!$A$9:$A$1008,$I251-8)="","",INDEX('Fleet dates'!$A$9:$A$1008,$I251-8)))</x:f>
      </x:c>
      <x:c r="B251" s="50" t="str">
        <x:f>IF(243&gt;$H$4,"",IF(INDEX('Fleet dates'!$B$9:$B$1008,$I251-8)="","",INDEX('Fleet dates'!$B$9:$B$1008,$I251-8)))</x:f>
      </x:c>
      <x:c r="C251" s="51" t="str">
        <x:f>IF(243&gt;$H$4,"",IF(INDEX('Fleet dates'!$C$9:$C$1008,$I251-8)="","",INDEX('Fleet dates'!$C$9:$C$1008,$I251-8)))</x:f>
      </x:c>
      <x:c r="D251" s="51" t="str">
        <x:f>IF(243&gt;$H$4,"",IF(INDEX('Fleet dates'!$D$9:$D$1008,$I251-8)="","",INDEX('Fleet dates'!$D$9:$D$1008,$I251-8)))</x:f>
      </x:c>
      <x:c r="E251" s="51" t="str">
        <x:f>IF(243&gt;$H$4,"",IF(INDEX('Fleet dates'!$E$9:$E$1008,$I251-8)="","",INDEX('Fleet dates'!$E$9:$E$1008,$I251-8)))</x:f>
      </x:c>
      <x:c r="F251" s="51" t="str">
        <x:f>IF(243&gt;$H$4,"",IF(INDEX('Fleet dates'!$F$9:$F$1008,$I251-8)="","",INDEX('Fleet dates'!$F$9:$F$1008,$I251-8)))</x:f>
      </x:c>
      <x:c r="G251" s="50" t="str">
        <x:f>IF(243&gt;$H$4,"",IF(INDEX('Fleet dates'!$G$9:$G$1008,$I251-8)="","",INDEX('Fleet dates'!$G$9:$G$1008,$I251-8)))</x:f>
      </x:c>
      <x:c r="H251" s="50" t="str">
        <x:f>IF(243&gt;$H$4,"",IF(INDEX('Fleet dates'!$I$9:$I$1008,$I251-8)="","",INDEX('Fleet dates'!$I$9:$I$1008,$I251-8)))</x:f>
      </x:c>
      <x:c r="I251" t="str">
        <x:f>IF(243&gt;$H$4,"",MATCH(243,'Fleet dates'!$L$9:$L$1008,0)+8)</x:f>
      </x:c>
    </x:row>
    <x:row r="252" ht="36" customHeight="1">
      <x:c r="A252" s="50" t="str">
        <x:f>IF(244&gt;$H$4,"",IF(INDEX('Fleet dates'!$A$9:$A$1008,$I252-8)="","",INDEX('Fleet dates'!$A$9:$A$1008,$I252-8)))</x:f>
      </x:c>
      <x:c r="B252" s="50" t="str">
        <x:f>IF(244&gt;$H$4,"",IF(INDEX('Fleet dates'!$B$9:$B$1008,$I252-8)="","",INDEX('Fleet dates'!$B$9:$B$1008,$I252-8)))</x:f>
      </x:c>
      <x:c r="C252" s="51" t="str">
        <x:f>IF(244&gt;$H$4,"",IF(INDEX('Fleet dates'!$C$9:$C$1008,$I252-8)="","",INDEX('Fleet dates'!$C$9:$C$1008,$I252-8)))</x:f>
      </x:c>
      <x:c r="D252" s="51" t="str">
        <x:f>IF(244&gt;$H$4,"",IF(INDEX('Fleet dates'!$D$9:$D$1008,$I252-8)="","",INDEX('Fleet dates'!$D$9:$D$1008,$I252-8)))</x:f>
      </x:c>
      <x:c r="E252" s="51" t="str">
        <x:f>IF(244&gt;$H$4,"",IF(INDEX('Fleet dates'!$E$9:$E$1008,$I252-8)="","",INDEX('Fleet dates'!$E$9:$E$1008,$I252-8)))</x:f>
      </x:c>
      <x:c r="F252" s="51" t="str">
        <x:f>IF(244&gt;$H$4,"",IF(INDEX('Fleet dates'!$F$9:$F$1008,$I252-8)="","",INDEX('Fleet dates'!$F$9:$F$1008,$I252-8)))</x:f>
      </x:c>
      <x:c r="G252" s="50" t="str">
        <x:f>IF(244&gt;$H$4,"",IF(INDEX('Fleet dates'!$G$9:$G$1008,$I252-8)="","",INDEX('Fleet dates'!$G$9:$G$1008,$I252-8)))</x:f>
      </x:c>
      <x:c r="H252" s="50" t="str">
        <x:f>IF(244&gt;$H$4,"",IF(INDEX('Fleet dates'!$I$9:$I$1008,$I252-8)="","",INDEX('Fleet dates'!$I$9:$I$1008,$I252-8)))</x:f>
      </x:c>
      <x:c r="I252" t="str">
        <x:f>IF(244&gt;$H$4,"",MATCH(244,'Fleet dates'!$L$9:$L$1008,0)+8)</x:f>
      </x:c>
    </x:row>
    <x:row r="253" ht="36" customHeight="1">
      <x:c r="A253" s="50" t="str">
        <x:f>IF(245&gt;$H$4,"",IF(INDEX('Fleet dates'!$A$9:$A$1008,$I253-8)="","",INDEX('Fleet dates'!$A$9:$A$1008,$I253-8)))</x:f>
      </x:c>
      <x:c r="B253" s="50" t="str">
        <x:f>IF(245&gt;$H$4,"",IF(INDEX('Fleet dates'!$B$9:$B$1008,$I253-8)="","",INDEX('Fleet dates'!$B$9:$B$1008,$I253-8)))</x:f>
      </x:c>
      <x:c r="C253" s="51" t="str">
        <x:f>IF(245&gt;$H$4,"",IF(INDEX('Fleet dates'!$C$9:$C$1008,$I253-8)="","",INDEX('Fleet dates'!$C$9:$C$1008,$I253-8)))</x:f>
      </x:c>
      <x:c r="D253" s="51" t="str">
        <x:f>IF(245&gt;$H$4,"",IF(INDEX('Fleet dates'!$D$9:$D$1008,$I253-8)="","",INDEX('Fleet dates'!$D$9:$D$1008,$I253-8)))</x:f>
      </x:c>
      <x:c r="E253" s="51" t="str">
        <x:f>IF(245&gt;$H$4,"",IF(INDEX('Fleet dates'!$E$9:$E$1008,$I253-8)="","",INDEX('Fleet dates'!$E$9:$E$1008,$I253-8)))</x:f>
      </x:c>
      <x:c r="F253" s="51" t="str">
        <x:f>IF(245&gt;$H$4,"",IF(INDEX('Fleet dates'!$F$9:$F$1008,$I253-8)="","",INDEX('Fleet dates'!$F$9:$F$1008,$I253-8)))</x:f>
      </x:c>
      <x:c r="G253" s="50" t="str">
        <x:f>IF(245&gt;$H$4,"",IF(INDEX('Fleet dates'!$G$9:$G$1008,$I253-8)="","",INDEX('Fleet dates'!$G$9:$G$1008,$I253-8)))</x:f>
      </x:c>
      <x:c r="H253" s="50" t="str">
        <x:f>IF(245&gt;$H$4,"",IF(INDEX('Fleet dates'!$I$9:$I$1008,$I253-8)="","",INDEX('Fleet dates'!$I$9:$I$1008,$I253-8)))</x:f>
      </x:c>
      <x:c r="I253" t="str">
        <x:f>IF(245&gt;$H$4,"",MATCH(245,'Fleet dates'!$L$9:$L$1008,0)+8)</x:f>
      </x:c>
    </x:row>
    <x:row r="254" ht="36" customHeight="1">
      <x:c r="A254" s="50" t="str">
        <x:f>IF(246&gt;$H$4,"",IF(INDEX('Fleet dates'!$A$9:$A$1008,$I254-8)="","",INDEX('Fleet dates'!$A$9:$A$1008,$I254-8)))</x:f>
      </x:c>
      <x:c r="B254" s="50" t="str">
        <x:f>IF(246&gt;$H$4,"",IF(INDEX('Fleet dates'!$B$9:$B$1008,$I254-8)="","",INDEX('Fleet dates'!$B$9:$B$1008,$I254-8)))</x:f>
      </x:c>
      <x:c r="C254" s="51" t="str">
        <x:f>IF(246&gt;$H$4,"",IF(INDEX('Fleet dates'!$C$9:$C$1008,$I254-8)="","",INDEX('Fleet dates'!$C$9:$C$1008,$I254-8)))</x:f>
      </x:c>
      <x:c r="D254" s="51" t="str">
        <x:f>IF(246&gt;$H$4,"",IF(INDEX('Fleet dates'!$D$9:$D$1008,$I254-8)="","",INDEX('Fleet dates'!$D$9:$D$1008,$I254-8)))</x:f>
      </x:c>
      <x:c r="E254" s="51" t="str">
        <x:f>IF(246&gt;$H$4,"",IF(INDEX('Fleet dates'!$E$9:$E$1008,$I254-8)="","",INDEX('Fleet dates'!$E$9:$E$1008,$I254-8)))</x:f>
      </x:c>
      <x:c r="F254" s="51" t="str">
        <x:f>IF(246&gt;$H$4,"",IF(INDEX('Fleet dates'!$F$9:$F$1008,$I254-8)="","",INDEX('Fleet dates'!$F$9:$F$1008,$I254-8)))</x:f>
      </x:c>
      <x:c r="G254" s="50" t="str">
        <x:f>IF(246&gt;$H$4,"",IF(INDEX('Fleet dates'!$G$9:$G$1008,$I254-8)="","",INDEX('Fleet dates'!$G$9:$G$1008,$I254-8)))</x:f>
      </x:c>
      <x:c r="H254" s="50" t="str">
        <x:f>IF(246&gt;$H$4,"",IF(INDEX('Fleet dates'!$I$9:$I$1008,$I254-8)="","",INDEX('Fleet dates'!$I$9:$I$1008,$I254-8)))</x:f>
      </x:c>
      <x:c r="I254" t="str">
        <x:f>IF(246&gt;$H$4,"",MATCH(246,'Fleet dates'!$L$9:$L$1008,0)+8)</x:f>
      </x:c>
    </x:row>
    <x:row r="255" ht="36" customHeight="1">
      <x:c r="A255" s="50" t="str">
        <x:f>IF(247&gt;$H$4,"",IF(INDEX('Fleet dates'!$A$9:$A$1008,$I255-8)="","",INDEX('Fleet dates'!$A$9:$A$1008,$I255-8)))</x:f>
      </x:c>
      <x:c r="B255" s="50" t="str">
        <x:f>IF(247&gt;$H$4,"",IF(INDEX('Fleet dates'!$B$9:$B$1008,$I255-8)="","",INDEX('Fleet dates'!$B$9:$B$1008,$I255-8)))</x:f>
      </x:c>
      <x:c r="C255" s="51" t="str">
        <x:f>IF(247&gt;$H$4,"",IF(INDEX('Fleet dates'!$C$9:$C$1008,$I255-8)="","",INDEX('Fleet dates'!$C$9:$C$1008,$I255-8)))</x:f>
      </x:c>
      <x:c r="D255" s="51" t="str">
        <x:f>IF(247&gt;$H$4,"",IF(INDEX('Fleet dates'!$D$9:$D$1008,$I255-8)="","",INDEX('Fleet dates'!$D$9:$D$1008,$I255-8)))</x:f>
      </x:c>
      <x:c r="E255" s="51" t="str">
        <x:f>IF(247&gt;$H$4,"",IF(INDEX('Fleet dates'!$E$9:$E$1008,$I255-8)="","",INDEX('Fleet dates'!$E$9:$E$1008,$I255-8)))</x:f>
      </x:c>
      <x:c r="F255" s="51" t="str">
        <x:f>IF(247&gt;$H$4,"",IF(INDEX('Fleet dates'!$F$9:$F$1008,$I255-8)="","",INDEX('Fleet dates'!$F$9:$F$1008,$I255-8)))</x:f>
      </x:c>
      <x:c r="G255" s="50" t="str">
        <x:f>IF(247&gt;$H$4,"",IF(INDEX('Fleet dates'!$G$9:$G$1008,$I255-8)="","",INDEX('Fleet dates'!$G$9:$G$1008,$I255-8)))</x:f>
      </x:c>
      <x:c r="H255" s="50" t="str">
        <x:f>IF(247&gt;$H$4,"",IF(INDEX('Fleet dates'!$I$9:$I$1008,$I255-8)="","",INDEX('Fleet dates'!$I$9:$I$1008,$I255-8)))</x:f>
      </x:c>
      <x:c r="I255" t="str">
        <x:f>IF(247&gt;$H$4,"",MATCH(247,'Fleet dates'!$L$9:$L$1008,0)+8)</x:f>
      </x:c>
    </x:row>
    <x:row r="256" ht="36" customHeight="1">
      <x:c r="A256" s="50" t="str">
        <x:f>IF(248&gt;$H$4,"",IF(INDEX('Fleet dates'!$A$9:$A$1008,$I256-8)="","",INDEX('Fleet dates'!$A$9:$A$1008,$I256-8)))</x:f>
      </x:c>
      <x:c r="B256" s="50" t="str">
        <x:f>IF(248&gt;$H$4,"",IF(INDEX('Fleet dates'!$B$9:$B$1008,$I256-8)="","",INDEX('Fleet dates'!$B$9:$B$1008,$I256-8)))</x:f>
      </x:c>
      <x:c r="C256" s="51" t="str">
        <x:f>IF(248&gt;$H$4,"",IF(INDEX('Fleet dates'!$C$9:$C$1008,$I256-8)="","",INDEX('Fleet dates'!$C$9:$C$1008,$I256-8)))</x:f>
      </x:c>
      <x:c r="D256" s="51" t="str">
        <x:f>IF(248&gt;$H$4,"",IF(INDEX('Fleet dates'!$D$9:$D$1008,$I256-8)="","",INDEX('Fleet dates'!$D$9:$D$1008,$I256-8)))</x:f>
      </x:c>
      <x:c r="E256" s="51" t="str">
        <x:f>IF(248&gt;$H$4,"",IF(INDEX('Fleet dates'!$E$9:$E$1008,$I256-8)="","",INDEX('Fleet dates'!$E$9:$E$1008,$I256-8)))</x:f>
      </x:c>
      <x:c r="F256" s="51" t="str">
        <x:f>IF(248&gt;$H$4,"",IF(INDEX('Fleet dates'!$F$9:$F$1008,$I256-8)="","",INDEX('Fleet dates'!$F$9:$F$1008,$I256-8)))</x:f>
      </x:c>
      <x:c r="G256" s="50" t="str">
        <x:f>IF(248&gt;$H$4,"",IF(INDEX('Fleet dates'!$G$9:$G$1008,$I256-8)="","",INDEX('Fleet dates'!$G$9:$G$1008,$I256-8)))</x:f>
      </x:c>
      <x:c r="H256" s="50" t="str">
        <x:f>IF(248&gt;$H$4,"",IF(INDEX('Fleet dates'!$I$9:$I$1008,$I256-8)="","",INDEX('Fleet dates'!$I$9:$I$1008,$I256-8)))</x:f>
      </x:c>
      <x:c r="I256" t="str">
        <x:f>IF(248&gt;$H$4,"",MATCH(248,'Fleet dates'!$L$9:$L$1008,0)+8)</x:f>
      </x:c>
    </x:row>
    <x:row r="257" ht="36" customHeight="1">
      <x:c r="A257" s="50" t="str">
        <x:f>IF(249&gt;$H$4,"",IF(INDEX('Fleet dates'!$A$9:$A$1008,$I257-8)="","",INDEX('Fleet dates'!$A$9:$A$1008,$I257-8)))</x:f>
      </x:c>
      <x:c r="B257" s="50" t="str">
        <x:f>IF(249&gt;$H$4,"",IF(INDEX('Fleet dates'!$B$9:$B$1008,$I257-8)="","",INDEX('Fleet dates'!$B$9:$B$1008,$I257-8)))</x:f>
      </x:c>
      <x:c r="C257" s="51" t="str">
        <x:f>IF(249&gt;$H$4,"",IF(INDEX('Fleet dates'!$C$9:$C$1008,$I257-8)="","",INDEX('Fleet dates'!$C$9:$C$1008,$I257-8)))</x:f>
      </x:c>
      <x:c r="D257" s="51" t="str">
        <x:f>IF(249&gt;$H$4,"",IF(INDEX('Fleet dates'!$D$9:$D$1008,$I257-8)="","",INDEX('Fleet dates'!$D$9:$D$1008,$I257-8)))</x:f>
      </x:c>
      <x:c r="E257" s="51" t="str">
        <x:f>IF(249&gt;$H$4,"",IF(INDEX('Fleet dates'!$E$9:$E$1008,$I257-8)="","",INDEX('Fleet dates'!$E$9:$E$1008,$I257-8)))</x:f>
      </x:c>
      <x:c r="F257" s="51" t="str">
        <x:f>IF(249&gt;$H$4,"",IF(INDEX('Fleet dates'!$F$9:$F$1008,$I257-8)="","",INDEX('Fleet dates'!$F$9:$F$1008,$I257-8)))</x:f>
      </x:c>
      <x:c r="G257" s="50" t="str">
        <x:f>IF(249&gt;$H$4,"",IF(INDEX('Fleet dates'!$G$9:$G$1008,$I257-8)="","",INDEX('Fleet dates'!$G$9:$G$1008,$I257-8)))</x:f>
      </x:c>
      <x:c r="H257" s="50" t="str">
        <x:f>IF(249&gt;$H$4,"",IF(INDEX('Fleet dates'!$I$9:$I$1008,$I257-8)="","",INDEX('Fleet dates'!$I$9:$I$1008,$I257-8)))</x:f>
      </x:c>
      <x:c r="I257" t="str">
        <x:f>IF(249&gt;$H$4,"",MATCH(249,'Fleet dates'!$L$9:$L$1008,0)+8)</x:f>
      </x:c>
    </x:row>
    <x:row r="258" ht="36" customHeight="1">
      <x:c r="A258" s="50" t="str">
        <x:f>IF(250&gt;$H$4,"",IF(INDEX('Fleet dates'!$A$9:$A$1008,$I258-8)="","",INDEX('Fleet dates'!$A$9:$A$1008,$I258-8)))</x:f>
      </x:c>
      <x:c r="B258" s="50" t="str">
        <x:f>IF(250&gt;$H$4,"",IF(INDEX('Fleet dates'!$B$9:$B$1008,$I258-8)="","",INDEX('Fleet dates'!$B$9:$B$1008,$I258-8)))</x:f>
      </x:c>
      <x:c r="C258" s="51" t="str">
        <x:f>IF(250&gt;$H$4,"",IF(INDEX('Fleet dates'!$C$9:$C$1008,$I258-8)="","",INDEX('Fleet dates'!$C$9:$C$1008,$I258-8)))</x:f>
      </x:c>
      <x:c r="D258" s="51" t="str">
        <x:f>IF(250&gt;$H$4,"",IF(INDEX('Fleet dates'!$D$9:$D$1008,$I258-8)="","",INDEX('Fleet dates'!$D$9:$D$1008,$I258-8)))</x:f>
      </x:c>
      <x:c r="E258" s="51" t="str">
        <x:f>IF(250&gt;$H$4,"",IF(INDEX('Fleet dates'!$E$9:$E$1008,$I258-8)="","",INDEX('Fleet dates'!$E$9:$E$1008,$I258-8)))</x:f>
      </x:c>
      <x:c r="F258" s="51" t="str">
        <x:f>IF(250&gt;$H$4,"",IF(INDEX('Fleet dates'!$F$9:$F$1008,$I258-8)="","",INDEX('Fleet dates'!$F$9:$F$1008,$I258-8)))</x:f>
      </x:c>
      <x:c r="G258" s="50" t="str">
        <x:f>IF(250&gt;$H$4,"",IF(INDEX('Fleet dates'!$G$9:$G$1008,$I258-8)="","",INDEX('Fleet dates'!$G$9:$G$1008,$I258-8)))</x:f>
      </x:c>
      <x:c r="H258" s="50" t="str">
        <x:f>IF(250&gt;$H$4,"",IF(INDEX('Fleet dates'!$I$9:$I$1008,$I258-8)="","",INDEX('Fleet dates'!$I$9:$I$1008,$I258-8)))</x:f>
      </x:c>
      <x:c r="I258" t="str">
        <x:f>IF(250&gt;$H$4,"",MATCH(250,'Fleet dates'!$L$9:$L$1008,0)+8)</x:f>
      </x:c>
    </x:row>
    <x:row r="259" ht="36" customHeight="1">
      <x:c r="A259" s="50" t="str">
        <x:f>IF(251&gt;$H$4,"",IF(INDEX('Fleet dates'!$A$9:$A$1008,$I259-8)="","",INDEX('Fleet dates'!$A$9:$A$1008,$I259-8)))</x:f>
      </x:c>
      <x:c r="B259" s="50" t="str">
        <x:f>IF(251&gt;$H$4,"",IF(INDEX('Fleet dates'!$B$9:$B$1008,$I259-8)="","",INDEX('Fleet dates'!$B$9:$B$1008,$I259-8)))</x:f>
      </x:c>
      <x:c r="C259" s="51" t="str">
        <x:f>IF(251&gt;$H$4,"",IF(INDEX('Fleet dates'!$C$9:$C$1008,$I259-8)="","",INDEX('Fleet dates'!$C$9:$C$1008,$I259-8)))</x:f>
      </x:c>
      <x:c r="D259" s="51" t="str">
        <x:f>IF(251&gt;$H$4,"",IF(INDEX('Fleet dates'!$D$9:$D$1008,$I259-8)="","",INDEX('Fleet dates'!$D$9:$D$1008,$I259-8)))</x:f>
      </x:c>
      <x:c r="E259" s="51" t="str">
        <x:f>IF(251&gt;$H$4,"",IF(INDEX('Fleet dates'!$E$9:$E$1008,$I259-8)="","",INDEX('Fleet dates'!$E$9:$E$1008,$I259-8)))</x:f>
      </x:c>
      <x:c r="F259" s="51" t="str">
        <x:f>IF(251&gt;$H$4,"",IF(INDEX('Fleet dates'!$F$9:$F$1008,$I259-8)="","",INDEX('Fleet dates'!$F$9:$F$1008,$I259-8)))</x:f>
      </x:c>
      <x:c r="G259" s="50" t="str">
        <x:f>IF(251&gt;$H$4,"",IF(INDEX('Fleet dates'!$G$9:$G$1008,$I259-8)="","",INDEX('Fleet dates'!$G$9:$G$1008,$I259-8)))</x:f>
      </x:c>
      <x:c r="H259" s="50" t="str">
        <x:f>IF(251&gt;$H$4,"",IF(INDEX('Fleet dates'!$I$9:$I$1008,$I259-8)="","",INDEX('Fleet dates'!$I$9:$I$1008,$I259-8)))</x:f>
      </x:c>
      <x:c r="I259" t="str">
        <x:f>IF(251&gt;$H$4,"",MATCH(251,'Fleet dates'!$L$9:$L$1008,0)+8)</x:f>
      </x:c>
    </x:row>
    <x:row r="260" ht="36" customHeight="1">
      <x:c r="A260" s="50" t="str">
        <x:f>IF(252&gt;$H$4,"",IF(INDEX('Fleet dates'!$A$9:$A$1008,$I260-8)="","",INDEX('Fleet dates'!$A$9:$A$1008,$I260-8)))</x:f>
      </x:c>
      <x:c r="B260" s="50" t="str">
        <x:f>IF(252&gt;$H$4,"",IF(INDEX('Fleet dates'!$B$9:$B$1008,$I260-8)="","",INDEX('Fleet dates'!$B$9:$B$1008,$I260-8)))</x:f>
      </x:c>
      <x:c r="C260" s="51" t="str">
        <x:f>IF(252&gt;$H$4,"",IF(INDEX('Fleet dates'!$C$9:$C$1008,$I260-8)="","",INDEX('Fleet dates'!$C$9:$C$1008,$I260-8)))</x:f>
      </x:c>
      <x:c r="D260" s="51" t="str">
        <x:f>IF(252&gt;$H$4,"",IF(INDEX('Fleet dates'!$D$9:$D$1008,$I260-8)="","",INDEX('Fleet dates'!$D$9:$D$1008,$I260-8)))</x:f>
      </x:c>
      <x:c r="E260" s="51" t="str">
        <x:f>IF(252&gt;$H$4,"",IF(INDEX('Fleet dates'!$E$9:$E$1008,$I260-8)="","",INDEX('Fleet dates'!$E$9:$E$1008,$I260-8)))</x:f>
      </x:c>
      <x:c r="F260" s="51" t="str">
        <x:f>IF(252&gt;$H$4,"",IF(INDEX('Fleet dates'!$F$9:$F$1008,$I260-8)="","",INDEX('Fleet dates'!$F$9:$F$1008,$I260-8)))</x:f>
      </x:c>
      <x:c r="G260" s="50" t="str">
        <x:f>IF(252&gt;$H$4,"",IF(INDEX('Fleet dates'!$G$9:$G$1008,$I260-8)="","",INDEX('Fleet dates'!$G$9:$G$1008,$I260-8)))</x:f>
      </x:c>
      <x:c r="H260" s="50" t="str">
        <x:f>IF(252&gt;$H$4,"",IF(INDEX('Fleet dates'!$I$9:$I$1008,$I260-8)="","",INDEX('Fleet dates'!$I$9:$I$1008,$I260-8)))</x:f>
      </x:c>
      <x:c r="I260" t="str">
        <x:f>IF(252&gt;$H$4,"",MATCH(252,'Fleet dates'!$L$9:$L$1008,0)+8)</x:f>
      </x:c>
    </x:row>
    <x:row r="261" ht="36" customHeight="1">
      <x:c r="A261" s="50" t="str">
        <x:f>IF(253&gt;$H$4,"",IF(INDEX('Fleet dates'!$A$9:$A$1008,$I261-8)="","",INDEX('Fleet dates'!$A$9:$A$1008,$I261-8)))</x:f>
      </x:c>
      <x:c r="B261" s="50" t="str">
        <x:f>IF(253&gt;$H$4,"",IF(INDEX('Fleet dates'!$B$9:$B$1008,$I261-8)="","",INDEX('Fleet dates'!$B$9:$B$1008,$I261-8)))</x:f>
      </x:c>
      <x:c r="C261" s="51" t="str">
        <x:f>IF(253&gt;$H$4,"",IF(INDEX('Fleet dates'!$C$9:$C$1008,$I261-8)="","",INDEX('Fleet dates'!$C$9:$C$1008,$I261-8)))</x:f>
      </x:c>
      <x:c r="D261" s="51" t="str">
        <x:f>IF(253&gt;$H$4,"",IF(INDEX('Fleet dates'!$D$9:$D$1008,$I261-8)="","",INDEX('Fleet dates'!$D$9:$D$1008,$I261-8)))</x:f>
      </x:c>
      <x:c r="E261" s="51" t="str">
        <x:f>IF(253&gt;$H$4,"",IF(INDEX('Fleet dates'!$E$9:$E$1008,$I261-8)="","",INDEX('Fleet dates'!$E$9:$E$1008,$I261-8)))</x:f>
      </x:c>
      <x:c r="F261" s="51" t="str">
        <x:f>IF(253&gt;$H$4,"",IF(INDEX('Fleet dates'!$F$9:$F$1008,$I261-8)="","",INDEX('Fleet dates'!$F$9:$F$1008,$I261-8)))</x:f>
      </x:c>
      <x:c r="G261" s="50" t="str">
        <x:f>IF(253&gt;$H$4,"",IF(INDEX('Fleet dates'!$G$9:$G$1008,$I261-8)="","",INDEX('Fleet dates'!$G$9:$G$1008,$I261-8)))</x:f>
      </x:c>
      <x:c r="H261" s="50" t="str">
        <x:f>IF(253&gt;$H$4,"",IF(INDEX('Fleet dates'!$I$9:$I$1008,$I261-8)="","",INDEX('Fleet dates'!$I$9:$I$1008,$I261-8)))</x:f>
      </x:c>
      <x:c r="I261" t="str">
        <x:f>IF(253&gt;$H$4,"",MATCH(253,'Fleet dates'!$L$9:$L$1008,0)+8)</x:f>
      </x:c>
    </x:row>
    <x:row r="262" ht="36" customHeight="1">
      <x:c r="A262" s="50" t="str">
        <x:f>IF(254&gt;$H$4,"",IF(INDEX('Fleet dates'!$A$9:$A$1008,$I262-8)="","",INDEX('Fleet dates'!$A$9:$A$1008,$I262-8)))</x:f>
      </x:c>
      <x:c r="B262" s="50" t="str">
        <x:f>IF(254&gt;$H$4,"",IF(INDEX('Fleet dates'!$B$9:$B$1008,$I262-8)="","",INDEX('Fleet dates'!$B$9:$B$1008,$I262-8)))</x:f>
      </x:c>
      <x:c r="C262" s="51" t="str">
        <x:f>IF(254&gt;$H$4,"",IF(INDEX('Fleet dates'!$C$9:$C$1008,$I262-8)="","",INDEX('Fleet dates'!$C$9:$C$1008,$I262-8)))</x:f>
      </x:c>
      <x:c r="D262" s="51" t="str">
        <x:f>IF(254&gt;$H$4,"",IF(INDEX('Fleet dates'!$D$9:$D$1008,$I262-8)="","",INDEX('Fleet dates'!$D$9:$D$1008,$I262-8)))</x:f>
      </x:c>
      <x:c r="E262" s="51" t="str">
        <x:f>IF(254&gt;$H$4,"",IF(INDEX('Fleet dates'!$E$9:$E$1008,$I262-8)="","",INDEX('Fleet dates'!$E$9:$E$1008,$I262-8)))</x:f>
      </x:c>
      <x:c r="F262" s="51" t="str">
        <x:f>IF(254&gt;$H$4,"",IF(INDEX('Fleet dates'!$F$9:$F$1008,$I262-8)="","",INDEX('Fleet dates'!$F$9:$F$1008,$I262-8)))</x:f>
      </x:c>
      <x:c r="G262" s="50" t="str">
        <x:f>IF(254&gt;$H$4,"",IF(INDEX('Fleet dates'!$G$9:$G$1008,$I262-8)="","",INDEX('Fleet dates'!$G$9:$G$1008,$I262-8)))</x:f>
      </x:c>
      <x:c r="H262" s="50" t="str">
        <x:f>IF(254&gt;$H$4,"",IF(INDEX('Fleet dates'!$I$9:$I$1008,$I262-8)="","",INDEX('Fleet dates'!$I$9:$I$1008,$I262-8)))</x:f>
      </x:c>
      <x:c r="I262" t="str">
        <x:f>IF(254&gt;$H$4,"",MATCH(254,'Fleet dates'!$L$9:$L$1008,0)+8)</x:f>
      </x:c>
    </x:row>
    <x:row r="263" ht="36" customHeight="1">
      <x:c r="A263" s="50" t="str">
        <x:f>IF(255&gt;$H$4,"",IF(INDEX('Fleet dates'!$A$9:$A$1008,$I263-8)="","",INDEX('Fleet dates'!$A$9:$A$1008,$I263-8)))</x:f>
      </x:c>
      <x:c r="B263" s="50" t="str">
        <x:f>IF(255&gt;$H$4,"",IF(INDEX('Fleet dates'!$B$9:$B$1008,$I263-8)="","",INDEX('Fleet dates'!$B$9:$B$1008,$I263-8)))</x:f>
      </x:c>
      <x:c r="C263" s="51" t="str">
        <x:f>IF(255&gt;$H$4,"",IF(INDEX('Fleet dates'!$C$9:$C$1008,$I263-8)="","",INDEX('Fleet dates'!$C$9:$C$1008,$I263-8)))</x:f>
      </x:c>
      <x:c r="D263" s="51" t="str">
        <x:f>IF(255&gt;$H$4,"",IF(INDEX('Fleet dates'!$D$9:$D$1008,$I263-8)="","",INDEX('Fleet dates'!$D$9:$D$1008,$I263-8)))</x:f>
      </x:c>
      <x:c r="E263" s="51" t="str">
        <x:f>IF(255&gt;$H$4,"",IF(INDEX('Fleet dates'!$E$9:$E$1008,$I263-8)="","",INDEX('Fleet dates'!$E$9:$E$1008,$I263-8)))</x:f>
      </x:c>
      <x:c r="F263" s="51" t="str">
        <x:f>IF(255&gt;$H$4,"",IF(INDEX('Fleet dates'!$F$9:$F$1008,$I263-8)="","",INDEX('Fleet dates'!$F$9:$F$1008,$I263-8)))</x:f>
      </x:c>
      <x:c r="G263" s="50" t="str">
        <x:f>IF(255&gt;$H$4,"",IF(INDEX('Fleet dates'!$G$9:$G$1008,$I263-8)="","",INDEX('Fleet dates'!$G$9:$G$1008,$I263-8)))</x:f>
      </x:c>
      <x:c r="H263" s="50" t="str">
        <x:f>IF(255&gt;$H$4,"",IF(INDEX('Fleet dates'!$I$9:$I$1008,$I263-8)="","",INDEX('Fleet dates'!$I$9:$I$1008,$I263-8)))</x:f>
      </x:c>
      <x:c r="I263" t="str">
        <x:f>IF(255&gt;$H$4,"",MATCH(255,'Fleet dates'!$L$9:$L$1008,0)+8)</x:f>
      </x:c>
    </x:row>
    <x:row r="264" ht="36" customHeight="1">
      <x:c r="A264" s="50" t="str">
        <x:f>IF(256&gt;$H$4,"",IF(INDEX('Fleet dates'!$A$9:$A$1008,$I264-8)="","",INDEX('Fleet dates'!$A$9:$A$1008,$I264-8)))</x:f>
      </x:c>
      <x:c r="B264" s="50" t="str">
        <x:f>IF(256&gt;$H$4,"",IF(INDEX('Fleet dates'!$B$9:$B$1008,$I264-8)="","",INDEX('Fleet dates'!$B$9:$B$1008,$I264-8)))</x:f>
      </x:c>
      <x:c r="C264" s="51" t="str">
        <x:f>IF(256&gt;$H$4,"",IF(INDEX('Fleet dates'!$C$9:$C$1008,$I264-8)="","",INDEX('Fleet dates'!$C$9:$C$1008,$I264-8)))</x:f>
      </x:c>
      <x:c r="D264" s="51" t="str">
        <x:f>IF(256&gt;$H$4,"",IF(INDEX('Fleet dates'!$D$9:$D$1008,$I264-8)="","",INDEX('Fleet dates'!$D$9:$D$1008,$I264-8)))</x:f>
      </x:c>
      <x:c r="E264" s="51" t="str">
        <x:f>IF(256&gt;$H$4,"",IF(INDEX('Fleet dates'!$E$9:$E$1008,$I264-8)="","",INDEX('Fleet dates'!$E$9:$E$1008,$I264-8)))</x:f>
      </x:c>
      <x:c r="F264" s="51" t="str">
        <x:f>IF(256&gt;$H$4,"",IF(INDEX('Fleet dates'!$F$9:$F$1008,$I264-8)="","",INDEX('Fleet dates'!$F$9:$F$1008,$I264-8)))</x:f>
      </x:c>
      <x:c r="G264" s="50" t="str">
        <x:f>IF(256&gt;$H$4,"",IF(INDEX('Fleet dates'!$G$9:$G$1008,$I264-8)="","",INDEX('Fleet dates'!$G$9:$G$1008,$I264-8)))</x:f>
      </x:c>
      <x:c r="H264" s="50" t="str">
        <x:f>IF(256&gt;$H$4,"",IF(INDEX('Fleet dates'!$I$9:$I$1008,$I264-8)="","",INDEX('Fleet dates'!$I$9:$I$1008,$I264-8)))</x:f>
      </x:c>
      <x:c r="I264" t="str">
        <x:f>IF(256&gt;$H$4,"",MATCH(256,'Fleet dates'!$L$9:$L$1008,0)+8)</x:f>
      </x:c>
    </x:row>
    <x:row r="265" ht="36" customHeight="1">
      <x:c r="A265" s="50" t="str">
        <x:f>IF(257&gt;$H$4,"",IF(INDEX('Fleet dates'!$A$9:$A$1008,$I265-8)="","",INDEX('Fleet dates'!$A$9:$A$1008,$I265-8)))</x:f>
      </x:c>
      <x:c r="B265" s="50" t="str">
        <x:f>IF(257&gt;$H$4,"",IF(INDEX('Fleet dates'!$B$9:$B$1008,$I265-8)="","",INDEX('Fleet dates'!$B$9:$B$1008,$I265-8)))</x:f>
      </x:c>
      <x:c r="C265" s="51" t="str">
        <x:f>IF(257&gt;$H$4,"",IF(INDEX('Fleet dates'!$C$9:$C$1008,$I265-8)="","",INDEX('Fleet dates'!$C$9:$C$1008,$I265-8)))</x:f>
      </x:c>
      <x:c r="D265" s="51" t="str">
        <x:f>IF(257&gt;$H$4,"",IF(INDEX('Fleet dates'!$D$9:$D$1008,$I265-8)="","",INDEX('Fleet dates'!$D$9:$D$1008,$I265-8)))</x:f>
      </x:c>
      <x:c r="E265" s="51" t="str">
        <x:f>IF(257&gt;$H$4,"",IF(INDEX('Fleet dates'!$E$9:$E$1008,$I265-8)="","",INDEX('Fleet dates'!$E$9:$E$1008,$I265-8)))</x:f>
      </x:c>
      <x:c r="F265" s="51" t="str">
        <x:f>IF(257&gt;$H$4,"",IF(INDEX('Fleet dates'!$F$9:$F$1008,$I265-8)="","",INDEX('Fleet dates'!$F$9:$F$1008,$I265-8)))</x:f>
      </x:c>
      <x:c r="G265" s="50" t="str">
        <x:f>IF(257&gt;$H$4,"",IF(INDEX('Fleet dates'!$G$9:$G$1008,$I265-8)="","",INDEX('Fleet dates'!$G$9:$G$1008,$I265-8)))</x:f>
      </x:c>
      <x:c r="H265" s="50" t="str">
        <x:f>IF(257&gt;$H$4,"",IF(INDEX('Fleet dates'!$I$9:$I$1008,$I265-8)="","",INDEX('Fleet dates'!$I$9:$I$1008,$I265-8)))</x:f>
      </x:c>
      <x:c r="I265" t="str">
        <x:f>IF(257&gt;$H$4,"",MATCH(257,'Fleet dates'!$L$9:$L$1008,0)+8)</x:f>
      </x:c>
    </x:row>
    <x:row r="266" ht="36" customHeight="1">
      <x:c r="A266" s="50" t="str">
        <x:f>IF(258&gt;$H$4,"",IF(INDEX('Fleet dates'!$A$9:$A$1008,$I266-8)="","",INDEX('Fleet dates'!$A$9:$A$1008,$I266-8)))</x:f>
      </x:c>
      <x:c r="B266" s="50" t="str">
        <x:f>IF(258&gt;$H$4,"",IF(INDEX('Fleet dates'!$B$9:$B$1008,$I266-8)="","",INDEX('Fleet dates'!$B$9:$B$1008,$I266-8)))</x:f>
      </x:c>
      <x:c r="C266" s="51" t="str">
        <x:f>IF(258&gt;$H$4,"",IF(INDEX('Fleet dates'!$C$9:$C$1008,$I266-8)="","",INDEX('Fleet dates'!$C$9:$C$1008,$I266-8)))</x:f>
      </x:c>
      <x:c r="D266" s="51" t="str">
        <x:f>IF(258&gt;$H$4,"",IF(INDEX('Fleet dates'!$D$9:$D$1008,$I266-8)="","",INDEX('Fleet dates'!$D$9:$D$1008,$I266-8)))</x:f>
      </x:c>
      <x:c r="E266" s="51" t="str">
        <x:f>IF(258&gt;$H$4,"",IF(INDEX('Fleet dates'!$E$9:$E$1008,$I266-8)="","",INDEX('Fleet dates'!$E$9:$E$1008,$I266-8)))</x:f>
      </x:c>
      <x:c r="F266" s="51" t="str">
        <x:f>IF(258&gt;$H$4,"",IF(INDEX('Fleet dates'!$F$9:$F$1008,$I266-8)="","",INDEX('Fleet dates'!$F$9:$F$1008,$I266-8)))</x:f>
      </x:c>
      <x:c r="G266" s="50" t="str">
        <x:f>IF(258&gt;$H$4,"",IF(INDEX('Fleet dates'!$G$9:$G$1008,$I266-8)="","",INDEX('Fleet dates'!$G$9:$G$1008,$I266-8)))</x:f>
      </x:c>
      <x:c r="H266" s="50" t="str">
        <x:f>IF(258&gt;$H$4,"",IF(INDEX('Fleet dates'!$I$9:$I$1008,$I266-8)="","",INDEX('Fleet dates'!$I$9:$I$1008,$I266-8)))</x:f>
      </x:c>
      <x:c r="I266" t="str">
        <x:f>IF(258&gt;$H$4,"",MATCH(258,'Fleet dates'!$L$9:$L$1008,0)+8)</x:f>
      </x:c>
    </x:row>
    <x:row r="267" ht="36" customHeight="1">
      <x:c r="A267" s="50" t="str">
        <x:f>IF(259&gt;$H$4,"",IF(INDEX('Fleet dates'!$A$9:$A$1008,$I267-8)="","",INDEX('Fleet dates'!$A$9:$A$1008,$I267-8)))</x:f>
      </x:c>
      <x:c r="B267" s="50" t="str">
        <x:f>IF(259&gt;$H$4,"",IF(INDEX('Fleet dates'!$B$9:$B$1008,$I267-8)="","",INDEX('Fleet dates'!$B$9:$B$1008,$I267-8)))</x:f>
      </x:c>
      <x:c r="C267" s="51" t="str">
        <x:f>IF(259&gt;$H$4,"",IF(INDEX('Fleet dates'!$C$9:$C$1008,$I267-8)="","",INDEX('Fleet dates'!$C$9:$C$1008,$I267-8)))</x:f>
      </x:c>
      <x:c r="D267" s="51" t="str">
        <x:f>IF(259&gt;$H$4,"",IF(INDEX('Fleet dates'!$D$9:$D$1008,$I267-8)="","",INDEX('Fleet dates'!$D$9:$D$1008,$I267-8)))</x:f>
      </x:c>
      <x:c r="E267" s="51" t="str">
        <x:f>IF(259&gt;$H$4,"",IF(INDEX('Fleet dates'!$E$9:$E$1008,$I267-8)="","",INDEX('Fleet dates'!$E$9:$E$1008,$I267-8)))</x:f>
      </x:c>
      <x:c r="F267" s="51" t="str">
        <x:f>IF(259&gt;$H$4,"",IF(INDEX('Fleet dates'!$F$9:$F$1008,$I267-8)="","",INDEX('Fleet dates'!$F$9:$F$1008,$I267-8)))</x:f>
      </x:c>
      <x:c r="G267" s="50" t="str">
        <x:f>IF(259&gt;$H$4,"",IF(INDEX('Fleet dates'!$G$9:$G$1008,$I267-8)="","",INDEX('Fleet dates'!$G$9:$G$1008,$I267-8)))</x:f>
      </x:c>
      <x:c r="H267" s="50" t="str">
        <x:f>IF(259&gt;$H$4,"",IF(INDEX('Fleet dates'!$I$9:$I$1008,$I267-8)="","",INDEX('Fleet dates'!$I$9:$I$1008,$I267-8)))</x:f>
      </x:c>
      <x:c r="I267" t="str">
        <x:f>IF(259&gt;$H$4,"",MATCH(259,'Fleet dates'!$L$9:$L$1008,0)+8)</x:f>
      </x:c>
    </x:row>
    <x:row r="268" ht="36" customHeight="1">
      <x:c r="A268" s="50" t="str">
        <x:f>IF(260&gt;$H$4,"",IF(INDEX('Fleet dates'!$A$9:$A$1008,$I268-8)="","",INDEX('Fleet dates'!$A$9:$A$1008,$I268-8)))</x:f>
      </x:c>
      <x:c r="B268" s="50" t="str">
        <x:f>IF(260&gt;$H$4,"",IF(INDEX('Fleet dates'!$B$9:$B$1008,$I268-8)="","",INDEX('Fleet dates'!$B$9:$B$1008,$I268-8)))</x:f>
      </x:c>
      <x:c r="C268" s="51" t="str">
        <x:f>IF(260&gt;$H$4,"",IF(INDEX('Fleet dates'!$C$9:$C$1008,$I268-8)="","",INDEX('Fleet dates'!$C$9:$C$1008,$I268-8)))</x:f>
      </x:c>
      <x:c r="D268" s="51" t="str">
        <x:f>IF(260&gt;$H$4,"",IF(INDEX('Fleet dates'!$D$9:$D$1008,$I268-8)="","",INDEX('Fleet dates'!$D$9:$D$1008,$I268-8)))</x:f>
      </x:c>
      <x:c r="E268" s="51" t="str">
        <x:f>IF(260&gt;$H$4,"",IF(INDEX('Fleet dates'!$E$9:$E$1008,$I268-8)="","",INDEX('Fleet dates'!$E$9:$E$1008,$I268-8)))</x:f>
      </x:c>
      <x:c r="F268" s="51" t="str">
        <x:f>IF(260&gt;$H$4,"",IF(INDEX('Fleet dates'!$F$9:$F$1008,$I268-8)="","",INDEX('Fleet dates'!$F$9:$F$1008,$I268-8)))</x:f>
      </x:c>
      <x:c r="G268" s="50" t="str">
        <x:f>IF(260&gt;$H$4,"",IF(INDEX('Fleet dates'!$G$9:$G$1008,$I268-8)="","",INDEX('Fleet dates'!$G$9:$G$1008,$I268-8)))</x:f>
      </x:c>
      <x:c r="H268" s="50" t="str">
        <x:f>IF(260&gt;$H$4,"",IF(INDEX('Fleet dates'!$I$9:$I$1008,$I268-8)="","",INDEX('Fleet dates'!$I$9:$I$1008,$I268-8)))</x:f>
      </x:c>
      <x:c r="I268" t="str">
        <x:f>IF(260&gt;$H$4,"",MATCH(260,'Fleet dates'!$L$9:$L$1008,0)+8)</x:f>
      </x:c>
    </x:row>
    <x:row r="269" ht="36" customHeight="1">
      <x:c r="A269" s="50" t="str">
        <x:f>IF(261&gt;$H$4,"",IF(INDEX('Fleet dates'!$A$9:$A$1008,$I269-8)="","",INDEX('Fleet dates'!$A$9:$A$1008,$I269-8)))</x:f>
      </x:c>
      <x:c r="B269" s="50" t="str">
        <x:f>IF(261&gt;$H$4,"",IF(INDEX('Fleet dates'!$B$9:$B$1008,$I269-8)="","",INDEX('Fleet dates'!$B$9:$B$1008,$I269-8)))</x:f>
      </x:c>
      <x:c r="C269" s="51" t="str">
        <x:f>IF(261&gt;$H$4,"",IF(INDEX('Fleet dates'!$C$9:$C$1008,$I269-8)="","",INDEX('Fleet dates'!$C$9:$C$1008,$I269-8)))</x:f>
      </x:c>
      <x:c r="D269" s="51" t="str">
        <x:f>IF(261&gt;$H$4,"",IF(INDEX('Fleet dates'!$D$9:$D$1008,$I269-8)="","",INDEX('Fleet dates'!$D$9:$D$1008,$I269-8)))</x:f>
      </x:c>
      <x:c r="E269" s="51" t="str">
        <x:f>IF(261&gt;$H$4,"",IF(INDEX('Fleet dates'!$E$9:$E$1008,$I269-8)="","",INDEX('Fleet dates'!$E$9:$E$1008,$I269-8)))</x:f>
      </x:c>
      <x:c r="F269" s="51" t="str">
        <x:f>IF(261&gt;$H$4,"",IF(INDEX('Fleet dates'!$F$9:$F$1008,$I269-8)="","",INDEX('Fleet dates'!$F$9:$F$1008,$I269-8)))</x:f>
      </x:c>
      <x:c r="G269" s="50" t="str">
        <x:f>IF(261&gt;$H$4,"",IF(INDEX('Fleet dates'!$G$9:$G$1008,$I269-8)="","",INDEX('Fleet dates'!$G$9:$G$1008,$I269-8)))</x:f>
      </x:c>
      <x:c r="H269" s="50" t="str">
        <x:f>IF(261&gt;$H$4,"",IF(INDEX('Fleet dates'!$I$9:$I$1008,$I269-8)="","",INDEX('Fleet dates'!$I$9:$I$1008,$I269-8)))</x:f>
      </x:c>
      <x:c r="I269" t="str">
        <x:f>IF(261&gt;$H$4,"",MATCH(261,'Fleet dates'!$L$9:$L$1008,0)+8)</x:f>
      </x:c>
    </x:row>
    <x:row r="270" ht="36" customHeight="1">
      <x:c r="A270" s="50" t="str">
        <x:f>IF(262&gt;$H$4,"",IF(INDEX('Fleet dates'!$A$9:$A$1008,$I270-8)="","",INDEX('Fleet dates'!$A$9:$A$1008,$I270-8)))</x:f>
      </x:c>
      <x:c r="B270" s="50" t="str">
        <x:f>IF(262&gt;$H$4,"",IF(INDEX('Fleet dates'!$B$9:$B$1008,$I270-8)="","",INDEX('Fleet dates'!$B$9:$B$1008,$I270-8)))</x:f>
      </x:c>
      <x:c r="C270" s="51" t="str">
        <x:f>IF(262&gt;$H$4,"",IF(INDEX('Fleet dates'!$C$9:$C$1008,$I270-8)="","",INDEX('Fleet dates'!$C$9:$C$1008,$I270-8)))</x:f>
      </x:c>
      <x:c r="D270" s="51" t="str">
        <x:f>IF(262&gt;$H$4,"",IF(INDEX('Fleet dates'!$D$9:$D$1008,$I270-8)="","",INDEX('Fleet dates'!$D$9:$D$1008,$I270-8)))</x:f>
      </x:c>
      <x:c r="E270" s="51" t="str">
        <x:f>IF(262&gt;$H$4,"",IF(INDEX('Fleet dates'!$E$9:$E$1008,$I270-8)="","",INDEX('Fleet dates'!$E$9:$E$1008,$I270-8)))</x:f>
      </x:c>
      <x:c r="F270" s="51" t="str">
        <x:f>IF(262&gt;$H$4,"",IF(INDEX('Fleet dates'!$F$9:$F$1008,$I270-8)="","",INDEX('Fleet dates'!$F$9:$F$1008,$I270-8)))</x:f>
      </x:c>
      <x:c r="G270" s="50" t="str">
        <x:f>IF(262&gt;$H$4,"",IF(INDEX('Fleet dates'!$G$9:$G$1008,$I270-8)="","",INDEX('Fleet dates'!$G$9:$G$1008,$I270-8)))</x:f>
      </x:c>
      <x:c r="H270" s="50" t="str">
        <x:f>IF(262&gt;$H$4,"",IF(INDEX('Fleet dates'!$I$9:$I$1008,$I270-8)="","",INDEX('Fleet dates'!$I$9:$I$1008,$I270-8)))</x:f>
      </x:c>
      <x:c r="I270" t="str">
        <x:f>IF(262&gt;$H$4,"",MATCH(262,'Fleet dates'!$L$9:$L$1008,0)+8)</x:f>
      </x:c>
    </x:row>
    <x:row r="271" ht="36" customHeight="1">
      <x:c r="A271" s="50" t="str">
        <x:f>IF(263&gt;$H$4,"",IF(INDEX('Fleet dates'!$A$9:$A$1008,$I271-8)="","",INDEX('Fleet dates'!$A$9:$A$1008,$I271-8)))</x:f>
      </x:c>
      <x:c r="B271" s="50" t="str">
        <x:f>IF(263&gt;$H$4,"",IF(INDEX('Fleet dates'!$B$9:$B$1008,$I271-8)="","",INDEX('Fleet dates'!$B$9:$B$1008,$I271-8)))</x:f>
      </x:c>
      <x:c r="C271" s="51" t="str">
        <x:f>IF(263&gt;$H$4,"",IF(INDEX('Fleet dates'!$C$9:$C$1008,$I271-8)="","",INDEX('Fleet dates'!$C$9:$C$1008,$I271-8)))</x:f>
      </x:c>
      <x:c r="D271" s="51" t="str">
        <x:f>IF(263&gt;$H$4,"",IF(INDEX('Fleet dates'!$D$9:$D$1008,$I271-8)="","",INDEX('Fleet dates'!$D$9:$D$1008,$I271-8)))</x:f>
      </x:c>
      <x:c r="E271" s="51" t="str">
        <x:f>IF(263&gt;$H$4,"",IF(INDEX('Fleet dates'!$E$9:$E$1008,$I271-8)="","",INDEX('Fleet dates'!$E$9:$E$1008,$I271-8)))</x:f>
      </x:c>
      <x:c r="F271" s="51" t="str">
        <x:f>IF(263&gt;$H$4,"",IF(INDEX('Fleet dates'!$F$9:$F$1008,$I271-8)="","",INDEX('Fleet dates'!$F$9:$F$1008,$I271-8)))</x:f>
      </x:c>
      <x:c r="G271" s="50" t="str">
        <x:f>IF(263&gt;$H$4,"",IF(INDEX('Fleet dates'!$G$9:$G$1008,$I271-8)="","",INDEX('Fleet dates'!$G$9:$G$1008,$I271-8)))</x:f>
      </x:c>
      <x:c r="H271" s="50" t="str">
        <x:f>IF(263&gt;$H$4,"",IF(INDEX('Fleet dates'!$I$9:$I$1008,$I271-8)="","",INDEX('Fleet dates'!$I$9:$I$1008,$I271-8)))</x:f>
      </x:c>
      <x:c r="I271" t="str">
        <x:f>IF(263&gt;$H$4,"",MATCH(263,'Fleet dates'!$L$9:$L$1008,0)+8)</x:f>
      </x:c>
    </x:row>
    <x:row r="272" ht="36" customHeight="1">
      <x:c r="A272" s="50" t="str">
        <x:f>IF(264&gt;$H$4,"",IF(INDEX('Fleet dates'!$A$9:$A$1008,$I272-8)="","",INDEX('Fleet dates'!$A$9:$A$1008,$I272-8)))</x:f>
      </x:c>
      <x:c r="B272" s="50" t="str">
        <x:f>IF(264&gt;$H$4,"",IF(INDEX('Fleet dates'!$B$9:$B$1008,$I272-8)="","",INDEX('Fleet dates'!$B$9:$B$1008,$I272-8)))</x:f>
      </x:c>
      <x:c r="C272" s="51" t="str">
        <x:f>IF(264&gt;$H$4,"",IF(INDEX('Fleet dates'!$C$9:$C$1008,$I272-8)="","",INDEX('Fleet dates'!$C$9:$C$1008,$I272-8)))</x:f>
      </x:c>
      <x:c r="D272" s="51" t="str">
        <x:f>IF(264&gt;$H$4,"",IF(INDEX('Fleet dates'!$D$9:$D$1008,$I272-8)="","",INDEX('Fleet dates'!$D$9:$D$1008,$I272-8)))</x:f>
      </x:c>
      <x:c r="E272" s="51" t="str">
        <x:f>IF(264&gt;$H$4,"",IF(INDEX('Fleet dates'!$E$9:$E$1008,$I272-8)="","",INDEX('Fleet dates'!$E$9:$E$1008,$I272-8)))</x:f>
      </x:c>
      <x:c r="F272" s="51" t="str">
        <x:f>IF(264&gt;$H$4,"",IF(INDEX('Fleet dates'!$F$9:$F$1008,$I272-8)="","",INDEX('Fleet dates'!$F$9:$F$1008,$I272-8)))</x:f>
      </x:c>
      <x:c r="G272" s="50" t="str">
        <x:f>IF(264&gt;$H$4,"",IF(INDEX('Fleet dates'!$G$9:$G$1008,$I272-8)="","",INDEX('Fleet dates'!$G$9:$G$1008,$I272-8)))</x:f>
      </x:c>
      <x:c r="H272" s="50" t="str">
        <x:f>IF(264&gt;$H$4,"",IF(INDEX('Fleet dates'!$I$9:$I$1008,$I272-8)="","",INDEX('Fleet dates'!$I$9:$I$1008,$I272-8)))</x:f>
      </x:c>
      <x:c r="I272" t="str">
        <x:f>IF(264&gt;$H$4,"",MATCH(264,'Fleet dates'!$L$9:$L$1008,0)+8)</x:f>
      </x:c>
    </x:row>
    <x:row r="273" ht="36" customHeight="1">
      <x:c r="A273" s="50" t="str">
        <x:f>IF(265&gt;$H$4,"",IF(INDEX('Fleet dates'!$A$9:$A$1008,$I273-8)="","",INDEX('Fleet dates'!$A$9:$A$1008,$I273-8)))</x:f>
      </x:c>
      <x:c r="B273" s="50" t="str">
        <x:f>IF(265&gt;$H$4,"",IF(INDEX('Fleet dates'!$B$9:$B$1008,$I273-8)="","",INDEX('Fleet dates'!$B$9:$B$1008,$I273-8)))</x:f>
      </x:c>
      <x:c r="C273" s="51" t="str">
        <x:f>IF(265&gt;$H$4,"",IF(INDEX('Fleet dates'!$C$9:$C$1008,$I273-8)="","",INDEX('Fleet dates'!$C$9:$C$1008,$I273-8)))</x:f>
      </x:c>
      <x:c r="D273" s="51" t="str">
        <x:f>IF(265&gt;$H$4,"",IF(INDEX('Fleet dates'!$D$9:$D$1008,$I273-8)="","",INDEX('Fleet dates'!$D$9:$D$1008,$I273-8)))</x:f>
      </x:c>
      <x:c r="E273" s="51" t="str">
        <x:f>IF(265&gt;$H$4,"",IF(INDEX('Fleet dates'!$E$9:$E$1008,$I273-8)="","",INDEX('Fleet dates'!$E$9:$E$1008,$I273-8)))</x:f>
      </x:c>
      <x:c r="F273" s="51" t="str">
        <x:f>IF(265&gt;$H$4,"",IF(INDEX('Fleet dates'!$F$9:$F$1008,$I273-8)="","",INDEX('Fleet dates'!$F$9:$F$1008,$I273-8)))</x:f>
      </x:c>
      <x:c r="G273" s="50" t="str">
        <x:f>IF(265&gt;$H$4,"",IF(INDEX('Fleet dates'!$G$9:$G$1008,$I273-8)="","",INDEX('Fleet dates'!$G$9:$G$1008,$I273-8)))</x:f>
      </x:c>
      <x:c r="H273" s="50" t="str">
        <x:f>IF(265&gt;$H$4,"",IF(INDEX('Fleet dates'!$I$9:$I$1008,$I273-8)="","",INDEX('Fleet dates'!$I$9:$I$1008,$I273-8)))</x:f>
      </x:c>
      <x:c r="I273" t="str">
        <x:f>IF(265&gt;$H$4,"",MATCH(265,'Fleet dates'!$L$9:$L$1008,0)+8)</x:f>
      </x:c>
    </x:row>
    <x:row r="274" ht="36" customHeight="1">
      <x:c r="A274" s="50" t="str">
        <x:f>IF(266&gt;$H$4,"",IF(INDEX('Fleet dates'!$A$9:$A$1008,$I274-8)="","",INDEX('Fleet dates'!$A$9:$A$1008,$I274-8)))</x:f>
      </x:c>
      <x:c r="B274" s="50" t="str">
        <x:f>IF(266&gt;$H$4,"",IF(INDEX('Fleet dates'!$B$9:$B$1008,$I274-8)="","",INDEX('Fleet dates'!$B$9:$B$1008,$I274-8)))</x:f>
      </x:c>
      <x:c r="C274" s="51" t="str">
        <x:f>IF(266&gt;$H$4,"",IF(INDEX('Fleet dates'!$C$9:$C$1008,$I274-8)="","",INDEX('Fleet dates'!$C$9:$C$1008,$I274-8)))</x:f>
      </x:c>
      <x:c r="D274" s="51" t="str">
        <x:f>IF(266&gt;$H$4,"",IF(INDEX('Fleet dates'!$D$9:$D$1008,$I274-8)="","",INDEX('Fleet dates'!$D$9:$D$1008,$I274-8)))</x:f>
      </x:c>
      <x:c r="E274" s="51" t="str">
        <x:f>IF(266&gt;$H$4,"",IF(INDEX('Fleet dates'!$E$9:$E$1008,$I274-8)="","",INDEX('Fleet dates'!$E$9:$E$1008,$I274-8)))</x:f>
      </x:c>
      <x:c r="F274" s="51" t="str">
        <x:f>IF(266&gt;$H$4,"",IF(INDEX('Fleet dates'!$F$9:$F$1008,$I274-8)="","",INDEX('Fleet dates'!$F$9:$F$1008,$I274-8)))</x:f>
      </x:c>
      <x:c r="G274" s="50" t="str">
        <x:f>IF(266&gt;$H$4,"",IF(INDEX('Fleet dates'!$G$9:$G$1008,$I274-8)="","",INDEX('Fleet dates'!$G$9:$G$1008,$I274-8)))</x:f>
      </x:c>
      <x:c r="H274" s="50" t="str">
        <x:f>IF(266&gt;$H$4,"",IF(INDEX('Fleet dates'!$I$9:$I$1008,$I274-8)="","",INDEX('Fleet dates'!$I$9:$I$1008,$I274-8)))</x:f>
      </x:c>
      <x:c r="I274" t="str">
        <x:f>IF(266&gt;$H$4,"",MATCH(266,'Fleet dates'!$L$9:$L$1008,0)+8)</x:f>
      </x:c>
    </x:row>
    <x:row r="275" ht="36" customHeight="1">
      <x:c r="A275" s="50" t="str">
        <x:f>IF(267&gt;$H$4,"",IF(INDEX('Fleet dates'!$A$9:$A$1008,$I275-8)="","",INDEX('Fleet dates'!$A$9:$A$1008,$I275-8)))</x:f>
      </x:c>
      <x:c r="B275" s="50" t="str">
        <x:f>IF(267&gt;$H$4,"",IF(INDEX('Fleet dates'!$B$9:$B$1008,$I275-8)="","",INDEX('Fleet dates'!$B$9:$B$1008,$I275-8)))</x:f>
      </x:c>
      <x:c r="C275" s="51" t="str">
        <x:f>IF(267&gt;$H$4,"",IF(INDEX('Fleet dates'!$C$9:$C$1008,$I275-8)="","",INDEX('Fleet dates'!$C$9:$C$1008,$I275-8)))</x:f>
      </x:c>
      <x:c r="D275" s="51" t="str">
        <x:f>IF(267&gt;$H$4,"",IF(INDEX('Fleet dates'!$D$9:$D$1008,$I275-8)="","",INDEX('Fleet dates'!$D$9:$D$1008,$I275-8)))</x:f>
      </x:c>
      <x:c r="E275" s="51" t="str">
        <x:f>IF(267&gt;$H$4,"",IF(INDEX('Fleet dates'!$E$9:$E$1008,$I275-8)="","",INDEX('Fleet dates'!$E$9:$E$1008,$I275-8)))</x:f>
      </x:c>
      <x:c r="F275" s="51" t="str">
        <x:f>IF(267&gt;$H$4,"",IF(INDEX('Fleet dates'!$F$9:$F$1008,$I275-8)="","",INDEX('Fleet dates'!$F$9:$F$1008,$I275-8)))</x:f>
      </x:c>
      <x:c r="G275" s="50" t="str">
        <x:f>IF(267&gt;$H$4,"",IF(INDEX('Fleet dates'!$G$9:$G$1008,$I275-8)="","",INDEX('Fleet dates'!$G$9:$G$1008,$I275-8)))</x:f>
      </x:c>
      <x:c r="H275" s="50" t="str">
        <x:f>IF(267&gt;$H$4,"",IF(INDEX('Fleet dates'!$I$9:$I$1008,$I275-8)="","",INDEX('Fleet dates'!$I$9:$I$1008,$I275-8)))</x:f>
      </x:c>
      <x:c r="I275" t="str">
        <x:f>IF(267&gt;$H$4,"",MATCH(267,'Fleet dates'!$L$9:$L$1008,0)+8)</x:f>
      </x:c>
    </x:row>
    <x:row r="276" ht="36" customHeight="1">
      <x:c r="A276" s="50" t="str">
        <x:f>IF(268&gt;$H$4,"",IF(INDEX('Fleet dates'!$A$9:$A$1008,$I276-8)="","",INDEX('Fleet dates'!$A$9:$A$1008,$I276-8)))</x:f>
      </x:c>
      <x:c r="B276" s="50" t="str">
        <x:f>IF(268&gt;$H$4,"",IF(INDEX('Fleet dates'!$B$9:$B$1008,$I276-8)="","",INDEX('Fleet dates'!$B$9:$B$1008,$I276-8)))</x:f>
      </x:c>
      <x:c r="C276" s="51" t="str">
        <x:f>IF(268&gt;$H$4,"",IF(INDEX('Fleet dates'!$C$9:$C$1008,$I276-8)="","",INDEX('Fleet dates'!$C$9:$C$1008,$I276-8)))</x:f>
      </x:c>
      <x:c r="D276" s="51" t="str">
        <x:f>IF(268&gt;$H$4,"",IF(INDEX('Fleet dates'!$D$9:$D$1008,$I276-8)="","",INDEX('Fleet dates'!$D$9:$D$1008,$I276-8)))</x:f>
      </x:c>
      <x:c r="E276" s="51" t="str">
        <x:f>IF(268&gt;$H$4,"",IF(INDEX('Fleet dates'!$E$9:$E$1008,$I276-8)="","",INDEX('Fleet dates'!$E$9:$E$1008,$I276-8)))</x:f>
      </x:c>
      <x:c r="F276" s="51" t="str">
        <x:f>IF(268&gt;$H$4,"",IF(INDEX('Fleet dates'!$F$9:$F$1008,$I276-8)="","",INDEX('Fleet dates'!$F$9:$F$1008,$I276-8)))</x:f>
      </x:c>
      <x:c r="G276" s="50" t="str">
        <x:f>IF(268&gt;$H$4,"",IF(INDEX('Fleet dates'!$G$9:$G$1008,$I276-8)="","",INDEX('Fleet dates'!$G$9:$G$1008,$I276-8)))</x:f>
      </x:c>
      <x:c r="H276" s="50" t="str">
        <x:f>IF(268&gt;$H$4,"",IF(INDEX('Fleet dates'!$I$9:$I$1008,$I276-8)="","",INDEX('Fleet dates'!$I$9:$I$1008,$I276-8)))</x:f>
      </x:c>
      <x:c r="I276" t="str">
        <x:f>IF(268&gt;$H$4,"",MATCH(268,'Fleet dates'!$L$9:$L$1008,0)+8)</x:f>
      </x:c>
    </x:row>
    <x:row r="277" ht="36" customHeight="1">
      <x:c r="A277" s="50" t="str">
        <x:f>IF(269&gt;$H$4,"",IF(INDEX('Fleet dates'!$A$9:$A$1008,$I277-8)="","",INDEX('Fleet dates'!$A$9:$A$1008,$I277-8)))</x:f>
      </x:c>
      <x:c r="B277" s="50" t="str">
        <x:f>IF(269&gt;$H$4,"",IF(INDEX('Fleet dates'!$B$9:$B$1008,$I277-8)="","",INDEX('Fleet dates'!$B$9:$B$1008,$I277-8)))</x:f>
      </x:c>
      <x:c r="C277" s="51" t="str">
        <x:f>IF(269&gt;$H$4,"",IF(INDEX('Fleet dates'!$C$9:$C$1008,$I277-8)="","",INDEX('Fleet dates'!$C$9:$C$1008,$I277-8)))</x:f>
      </x:c>
      <x:c r="D277" s="51" t="str">
        <x:f>IF(269&gt;$H$4,"",IF(INDEX('Fleet dates'!$D$9:$D$1008,$I277-8)="","",INDEX('Fleet dates'!$D$9:$D$1008,$I277-8)))</x:f>
      </x:c>
      <x:c r="E277" s="51" t="str">
        <x:f>IF(269&gt;$H$4,"",IF(INDEX('Fleet dates'!$E$9:$E$1008,$I277-8)="","",INDEX('Fleet dates'!$E$9:$E$1008,$I277-8)))</x:f>
      </x:c>
      <x:c r="F277" s="51" t="str">
        <x:f>IF(269&gt;$H$4,"",IF(INDEX('Fleet dates'!$F$9:$F$1008,$I277-8)="","",INDEX('Fleet dates'!$F$9:$F$1008,$I277-8)))</x:f>
      </x:c>
      <x:c r="G277" s="50" t="str">
        <x:f>IF(269&gt;$H$4,"",IF(INDEX('Fleet dates'!$G$9:$G$1008,$I277-8)="","",INDEX('Fleet dates'!$G$9:$G$1008,$I277-8)))</x:f>
      </x:c>
      <x:c r="H277" s="50" t="str">
        <x:f>IF(269&gt;$H$4,"",IF(INDEX('Fleet dates'!$I$9:$I$1008,$I277-8)="","",INDEX('Fleet dates'!$I$9:$I$1008,$I277-8)))</x:f>
      </x:c>
      <x:c r="I277" t="str">
        <x:f>IF(269&gt;$H$4,"",MATCH(269,'Fleet dates'!$L$9:$L$1008,0)+8)</x:f>
      </x:c>
    </x:row>
    <x:row r="278" ht="36" customHeight="1">
      <x:c r="A278" s="50" t="str">
        <x:f>IF(270&gt;$H$4,"",IF(INDEX('Fleet dates'!$A$9:$A$1008,$I278-8)="","",INDEX('Fleet dates'!$A$9:$A$1008,$I278-8)))</x:f>
      </x:c>
      <x:c r="B278" s="50" t="str">
        <x:f>IF(270&gt;$H$4,"",IF(INDEX('Fleet dates'!$B$9:$B$1008,$I278-8)="","",INDEX('Fleet dates'!$B$9:$B$1008,$I278-8)))</x:f>
      </x:c>
      <x:c r="C278" s="51" t="str">
        <x:f>IF(270&gt;$H$4,"",IF(INDEX('Fleet dates'!$C$9:$C$1008,$I278-8)="","",INDEX('Fleet dates'!$C$9:$C$1008,$I278-8)))</x:f>
      </x:c>
      <x:c r="D278" s="51" t="str">
        <x:f>IF(270&gt;$H$4,"",IF(INDEX('Fleet dates'!$D$9:$D$1008,$I278-8)="","",INDEX('Fleet dates'!$D$9:$D$1008,$I278-8)))</x:f>
      </x:c>
      <x:c r="E278" s="51" t="str">
        <x:f>IF(270&gt;$H$4,"",IF(INDEX('Fleet dates'!$E$9:$E$1008,$I278-8)="","",INDEX('Fleet dates'!$E$9:$E$1008,$I278-8)))</x:f>
      </x:c>
      <x:c r="F278" s="51" t="str">
        <x:f>IF(270&gt;$H$4,"",IF(INDEX('Fleet dates'!$F$9:$F$1008,$I278-8)="","",INDEX('Fleet dates'!$F$9:$F$1008,$I278-8)))</x:f>
      </x:c>
      <x:c r="G278" s="50" t="str">
        <x:f>IF(270&gt;$H$4,"",IF(INDEX('Fleet dates'!$G$9:$G$1008,$I278-8)="","",INDEX('Fleet dates'!$G$9:$G$1008,$I278-8)))</x:f>
      </x:c>
      <x:c r="H278" s="50" t="str">
        <x:f>IF(270&gt;$H$4,"",IF(INDEX('Fleet dates'!$I$9:$I$1008,$I278-8)="","",INDEX('Fleet dates'!$I$9:$I$1008,$I278-8)))</x:f>
      </x:c>
      <x:c r="I278" t="str">
        <x:f>IF(270&gt;$H$4,"",MATCH(270,'Fleet dates'!$L$9:$L$1008,0)+8)</x:f>
      </x:c>
    </x:row>
    <x:row r="279" ht="36" customHeight="1">
      <x:c r="A279" s="50" t="str">
        <x:f>IF(271&gt;$H$4,"",IF(INDEX('Fleet dates'!$A$9:$A$1008,$I279-8)="","",INDEX('Fleet dates'!$A$9:$A$1008,$I279-8)))</x:f>
      </x:c>
      <x:c r="B279" s="50" t="str">
        <x:f>IF(271&gt;$H$4,"",IF(INDEX('Fleet dates'!$B$9:$B$1008,$I279-8)="","",INDEX('Fleet dates'!$B$9:$B$1008,$I279-8)))</x:f>
      </x:c>
      <x:c r="C279" s="51" t="str">
        <x:f>IF(271&gt;$H$4,"",IF(INDEX('Fleet dates'!$C$9:$C$1008,$I279-8)="","",INDEX('Fleet dates'!$C$9:$C$1008,$I279-8)))</x:f>
      </x:c>
      <x:c r="D279" s="51" t="str">
        <x:f>IF(271&gt;$H$4,"",IF(INDEX('Fleet dates'!$D$9:$D$1008,$I279-8)="","",INDEX('Fleet dates'!$D$9:$D$1008,$I279-8)))</x:f>
      </x:c>
      <x:c r="E279" s="51" t="str">
        <x:f>IF(271&gt;$H$4,"",IF(INDEX('Fleet dates'!$E$9:$E$1008,$I279-8)="","",INDEX('Fleet dates'!$E$9:$E$1008,$I279-8)))</x:f>
      </x:c>
      <x:c r="F279" s="51" t="str">
        <x:f>IF(271&gt;$H$4,"",IF(INDEX('Fleet dates'!$F$9:$F$1008,$I279-8)="","",INDEX('Fleet dates'!$F$9:$F$1008,$I279-8)))</x:f>
      </x:c>
      <x:c r="G279" s="50" t="str">
        <x:f>IF(271&gt;$H$4,"",IF(INDEX('Fleet dates'!$G$9:$G$1008,$I279-8)="","",INDEX('Fleet dates'!$G$9:$G$1008,$I279-8)))</x:f>
      </x:c>
      <x:c r="H279" s="50" t="str">
        <x:f>IF(271&gt;$H$4,"",IF(INDEX('Fleet dates'!$I$9:$I$1008,$I279-8)="","",INDEX('Fleet dates'!$I$9:$I$1008,$I279-8)))</x:f>
      </x:c>
      <x:c r="I279" t="str">
        <x:f>IF(271&gt;$H$4,"",MATCH(271,'Fleet dates'!$L$9:$L$1008,0)+8)</x:f>
      </x:c>
    </x:row>
    <x:row r="280" ht="36" customHeight="1">
      <x:c r="A280" s="50" t="str">
        <x:f>IF(272&gt;$H$4,"",IF(INDEX('Fleet dates'!$A$9:$A$1008,$I280-8)="","",INDEX('Fleet dates'!$A$9:$A$1008,$I280-8)))</x:f>
      </x:c>
      <x:c r="B280" s="50" t="str">
        <x:f>IF(272&gt;$H$4,"",IF(INDEX('Fleet dates'!$B$9:$B$1008,$I280-8)="","",INDEX('Fleet dates'!$B$9:$B$1008,$I280-8)))</x:f>
      </x:c>
      <x:c r="C280" s="51" t="str">
        <x:f>IF(272&gt;$H$4,"",IF(INDEX('Fleet dates'!$C$9:$C$1008,$I280-8)="","",INDEX('Fleet dates'!$C$9:$C$1008,$I280-8)))</x:f>
      </x:c>
      <x:c r="D280" s="51" t="str">
        <x:f>IF(272&gt;$H$4,"",IF(INDEX('Fleet dates'!$D$9:$D$1008,$I280-8)="","",INDEX('Fleet dates'!$D$9:$D$1008,$I280-8)))</x:f>
      </x:c>
      <x:c r="E280" s="51" t="str">
        <x:f>IF(272&gt;$H$4,"",IF(INDEX('Fleet dates'!$E$9:$E$1008,$I280-8)="","",INDEX('Fleet dates'!$E$9:$E$1008,$I280-8)))</x:f>
      </x:c>
      <x:c r="F280" s="51" t="str">
        <x:f>IF(272&gt;$H$4,"",IF(INDEX('Fleet dates'!$F$9:$F$1008,$I280-8)="","",INDEX('Fleet dates'!$F$9:$F$1008,$I280-8)))</x:f>
      </x:c>
      <x:c r="G280" s="50" t="str">
        <x:f>IF(272&gt;$H$4,"",IF(INDEX('Fleet dates'!$G$9:$G$1008,$I280-8)="","",INDEX('Fleet dates'!$G$9:$G$1008,$I280-8)))</x:f>
      </x:c>
      <x:c r="H280" s="50" t="str">
        <x:f>IF(272&gt;$H$4,"",IF(INDEX('Fleet dates'!$I$9:$I$1008,$I280-8)="","",INDEX('Fleet dates'!$I$9:$I$1008,$I280-8)))</x:f>
      </x:c>
      <x:c r="I280" t="str">
        <x:f>IF(272&gt;$H$4,"",MATCH(272,'Fleet dates'!$L$9:$L$1008,0)+8)</x:f>
      </x:c>
    </x:row>
    <x:row r="281" ht="36" customHeight="1">
      <x:c r="A281" s="50" t="str">
        <x:f>IF(273&gt;$H$4,"",IF(INDEX('Fleet dates'!$A$9:$A$1008,$I281-8)="","",INDEX('Fleet dates'!$A$9:$A$1008,$I281-8)))</x:f>
      </x:c>
      <x:c r="B281" s="50" t="str">
        <x:f>IF(273&gt;$H$4,"",IF(INDEX('Fleet dates'!$B$9:$B$1008,$I281-8)="","",INDEX('Fleet dates'!$B$9:$B$1008,$I281-8)))</x:f>
      </x:c>
      <x:c r="C281" s="51" t="str">
        <x:f>IF(273&gt;$H$4,"",IF(INDEX('Fleet dates'!$C$9:$C$1008,$I281-8)="","",INDEX('Fleet dates'!$C$9:$C$1008,$I281-8)))</x:f>
      </x:c>
      <x:c r="D281" s="51" t="str">
        <x:f>IF(273&gt;$H$4,"",IF(INDEX('Fleet dates'!$D$9:$D$1008,$I281-8)="","",INDEX('Fleet dates'!$D$9:$D$1008,$I281-8)))</x:f>
      </x:c>
      <x:c r="E281" s="51" t="str">
        <x:f>IF(273&gt;$H$4,"",IF(INDEX('Fleet dates'!$E$9:$E$1008,$I281-8)="","",INDEX('Fleet dates'!$E$9:$E$1008,$I281-8)))</x:f>
      </x:c>
      <x:c r="F281" s="51" t="str">
        <x:f>IF(273&gt;$H$4,"",IF(INDEX('Fleet dates'!$F$9:$F$1008,$I281-8)="","",INDEX('Fleet dates'!$F$9:$F$1008,$I281-8)))</x:f>
      </x:c>
      <x:c r="G281" s="50" t="str">
        <x:f>IF(273&gt;$H$4,"",IF(INDEX('Fleet dates'!$G$9:$G$1008,$I281-8)="","",INDEX('Fleet dates'!$G$9:$G$1008,$I281-8)))</x:f>
      </x:c>
      <x:c r="H281" s="50" t="str">
        <x:f>IF(273&gt;$H$4,"",IF(INDEX('Fleet dates'!$I$9:$I$1008,$I281-8)="","",INDEX('Fleet dates'!$I$9:$I$1008,$I281-8)))</x:f>
      </x:c>
      <x:c r="I281" t="str">
        <x:f>IF(273&gt;$H$4,"",MATCH(273,'Fleet dates'!$L$9:$L$1008,0)+8)</x:f>
      </x:c>
    </x:row>
    <x:row r="282" ht="36" customHeight="1">
      <x:c r="A282" s="50" t="str">
        <x:f>IF(274&gt;$H$4,"",IF(INDEX('Fleet dates'!$A$9:$A$1008,$I282-8)="","",INDEX('Fleet dates'!$A$9:$A$1008,$I282-8)))</x:f>
      </x:c>
      <x:c r="B282" s="50" t="str">
        <x:f>IF(274&gt;$H$4,"",IF(INDEX('Fleet dates'!$B$9:$B$1008,$I282-8)="","",INDEX('Fleet dates'!$B$9:$B$1008,$I282-8)))</x:f>
      </x:c>
      <x:c r="C282" s="51" t="str">
        <x:f>IF(274&gt;$H$4,"",IF(INDEX('Fleet dates'!$C$9:$C$1008,$I282-8)="","",INDEX('Fleet dates'!$C$9:$C$1008,$I282-8)))</x:f>
      </x:c>
      <x:c r="D282" s="51" t="str">
        <x:f>IF(274&gt;$H$4,"",IF(INDEX('Fleet dates'!$D$9:$D$1008,$I282-8)="","",INDEX('Fleet dates'!$D$9:$D$1008,$I282-8)))</x:f>
      </x:c>
      <x:c r="E282" s="51" t="str">
        <x:f>IF(274&gt;$H$4,"",IF(INDEX('Fleet dates'!$E$9:$E$1008,$I282-8)="","",INDEX('Fleet dates'!$E$9:$E$1008,$I282-8)))</x:f>
      </x:c>
      <x:c r="F282" s="51" t="str">
        <x:f>IF(274&gt;$H$4,"",IF(INDEX('Fleet dates'!$F$9:$F$1008,$I282-8)="","",INDEX('Fleet dates'!$F$9:$F$1008,$I282-8)))</x:f>
      </x:c>
      <x:c r="G282" s="50" t="str">
        <x:f>IF(274&gt;$H$4,"",IF(INDEX('Fleet dates'!$G$9:$G$1008,$I282-8)="","",INDEX('Fleet dates'!$G$9:$G$1008,$I282-8)))</x:f>
      </x:c>
      <x:c r="H282" s="50" t="str">
        <x:f>IF(274&gt;$H$4,"",IF(INDEX('Fleet dates'!$I$9:$I$1008,$I282-8)="","",INDEX('Fleet dates'!$I$9:$I$1008,$I282-8)))</x:f>
      </x:c>
      <x:c r="I282" t="str">
        <x:f>IF(274&gt;$H$4,"",MATCH(274,'Fleet dates'!$L$9:$L$1008,0)+8)</x:f>
      </x:c>
    </x:row>
    <x:row r="283" ht="36" customHeight="1">
      <x:c r="A283" s="50" t="str">
        <x:f>IF(275&gt;$H$4,"",IF(INDEX('Fleet dates'!$A$9:$A$1008,$I283-8)="","",INDEX('Fleet dates'!$A$9:$A$1008,$I283-8)))</x:f>
      </x:c>
      <x:c r="B283" s="50" t="str">
        <x:f>IF(275&gt;$H$4,"",IF(INDEX('Fleet dates'!$B$9:$B$1008,$I283-8)="","",INDEX('Fleet dates'!$B$9:$B$1008,$I283-8)))</x:f>
      </x:c>
      <x:c r="C283" s="51" t="str">
        <x:f>IF(275&gt;$H$4,"",IF(INDEX('Fleet dates'!$C$9:$C$1008,$I283-8)="","",INDEX('Fleet dates'!$C$9:$C$1008,$I283-8)))</x:f>
      </x:c>
      <x:c r="D283" s="51" t="str">
        <x:f>IF(275&gt;$H$4,"",IF(INDEX('Fleet dates'!$D$9:$D$1008,$I283-8)="","",INDEX('Fleet dates'!$D$9:$D$1008,$I283-8)))</x:f>
      </x:c>
      <x:c r="E283" s="51" t="str">
        <x:f>IF(275&gt;$H$4,"",IF(INDEX('Fleet dates'!$E$9:$E$1008,$I283-8)="","",INDEX('Fleet dates'!$E$9:$E$1008,$I283-8)))</x:f>
      </x:c>
      <x:c r="F283" s="51" t="str">
        <x:f>IF(275&gt;$H$4,"",IF(INDEX('Fleet dates'!$F$9:$F$1008,$I283-8)="","",INDEX('Fleet dates'!$F$9:$F$1008,$I283-8)))</x:f>
      </x:c>
      <x:c r="G283" s="50" t="str">
        <x:f>IF(275&gt;$H$4,"",IF(INDEX('Fleet dates'!$G$9:$G$1008,$I283-8)="","",INDEX('Fleet dates'!$G$9:$G$1008,$I283-8)))</x:f>
      </x:c>
      <x:c r="H283" s="50" t="str">
        <x:f>IF(275&gt;$H$4,"",IF(INDEX('Fleet dates'!$I$9:$I$1008,$I283-8)="","",INDEX('Fleet dates'!$I$9:$I$1008,$I283-8)))</x:f>
      </x:c>
      <x:c r="I283" t="str">
        <x:f>IF(275&gt;$H$4,"",MATCH(275,'Fleet dates'!$L$9:$L$1008,0)+8)</x:f>
      </x:c>
    </x:row>
    <x:row r="284" ht="36" customHeight="1">
      <x:c r="A284" s="50" t="str">
        <x:f>IF(276&gt;$H$4,"",IF(INDEX('Fleet dates'!$A$9:$A$1008,$I284-8)="","",INDEX('Fleet dates'!$A$9:$A$1008,$I284-8)))</x:f>
      </x:c>
      <x:c r="B284" s="50" t="str">
        <x:f>IF(276&gt;$H$4,"",IF(INDEX('Fleet dates'!$B$9:$B$1008,$I284-8)="","",INDEX('Fleet dates'!$B$9:$B$1008,$I284-8)))</x:f>
      </x:c>
      <x:c r="C284" s="51" t="str">
        <x:f>IF(276&gt;$H$4,"",IF(INDEX('Fleet dates'!$C$9:$C$1008,$I284-8)="","",INDEX('Fleet dates'!$C$9:$C$1008,$I284-8)))</x:f>
      </x:c>
      <x:c r="D284" s="51" t="str">
        <x:f>IF(276&gt;$H$4,"",IF(INDEX('Fleet dates'!$D$9:$D$1008,$I284-8)="","",INDEX('Fleet dates'!$D$9:$D$1008,$I284-8)))</x:f>
      </x:c>
      <x:c r="E284" s="51" t="str">
        <x:f>IF(276&gt;$H$4,"",IF(INDEX('Fleet dates'!$E$9:$E$1008,$I284-8)="","",INDEX('Fleet dates'!$E$9:$E$1008,$I284-8)))</x:f>
      </x:c>
      <x:c r="F284" s="51" t="str">
        <x:f>IF(276&gt;$H$4,"",IF(INDEX('Fleet dates'!$F$9:$F$1008,$I284-8)="","",INDEX('Fleet dates'!$F$9:$F$1008,$I284-8)))</x:f>
      </x:c>
      <x:c r="G284" s="50" t="str">
        <x:f>IF(276&gt;$H$4,"",IF(INDEX('Fleet dates'!$G$9:$G$1008,$I284-8)="","",INDEX('Fleet dates'!$G$9:$G$1008,$I284-8)))</x:f>
      </x:c>
      <x:c r="H284" s="50" t="str">
        <x:f>IF(276&gt;$H$4,"",IF(INDEX('Fleet dates'!$I$9:$I$1008,$I284-8)="","",INDEX('Fleet dates'!$I$9:$I$1008,$I284-8)))</x:f>
      </x:c>
      <x:c r="I284" t="str">
        <x:f>IF(276&gt;$H$4,"",MATCH(276,'Fleet dates'!$L$9:$L$1008,0)+8)</x:f>
      </x:c>
    </x:row>
    <x:row r="285" ht="36" customHeight="1">
      <x:c r="A285" s="50" t="str">
        <x:f>IF(277&gt;$H$4,"",IF(INDEX('Fleet dates'!$A$9:$A$1008,$I285-8)="","",INDEX('Fleet dates'!$A$9:$A$1008,$I285-8)))</x:f>
      </x:c>
      <x:c r="B285" s="50" t="str">
        <x:f>IF(277&gt;$H$4,"",IF(INDEX('Fleet dates'!$B$9:$B$1008,$I285-8)="","",INDEX('Fleet dates'!$B$9:$B$1008,$I285-8)))</x:f>
      </x:c>
      <x:c r="C285" s="51" t="str">
        <x:f>IF(277&gt;$H$4,"",IF(INDEX('Fleet dates'!$C$9:$C$1008,$I285-8)="","",INDEX('Fleet dates'!$C$9:$C$1008,$I285-8)))</x:f>
      </x:c>
      <x:c r="D285" s="51" t="str">
        <x:f>IF(277&gt;$H$4,"",IF(INDEX('Fleet dates'!$D$9:$D$1008,$I285-8)="","",INDEX('Fleet dates'!$D$9:$D$1008,$I285-8)))</x:f>
      </x:c>
      <x:c r="E285" s="51" t="str">
        <x:f>IF(277&gt;$H$4,"",IF(INDEX('Fleet dates'!$E$9:$E$1008,$I285-8)="","",INDEX('Fleet dates'!$E$9:$E$1008,$I285-8)))</x:f>
      </x:c>
      <x:c r="F285" s="51" t="str">
        <x:f>IF(277&gt;$H$4,"",IF(INDEX('Fleet dates'!$F$9:$F$1008,$I285-8)="","",INDEX('Fleet dates'!$F$9:$F$1008,$I285-8)))</x:f>
      </x:c>
      <x:c r="G285" s="50" t="str">
        <x:f>IF(277&gt;$H$4,"",IF(INDEX('Fleet dates'!$G$9:$G$1008,$I285-8)="","",INDEX('Fleet dates'!$G$9:$G$1008,$I285-8)))</x:f>
      </x:c>
      <x:c r="H285" s="50" t="str">
        <x:f>IF(277&gt;$H$4,"",IF(INDEX('Fleet dates'!$I$9:$I$1008,$I285-8)="","",INDEX('Fleet dates'!$I$9:$I$1008,$I285-8)))</x:f>
      </x:c>
      <x:c r="I285" t="str">
        <x:f>IF(277&gt;$H$4,"",MATCH(277,'Fleet dates'!$L$9:$L$1008,0)+8)</x:f>
      </x:c>
    </x:row>
    <x:row r="286" ht="36" customHeight="1">
      <x:c r="A286" s="50" t="str">
        <x:f>IF(278&gt;$H$4,"",IF(INDEX('Fleet dates'!$A$9:$A$1008,$I286-8)="","",INDEX('Fleet dates'!$A$9:$A$1008,$I286-8)))</x:f>
      </x:c>
      <x:c r="B286" s="50" t="str">
        <x:f>IF(278&gt;$H$4,"",IF(INDEX('Fleet dates'!$B$9:$B$1008,$I286-8)="","",INDEX('Fleet dates'!$B$9:$B$1008,$I286-8)))</x:f>
      </x:c>
      <x:c r="C286" s="51" t="str">
        <x:f>IF(278&gt;$H$4,"",IF(INDEX('Fleet dates'!$C$9:$C$1008,$I286-8)="","",INDEX('Fleet dates'!$C$9:$C$1008,$I286-8)))</x:f>
      </x:c>
      <x:c r="D286" s="51" t="str">
        <x:f>IF(278&gt;$H$4,"",IF(INDEX('Fleet dates'!$D$9:$D$1008,$I286-8)="","",INDEX('Fleet dates'!$D$9:$D$1008,$I286-8)))</x:f>
      </x:c>
      <x:c r="E286" s="51" t="str">
        <x:f>IF(278&gt;$H$4,"",IF(INDEX('Fleet dates'!$E$9:$E$1008,$I286-8)="","",INDEX('Fleet dates'!$E$9:$E$1008,$I286-8)))</x:f>
      </x:c>
      <x:c r="F286" s="51" t="str">
        <x:f>IF(278&gt;$H$4,"",IF(INDEX('Fleet dates'!$F$9:$F$1008,$I286-8)="","",INDEX('Fleet dates'!$F$9:$F$1008,$I286-8)))</x:f>
      </x:c>
      <x:c r="G286" s="50" t="str">
        <x:f>IF(278&gt;$H$4,"",IF(INDEX('Fleet dates'!$G$9:$G$1008,$I286-8)="","",INDEX('Fleet dates'!$G$9:$G$1008,$I286-8)))</x:f>
      </x:c>
      <x:c r="H286" s="50" t="str">
        <x:f>IF(278&gt;$H$4,"",IF(INDEX('Fleet dates'!$I$9:$I$1008,$I286-8)="","",INDEX('Fleet dates'!$I$9:$I$1008,$I286-8)))</x:f>
      </x:c>
      <x:c r="I286" t="str">
        <x:f>IF(278&gt;$H$4,"",MATCH(278,'Fleet dates'!$L$9:$L$1008,0)+8)</x:f>
      </x:c>
    </x:row>
    <x:row r="287" ht="36" customHeight="1">
      <x:c r="A287" s="50" t="str">
        <x:f>IF(279&gt;$H$4,"",IF(INDEX('Fleet dates'!$A$9:$A$1008,$I287-8)="","",INDEX('Fleet dates'!$A$9:$A$1008,$I287-8)))</x:f>
      </x:c>
      <x:c r="B287" s="50" t="str">
        <x:f>IF(279&gt;$H$4,"",IF(INDEX('Fleet dates'!$B$9:$B$1008,$I287-8)="","",INDEX('Fleet dates'!$B$9:$B$1008,$I287-8)))</x:f>
      </x:c>
      <x:c r="C287" s="51" t="str">
        <x:f>IF(279&gt;$H$4,"",IF(INDEX('Fleet dates'!$C$9:$C$1008,$I287-8)="","",INDEX('Fleet dates'!$C$9:$C$1008,$I287-8)))</x:f>
      </x:c>
      <x:c r="D287" s="51" t="str">
        <x:f>IF(279&gt;$H$4,"",IF(INDEX('Fleet dates'!$D$9:$D$1008,$I287-8)="","",INDEX('Fleet dates'!$D$9:$D$1008,$I287-8)))</x:f>
      </x:c>
      <x:c r="E287" s="51" t="str">
        <x:f>IF(279&gt;$H$4,"",IF(INDEX('Fleet dates'!$E$9:$E$1008,$I287-8)="","",INDEX('Fleet dates'!$E$9:$E$1008,$I287-8)))</x:f>
      </x:c>
      <x:c r="F287" s="51" t="str">
        <x:f>IF(279&gt;$H$4,"",IF(INDEX('Fleet dates'!$F$9:$F$1008,$I287-8)="","",INDEX('Fleet dates'!$F$9:$F$1008,$I287-8)))</x:f>
      </x:c>
      <x:c r="G287" s="50" t="str">
        <x:f>IF(279&gt;$H$4,"",IF(INDEX('Fleet dates'!$G$9:$G$1008,$I287-8)="","",INDEX('Fleet dates'!$G$9:$G$1008,$I287-8)))</x:f>
      </x:c>
      <x:c r="H287" s="50" t="str">
        <x:f>IF(279&gt;$H$4,"",IF(INDEX('Fleet dates'!$I$9:$I$1008,$I287-8)="","",INDEX('Fleet dates'!$I$9:$I$1008,$I287-8)))</x:f>
      </x:c>
      <x:c r="I287" t="str">
        <x:f>IF(279&gt;$H$4,"",MATCH(279,'Fleet dates'!$L$9:$L$1008,0)+8)</x:f>
      </x:c>
    </x:row>
    <x:row r="288" ht="36" customHeight="1">
      <x:c r="A288" s="50" t="str">
        <x:f>IF(280&gt;$H$4,"",IF(INDEX('Fleet dates'!$A$9:$A$1008,$I288-8)="","",INDEX('Fleet dates'!$A$9:$A$1008,$I288-8)))</x:f>
      </x:c>
      <x:c r="B288" s="50" t="str">
        <x:f>IF(280&gt;$H$4,"",IF(INDEX('Fleet dates'!$B$9:$B$1008,$I288-8)="","",INDEX('Fleet dates'!$B$9:$B$1008,$I288-8)))</x:f>
      </x:c>
      <x:c r="C288" s="51" t="str">
        <x:f>IF(280&gt;$H$4,"",IF(INDEX('Fleet dates'!$C$9:$C$1008,$I288-8)="","",INDEX('Fleet dates'!$C$9:$C$1008,$I288-8)))</x:f>
      </x:c>
      <x:c r="D288" s="51" t="str">
        <x:f>IF(280&gt;$H$4,"",IF(INDEX('Fleet dates'!$D$9:$D$1008,$I288-8)="","",INDEX('Fleet dates'!$D$9:$D$1008,$I288-8)))</x:f>
      </x:c>
      <x:c r="E288" s="51" t="str">
        <x:f>IF(280&gt;$H$4,"",IF(INDEX('Fleet dates'!$E$9:$E$1008,$I288-8)="","",INDEX('Fleet dates'!$E$9:$E$1008,$I288-8)))</x:f>
      </x:c>
      <x:c r="F288" s="51" t="str">
        <x:f>IF(280&gt;$H$4,"",IF(INDEX('Fleet dates'!$F$9:$F$1008,$I288-8)="","",INDEX('Fleet dates'!$F$9:$F$1008,$I288-8)))</x:f>
      </x:c>
      <x:c r="G288" s="50" t="str">
        <x:f>IF(280&gt;$H$4,"",IF(INDEX('Fleet dates'!$G$9:$G$1008,$I288-8)="","",INDEX('Fleet dates'!$G$9:$G$1008,$I288-8)))</x:f>
      </x:c>
      <x:c r="H288" s="50" t="str">
        <x:f>IF(280&gt;$H$4,"",IF(INDEX('Fleet dates'!$I$9:$I$1008,$I288-8)="","",INDEX('Fleet dates'!$I$9:$I$1008,$I288-8)))</x:f>
      </x:c>
      <x:c r="I288" t="str">
        <x:f>IF(280&gt;$H$4,"",MATCH(280,'Fleet dates'!$L$9:$L$1008,0)+8)</x:f>
      </x:c>
    </x:row>
    <x:row r="289" ht="36" customHeight="1">
      <x:c r="A289" s="50" t="str">
        <x:f>IF(281&gt;$H$4,"",IF(INDEX('Fleet dates'!$A$9:$A$1008,$I289-8)="","",INDEX('Fleet dates'!$A$9:$A$1008,$I289-8)))</x:f>
      </x:c>
      <x:c r="B289" s="50" t="str">
        <x:f>IF(281&gt;$H$4,"",IF(INDEX('Fleet dates'!$B$9:$B$1008,$I289-8)="","",INDEX('Fleet dates'!$B$9:$B$1008,$I289-8)))</x:f>
      </x:c>
      <x:c r="C289" s="51" t="str">
        <x:f>IF(281&gt;$H$4,"",IF(INDEX('Fleet dates'!$C$9:$C$1008,$I289-8)="","",INDEX('Fleet dates'!$C$9:$C$1008,$I289-8)))</x:f>
      </x:c>
      <x:c r="D289" s="51" t="str">
        <x:f>IF(281&gt;$H$4,"",IF(INDEX('Fleet dates'!$D$9:$D$1008,$I289-8)="","",INDEX('Fleet dates'!$D$9:$D$1008,$I289-8)))</x:f>
      </x:c>
      <x:c r="E289" s="51" t="str">
        <x:f>IF(281&gt;$H$4,"",IF(INDEX('Fleet dates'!$E$9:$E$1008,$I289-8)="","",INDEX('Fleet dates'!$E$9:$E$1008,$I289-8)))</x:f>
      </x:c>
      <x:c r="F289" s="51" t="str">
        <x:f>IF(281&gt;$H$4,"",IF(INDEX('Fleet dates'!$F$9:$F$1008,$I289-8)="","",INDEX('Fleet dates'!$F$9:$F$1008,$I289-8)))</x:f>
      </x:c>
      <x:c r="G289" s="50" t="str">
        <x:f>IF(281&gt;$H$4,"",IF(INDEX('Fleet dates'!$G$9:$G$1008,$I289-8)="","",INDEX('Fleet dates'!$G$9:$G$1008,$I289-8)))</x:f>
      </x:c>
      <x:c r="H289" s="50" t="str">
        <x:f>IF(281&gt;$H$4,"",IF(INDEX('Fleet dates'!$I$9:$I$1008,$I289-8)="","",INDEX('Fleet dates'!$I$9:$I$1008,$I289-8)))</x:f>
      </x:c>
      <x:c r="I289" t="str">
        <x:f>IF(281&gt;$H$4,"",MATCH(281,'Fleet dates'!$L$9:$L$1008,0)+8)</x:f>
      </x:c>
    </x:row>
    <x:row r="290" ht="36" customHeight="1">
      <x:c r="A290" s="50" t="str">
        <x:f>IF(282&gt;$H$4,"",IF(INDEX('Fleet dates'!$A$9:$A$1008,$I290-8)="","",INDEX('Fleet dates'!$A$9:$A$1008,$I290-8)))</x:f>
      </x:c>
      <x:c r="B290" s="50" t="str">
        <x:f>IF(282&gt;$H$4,"",IF(INDEX('Fleet dates'!$B$9:$B$1008,$I290-8)="","",INDEX('Fleet dates'!$B$9:$B$1008,$I290-8)))</x:f>
      </x:c>
      <x:c r="C290" s="51" t="str">
        <x:f>IF(282&gt;$H$4,"",IF(INDEX('Fleet dates'!$C$9:$C$1008,$I290-8)="","",INDEX('Fleet dates'!$C$9:$C$1008,$I290-8)))</x:f>
      </x:c>
      <x:c r="D290" s="51" t="str">
        <x:f>IF(282&gt;$H$4,"",IF(INDEX('Fleet dates'!$D$9:$D$1008,$I290-8)="","",INDEX('Fleet dates'!$D$9:$D$1008,$I290-8)))</x:f>
      </x:c>
      <x:c r="E290" s="51" t="str">
        <x:f>IF(282&gt;$H$4,"",IF(INDEX('Fleet dates'!$E$9:$E$1008,$I290-8)="","",INDEX('Fleet dates'!$E$9:$E$1008,$I290-8)))</x:f>
      </x:c>
      <x:c r="F290" s="51" t="str">
        <x:f>IF(282&gt;$H$4,"",IF(INDEX('Fleet dates'!$F$9:$F$1008,$I290-8)="","",INDEX('Fleet dates'!$F$9:$F$1008,$I290-8)))</x:f>
      </x:c>
      <x:c r="G290" s="50" t="str">
        <x:f>IF(282&gt;$H$4,"",IF(INDEX('Fleet dates'!$G$9:$G$1008,$I290-8)="","",INDEX('Fleet dates'!$G$9:$G$1008,$I290-8)))</x:f>
      </x:c>
      <x:c r="H290" s="50" t="str">
        <x:f>IF(282&gt;$H$4,"",IF(INDEX('Fleet dates'!$I$9:$I$1008,$I290-8)="","",INDEX('Fleet dates'!$I$9:$I$1008,$I290-8)))</x:f>
      </x:c>
      <x:c r="I290" t="str">
        <x:f>IF(282&gt;$H$4,"",MATCH(282,'Fleet dates'!$L$9:$L$1008,0)+8)</x:f>
      </x:c>
    </x:row>
    <x:row r="291" ht="36" customHeight="1">
      <x:c r="A291" s="50" t="str">
        <x:f>IF(283&gt;$H$4,"",IF(INDEX('Fleet dates'!$A$9:$A$1008,$I291-8)="","",INDEX('Fleet dates'!$A$9:$A$1008,$I291-8)))</x:f>
      </x:c>
      <x:c r="B291" s="50" t="str">
        <x:f>IF(283&gt;$H$4,"",IF(INDEX('Fleet dates'!$B$9:$B$1008,$I291-8)="","",INDEX('Fleet dates'!$B$9:$B$1008,$I291-8)))</x:f>
      </x:c>
      <x:c r="C291" s="51" t="str">
        <x:f>IF(283&gt;$H$4,"",IF(INDEX('Fleet dates'!$C$9:$C$1008,$I291-8)="","",INDEX('Fleet dates'!$C$9:$C$1008,$I291-8)))</x:f>
      </x:c>
      <x:c r="D291" s="51" t="str">
        <x:f>IF(283&gt;$H$4,"",IF(INDEX('Fleet dates'!$D$9:$D$1008,$I291-8)="","",INDEX('Fleet dates'!$D$9:$D$1008,$I291-8)))</x:f>
      </x:c>
      <x:c r="E291" s="51" t="str">
        <x:f>IF(283&gt;$H$4,"",IF(INDEX('Fleet dates'!$E$9:$E$1008,$I291-8)="","",INDEX('Fleet dates'!$E$9:$E$1008,$I291-8)))</x:f>
      </x:c>
      <x:c r="F291" s="51" t="str">
        <x:f>IF(283&gt;$H$4,"",IF(INDEX('Fleet dates'!$F$9:$F$1008,$I291-8)="","",INDEX('Fleet dates'!$F$9:$F$1008,$I291-8)))</x:f>
      </x:c>
      <x:c r="G291" s="50" t="str">
        <x:f>IF(283&gt;$H$4,"",IF(INDEX('Fleet dates'!$G$9:$G$1008,$I291-8)="","",INDEX('Fleet dates'!$G$9:$G$1008,$I291-8)))</x:f>
      </x:c>
      <x:c r="H291" s="50" t="str">
        <x:f>IF(283&gt;$H$4,"",IF(INDEX('Fleet dates'!$I$9:$I$1008,$I291-8)="","",INDEX('Fleet dates'!$I$9:$I$1008,$I291-8)))</x:f>
      </x:c>
      <x:c r="I291" t="str">
        <x:f>IF(283&gt;$H$4,"",MATCH(283,'Fleet dates'!$L$9:$L$1008,0)+8)</x:f>
      </x:c>
    </x:row>
    <x:row r="292" ht="36" customHeight="1">
      <x:c r="A292" s="50" t="str">
        <x:f>IF(284&gt;$H$4,"",IF(INDEX('Fleet dates'!$A$9:$A$1008,$I292-8)="","",INDEX('Fleet dates'!$A$9:$A$1008,$I292-8)))</x:f>
      </x:c>
      <x:c r="B292" s="50" t="str">
        <x:f>IF(284&gt;$H$4,"",IF(INDEX('Fleet dates'!$B$9:$B$1008,$I292-8)="","",INDEX('Fleet dates'!$B$9:$B$1008,$I292-8)))</x:f>
      </x:c>
      <x:c r="C292" s="51" t="str">
        <x:f>IF(284&gt;$H$4,"",IF(INDEX('Fleet dates'!$C$9:$C$1008,$I292-8)="","",INDEX('Fleet dates'!$C$9:$C$1008,$I292-8)))</x:f>
      </x:c>
      <x:c r="D292" s="51" t="str">
        <x:f>IF(284&gt;$H$4,"",IF(INDEX('Fleet dates'!$D$9:$D$1008,$I292-8)="","",INDEX('Fleet dates'!$D$9:$D$1008,$I292-8)))</x:f>
      </x:c>
      <x:c r="E292" s="51" t="str">
        <x:f>IF(284&gt;$H$4,"",IF(INDEX('Fleet dates'!$E$9:$E$1008,$I292-8)="","",INDEX('Fleet dates'!$E$9:$E$1008,$I292-8)))</x:f>
      </x:c>
      <x:c r="F292" s="51" t="str">
        <x:f>IF(284&gt;$H$4,"",IF(INDEX('Fleet dates'!$F$9:$F$1008,$I292-8)="","",INDEX('Fleet dates'!$F$9:$F$1008,$I292-8)))</x:f>
      </x:c>
      <x:c r="G292" s="50" t="str">
        <x:f>IF(284&gt;$H$4,"",IF(INDEX('Fleet dates'!$G$9:$G$1008,$I292-8)="","",INDEX('Fleet dates'!$G$9:$G$1008,$I292-8)))</x:f>
      </x:c>
      <x:c r="H292" s="50" t="str">
        <x:f>IF(284&gt;$H$4,"",IF(INDEX('Fleet dates'!$I$9:$I$1008,$I292-8)="","",INDEX('Fleet dates'!$I$9:$I$1008,$I292-8)))</x:f>
      </x:c>
      <x:c r="I292" t="str">
        <x:f>IF(284&gt;$H$4,"",MATCH(284,'Fleet dates'!$L$9:$L$1008,0)+8)</x:f>
      </x:c>
    </x:row>
    <x:row r="293" ht="36" customHeight="1">
      <x:c r="A293" s="50" t="str">
        <x:f>IF(285&gt;$H$4,"",IF(INDEX('Fleet dates'!$A$9:$A$1008,$I293-8)="","",INDEX('Fleet dates'!$A$9:$A$1008,$I293-8)))</x:f>
      </x:c>
      <x:c r="B293" s="50" t="str">
        <x:f>IF(285&gt;$H$4,"",IF(INDEX('Fleet dates'!$B$9:$B$1008,$I293-8)="","",INDEX('Fleet dates'!$B$9:$B$1008,$I293-8)))</x:f>
      </x:c>
      <x:c r="C293" s="51" t="str">
        <x:f>IF(285&gt;$H$4,"",IF(INDEX('Fleet dates'!$C$9:$C$1008,$I293-8)="","",INDEX('Fleet dates'!$C$9:$C$1008,$I293-8)))</x:f>
      </x:c>
      <x:c r="D293" s="51" t="str">
        <x:f>IF(285&gt;$H$4,"",IF(INDEX('Fleet dates'!$D$9:$D$1008,$I293-8)="","",INDEX('Fleet dates'!$D$9:$D$1008,$I293-8)))</x:f>
      </x:c>
      <x:c r="E293" s="51" t="str">
        <x:f>IF(285&gt;$H$4,"",IF(INDEX('Fleet dates'!$E$9:$E$1008,$I293-8)="","",INDEX('Fleet dates'!$E$9:$E$1008,$I293-8)))</x:f>
      </x:c>
      <x:c r="F293" s="51" t="str">
        <x:f>IF(285&gt;$H$4,"",IF(INDEX('Fleet dates'!$F$9:$F$1008,$I293-8)="","",INDEX('Fleet dates'!$F$9:$F$1008,$I293-8)))</x:f>
      </x:c>
      <x:c r="G293" s="50" t="str">
        <x:f>IF(285&gt;$H$4,"",IF(INDEX('Fleet dates'!$G$9:$G$1008,$I293-8)="","",INDEX('Fleet dates'!$G$9:$G$1008,$I293-8)))</x:f>
      </x:c>
      <x:c r="H293" s="50" t="str">
        <x:f>IF(285&gt;$H$4,"",IF(INDEX('Fleet dates'!$I$9:$I$1008,$I293-8)="","",INDEX('Fleet dates'!$I$9:$I$1008,$I293-8)))</x:f>
      </x:c>
      <x:c r="I293" t="str">
        <x:f>IF(285&gt;$H$4,"",MATCH(285,'Fleet dates'!$L$9:$L$1008,0)+8)</x:f>
      </x:c>
    </x:row>
    <x:row r="294" ht="36" customHeight="1">
      <x:c r="A294" s="50" t="str">
        <x:f>IF(286&gt;$H$4,"",IF(INDEX('Fleet dates'!$A$9:$A$1008,$I294-8)="","",INDEX('Fleet dates'!$A$9:$A$1008,$I294-8)))</x:f>
      </x:c>
      <x:c r="B294" s="50" t="str">
        <x:f>IF(286&gt;$H$4,"",IF(INDEX('Fleet dates'!$B$9:$B$1008,$I294-8)="","",INDEX('Fleet dates'!$B$9:$B$1008,$I294-8)))</x:f>
      </x:c>
      <x:c r="C294" s="51" t="str">
        <x:f>IF(286&gt;$H$4,"",IF(INDEX('Fleet dates'!$C$9:$C$1008,$I294-8)="","",INDEX('Fleet dates'!$C$9:$C$1008,$I294-8)))</x:f>
      </x:c>
      <x:c r="D294" s="51" t="str">
        <x:f>IF(286&gt;$H$4,"",IF(INDEX('Fleet dates'!$D$9:$D$1008,$I294-8)="","",INDEX('Fleet dates'!$D$9:$D$1008,$I294-8)))</x:f>
      </x:c>
      <x:c r="E294" s="51" t="str">
        <x:f>IF(286&gt;$H$4,"",IF(INDEX('Fleet dates'!$E$9:$E$1008,$I294-8)="","",INDEX('Fleet dates'!$E$9:$E$1008,$I294-8)))</x:f>
      </x:c>
      <x:c r="F294" s="51" t="str">
        <x:f>IF(286&gt;$H$4,"",IF(INDEX('Fleet dates'!$F$9:$F$1008,$I294-8)="","",INDEX('Fleet dates'!$F$9:$F$1008,$I294-8)))</x:f>
      </x:c>
      <x:c r="G294" s="50" t="str">
        <x:f>IF(286&gt;$H$4,"",IF(INDEX('Fleet dates'!$G$9:$G$1008,$I294-8)="","",INDEX('Fleet dates'!$G$9:$G$1008,$I294-8)))</x:f>
      </x:c>
      <x:c r="H294" s="50" t="str">
        <x:f>IF(286&gt;$H$4,"",IF(INDEX('Fleet dates'!$I$9:$I$1008,$I294-8)="","",INDEX('Fleet dates'!$I$9:$I$1008,$I294-8)))</x:f>
      </x:c>
      <x:c r="I294" t="str">
        <x:f>IF(286&gt;$H$4,"",MATCH(286,'Fleet dates'!$L$9:$L$1008,0)+8)</x:f>
      </x:c>
    </x:row>
    <x:row r="295" ht="36" customHeight="1">
      <x:c r="A295" s="50" t="str">
        <x:f>IF(287&gt;$H$4,"",IF(INDEX('Fleet dates'!$A$9:$A$1008,$I295-8)="","",INDEX('Fleet dates'!$A$9:$A$1008,$I295-8)))</x:f>
      </x:c>
      <x:c r="B295" s="50" t="str">
        <x:f>IF(287&gt;$H$4,"",IF(INDEX('Fleet dates'!$B$9:$B$1008,$I295-8)="","",INDEX('Fleet dates'!$B$9:$B$1008,$I295-8)))</x:f>
      </x:c>
      <x:c r="C295" s="51" t="str">
        <x:f>IF(287&gt;$H$4,"",IF(INDEX('Fleet dates'!$C$9:$C$1008,$I295-8)="","",INDEX('Fleet dates'!$C$9:$C$1008,$I295-8)))</x:f>
      </x:c>
      <x:c r="D295" s="51" t="str">
        <x:f>IF(287&gt;$H$4,"",IF(INDEX('Fleet dates'!$D$9:$D$1008,$I295-8)="","",INDEX('Fleet dates'!$D$9:$D$1008,$I295-8)))</x:f>
      </x:c>
      <x:c r="E295" s="51" t="str">
        <x:f>IF(287&gt;$H$4,"",IF(INDEX('Fleet dates'!$E$9:$E$1008,$I295-8)="","",INDEX('Fleet dates'!$E$9:$E$1008,$I295-8)))</x:f>
      </x:c>
      <x:c r="F295" s="51" t="str">
        <x:f>IF(287&gt;$H$4,"",IF(INDEX('Fleet dates'!$F$9:$F$1008,$I295-8)="","",INDEX('Fleet dates'!$F$9:$F$1008,$I295-8)))</x:f>
      </x:c>
      <x:c r="G295" s="50" t="str">
        <x:f>IF(287&gt;$H$4,"",IF(INDEX('Fleet dates'!$G$9:$G$1008,$I295-8)="","",INDEX('Fleet dates'!$G$9:$G$1008,$I295-8)))</x:f>
      </x:c>
      <x:c r="H295" s="50" t="str">
        <x:f>IF(287&gt;$H$4,"",IF(INDEX('Fleet dates'!$I$9:$I$1008,$I295-8)="","",INDEX('Fleet dates'!$I$9:$I$1008,$I295-8)))</x:f>
      </x:c>
      <x:c r="I295" t="str">
        <x:f>IF(287&gt;$H$4,"",MATCH(287,'Fleet dates'!$L$9:$L$1008,0)+8)</x:f>
      </x:c>
    </x:row>
    <x:row r="296" ht="36" customHeight="1">
      <x:c r="A296" s="50" t="str">
        <x:f>IF(288&gt;$H$4,"",IF(INDEX('Fleet dates'!$A$9:$A$1008,$I296-8)="","",INDEX('Fleet dates'!$A$9:$A$1008,$I296-8)))</x:f>
      </x:c>
      <x:c r="B296" s="50" t="str">
        <x:f>IF(288&gt;$H$4,"",IF(INDEX('Fleet dates'!$B$9:$B$1008,$I296-8)="","",INDEX('Fleet dates'!$B$9:$B$1008,$I296-8)))</x:f>
      </x:c>
      <x:c r="C296" s="51" t="str">
        <x:f>IF(288&gt;$H$4,"",IF(INDEX('Fleet dates'!$C$9:$C$1008,$I296-8)="","",INDEX('Fleet dates'!$C$9:$C$1008,$I296-8)))</x:f>
      </x:c>
      <x:c r="D296" s="51" t="str">
        <x:f>IF(288&gt;$H$4,"",IF(INDEX('Fleet dates'!$D$9:$D$1008,$I296-8)="","",INDEX('Fleet dates'!$D$9:$D$1008,$I296-8)))</x:f>
      </x:c>
      <x:c r="E296" s="51" t="str">
        <x:f>IF(288&gt;$H$4,"",IF(INDEX('Fleet dates'!$E$9:$E$1008,$I296-8)="","",INDEX('Fleet dates'!$E$9:$E$1008,$I296-8)))</x:f>
      </x:c>
      <x:c r="F296" s="51" t="str">
        <x:f>IF(288&gt;$H$4,"",IF(INDEX('Fleet dates'!$F$9:$F$1008,$I296-8)="","",INDEX('Fleet dates'!$F$9:$F$1008,$I296-8)))</x:f>
      </x:c>
      <x:c r="G296" s="50" t="str">
        <x:f>IF(288&gt;$H$4,"",IF(INDEX('Fleet dates'!$G$9:$G$1008,$I296-8)="","",INDEX('Fleet dates'!$G$9:$G$1008,$I296-8)))</x:f>
      </x:c>
      <x:c r="H296" s="50" t="str">
        <x:f>IF(288&gt;$H$4,"",IF(INDEX('Fleet dates'!$I$9:$I$1008,$I296-8)="","",INDEX('Fleet dates'!$I$9:$I$1008,$I296-8)))</x:f>
      </x:c>
      <x:c r="I296" t="str">
        <x:f>IF(288&gt;$H$4,"",MATCH(288,'Fleet dates'!$L$9:$L$1008,0)+8)</x:f>
      </x:c>
    </x:row>
    <x:row r="297" ht="36" customHeight="1">
      <x:c r="A297" s="50" t="str">
        <x:f>IF(289&gt;$H$4,"",IF(INDEX('Fleet dates'!$A$9:$A$1008,$I297-8)="","",INDEX('Fleet dates'!$A$9:$A$1008,$I297-8)))</x:f>
      </x:c>
      <x:c r="B297" s="50" t="str">
        <x:f>IF(289&gt;$H$4,"",IF(INDEX('Fleet dates'!$B$9:$B$1008,$I297-8)="","",INDEX('Fleet dates'!$B$9:$B$1008,$I297-8)))</x:f>
      </x:c>
      <x:c r="C297" s="51" t="str">
        <x:f>IF(289&gt;$H$4,"",IF(INDEX('Fleet dates'!$C$9:$C$1008,$I297-8)="","",INDEX('Fleet dates'!$C$9:$C$1008,$I297-8)))</x:f>
      </x:c>
      <x:c r="D297" s="51" t="str">
        <x:f>IF(289&gt;$H$4,"",IF(INDEX('Fleet dates'!$D$9:$D$1008,$I297-8)="","",INDEX('Fleet dates'!$D$9:$D$1008,$I297-8)))</x:f>
      </x:c>
      <x:c r="E297" s="51" t="str">
        <x:f>IF(289&gt;$H$4,"",IF(INDEX('Fleet dates'!$E$9:$E$1008,$I297-8)="","",INDEX('Fleet dates'!$E$9:$E$1008,$I297-8)))</x:f>
      </x:c>
      <x:c r="F297" s="51" t="str">
        <x:f>IF(289&gt;$H$4,"",IF(INDEX('Fleet dates'!$F$9:$F$1008,$I297-8)="","",INDEX('Fleet dates'!$F$9:$F$1008,$I297-8)))</x:f>
      </x:c>
      <x:c r="G297" s="50" t="str">
        <x:f>IF(289&gt;$H$4,"",IF(INDEX('Fleet dates'!$G$9:$G$1008,$I297-8)="","",INDEX('Fleet dates'!$G$9:$G$1008,$I297-8)))</x:f>
      </x:c>
      <x:c r="H297" s="50" t="str">
        <x:f>IF(289&gt;$H$4,"",IF(INDEX('Fleet dates'!$I$9:$I$1008,$I297-8)="","",INDEX('Fleet dates'!$I$9:$I$1008,$I297-8)))</x:f>
      </x:c>
      <x:c r="I297" t="str">
        <x:f>IF(289&gt;$H$4,"",MATCH(289,'Fleet dates'!$L$9:$L$1008,0)+8)</x:f>
      </x:c>
    </x:row>
    <x:row r="298" ht="36" customHeight="1">
      <x:c r="A298" s="50" t="str">
        <x:f>IF(290&gt;$H$4,"",IF(INDEX('Fleet dates'!$A$9:$A$1008,$I298-8)="","",INDEX('Fleet dates'!$A$9:$A$1008,$I298-8)))</x:f>
      </x:c>
      <x:c r="B298" s="50" t="str">
        <x:f>IF(290&gt;$H$4,"",IF(INDEX('Fleet dates'!$B$9:$B$1008,$I298-8)="","",INDEX('Fleet dates'!$B$9:$B$1008,$I298-8)))</x:f>
      </x:c>
      <x:c r="C298" s="51" t="str">
        <x:f>IF(290&gt;$H$4,"",IF(INDEX('Fleet dates'!$C$9:$C$1008,$I298-8)="","",INDEX('Fleet dates'!$C$9:$C$1008,$I298-8)))</x:f>
      </x:c>
      <x:c r="D298" s="51" t="str">
        <x:f>IF(290&gt;$H$4,"",IF(INDEX('Fleet dates'!$D$9:$D$1008,$I298-8)="","",INDEX('Fleet dates'!$D$9:$D$1008,$I298-8)))</x:f>
      </x:c>
      <x:c r="E298" s="51" t="str">
        <x:f>IF(290&gt;$H$4,"",IF(INDEX('Fleet dates'!$E$9:$E$1008,$I298-8)="","",INDEX('Fleet dates'!$E$9:$E$1008,$I298-8)))</x:f>
      </x:c>
      <x:c r="F298" s="51" t="str">
        <x:f>IF(290&gt;$H$4,"",IF(INDEX('Fleet dates'!$F$9:$F$1008,$I298-8)="","",INDEX('Fleet dates'!$F$9:$F$1008,$I298-8)))</x:f>
      </x:c>
      <x:c r="G298" s="50" t="str">
        <x:f>IF(290&gt;$H$4,"",IF(INDEX('Fleet dates'!$G$9:$G$1008,$I298-8)="","",INDEX('Fleet dates'!$G$9:$G$1008,$I298-8)))</x:f>
      </x:c>
      <x:c r="H298" s="50" t="str">
        <x:f>IF(290&gt;$H$4,"",IF(INDEX('Fleet dates'!$I$9:$I$1008,$I298-8)="","",INDEX('Fleet dates'!$I$9:$I$1008,$I298-8)))</x:f>
      </x:c>
      <x:c r="I298" t="str">
        <x:f>IF(290&gt;$H$4,"",MATCH(290,'Fleet dates'!$L$9:$L$1008,0)+8)</x:f>
      </x:c>
    </x:row>
    <x:row r="299" ht="36" customHeight="1">
      <x:c r="A299" s="50" t="str">
        <x:f>IF(291&gt;$H$4,"",IF(INDEX('Fleet dates'!$A$9:$A$1008,$I299-8)="","",INDEX('Fleet dates'!$A$9:$A$1008,$I299-8)))</x:f>
      </x:c>
      <x:c r="B299" s="50" t="str">
        <x:f>IF(291&gt;$H$4,"",IF(INDEX('Fleet dates'!$B$9:$B$1008,$I299-8)="","",INDEX('Fleet dates'!$B$9:$B$1008,$I299-8)))</x:f>
      </x:c>
      <x:c r="C299" s="51" t="str">
        <x:f>IF(291&gt;$H$4,"",IF(INDEX('Fleet dates'!$C$9:$C$1008,$I299-8)="","",INDEX('Fleet dates'!$C$9:$C$1008,$I299-8)))</x:f>
      </x:c>
      <x:c r="D299" s="51" t="str">
        <x:f>IF(291&gt;$H$4,"",IF(INDEX('Fleet dates'!$D$9:$D$1008,$I299-8)="","",INDEX('Fleet dates'!$D$9:$D$1008,$I299-8)))</x:f>
      </x:c>
      <x:c r="E299" s="51" t="str">
        <x:f>IF(291&gt;$H$4,"",IF(INDEX('Fleet dates'!$E$9:$E$1008,$I299-8)="","",INDEX('Fleet dates'!$E$9:$E$1008,$I299-8)))</x:f>
      </x:c>
      <x:c r="F299" s="51" t="str">
        <x:f>IF(291&gt;$H$4,"",IF(INDEX('Fleet dates'!$F$9:$F$1008,$I299-8)="","",INDEX('Fleet dates'!$F$9:$F$1008,$I299-8)))</x:f>
      </x:c>
      <x:c r="G299" s="50" t="str">
        <x:f>IF(291&gt;$H$4,"",IF(INDEX('Fleet dates'!$G$9:$G$1008,$I299-8)="","",INDEX('Fleet dates'!$G$9:$G$1008,$I299-8)))</x:f>
      </x:c>
      <x:c r="H299" s="50" t="str">
        <x:f>IF(291&gt;$H$4,"",IF(INDEX('Fleet dates'!$I$9:$I$1008,$I299-8)="","",INDEX('Fleet dates'!$I$9:$I$1008,$I299-8)))</x:f>
      </x:c>
      <x:c r="I299" t="str">
        <x:f>IF(291&gt;$H$4,"",MATCH(291,'Fleet dates'!$L$9:$L$1008,0)+8)</x:f>
      </x:c>
    </x:row>
    <x:row r="300" ht="36" customHeight="1">
      <x:c r="A300" s="50" t="str">
        <x:f>IF(292&gt;$H$4,"",IF(INDEX('Fleet dates'!$A$9:$A$1008,$I300-8)="","",INDEX('Fleet dates'!$A$9:$A$1008,$I300-8)))</x:f>
      </x:c>
      <x:c r="B300" s="50" t="str">
        <x:f>IF(292&gt;$H$4,"",IF(INDEX('Fleet dates'!$B$9:$B$1008,$I300-8)="","",INDEX('Fleet dates'!$B$9:$B$1008,$I300-8)))</x:f>
      </x:c>
      <x:c r="C300" s="51" t="str">
        <x:f>IF(292&gt;$H$4,"",IF(INDEX('Fleet dates'!$C$9:$C$1008,$I300-8)="","",INDEX('Fleet dates'!$C$9:$C$1008,$I300-8)))</x:f>
      </x:c>
      <x:c r="D300" s="51" t="str">
        <x:f>IF(292&gt;$H$4,"",IF(INDEX('Fleet dates'!$D$9:$D$1008,$I300-8)="","",INDEX('Fleet dates'!$D$9:$D$1008,$I300-8)))</x:f>
      </x:c>
      <x:c r="E300" s="51" t="str">
        <x:f>IF(292&gt;$H$4,"",IF(INDEX('Fleet dates'!$E$9:$E$1008,$I300-8)="","",INDEX('Fleet dates'!$E$9:$E$1008,$I300-8)))</x:f>
      </x:c>
      <x:c r="F300" s="51" t="str">
        <x:f>IF(292&gt;$H$4,"",IF(INDEX('Fleet dates'!$F$9:$F$1008,$I300-8)="","",INDEX('Fleet dates'!$F$9:$F$1008,$I300-8)))</x:f>
      </x:c>
      <x:c r="G300" s="50" t="str">
        <x:f>IF(292&gt;$H$4,"",IF(INDEX('Fleet dates'!$G$9:$G$1008,$I300-8)="","",INDEX('Fleet dates'!$G$9:$G$1008,$I300-8)))</x:f>
      </x:c>
      <x:c r="H300" s="50" t="str">
        <x:f>IF(292&gt;$H$4,"",IF(INDEX('Fleet dates'!$I$9:$I$1008,$I300-8)="","",INDEX('Fleet dates'!$I$9:$I$1008,$I300-8)))</x:f>
      </x:c>
      <x:c r="I300" t="str">
        <x:f>IF(292&gt;$H$4,"",MATCH(292,'Fleet dates'!$L$9:$L$1008,0)+8)</x:f>
      </x:c>
    </x:row>
    <x:row r="301" ht="36" customHeight="1">
      <x:c r="A301" s="50" t="str">
        <x:f>IF(293&gt;$H$4,"",IF(INDEX('Fleet dates'!$A$9:$A$1008,$I301-8)="","",INDEX('Fleet dates'!$A$9:$A$1008,$I301-8)))</x:f>
      </x:c>
      <x:c r="B301" s="50" t="str">
        <x:f>IF(293&gt;$H$4,"",IF(INDEX('Fleet dates'!$B$9:$B$1008,$I301-8)="","",INDEX('Fleet dates'!$B$9:$B$1008,$I301-8)))</x:f>
      </x:c>
      <x:c r="C301" s="51" t="str">
        <x:f>IF(293&gt;$H$4,"",IF(INDEX('Fleet dates'!$C$9:$C$1008,$I301-8)="","",INDEX('Fleet dates'!$C$9:$C$1008,$I301-8)))</x:f>
      </x:c>
      <x:c r="D301" s="51" t="str">
        <x:f>IF(293&gt;$H$4,"",IF(INDEX('Fleet dates'!$D$9:$D$1008,$I301-8)="","",INDEX('Fleet dates'!$D$9:$D$1008,$I301-8)))</x:f>
      </x:c>
      <x:c r="E301" s="51" t="str">
        <x:f>IF(293&gt;$H$4,"",IF(INDEX('Fleet dates'!$E$9:$E$1008,$I301-8)="","",INDEX('Fleet dates'!$E$9:$E$1008,$I301-8)))</x:f>
      </x:c>
      <x:c r="F301" s="51" t="str">
        <x:f>IF(293&gt;$H$4,"",IF(INDEX('Fleet dates'!$F$9:$F$1008,$I301-8)="","",INDEX('Fleet dates'!$F$9:$F$1008,$I301-8)))</x:f>
      </x:c>
      <x:c r="G301" s="50" t="str">
        <x:f>IF(293&gt;$H$4,"",IF(INDEX('Fleet dates'!$G$9:$G$1008,$I301-8)="","",INDEX('Fleet dates'!$G$9:$G$1008,$I301-8)))</x:f>
      </x:c>
      <x:c r="H301" s="50" t="str">
        <x:f>IF(293&gt;$H$4,"",IF(INDEX('Fleet dates'!$I$9:$I$1008,$I301-8)="","",INDEX('Fleet dates'!$I$9:$I$1008,$I301-8)))</x:f>
      </x:c>
      <x:c r="I301" t="str">
        <x:f>IF(293&gt;$H$4,"",MATCH(293,'Fleet dates'!$L$9:$L$1008,0)+8)</x:f>
      </x:c>
    </x:row>
    <x:row r="302" ht="36" customHeight="1">
      <x:c r="A302" s="50" t="str">
        <x:f>IF(294&gt;$H$4,"",IF(INDEX('Fleet dates'!$A$9:$A$1008,$I302-8)="","",INDEX('Fleet dates'!$A$9:$A$1008,$I302-8)))</x:f>
      </x:c>
      <x:c r="B302" s="50" t="str">
        <x:f>IF(294&gt;$H$4,"",IF(INDEX('Fleet dates'!$B$9:$B$1008,$I302-8)="","",INDEX('Fleet dates'!$B$9:$B$1008,$I302-8)))</x:f>
      </x:c>
      <x:c r="C302" s="51" t="str">
        <x:f>IF(294&gt;$H$4,"",IF(INDEX('Fleet dates'!$C$9:$C$1008,$I302-8)="","",INDEX('Fleet dates'!$C$9:$C$1008,$I302-8)))</x:f>
      </x:c>
      <x:c r="D302" s="51" t="str">
        <x:f>IF(294&gt;$H$4,"",IF(INDEX('Fleet dates'!$D$9:$D$1008,$I302-8)="","",INDEX('Fleet dates'!$D$9:$D$1008,$I302-8)))</x:f>
      </x:c>
      <x:c r="E302" s="51" t="str">
        <x:f>IF(294&gt;$H$4,"",IF(INDEX('Fleet dates'!$E$9:$E$1008,$I302-8)="","",INDEX('Fleet dates'!$E$9:$E$1008,$I302-8)))</x:f>
      </x:c>
      <x:c r="F302" s="51" t="str">
        <x:f>IF(294&gt;$H$4,"",IF(INDEX('Fleet dates'!$F$9:$F$1008,$I302-8)="","",INDEX('Fleet dates'!$F$9:$F$1008,$I302-8)))</x:f>
      </x:c>
      <x:c r="G302" s="50" t="str">
        <x:f>IF(294&gt;$H$4,"",IF(INDEX('Fleet dates'!$G$9:$G$1008,$I302-8)="","",INDEX('Fleet dates'!$G$9:$G$1008,$I302-8)))</x:f>
      </x:c>
      <x:c r="H302" s="50" t="str">
        <x:f>IF(294&gt;$H$4,"",IF(INDEX('Fleet dates'!$I$9:$I$1008,$I302-8)="","",INDEX('Fleet dates'!$I$9:$I$1008,$I302-8)))</x:f>
      </x:c>
      <x:c r="I302" t="str">
        <x:f>IF(294&gt;$H$4,"",MATCH(294,'Fleet dates'!$L$9:$L$1008,0)+8)</x:f>
      </x:c>
    </x:row>
    <x:row r="303" ht="36" customHeight="1">
      <x:c r="A303" s="50" t="str">
        <x:f>IF(295&gt;$H$4,"",IF(INDEX('Fleet dates'!$A$9:$A$1008,$I303-8)="","",INDEX('Fleet dates'!$A$9:$A$1008,$I303-8)))</x:f>
      </x:c>
      <x:c r="B303" s="50" t="str">
        <x:f>IF(295&gt;$H$4,"",IF(INDEX('Fleet dates'!$B$9:$B$1008,$I303-8)="","",INDEX('Fleet dates'!$B$9:$B$1008,$I303-8)))</x:f>
      </x:c>
      <x:c r="C303" s="51" t="str">
        <x:f>IF(295&gt;$H$4,"",IF(INDEX('Fleet dates'!$C$9:$C$1008,$I303-8)="","",INDEX('Fleet dates'!$C$9:$C$1008,$I303-8)))</x:f>
      </x:c>
      <x:c r="D303" s="51" t="str">
        <x:f>IF(295&gt;$H$4,"",IF(INDEX('Fleet dates'!$D$9:$D$1008,$I303-8)="","",INDEX('Fleet dates'!$D$9:$D$1008,$I303-8)))</x:f>
      </x:c>
      <x:c r="E303" s="51" t="str">
        <x:f>IF(295&gt;$H$4,"",IF(INDEX('Fleet dates'!$E$9:$E$1008,$I303-8)="","",INDEX('Fleet dates'!$E$9:$E$1008,$I303-8)))</x:f>
      </x:c>
      <x:c r="F303" s="51" t="str">
        <x:f>IF(295&gt;$H$4,"",IF(INDEX('Fleet dates'!$F$9:$F$1008,$I303-8)="","",INDEX('Fleet dates'!$F$9:$F$1008,$I303-8)))</x:f>
      </x:c>
      <x:c r="G303" s="50" t="str">
        <x:f>IF(295&gt;$H$4,"",IF(INDEX('Fleet dates'!$G$9:$G$1008,$I303-8)="","",INDEX('Fleet dates'!$G$9:$G$1008,$I303-8)))</x:f>
      </x:c>
      <x:c r="H303" s="50" t="str">
        <x:f>IF(295&gt;$H$4,"",IF(INDEX('Fleet dates'!$I$9:$I$1008,$I303-8)="","",INDEX('Fleet dates'!$I$9:$I$1008,$I303-8)))</x:f>
      </x:c>
      <x:c r="I303" t="str">
        <x:f>IF(295&gt;$H$4,"",MATCH(295,'Fleet dates'!$L$9:$L$1008,0)+8)</x:f>
      </x:c>
    </x:row>
    <x:row r="304" ht="36" customHeight="1">
      <x:c r="A304" s="50" t="str">
        <x:f>IF(296&gt;$H$4,"",IF(INDEX('Fleet dates'!$A$9:$A$1008,$I304-8)="","",INDEX('Fleet dates'!$A$9:$A$1008,$I304-8)))</x:f>
      </x:c>
      <x:c r="B304" s="50" t="str">
        <x:f>IF(296&gt;$H$4,"",IF(INDEX('Fleet dates'!$B$9:$B$1008,$I304-8)="","",INDEX('Fleet dates'!$B$9:$B$1008,$I304-8)))</x:f>
      </x:c>
      <x:c r="C304" s="51" t="str">
        <x:f>IF(296&gt;$H$4,"",IF(INDEX('Fleet dates'!$C$9:$C$1008,$I304-8)="","",INDEX('Fleet dates'!$C$9:$C$1008,$I304-8)))</x:f>
      </x:c>
      <x:c r="D304" s="51" t="str">
        <x:f>IF(296&gt;$H$4,"",IF(INDEX('Fleet dates'!$D$9:$D$1008,$I304-8)="","",INDEX('Fleet dates'!$D$9:$D$1008,$I304-8)))</x:f>
      </x:c>
      <x:c r="E304" s="51" t="str">
        <x:f>IF(296&gt;$H$4,"",IF(INDEX('Fleet dates'!$E$9:$E$1008,$I304-8)="","",INDEX('Fleet dates'!$E$9:$E$1008,$I304-8)))</x:f>
      </x:c>
      <x:c r="F304" s="51" t="str">
        <x:f>IF(296&gt;$H$4,"",IF(INDEX('Fleet dates'!$F$9:$F$1008,$I304-8)="","",INDEX('Fleet dates'!$F$9:$F$1008,$I304-8)))</x:f>
      </x:c>
      <x:c r="G304" s="50" t="str">
        <x:f>IF(296&gt;$H$4,"",IF(INDEX('Fleet dates'!$G$9:$G$1008,$I304-8)="","",INDEX('Fleet dates'!$G$9:$G$1008,$I304-8)))</x:f>
      </x:c>
      <x:c r="H304" s="50" t="str">
        <x:f>IF(296&gt;$H$4,"",IF(INDEX('Fleet dates'!$I$9:$I$1008,$I304-8)="","",INDEX('Fleet dates'!$I$9:$I$1008,$I304-8)))</x:f>
      </x:c>
      <x:c r="I304" t="str">
        <x:f>IF(296&gt;$H$4,"",MATCH(296,'Fleet dates'!$L$9:$L$1008,0)+8)</x:f>
      </x:c>
    </x:row>
    <x:row r="305" ht="36" customHeight="1">
      <x:c r="A305" s="50" t="str">
        <x:f>IF(297&gt;$H$4,"",IF(INDEX('Fleet dates'!$A$9:$A$1008,$I305-8)="","",INDEX('Fleet dates'!$A$9:$A$1008,$I305-8)))</x:f>
      </x:c>
      <x:c r="B305" s="50" t="str">
        <x:f>IF(297&gt;$H$4,"",IF(INDEX('Fleet dates'!$B$9:$B$1008,$I305-8)="","",INDEX('Fleet dates'!$B$9:$B$1008,$I305-8)))</x:f>
      </x:c>
      <x:c r="C305" s="51" t="str">
        <x:f>IF(297&gt;$H$4,"",IF(INDEX('Fleet dates'!$C$9:$C$1008,$I305-8)="","",INDEX('Fleet dates'!$C$9:$C$1008,$I305-8)))</x:f>
      </x:c>
      <x:c r="D305" s="51" t="str">
        <x:f>IF(297&gt;$H$4,"",IF(INDEX('Fleet dates'!$D$9:$D$1008,$I305-8)="","",INDEX('Fleet dates'!$D$9:$D$1008,$I305-8)))</x:f>
      </x:c>
      <x:c r="E305" s="51" t="str">
        <x:f>IF(297&gt;$H$4,"",IF(INDEX('Fleet dates'!$E$9:$E$1008,$I305-8)="","",INDEX('Fleet dates'!$E$9:$E$1008,$I305-8)))</x:f>
      </x:c>
      <x:c r="F305" s="51" t="str">
        <x:f>IF(297&gt;$H$4,"",IF(INDEX('Fleet dates'!$F$9:$F$1008,$I305-8)="","",INDEX('Fleet dates'!$F$9:$F$1008,$I305-8)))</x:f>
      </x:c>
      <x:c r="G305" s="50" t="str">
        <x:f>IF(297&gt;$H$4,"",IF(INDEX('Fleet dates'!$G$9:$G$1008,$I305-8)="","",INDEX('Fleet dates'!$G$9:$G$1008,$I305-8)))</x:f>
      </x:c>
      <x:c r="H305" s="50" t="str">
        <x:f>IF(297&gt;$H$4,"",IF(INDEX('Fleet dates'!$I$9:$I$1008,$I305-8)="","",INDEX('Fleet dates'!$I$9:$I$1008,$I305-8)))</x:f>
      </x:c>
      <x:c r="I305" t="str">
        <x:f>IF(297&gt;$H$4,"",MATCH(297,'Fleet dates'!$L$9:$L$1008,0)+8)</x:f>
      </x:c>
    </x:row>
    <x:row r="306" ht="36" customHeight="1">
      <x:c r="A306" s="50" t="str">
        <x:f>IF(298&gt;$H$4,"",IF(INDEX('Fleet dates'!$A$9:$A$1008,$I306-8)="","",INDEX('Fleet dates'!$A$9:$A$1008,$I306-8)))</x:f>
      </x:c>
      <x:c r="B306" s="50" t="str">
        <x:f>IF(298&gt;$H$4,"",IF(INDEX('Fleet dates'!$B$9:$B$1008,$I306-8)="","",INDEX('Fleet dates'!$B$9:$B$1008,$I306-8)))</x:f>
      </x:c>
      <x:c r="C306" s="51" t="str">
        <x:f>IF(298&gt;$H$4,"",IF(INDEX('Fleet dates'!$C$9:$C$1008,$I306-8)="","",INDEX('Fleet dates'!$C$9:$C$1008,$I306-8)))</x:f>
      </x:c>
      <x:c r="D306" s="51" t="str">
        <x:f>IF(298&gt;$H$4,"",IF(INDEX('Fleet dates'!$D$9:$D$1008,$I306-8)="","",INDEX('Fleet dates'!$D$9:$D$1008,$I306-8)))</x:f>
      </x:c>
      <x:c r="E306" s="51" t="str">
        <x:f>IF(298&gt;$H$4,"",IF(INDEX('Fleet dates'!$E$9:$E$1008,$I306-8)="","",INDEX('Fleet dates'!$E$9:$E$1008,$I306-8)))</x:f>
      </x:c>
      <x:c r="F306" s="51" t="str">
        <x:f>IF(298&gt;$H$4,"",IF(INDEX('Fleet dates'!$F$9:$F$1008,$I306-8)="","",INDEX('Fleet dates'!$F$9:$F$1008,$I306-8)))</x:f>
      </x:c>
      <x:c r="G306" s="50" t="str">
        <x:f>IF(298&gt;$H$4,"",IF(INDEX('Fleet dates'!$G$9:$G$1008,$I306-8)="","",INDEX('Fleet dates'!$G$9:$G$1008,$I306-8)))</x:f>
      </x:c>
      <x:c r="H306" s="50" t="str">
        <x:f>IF(298&gt;$H$4,"",IF(INDEX('Fleet dates'!$I$9:$I$1008,$I306-8)="","",INDEX('Fleet dates'!$I$9:$I$1008,$I306-8)))</x:f>
      </x:c>
      <x:c r="I306" t="str">
        <x:f>IF(298&gt;$H$4,"",MATCH(298,'Fleet dates'!$L$9:$L$1008,0)+8)</x:f>
      </x:c>
    </x:row>
    <x:row r="307" ht="36" customHeight="1">
      <x:c r="A307" s="50" t="str">
        <x:f>IF(299&gt;$H$4,"",IF(INDEX('Fleet dates'!$A$9:$A$1008,$I307-8)="","",INDEX('Fleet dates'!$A$9:$A$1008,$I307-8)))</x:f>
      </x:c>
      <x:c r="B307" s="50" t="str">
        <x:f>IF(299&gt;$H$4,"",IF(INDEX('Fleet dates'!$B$9:$B$1008,$I307-8)="","",INDEX('Fleet dates'!$B$9:$B$1008,$I307-8)))</x:f>
      </x:c>
      <x:c r="C307" s="51" t="str">
        <x:f>IF(299&gt;$H$4,"",IF(INDEX('Fleet dates'!$C$9:$C$1008,$I307-8)="","",INDEX('Fleet dates'!$C$9:$C$1008,$I307-8)))</x:f>
      </x:c>
      <x:c r="D307" s="51" t="str">
        <x:f>IF(299&gt;$H$4,"",IF(INDEX('Fleet dates'!$D$9:$D$1008,$I307-8)="","",INDEX('Fleet dates'!$D$9:$D$1008,$I307-8)))</x:f>
      </x:c>
      <x:c r="E307" s="51" t="str">
        <x:f>IF(299&gt;$H$4,"",IF(INDEX('Fleet dates'!$E$9:$E$1008,$I307-8)="","",INDEX('Fleet dates'!$E$9:$E$1008,$I307-8)))</x:f>
      </x:c>
      <x:c r="F307" s="51" t="str">
        <x:f>IF(299&gt;$H$4,"",IF(INDEX('Fleet dates'!$F$9:$F$1008,$I307-8)="","",INDEX('Fleet dates'!$F$9:$F$1008,$I307-8)))</x:f>
      </x:c>
      <x:c r="G307" s="50" t="str">
        <x:f>IF(299&gt;$H$4,"",IF(INDEX('Fleet dates'!$G$9:$G$1008,$I307-8)="","",INDEX('Fleet dates'!$G$9:$G$1008,$I307-8)))</x:f>
      </x:c>
      <x:c r="H307" s="50" t="str">
        <x:f>IF(299&gt;$H$4,"",IF(INDEX('Fleet dates'!$I$9:$I$1008,$I307-8)="","",INDEX('Fleet dates'!$I$9:$I$1008,$I307-8)))</x:f>
      </x:c>
      <x:c r="I307" t="str">
        <x:f>IF(299&gt;$H$4,"",MATCH(299,'Fleet dates'!$L$9:$L$1008,0)+8)</x:f>
      </x:c>
    </x:row>
    <x:row r="308" ht="36" customHeight="1">
      <x:c r="A308" s="50" t="str">
        <x:f>IF(300&gt;$H$4,"",IF(INDEX('Fleet dates'!$A$9:$A$1008,$I308-8)="","",INDEX('Fleet dates'!$A$9:$A$1008,$I308-8)))</x:f>
      </x:c>
      <x:c r="B308" s="50" t="str">
        <x:f>IF(300&gt;$H$4,"",IF(INDEX('Fleet dates'!$B$9:$B$1008,$I308-8)="","",INDEX('Fleet dates'!$B$9:$B$1008,$I308-8)))</x:f>
      </x:c>
      <x:c r="C308" s="51" t="str">
        <x:f>IF(300&gt;$H$4,"",IF(INDEX('Fleet dates'!$C$9:$C$1008,$I308-8)="","",INDEX('Fleet dates'!$C$9:$C$1008,$I308-8)))</x:f>
      </x:c>
      <x:c r="D308" s="51" t="str">
        <x:f>IF(300&gt;$H$4,"",IF(INDEX('Fleet dates'!$D$9:$D$1008,$I308-8)="","",INDEX('Fleet dates'!$D$9:$D$1008,$I308-8)))</x:f>
      </x:c>
      <x:c r="E308" s="51" t="str">
        <x:f>IF(300&gt;$H$4,"",IF(INDEX('Fleet dates'!$E$9:$E$1008,$I308-8)="","",INDEX('Fleet dates'!$E$9:$E$1008,$I308-8)))</x:f>
      </x:c>
      <x:c r="F308" s="51" t="str">
        <x:f>IF(300&gt;$H$4,"",IF(INDEX('Fleet dates'!$F$9:$F$1008,$I308-8)="","",INDEX('Fleet dates'!$F$9:$F$1008,$I308-8)))</x:f>
      </x:c>
      <x:c r="G308" s="50" t="str">
        <x:f>IF(300&gt;$H$4,"",IF(INDEX('Fleet dates'!$G$9:$G$1008,$I308-8)="","",INDEX('Fleet dates'!$G$9:$G$1008,$I308-8)))</x:f>
      </x:c>
      <x:c r="H308" s="50" t="str">
        <x:f>IF(300&gt;$H$4,"",IF(INDEX('Fleet dates'!$I$9:$I$1008,$I308-8)="","",INDEX('Fleet dates'!$I$9:$I$1008,$I308-8)))</x:f>
      </x:c>
      <x:c r="I308" t="str">
        <x:f>IF(300&gt;$H$4,"",MATCH(300,'Fleet dates'!$L$9:$L$1008,0)+8)</x:f>
      </x:c>
    </x:row>
    <x:row r="309" ht="36" customHeight="1">
      <x:c r="A309" s="50" t="str">
        <x:f>IF(301&gt;$H$4,"",IF(INDEX('Fleet dates'!$A$9:$A$1008,$I309-8)="","",INDEX('Fleet dates'!$A$9:$A$1008,$I309-8)))</x:f>
      </x:c>
      <x:c r="B309" s="50" t="str">
        <x:f>IF(301&gt;$H$4,"",IF(INDEX('Fleet dates'!$B$9:$B$1008,$I309-8)="","",INDEX('Fleet dates'!$B$9:$B$1008,$I309-8)))</x:f>
      </x:c>
      <x:c r="C309" s="51" t="str">
        <x:f>IF(301&gt;$H$4,"",IF(INDEX('Fleet dates'!$C$9:$C$1008,$I309-8)="","",INDEX('Fleet dates'!$C$9:$C$1008,$I309-8)))</x:f>
      </x:c>
      <x:c r="D309" s="51" t="str">
        <x:f>IF(301&gt;$H$4,"",IF(INDEX('Fleet dates'!$D$9:$D$1008,$I309-8)="","",INDEX('Fleet dates'!$D$9:$D$1008,$I309-8)))</x:f>
      </x:c>
      <x:c r="E309" s="51" t="str">
        <x:f>IF(301&gt;$H$4,"",IF(INDEX('Fleet dates'!$E$9:$E$1008,$I309-8)="","",INDEX('Fleet dates'!$E$9:$E$1008,$I309-8)))</x:f>
      </x:c>
      <x:c r="F309" s="51" t="str">
        <x:f>IF(301&gt;$H$4,"",IF(INDEX('Fleet dates'!$F$9:$F$1008,$I309-8)="","",INDEX('Fleet dates'!$F$9:$F$1008,$I309-8)))</x:f>
      </x:c>
      <x:c r="G309" s="50" t="str">
        <x:f>IF(301&gt;$H$4,"",IF(INDEX('Fleet dates'!$G$9:$G$1008,$I309-8)="","",INDEX('Fleet dates'!$G$9:$G$1008,$I309-8)))</x:f>
      </x:c>
      <x:c r="H309" s="50" t="str">
        <x:f>IF(301&gt;$H$4,"",IF(INDEX('Fleet dates'!$I$9:$I$1008,$I309-8)="","",INDEX('Fleet dates'!$I$9:$I$1008,$I309-8)))</x:f>
      </x:c>
      <x:c r="I309" t="str">
        <x:f>IF(301&gt;$H$4,"",MATCH(301,'Fleet dates'!$L$9:$L$1008,0)+8)</x:f>
      </x:c>
    </x:row>
    <x:row r="310" ht="36" customHeight="1">
      <x:c r="A310" s="50" t="str">
        <x:f>IF(302&gt;$H$4,"",IF(INDEX('Fleet dates'!$A$9:$A$1008,$I310-8)="","",INDEX('Fleet dates'!$A$9:$A$1008,$I310-8)))</x:f>
      </x:c>
      <x:c r="B310" s="50" t="str">
        <x:f>IF(302&gt;$H$4,"",IF(INDEX('Fleet dates'!$B$9:$B$1008,$I310-8)="","",INDEX('Fleet dates'!$B$9:$B$1008,$I310-8)))</x:f>
      </x:c>
      <x:c r="C310" s="51" t="str">
        <x:f>IF(302&gt;$H$4,"",IF(INDEX('Fleet dates'!$C$9:$C$1008,$I310-8)="","",INDEX('Fleet dates'!$C$9:$C$1008,$I310-8)))</x:f>
      </x:c>
      <x:c r="D310" s="51" t="str">
        <x:f>IF(302&gt;$H$4,"",IF(INDEX('Fleet dates'!$D$9:$D$1008,$I310-8)="","",INDEX('Fleet dates'!$D$9:$D$1008,$I310-8)))</x:f>
      </x:c>
      <x:c r="E310" s="51" t="str">
        <x:f>IF(302&gt;$H$4,"",IF(INDEX('Fleet dates'!$E$9:$E$1008,$I310-8)="","",INDEX('Fleet dates'!$E$9:$E$1008,$I310-8)))</x:f>
      </x:c>
      <x:c r="F310" s="51" t="str">
        <x:f>IF(302&gt;$H$4,"",IF(INDEX('Fleet dates'!$F$9:$F$1008,$I310-8)="","",INDEX('Fleet dates'!$F$9:$F$1008,$I310-8)))</x:f>
      </x:c>
      <x:c r="G310" s="50" t="str">
        <x:f>IF(302&gt;$H$4,"",IF(INDEX('Fleet dates'!$G$9:$G$1008,$I310-8)="","",INDEX('Fleet dates'!$G$9:$G$1008,$I310-8)))</x:f>
      </x:c>
      <x:c r="H310" s="50" t="str">
        <x:f>IF(302&gt;$H$4,"",IF(INDEX('Fleet dates'!$I$9:$I$1008,$I310-8)="","",INDEX('Fleet dates'!$I$9:$I$1008,$I310-8)))</x:f>
      </x:c>
      <x:c r="I310" t="str">
        <x:f>IF(302&gt;$H$4,"",MATCH(302,'Fleet dates'!$L$9:$L$1008,0)+8)</x:f>
      </x:c>
    </x:row>
    <x:row r="311" ht="36" customHeight="1">
      <x:c r="A311" s="50" t="str">
        <x:f>IF(303&gt;$H$4,"",IF(INDEX('Fleet dates'!$A$9:$A$1008,$I311-8)="","",INDEX('Fleet dates'!$A$9:$A$1008,$I311-8)))</x:f>
      </x:c>
      <x:c r="B311" s="50" t="str">
        <x:f>IF(303&gt;$H$4,"",IF(INDEX('Fleet dates'!$B$9:$B$1008,$I311-8)="","",INDEX('Fleet dates'!$B$9:$B$1008,$I311-8)))</x:f>
      </x:c>
      <x:c r="C311" s="51" t="str">
        <x:f>IF(303&gt;$H$4,"",IF(INDEX('Fleet dates'!$C$9:$C$1008,$I311-8)="","",INDEX('Fleet dates'!$C$9:$C$1008,$I311-8)))</x:f>
      </x:c>
      <x:c r="D311" s="51" t="str">
        <x:f>IF(303&gt;$H$4,"",IF(INDEX('Fleet dates'!$D$9:$D$1008,$I311-8)="","",INDEX('Fleet dates'!$D$9:$D$1008,$I311-8)))</x:f>
      </x:c>
      <x:c r="E311" s="51" t="str">
        <x:f>IF(303&gt;$H$4,"",IF(INDEX('Fleet dates'!$E$9:$E$1008,$I311-8)="","",INDEX('Fleet dates'!$E$9:$E$1008,$I311-8)))</x:f>
      </x:c>
      <x:c r="F311" s="51" t="str">
        <x:f>IF(303&gt;$H$4,"",IF(INDEX('Fleet dates'!$F$9:$F$1008,$I311-8)="","",INDEX('Fleet dates'!$F$9:$F$1008,$I311-8)))</x:f>
      </x:c>
      <x:c r="G311" s="50" t="str">
        <x:f>IF(303&gt;$H$4,"",IF(INDEX('Fleet dates'!$G$9:$G$1008,$I311-8)="","",INDEX('Fleet dates'!$G$9:$G$1008,$I311-8)))</x:f>
      </x:c>
      <x:c r="H311" s="50" t="str">
        <x:f>IF(303&gt;$H$4,"",IF(INDEX('Fleet dates'!$I$9:$I$1008,$I311-8)="","",INDEX('Fleet dates'!$I$9:$I$1008,$I311-8)))</x:f>
      </x:c>
      <x:c r="I311" t="str">
        <x:f>IF(303&gt;$H$4,"",MATCH(303,'Fleet dates'!$L$9:$L$1008,0)+8)</x:f>
      </x:c>
    </x:row>
    <x:row r="312" ht="36" customHeight="1">
      <x:c r="A312" s="50" t="str">
        <x:f>IF(304&gt;$H$4,"",IF(INDEX('Fleet dates'!$A$9:$A$1008,$I312-8)="","",INDEX('Fleet dates'!$A$9:$A$1008,$I312-8)))</x:f>
      </x:c>
      <x:c r="B312" s="50" t="str">
        <x:f>IF(304&gt;$H$4,"",IF(INDEX('Fleet dates'!$B$9:$B$1008,$I312-8)="","",INDEX('Fleet dates'!$B$9:$B$1008,$I312-8)))</x:f>
      </x:c>
      <x:c r="C312" s="51" t="str">
        <x:f>IF(304&gt;$H$4,"",IF(INDEX('Fleet dates'!$C$9:$C$1008,$I312-8)="","",INDEX('Fleet dates'!$C$9:$C$1008,$I312-8)))</x:f>
      </x:c>
      <x:c r="D312" s="51" t="str">
        <x:f>IF(304&gt;$H$4,"",IF(INDEX('Fleet dates'!$D$9:$D$1008,$I312-8)="","",INDEX('Fleet dates'!$D$9:$D$1008,$I312-8)))</x:f>
      </x:c>
      <x:c r="E312" s="51" t="str">
        <x:f>IF(304&gt;$H$4,"",IF(INDEX('Fleet dates'!$E$9:$E$1008,$I312-8)="","",INDEX('Fleet dates'!$E$9:$E$1008,$I312-8)))</x:f>
      </x:c>
      <x:c r="F312" s="51" t="str">
        <x:f>IF(304&gt;$H$4,"",IF(INDEX('Fleet dates'!$F$9:$F$1008,$I312-8)="","",INDEX('Fleet dates'!$F$9:$F$1008,$I312-8)))</x:f>
      </x:c>
      <x:c r="G312" s="50" t="str">
        <x:f>IF(304&gt;$H$4,"",IF(INDEX('Fleet dates'!$G$9:$G$1008,$I312-8)="","",INDEX('Fleet dates'!$G$9:$G$1008,$I312-8)))</x:f>
      </x:c>
      <x:c r="H312" s="50" t="str">
        <x:f>IF(304&gt;$H$4,"",IF(INDEX('Fleet dates'!$I$9:$I$1008,$I312-8)="","",INDEX('Fleet dates'!$I$9:$I$1008,$I312-8)))</x:f>
      </x:c>
      <x:c r="I312" t="str">
        <x:f>IF(304&gt;$H$4,"",MATCH(304,'Fleet dates'!$L$9:$L$1008,0)+8)</x:f>
      </x:c>
    </x:row>
    <x:row r="313" ht="36" customHeight="1">
      <x:c r="A313" s="50" t="str">
        <x:f>IF(305&gt;$H$4,"",IF(INDEX('Fleet dates'!$A$9:$A$1008,$I313-8)="","",INDEX('Fleet dates'!$A$9:$A$1008,$I313-8)))</x:f>
      </x:c>
      <x:c r="B313" s="50" t="str">
        <x:f>IF(305&gt;$H$4,"",IF(INDEX('Fleet dates'!$B$9:$B$1008,$I313-8)="","",INDEX('Fleet dates'!$B$9:$B$1008,$I313-8)))</x:f>
      </x:c>
      <x:c r="C313" s="51" t="str">
        <x:f>IF(305&gt;$H$4,"",IF(INDEX('Fleet dates'!$C$9:$C$1008,$I313-8)="","",INDEX('Fleet dates'!$C$9:$C$1008,$I313-8)))</x:f>
      </x:c>
      <x:c r="D313" s="51" t="str">
        <x:f>IF(305&gt;$H$4,"",IF(INDEX('Fleet dates'!$D$9:$D$1008,$I313-8)="","",INDEX('Fleet dates'!$D$9:$D$1008,$I313-8)))</x:f>
      </x:c>
      <x:c r="E313" s="51" t="str">
        <x:f>IF(305&gt;$H$4,"",IF(INDEX('Fleet dates'!$E$9:$E$1008,$I313-8)="","",INDEX('Fleet dates'!$E$9:$E$1008,$I313-8)))</x:f>
      </x:c>
      <x:c r="F313" s="51" t="str">
        <x:f>IF(305&gt;$H$4,"",IF(INDEX('Fleet dates'!$F$9:$F$1008,$I313-8)="","",INDEX('Fleet dates'!$F$9:$F$1008,$I313-8)))</x:f>
      </x:c>
      <x:c r="G313" s="50" t="str">
        <x:f>IF(305&gt;$H$4,"",IF(INDEX('Fleet dates'!$G$9:$G$1008,$I313-8)="","",INDEX('Fleet dates'!$G$9:$G$1008,$I313-8)))</x:f>
      </x:c>
      <x:c r="H313" s="50" t="str">
        <x:f>IF(305&gt;$H$4,"",IF(INDEX('Fleet dates'!$I$9:$I$1008,$I313-8)="","",INDEX('Fleet dates'!$I$9:$I$1008,$I313-8)))</x:f>
      </x:c>
      <x:c r="I313" t="str">
        <x:f>IF(305&gt;$H$4,"",MATCH(305,'Fleet dates'!$L$9:$L$1008,0)+8)</x:f>
      </x:c>
    </x:row>
    <x:row r="314" ht="36" customHeight="1">
      <x:c r="A314" s="50" t="str">
        <x:f>IF(306&gt;$H$4,"",IF(INDEX('Fleet dates'!$A$9:$A$1008,$I314-8)="","",INDEX('Fleet dates'!$A$9:$A$1008,$I314-8)))</x:f>
      </x:c>
      <x:c r="B314" s="50" t="str">
        <x:f>IF(306&gt;$H$4,"",IF(INDEX('Fleet dates'!$B$9:$B$1008,$I314-8)="","",INDEX('Fleet dates'!$B$9:$B$1008,$I314-8)))</x:f>
      </x:c>
      <x:c r="C314" s="51" t="str">
        <x:f>IF(306&gt;$H$4,"",IF(INDEX('Fleet dates'!$C$9:$C$1008,$I314-8)="","",INDEX('Fleet dates'!$C$9:$C$1008,$I314-8)))</x:f>
      </x:c>
      <x:c r="D314" s="51" t="str">
        <x:f>IF(306&gt;$H$4,"",IF(INDEX('Fleet dates'!$D$9:$D$1008,$I314-8)="","",INDEX('Fleet dates'!$D$9:$D$1008,$I314-8)))</x:f>
      </x:c>
      <x:c r="E314" s="51" t="str">
        <x:f>IF(306&gt;$H$4,"",IF(INDEX('Fleet dates'!$E$9:$E$1008,$I314-8)="","",INDEX('Fleet dates'!$E$9:$E$1008,$I314-8)))</x:f>
      </x:c>
      <x:c r="F314" s="51" t="str">
        <x:f>IF(306&gt;$H$4,"",IF(INDEX('Fleet dates'!$F$9:$F$1008,$I314-8)="","",INDEX('Fleet dates'!$F$9:$F$1008,$I314-8)))</x:f>
      </x:c>
      <x:c r="G314" s="50" t="str">
        <x:f>IF(306&gt;$H$4,"",IF(INDEX('Fleet dates'!$G$9:$G$1008,$I314-8)="","",INDEX('Fleet dates'!$G$9:$G$1008,$I314-8)))</x:f>
      </x:c>
      <x:c r="H314" s="50" t="str">
        <x:f>IF(306&gt;$H$4,"",IF(INDEX('Fleet dates'!$I$9:$I$1008,$I314-8)="","",INDEX('Fleet dates'!$I$9:$I$1008,$I314-8)))</x:f>
      </x:c>
      <x:c r="I314" t="str">
        <x:f>IF(306&gt;$H$4,"",MATCH(306,'Fleet dates'!$L$9:$L$1008,0)+8)</x:f>
      </x:c>
    </x:row>
    <x:row r="315" ht="36" customHeight="1">
      <x:c r="A315" s="50" t="str">
        <x:f>IF(307&gt;$H$4,"",IF(INDEX('Fleet dates'!$A$9:$A$1008,$I315-8)="","",INDEX('Fleet dates'!$A$9:$A$1008,$I315-8)))</x:f>
      </x:c>
      <x:c r="B315" s="50" t="str">
        <x:f>IF(307&gt;$H$4,"",IF(INDEX('Fleet dates'!$B$9:$B$1008,$I315-8)="","",INDEX('Fleet dates'!$B$9:$B$1008,$I315-8)))</x:f>
      </x:c>
      <x:c r="C315" s="51" t="str">
        <x:f>IF(307&gt;$H$4,"",IF(INDEX('Fleet dates'!$C$9:$C$1008,$I315-8)="","",INDEX('Fleet dates'!$C$9:$C$1008,$I315-8)))</x:f>
      </x:c>
      <x:c r="D315" s="51" t="str">
        <x:f>IF(307&gt;$H$4,"",IF(INDEX('Fleet dates'!$D$9:$D$1008,$I315-8)="","",INDEX('Fleet dates'!$D$9:$D$1008,$I315-8)))</x:f>
      </x:c>
      <x:c r="E315" s="51" t="str">
        <x:f>IF(307&gt;$H$4,"",IF(INDEX('Fleet dates'!$E$9:$E$1008,$I315-8)="","",INDEX('Fleet dates'!$E$9:$E$1008,$I315-8)))</x:f>
      </x:c>
      <x:c r="F315" s="51" t="str">
        <x:f>IF(307&gt;$H$4,"",IF(INDEX('Fleet dates'!$F$9:$F$1008,$I315-8)="","",INDEX('Fleet dates'!$F$9:$F$1008,$I315-8)))</x:f>
      </x:c>
      <x:c r="G315" s="50" t="str">
        <x:f>IF(307&gt;$H$4,"",IF(INDEX('Fleet dates'!$G$9:$G$1008,$I315-8)="","",INDEX('Fleet dates'!$G$9:$G$1008,$I315-8)))</x:f>
      </x:c>
      <x:c r="H315" s="50" t="str">
        <x:f>IF(307&gt;$H$4,"",IF(INDEX('Fleet dates'!$I$9:$I$1008,$I315-8)="","",INDEX('Fleet dates'!$I$9:$I$1008,$I315-8)))</x:f>
      </x:c>
      <x:c r="I315" t="str">
        <x:f>IF(307&gt;$H$4,"",MATCH(307,'Fleet dates'!$L$9:$L$1008,0)+8)</x:f>
      </x:c>
    </x:row>
    <x:row r="316" ht="36" customHeight="1">
      <x:c r="A316" s="50" t="str">
        <x:f>IF(308&gt;$H$4,"",IF(INDEX('Fleet dates'!$A$9:$A$1008,$I316-8)="","",INDEX('Fleet dates'!$A$9:$A$1008,$I316-8)))</x:f>
      </x:c>
      <x:c r="B316" s="50" t="str">
        <x:f>IF(308&gt;$H$4,"",IF(INDEX('Fleet dates'!$B$9:$B$1008,$I316-8)="","",INDEX('Fleet dates'!$B$9:$B$1008,$I316-8)))</x:f>
      </x:c>
      <x:c r="C316" s="51" t="str">
        <x:f>IF(308&gt;$H$4,"",IF(INDEX('Fleet dates'!$C$9:$C$1008,$I316-8)="","",INDEX('Fleet dates'!$C$9:$C$1008,$I316-8)))</x:f>
      </x:c>
      <x:c r="D316" s="51" t="str">
        <x:f>IF(308&gt;$H$4,"",IF(INDEX('Fleet dates'!$D$9:$D$1008,$I316-8)="","",INDEX('Fleet dates'!$D$9:$D$1008,$I316-8)))</x:f>
      </x:c>
      <x:c r="E316" s="51" t="str">
        <x:f>IF(308&gt;$H$4,"",IF(INDEX('Fleet dates'!$E$9:$E$1008,$I316-8)="","",INDEX('Fleet dates'!$E$9:$E$1008,$I316-8)))</x:f>
      </x:c>
      <x:c r="F316" s="51" t="str">
        <x:f>IF(308&gt;$H$4,"",IF(INDEX('Fleet dates'!$F$9:$F$1008,$I316-8)="","",INDEX('Fleet dates'!$F$9:$F$1008,$I316-8)))</x:f>
      </x:c>
      <x:c r="G316" s="50" t="str">
        <x:f>IF(308&gt;$H$4,"",IF(INDEX('Fleet dates'!$G$9:$G$1008,$I316-8)="","",INDEX('Fleet dates'!$G$9:$G$1008,$I316-8)))</x:f>
      </x:c>
      <x:c r="H316" s="50" t="str">
        <x:f>IF(308&gt;$H$4,"",IF(INDEX('Fleet dates'!$I$9:$I$1008,$I316-8)="","",INDEX('Fleet dates'!$I$9:$I$1008,$I316-8)))</x:f>
      </x:c>
      <x:c r="I316" t="str">
        <x:f>IF(308&gt;$H$4,"",MATCH(308,'Fleet dates'!$L$9:$L$1008,0)+8)</x:f>
      </x:c>
    </x:row>
    <x:row r="317" ht="36" customHeight="1">
      <x:c r="A317" s="50" t="str">
        <x:f>IF(309&gt;$H$4,"",IF(INDEX('Fleet dates'!$A$9:$A$1008,$I317-8)="","",INDEX('Fleet dates'!$A$9:$A$1008,$I317-8)))</x:f>
      </x:c>
      <x:c r="B317" s="50" t="str">
        <x:f>IF(309&gt;$H$4,"",IF(INDEX('Fleet dates'!$B$9:$B$1008,$I317-8)="","",INDEX('Fleet dates'!$B$9:$B$1008,$I317-8)))</x:f>
      </x:c>
      <x:c r="C317" s="51" t="str">
        <x:f>IF(309&gt;$H$4,"",IF(INDEX('Fleet dates'!$C$9:$C$1008,$I317-8)="","",INDEX('Fleet dates'!$C$9:$C$1008,$I317-8)))</x:f>
      </x:c>
      <x:c r="D317" s="51" t="str">
        <x:f>IF(309&gt;$H$4,"",IF(INDEX('Fleet dates'!$D$9:$D$1008,$I317-8)="","",INDEX('Fleet dates'!$D$9:$D$1008,$I317-8)))</x:f>
      </x:c>
      <x:c r="E317" s="51" t="str">
        <x:f>IF(309&gt;$H$4,"",IF(INDEX('Fleet dates'!$E$9:$E$1008,$I317-8)="","",INDEX('Fleet dates'!$E$9:$E$1008,$I317-8)))</x:f>
      </x:c>
      <x:c r="F317" s="51" t="str">
        <x:f>IF(309&gt;$H$4,"",IF(INDEX('Fleet dates'!$F$9:$F$1008,$I317-8)="","",INDEX('Fleet dates'!$F$9:$F$1008,$I317-8)))</x:f>
      </x:c>
      <x:c r="G317" s="50" t="str">
        <x:f>IF(309&gt;$H$4,"",IF(INDEX('Fleet dates'!$G$9:$G$1008,$I317-8)="","",INDEX('Fleet dates'!$G$9:$G$1008,$I317-8)))</x:f>
      </x:c>
      <x:c r="H317" s="50" t="str">
        <x:f>IF(309&gt;$H$4,"",IF(INDEX('Fleet dates'!$I$9:$I$1008,$I317-8)="","",INDEX('Fleet dates'!$I$9:$I$1008,$I317-8)))</x:f>
      </x:c>
      <x:c r="I317" t="str">
        <x:f>IF(309&gt;$H$4,"",MATCH(309,'Fleet dates'!$L$9:$L$1008,0)+8)</x:f>
      </x:c>
    </x:row>
    <x:row r="318" ht="36" customHeight="1">
      <x:c r="A318" s="50" t="str">
        <x:f>IF(310&gt;$H$4,"",IF(INDEX('Fleet dates'!$A$9:$A$1008,$I318-8)="","",INDEX('Fleet dates'!$A$9:$A$1008,$I318-8)))</x:f>
      </x:c>
      <x:c r="B318" s="50" t="str">
        <x:f>IF(310&gt;$H$4,"",IF(INDEX('Fleet dates'!$B$9:$B$1008,$I318-8)="","",INDEX('Fleet dates'!$B$9:$B$1008,$I318-8)))</x:f>
      </x:c>
      <x:c r="C318" s="51" t="str">
        <x:f>IF(310&gt;$H$4,"",IF(INDEX('Fleet dates'!$C$9:$C$1008,$I318-8)="","",INDEX('Fleet dates'!$C$9:$C$1008,$I318-8)))</x:f>
      </x:c>
      <x:c r="D318" s="51" t="str">
        <x:f>IF(310&gt;$H$4,"",IF(INDEX('Fleet dates'!$D$9:$D$1008,$I318-8)="","",INDEX('Fleet dates'!$D$9:$D$1008,$I318-8)))</x:f>
      </x:c>
      <x:c r="E318" s="51" t="str">
        <x:f>IF(310&gt;$H$4,"",IF(INDEX('Fleet dates'!$E$9:$E$1008,$I318-8)="","",INDEX('Fleet dates'!$E$9:$E$1008,$I318-8)))</x:f>
      </x:c>
      <x:c r="F318" s="51" t="str">
        <x:f>IF(310&gt;$H$4,"",IF(INDEX('Fleet dates'!$F$9:$F$1008,$I318-8)="","",INDEX('Fleet dates'!$F$9:$F$1008,$I318-8)))</x:f>
      </x:c>
      <x:c r="G318" s="50" t="str">
        <x:f>IF(310&gt;$H$4,"",IF(INDEX('Fleet dates'!$G$9:$G$1008,$I318-8)="","",INDEX('Fleet dates'!$G$9:$G$1008,$I318-8)))</x:f>
      </x:c>
      <x:c r="H318" s="50" t="str">
        <x:f>IF(310&gt;$H$4,"",IF(INDEX('Fleet dates'!$I$9:$I$1008,$I318-8)="","",INDEX('Fleet dates'!$I$9:$I$1008,$I318-8)))</x:f>
      </x:c>
      <x:c r="I318" t="str">
        <x:f>IF(310&gt;$H$4,"",MATCH(310,'Fleet dates'!$L$9:$L$1008,0)+8)</x:f>
      </x:c>
    </x:row>
    <x:row r="319" ht="36" customHeight="1">
      <x:c r="A319" s="50" t="str">
        <x:f>IF(311&gt;$H$4,"",IF(INDEX('Fleet dates'!$A$9:$A$1008,$I319-8)="","",INDEX('Fleet dates'!$A$9:$A$1008,$I319-8)))</x:f>
      </x:c>
      <x:c r="B319" s="50" t="str">
        <x:f>IF(311&gt;$H$4,"",IF(INDEX('Fleet dates'!$B$9:$B$1008,$I319-8)="","",INDEX('Fleet dates'!$B$9:$B$1008,$I319-8)))</x:f>
      </x:c>
      <x:c r="C319" s="51" t="str">
        <x:f>IF(311&gt;$H$4,"",IF(INDEX('Fleet dates'!$C$9:$C$1008,$I319-8)="","",INDEX('Fleet dates'!$C$9:$C$1008,$I319-8)))</x:f>
      </x:c>
      <x:c r="D319" s="51" t="str">
        <x:f>IF(311&gt;$H$4,"",IF(INDEX('Fleet dates'!$D$9:$D$1008,$I319-8)="","",INDEX('Fleet dates'!$D$9:$D$1008,$I319-8)))</x:f>
      </x:c>
      <x:c r="E319" s="51" t="str">
        <x:f>IF(311&gt;$H$4,"",IF(INDEX('Fleet dates'!$E$9:$E$1008,$I319-8)="","",INDEX('Fleet dates'!$E$9:$E$1008,$I319-8)))</x:f>
      </x:c>
      <x:c r="F319" s="51" t="str">
        <x:f>IF(311&gt;$H$4,"",IF(INDEX('Fleet dates'!$F$9:$F$1008,$I319-8)="","",INDEX('Fleet dates'!$F$9:$F$1008,$I319-8)))</x:f>
      </x:c>
      <x:c r="G319" s="50" t="str">
        <x:f>IF(311&gt;$H$4,"",IF(INDEX('Fleet dates'!$G$9:$G$1008,$I319-8)="","",INDEX('Fleet dates'!$G$9:$G$1008,$I319-8)))</x:f>
      </x:c>
      <x:c r="H319" s="50" t="str">
        <x:f>IF(311&gt;$H$4,"",IF(INDEX('Fleet dates'!$I$9:$I$1008,$I319-8)="","",INDEX('Fleet dates'!$I$9:$I$1008,$I319-8)))</x:f>
      </x:c>
      <x:c r="I319" t="str">
        <x:f>IF(311&gt;$H$4,"",MATCH(311,'Fleet dates'!$L$9:$L$1008,0)+8)</x:f>
      </x:c>
    </x:row>
    <x:row r="320" ht="36" customHeight="1">
      <x:c r="A320" s="50" t="str">
        <x:f>IF(312&gt;$H$4,"",IF(INDEX('Fleet dates'!$A$9:$A$1008,$I320-8)="","",INDEX('Fleet dates'!$A$9:$A$1008,$I320-8)))</x:f>
      </x:c>
      <x:c r="B320" s="50" t="str">
        <x:f>IF(312&gt;$H$4,"",IF(INDEX('Fleet dates'!$B$9:$B$1008,$I320-8)="","",INDEX('Fleet dates'!$B$9:$B$1008,$I320-8)))</x:f>
      </x:c>
      <x:c r="C320" s="51" t="str">
        <x:f>IF(312&gt;$H$4,"",IF(INDEX('Fleet dates'!$C$9:$C$1008,$I320-8)="","",INDEX('Fleet dates'!$C$9:$C$1008,$I320-8)))</x:f>
      </x:c>
      <x:c r="D320" s="51" t="str">
        <x:f>IF(312&gt;$H$4,"",IF(INDEX('Fleet dates'!$D$9:$D$1008,$I320-8)="","",INDEX('Fleet dates'!$D$9:$D$1008,$I320-8)))</x:f>
      </x:c>
      <x:c r="E320" s="51" t="str">
        <x:f>IF(312&gt;$H$4,"",IF(INDEX('Fleet dates'!$E$9:$E$1008,$I320-8)="","",INDEX('Fleet dates'!$E$9:$E$1008,$I320-8)))</x:f>
      </x:c>
      <x:c r="F320" s="51" t="str">
        <x:f>IF(312&gt;$H$4,"",IF(INDEX('Fleet dates'!$F$9:$F$1008,$I320-8)="","",INDEX('Fleet dates'!$F$9:$F$1008,$I320-8)))</x:f>
      </x:c>
      <x:c r="G320" s="50" t="str">
        <x:f>IF(312&gt;$H$4,"",IF(INDEX('Fleet dates'!$G$9:$G$1008,$I320-8)="","",INDEX('Fleet dates'!$G$9:$G$1008,$I320-8)))</x:f>
      </x:c>
      <x:c r="H320" s="50" t="str">
        <x:f>IF(312&gt;$H$4,"",IF(INDEX('Fleet dates'!$I$9:$I$1008,$I320-8)="","",INDEX('Fleet dates'!$I$9:$I$1008,$I320-8)))</x:f>
      </x:c>
      <x:c r="I320" t="str">
        <x:f>IF(312&gt;$H$4,"",MATCH(312,'Fleet dates'!$L$9:$L$1008,0)+8)</x:f>
      </x:c>
    </x:row>
    <x:row r="321" ht="36" customHeight="1">
      <x:c r="A321" s="50" t="str">
        <x:f>IF(313&gt;$H$4,"",IF(INDEX('Fleet dates'!$A$9:$A$1008,$I321-8)="","",INDEX('Fleet dates'!$A$9:$A$1008,$I321-8)))</x:f>
      </x:c>
      <x:c r="B321" s="50" t="str">
        <x:f>IF(313&gt;$H$4,"",IF(INDEX('Fleet dates'!$B$9:$B$1008,$I321-8)="","",INDEX('Fleet dates'!$B$9:$B$1008,$I321-8)))</x:f>
      </x:c>
      <x:c r="C321" s="51" t="str">
        <x:f>IF(313&gt;$H$4,"",IF(INDEX('Fleet dates'!$C$9:$C$1008,$I321-8)="","",INDEX('Fleet dates'!$C$9:$C$1008,$I321-8)))</x:f>
      </x:c>
      <x:c r="D321" s="51" t="str">
        <x:f>IF(313&gt;$H$4,"",IF(INDEX('Fleet dates'!$D$9:$D$1008,$I321-8)="","",INDEX('Fleet dates'!$D$9:$D$1008,$I321-8)))</x:f>
      </x:c>
      <x:c r="E321" s="51" t="str">
        <x:f>IF(313&gt;$H$4,"",IF(INDEX('Fleet dates'!$E$9:$E$1008,$I321-8)="","",INDEX('Fleet dates'!$E$9:$E$1008,$I321-8)))</x:f>
      </x:c>
      <x:c r="F321" s="51" t="str">
        <x:f>IF(313&gt;$H$4,"",IF(INDEX('Fleet dates'!$F$9:$F$1008,$I321-8)="","",INDEX('Fleet dates'!$F$9:$F$1008,$I321-8)))</x:f>
      </x:c>
      <x:c r="G321" s="50" t="str">
        <x:f>IF(313&gt;$H$4,"",IF(INDEX('Fleet dates'!$G$9:$G$1008,$I321-8)="","",INDEX('Fleet dates'!$G$9:$G$1008,$I321-8)))</x:f>
      </x:c>
      <x:c r="H321" s="50" t="str">
        <x:f>IF(313&gt;$H$4,"",IF(INDEX('Fleet dates'!$I$9:$I$1008,$I321-8)="","",INDEX('Fleet dates'!$I$9:$I$1008,$I321-8)))</x:f>
      </x:c>
      <x:c r="I321" t="str">
        <x:f>IF(313&gt;$H$4,"",MATCH(313,'Fleet dates'!$L$9:$L$1008,0)+8)</x:f>
      </x:c>
    </x:row>
    <x:row r="322" ht="36" customHeight="1">
      <x:c r="A322" s="50" t="str">
        <x:f>IF(314&gt;$H$4,"",IF(INDEX('Fleet dates'!$A$9:$A$1008,$I322-8)="","",INDEX('Fleet dates'!$A$9:$A$1008,$I322-8)))</x:f>
      </x:c>
      <x:c r="B322" s="50" t="str">
        <x:f>IF(314&gt;$H$4,"",IF(INDEX('Fleet dates'!$B$9:$B$1008,$I322-8)="","",INDEX('Fleet dates'!$B$9:$B$1008,$I322-8)))</x:f>
      </x:c>
      <x:c r="C322" s="51" t="str">
        <x:f>IF(314&gt;$H$4,"",IF(INDEX('Fleet dates'!$C$9:$C$1008,$I322-8)="","",INDEX('Fleet dates'!$C$9:$C$1008,$I322-8)))</x:f>
      </x:c>
      <x:c r="D322" s="51" t="str">
        <x:f>IF(314&gt;$H$4,"",IF(INDEX('Fleet dates'!$D$9:$D$1008,$I322-8)="","",INDEX('Fleet dates'!$D$9:$D$1008,$I322-8)))</x:f>
      </x:c>
      <x:c r="E322" s="51" t="str">
        <x:f>IF(314&gt;$H$4,"",IF(INDEX('Fleet dates'!$E$9:$E$1008,$I322-8)="","",INDEX('Fleet dates'!$E$9:$E$1008,$I322-8)))</x:f>
      </x:c>
      <x:c r="F322" s="51" t="str">
        <x:f>IF(314&gt;$H$4,"",IF(INDEX('Fleet dates'!$F$9:$F$1008,$I322-8)="","",INDEX('Fleet dates'!$F$9:$F$1008,$I322-8)))</x:f>
      </x:c>
      <x:c r="G322" s="50" t="str">
        <x:f>IF(314&gt;$H$4,"",IF(INDEX('Fleet dates'!$G$9:$G$1008,$I322-8)="","",INDEX('Fleet dates'!$G$9:$G$1008,$I322-8)))</x:f>
      </x:c>
      <x:c r="H322" s="50" t="str">
        <x:f>IF(314&gt;$H$4,"",IF(INDEX('Fleet dates'!$I$9:$I$1008,$I322-8)="","",INDEX('Fleet dates'!$I$9:$I$1008,$I322-8)))</x:f>
      </x:c>
      <x:c r="I322" t="str">
        <x:f>IF(314&gt;$H$4,"",MATCH(314,'Fleet dates'!$L$9:$L$1008,0)+8)</x:f>
      </x:c>
    </x:row>
    <x:row r="323" ht="36" customHeight="1">
      <x:c r="A323" s="50" t="str">
        <x:f>IF(315&gt;$H$4,"",IF(INDEX('Fleet dates'!$A$9:$A$1008,$I323-8)="","",INDEX('Fleet dates'!$A$9:$A$1008,$I323-8)))</x:f>
      </x:c>
      <x:c r="B323" s="50" t="str">
        <x:f>IF(315&gt;$H$4,"",IF(INDEX('Fleet dates'!$B$9:$B$1008,$I323-8)="","",INDEX('Fleet dates'!$B$9:$B$1008,$I323-8)))</x:f>
      </x:c>
      <x:c r="C323" s="51" t="str">
        <x:f>IF(315&gt;$H$4,"",IF(INDEX('Fleet dates'!$C$9:$C$1008,$I323-8)="","",INDEX('Fleet dates'!$C$9:$C$1008,$I323-8)))</x:f>
      </x:c>
      <x:c r="D323" s="51" t="str">
        <x:f>IF(315&gt;$H$4,"",IF(INDEX('Fleet dates'!$D$9:$D$1008,$I323-8)="","",INDEX('Fleet dates'!$D$9:$D$1008,$I323-8)))</x:f>
      </x:c>
      <x:c r="E323" s="51" t="str">
        <x:f>IF(315&gt;$H$4,"",IF(INDEX('Fleet dates'!$E$9:$E$1008,$I323-8)="","",INDEX('Fleet dates'!$E$9:$E$1008,$I323-8)))</x:f>
      </x:c>
      <x:c r="F323" s="51" t="str">
        <x:f>IF(315&gt;$H$4,"",IF(INDEX('Fleet dates'!$F$9:$F$1008,$I323-8)="","",INDEX('Fleet dates'!$F$9:$F$1008,$I323-8)))</x:f>
      </x:c>
      <x:c r="G323" s="50" t="str">
        <x:f>IF(315&gt;$H$4,"",IF(INDEX('Fleet dates'!$G$9:$G$1008,$I323-8)="","",INDEX('Fleet dates'!$G$9:$G$1008,$I323-8)))</x:f>
      </x:c>
      <x:c r="H323" s="50" t="str">
        <x:f>IF(315&gt;$H$4,"",IF(INDEX('Fleet dates'!$I$9:$I$1008,$I323-8)="","",INDEX('Fleet dates'!$I$9:$I$1008,$I323-8)))</x:f>
      </x:c>
      <x:c r="I323" t="str">
        <x:f>IF(315&gt;$H$4,"",MATCH(315,'Fleet dates'!$L$9:$L$1008,0)+8)</x:f>
      </x:c>
    </x:row>
    <x:row r="324" ht="36" customHeight="1">
      <x:c r="A324" s="50" t="str">
        <x:f>IF(316&gt;$H$4,"",IF(INDEX('Fleet dates'!$A$9:$A$1008,$I324-8)="","",INDEX('Fleet dates'!$A$9:$A$1008,$I324-8)))</x:f>
      </x:c>
      <x:c r="B324" s="50" t="str">
        <x:f>IF(316&gt;$H$4,"",IF(INDEX('Fleet dates'!$B$9:$B$1008,$I324-8)="","",INDEX('Fleet dates'!$B$9:$B$1008,$I324-8)))</x:f>
      </x:c>
      <x:c r="C324" s="51" t="str">
        <x:f>IF(316&gt;$H$4,"",IF(INDEX('Fleet dates'!$C$9:$C$1008,$I324-8)="","",INDEX('Fleet dates'!$C$9:$C$1008,$I324-8)))</x:f>
      </x:c>
      <x:c r="D324" s="51" t="str">
        <x:f>IF(316&gt;$H$4,"",IF(INDEX('Fleet dates'!$D$9:$D$1008,$I324-8)="","",INDEX('Fleet dates'!$D$9:$D$1008,$I324-8)))</x:f>
      </x:c>
      <x:c r="E324" s="51" t="str">
        <x:f>IF(316&gt;$H$4,"",IF(INDEX('Fleet dates'!$E$9:$E$1008,$I324-8)="","",INDEX('Fleet dates'!$E$9:$E$1008,$I324-8)))</x:f>
      </x:c>
      <x:c r="F324" s="51" t="str">
        <x:f>IF(316&gt;$H$4,"",IF(INDEX('Fleet dates'!$F$9:$F$1008,$I324-8)="","",INDEX('Fleet dates'!$F$9:$F$1008,$I324-8)))</x:f>
      </x:c>
      <x:c r="G324" s="50" t="str">
        <x:f>IF(316&gt;$H$4,"",IF(INDEX('Fleet dates'!$G$9:$G$1008,$I324-8)="","",INDEX('Fleet dates'!$G$9:$G$1008,$I324-8)))</x:f>
      </x:c>
      <x:c r="H324" s="50" t="str">
        <x:f>IF(316&gt;$H$4,"",IF(INDEX('Fleet dates'!$I$9:$I$1008,$I324-8)="","",INDEX('Fleet dates'!$I$9:$I$1008,$I324-8)))</x:f>
      </x:c>
      <x:c r="I324" t="str">
        <x:f>IF(316&gt;$H$4,"",MATCH(316,'Fleet dates'!$L$9:$L$1008,0)+8)</x:f>
      </x:c>
    </x:row>
    <x:row r="325" ht="36" customHeight="1">
      <x:c r="A325" s="50" t="str">
        <x:f>IF(317&gt;$H$4,"",IF(INDEX('Fleet dates'!$A$9:$A$1008,$I325-8)="","",INDEX('Fleet dates'!$A$9:$A$1008,$I325-8)))</x:f>
      </x:c>
      <x:c r="B325" s="50" t="str">
        <x:f>IF(317&gt;$H$4,"",IF(INDEX('Fleet dates'!$B$9:$B$1008,$I325-8)="","",INDEX('Fleet dates'!$B$9:$B$1008,$I325-8)))</x:f>
      </x:c>
      <x:c r="C325" s="51" t="str">
        <x:f>IF(317&gt;$H$4,"",IF(INDEX('Fleet dates'!$C$9:$C$1008,$I325-8)="","",INDEX('Fleet dates'!$C$9:$C$1008,$I325-8)))</x:f>
      </x:c>
      <x:c r="D325" s="51" t="str">
        <x:f>IF(317&gt;$H$4,"",IF(INDEX('Fleet dates'!$D$9:$D$1008,$I325-8)="","",INDEX('Fleet dates'!$D$9:$D$1008,$I325-8)))</x:f>
      </x:c>
      <x:c r="E325" s="51" t="str">
        <x:f>IF(317&gt;$H$4,"",IF(INDEX('Fleet dates'!$E$9:$E$1008,$I325-8)="","",INDEX('Fleet dates'!$E$9:$E$1008,$I325-8)))</x:f>
      </x:c>
      <x:c r="F325" s="51" t="str">
        <x:f>IF(317&gt;$H$4,"",IF(INDEX('Fleet dates'!$F$9:$F$1008,$I325-8)="","",INDEX('Fleet dates'!$F$9:$F$1008,$I325-8)))</x:f>
      </x:c>
      <x:c r="G325" s="50" t="str">
        <x:f>IF(317&gt;$H$4,"",IF(INDEX('Fleet dates'!$G$9:$G$1008,$I325-8)="","",INDEX('Fleet dates'!$G$9:$G$1008,$I325-8)))</x:f>
      </x:c>
      <x:c r="H325" s="50" t="str">
        <x:f>IF(317&gt;$H$4,"",IF(INDEX('Fleet dates'!$I$9:$I$1008,$I325-8)="","",INDEX('Fleet dates'!$I$9:$I$1008,$I325-8)))</x:f>
      </x:c>
      <x:c r="I325" t="str">
        <x:f>IF(317&gt;$H$4,"",MATCH(317,'Fleet dates'!$L$9:$L$1008,0)+8)</x:f>
      </x:c>
    </x:row>
    <x:row r="326" ht="36" customHeight="1">
      <x:c r="A326" s="50" t="str">
        <x:f>IF(318&gt;$H$4,"",IF(INDEX('Fleet dates'!$A$9:$A$1008,$I326-8)="","",INDEX('Fleet dates'!$A$9:$A$1008,$I326-8)))</x:f>
      </x:c>
      <x:c r="B326" s="50" t="str">
        <x:f>IF(318&gt;$H$4,"",IF(INDEX('Fleet dates'!$B$9:$B$1008,$I326-8)="","",INDEX('Fleet dates'!$B$9:$B$1008,$I326-8)))</x:f>
      </x:c>
      <x:c r="C326" s="51" t="str">
        <x:f>IF(318&gt;$H$4,"",IF(INDEX('Fleet dates'!$C$9:$C$1008,$I326-8)="","",INDEX('Fleet dates'!$C$9:$C$1008,$I326-8)))</x:f>
      </x:c>
      <x:c r="D326" s="51" t="str">
        <x:f>IF(318&gt;$H$4,"",IF(INDEX('Fleet dates'!$D$9:$D$1008,$I326-8)="","",INDEX('Fleet dates'!$D$9:$D$1008,$I326-8)))</x:f>
      </x:c>
      <x:c r="E326" s="51" t="str">
        <x:f>IF(318&gt;$H$4,"",IF(INDEX('Fleet dates'!$E$9:$E$1008,$I326-8)="","",INDEX('Fleet dates'!$E$9:$E$1008,$I326-8)))</x:f>
      </x:c>
      <x:c r="F326" s="51" t="str">
        <x:f>IF(318&gt;$H$4,"",IF(INDEX('Fleet dates'!$F$9:$F$1008,$I326-8)="","",INDEX('Fleet dates'!$F$9:$F$1008,$I326-8)))</x:f>
      </x:c>
      <x:c r="G326" s="50" t="str">
        <x:f>IF(318&gt;$H$4,"",IF(INDEX('Fleet dates'!$G$9:$G$1008,$I326-8)="","",INDEX('Fleet dates'!$G$9:$G$1008,$I326-8)))</x:f>
      </x:c>
      <x:c r="H326" s="50" t="str">
        <x:f>IF(318&gt;$H$4,"",IF(INDEX('Fleet dates'!$I$9:$I$1008,$I326-8)="","",INDEX('Fleet dates'!$I$9:$I$1008,$I326-8)))</x:f>
      </x:c>
      <x:c r="I326" t="str">
        <x:f>IF(318&gt;$H$4,"",MATCH(318,'Fleet dates'!$L$9:$L$1008,0)+8)</x:f>
      </x:c>
    </x:row>
    <x:row r="327" ht="36" customHeight="1">
      <x:c r="A327" s="50" t="str">
        <x:f>IF(319&gt;$H$4,"",IF(INDEX('Fleet dates'!$A$9:$A$1008,$I327-8)="","",INDEX('Fleet dates'!$A$9:$A$1008,$I327-8)))</x:f>
      </x:c>
      <x:c r="B327" s="50" t="str">
        <x:f>IF(319&gt;$H$4,"",IF(INDEX('Fleet dates'!$B$9:$B$1008,$I327-8)="","",INDEX('Fleet dates'!$B$9:$B$1008,$I327-8)))</x:f>
      </x:c>
      <x:c r="C327" s="51" t="str">
        <x:f>IF(319&gt;$H$4,"",IF(INDEX('Fleet dates'!$C$9:$C$1008,$I327-8)="","",INDEX('Fleet dates'!$C$9:$C$1008,$I327-8)))</x:f>
      </x:c>
      <x:c r="D327" s="51" t="str">
        <x:f>IF(319&gt;$H$4,"",IF(INDEX('Fleet dates'!$D$9:$D$1008,$I327-8)="","",INDEX('Fleet dates'!$D$9:$D$1008,$I327-8)))</x:f>
      </x:c>
      <x:c r="E327" s="51" t="str">
        <x:f>IF(319&gt;$H$4,"",IF(INDEX('Fleet dates'!$E$9:$E$1008,$I327-8)="","",INDEX('Fleet dates'!$E$9:$E$1008,$I327-8)))</x:f>
      </x:c>
      <x:c r="F327" s="51" t="str">
        <x:f>IF(319&gt;$H$4,"",IF(INDEX('Fleet dates'!$F$9:$F$1008,$I327-8)="","",INDEX('Fleet dates'!$F$9:$F$1008,$I327-8)))</x:f>
      </x:c>
      <x:c r="G327" s="50" t="str">
        <x:f>IF(319&gt;$H$4,"",IF(INDEX('Fleet dates'!$G$9:$G$1008,$I327-8)="","",INDEX('Fleet dates'!$G$9:$G$1008,$I327-8)))</x:f>
      </x:c>
      <x:c r="H327" s="50" t="str">
        <x:f>IF(319&gt;$H$4,"",IF(INDEX('Fleet dates'!$I$9:$I$1008,$I327-8)="","",INDEX('Fleet dates'!$I$9:$I$1008,$I327-8)))</x:f>
      </x:c>
      <x:c r="I327" t="str">
        <x:f>IF(319&gt;$H$4,"",MATCH(319,'Fleet dates'!$L$9:$L$1008,0)+8)</x:f>
      </x:c>
    </x:row>
    <x:row r="328" ht="36" customHeight="1">
      <x:c r="A328" s="50" t="str">
        <x:f>IF(320&gt;$H$4,"",IF(INDEX('Fleet dates'!$A$9:$A$1008,$I328-8)="","",INDEX('Fleet dates'!$A$9:$A$1008,$I328-8)))</x:f>
      </x:c>
      <x:c r="B328" s="50" t="str">
        <x:f>IF(320&gt;$H$4,"",IF(INDEX('Fleet dates'!$B$9:$B$1008,$I328-8)="","",INDEX('Fleet dates'!$B$9:$B$1008,$I328-8)))</x:f>
      </x:c>
      <x:c r="C328" s="51" t="str">
        <x:f>IF(320&gt;$H$4,"",IF(INDEX('Fleet dates'!$C$9:$C$1008,$I328-8)="","",INDEX('Fleet dates'!$C$9:$C$1008,$I328-8)))</x:f>
      </x:c>
      <x:c r="D328" s="51" t="str">
        <x:f>IF(320&gt;$H$4,"",IF(INDEX('Fleet dates'!$D$9:$D$1008,$I328-8)="","",INDEX('Fleet dates'!$D$9:$D$1008,$I328-8)))</x:f>
      </x:c>
      <x:c r="E328" s="51" t="str">
        <x:f>IF(320&gt;$H$4,"",IF(INDEX('Fleet dates'!$E$9:$E$1008,$I328-8)="","",INDEX('Fleet dates'!$E$9:$E$1008,$I328-8)))</x:f>
      </x:c>
      <x:c r="F328" s="51" t="str">
        <x:f>IF(320&gt;$H$4,"",IF(INDEX('Fleet dates'!$F$9:$F$1008,$I328-8)="","",INDEX('Fleet dates'!$F$9:$F$1008,$I328-8)))</x:f>
      </x:c>
      <x:c r="G328" s="50" t="str">
        <x:f>IF(320&gt;$H$4,"",IF(INDEX('Fleet dates'!$G$9:$G$1008,$I328-8)="","",INDEX('Fleet dates'!$G$9:$G$1008,$I328-8)))</x:f>
      </x:c>
      <x:c r="H328" s="50" t="str">
        <x:f>IF(320&gt;$H$4,"",IF(INDEX('Fleet dates'!$I$9:$I$1008,$I328-8)="","",INDEX('Fleet dates'!$I$9:$I$1008,$I328-8)))</x:f>
      </x:c>
      <x:c r="I328" t="str">
        <x:f>IF(320&gt;$H$4,"",MATCH(320,'Fleet dates'!$L$9:$L$1008,0)+8)</x:f>
      </x:c>
    </x:row>
    <x:row r="329" ht="36" customHeight="1">
      <x:c r="A329" s="50" t="str">
        <x:f>IF(321&gt;$H$4,"",IF(INDEX('Fleet dates'!$A$9:$A$1008,$I329-8)="","",INDEX('Fleet dates'!$A$9:$A$1008,$I329-8)))</x:f>
      </x:c>
      <x:c r="B329" s="50" t="str">
        <x:f>IF(321&gt;$H$4,"",IF(INDEX('Fleet dates'!$B$9:$B$1008,$I329-8)="","",INDEX('Fleet dates'!$B$9:$B$1008,$I329-8)))</x:f>
      </x:c>
      <x:c r="C329" s="51" t="str">
        <x:f>IF(321&gt;$H$4,"",IF(INDEX('Fleet dates'!$C$9:$C$1008,$I329-8)="","",INDEX('Fleet dates'!$C$9:$C$1008,$I329-8)))</x:f>
      </x:c>
      <x:c r="D329" s="51" t="str">
        <x:f>IF(321&gt;$H$4,"",IF(INDEX('Fleet dates'!$D$9:$D$1008,$I329-8)="","",INDEX('Fleet dates'!$D$9:$D$1008,$I329-8)))</x:f>
      </x:c>
      <x:c r="E329" s="51" t="str">
        <x:f>IF(321&gt;$H$4,"",IF(INDEX('Fleet dates'!$E$9:$E$1008,$I329-8)="","",INDEX('Fleet dates'!$E$9:$E$1008,$I329-8)))</x:f>
      </x:c>
      <x:c r="F329" s="51" t="str">
        <x:f>IF(321&gt;$H$4,"",IF(INDEX('Fleet dates'!$F$9:$F$1008,$I329-8)="","",INDEX('Fleet dates'!$F$9:$F$1008,$I329-8)))</x:f>
      </x:c>
      <x:c r="G329" s="50" t="str">
        <x:f>IF(321&gt;$H$4,"",IF(INDEX('Fleet dates'!$G$9:$G$1008,$I329-8)="","",INDEX('Fleet dates'!$G$9:$G$1008,$I329-8)))</x:f>
      </x:c>
      <x:c r="H329" s="50" t="str">
        <x:f>IF(321&gt;$H$4,"",IF(INDEX('Fleet dates'!$I$9:$I$1008,$I329-8)="","",INDEX('Fleet dates'!$I$9:$I$1008,$I329-8)))</x:f>
      </x:c>
      <x:c r="I329" t="str">
        <x:f>IF(321&gt;$H$4,"",MATCH(321,'Fleet dates'!$L$9:$L$1008,0)+8)</x:f>
      </x:c>
    </x:row>
    <x:row r="330" ht="36" customHeight="1">
      <x:c r="A330" s="50" t="str">
        <x:f>IF(322&gt;$H$4,"",IF(INDEX('Fleet dates'!$A$9:$A$1008,$I330-8)="","",INDEX('Fleet dates'!$A$9:$A$1008,$I330-8)))</x:f>
      </x:c>
      <x:c r="B330" s="50" t="str">
        <x:f>IF(322&gt;$H$4,"",IF(INDEX('Fleet dates'!$B$9:$B$1008,$I330-8)="","",INDEX('Fleet dates'!$B$9:$B$1008,$I330-8)))</x:f>
      </x:c>
      <x:c r="C330" s="51" t="str">
        <x:f>IF(322&gt;$H$4,"",IF(INDEX('Fleet dates'!$C$9:$C$1008,$I330-8)="","",INDEX('Fleet dates'!$C$9:$C$1008,$I330-8)))</x:f>
      </x:c>
      <x:c r="D330" s="51" t="str">
        <x:f>IF(322&gt;$H$4,"",IF(INDEX('Fleet dates'!$D$9:$D$1008,$I330-8)="","",INDEX('Fleet dates'!$D$9:$D$1008,$I330-8)))</x:f>
      </x:c>
      <x:c r="E330" s="51" t="str">
        <x:f>IF(322&gt;$H$4,"",IF(INDEX('Fleet dates'!$E$9:$E$1008,$I330-8)="","",INDEX('Fleet dates'!$E$9:$E$1008,$I330-8)))</x:f>
      </x:c>
      <x:c r="F330" s="51" t="str">
        <x:f>IF(322&gt;$H$4,"",IF(INDEX('Fleet dates'!$F$9:$F$1008,$I330-8)="","",INDEX('Fleet dates'!$F$9:$F$1008,$I330-8)))</x:f>
      </x:c>
      <x:c r="G330" s="50" t="str">
        <x:f>IF(322&gt;$H$4,"",IF(INDEX('Fleet dates'!$G$9:$G$1008,$I330-8)="","",INDEX('Fleet dates'!$G$9:$G$1008,$I330-8)))</x:f>
      </x:c>
      <x:c r="H330" s="50" t="str">
        <x:f>IF(322&gt;$H$4,"",IF(INDEX('Fleet dates'!$I$9:$I$1008,$I330-8)="","",INDEX('Fleet dates'!$I$9:$I$1008,$I330-8)))</x:f>
      </x:c>
      <x:c r="I330" t="str">
        <x:f>IF(322&gt;$H$4,"",MATCH(322,'Fleet dates'!$L$9:$L$1008,0)+8)</x:f>
      </x:c>
    </x:row>
    <x:row r="331" ht="36" customHeight="1">
      <x:c r="A331" s="50" t="str">
        <x:f>IF(323&gt;$H$4,"",IF(INDEX('Fleet dates'!$A$9:$A$1008,$I331-8)="","",INDEX('Fleet dates'!$A$9:$A$1008,$I331-8)))</x:f>
      </x:c>
      <x:c r="B331" s="50" t="str">
        <x:f>IF(323&gt;$H$4,"",IF(INDEX('Fleet dates'!$B$9:$B$1008,$I331-8)="","",INDEX('Fleet dates'!$B$9:$B$1008,$I331-8)))</x:f>
      </x:c>
      <x:c r="C331" s="51" t="str">
        <x:f>IF(323&gt;$H$4,"",IF(INDEX('Fleet dates'!$C$9:$C$1008,$I331-8)="","",INDEX('Fleet dates'!$C$9:$C$1008,$I331-8)))</x:f>
      </x:c>
      <x:c r="D331" s="51" t="str">
        <x:f>IF(323&gt;$H$4,"",IF(INDEX('Fleet dates'!$D$9:$D$1008,$I331-8)="","",INDEX('Fleet dates'!$D$9:$D$1008,$I331-8)))</x:f>
      </x:c>
      <x:c r="E331" s="51" t="str">
        <x:f>IF(323&gt;$H$4,"",IF(INDEX('Fleet dates'!$E$9:$E$1008,$I331-8)="","",INDEX('Fleet dates'!$E$9:$E$1008,$I331-8)))</x:f>
      </x:c>
      <x:c r="F331" s="51" t="str">
        <x:f>IF(323&gt;$H$4,"",IF(INDEX('Fleet dates'!$F$9:$F$1008,$I331-8)="","",INDEX('Fleet dates'!$F$9:$F$1008,$I331-8)))</x:f>
      </x:c>
      <x:c r="G331" s="50" t="str">
        <x:f>IF(323&gt;$H$4,"",IF(INDEX('Fleet dates'!$G$9:$G$1008,$I331-8)="","",INDEX('Fleet dates'!$G$9:$G$1008,$I331-8)))</x:f>
      </x:c>
      <x:c r="H331" s="50" t="str">
        <x:f>IF(323&gt;$H$4,"",IF(INDEX('Fleet dates'!$I$9:$I$1008,$I331-8)="","",INDEX('Fleet dates'!$I$9:$I$1008,$I331-8)))</x:f>
      </x:c>
      <x:c r="I331" t="str">
        <x:f>IF(323&gt;$H$4,"",MATCH(323,'Fleet dates'!$L$9:$L$1008,0)+8)</x:f>
      </x:c>
    </x:row>
    <x:row r="332" ht="36" customHeight="1">
      <x:c r="A332" s="50" t="str">
        <x:f>IF(324&gt;$H$4,"",IF(INDEX('Fleet dates'!$A$9:$A$1008,$I332-8)="","",INDEX('Fleet dates'!$A$9:$A$1008,$I332-8)))</x:f>
      </x:c>
      <x:c r="B332" s="50" t="str">
        <x:f>IF(324&gt;$H$4,"",IF(INDEX('Fleet dates'!$B$9:$B$1008,$I332-8)="","",INDEX('Fleet dates'!$B$9:$B$1008,$I332-8)))</x:f>
      </x:c>
      <x:c r="C332" s="51" t="str">
        <x:f>IF(324&gt;$H$4,"",IF(INDEX('Fleet dates'!$C$9:$C$1008,$I332-8)="","",INDEX('Fleet dates'!$C$9:$C$1008,$I332-8)))</x:f>
      </x:c>
      <x:c r="D332" s="51" t="str">
        <x:f>IF(324&gt;$H$4,"",IF(INDEX('Fleet dates'!$D$9:$D$1008,$I332-8)="","",INDEX('Fleet dates'!$D$9:$D$1008,$I332-8)))</x:f>
      </x:c>
      <x:c r="E332" s="51" t="str">
        <x:f>IF(324&gt;$H$4,"",IF(INDEX('Fleet dates'!$E$9:$E$1008,$I332-8)="","",INDEX('Fleet dates'!$E$9:$E$1008,$I332-8)))</x:f>
      </x:c>
      <x:c r="F332" s="51" t="str">
        <x:f>IF(324&gt;$H$4,"",IF(INDEX('Fleet dates'!$F$9:$F$1008,$I332-8)="","",INDEX('Fleet dates'!$F$9:$F$1008,$I332-8)))</x:f>
      </x:c>
      <x:c r="G332" s="50" t="str">
        <x:f>IF(324&gt;$H$4,"",IF(INDEX('Fleet dates'!$G$9:$G$1008,$I332-8)="","",INDEX('Fleet dates'!$G$9:$G$1008,$I332-8)))</x:f>
      </x:c>
      <x:c r="H332" s="50" t="str">
        <x:f>IF(324&gt;$H$4,"",IF(INDEX('Fleet dates'!$I$9:$I$1008,$I332-8)="","",INDEX('Fleet dates'!$I$9:$I$1008,$I332-8)))</x:f>
      </x:c>
      <x:c r="I332" t="str">
        <x:f>IF(324&gt;$H$4,"",MATCH(324,'Fleet dates'!$L$9:$L$1008,0)+8)</x:f>
      </x:c>
    </x:row>
    <x:row r="333" ht="36" customHeight="1">
      <x:c r="A333" s="50" t="str">
        <x:f>IF(325&gt;$H$4,"",IF(INDEX('Fleet dates'!$A$9:$A$1008,$I333-8)="","",INDEX('Fleet dates'!$A$9:$A$1008,$I333-8)))</x:f>
      </x:c>
      <x:c r="B333" s="50" t="str">
        <x:f>IF(325&gt;$H$4,"",IF(INDEX('Fleet dates'!$B$9:$B$1008,$I333-8)="","",INDEX('Fleet dates'!$B$9:$B$1008,$I333-8)))</x:f>
      </x:c>
      <x:c r="C333" s="51" t="str">
        <x:f>IF(325&gt;$H$4,"",IF(INDEX('Fleet dates'!$C$9:$C$1008,$I333-8)="","",INDEX('Fleet dates'!$C$9:$C$1008,$I333-8)))</x:f>
      </x:c>
      <x:c r="D333" s="51" t="str">
        <x:f>IF(325&gt;$H$4,"",IF(INDEX('Fleet dates'!$D$9:$D$1008,$I333-8)="","",INDEX('Fleet dates'!$D$9:$D$1008,$I333-8)))</x:f>
      </x:c>
      <x:c r="E333" s="51" t="str">
        <x:f>IF(325&gt;$H$4,"",IF(INDEX('Fleet dates'!$E$9:$E$1008,$I333-8)="","",INDEX('Fleet dates'!$E$9:$E$1008,$I333-8)))</x:f>
      </x:c>
      <x:c r="F333" s="51" t="str">
        <x:f>IF(325&gt;$H$4,"",IF(INDEX('Fleet dates'!$F$9:$F$1008,$I333-8)="","",INDEX('Fleet dates'!$F$9:$F$1008,$I333-8)))</x:f>
      </x:c>
      <x:c r="G333" s="50" t="str">
        <x:f>IF(325&gt;$H$4,"",IF(INDEX('Fleet dates'!$G$9:$G$1008,$I333-8)="","",INDEX('Fleet dates'!$G$9:$G$1008,$I333-8)))</x:f>
      </x:c>
      <x:c r="H333" s="50" t="str">
        <x:f>IF(325&gt;$H$4,"",IF(INDEX('Fleet dates'!$I$9:$I$1008,$I333-8)="","",INDEX('Fleet dates'!$I$9:$I$1008,$I333-8)))</x:f>
      </x:c>
      <x:c r="I333" t="str">
        <x:f>IF(325&gt;$H$4,"",MATCH(325,'Fleet dates'!$L$9:$L$1008,0)+8)</x:f>
      </x:c>
    </x:row>
    <x:row r="334" ht="36" customHeight="1">
      <x:c r="A334" s="50" t="str">
        <x:f>IF(326&gt;$H$4,"",IF(INDEX('Fleet dates'!$A$9:$A$1008,$I334-8)="","",INDEX('Fleet dates'!$A$9:$A$1008,$I334-8)))</x:f>
      </x:c>
      <x:c r="B334" s="50" t="str">
        <x:f>IF(326&gt;$H$4,"",IF(INDEX('Fleet dates'!$B$9:$B$1008,$I334-8)="","",INDEX('Fleet dates'!$B$9:$B$1008,$I334-8)))</x:f>
      </x:c>
      <x:c r="C334" s="51" t="str">
        <x:f>IF(326&gt;$H$4,"",IF(INDEX('Fleet dates'!$C$9:$C$1008,$I334-8)="","",INDEX('Fleet dates'!$C$9:$C$1008,$I334-8)))</x:f>
      </x:c>
      <x:c r="D334" s="51" t="str">
        <x:f>IF(326&gt;$H$4,"",IF(INDEX('Fleet dates'!$D$9:$D$1008,$I334-8)="","",INDEX('Fleet dates'!$D$9:$D$1008,$I334-8)))</x:f>
      </x:c>
      <x:c r="E334" s="51" t="str">
        <x:f>IF(326&gt;$H$4,"",IF(INDEX('Fleet dates'!$E$9:$E$1008,$I334-8)="","",INDEX('Fleet dates'!$E$9:$E$1008,$I334-8)))</x:f>
      </x:c>
      <x:c r="F334" s="51" t="str">
        <x:f>IF(326&gt;$H$4,"",IF(INDEX('Fleet dates'!$F$9:$F$1008,$I334-8)="","",INDEX('Fleet dates'!$F$9:$F$1008,$I334-8)))</x:f>
      </x:c>
      <x:c r="G334" s="50" t="str">
        <x:f>IF(326&gt;$H$4,"",IF(INDEX('Fleet dates'!$G$9:$G$1008,$I334-8)="","",INDEX('Fleet dates'!$G$9:$G$1008,$I334-8)))</x:f>
      </x:c>
      <x:c r="H334" s="50" t="str">
        <x:f>IF(326&gt;$H$4,"",IF(INDEX('Fleet dates'!$I$9:$I$1008,$I334-8)="","",INDEX('Fleet dates'!$I$9:$I$1008,$I334-8)))</x:f>
      </x:c>
      <x:c r="I334" t="str">
        <x:f>IF(326&gt;$H$4,"",MATCH(326,'Fleet dates'!$L$9:$L$1008,0)+8)</x:f>
      </x:c>
    </x:row>
    <x:row r="335" ht="36" customHeight="1">
      <x:c r="A335" s="50" t="str">
        <x:f>IF(327&gt;$H$4,"",IF(INDEX('Fleet dates'!$A$9:$A$1008,$I335-8)="","",INDEX('Fleet dates'!$A$9:$A$1008,$I335-8)))</x:f>
      </x:c>
      <x:c r="B335" s="50" t="str">
        <x:f>IF(327&gt;$H$4,"",IF(INDEX('Fleet dates'!$B$9:$B$1008,$I335-8)="","",INDEX('Fleet dates'!$B$9:$B$1008,$I335-8)))</x:f>
      </x:c>
      <x:c r="C335" s="51" t="str">
        <x:f>IF(327&gt;$H$4,"",IF(INDEX('Fleet dates'!$C$9:$C$1008,$I335-8)="","",INDEX('Fleet dates'!$C$9:$C$1008,$I335-8)))</x:f>
      </x:c>
      <x:c r="D335" s="51" t="str">
        <x:f>IF(327&gt;$H$4,"",IF(INDEX('Fleet dates'!$D$9:$D$1008,$I335-8)="","",INDEX('Fleet dates'!$D$9:$D$1008,$I335-8)))</x:f>
      </x:c>
      <x:c r="E335" s="51" t="str">
        <x:f>IF(327&gt;$H$4,"",IF(INDEX('Fleet dates'!$E$9:$E$1008,$I335-8)="","",INDEX('Fleet dates'!$E$9:$E$1008,$I335-8)))</x:f>
      </x:c>
      <x:c r="F335" s="51" t="str">
        <x:f>IF(327&gt;$H$4,"",IF(INDEX('Fleet dates'!$F$9:$F$1008,$I335-8)="","",INDEX('Fleet dates'!$F$9:$F$1008,$I335-8)))</x:f>
      </x:c>
      <x:c r="G335" s="50" t="str">
        <x:f>IF(327&gt;$H$4,"",IF(INDEX('Fleet dates'!$G$9:$G$1008,$I335-8)="","",INDEX('Fleet dates'!$G$9:$G$1008,$I335-8)))</x:f>
      </x:c>
      <x:c r="H335" s="50" t="str">
        <x:f>IF(327&gt;$H$4,"",IF(INDEX('Fleet dates'!$I$9:$I$1008,$I335-8)="","",INDEX('Fleet dates'!$I$9:$I$1008,$I335-8)))</x:f>
      </x:c>
      <x:c r="I335" t="str">
        <x:f>IF(327&gt;$H$4,"",MATCH(327,'Fleet dates'!$L$9:$L$1008,0)+8)</x:f>
      </x:c>
    </x:row>
    <x:row r="336" ht="36" customHeight="1">
      <x:c r="A336" s="50" t="str">
        <x:f>IF(328&gt;$H$4,"",IF(INDEX('Fleet dates'!$A$9:$A$1008,$I336-8)="","",INDEX('Fleet dates'!$A$9:$A$1008,$I336-8)))</x:f>
      </x:c>
      <x:c r="B336" s="50" t="str">
        <x:f>IF(328&gt;$H$4,"",IF(INDEX('Fleet dates'!$B$9:$B$1008,$I336-8)="","",INDEX('Fleet dates'!$B$9:$B$1008,$I336-8)))</x:f>
      </x:c>
      <x:c r="C336" s="51" t="str">
        <x:f>IF(328&gt;$H$4,"",IF(INDEX('Fleet dates'!$C$9:$C$1008,$I336-8)="","",INDEX('Fleet dates'!$C$9:$C$1008,$I336-8)))</x:f>
      </x:c>
      <x:c r="D336" s="51" t="str">
        <x:f>IF(328&gt;$H$4,"",IF(INDEX('Fleet dates'!$D$9:$D$1008,$I336-8)="","",INDEX('Fleet dates'!$D$9:$D$1008,$I336-8)))</x:f>
      </x:c>
      <x:c r="E336" s="51" t="str">
        <x:f>IF(328&gt;$H$4,"",IF(INDEX('Fleet dates'!$E$9:$E$1008,$I336-8)="","",INDEX('Fleet dates'!$E$9:$E$1008,$I336-8)))</x:f>
      </x:c>
      <x:c r="F336" s="51" t="str">
        <x:f>IF(328&gt;$H$4,"",IF(INDEX('Fleet dates'!$F$9:$F$1008,$I336-8)="","",INDEX('Fleet dates'!$F$9:$F$1008,$I336-8)))</x:f>
      </x:c>
      <x:c r="G336" s="50" t="str">
        <x:f>IF(328&gt;$H$4,"",IF(INDEX('Fleet dates'!$G$9:$G$1008,$I336-8)="","",INDEX('Fleet dates'!$G$9:$G$1008,$I336-8)))</x:f>
      </x:c>
      <x:c r="H336" s="50" t="str">
        <x:f>IF(328&gt;$H$4,"",IF(INDEX('Fleet dates'!$I$9:$I$1008,$I336-8)="","",INDEX('Fleet dates'!$I$9:$I$1008,$I336-8)))</x:f>
      </x:c>
      <x:c r="I336" t="str">
        <x:f>IF(328&gt;$H$4,"",MATCH(328,'Fleet dates'!$L$9:$L$1008,0)+8)</x:f>
      </x:c>
    </x:row>
    <x:row r="337" ht="36" customHeight="1">
      <x:c r="A337" s="50" t="str">
        <x:f>IF(329&gt;$H$4,"",IF(INDEX('Fleet dates'!$A$9:$A$1008,$I337-8)="","",INDEX('Fleet dates'!$A$9:$A$1008,$I337-8)))</x:f>
      </x:c>
      <x:c r="B337" s="50" t="str">
        <x:f>IF(329&gt;$H$4,"",IF(INDEX('Fleet dates'!$B$9:$B$1008,$I337-8)="","",INDEX('Fleet dates'!$B$9:$B$1008,$I337-8)))</x:f>
      </x:c>
      <x:c r="C337" s="51" t="str">
        <x:f>IF(329&gt;$H$4,"",IF(INDEX('Fleet dates'!$C$9:$C$1008,$I337-8)="","",INDEX('Fleet dates'!$C$9:$C$1008,$I337-8)))</x:f>
      </x:c>
      <x:c r="D337" s="51" t="str">
        <x:f>IF(329&gt;$H$4,"",IF(INDEX('Fleet dates'!$D$9:$D$1008,$I337-8)="","",INDEX('Fleet dates'!$D$9:$D$1008,$I337-8)))</x:f>
      </x:c>
      <x:c r="E337" s="51" t="str">
        <x:f>IF(329&gt;$H$4,"",IF(INDEX('Fleet dates'!$E$9:$E$1008,$I337-8)="","",INDEX('Fleet dates'!$E$9:$E$1008,$I337-8)))</x:f>
      </x:c>
      <x:c r="F337" s="51" t="str">
        <x:f>IF(329&gt;$H$4,"",IF(INDEX('Fleet dates'!$F$9:$F$1008,$I337-8)="","",INDEX('Fleet dates'!$F$9:$F$1008,$I337-8)))</x:f>
      </x:c>
      <x:c r="G337" s="50" t="str">
        <x:f>IF(329&gt;$H$4,"",IF(INDEX('Fleet dates'!$G$9:$G$1008,$I337-8)="","",INDEX('Fleet dates'!$G$9:$G$1008,$I337-8)))</x:f>
      </x:c>
      <x:c r="H337" s="50" t="str">
        <x:f>IF(329&gt;$H$4,"",IF(INDEX('Fleet dates'!$I$9:$I$1008,$I337-8)="","",INDEX('Fleet dates'!$I$9:$I$1008,$I337-8)))</x:f>
      </x:c>
      <x:c r="I337" t="str">
        <x:f>IF(329&gt;$H$4,"",MATCH(329,'Fleet dates'!$L$9:$L$1008,0)+8)</x:f>
      </x:c>
    </x:row>
    <x:row r="338" ht="36" customHeight="1">
      <x:c r="A338" s="50" t="str">
        <x:f>IF(330&gt;$H$4,"",IF(INDEX('Fleet dates'!$A$9:$A$1008,$I338-8)="","",INDEX('Fleet dates'!$A$9:$A$1008,$I338-8)))</x:f>
      </x:c>
      <x:c r="B338" s="50" t="str">
        <x:f>IF(330&gt;$H$4,"",IF(INDEX('Fleet dates'!$B$9:$B$1008,$I338-8)="","",INDEX('Fleet dates'!$B$9:$B$1008,$I338-8)))</x:f>
      </x:c>
      <x:c r="C338" s="51" t="str">
        <x:f>IF(330&gt;$H$4,"",IF(INDEX('Fleet dates'!$C$9:$C$1008,$I338-8)="","",INDEX('Fleet dates'!$C$9:$C$1008,$I338-8)))</x:f>
      </x:c>
      <x:c r="D338" s="51" t="str">
        <x:f>IF(330&gt;$H$4,"",IF(INDEX('Fleet dates'!$D$9:$D$1008,$I338-8)="","",INDEX('Fleet dates'!$D$9:$D$1008,$I338-8)))</x:f>
      </x:c>
      <x:c r="E338" s="51" t="str">
        <x:f>IF(330&gt;$H$4,"",IF(INDEX('Fleet dates'!$E$9:$E$1008,$I338-8)="","",INDEX('Fleet dates'!$E$9:$E$1008,$I338-8)))</x:f>
      </x:c>
      <x:c r="F338" s="51" t="str">
        <x:f>IF(330&gt;$H$4,"",IF(INDEX('Fleet dates'!$F$9:$F$1008,$I338-8)="","",INDEX('Fleet dates'!$F$9:$F$1008,$I338-8)))</x:f>
      </x:c>
      <x:c r="G338" s="50" t="str">
        <x:f>IF(330&gt;$H$4,"",IF(INDEX('Fleet dates'!$G$9:$G$1008,$I338-8)="","",INDEX('Fleet dates'!$G$9:$G$1008,$I338-8)))</x:f>
      </x:c>
      <x:c r="H338" s="50" t="str">
        <x:f>IF(330&gt;$H$4,"",IF(INDEX('Fleet dates'!$I$9:$I$1008,$I338-8)="","",INDEX('Fleet dates'!$I$9:$I$1008,$I338-8)))</x:f>
      </x:c>
      <x:c r="I338" t="str">
        <x:f>IF(330&gt;$H$4,"",MATCH(330,'Fleet dates'!$L$9:$L$1008,0)+8)</x:f>
      </x:c>
    </x:row>
    <x:row r="339" ht="36" customHeight="1">
      <x:c r="A339" s="50" t="str">
        <x:f>IF(331&gt;$H$4,"",IF(INDEX('Fleet dates'!$A$9:$A$1008,$I339-8)="","",INDEX('Fleet dates'!$A$9:$A$1008,$I339-8)))</x:f>
      </x:c>
      <x:c r="B339" s="50" t="str">
        <x:f>IF(331&gt;$H$4,"",IF(INDEX('Fleet dates'!$B$9:$B$1008,$I339-8)="","",INDEX('Fleet dates'!$B$9:$B$1008,$I339-8)))</x:f>
      </x:c>
      <x:c r="C339" s="51" t="str">
        <x:f>IF(331&gt;$H$4,"",IF(INDEX('Fleet dates'!$C$9:$C$1008,$I339-8)="","",INDEX('Fleet dates'!$C$9:$C$1008,$I339-8)))</x:f>
      </x:c>
      <x:c r="D339" s="51" t="str">
        <x:f>IF(331&gt;$H$4,"",IF(INDEX('Fleet dates'!$D$9:$D$1008,$I339-8)="","",INDEX('Fleet dates'!$D$9:$D$1008,$I339-8)))</x:f>
      </x:c>
      <x:c r="E339" s="51" t="str">
        <x:f>IF(331&gt;$H$4,"",IF(INDEX('Fleet dates'!$E$9:$E$1008,$I339-8)="","",INDEX('Fleet dates'!$E$9:$E$1008,$I339-8)))</x:f>
      </x:c>
      <x:c r="F339" s="51" t="str">
        <x:f>IF(331&gt;$H$4,"",IF(INDEX('Fleet dates'!$F$9:$F$1008,$I339-8)="","",INDEX('Fleet dates'!$F$9:$F$1008,$I339-8)))</x:f>
      </x:c>
      <x:c r="G339" s="50" t="str">
        <x:f>IF(331&gt;$H$4,"",IF(INDEX('Fleet dates'!$G$9:$G$1008,$I339-8)="","",INDEX('Fleet dates'!$G$9:$G$1008,$I339-8)))</x:f>
      </x:c>
      <x:c r="H339" s="50" t="str">
        <x:f>IF(331&gt;$H$4,"",IF(INDEX('Fleet dates'!$I$9:$I$1008,$I339-8)="","",INDEX('Fleet dates'!$I$9:$I$1008,$I339-8)))</x:f>
      </x:c>
      <x:c r="I339" t="str">
        <x:f>IF(331&gt;$H$4,"",MATCH(331,'Fleet dates'!$L$9:$L$1008,0)+8)</x:f>
      </x:c>
    </x:row>
    <x:row r="340" ht="36" customHeight="1">
      <x:c r="A340" s="50" t="str">
        <x:f>IF(332&gt;$H$4,"",IF(INDEX('Fleet dates'!$A$9:$A$1008,$I340-8)="","",INDEX('Fleet dates'!$A$9:$A$1008,$I340-8)))</x:f>
      </x:c>
      <x:c r="B340" s="50" t="str">
        <x:f>IF(332&gt;$H$4,"",IF(INDEX('Fleet dates'!$B$9:$B$1008,$I340-8)="","",INDEX('Fleet dates'!$B$9:$B$1008,$I340-8)))</x:f>
      </x:c>
      <x:c r="C340" s="51" t="str">
        <x:f>IF(332&gt;$H$4,"",IF(INDEX('Fleet dates'!$C$9:$C$1008,$I340-8)="","",INDEX('Fleet dates'!$C$9:$C$1008,$I340-8)))</x:f>
      </x:c>
      <x:c r="D340" s="51" t="str">
        <x:f>IF(332&gt;$H$4,"",IF(INDEX('Fleet dates'!$D$9:$D$1008,$I340-8)="","",INDEX('Fleet dates'!$D$9:$D$1008,$I340-8)))</x:f>
      </x:c>
      <x:c r="E340" s="51" t="str">
        <x:f>IF(332&gt;$H$4,"",IF(INDEX('Fleet dates'!$E$9:$E$1008,$I340-8)="","",INDEX('Fleet dates'!$E$9:$E$1008,$I340-8)))</x:f>
      </x:c>
      <x:c r="F340" s="51" t="str">
        <x:f>IF(332&gt;$H$4,"",IF(INDEX('Fleet dates'!$F$9:$F$1008,$I340-8)="","",INDEX('Fleet dates'!$F$9:$F$1008,$I340-8)))</x:f>
      </x:c>
      <x:c r="G340" s="50" t="str">
        <x:f>IF(332&gt;$H$4,"",IF(INDEX('Fleet dates'!$G$9:$G$1008,$I340-8)="","",INDEX('Fleet dates'!$G$9:$G$1008,$I340-8)))</x:f>
      </x:c>
      <x:c r="H340" s="50" t="str">
        <x:f>IF(332&gt;$H$4,"",IF(INDEX('Fleet dates'!$I$9:$I$1008,$I340-8)="","",INDEX('Fleet dates'!$I$9:$I$1008,$I340-8)))</x:f>
      </x:c>
      <x:c r="I340" t="str">
        <x:f>IF(332&gt;$H$4,"",MATCH(332,'Fleet dates'!$L$9:$L$1008,0)+8)</x:f>
      </x:c>
    </x:row>
    <x:row r="341" ht="36" customHeight="1">
      <x:c r="A341" s="50" t="str">
        <x:f>IF(333&gt;$H$4,"",IF(INDEX('Fleet dates'!$A$9:$A$1008,$I341-8)="","",INDEX('Fleet dates'!$A$9:$A$1008,$I341-8)))</x:f>
      </x:c>
      <x:c r="B341" s="50" t="str">
        <x:f>IF(333&gt;$H$4,"",IF(INDEX('Fleet dates'!$B$9:$B$1008,$I341-8)="","",INDEX('Fleet dates'!$B$9:$B$1008,$I341-8)))</x:f>
      </x:c>
      <x:c r="C341" s="51" t="str">
        <x:f>IF(333&gt;$H$4,"",IF(INDEX('Fleet dates'!$C$9:$C$1008,$I341-8)="","",INDEX('Fleet dates'!$C$9:$C$1008,$I341-8)))</x:f>
      </x:c>
      <x:c r="D341" s="51" t="str">
        <x:f>IF(333&gt;$H$4,"",IF(INDEX('Fleet dates'!$D$9:$D$1008,$I341-8)="","",INDEX('Fleet dates'!$D$9:$D$1008,$I341-8)))</x:f>
      </x:c>
      <x:c r="E341" s="51" t="str">
        <x:f>IF(333&gt;$H$4,"",IF(INDEX('Fleet dates'!$E$9:$E$1008,$I341-8)="","",INDEX('Fleet dates'!$E$9:$E$1008,$I341-8)))</x:f>
      </x:c>
      <x:c r="F341" s="51" t="str">
        <x:f>IF(333&gt;$H$4,"",IF(INDEX('Fleet dates'!$F$9:$F$1008,$I341-8)="","",INDEX('Fleet dates'!$F$9:$F$1008,$I341-8)))</x:f>
      </x:c>
      <x:c r="G341" s="50" t="str">
        <x:f>IF(333&gt;$H$4,"",IF(INDEX('Fleet dates'!$G$9:$G$1008,$I341-8)="","",INDEX('Fleet dates'!$G$9:$G$1008,$I341-8)))</x:f>
      </x:c>
      <x:c r="H341" s="50" t="str">
        <x:f>IF(333&gt;$H$4,"",IF(INDEX('Fleet dates'!$I$9:$I$1008,$I341-8)="","",INDEX('Fleet dates'!$I$9:$I$1008,$I341-8)))</x:f>
      </x:c>
      <x:c r="I341" t="str">
        <x:f>IF(333&gt;$H$4,"",MATCH(333,'Fleet dates'!$L$9:$L$1008,0)+8)</x:f>
      </x:c>
    </x:row>
    <x:row r="342" ht="36" customHeight="1">
      <x:c r="A342" s="50" t="str">
        <x:f>IF(334&gt;$H$4,"",IF(INDEX('Fleet dates'!$A$9:$A$1008,$I342-8)="","",INDEX('Fleet dates'!$A$9:$A$1008,$I342-8)))</x:f>
      </x:c>
      <x:c r="B342" s="50" t="str">
        <x:f>IF(334&gt;$H$4,"",IF(INDEX('Fleet dates'!$B$9:$B$1008,$I342-8)="","",INDEX('Fleet dates'!$B$9:$B$1008,$I342-8)))</x:f>
      </x:c>
      <x:c r="C342" s="51" t="str">
        <x:f>IF(334&gt;$H$4,"",IF(INDEX('Fleet dates'!$C$9:$C$1008,$I342-8)="","",INDEX('Fleet dates'!$C$9:$C$1008,$I342-8)))</x:f>
      </x:c>
      <x:c r="D342" s="51" t="str">
        <x:f>IF(334&gt;$H$4,"",IF(INDEX('Fleet dates'!$D$9:$D$1008,$I342-8)="","",INDEX('Fleet dates'!$D$9:$D$1008,$I342-8)))</x:f>
      </x:c>
      <x:c r="E342" s="51" t="str">
        <x:f>IF(334&gt;$H$4,"",IF(INDEX('Fleet dates'!$E$9:$E$1008,$I342-8)="","",INDEX('Fleet dates'!$E$9:$E$1008,$I342-8)))</x:f>
      </x:c>
      <x:c r="F342" s="51" t="str">
        <x:f>IF(334&gt;$H$4,"",IF(INDEX('Fleet dates'!$F$9:$F$1008,$I342-8)="","",INDEX('Fleet dates'!$F$9:$F$1008,$I342-8)))</x:f>
      </x:c>
      <x:c r="G342" s="50" t="str">
        <x:f>IF(334&gt;$H$4,"",IF(INDEX('Fleet dates'!$G$9:$G$1008,$I342-8)="","",INDEX('Fleet dates'!$G$9:$G$1008,$I342-8)))</x:f>
      </x:c>
      <x:c r="H342" s="50" t="str">
        <x:f>IF(334&gt;$H$4,"",IF(INDEX('Fleet dates'!$I$9:$I$1008,$I342-8)="","",INDEX('Fleet dates'!$I$9:$I$1008,$I342-8)))</x:f>
      </x:c>
      <x:c r="I342" t="str">
        <x:f>IF(334&gt;$H$4,"",MATCH(334,'Fleet dates'!$L$9:$L$1008,0)+8)</x:f>
      </x:c>
    </x:row>
    <x:row r="343" ht="36" customHeight="1">
      <x:c r="A343" s="50" t="str">
        <x:f>IF(335&gt;$H$4,"",IF(INDEX('Fleet dates'!$A$9:$A$1008,$I343-8)="","",INDEX('Fleet dates'!$A$9:$A$1008,$I343-8)))</x:f>
      </x:c>
      <x:c r="B343" s="50" t="str">
        <x:f>IF(335&gt;$H$4,"",IF(INDEX('Fleet dates'!$B$9:$B$1008,$I343-8)="","",INDEX('Fleet dates'!$B$9:$B$1008,$I343-8)))</x:f>
      </x:c>
      <x:c r="C343" s="51" t="str">
        <x:f>IF(335&gt;$H$4,"",IF(INDEX('Fleet dates'!$C$9:$C$1008,$I343-8)="","",INDEX('Fleet dates'!$C$9:$C$1008,$I343-8)))</x:f>
      </x:c>
      <x:c r="D343" s="51" t="str">
        <x:f>IF(335&gt;$H$4,"",IF(INDEX('Fleet dates'!$D$9:$D$1008,$I343-8)="","",INDEX('Fleet dates'!$D$9:$D$1008,$I343-8)))</x:f>
      </x:c>
      <x:c r="E343" s="51" t="str">
        <x:f>IF(335&gt;$H$4,"",IF(INDEX('Fleet dates'!$E$9:$E$1008,$I343-8)="","",INDEX('Fleet dates'!$E$9:$E$1008,$I343-8)))</x:f>
      </x:c>
      <x:c r="F343" s="51" t="str">
        <x:f>IF(335&gt;$H$4,"",IF(INDEX('Fleet dates'!$F$9:$F$1008,$I343-8)="","",INDEX('Fleet dates'!$F$9:$F$1008,$I343-8)))</x:f>
      </x:c>
      <x:c r="G343" s="50" t="str">
        <x:f>IF(335&gt;$H$4,"",IF(INDEX('Fleet dates'!$G$9:$G$1008,$I343-8)="","",INDEX('Fleet dates'!$G$9:$G$1008,$I343-8)))</x:f>
      </x:c>
      <x:c r="H343" s="50" t="str">
        <x:f>IF(335&gt;$H$4,"",IF(INDEX('Fleet dates'!$I$9:$I$1008,$I343-8)="","",INDEX('Fleet dates'!$I$9:$I$1008,$I343-8)))</x:f>
      </x:c>
      <x:c r="I343" t="str">
        <x:f>IF(335&gt;$H$4,"",MATCH(335,'Fleet dates'!$L$9:$L$1008,0)+8)</x:f>
      </x:c>
    </x:row>
    <x:row r="344" ht="36" customHeight="1">
      <x:c r="A344" s="50" t="str">
        <x:f>IF(336&gt;$H$4,"",IF(INDEX('Fleet dates'!$A$9:$A$1008,$I344-8)="","",INDEX('Fleet dates'!$A$9:$A$1008,$I344-8)))</x:f>
      </x:c>
      <x:c r="B344" s="50" t="str">
        <x:f>IF(336&gt;$H$4,"",IF(INDEX('Fleet dates'!$B$9:$B$1008,$I344-8)="","",INDEX('Fleet dates'!$B$9:$B$1008,$I344-8)))</x:f>
      </x:c>
      <x:c r="C344" s="51" t="str">
        <x:f>IF(336&gt;$H$4,"",IF(INDEX('Fleet dates'!$C$9:$C$1008,$I344-8)="","",INDEX('Fleet dates'!$C$9:$C$1008,$I344-8)))</x:f>
      </x:c>
      <x:c r="D344" s="51" t="str">
        <x:f>IF(336&gt;$H$4,"",IF(INDEX('Fleet dates'!$D$9:$D$1008,$I344-8)="","",INDEX('Fleet dates'!$D$9:$D$1008,$I344-8)))</x:f>
      </x:c>
      <x:c r="E344" s="51" t="str">
        <x:f>IF(336&gt;$H$4,"",IF(INDEX('Fleet dates'!$E$9:$E$1008,$I344-8)="","",INDEX('Fleet dates'!$E$9:$E$1008,$I344-8)))</x:f>
      </x:c>
      <x:c r="F344" s="51" t="str">
        <x:f>IF(336&gt;$H$4,"",IF(INDEX('Fleet dates'!$F$9:$F$1008,$I344-8)="","",INDEX('Fleet dates'!$F$9:$F$1008,$I344-8)))</x:f>
      </x:c>
      <x:c r="G344" s="50" t="str">
        <x:f>IF(336&gt;$H$4,"",IF(INDEX('Fleet dates'!$G$9:$G$1008,$I344-8)="","",INDEX('Fleet dates'!$G$9:$G$1008,$I344-8)))</x:f>
      </x:c>
      <x:c r="H344" s="50" t="str">
        <x:f>IF(336&gt;$H$4,"",IF(INDEX('Fleet dates'!$I$9:$I$1008,$I344-8)="","",INDEX('Fleet dates'!$I$9:$I$1008,$I344-8)))</x:f>
      </x:c>
      <x:c r="I344" t="str">
        <x:f>IF(336&gt;$H$4,"",MATCH(336,'Fleet dates'!$L$9:$L$1008,0)+8)</x:f>
      </x:c>
    </x:row>
    <x:row r="345" ht="36" customHeight="1">
      <x:c r="A345" s="50" t="str">
        <x:f>IF(337&gt;$H$4,"",IF(INDEX('Fleet dates'!$A$9:$A$1008,$I345-8)="","",INDEX('Fleet dates'!$A$9:$A$1008,$I345-8)))</x:f>
      </x:c>
      <x:c r="B345" s="50" t="str">
        <x:f>IF(337&gt;$H$4,"",IF(INDEX('Fleet dates'!$B$9:$B$1008,$I345-8)="","",INDEX('Fleet dates'!$B$9:$B$1008,$I345-8)))</x:f>
      </x:c>
      <x:c r="C345" s="51" t="str">
        <x:f>IF(337&gt;$H$4,"",IF(INDEX('Fleet dates'!$C$9:$C$1008,$I345-8)="","",INDEX('Fleet dates'!$C$9:$C$1008,$I345-8)))</x:f>
      </x:c>
      <x:c r="D345" s="51" t="str">
        <x:f>IF(337&gt;$H$4,"",IF(INDEX('Fleet dates'!$D$9:$D$1008,$I345-8)="","",INDEX('Fleet dates'!$D$9:$D$1008,$I345-8)))</x:f>
      </x:c>
      <x:c r="E345" s="51" t="str">
        <x:f>IF(337&gt;$H$4,"",IF(INDEX('Fleet dates'!$E$9:$E$1008,$I345-8)="","",INDEX('Fleet dates'!$E$9:$E$1008,$I345-8)))</x:f>
      </x:c>
      <x:c r="F345" s="51" t="str">
        <x:f>IF(337&gt;$H$4,"",IF(INDEX('Fleet dates'!$F$9:$F$1008,$I345-8)="","",INDEX('Fleet dates'!$F$9:$F$1008,$I345-8)))</x:f>
      </x:c>
      <x:c r="G345" s="50" t="str">
        <x:f>IF(337&gt;$H$4,"",IF(INDEX('Fleet dates'!$G$9:$G$1008,$I345-8)="","",INDEX('Fleet dates'!$G$9:$G$1008,$I345-8)))</x:f>
      </x:c>
      <x:c r="H345" s="50" t="str">
        <x:f>IF(337&gt;$H$4,"",IF(INDEX('Fleet dates'!$I$9:$I$1008,$I345-8)="","",INDEX('Fleet dates'!$I$9:$I$1008,$I345-8)))</x:f>
      </x:c>
      <x:c r="I345" t="str">
        <x:f>IF(337&gt;$H$4,"",MATCH(337,'Fleet dates'!$L$9:$L$1008,0)+8)</x:f>
      </x:c>
    </x:row>
    <x:row r="346" ht="36" customHeight="1">
      <x:c r="A346" s="50" t="str">
        <x:f>IF(338&gt;$H$4,"",IF(INDEX('Fleet dates'!$A$9:$A$1008,$I346-8)="","",INDEX('Fleet dates'!$A$9:$A$1008,$I346-8)))</x:f>
      </x:c>
      <x:c r="B346" s="50" t="str">
        <x:f>IF(338&gt;$H$4,"",IF(INDEX('Fleet dates'!$B$9:$B$1008,$I346-8)="","",INDEX('Fleet dates'!$B$9:$B$1008,$I346-8)))</x:f>
      </x:c>
      <x:c r="C346" s="51" t="str">
        <x:f>IF(338&gt;$H$4,"",IF(INDEX('Fleet dates'!$C$9:$C$1008,$I346-8)="","",INDEX('Fleet dates'!$C$9:$C$1008,$I346-8)))</x:f>
      </x:c>
      <x:c r="D346" s="51" t="str">
        <x:f>IF(338&gt;$H$4,"",IF(INDEX('Fleet dates'!$D$9:$D$1008,$I346-8)="","",INDEX('Fleet dates'!$D$9:$D$1008,$I346-8)))</x:f>
      </x:c>
      <x:c r="E346" s="51" t="str">
        <x:f>IF(338&gt;$H$4,"",IF(INDEX('Fleet dates'!$E$9:$E$1008,$I346-8)="","",INDEX('Fleet dates'!$E$9:$E$1008,$I346-8)))</x:f>
      </x:c>
      <x:c r="F346" s="51" t="str">
        <x:f>IF(338&gt;$H$4,"",IF(INDEX('Fleet dates'!$F$9:$F$1008,$I346-8)="","",INDEX('Fleet dates'!$F$9:$F$1008,$I346-8)))</x:f>
      </x:c>
      <x:c r="G346" s="50" t="str">
        <x:f>IF(338&gt;$H$4,"",IF(INDEX('Fleet dates'!$G$9:$G$1008,$I346-8)="","",INDEX('Fleet dates'!$G$9:$G$1008,$I346-8)))</x:f>
      </x:c>
      <x:c r="H346" s="50" t="str">
        <x:f>IF(338&gt;$H$4,"",IF(INDEX('Fleet dates'!$I$9:$I$1008,$I346-8)="","",INDEX('Fleet dates'!$I$9:$I$1008,$I346-8)))</x:f>
      </x:c>
      <x:c r="I346" t="str">
        <x:f>IF(338&gt;$H$4,"",MATCH(338,'Fleet dates'!$L$9:$L$1008,0)+8)</x:f>
      </x:c>
    </x:row>
    <x:row r="347" ht="36" customHeight="1">
      <x:c r="A347" s="50" t="str">
        <x:f>IF(339&gt;$H$4,"",IF(INDEX('Fleet dates'!$A$9:$A$1008,$I347-8)="","",INDEX('Fleet dates'!$A$9:$A$1008,$I347-8)))</x:f>
      </x:c>
      <x:c r="B347" s="50" t="str">
        <x:f>IF(339&gt;$H$4,"",IF(INDEX('Fleet dates'!$B$9:$B$1008,$I347-8)="","",INDEX('Fleet dates'!$B$9:$B$1008,$I347-8)))</x:f>
      </x:c>
      <x:c r="C347" s="51" t="str">
        <x:f>IF(339&gt;$H$4,"",IF(INDEX('Fleet dates'!$C$9:$C$1008,$I347-8)="","",INDEX('Fleet dates'!$C$9:$C$1008,$I347-8)))</x:f>
      </x:c>
      <x:c r="D347" s="51" t="str">
        <x:f>IF(339&gt;$H$4,"",IF(INDEX('Fleet dates'!$D$9:$D$1008,$I347-8)="","",INDEX('Fleet dates'!$D$9:$D$1008,$I347-8)))</x:f>
      </x:c>
      <x:c r="E347" s="51" t="str">
        <x:f>IF(339&gt;$H$4,"",IF(INDEX('Fleet dates'!$E$9:$E$1008,$I347-8)="","",INDEX('Fleet dates'!$E$9:$E$1008,$I347-8)))</x:f>
      </x:c>
      <x:c r="F347" s="51" t="str">
        <x:f>IF(339&gt;$H$4,"",IF(INDEX('Fleet dates'!$F$9:$F$1008,$I347-8)="","",INDEX('Fleet dates'!$F$9:$F$1008,$I347-8)))</x:f>
      </x:c>
      <x:c r="G347" s="50" t="str">
        <x:f>IF(339&gt;$H$4,"",IF(INDEX('Fleet dates'!$G$9:$G$1008,$I347-8)="","",INDEX('Fleet dates'!$G$9:$G$1008,$I347-8)))</x:f>
      </x:c>
      <x:c r="H347" s="50" t="str">
        <x:f>IF(339&gt;$H$4,"",IF(INDEX('Fleet dates'!$I$9:$I$1008,$I347-8)="","",INDEX('Fleet dates'!$I$9:$I$1008,$I347-8)))</x:f>
      </x:c>
      <x:c r="I347" t="str">
        <x:f>IF(339&gt;$H$4,"",MATCH(339,'Fleet dates'!$L$9:$L$1008,0)+8)</x:f>
      </x:c>
    </x:row>
    <x:row r="348" ht="36" customHeight="1">
      <x:c r="A348" s="50" t="str">
        <x:f>IF(340&gt;$H$4,"",IF(INDEX('Fleet dates'!$A$9:$A$1008,$I348-8)="","",INDEX('Fleet dates'!$A$9:$A$1008,$I348-8)))</x:f>
      </x:c>
      <x:c r="B348" s="50" t="str">
        <x:f>IF(340&gt;$H$4,"",IF(INDEX('Fleet dates'!$B$9:$B$1008,$I348-8)="","",INDEX('Fleet dates'!$B$9:$B$1008,$I348-8)))</x:f>
      </x:c>
      <x:c r="C348" s="51" t="str">
        <x:f>IF(340&gt;$H$4,"",IF(INDEX('Fleet dates'!$C$9:$C$1008,$I348-8)="","",INDEX('Fleet dates'!$C$9:$C$1008,$I348-8)))</x:f>
      </x:c>
      <x:c r="D348" s="51" t="str">
        <x:f>IF(340&gt;$H$4,"",IF(INDEX('Fleet dates'!$D$9:$D$1008,$I348-8)="","",INDEX('Fleet dates'!$D$9:$D$1008,$I348-8)))</x:f>
      </x:c>
      <x:c r="E348" s="51" t="str">
        <x:f>IF(340&gt;$H$4,"",IF(INDEX('Fleet dates'!$E$9:$E$1008,$I348-8)="","",INDEX('Fleet dates'!$E$9:$E$1008,$I348-8)))</x:f>
      </x:c>
      <x:c r="F348" s="51" t="str">
        <x:f>IF(340&gt;$H$4,"",IF(INDEX('Fleet dates'!$F$9:$F$1008,$I348-8)="","",INDEX('Fleet dates'!$F$9:$F$1008,$I348-8)))</x:f>
      </x:c>
      <x:c r="G348" s="50" t="str">
        <x:f>IF(340&gt;$H$4,"",IF(INDEX('Fleet dates'!$G$9:$G$1008,$I348-8)="","",INDEX('Fleet dates'!$G$9:$G$1008,$I348-8)))</x:f>
      </x:c>
      <x:c r="H348" s="50" t="str">
        <x:f>IF(340&gt;$H$4,"",IF(INDEX('Fleet dates'!$I$9:$I$1008,$I348-8)="","",INDEX('Fleet dates'!$I$9:$I$1008,$I348-8)))</x:f>
      </x:c>
      <x:c r="I348" t="str">
        <x:f>IF(340&gt;$H$4,"",MATCH(340,'Fleet dates'!$L$9:$L$1008,0)+8)</x:f>
      </x:c>
    </x:row>
    <x:row r="349" ht="36" customHeight="1">
      <x:c r="A349" s="50" t="str">
        <x:f>IF(341&gt;$H$4,"",IF(INDEX('Fleet dates'!$A$9:$A$1008,$I349-8)="","",INDEX('Fleet dates'!$A$9:$A$1008,$I349-8)))</x:f>
      </x:c>
      <x:c r="B349" s="50" t="str">
        <x:f>IF(341&gt;$H$4,"",IF(INDEX('Fleet dates'!$B$9:$B$1008,$I349-8)="","",INDEX('Fleet dates'!$B$9:$B$1008,$I349-8)))</x:f>
      </x:c>
      <x:c r="C349" s="51" t="str">
        <x:f>IF(341&gt;$H$4,"",IF(INDEX('Fleet dates'!$C$9:$C$1008,$I349-8)="","",INDEX('Fleet dates'!$C$9:$C$1008,$I349-8)))</x:f>
      </x:c>
      <x:c r="D349" s="51" t="str">
        <x:f>IF(341&gt;$H$4,"",IF(INDEX('Fleet dates'!$D$9:$D$1008,$I349-8)="","",INDEX('Fleet dates'!$D$9:$D$1008,$I349-8)))</x:f>
      </x:c>
      <x:c r="E349" s="51" t="str">
        <x:f>IF(341&gt;$H$4,"",IF(INDEX('Fleet dates'!$E$9:$E$1008,$I349-8)="","",INDEX('Fleet dates'!$E$9:$E$1008,$I349-8)))</x:f>
      </x:c>
      <x:c r="F349" s="51" t="str">
        <x:f>IF(341&gt;$H$4,"",IF(INDEX('Fleet dates'!$F$9:$F$1008,$I349-8)="","",INDEX('Fleet dates'!$F$9:$F$1008,$I349-8)))</x:f>
      </x:c>
      <x:c r="G349" s="50" t="str">
        <x:f>IF(341&gt;$H$4,"",IF(INDEX('Fleet dates'!$G$9:$G$1008,$I349-8)="","",INDEX('Fleet dates'!$G$9:$G$1008,$I349-8)))</x:f>
      </x:c>
      <x:c r="H349" s="50" t="str">
        <x:f>IF(341&gt;$H$4,"",IF(INDEX('Fleet dates'!$I$9:$I$1008,$I349-8)="","",INDEX('Fleet dates'!$I$9:$I$1008,$I349-8)))</x:f>
      </x:c>
      <x:c r="I349" t="str">
        <x:f>IF(341&gt;$H$4,"",MATCH(341,'Fleet dates'!$L$9:$L$1008,0)+8)</x:f>
      </x:c>
    </x:row>
    <x:row r="350" ht="36" customHeight="1">
      <x:c r="A350" s="50" t="str">
        <x:f>IF(342&gt;$H$4,"",IF(INDEX('Fleet dates'!$A$9:$A$1008,$I350-8)="","",INDEX('Fleet dates'!$A$9:$A$1008,$I350-8)))</x:f>
      </x:c>
      <x:c r="B350" s="50" t="str">
        <x:f>IF(342&gt;$H$4,"",IF(INDEX('Fleet dates'!$B$9:$B$1008,$I350-8)="","",INDEX('Fleet dates'!$B$9:$B$1008,$I350-8)))</x:f>
      </x:c>
      <x:c r="C350" s="51" t="str">
        <x:f>IF(342&gt;$H$4,"",IF(INDEX('Fleet dates'!$C$9:$C$1008,$I350-8)="","",INDEX('Fleet dates'!$C$9:$C$1008,$I350-8)))</x:f>
      </x:c>
      <x:c r="D350" s="51" t="str">
        <x:f>IF(342&gt;$H$4,"",IF(INDEX('Fleet dates'!$D$9:$D$1008,$I350-8)="","",INDEX('Fleet dates'!$D$9:$D$1008,$I350-8)))</x:f>
      </x:c>
      <x:c r="E350" s="51" t="str">
        <x:f>IF(342&gt;$H$4,"",IF(INDEX('Fleet dates'!$E$9:$E$1008,$I350-8)="","",INDEX('Fleet dates'!$E$9:$E$1008,$I350-8)))</x:f>
      </x:c>
      <x:c r="F350" s="51" t="str">
        <x:f>IF(342&gt;$H$4,"",IF(INDEX('Fleet dates'!$F$9:$F$1008,$I350-8)="","",INDEX('Fleet dates'!$F$9:$F$1008,$I350-8)))</x:f>
      </x:c>
      <x:c r="G350" s="50" t="str">
        <x:f>IF(342&gt;$H$4,"",IF(INDEX('Fleet dates'!$G$9:$G$1008,$I350-8)="","",INDEX('Fleet dates'!$G$9:$G$1008,$I350-8)))</x:f>
      </x:c>
      <x:c r="H350" s="50" t="str">
        <x:f>IF(342&gt;$H$4,"",IF(INDEX('Fleet dates'!$I$9:$I$1008,$I350-8)="","",INDEX('Fleet dates'!$I$9:$I$1008,$I350-8)))</x:f>
      </x:c>
      <x:c r="I350" t="str">
        <x:f>IF(342&gt;$H$4,"",MATCH(342,'Fleet dates'!$L$9:$L$1008,0)+8)</x:f>
      </x:c>
    </x:row>
    <x:row r="351" ht="36" customHeight="1">
      <x:c r="A351" s="50" t="str">
        <x:f>IF(343&gt;$H$4,"",IF(INDEX('Fleet dates'!$A$9:$A$1008,$I351-8)="","",INDEX('Fleet dates'!$A$9:$A$1008,$I351-8)))</x:f>
      </x:c>
      <x:c r="B351" s="50" t="str">
        <x:f>IF(343&gt;$H$4,"",IF(INDEX('Fleet dates'!$B$9:$B$1008,$I351-8)="","",INDEX('Fleet dates'!$B$9:$B$1008,$I351-8)))</x:f>
      </x:c>
      <x:c r="C351" s="51" t="str">
        <x:f>IF(343&gt;$H$4,"",IF(INDEX('Fleet dates'!$C$9:$C$1008,$I351-8)="","",INDEX('Fleet dates'!$C$9:$C$1008,$I351-8)))</x:f>
      </x:c>
      <x:c r="D351" s="51" t="str">
        <x:f>IF(343&gt;$H$4,"",IF(INDEX('Fleet dates'!$D$9:$D$1008,$I351-8)="","",INDEX('Fleet dates'!$D$9:$D$1008,$I351-8)))</x:f>
      </x:c>
      <x:c r="E351" s="51" t="str">
        <x:f>IF(343&gt;$H$4,"",IF(INDEX('Fleet dates'!$E$9:$E$1008,$I351-8)="","",INDEX('Fleet dates'!$E$9:$E$1008,$I351-8)))</x:f>
      </x:c>
      <x:c r="F351" s="51" t="str">
        <x:f>IF(343&gt;$H$4,"",IF(INDEX('Fleet dates'!$F$9:$F$1008,$I351-8)="","",INDEX('Fleet dates'!$F$9:$F$1008,$I351-8)))</x:f>
      </x:c>
      <x:c r="G351" s="50" t="str">
        <x:f>IF(343&gt;$H$4,"",IF(INDEX('Fleet dates'!$G$9:$G$1008,$I351-8)="","",INDEX('Fleet dates'!$G$9:$G$1008,$I351-8)))</x:f>
      </x:c>
      <x:c r="H351" s="50" t="str">
        <x:f>IF(343&gt;$H$4,"",IF(INDEX('Fleet dates'!$I$9:$I$1008,$I351-8)="","",INDEX('Fleet dates'!$I$9:$I$1008,$I351-8)))</x:f>
      </x:c>
      <x:c r="I351" t="str">
        <x:f>IF(343&gt;$H$4,"",MATCH(343,'Fleet dates'!$L$9:$L$1008,0)+8)</x:f>
      </x:c>
    </x:row>
    <x:row r="352" ht="36" customHeight="1">
      <x:c r="A352" s="50" t="str">
        <x:f>IF(344&gt;$H$4,"",IF(INDEX('Fleet dates'!$A$9:$A$1008,$I352-8)="","",INDEX('Fleet dates'!$A$9:$A$1008,$I352-8)))</x:f>
      </x:c>
      <x:c r="B352" s="50" t="str">
        <x:f>IF(344&gt;$H$4,"",IF(INDEX('Fleet dates'!$B$9:$B$1008,$I352-8)="","",INDEX('Fleet dates'!$B$9:$B$1008,$I352-8)))</x:f>
      </x:c>
      <x:c r="C352" s="51" t="str">
        <x:f>IF(344&gt;$H$4,"",IF(INDEX('Fleet dates'!$C$9:$C$1008,$I352-8)="","",INDEX('Fleet dates'!$C$9:$C$1008,$I352-8)))</x:f>
      </x:c>
      <x:c r="D352" s="51" t="str">
        <x:f>IF(344&gt;$H$4,"",IF(INDEX('Fleet dates'!$D$9:$D$1008,$I352-8)="","",INDEX('Fleet dates'!$D$9:$D$1008,$I352-8)))</x:f>
      </x:c>
      <x:c r="E352" s="51" t="str">
        <x:f>IF(344&gt;$H$4,"",IF(INDEX('Fleet dates'!$E$9:$E$1008,$I352-8)="","",INDEX('Fleet dates'!$E$9:$E$1008,$I352-8)))</x:f>
      </x:c>
      <x:c r="F352" s="51" t="str">
        <x:f>IF(344&gt;$H$4,"",IF(INDEX('Fleet dates'!$F$9:$F$1008,$I352-8)="","",INDEX('Fleet dates'!$F$9:$F$1008,$I352-8)))</x:f>
      </x:c>
      <x:c r="G352" s="50" t="str">
        <x:f>IF(344&gt;$H$4,"",IF(INDEX('Fleet dates'!$G$9:$G$1008,$I352-8)="","",INDEX('Fleet dates'!$G$9:$G$1008,$I352-8)))</x:f>
      </x:c>
      <x:c r="H352" s="50" t="str">
        <x:f>IF(344&gt;$H$4,"",IF(INDEX('Fleet dates'!$I$9:$I$1008,$I352-8)="","",INDEX('Fleet dates'!$I$9:$I$1008,$I352-8)))</x:f>
      </x:c>
      <x:c r="I352" t="str">
        <x:f>IF(344&gt;$H$4,"",MATCH(344,'Fleet dates'!$L$9:$L$1008,0)+8)</x:f>
      </x:c>
    </x:row>
    <x:row r="353" ht="36" customHeight="1">
      <x:c r="A353" s="50" t="str">
        <x:f>IF(345&gt;$H$4,"",IF(INDEX('Fleet dates'!$A$9:$A$1008,$I353-8)="","",INDEX('Fleet dates'!$A$9:$A$1008,$I353-8)))</x:f>
      </x:c>
      <x:c r="B353" s="50" t="str">
        <x:f>IF(345&gt;$H$4,"",IF(INDEX('Fleet dates'!$B$9:$B$1008,$I353-8)="","",INDEX('Fleet dates'!$B$9:$B$1008,$I353-8)))</x:f>
      </x:c>
      <x:c r="C353" s="51" t="str">
        <x:f>IF(345&gt;$H$4,"",IF(INDEX('Fleet dates'!$C$9:$C$1008,$I353-8)="","",INDEX('Fleet dates'!$C$9:$C$1008,$I353-8)))</x:f>
      </x:c>
      <x:c r="D353" s="51" t="str">
        <x:f>IF(345&gt;$H$4,"",IF(INDEX('Fleet dates'!$D$9:$D$1008,$I353-8)="","",INDEX('Fleet dates'!$D$9:$D$1008,$I353-8)))</x:f>
      </x:c>
      <x:c r="E353" s="51" t="str">
        <x:f>IF(345&gt;$H$4,"",IF(INDEX('Fleet dates'!$E$9:$E$1008,$I353-8)="","",INDEX('Fleet dates'!$E$9:$E$1008,$I353-8)))</x:f>
      </x:c>
      <x:c r="F353" s="51" t="str">
        <x:f>IF(345&gt;$H$4,"",IF(INDEX('Fleet dates'!$F$9:$F$1008,$I353-8)="","",INDEX('Fleet dates'!$F$9:$F$1008,$I353-8)))</x:f>
      </x:c>
      <x:c r="G353" s="50" t="str">
        <x:f>IF(345&gt;$H$4,"",IF(INDEX('Fleet dates'!$G$9:$G$1008,$I353-8)="","",INDEX('Fleet dates'!$G$9:$G$1008,$I353-8)))</x:f>
      </x:c>
      <x:c r="H353" s="50" t="str">
        <x:f>IF(345&gt;$H$4,"",IF(INDEX('Fleet dates'!$I$9:$I$1008,$I353-8)="","",INDEX('Fleet dates'!$I$9:$I$1008,$I353-8)))</x:f>
      </x:c>
      <x:c r="I353" t="str">
        <x:f>IF(345&gt;$H$4,"",MATCH(345,'Fleet dates'!$L$9:$L$1008,0)+8)</x:f>
      </x:c>
    </x:row>
    <x:row r="354" ht="36" customHeight="1">
      <x:c r="A354" s="50" t="str">
        <x:f>IF(346&gt;$H$4,"",IF(INDEX('Fleet dates'!$A$9:$A$1008,$I354-8)="","",INDEX('Fleet dates'!$A$9:$A$1008,$I354-8)))</x:f>
      </x:c>
      <x:c r="B354" s="50" t="str">
        <x:f>IF(346&gt;$H$4,"",IF(INDEX('Fleet dates'!$B$9:$B$1008,$I354-8)="","",INDEX('Fleet dates'!$B$9:$B$1008,$I354-8)))</x:f>
      </x:c>
      <x:c r="C354" s="51" t="str">
        <x:f>IF(346&gt;$H$4,"",IF(INDEX('Fleet dates'!$C$9:$C$1008,$I354-8)="","",INDEX('Fleet dates'!$C$9:$C$1008,$I354-8)))</x:f>
      </x:c>
      <x:c r="D354" s="51" t="str">
        <x:f>IF(346&gt;$H$4,"",IF(INDEX('Fleet dates'!$D$9:$D$1008,$I354-8)="","",INDEX('Fleet dates'!$D$9:$D$1008,$I354-8)))</x:f>
      </x:c>
      <x:c r="E354" s="51" t="str">
        <x:f>IF(346&gt;$H$4,"",IF(INDEX('Fleet dates'!$E$9:$E$1008,$I354-8)="","",INDEX('Fleet dates'!$E$9:$E$1008,$I354-8)))</x:f>
      </x:c>
      <x:c r="F354" s="51" t="str">
        <x:f>IF(346&gt;$H$4,"",IF(INDEX('Fleet dates'!$F$9:$F$1008,$I354-8)="","",INDEX('Fleet dates'!$F$9:$F$1008,$I354-8)))</x:f>
      </x:c>
      <x:c r="G354" s="50" t="str">
        <x:f>IF(346&gt;$H$4,"",IF(INDEX('Fleet dates'!$G$9:$G$1008,$I354-8)="","",INDEX('Fleet dates'!$G$9:$G$1008,$I354-8)))</x:f>
      </x:c>
      <x:c r="H354" s="50" t="str">
        <x:f>IF(346&gt;$H$4,"",IF(INDEX('Fleet dates'!$I$9:$I$1008,$I354-8)="","",INDEX('Fleet dates'!$I$9:$I$1008,$I354-8)))</x:f>
      </x:c>
      <x:c r="I354" t="str">
        <x:f>IF(346&gt;$H$4,"",MATCH(346,'Fleet dates'!$L$9:$L$1008,0)+8)</x:f>
      </x:c>
    </x:row>
    <x:row r="355" ht="36" customHeight="1">
      <x:c r="A355" s="50" t="str">
        <x:f>IF(347&gt;$H$4,"",IF(INDEX('Fleet dates'!$A$9:$A$1008,$I355-8)="","",INDEX('Fleet dates'!$A$9:$A$1008,$I355-8)))</x:f>
      </x:c>
      <x:c r="B355" s="50" t="str">
        <x:f>IF(347&gt;$H$4,"",IF(INDEX('Fleet dates'!$B$9:$B$1008,$I355-8)="","",INDEX('Fleet dates'!$B$9:$B$1008,$I355-8)))</x:f>
      </x:c>
      <x:c r="C355" s="51" t="str">
        <x:f>IF(347&gt;$H$4,"",IF(INDEX('Fleet dates'!$C$9:$C$1008,$I355-8)="","",INDEX('Fleet dates'!$C$9:$C$1008,$I355-8)))</x:f>
      </x:c>
      <x:c r="D355" s="51" t="str">
        <x:f>IF(347&gt;$H$4,"",IF(INDEX('Fleet dates'!$D$9:$D$1008,$I355-8)="","",INDEX('Fleet dates'!$D$9:$D$1008,$I355-8)))</x:f>
      </x:c>
      <x:c r="E355" s="51" t="str">
        <x:f>IF(347&gt;$H$4,"",IF(INDEX('Fleet dates'!$E$9:$E$1008,$I355-8)="","",INDEX('Fleet dates'!$E$9:$E$1008,$I355-8)))</x:f>
      </x:c>
      <x:c r="F355" s="51" t="str">
        <x:f>IF(347&gt;$H$4,"",IF(INDEX('Fleet dates'!$F$9:$F$1008,$I355-8)="","",INDEX('Fleet dates'!$F$9:$F$1008,$I355-8)))</x:f>
      </x:c>
      <x:c r="G355" s="50" t="str">
        <x:f>IF(347&gt;$H$4,"",IF(INDEX('Fleet dates'!$G$9:$G$1008,$I355-8)="","",INDEX('Fleet dates'!$G$9:$G$1008,$I355-8)))</x:f>
      </x:c>
      <x:c r="H355" s="50" t="str">
        <x:f>IF(347&gt;$H$4,"",IF(INDEX('Fleet dates'!$I$9:$I$1008,$I355-8)="","",INDEX('Fleet dates'!$I$9:$I$1008,$I355-8)))</x:f>
      </x:c>
      <x:c r="I355" t="str">
        <x:f>IF(347&gt;$H$4,"",MATCH(347,'Fleet dates'!$L$9:$L$1008,0)+8)</x:f>
      </x:c>
    </x:row>
    <x:row r="356" ht="36" customHeight="1">
      <x:c r="A356" s="50" t="str">
        <x:f>IF(348&gt;$H$4,"",IF(INDEX('Fleet dates'!$A$9:$A$1008,$I356-8)="","",INDEX('Fleet dates'!$A$9:$A$1008,$I356-8)))</x:f>
      </x:c>
      <x:c r="B356" s="50" t="str">
        <x:f>IF(348&gt;$H$4,"",IF(INDEX('Fleet dates'!$B$9:$B$1008,$I356-8)="","",INDEX('Fleet dates'!$B$9:$B$1008,$I356-8)))</x:f>
      </x:c>
      <x:c r="C356" s="51" t="str">
        <x:f>IF(348&gt;$H$4,"",IF(INDEX('Fleet dates'!$C$9:$C$1008,$I356-8)="","",INDEX('Fleet dates'!$C$9:$C$1008,$I356-8)))</x:f>
      </x:c>
      <x:c r="D356" s="51" t="str">
        <x:f>IF(348&gt;$H$4,"",IF(INDEX('Fleet dates'!$D$9:$D$1008,$I356-8)="","",INDEX('Fleet dates'!$D$9:$D$1008,$I356-8)))</x:f>
      </x:c>
      <x:c r="E356" s="51" t="str">
        <x:f>IF(348&gt;$H$4,"",IF(INDEX('Fleet dates'!$E$9:$E$1008,$I356-8)="","",INDEX('Fleet dates'!$E$9:$E$1008,$I356-8)))</x:f>
      </x:c>
      <x:c r="F356" s="51" t="str">
        <x:f>IF(348&gt;$H$4,"",IF(INDEX('Fleet dates'!$F$9:$F$1008,$I356-8)="","",INDEX('Fleet dates'!$F$9:$F$1008,$I356-8)))</x:f>
      </x:c>
      <x:c r="G356" s="50" t="str">
        <x:f>IF(348&gt;$H$4,"",IF(INDEX('Fleet dates'!$G$9:$G$1008,$I356-8)="","",INDEX('Fleet dates'!$G$9:$G$1008,$I356-8)))</x:f>
      </x:c>
      <x:c r="H356" s="50" t="str">
        <x:f>IF(348&gt;$H$4,"",IF(INDEX('Fleet dates'!$I$9:$I$1008,$I356-8)="","",INDEX('Fleet dates'!$I$9:$I$1008,$I356-8)))</x:f>
      </x:c>
      <x:c r="I356" t="str">
        <x:f>IF(348&gt;$H$4,"",MATCH(348,'Fleet dates'!$L$9:$L$1008,0)+8)</x:f>
      </x:c>
    </x:row>
    <x:row r="357" ht="36" customHeight="1">
      <x:c r="A357" s="50" t="str">
        <x:f>IF(349&gt;$H$4,"",IF(INDEX('Fleet dates'!$A$9:$A$1008,$I357-8)="","",INDEX('Fleet dates'!$A$9:$A$1008,$I357-8)))</x:f>
      </x:c>
      <x:c r="B357" s="50" t="str">
        <x:f>IF(349&gt;$H$4,"",IF(INDEX('Fleet dates'!$B$9:$B$1008,$I357-8)="","",INDEX('Fleet dates'!$B$9:$B$1008,$I357-8)))</x:f>
      </x:c>
      <x:c r="C357" s="51" t="str">
        <x:f>IF(349&gt;$H$4,"",IF(INDEX('Fleet dates'!$C$9:$C$1008,$I357-8)="","",INDEX('Fleet dates'!$C$9:$C$1008,$I357-8)))</x:f>
      </x:c>
      <x:c r="D357" s="51" t="str">
        <x:f>IF(349&gt;$H$4,"",IF(INDEX('Fleet dates'!$D$9:$D$1008,$I357-8)="","",INDEX('Fleet dates'!$D$9:$D$1008,$I357-8)))</x:f>
      </x:c>
      <x:c r="E357" s="51" t="str">
        <x:f>IF(349&gt;$H$4,"",IF(INDEX('Fleet dates'!$E$9:$E$1008,$I357-8)="","",INDEX('Fleet dates'!$E$9:$E$1008,$I357-8)))</x:f>
      </x:c>
      <x:c r="F357" s="51" t="str">
        <x:f>IF(349&gt;$H$4,"",IF(INDEX('Fleet dates'!$F$9:$F$1008,$I357-8)="","",INDEX('Fleet dates'!$F$9:$F$1008,$I357-8)))</x:f>
      </x:c>
      <x:c r="G357" s="50" t="str">
        <x:f>IF(349&gt;$H$4,"",IF(INDEX('Fleet dates'!$G$9:$G$1008,$I357-8)="","",INDEX('Fleet dates'!$G$9:$G$1008,$I357-8)))</x:f>
      </x:c>
      <x:c r="H357" s="50" t="str">
        <x:f>IF(349&gt;$H$4,"",IF(INDEX('Fleet dates'!$I$9:$I$1008,$I357-8)="","",INDEX('Fleet dates'!$I$9:$I$1008,$I357-8)))</x:f>
      </x:c>
      <x:c r="I357" t="str">
        <x:f>IF(349&gt;$H$4,"",MATCH(349,'Fleet dates'!$L$9:$L$1008,0)+8)</x:f>
      </x:c>
    </x:row>
    <x:row r="358" ht="36" customHeight="1">
      <x:c r="A358" s="50" t="str">
        <x:f>IF(350&gt;$H$4,"",IF(INDEX('Fleet dates'!$A$9:$A$1008,$I358-8)="","",INDEX('Fleet dates'!$A$9:$A$1008,$I358-8)))</x:f>
      </x:c>
      <x:c r="B358" s="50" t="str">
        <x:f>IF(350&gt;$H$4,"",IF(INDEX('Fleet dates'!$B$9:$B$1008,$I358-8)="","",INDEX('Fleet dates'!$B$9:$B$1008,$I358-8)))</x:f>
      </x:c>
      <x:c r="C358" s="51" t="str">
        <x:f>IF(350&gt;$H$4,"",IF(INDEX('Fleet dates'!$C$9:$C$1008,$I358-8)="","",INDEX('Fleet dates'!$C$9:$C$1008,$I358-8)))</x:f>
      </x:c>
      <x:c r="D358" s="51" t="str">
        <x:f>IF(350&gt;$H$4,"",IF(INDEX('Fleet dates'!$D$9:$D$1008,$I358-8)="","",INDEX('Fleet dates'!$D$9:$D$1008,$I358-8)))</x:f>
      </x:c>
      <x:c r="E358" s="51" t="str">
        <x:f>IF(350&gt;$H$4,"",IF(INDEX('Fleet dates'!$E$9:$E$1008,$I358-8)="","",INDEX('Fleet dates'!$E$9:$E$1008,$I358-8)))</x:f>
      </x:c>
      <x:c r="F358" s="51" t="str">
        <x:f>IF(350&gt;$H$4,"",IF(INDEX('Fleet dates'!$F$9:$F$1008,$I358-8)="","",INDEX('Fleet dates'!$F$9:$F$1008,$I358-8)))</x:f>
      </x:c>
      <x:c r="G358" s="50" t="str">
        <x:f>IF(350&gt;$H$4,"",IF(INDEX('Fleet dates'!$G$9:$G$1008,$I358-8)="","",INDEX('Fleet dates'!$G$9:$G$1008,$I358-8)))</x:f>
      </x:c>
      <x:c r="H358" s="50" t="str">
        <x:f>IF(350&gt;$H$4,"",IF(INDEX('Fleet dates'!$I$9:$I$1008,$I358-8)="","",INDEX('Fleet dates'!$I$9:$I$1008,$I358-8)))</x:f>
      </x:c>
      <x:c r="I358" t="str">
        <x:f>IF(350&gt;$H$4,"",MATCH(350,'Fleet dates'!$L$9:$L$1008,0)+8)</x:f>
      </x:c>
    </x:row>
    <x:row r="359" ht="36" customHeight="1">
      <x:c r="A359" s="50" t="str">
        <x:f>IF(351&gt;$H$4,"",IF(INDEX('Fleet dates'!$A$9:$A$1008,$I359-8)="","",INDEX('Fleet dates'!$A$9:$A$1008,$I359-8)))</x:f>
      </x:c>
      <x:c r="B359" s="50" t="str">
        <x:f>IF(351&gt;$H$4,"",IF(INDEX('Fleet dates'!$B$9:$B$1008,$I359-8)="","",INDEX('Fleet dates'!$B$9:$B$1008,$I359-8)))</x:f>
      </x:c>
      <x:c r="C359" s="51" t="str">
        <x:f>IF(351&gt;$H$4,"",IF(INDEX('Fleet dates'!$C$9:$C$1008,$I359-8)="","",INDEX('Fleet dates'!$C$9:$C$1008,$I359-8)))</x:f>
      </x:c>
      <x:c r="D359" s="51" t="str">
        <x:f>IF(351&gt;$H$4,"",IF(INDEX('Fleet dates'!$D$9:$D$1008,$I359-8)="","",INDEX('Fleet dates'!$D$9:$D$1008,$I359-8)))</x:f>
      </x:c>
      <x:c r="E359" s="51" t="str">
        <x:f>IF(351&gt;$H$4,"",IF(INDEX('Fleet dates'!$E$9:$E$1008,$I359-8)="","",INDEX('Fleet dates'!$E$9:$E$1008,$I359-8)))</x:f>
      </x:c>
      <x:c r="F359" s="51" t="str">
        <x:f>IF(351&gt;$H$4,"",IF(INDEX('Fleet dates'!$F$9:$F$1008,$I359-8)="","",INDEX('Fleet dates'!$F$9:$F$1008,$I359-8)))</x:f>
      </x:c>
      <x:c r="G359" s="50" t="str">
        <x:f>IF(351&gt;$H$4,"",IF(INDEX('Fleet dates'!$G$9:$G$1008,$I359-8)="","",INDEX('Fleet dates'!$G$9:$G$1008,$I359-8)))</x:f>
      </x:c>
      <x:c r="H359" s="50" t="str">
        <x:f>IF(351&gt;$H$4,"",IF(INDEX('Fleet dates'!$I$9:$I$1008,$I359-8)="","",INDEX('Fleet dates'!$I$9:$I$1008,$I359-8)))</x:f>
      </x:c>
      <x:c r="I359" t="str">
        <x:f>IF(351&gt;$H$4,"",MATCH(351,'Fleet dates'!$L$9:$L$1008,0)+8)</x:f>
      </x:c>
    </x:row>
    <x:row r="360" ht="36" customHeight="1">
      <x:c r="A360" s="50" t="str">
        <x:f>IF(352&gt;$H$4,"",IF(INDEX('Fleet dates'!$A$9:$A$1008,$I360-8)="","",INDEX('Fleet dates'!$A$9:$A$1008,$I360-8)))</x:f>
      </x:c>
      <x:c r="B360" s="50" t="str">
        <x:f>IF(352&gt;$H$4,"",IF(INDEX('Fleet dates'!$B$9:$B$1008,$I360-8)="","",INDEX('Fleet dates'!$B$9:$B$1008,$I360-8)))</x:f>
      </x:c>
      <x:c r="C360" s="51" t="str">
        <x:f>IF(352&gt;$H$4,"",IF(INDEX('Fleet dates'!$C$9:$C$1008,$I360-8)="","",INDEX('Fleet dates'!$C$9:$C$1008,$I360-8)))</x:f>
      </x:c>
      <x:c r="D360" s="51" t="str">
        <x:f>IF(352&gt;$H$4,"",IF(INDEX('Fleet dates'!$D$9:$D$1008,$I360-8)="","",INDEX('Fleet dates'!$D$9:$D$1008,$I360-8)))</x:f>
      </x:c>
      <x:c r="E360" s="51" t="str">
        <x:f>IF(352&gt;$H$4,"",IF(INDEX('Fleet dates'!$E$9:$E$1008,$I360-8)="","",INDEX('Fleet dates'!$E$9:$E$1008,$I360-8)))</x:f>
      </x:c>
      <x:c r="F360" s="51" t="str">
        <x:f>IF(352&gt;$H$4,"",IF(INDEX('Fleet dates'!$F$9:$F$1008,$I360-8)="","",INDEX('Fleet dates'!$F$9:$F$1008,$I360-8)))</x:f>
      </x:c>
      <x:c r="G360" s="50" t="str">
        <x:f>IF(352&gt;$H$4,"",IF(INDEX('Fleet dates'!$G$9:$G$1008,$I360-8)="","",INDEX('Fleet dates'!$G$9:$G$1008,$I360-8)))</x:f>
      </x:c>
      <x:c r="H360" s="50" t="str">
        <x:f>IF(352&gt;$H$4,"",IF(INDEX('Fleet dates'!$I$9:$I$1008,$I360-8)="","",INDEX('Fleet dates'!$I$9:$I$1008,$I360-8)))</x:f>
      </x:c>
      <x:c r="I360" t="str">
        <x:f>IF(352&gt;$H$4,"",MATCH(352,'Fleet dates'!$L$9:$L$1008,0)+8)</x:f>
      </x:c>
    </x:row>
    <x:row r="361" ht="36" customHeight="1">
      <x:c r="A361" s="50" t="str">
        <x:f>IF(353&gt;$H$4,"",IF(INDEX('Fleet dates'!$A$9:$A$1008,$I361-8)="","",INDEX('Fleet dates'!$A$9:$A$1008,$I361-8)))</x:f>
      </x:c>
      <x:c r="B361" s="50" t="str">
        <x:f>IF(353&gt;$H$4,"",IF(INDEX('Fleet dates'!$B$9:$B$1008,$I361-8)="","",INDEX('Fleet dates'!$B$9:$B$1008,$I361-8)))</x:f>
      </x:c>
      <x:c r="C361" s="51" t="str">
        <x:f>IF(353&gt;$H$4,"",IF(INDEX('Fleet dates'!$C$9:$C$1008,$I361-8)="","",INDEX('Fleet dates'!$C$9:$C$1008,$I361-8)))</x:f>
      </x:c>
      <x:c r="D361" s="51" t="str">
        <x:f>IF(353&gt;$H$4,"",IF(INDEX('Fleet dates'!$D$9:$D$1008,$I361-8)="","",INDEX('Fleet dates'!$D$9:$D$1008,$I361-8)))</x:f>
      </x:c>
      <x:c r="E361" s="51" t="str">
        <x:f>IF(353&gt;$H$4,"",IF(INDEX('Fleet dates'!$E$9:$E$1008,$I361-8)="","",INDEX('Fleet dates'!$E$9:$E$1008,$I361-8)))</x:f>
      </x:c>
      <x:c r="F361" s="51" t="str">
        <x:f>IF(353&gt;$H$4,"",IF(INDEX('Fleet dates'!$F$9:$F$1008,$I361-8)="","",INDEX('Fleet dates'!$F$9:$F$1008,$I361-8)))</x:f>
      </x:c>
      <x:c r="G361" s="50" t="str">
        <x:f>IF(353&gt;$H$4,"",IF(INDEX('Fleet dates'!$G$9:$G$1008,$I361-8)="","",INDEX('Fleet dates'!$G$9:$G$1008,$I361-8)))</x:f>
      </x:c>
      <x:c r="H361" s="50" t="str">
        <x:f>IF(353&gt;$H$4,"",IF(INDEX('Fleet dates'!$I$9:$I$1008,$I361-8)="","",INDEX('Fleet dates'!$I$9:$I$1008,$I361-8)))</x:f>
      </x:c>
      <x:c r="I361" t="str">
        <x:f>IF(353&gt;$H$4,"",MATCH(353,'Fleet dates'!$L$9:$L$1008,0)+8)</x:f>
      </x:c>
    </x:row>
    <x:row r="362" ht="36" customHeight="1">
      <x:c r="A362" s="50" t="str">
        <x:f>IF(354&gt;$H$4,"",IF(INDEX('Fleet dates'!$A$9:$A$1008,$I362-8)="","",INDEX('Fleet dates'!$A$9:$A$1008,$I362-8)))</x:f>
      </x:c>
      <x:c r="B362" s="50" t="str">
        <x:f>IF(354&gt;$H$4,"",IF(INDEX('Fleet dates'!$B$9:$B$1008,$I362-8)="","",INDEX('Fleet dates'!$B$9:$B$1008,$I362-8)))</x:f>
      </x:c>
      <x:c r="C362" s="51" t="str">
        <x:f>IF(354&gt;$H$4,"",IF(INDEX('Fleet dates'!$C$9:$C$1008,$I362-8)="","",INDEX('Fleet dates'!$C$9:$C$1008,$I362-8)))</x:f>
      </x:c>
      <x:c r="D362" s="51" t="str">
        <x:f>IF(354&gt;$H$4,"",IF(INDEX('Fleet dates'!$D$9:$D$1008,$I362-8)="","",INDEX('Fleet dates'!$D$9:$D$1008,$I362-8)))</x:f>
      </x:c>
      <x:c r="E362" s="51" t="str">
        <x:f>IF(354&gt;$H$4,"",IF(INDEX('Fleet dates'!$E$9:$E$1008,$I362-8)="","",INDEX('Fleet dates'!$E$9:$E$1008,$I362-8)))</x:f>
      </x:c>
      <x:c r="F362" s="51" t="str">
        <x:f>IF(354&gt;$H$4,"",IF(INDEX('Fleet dates'!$F$9:$F$1008,$I362-8)="","",INDEX('Fleet dates'!$F$9:$F$1008,$I362-8)))</x:f>
      </x:c>
      <x:c r="G362" s="50" t="str">
        <x:f>IF(354&gt;$H$4,"",IF(INDEX('Fleet dates'!$G$9:$G$1008,$I362-8)="","",INDEX('Fleet dates'!$G$9:$G$1008,$I362-8)))</x:f>
      </x:c>
      <x:c r="H362" s="50" t="str">
        <x:f>IF(354&gt;$H$4,"",IF(INDEX('Fleet dates'!$I$9:$I$1008,$I362-8)="","",INDEX('Fleet dates'!$I$9:$I$1008,$I362-8)))</x:f>
      </x:c>
      <x:c r="I362" t="str">
        <x:f>IF(354&gt;$H$4,"",MATCH(354,'Fleet dates'!$L$9:$L$1008,0)+8)</x:f>
      </x:c>
    </x:row>
    <x:row r="363" ht="36" customHeight="1">
      <x:c r="A363" s="50" t="str">
        <x:f>IF(355&gt;$H$4,"",IF(INDEX('Fleet dates'!$A$9:$A$1008,$I363-8)="","",INDEX('Fleet dates'!$A$9:$A$1008,$I363-8)))</x:f>
      </x:c>
      <x:c r="B363" s="50" t="str">
        <x:f>IF(355&gt;$H$4,"",IF(INDEX('Fleet dates'!$B$9:$B$1008,$I363-8)="","",INDEX('Fleet dates'!$B$9:$B$1008,$I363-8)))</x:f>
      </x:c>
      <x:c r="C363" s="51" t="str">
        <x:f>IF(355&gt;$H$4,"",IF(INDEX('Fleet dates'!$C$9:$C$1008,$I363-8)="","",INDEX('Fleet dates'!$C$9:$C$1008,$I363-8)))</x:f>
      </x:c>
      <x:c r="D363" s="51" t="str">
        <x:f>IF(355&gt;$H$4,"",IF(INDEX('Fleet dates'!$D$9:$D$1008,$I363-8)="","",INDEX('Fleet dates'!$D$9:$D$1008,$I363-8)))</x:f>
      </x:c>
      <x:c r="E363" s="51" t="str">
        <x:f>IF(355&gt;$H$4,"",IF(INDEX('Fleet dates'!$E$9:$E$1008,$I363-8)="","",INDEX('Fleet dates'!$E$9:$E$1008,$I363-8)))</x:f>
      </x:c>
      <x:c r="F363" s="51" t="str">
        <x:f>IF(355&gt;$H$4,"",IF(INDEX('Fleet dates'!$F$9:$F$1008,$I363-8)="","",INDEX('Fleet dates'!$F$9:$F$1008,$I363-8)))</x:f>
      </x:c>
      <x:c r="G363" s="50" t="str">
        <x:f>IF(355&gt;$H$4,"",IF(INDEX('Fleet dates'!$G$9:$G$1008,$I363-8)="","",INDEX('Fleet dates'!$G$9:$G$1008,$I363-8)))</x:f>
      </x:c>
      <x:c r="H363" s="50" t="str">
        <x:f>IF(355&gt;$H$4,"",IF(INDEX('Fleet dates'!$I$9:$I$1008,$I363-8)="","",INDEX('Fleet dates'!$I$9:$I$1008,$I363-8)))</x:f>
      </x:c>
      <x:c r="I363" t="str">
        <x:f>IF(355&gt;$H$4,"",MATCH(355,'Fleet dates'!$L$9:$L$1008,0)+8)</x:f>
      </x:c>
    </x:row>
    <x:row r="364" ht="36" customHeight="1">
      <x:c r="A364" s="50" t="str">
        <x:f>IF(356&gt;$H$4,"",IF(INDEX('Fleet dates'!$A$9:$A$1008,$I364-8)="","",INDEX('Fleet dates'!$A$9:$A$1008,$I364-8)))</x:f>
      </x:c>
      <x:c r="B364" s="50" t="str">
        <x:f>IF(356&gt;$H$4,"",IF(INDEX('Fleet dates'!$B$9:$B$1008,$I364-8)="","",INDEX('Fleet dates'!$B$9:$B$1008,$I364-8)))</x:f>
      </x:c>
      <x:c r="C364" s="51" t="str">
        <x:f>IF(356&gt;$H$4,"",IF(INDEX('Fleet dates'!$C$9:$C$1008,$I364-8)="","",INDEX('Fleet dates'!$C$9:$C$1008,$I364-8)))</x:f>
      </x:c>
      <x:c r="D364" s="51" t="str">
        <x:f>IF(356&gt;$H$4,"",IF(INDEX('Fleet dates'!$D$9:$D$1008,$I364-8)="","",INDEX('Fleet dates'!$D$9:$D$1008,$I364-8)))</x:f>
      </x:c>
      <x:c r="E364" s="51" t="str">
        <x:f>IF(356&gt;$H$4,"",IF(INDEX('Fleet dates'!$E$9:$E$1008,$I364-8)="","",INDEX('Fleet dates'!$E$9:$E$1008,$I364-8)))</x:f>
      </x:c>
      <x:c r="F364" s="51" t="str">
        <x:f>IF(356&gt;$H$4,"",IF(INDEX('Fleet dates'!$F$9:$F$1008,$I364-8)="","",INDEX('Fleet dates'!$F$9:$F$1008,$I364-8)))</x:f>
      </x:c>
      <x:c r="G364" s="50" t="str">
        <x:f>IF(356&gt;$H$4,"",IF(INDEX('Fleet dates'!$G$9:$G$1008,$I364-8)="","",INDEX('Fleet dates'!$G$9:$G$1008,$I364-8)))</x:f>
      </x:c>
      <x:c r="H364" s="50" t="str">
        <x:f>IF(356&gt;$H$4,"",IF(INDEX('Fleet dates'!$I$9:$I$1008,$I364-8)="","",INDEX('Fleet dates'!$I$9:$I$1008,$I364-8)))</x:f>
      </x:c>
      <x:c r="I364" t="str">
        <x:f>IF(356&gt;$H$4,"",MATCH(356,'Fleet dates'!$L$9:$L$1008,0)+8)</x:f>
      </x:c>
    </x:row>
    <x:row r="365" ht="36" customHeight="1">
      <x:c r="A365" s="50" t="str">
        <x:f>IF(357&gt;$H$4,"",IF(INDEX('Fleet dates'!$A$9:$A$1008,$I365-8)="","",INDEX('Fleet dates'!$A$9:$A$1008,$I365-8)))</x:f>
      </x:c>
      <x:c r="B365" s="50" t="str">
        <x:f>IF(357&gt;$H$4,"",IF(INDEX('Fleet dates'!$B$9:$B$1008,$I365-8)="","",INDEX('Fleet dates'!$B$9:$B$1008,$I365-8)))</x:f>
      </x:c>
      <x:c r="C365" s="51" t="str">
        <x:f>IF(357&gt;$H$4,"",IF(INDEX('Fleet dates'!$C$9:$C$1008,$I365-8)="","",INDEX('Fleet dates'!$C$9:$C$1008,$I365-8)))</x:f>
      </x:c>
      <x:c r="D365" s="51" t="str">
        <x:f>IF(357&gt;$H$4,"",IF(INDEX('Fleet dates'!$D$9:$D$1008,$I365-8)="","",INDEX('Fleet dates'!$D$9:$D$1008,$I365-8)))</x:f>
      </x:c>
      <x:c r="E365" s="51" t="str">
        <x:f>IF(357&gt;$H$4,"",IF(INDEX('Fleet dates'!$E$9:$E$1008,$I365-8)="","",INDEX('Fleet dates'!$E$9:$E$1008,$I365-8)))</x:f>
      </x:c>
      <x:c r="F365" s="51" t="str">
        <x:f>IF(357&gt;$H$4,"",IF(INDEX('Fleet dates'!$F$9:$F$1008,$I365-8)="","",INDEX('Fleet dates'!$F$9:$F$1008,$I365-8)))</x:f>
      </x:c>
      <x:c r="G365" s="50" t="str">
        <x:f>IF(357&gt;$H$4,"",IF(INDEX('Fleet dates'!$G$9:$G$1008,$I365-8)="","",INDEX('Fleet dates'!$G$9:$G$1008,$I365-8)))</x:f>
      </x:c>
      <x:c r="H365" s="50" t="str">
        <x:f>IF(357&gt;$H$4,"",IF(INDEX('Fleet dates'!$I$9:$I$1008,$I365-8)="","",INDEX('Fleet dates'!$I$9:$I$1008,$I365-8)))</x:f>
      </x:c>
      <x:c r="I365" t="str">
        <x:f>IF(357&gt;$H$4,"",MATCH(357,'Fleet dates'!$L$9:$L$1008,0)+8)</x:f>
      </x:c>
    </x:row>
    <x:row r="366" ht="36" customHeight="1">
      <x:c r="A366" s="50" t="str">
        <x:f>IF(358&gt;$H$4,"",IF(INDEX('Fleet dates'!$A$9:$A$1008,$I366-8)="","",INDEX('Fleet dates'!$A$9:$A$1008,$I366-8)))</x:f>
      </x:c>
      <x:c r="B366" s="50" t="str">
        <x:f>IF(358&gt;$H$4,"",IF(INDEX('Fleet dates'!$B$9:$B$1008,$I366-8)="","",INDEX('Fleet dates'!$B$9:$B$1008,$I366-8)))</x:f>
      </x:c>
      <x:c r="C366" s="51" t="str">
        <x:f>IF(358&gt;$H$4,"",IF(INDEX('Fleet dates'!$C$9:$C$1008,$I366-8)="","",INDEX('Fleet dates'!$C$9:$C$1008,$I366-8)))</x:f>
      </x:c>
      <x:c r="D366" s="51" t="str">
        <x:f>IF(358&gt;$H$4,"",IF(INDEX('Fleet dates'!$D$9:$D$1008,$I366-8)="","",INDEX('Fleet dates'!$D$9:$D$1008,$I366-8)))</x:f>
      </x:c>
      <x:c r="E366" s="51" t="str">
        <x:f>IF(358&gt;$H$4,"",IF(INDEX('Fleet dates'!$E$9:$E$1008,$I366-8)="","",INDEX('Fleet dates'!$E$9:$E$1008,$I366-8)))</x:f>
      </x:c>
      <x:c r="F366" s="51" t="str">
        <x:f>IF(358&gt;$H$4,"",IF(INDEX('Fleet dates'!$F$9:$F$1008,$I366-8)="","",INDEX('Fleet dates'!$F$9:$F$1008,$I366-8)))</x:f>
      </x:c>
      <x:c r="G366" s="50" t="str">
        <x:f>IF(358&gt;$H$4,"",IF(INDEX('Fleet dates'!$G$9:$G$1008,$I366-8)="","",INDEX('Fleet dates'!$G$9:$G$1008,$I366-8)))</x:f>
      </x:c>
      <x:c r="H366" s="50" t="str">
        <x:f>IF(358&gt;$H$4,"",IF(INDEX('Fleet dates'!$I$9:$I$1008,$I366-8)="","",INDEX('Fleet dates'!$I$9:$I$1008,$I366-8)))</x:f>
      </x:c>
      <x:c r="I366" t="str">
        <x:f>IF(358&gt;$H$4,"",MATCH(358,'Fleet dates'!$L$9:$L$1008,0)+8)</x:f>
      </x:c>
    </x:row>
    <x:row r="367" ht="36" customHeight="1">
      <x:c r="A367" s="50" t="str">
        <x:f>IF(359&gt;$H$4,"",IF(INDEX('Fleet dates'!$A$9:$A$1008,$I367-8)="","",INDEX('Fleet dates'!$A$9:$A$1008,$I367-8)))</x:f>
      </x:c>
      <x:c r="B367" s="50" t="str">
        <x:f>IF(359&gt;$H$4,"",IF(INDEX('Fleet dates'!$B$9:$B$1008,$I367-8)="","",INDEX('Fleet dates'!$B$9:$B$1008,$I367-8)))</x:f>
      </x:c>
      <x:c r="C367" s="51" t="str">
        <x:f>IF(359&gt;$H$4,"",IF(INDEX('Fleet dates'!$C$9:$C$1008,$I367-8)="","",INDEX('Fleet dates'!$C$9:$C$1008,$I367-8)))</x:f>
      </x:c>
      <x:c r="D367" s="51" t="str">
        <x:f>IF(359&gt;$H$4,"",IF(INDEX('Fleet dates'!$D$9:$D$1008,$I367-8)="","",INDEX('Fleet dates'!$D$9:$D$1008,$I367-8)))</x:f>
      </x:c>
      <x:c r="E367" s="51" t="str">
        <x:f>IF(359&gt;$H$4,"",IF(INDEX('Fleet dates'!$E$9:$E$1008,$I367-8)="","",INDEX('Fleet dates'!$E$9:$E$1008,$I367-8)))</x:f>
      </x:c>
      <x:c r="F367" s="51" t="str">
        <x:f>IF(359&gt;$H$4,"",IF(INDEX('Fleet dates'!$F$9:$F$1008,$I367-8)="","",INDEX('Fleet dates'!$F$9:$F$1008,$I367-8)))</x:f>
      </x:c>
      <x:c r="G367" s="50" t="str">
        <x:f>IF(359&gt;$H$4,"",IF(INDEX('Fleet dates'!$G$9:$G$1008,$I367-8)="","",INDEX('Fleet dates'!$G$9:$G$1008,$I367-8)))</x:f>
      </x:c>
      <x:c r="H367" s="50" t="str">
        <x:f>IF(359&gt;$H$4,"",IF(INDEX('Fleet dates'!$I$9:$I$1008,$I367-8)="","",INDEX('Fleet dates'!$I$9:$I$1008,$I367-8)))</x:f>
      </x:c>
      <x:c r="I367" t="str">
        <x:f>IF(359&gt;$H$4,"",MATCH(359,'Fleet dates'!$L$9:$L$1008,0)+8)</x:f>
      </x:c>
    </x:row>
    <x:row r="368" ht="36" customHeight="1">
      <x:c r="A368" s="50" t="str">
        <x:f>IF(360&gt;$H$4,"",IF(INDEX('Fleet dates'!$A$9:$A$1008,$I368-8)="","",INDEX('Fleet dates'!$A$9:$A$1008,$I368-8)))</x:f>
      </x:c>
      <x:c r="B368" s="50" t="str">
        <x:f>IF(360&gt;$H$4,"",IF(INDEX('Fleet dates'!$B$9:$B$1008,$I368-8)="","",INDEX('Fleet dates'!$B$9:$B$1008,$I368-8)))</x:f>
      </x:c>
      <x:c r="C368" s="51" t="str">
        <x:f>IF(360&gt;$H$4,"",IF(INDEX('Fleet dates'!$C$9:$C$1008,$I368-8)="","",INDEX('Fleet dates'!$C$9:$C$1008,$I368-8)))</x:f>
      </x:c>
      <x:c r="D368" s="51" t="str">
        <x:f>IF(360&gt;$H$4,"",IF(INDEX('Fleet dates'!$D$9:$D$1008,$I368-8)="","",INDEX('Fleet dates'!$D$9:$D$1008,$I368-8)))</x:f>
      </x:c>
      <x:c r="E368" s="51" t="str">
        <x:f>IF(360&gt;$H$4,"",IF(INDEX('Fleet dates'!$E$9:$E$1008,$I368-8)="","",INDEX('Fleet dates'!$E$9:$E$1008,$I368-8)))</x:f>
      </x:c>
      <x:c r="F368" s="51" t="str">
        <x:f>IF(360&gt;$H$4,"",IF(INDEX('Fleet dates'!$F$9:$F$1008,$I368-8)="","",INDEX('Fleet dates'!$F$9:$F$1008,$I368-8)))</x:f>
      </x:c>
      <x:c r="G368" s="50" t="str">
        <x:f>IF(360&gt;$H$4,"",IF(INDEX('Fleet dates'!$G$9:$G$1008,$I368-8)="","",INDEX('Fleet dates'!$G$9:$G$1008,$I368-8)))</x:f>
      </x:c>
      <x:c r="H368" s="50" t="str">
        <x:f>IF(360&gt;$H$4,"",IF(INDEX('Fleet dates'!$I$9:$I$1008,$I368-8)="","",INDEX('Fleet dates'!$I$9:$I$1008,$I368-8)))</x:f>
      </x:c>
      <x:c r="I368" t="str">
        <x:f>IF(360&gt;$H$4,"",MATCH(360,'Fleet dates'!$L$9:$L$1008,0)+8)</x:f>
      </x:c>
    </x:row>
    <x:row r="369" ht="36" customHeight="1">
      <x:c r="A369" s="50" t="str">
        <x:f>IF(361&gt;$H$4,"",IF(INDEX('Fleet dates'!$A$9:$A$1008,$I369-8)="","",INDEX('Fleet dates'!$A$9:$A$1008,$I369-8)))</x:f>
      </x:c>
      <x:c r="B369" s="50" t="str">
        <x:f>IF(361&gt;$H$4,"",IF(INDEX('Fleet dates'!$B$9:$B$1008,$I369-8)="","",INDEX('Fleet dates'!$B$9:$B$1008,$I369-8)))</x:f>
      </x:c>
      <x:c r="C369" s="51" t="str">
        <x:f>IF(361&gt;$H$4,"",IF(INDEX('Fleet dates'!$C$9:$C$1008,$I369-8)="","",INDEX('Fleet dates'!$C$9:$C$1008,$I369-8)))</x:f>
      </x:c>
      <x:c r="D369" s="51" t="str">
        <x:f>IF(361&gt;$H$4,"",IF(INDEX('Fleet dates'!$D$9:$D$1008,$I369-8)="","",INDEX('Fleet dates'!$D$9:$D$1008,$I369-8)))</x:f>
      </x:c>
      <x:c r="E369" s="51" t="str">
        <x:f>IF(361&gt;$H$4,"",IF(INDEX('Fleet dates'!$E$9:$E$1008,$I369-8)="","",INDEX('Fleet dates'!$E$9:$E$1008,$I369-8)))</x:f>
      </x:c>
      <x:c r="F369" s="51" t="str">
        <x:f>IF(361&gt;$H$4,"",IF(INDEX('Fleet dates'!$F$9:$F$1008,$I369-8)="","",INDEX('Fleet dates'!$F$9:$F$1008,$I369-8)))</x:f>
      </x:c>
      <x:c r="G369" s="50" t="str">
        <x:f>IF(361&gt;$H$4,"",IF(INDEX('Fleet dates'!$G$9:$G$1008,$I369-8)="","",INDEX('Fleet dates'!$G$9:$G$1008,$I369-8)))</x:f>
      </x:c>
      <x:c r="H369" s="50" t="str">
        <x:f>IF(361&gt;$H$4,"",IF(INDEX('Fleet dates'!$I$9:$I$1008,$I369-8)="","",INDEX('Fleet dates'!$I$9:$I$1008,$I369-8)))</x:f>
      </x:c>
      <x:c r="I369" t="str">
        <x:f>IF(361&gt;$H$4,"",MATCH(361,'Fleet dates'!$L$9:$L$1008,0)+8)</x:f>
      </x:c>
    </x:row>
    <x:row r="370" ht="36" customHeight="1">
      <x:c r="A370" s="50" t="str">
        <x:f>IF(362&gt;$H$4,"",IF(INDEX('Fleet dates'!$A$9:$A$1008,$I370-8)="","",INDEX('Fleet dates'!$A$9:$A$1008,$I370-8)))</x:f>
      </x:c>
      <x:c r="B370" s="50" t="str">
        <x:f>IF(362&gt;$H$4,"",IF(INDEX('Fleet dates'!$B$9:$B$1008,$I370-8)="","",INDEX('Fleet dates'!$B$9:$B$1008,$I370-8)))</x:f>
      </x:c>
      <x:c r="C370" s="51" t="str">
        <x:f>IF(362&gt;$H$4,"",IF(INDEX('Fleet dates'!$C$9:$C$1008,$I370-8)="","",INDEX('Fleet dates'!$C$9:$C$1008,$I370-8)))</x:f>
      </x:c>
      <x:c r="D370" s="51" t="str">
        <x:f>IF(362&gt;$H$4,"",IF(INDEX('Fleet dates'!$D$9:$D$1008,$I370-8)="","",INDEX('Fleet dates'!$D$9:$D$1008,$I370-8)))</x:f>
      </x:c>
      <x:c r="E370" s="51" t="str">
        <x:f>IF(362&gt;$H$4,"",IF(INDEX('Fleet dates'!$E$9:$E$1008,$I370-8)="","",INDEX('Fleet dates'!$E$9:$E$1008,$I370-8)))</x:f>
      </x:c>
      <x:c r="F370" s="51" t="str">
        <x:f>IF(362&gt;$H$4,"",IF(INDEX('Fleet dates'!$F$9:$F$1008,$I370-8)="","",INDEX('Fleet dates'!$F$9:$F$1008,$I370-8)))</x:f>
      </x:c>
      <x:c r="G370" s="50" t="str">
        <x:f>IF(362&gt;$H$4,"",IF(INDEX('Fleet dates'!$G$9:$G$1008,$I370-8)="","",INDEX('Fleet dates'!$G$9:$G$1008,$I370-8)))</x:f>
      </x:c>
      <x:c r="H370" s="50" t="str">
        <x:f>IF(362&gt;$H$4,"",IF(INDEX('Fleet dates'!$I$9:$I$1008,$I370-8)="","",INDEX('Fleet dates'!$I$9:$I$1008,$I370-8)))</x:f>
      </x:c>
      <x:c r="I370" t="str">
        <x:f>IF(362&gt;$H$4,"",MATCH(362,'Fleet dates'!$L$9:$L$1008,0)+8)</x:f>
      </x:c>
    </x:row>
    <x:row r="371" ht="36" customHeight="1">
      <x:c r="A371" s="50" t="str">
        <x:f>IF(363&gt;$H$4,"",IF(INDEX('Fleet dates'!$A$9:$A$1008,$I371-8)="","",INDEX('Fleet dates'!$A$9:$A$1008,$I371-8)))</x:f>
      </x:c>
      <x:c r="B371" s="50" t="str">
        <x:f>IF(363&gt;$H$4,"",IF(INDEX('Fleet dates'!$B$9:$B$1008,$I371-8)="","",INDEX('Fleet dates'!$B$9:$B$1008,$I371-8)))</x:f>
      </x:c>
      <x:c r="C371" s="51" t="str">
        <x:f>IF(363&gt;$H$4,"",IF(INDEX('Fleet dates'!$C$9:$C$1008,$I371-8)="","",INDEX('Fleet dates'!$C$9:$C$1008,$I371-8)))</x:f>
      </x:c>
      <x:c r="D371" s="51" t="str">
        <x:f>IF(363&gt;$H$4,"",IF(INDEX('Fleet dates'!$D$9:$D$1008,$I371-8)="","",INDEX('Fleet dates'!$D$9:$D$1008,$I371-8)))</x:f>
      </x:c>
      <x:c r="E371" s="51" t="str">
        <x:f>IF(363&gt;$H$4,"",IF(INDEX('Fleet dates'!$E$9:$E$1008,$I371-8)="","",INDEX('Fleet dates'!$E$9:$E$1008,$I371-8)))</x:f>
      </x:c>
      <x:c r="F371" s="51" t="str">
        <x:f>IF(363&gt;$H$4,"",IF(INDEX('Fleet dates'!$F$9:$F$1008,$I371-8)="","",INDEX('Fleet dates'!$F$9:$F$1008,$I371-8)))</x:f>
      </x:c>
      <x:c r="G371" s="50" t="str">
        <x:f>IF(363&gt;$H$4,"",IF(INDEX('Fleet dates'!$G$9:$G$1008,$I371-8)="","",INDEX('Fleet dates'!$G$9:$G$1008,$I371-8)))</x:f>
      </x:c>
      <x:c r="H371" s="50" t="str">
        <x:f>IF(363&gt;$H$4,"",IF(INDEX('Fleet dates'!$I$9:$I$1008,$I371-8)="","",INDEX('Fleet dates'!$I$9:$I$1008,$I371-8)))</x:f>
      </x:c>
      <x:c r="I371" t="str">
        <x:f>IF(363&gt;$H$4,"",MATCH(363,'Fleet dates'!$L$9:$L$1008,0)+8)</x:f>
      </x:c>
    </x:row>
    <x:row r="372" ht="36" customHeight="1">
      <x:c r="A372" s="50" t="str">
        <x:f>IF(364&gt;$H$4,"",IF(INDEX('Fleet dates'!$A$9:$A$1008,$I372-8)="","",INDEX('Fleet dates'!$A$9:$A$1008,$I372-8)))</x:f>
      </x:c>
      <x:c r="B372" s="50" t="str">
        <x:f>IF(364&gt;$H$4,"",IF(INDEX('Fleet dates'!$B$9:$B$1008,$I372-8)="","",INDEX('Fleet dates'!$B$9:$B$1008,$I372-8)))</x:f>
      </x:c>
      <x:c r="C372" s="51" t="str">
        <x:f>IF(364&gt;$H$4,"",IF(INDEX('Fleet dates'!$C$9:$C$1008,$I372-8)="","",INDEX('Fleet dates'!$C$9:$C$1008,$I372-8)))</x:f>
      </x:c>
      <x:c r="D372" s="51" t="str">
        <x:f>IF(364&gt;$H$4,"",IF(INDEX('Fleet dates'!$D$9:$D$1008,$I372-8)="","",INDEX('Fleet dates'!$D$9:$D$1008,$I372-8)))</x:f>
      </x:c>
      <x:c r="E372" s="51" t="str">
        <x:f>IF(364&gt;$H$4,"",IF(INDEX('Fleet dates'!$E$9:$E$1008,$I372-8)="","",INDEX('Fleet dates'!$E$9:$E$1008,$I372-8)))</x:f>
      </x:c>
      <x:c r="F372" s="51" t="str">
        <x:f>IF(364&gt;$H$4,"",IF(INDEX('Fleet dates'!$F$9:$F$1008,$I372-8)="","",INDEX('Fleet dates'!$F$9:$F$1008,$I372-8)))</x:f>
      </x:c>
      <x:c r="G372" s="50" t="str">
        <x:f>IF(364&gt;$H$4,"",IF(INDEX('Fleet dates'!$G$9:$G$1008,$I372-8)="","",INDEX('Fleet dates'!$G$9:$G$1008,$I372-8)))</x:f>
      </x:c>
      <x:c r="H372" s="50" t="str">
        <x:f>IF(364&gt;$H$4,"",IF(INDEX('Fleet dates'!$I$9:$I$1008,$I372-8)="","",INDEX('Fleet dates'!$I$9:$I$1008,$I372-8)))</x:f>
      </x:c>
      <x:c r="I372" t="str">
        <x:f>IF(364&gt;$H$4,"",MATCH(364,'Fleet dates'!$L$9:$L$1008,0)+8)</x:f>
      </x:c>
    </x:row>
    <x:row r="373" ht="36" customHeight="1">
      <x:c r="A373" s="50" t="str">
        <x:f>IF(365&gt;$H$4,"",IF(INDEX('Fleet dates'!$A$9:$A$1008,$I373-8)="","",INDEX('Fleet dates'!$A$9:$A$1008,$I373-8)))</x:f>
      </x:c>
      <x:c r="B373" s="50" t="str">
        <x:f>IF(365&gt;$H$4,"",IF(INDEX('Fleet dates'!$B$9:$B$1008,$I373-8)="","",INDEX('Fleet dates'!$B$9:$B$1008,$I373-8)))</x:f>
      </x:c>
      <x:c r="C373" s="51" t="str">
        <x:f>IF(365&gt;$H$4,"",IF(INDEX('Fleet dates'!$C$9:$C$1008,$I373-8)="","",INDEX('Fleet dates'!$C$9:$C$1008,$I373-8)))</x:f>
      </x:c>
      <x:c r="D373" s="51" t="str">
        <x:f>IF(365&gt;$H$4,"",IF(INDEX('Fleet dates'!$D$9:$D$1008,$I373-8)="","",INDEX('Fleet dates'!$D$9:$D$1008,$I373-8)))</x:f>
      </x:c>
      <x:c r="E373" s="51" t="str">
        <x:f>IF(365&gt;$H$4,"",IF(INDEX('Fleet dates'!$E$9:$E$1008,$I373-8)="","",INDEX('Fleet dates'!$E$9:$E$1008,$I373-8)))</x:f>
      </x:c>
      <x:c r="F373" s="51" t="str">
        <x:f>IF(365&gt;$H$4,"",IF(INDEX('Fleet dates'!$F$9:$F$1008,$I373-8)="","",INDEX('Fleet dates'!$F$9:$F$1008,$I373-8)))</x:f>
      </x:c>
      <x:c r="G373" s="50" t="str">
        <x:f>IF(365&gt;$H$4,"",IF(INDEX('Fleet dates'!$G$9:$G$1008,$I373-8)="","",INDEX('Fleet dates'!$G$9:$G$1008,$I373-8)))</x:f>
      </x:c>
      <x:c r="H373" s="50" t="str">
        <x:f>IF(365&gt;$H$4,"",IF(INDEX('Fleet dates'!$I$9:$I$1008,$I373-8)="","",INDEX('Fleet dates'!$I$9:$I$1008,$I373-8)))</x:f>
      </x:c>
      <x:c r="I373" t="str">
        <x:f>IF(365&gt;$H$4,"",MATCH(365,'Fleet dates'!$L$9:$L$1008,0)+8)</x:f>
      </x:c>
    </x:row>
    <x:row r="374" ht="36" customHeight="1">
      <x:c r="A374" s="50" t="str">
        <x:f>IF(366&gt;$H$4,"",IF(INDEX('Fleet dates'!$A$9:$A$1008,$I374-8)="","",INDEX('Fleet dates'!$A$9:$A$1008,$I374-8)))</x:f>
      </x:c>
      <x:c r="B374" s="50" t="str">
        <x:f>IF(366&gt;$H$4,"",IF(INDEX('Fleet dates'!$B$9:$B$1008,$I374-8)="","",INDEX('Fleet dates'!$B$9:$B$1008,$I374-8)))</x:f>
      </x:c>
      <x:c r="C374" s="51" t="str">
        <x:f>IF(366&gt;$H$4,"",IF(INDEX('Fleet dates'!$C$9:$C$1008,$I374-8)="","",INDEX('Fleet dates'!$C$9:$C$1008,$I374-8)))</x:f>
      </x:c>
      <x:c r="D374" s="51" t="str">
        <x:f>IF(366&gt;$H$4,"",IF(INDEX('Fleet dates'!$D$9:$D$1008,$I374-8)="","",INDEX('Fleet dates'!$D$9:$D$1008,$I374-8)))</x:f>
      </x:c>
      <x:c r="E374" s="51" t="str">
        <x:f>IF(366&gt;$H$4,"",IF(INDEX('Fleet dates'!$E$9:$E$1008,$I374-8)="","",INDEX('Fleet dates'!$E$9:$E$1008,$I374-8)))</x:f>
      </x:c>
      <x:c r="F374" s="51" t="str">
        <x:f>IF(366&gt;$H$4,"",IF(INDEX('Fleet dates'!$F$9:$F$1008,$I374-8)="","",INDEX('Fleet dates'!$F$9:$F$1008,$I374-8)))</x:f>
      </x:c>
      <x:c r="G374" s="50" t="str">
        <x:f>IF(366&gt;$H$4,"",IF(INDEX('Fleet dates'!$G$9:$G$1008,$I374-8)="","",INDEX('Fleet dates'!$G$9:$G$1008,$I374-8)))</x:f>
      </x:c>
      <x:c r="H374" s="50" t="str">
        <x:f>IF(366&gt;$H$4,"",IF(INDEX('Fleet dates'!$I$9:$I$1008,$I374-8)="","",INDEX('Fleet dates'!$I$9:$I$1008,$I374-8)))</x:f>
      </x:c>
      <x:c r="I374" t="str">
        <x:f>IF(366&gt;$H$4,"",MATCH(366,'Fleet dates'!$L$9:$L$1008,0)+8)</x:f>
      </x:c>
    </x:row>
    <x:row r="375" ht="36" customHeight="1">
      <x:c r="A375" s="50" t="str">
        <x:f>IF(367&gt;$H$4,"",IF(INDEX('Fleet dates'!$A$9:$A$1008,$I375-8)="","",INDEX('Fleet dates'!$A$9:$A$1008,$I375-8)))</x:f>
      </x:c>
      <x:c r="B375" s="50" t="str">
        <x:f>IF(367&gt;$H$4,"",IF(INDEX('Fleet dates'!$B$9:$B$1008,$I375-8)="","",INDEX('Fleet dates'!$B$9:$B$1008,$I375-8)))</x:f>
      </x:c>
      <x:c r="C375" s="51" t="str">
        <x:f>IF(367&gt;$H$4,"",IF(INDEX('Fleet dates'!$C$9:$C$1008,$I375-8)="","",INDEX('Fleet dates'!$C$9:$C$1008,$I375-8)))</x:f>
      </x:c>
      <x:c r="D375" s="51" t="str">
        <x:f>IF(367&gt;$H$4,"",IF(INDEX('Fleet dates'!$D$9:$D$1008,$I375-8)="","",INDEX('Fleet dates'!$D$9:$D$1008,$I375-8)))</x:f>
      </x:c>
      <x:c r="E375" s="51" t="str">
        <x:f>IF(367&gt;$H$4,"",IF(INDEX('Fleet dates'!$E$9:$E$1008,$I375-8)="","",INDEX('Fleet dates'!$E$9:$E$1008,$I375-8)))</x:f>
      </x:c>
      <x:c r="F375" s="51" t="str">
        <x:f>IF(367&gt;$H$4,"",IF(INDEX('Fleet dates'!$F$9:$F$1008,$I375-8)="","",INDEX('Fleet dates'!$F$9:$F$1008,$I375-8)))</x:f>
      </x:c>
      <x:c r="G375" s="50" t="str">
        <x:f>IF(367&gt;$H$4,"",IF(INDEX('Fleet dates'!$G$9:$G$1008,$I375-8)="","",INDEX('Fleet dates'!$G$9:$G$1008,$I375-8)))</x:f>
      </x:c>
      <x:c r="H375" s="50" t="str">
        <x:f>IF(367&gt;$H$4,"",IF(INDEX('Fleet dates'!$I$9:$I$1008,$I375-8)="","",INDEX('Fleet dates'!$I$9:$I$1008,$I375-8)))</x:f>
      </x:c>
      <x:c r="I375" t="str">
        <x:f>IF(367&gt;$H$4,"",MATCH(367,'Fleet dates'!$L$9:$L$1008,0)+8)</x:f>
      </x:c>
    </x:row>
    <x:row r="376" ht="36" customHeight="1">
      <x:c r="A376" s="50" t="str">
        <x:f>IF(368&gt;$H$4,"",IF(INDEX('Fleet dates'!$A$9:$A$1008,$I376-8)="","",INDEX('Fleet dates'!$A$9:$A$1008,$I376-8)))</x:f>
      </x:c>
      <x:c r="B376" s="50" t="str">
        <x:f>IF(368&gt;$H$4,"",IF(INDEX('Fleet dates'!$B$9:$B$1008,$I376-8)="","",INDEX('Fleet dates'!$B$9:$B$1008,$I376-8)))</x:f>
      </x:c>
      <x:c r="C376" s="51" t="str">
        <x:f>IF(368&gt;$H$4,"",IF(INDEX('Fleet dates'!$C$9:$C$1008,$I376-8)="","",INDEX('Fleet dates'!$C$9:$C$1008,$I376-8)))</x:f>
      </x:c>
      <x:c r="D376" s="51" t="str">
        <x:f>IF(368&gt;$H$4,"",IF(INDEX('Fleet dates'!$D$9:$D$1008,$I376-8)="","",INDEX('Fleet dates'!$D$9:$D$1008,$I376-8)))</x:f>
      </x:c>
      <x:c r="E376" s="51" t="str">
        <x:f>IF(368&gt;$H$4,"",IF(INDEX('Fleet dates'!$E$9:$E$1008,$I376-8)="","",INDEX('Fleet dates'!$E$9:$E$1008,$I376-8)))</x:f>
      </x:c>
      <x:c r="F376" s="51" t="str">
        <x:f>IF(368&gt;$H$4,"",IF(INDEX('Fleet dates'!$F$9:$F$1008,$I376-8)="","",INDEX('Fleet dates'!$F$9:$F$1008,$I376-8)))</x:f>
      </x:c>
      <x:c r="G376" s="50" t="str">
        <x:f>IF(368&gt;$H$4,"",IF(INDEX('Fleet dates'!$G$9:$G$1008,$I376-8)="","",INDEX('Fleet dates'!$G$9:$G$1008,$I376-8)))</x:f>
      </x:c>
      <x:c r="H376" s="50" t="str">
        <x:f>IF(368&gt;$H$4,"",IF(INDEX('Fleet dates'!$I$9:$I$1008,$I376-8)="","",INDEX('Fleet dates'!$I$9:$I$1008,$I376-8)))</x:f>
      </x:c>
      <x:c r="I376" t="str">
        <x:f>IF(368&gt;$H$4,"",MATCH(368,'Fleet dates'!$L$9:$L$1008,0)+8)</x:f>
      </x:c>
    </x:row>
    <x:row r="377" ht="36" customHeight="1">
      <x:c r="A377" s="50" t="str">
        <x:f>IF(369&gt;$H$4,"",IF(INDEX('Fleet dates'!$A$9:$A$1008,$I377-8)="","",INDEX('Fleet dates'!$A$9:$A$1008,$I377-8)))</x:f>
      </x:c>
      <x:c r="B377" s="50" t="str">
        <x:f>IF(369&gt;$H$4,"",IF(INDEX('Fleet dates'!$B$9:$B$1008,$I377-8)="","",INDEX('Fleet dates'!$B$9:$B$1008,$I377-8)))</x:f>
      </x:c>
      <x:c r="C377" s="51" t="str">
        <x:f>IF(369&gt;$H$4,"",IF(INDEX('Fleet dates'!$C$9:$C$1008,$I377-8)="","",INDEX('Fleet dates'!$C$9:$C$1008,$I377-8)))</x:f>
      </x:c>
      <x:c r="D377" s="51" t="str">
        <x:f>IF(369&gt;$H$4,"",IF(INDEX('Fleet dates'!$D$9:$D$1008,$I377-8)="","",INDEX('Fleet dates'!$D$9:$D$1008,$I377-8)))</x:f>
      </x:c>
      <x:c r="E377" s="51" t="str">
        <x:f>IF(369&gt;$H$4,"",IF(INDEX('Fleet dates'!$E$9:$E$1008,$I377-8)="","",INDEX('Fleet dates'!$E$9:$E$1008,$I377-8)))</x:f>
      </x:c>
      <x:c r="F377" s="51" t="str">
        <x:f>IF(369&gt;$H$4,"",IF(INDEX('Fleet dates'!$F$9:$F$1008,$I377-8)="","",INDEX('Fleet dates'!$F$9:$F$1008,$I377-8)))</x:f>
      </x:c>
      <x:c r="G377" s="50" t="str">
        <x:f>IF(369&gt;$H$4,"",IF(INDEX('Fleet dates'!$G$9:$G$1008,$I377-8)="","",INDEX('Fleet dates'!$G$9:$G$1008,$I377-8)))</x:f>
      </x:c>
      <x:c r="H377" s="50" t="str">
        <x:f>IF(369&gt;$H$4,"",IF(INDEX('Fleet dates'!$I$9:$I$1008,$I377-8)="","",INDEX('Fleet dates'!$I$9:$I$1008,$I377-8)))</x:f>
      </x:c>
      <x:c r="I377" t="str">
        <x:f>IF(369&gt;$H$4,"",MATCH(369,'Fleet dates'!$L$9:$L$1008,0)+8)</x:f>
      </x:c>
    </x:row>
    <x:row r="378" ht="36" customHeight="1">
      <x:c r="A378" s="50" t="str">
        <x:f>IF(370&gt;$H$4,"",IF(INDEX('Fleet dates'!$A$9:$A$1008,$I378-8)="","",INDEX('Fleet dates'!$A$9:$A$1008,$I378-8)))</x:f>
      </x:c>
      <x:c r="B378" s="50" t="str">
        <x:f>IF(370&gt;$H$4,"",IF(INDEX('Fleet dates'!$B$9:$B$1008,$I378-8)="","",INDEX('Fleet dates'!$B$9:$B$1008,$I378-8)))</x:f>
      </x:c>
      <x:c r="C378" s="51" t="str">
        <x:f>IF(370&gt;$H$4,"",IF(INDEX('Fleet dates'!$C$9:$C$1008,$I378-8)="","",INDEX('Fleet dates'!$C$9:$C$1008,$I378-8)))</x:f>
      </x:c>
      <x:c r="D378" s="51" t="str">
        <x:f>IF(370&gt;$H$4,"",IF(INDEX('Fleet dates'!$D$9:$D$1008,$I378-8)="","",INDEX('Fleet dates'!$D$9:$D$1008,$I378-8)))</x:f>
      </x:c>
      <x:c r="E378" s="51" t="str">
        <x:f>IF(370&gt;$H$4,"",IF(INDEX('Fleet dates'!$E$9:$E$1008,$I378-8)="","",INDEX('Fleet dates'!$E$9:$E$1008,$I378-8)))</x:f>
      </x:c>
      <x:c r="F378" s="51" t="str">
        <x:f>IF(370&gt;$H$4,"",IF(INDEX('Fleet dates'!$F$9:$F$1008,$I378-8)="","",INDEX('Fleet dates'!$F$9:$F$1008,$I378-8)))</x:f>
      </x:c>
      <x:c r="G378" s="50" t="str">
        <x:f>IF(370&gt;$H$4,"",IF(INDEX('Fleet dates'!$G$9:$G$1008,$I378-8)="","",INDEX('Fleet dates'!$G$9:$G$1008,$I378-8)))</x:f>
      </x:c>
      <x:c r="H378" s="50" t="str">
        <x:f>IF(370&gt;$H$4,"",IF(INDEX('Fleet dates'!$I$9:$I$1008,$I378-8)="","",INDEX('Fleet dates'!$I$9:$I$1008,$I378-8)))</x:f>
      </x:c>
      <x:c r="I378" t="str">
        <x:f>IF(370&gt;$H$4,"",MATCH(370,'Fleet dates'!$L$9:$L$1008,0)+8)</x:f>
      </x:c>
    </x:row>
    <x:row r="379" ht="36" customHeight="1">
      <x:c r="A379" s="50" t="str">
        <x:f>IF(371&gt;$H$4,"",IF(INDEX('Fleet dates'!$A$9:$A$1008,$I379-8)="","",INDEX('Fleet dates'!$A$9:$A$1008,$I379-8)))</x:f>
      </x:c>
      <x:c r="B379" s="50" t="str">
        <x:f>IF(371&gt;$H$4,"",IF(INDEX('Fleet dates'!$B$9:$B$1008,$I379-8)="","",INDEX('Fleet dates'!$B$9:$B$1008,$I379-8)))</x:f>
      </x:c>
      <x:c r="C379" s="51" t="str">
        <x:f>IF(371&gt;$H$4,"",IF(INDEX('Fleet dates'!$C$9:$C$1008,$I379-8)="","",INDEX('Fleet dates'!$C$9:$C$1008,$I379-8)))</x:f>
      </x:c>
      <x:c r="D379" s="51" t="str">
        <x:f>IF(371&gt;$H$4,"",IF(INDEX('Fleet dates'!$D$9:$D$1008,$I379-8)="","",INDEX('Fleet dates'!$D$9:$D$1008,$I379-8)))</x:f>
      </x:c>
      <x:c r="E379" s="51" t="str">
        <x:f>IF(371&gt;$H$4,"",IF(INDEX('Fleet dates'!$E$9:$E$1008,$I379-8)="","",INDEX('Fleet dates'!$E$9:$E$1008,$I379-8)))</x:f>
      </x:c>
      <x:c r="F379" s="51" t="str">
        <x:f>IF(371&gt;$H$4,"",IF(INDEX('Fleet dates'!$F$9:$F$1008,$I379-8)="","",INDEX('Fleet dates'!$F$9:$F$1008,$I379-8)))</x:f>
      </x:c>
      <x:c r="G379" s="50" t="str">
        <x:f>IF(371&gt;$H$4,"",IF(INDEX('Fleet dates'!$G$9:$G$1008,$I379-8)="","",INDEX('Fleet dates'!$G$9:$G$1008,$I379-8)))</x:f>
      </x:c>
      <x:c r="H379" s="50" t="str">
        <x:f>IF(371&gt;$H$4,"",IF(INDEX('Fleet dates'!$I$9:$I$1008,$I379-8)="","",INDEX('Fleet dates'!$I$9:$I$1008,$I379-8)))</x:f>
      </x:c>
      <x:c r="I379" t="str">
        <x:f>IF(371&gt;$H$4,"",MATCH(371,'Fleet dates'!$L$9:$L$1008,0)+8)</x:f>
      </x:c>
    </x:row>
    <x:row r="380" ht="36" customHeight="1">
      <x:c r="A380" s="50" t="str">
        <x:f>IF(372&gt;$H$4,"",IF(INDEX('Fleet dates'!$A$9:$A$1008,$I380-8)="","",INDEX('Fleet dates'!$A$9:$A$1008,$I380-8)))</x:f>
      </x:c>
      <x:c r="B380" s="50" t="str">
        <x:f>IF(372&gt;$H$4,"",IF(INDEX('Fleet dates'!$B$9:$B$1008,$I380-8)="","",INDEX('Fleet dates'!$B$9:$B$1008,$I380-8)))</x:f>
      </x:c>
      <x:c r="C380" s="51" t="str">
        <x:f>IF(372&gt;$H$4,"",IF(INDEX('Fleet dates'!$C$9:$C$1008,$I380-8)="","",INDEX('Fleet dates'!$C$9:$C$1008,$I380-8)))</x:f>
      </x:c>
      <x:c r="D380" s="51" t="str">
        <x:f>IF(372&gt;$H$4,"",IF(INDEX('Fleet dates'!$D$9:$D$1008,$I380-8)="","",INDEX('Fleet dates'!$D$9:$D$1008,$I380-8)))</x:f>
      </x:c>
      <x:c r="E380" s="51" t="str">
        <x:f>IF(372&gt;$H$4,"",IF(INDEX('Fleet dates'!$E$9:$E$1008,$I380-8)="","",INDEX('Fleet dates'!$E$9:$E$1008,$I380-8)))</x:f>
      </x:c>
      <x:c r="F380" s="51" t="str">
        <x:f>IF(372&gt;$H$4,"",IF(INDEX('Fleet dates'!$F$9:$F$1008,$I380-8)="","",INDEX('Fleet dates'!$F$9:$F$1008,$I380-8)))</x:f>
      </x:c>
      <x:c r="G380" s="50" t="str">
        <x:f>IF(372&gt;$H$4,"",IF(INDEX('Fleet dates'!$G$9:$G$1008,$I380-8)="","",INDEX('Fleet dates'!$G$9:$G$1008,$I380-8)))</x:f>
      </x:c>
      <x:c r="H380" s="50" t="str">
        <x:f>IF(372&gt;$H$4,"",IF(INDEX('Fleet dates'!$I$9:$I$1008,$I380-8)="","",INDEX('Fleet dates'!$I$9:$I$1008,$I380-8)))</x:f>
      </x:c>
      <x:c r="I380" t="str">
        <x:f>IF(372&gt;$H$4,"",MATCH(372,'Fleet dates'!$L$9:$L$1008,0)+8)</x:f>
      </x:c>
    </x:row>
    <x:row r="381" ht="36" customHeight="1">
      <x:c r="A381" s="50" t="str">
        <x:f>IF(373&gt;$H$4,"",IF(INDEX('Fleet dates'!$A$9:$A$1008,$I381-8)="","",INDEX('Fleet dates'!$A$9:$A$1008,$I381-8)))</x:f>
      </x:c>
      <x:c r="B381" s="50" t="str">
        <x:f>IF(373&gt;$H$4,"",IF(INDEX('Fleet dates'!$B$9:$B$1008,$I381-8)="","",INDEX('Fleet dates'!$B$9:$B$1008,$I381-8)))</x:f>
      </x:c>
      <x:c r="C381" s="51" t="str">
        <x:f>IF(373&gt;$H$4,"",IF(INDEX('Fleet dates'!$C$9:$C$1008,$I381-8)="","",INDEX('Fleet dates'!$C$9:$C$1008,$I381-8)))</x:f>
      </x:c>
      <x:c r="D381" s="51" t="str">
        <x:f>IF(373&gt;$H$4,"",IF(INDEX('Fleet dates'!$D$9:$D$1008,$I381-8)="","",INDEX('Fleet dates'!$D$9:$D$1008,$I381-8)))</x:f>
      </x:c>
      <x:c r="E381" s="51" t="str">
        <x:f>IF(373&gt;$H$4,"",IF(INDEX('Fleet dates'!$E$9:$E$1008,$I381-8)="","",INDEX('Fleet dates'!$E$9:$E$1008,$I381-8)))</x:f>
      </x:c>
      <x:c r="F381" s="51" t="str">
        <x:f>IF(373&gt;$H$4,"",IF(INDEX('Fleet dates'!$F$9:$F$1008,$I381-8)="","",INDEX('Fleet dates'!$F$9:$F$1008,$I381-8)))</x:f>
      </x:c>
      <x:c r="G381" s="50" t="str">
        <x:f>IF(373&gt;$H$4,"",IF(INDEX('Fleet dates'!$G$9:$G$1008,$I381-8)="","",INDEX('Fleet dates'!$G$9:$G$1008,$I381-8)))</x:f>
      </x:c>
      <x:c r="H381" s="50" t="str">
        <x:f>IF(373&gt;$H$4,"",IF(INDEX('Fleet dates'!$I$9:$I$1008,$I381-8)="","",INDEX('Fleet dates'!$I$9:$I$1008,$I381-8)))</x:f>
      </x:c>
      <x:c r="I381" t="str">
        <x:f>IF(373&gt;$H$4,"",MATCH(373,'Fleet dates'!$L$9:$L$1008,0)+8)</x:f>
      </x:c>
    </x:row>
    <x:row r="382" ht="36" customHeight="1">
      <x:c r="A382" s="50" t="str">
        <x:f>IF(374&gt;$H$4,"",IF(INDEX('Fleet dates'!$A$9:$A$1008,$I382-8)="","",INDEX('Fleet dates'!$A$9:$A$1008,$I382-8)))</x:f>
      </x:c>
      <x:c r="B382" s="50" t="str">
        <x:f>IF(374&gt;$H$4,"",IF(INDEX('Fleet dates'!$B$9:$B$1008,$I382-8)="","",INDEX('Fleet dates'!$B$9:$B$1008,$I382-8)))</x:f>
      </x:c>
      <x:c r="C382" s="51" t="str">
        <x:f>IF(374&gt;$H$4,"",IF(INDEX('Fleet dates'!$C$9:$C$1008,$I382-8)="","",INDEX('Fleet dates'!$C$9:$C$1008,$I382-8)))</x:f>
      </x:c>
      <x:c r="D382" s="51" t="str">
        <x:f>IF(374&gt;$H$4,"",IF(INDEX('Fleet dates'!$D$9:$D$1008,$I382-8)="","",INDEX('Fleet dates'!$D$9:$D$1008,$I382-8)))</x:f>
      </x:c>
      <x:c r="E382" s="51" t="str">
        <x:f>IF(374&gt;$H$4,"",IF(INDEX('Fleet dates'!$E$9:$E$1008,$I382-8)="","",INDEX('Fleet dates'!$E$9:$E$1008,$I382-8)))</x:f>
      </x:c>
      <x:c r="F382" s="51" t="str">
        <x:f>IF(374&gt;$H$4,"",IF(INDEX('Fleet dates'!$F$9:$F$1008,$I382-8)="","",INDEX('Fleet dates'!$F$9:$F$1008,$I382-8)))</x:f>
      </x:c>
      <x:c r="G382" s="50" t="str">
        <x:f>IF(374&gt;$H$4,"",IF(INDEX('Fleet dates'!$G$9:$G$1008,$I382-8)="","",INDEX('Fleet dates'!$G$9:$G$1008,$I382-8)))</x:f>
      </x:c>
      <x:c r="H382" s="50" t="str">
        <x:f>IF(374&gt;$H$4,"",IF(INDEX('Fleet dates'!$I$9:$I$1008,$I382-8)="","",INDEX('Fleet dates'!$I$9:$I$1008,$I382-8)))</x:f>
      </x:c>
      <x:c r="I382" t="str">
        <x:f>IF(374&gt;$H$4,"",MATCH(374,'Fleet dates'!$L$9:$L$1008,0)+8)</x:f>
      </x:c>
    </x:row>
    <x:row r="383" ht="36" customHeight="1">
      <x:c r="A383" s="50" t="str">
        <x:f>IF(375&gt;$H$4,"",IF(INDEX('Fleet dates'!$A$9:$A$1008,$I383-8)="","",INDEX('Fleet dates'!$A$9:$A$1008,$I383-8)))</x:f>
      </x:c>
      <x:c r="B383" s="50" t="str">
        <x:f>IF(375&gt;$H$4,"",IF(INDEX('Fleet dates'!$B$9:$B$1008,$I383-8)="","",INDEX('Fleet dates'!$B$9:$B$1008,$I383-8)))</x:f>
      </x:c>
      <x:c r="C383" s="51" t="str">
        <x:f>IF(375&gt;$H$4,"",IF(INDEX('Fleet dates'!$C$9:$C$1008,$I383-8)="","",INDEX('Fleet dates'!$C$9:$C$1008,$I383-8)))</x:f>
      </x:c>
      <x:c r="D383" s="51" t="str">
        <x:f>IF(375&gt;$H$4,"",IF(INDEX('Fleet dates'!$D$9:$D$1008,$I383-8)="","",INDEX('Fleet dates'!$D$9:$D$1008,$I383-8)))</x:f>
      </x:c>
      <x:c r="E383" s="51" t="str">
        <x:f>IF(375&gt;$H$4,"",IF(INDEX('Fleet dates'!$E$9:$E$1008,$I383-8)="","",INDEX('Fleet dates'!$E$9:$E$1008,$I383-8)))</x:f>
      </x:c>
      <x:c r="F383" s="51" t="str">
        <x:f>IF(375&gt;$H$4,"",IF(INDEX('Fleet dates'!$F$9:$F$1008,$I383-8)="","",INDEX('Fleet dates'!$F$9:$F$1008,$I383-8)))</x:f>
      </x:c>
      <x:c r="G383" s="50" t="str">
        <x:f>IF(375&gt;$H$4,"",IF(INDEX('Fleet dates'!$G$9:$G$1008,$I383-8)="","",INDEX('Fleet dates'!$G$9:$G$1008,$I383-8)))</x:f>
      </x:c>
      <x:c r="H383" s="50" t="str">
        <x:f>IF(375&gt;$H$4,"",IF(INDEX('Fleet dates'!$I$9:$I$1008,$I383-8)="","",INDEX('Fleet dates'!$I$9:$I$1008,$I383-8)))</x:f>
      </x:c>
      <x:c r="I383" t="str">
        <x:f>IF(375&gt;$H$4,"",MATCH(375,'Fleet dates'!$L$9:$L$1008,0)+8)</x:f>
      </x:c>
    </x:row>
    <x:row r="384" ht="36" customHeight="1">
      <x:c r="A384" s="50" t="str">
        <x:f>IF(376&gt;$H$4,"",IF(INDEX('Fleet dates'!$A$9:$A$1008,$I384-8)="","",INDEX('Fleet dates'!$A$9:$A$1008,$I384-8)))</x:f>
      </x:c>
      <x:c r="B384" s="50" t="str">
        <x:f>IF(376&gt;$H$4,"",IF(INDEX('Fleet dates'!$B$9:$B$1008,$I384-8)="","",INDEX('Fleet dates'!$B$9:$B$1008,$I384-8)))</x:f>
      </x:c>
      <x:c r="C384" s="51" t="str">
        <x:f>IF(376&gt;$H$4,"",IF(INDEX('Fleet dates'!$C$9:$C$1008,$I384-8)="","",INDEX('Fleet dates'!$C$9:$C$1008,$I384-8)))</x:f>
      </x:c>
      <x:c r="D384" s="51" t="str">
        <x:f>IF(376&gt;$H$4,"",IF(INDEX('Fleet dates'!$D$9:$D$1008,$I384-8)="","",INDEX('Fleet dates'!$D$9:$D$1008,$I384-8)))</x:f>
      </x:c>
      <x:c r="E384" s="51" t="str">
        <x:f>IF(376&gt;$H$4,"",IF(INDEX('Fleet dates'!$E$9:$E$1008,$I384-8)="","",INDEX('Fleet dates'!$E$9:$E$1008,$I384-8)))</x:f>
      </x:c>
      <x:c r="F384" s="51" t="str">
        <x:f>IF(376&gt;$H$4,"",IF(INDEX('Fleet dates'!$F$9:$F$1008,$I384-8)="","",INDEX('Fleet dates'!$F$9:$F$1008,$I384-8)))</x:f>
      </x:c>
      <x:c r="G384" s="50" t="str">
        <x:f>IF(376&gt;$H$4,"",IF(INDEX('Fleet dates'!$G$9:$G$1008,$I384-8)="","",INDEX('Fleet dates'!$G$9:$G$1008,$I384-8)))</x:f>
      </x:c>
      <x:c r="H384" s="50" t="str">
        <x:f>IF(376&gt;$H$4,"",IF(INDEX('Fleet dates'!$I$9:$I$1008,$I384-8)="","",INDEX('Fleet dates'!$I$9:$I$1008,$I384-8)))</x:f>
      </x:c>
      <x:c r="I384" t="str">
        <x:f>IF(376&gt;$H$4,"",MATCH(376,'Fleet dates'!$L$9:$L$1008,0)+8)</x:f>
      </x:c>
    </x:row>
    <x:row r="385" ht="36" customHeight="1">
      <x:c r="A385" s="50" t="str">
        <x:f>IF(377&gt;$H$4,"",IF(INDEX('Fleet dates'!$A$9:$A$1008,$I385-8)="","",INDEX('Fleet dates'!$A$9:$A$1008,$I385-8)))</x:f>
      </x:c>
      <x:c r="B385" s="50" t="str">
        <x:f>IF(377&gt;$H$4,"",IF(INDEX('Fleet dates'!$B$9:$B$1008,$I385-8)="","",INDEX('Fleet dates'!$B$9:$B$1008,$I385-8)))</x:f>
      </x:c>
      <x:c r="C385" s="51" t="str">
        <x:f>IF(377&gt;$H$4,"",IF(INDEX('Fleet dates'!$C$9:$C$1008,$I385-8)="","",INDEX('Fleet dates'!$C$9:$C$1008,$I385-8)))</x:f>
      </x:c>
      <x:c r="D385" s="51" t="str">
        <x:f>IF(377&gt;$H$4,"",IF(INDEX('Fleet dates'!$D$9:$D$1008,$I385-8)="","",INDEX('Fleet dates'!$D$9:$D$1008,$I385-8)))</x:f>
      </x:c>
      <x:c r="E385" s="51" t="str">
        <x:f>IF(377&gt;$H$4,"",IF(INDEX('Fleet dates'!$E$9:$E$1008,$I385-8)="","",INDEX('Fleet dates'!$E$9:$E$1008,$I385-8)))</x:f>
      </x:c>
      <x:c r="F385" s="51" t="str">
        <x:f>IF(377&gt;$H$4,"",IF(INDEX('Fleet dates'!$F$9:$F$1008,$I385-8)="","",INDEX('Fleet dates'!$F$9:$F$1008,$I385-8)))</x:f>
      </x:c>
      <x:c r="G385" s="50" t="str">
        <x:f>IF(377&gt;$H$4,"",IF(INDEX('Fleet dates'!$G$9:$G$1008,$I385-8)="","",INDEX('Fleet dates'!$G$9:$G$1008,$I385-8)))</x:f>
      </x:c>
      <x:c r="H385" s="50" t="str">
        <x:f>IF(377&gt;$H$4,"",IF(INDEX('Fleet dates'!$I$9:$I$1008,$I385-8)="","",INDEX('Fleet dates'!$I$9:$I$1008,$I385-8)))</x:f>
      </x:c>
      <x:c r="I385" t="str">
        <x:f>IF(377&gt;$H$4,"",MATCH(377,'Fleet dates'!$L$9:$L$1008,0)+8)</x:f>
      </x:c>
    </x:row>
    <x:row r="386" ht="36" customHeight="1">
      <x:c r="A386" s="50" t="str">
        <x:f>IF(378&gt;$H$4,"",IF(INDEX('Fleet dates'!$A$9:$A$1008,$I386-8)="","",INDEX('Fleet dates'!$A$9:$A$1008,$I386-8)))</x:f>
      </x:c>
      <x:c r="B386" s="50" t="str">
        <x:f>IF(378&gt;$H$4,"",IF(INDEX('Fleet dates'!$B$9:$B$1008,$I386-8)="","",INDEX('Fleet dates'!$B$9:$B$1008,$I386-8)))</x:f>
      </x:c>
      <x:c r="C386" s="51" t="str">
        <x:f>IF(378&gt;$H$4,"",IF(INDEX('Fleet dates'!$C$9:$C$1008,$I386-8)="","",INDEX('Fleet dates'!$C$9:$C$1008,$I386-8)))</x:f>
      </x:c>
      <x:c r="D386" s="51" t="str">
        <x:f>IF(378&gt;$H$4,"",IF(INDEX('Fleet dates'!$D$9:$D$1008,$I386-8)="","",INDEX('Fleet dates'!$D$9:$D$1008,$I386-8)))</x:f>
      </x:c>
      <x:c r="E386" s="51" t="str">
        <x:f>IF(378&gt;$H$4,"",IF(INDEX('Fleet dates'!$E$9:$E$1008,$I386-8)="","",INDEX('Fleet dates'!$E$9:$E$1008,$I386-8)))</x:f>
      </x:c>
      <x:c r="F386" s="51" t="str">
        <x:f>IF(378&gt;$H$4,"",IF(INDEX('Fleet dates'!$F$9:$F$1008,$I386-8)="","",INDEX('Fleet dates'!$F$9:$F$1008,$I386-8)))</x:f>
      </x:c>
      <x:c r="G386" s="50" t="str">
        <x:f>IF(378&gt;$H$4,"",IF(INDEX('Fleet dates'!$G$9:$G$1008,$I386-8)="","",INDEX('Fleet dates'!$G$9:$G$1008,$I386-8)))</x:f>
      </x:c>
      <x:c r="H386" s="50" t="str">
        <x:f>IF(378&gt;$H$4,"",IF(INDEX('Fleet dates'!$I$9:$I$1008,$I386-8)="","",INDEX('Fleet dates'!$I$9:$I$1008,$I386-8)))</x:f>
      </x:c>
      <x:c r="I386" t="str">
        <x:f>IF(378&gt;$H$4,"",MATCH(378,'Fleet dates'!$L$9:$L$1008,0)+8)</x:f>
      </x:c>
    </x:row>
    <x:row r="387" ht="36" customHeight="1">
      <x:c r="A387" s="50" t="str">
        <x:f>IF(379&gt;$H$4,"",IF(INDEX('Fleet dates'!$A$9:$A$1008,$I387-8)="","",INDEX('Fleet dates'!$A$9:$A$1008,$I387-8)))</x:f>
      </x:c>
      <x:c r="B387" s="50" t="str">
        <x:f>IF(379&gt;$H$4,"",IF(INDEX('Fleet dates'!$B$9:$B$1008,$I387-8)="","",INDEX('Fleet dates'!$B$9:$B$1008,$I387-8)))</x:f>
      </x:c>
      <x:c r="C387" s="51" t="str">
        <x:f>IF(379&gt;$H$4,"",IF(INDEX('Fleet dates'!$C$9:$C$1008,$I387-8)="","",INDEX('Fleet dates'!$C$9:$C$1008,$I387-8)))</x:f>
      </x:c>
      <x:c r="D387" s="51" t="str">
        <x:f>IF(379&gt;$H$4,"",IF(INDEX('Fleet dates'!$D$9:$D$1008,$I387-8)="","",INDEX('Fleet dates'!$D$9:$D$1008,$I387-8)))</x:f>
      </x:c>
      <x:c r="E387" s="51" t="str">
        <x:f>IF(379&gt;$H$4,"",IF(INDEX('Fleet dates'!$E$9:$E$1008,$I387-8)="","",INDEX('Fleet dates'!$E$9:$E$1008,$I387-8)))</x:f>
      </x:c>
      <x:c r="F387" s="51" t="str">
        <x:f>IF(379&gt;$H$4,"",IF(INDEX('Fleet dates'!$F$9:$F$1008,$I387-8)="","",INDEX('Fleet dates'!$F$9:$F$1008,$I387-8)))</x:f>
      </x:c>
      <x:c r="G387" s="50" t="str">
        <x:f>IF(379&gt;$H$4,"",IF(INDEX('Fleet dates'!$G$9:$G$1008,$I387-8)="","",INDEX('Fleet dates'!$G$9:$G$1008,$I387-8)))</x:f>
      </x:c>
      <x:c r="H387" s="50" t="str">
        <x:f>IF(379&gt;$H$4,"",IF(INDEX('Fleet dates'!$I$9:$I$1008,$I387-8)="","",INDEX('Fleet dates'!$I$9:$I$1008,$I387-8)))</x:f>
      </x:c>
      <x:c r="I387" t="str">
        <x:f>IF(379&gt;$H$4,"",MATCH(379,'Fleet dates'!$L$9:$L$1008,0)+8)</x:f>
      </x:c>
    </x:row>
    <x:row r="388" ht="36" customHeight="1">
      <x:c r="A388" s="50" t="str">
        <x:f>IF(380&gt;$H$4,"",IF(INDEX('Fleet dates'!$A$9:$A$1008,$I388-8)="","",INDEX('Fleet dates'!$A$9:$A$1008,$I388-8)))</x:f>
      </x:c>
      <x:c r="B388" s="50" t="str">
        <x:f>IF(380&gt;$H$4,"",IF(INDEX('Fleet dates'!$B$9:$B$1008,$I388-8)="","",INDEX('Fleet dates'!$B$9:$B$1008,$I388-8)))</x:f>
      </x:c>
      <x:c r="C388" s="51" t="str">
        <x:f>IF(380&gt;$H$4,"",IF(INDEX('Fleet dates'!$C$9:$C$1008,$I388-8)="","",INDEX('Fleet dates'!$C$9:$C$1008,$I388-8)))</x:f>
      </x:c>
      <x:c r="D388" s="51" t="str">
        <x:f>IF(380&gt;$H$4,"",IF(INDEX('Fleet dates'!$D$9:$D$1008,$I388-8)="","",INDEX('Fleet dates'!$D$9:$D$1008,$I388-8)))</x:f>
      </x:c>
      <x:c r="E388" s="51" t="str">
        <x:f>IF(380&gt;$H$4,"",IF(INDEX('Fleet dates'!$E$9:$E$1008,$I388-8)="","",INDEX('Fleet dates'!$E$9:$E$1008,$I388-8)))</x:f>
      </x:c>
      <x:c r="F388" s="51" t="str">
        <x:f>IF(380&gt;$H$4,"",IF(INDEX('Fleet dates'!$F$9:$F$1008,$I388-8)="","",INDEX('Fleet dates'!$F$9:$F$1008,$I388-8)))</x:f>
      </x:c>
      <x:c r="G388" s="50" t="str">
        <x:f>IF(380&gt;$H$4,"",IF(INDEX('Fleet dates'!$G$9:$G$1008,$I388-8)="","",INDEX('Fleet dates'!$G$9:$G$1008,$I388-8)))</x:f>
      </x:c>
      <x:c r="H388" s="50" t="str">
        <x:f>IF(380&gt;$H$4,"",IF(INDEX('Fleet dates'!$I$9:$I$1008,$I388-8)="","",INDEX('Fleet dates'!$I$9:$I$1008,$I388-8)))</x:f>
      </x:c>
      <x:c r="I388" t="str">
        <x:f>IF(380&gt;$H$4,"",MATCH(380,'Fleet dates'!$L$9:$L$1008,0)+8)</x:f>
      </x:c>
    </x:row>
    <x:row r="389" ht="36" customHeight="1">
      <x:c r="A389" s="50" t="str">
        <x:f>IF(381&gt;$H$4,"",IF(INDEX('Fleet dates'!$A$9:$A$1008,$I389-8)="","",INDEX('Fleet dates'!$A$9:$A$1008,$I389-8)))</x:f>
      </x:c>
      <x:c r="B389" s="50" t="str">
        <x:f>IF(381&gt;$H$4,"",IF(INDEX('Fleet dates'!$B$9:$B$1008,$I389-8)="","",INDEX('Fleet dates'!$B$9:$B$1008,$I389-8)))</x:f>
      </x:c>
      <x:c r="C389" s="51" t="str">
        <x:f>IF(381&gt;$H$4,"",IF(INDEX('Fleet dates'!$C$9:$C$1008,$I389-8)="","",INDEX('Fleet dates'!$C$9:$C$1008,$I389-8)))</x:f>
      </x:c>
      <x:c r="D389" s="51" t="str">
        <x:f>IF(381&gt;$H$4,"",IF(INDEX('Fleet dates'!$D$9:$D$1008,$I389-8)="","",INDEX('Fleet dates'!$D$9:$D$1008,$I389-8)))</x:f>
      </x:c>
      <x:c r="E389" s="51" t="str">
        <x:f>IF(381&gt;$H$4,"",IF(INDEX('Fleet dates'!$E$9:$E$1008,$I389-8)="","",INDEX('Fleet dates'!$E$9:$E$1008,$I389-8)))</x:f>
      </x:c>
      <x:c r="F389" s="51" t="str">
        <x:f>IF(381&gt;$H$4,"",IF(INDEX('Fleet dates'!$F$9:$F$1008,$I389-8)="","",INDEX('Fleet dates'!$F$9:$F$1008,$I389-8)))</x:f>
      </x:c>
      <x:c r="G389" s="50" t="str">
        <x:f>IF(381&gt;$H$4,"",IF(INDEX('Fleet dates'!$G$9:$G$1008,$I389-8)="","",INDEX('Fleet dates'!$G$9:$G$1008,$I389-8)))</x:f>
      </x:c>
      <x:c r="H389" s="50" t="str">
        <x:f>IF(381&gt;$H$4,"",IF(INDEX('Fleet dates'!$I$9:$I$1008,$I389-8)="","",INDEX('Fleet dates'!$I$9:$I$1008,$I389-8)))</x:f>
      </x:c>
      <x:c r="I389" t="str">
        <x:f>IF(381&gt;$H$4,"",MATCH(381,'Fleet dates'!$L$9:$L$1008,0)+8)</x:f>
      </x:c>
    </x:row>
    <x:row r="390" ht="36" customHeight="1">
      <x:c r="A390" s="50" t="str">
        <x:f>IF(382&gt;$H$4,"",IF(INDEX('Fleet dates'!$A$9:$A$1008,$I390-8)="","",INDEX('Fleet dates'!$A$9:$A$1008,$I390-8)))</x:f>
      </x:c>
      <x:c r="B390" s="50" t="str">
        <x:f>IF(382&gt;$H$4,"",IF(INDEX('Fleet dates'!$B$9:$B$1008,$I390-8)="","",INDEX('Fleet dates'!$B$9:$B$1008,$I390-8)))</x:f>
      </x:c>
      <x:c r="C390" s="51" t="str">
        <x:f>IF(382&gt;$H$4,"",IF(INDEX('Fleet dates'!$C$9:$C$1008,$I390-8)="","",INDEX('Fleet dates'!$C$9:$C$1008,$I390-8)))</x:f>
      </x:c>
      <x:c r="D390" s="51" t="str">
        <x:f>IF(382&gt;$H$4,"",IF(INDEX('Fleet dates'!$D$9:$D$1008,$I390-8)="","",INDEX('Fleet dates'!$D$9:$D$1008,$I390-8)))</x:f>
      </x:c>
      <x:c r="E390" s="51" t="str">
        <x:f>IF(382&gt;$H$4,"",IF(INDEX('Fleet dates'!$E$9:$E$1008,$I390-8)="","",INDEX('Fleet dates'!$E$9:$E$1008,$I390-8)))</x:f>
      </x:c>
      <x:c r="F390" s="51" t="str">
        <x:f>IF(382&gt;$H$4,"",IF(INDEX('Fleet dates'!$F$9:$F$1008,$I390-8)="","",INDEX('Fleet dates'!$F$9:$F$1008,$I390-8)))</x:f>
      </x:c>
      <x:c r="G390" s="50" t="str">
        <x:f>IF(382&gt;$H$4,"",IF(INDEX('Fleet dates'!$G$9:$G$1008,$I390-8)="","",INDEX('Fleet dates'!$G$9:$G$1008,$I390-8)))</x:f>
      </x:c>
      <x:c r="H390" s="50" t="str">
        <x:f>IF(382&gt;$H$4,"",IF(INDEX('Fleet dates'!$I$9:$I$1008,$I390-8)="","",INDEX('Fleet dates'!$I$9:$I$1008,$I390-8)))</x:f>
      </x:c>
      <x:c r="I390" t="str">
        <x:f>IF(382&gt;$H$4,"",MATCH(382,'Fleet dates'!$L$9:$L$1008,0)+8)</x:f>
      </x:c>
    </x:row>
    <x:row r="391" ht="36" customHeight="1">
      <x:c r="A391" s="50" t="str">
        <x:f>IF(383&gt;$H$4,"",IF(INDEX('Fleet dates'!$A$9:$A$1008,$I391-8)="","",INDEX('Fleet dates'!$A$9:$A$1008,$I391-8)))</x:f>
      </x:c>
      <x:c r="B391" s="50" t="str">
        <x:f>IF(383&gt;$H$4,"",IF(INDEX('Fleet dates'!$B$9:$B$1008,$I391-8)="","",INDEX('Fleet dates'!$B$9:$B$1008,$I391-8)))</x:f>
      </x:c>
      <x:c r="C391" s="51" t="str">
        <x:f>IF(383&gt;$H$4,"",IF(INDEX('Fleet dates'!$C$9:$C$1008,$I391-8)="","",INDEX('Fleet dates'!$C$9:$C$1008,$I391-8)))</x:f>
      </x:c>
      <x:c r="D391" s="51" t="str">
        <x:f>IF(383&gt;$H$4,"",IF(INDEX('Fleet dates'!$D$9:$D$1008,$I391-8)="","",INDEX('Fleet dates'!$D$9:$D$1008,$I391-8)))</x:f>
      </x:c>
      <x:c r="E391" s="51" t="str">
        <x:f>IF(383&gt;$H$4,"",IF(INDEX('Fleet dates'!$E$9:$E$1008,$I391-8)="","",INDEX('Fleet dates'!$E$9:$E$1008,$I391-8)))</x:f>
      </x:c>
      <x:c r="F391" s="51" t="str">
        <x:f>IF(383&gt;$H$4,"",IF(INDEX('Fleet dates'!$F$9:$F$1008,$I391-8)="","",INDEX('Fleet dates'!$F$9:$F$1008,$I391-8)))</x:f>
      </x:c>
      <x:c r="G391" s="50" t="str">
        <x:f>IF(383&gt;$H$4,"",IF(INDEX('Fleet dates'!$G$9:$G$1008,$I391-8)="","",INDEX('Fleet dates'!$G$9:$G$1008,$I391-8)))</x:f>
      </x:c>
      <x:c r="H391" s="50" t="str">
        <x:f>IF(383&gt;$H$4,"",IF(INDEX('Fleet dates'!$I$9:$I$1008,$I391-8)="","",INDEX('Fleet dates'!$I$9:$I$1008,$I391-8)))</x:f>
      </x:c>
      <x:c r="I391" t="str">
        <x:f>IF(383&gt;$H$4,"",MATCH(383,'Fleet dates'!$L$9:$L$1008,0)+8)</x:f>
      </x:c>
    </x:row>
    <x:row r="392" ht="36" customHeight="1">
      <x:c r="A392" s="50" t="str">
        <x:f>IF(384&gt;$H$4,"",IF(INDEX('Fleet dates'!$A$9:$A$1008,$I392-8)="","",INDEX('Fleet dates'!$A$9:$A$1008,$I392-8)))</x:f>
      </x:c>
      <x:c r="B392" s="50" t="str">
        <x:f>IF(384&gt;$H$4,"",IF(INDEX('Fleet dates'!$B$9:$B$1008,$I392-8)="","",INDEX('Fleet dates'!$B$9:$B$1008,$I392-8)))</x:f>
      </x:c>
      <x:c r="C392" s="51" t="str">
        <x:f>IF(384&gt;$H$4,"",IF(INDEX('Fleet dates'!$C$9:$C$1008,$I392-8)="","",INDEX('Fleet dates'!$C$9:$C$1008,$I392-8)))</x:f>
      </x:c>
      <x:c r="D392" s="51" t="str">
        <x:f>IF(384&gt;$H$4,"",IF(INDEX('Fleet dates'!$D$9:$D$1008,$I392-8)="","",INDEX('Fleet dates'!$D$9:$D$1008,$I392-8)))</x:f>
      </x:c>
      <x:c r="E392" s="51" t="str">
        <x:f>IF(384&gt;$H$4,"",IF(INDEX('Fleet dates'!$E$9:$E$1008,$I392-8)="","",INDEX('Fleet dates'!$E$9:$E$1008,$I392-8)))</x:f>
      </x:c>
      <x:c r="F392" s="51" t="str">
        <x:f>IF(384&gt;$H$4,"",IF(INDEX('Fleet dates'!$F$9:$F$1008,$I392-8)="","",INDEX('Fleet dates'!$F$9:$F$1008,$I392-8)))</x:f>
      </x:c>
      <x:c r="G392" s="50" t="str">
        <x:f>IF(384&gt;$H$4,"",IF(INDEX('Fleet dates'!$G$9:$G$1008,$I392-8)="","",INDEX('Fleet dates'!$G$9:$G$1008,$I392-8)))</x:f>
      </x:c>
      <x:c r="H392" s="50" t="str">
        <x:f>IF(384&gt;$H$4,"",IF(INDEX('Fleet dates'!$I$9:$I$1008,$I392-8)="","",INDEX('Fleet dates'!$I$9:$I$1008,$I392-8)))</x:f>
      </x:c>
      <x:c r="I392" t="str">
        <x:f>IF(384&gt;$H$4,"",MATCH(384,'Fleet dates'!$L$9:$L$1008,0)+8)</x:f>
      </x:c>
    </x:row>
    <x:row r="393" ht="36" customHeight="1">
      <x:c r="A393" s="50" t="str">
        <x:f>IF(385&gt;$H$4,"",IF(INDEX('Fleet dates'!$A$9:$A$1008,$I393-8)="","",INDEX('Fleet dates'!$A$9:$A$1008,$I393-8)))</x:f>
      </x:c>
      <x:c r="B393" s="50" t="str">
        <x:f>IF(385&gt;$H$4,"",IF(INDEX('Fleet dates'!$B$9:$B$1008,$I393-8)="","",INDEX('Fleet dates'!$B$9:$B$1008,$I393-8)))</x:f>
      </x:c>
      <x:c r="C393" s="51" t="str">
        <x:f>IF(385&gt;$H$4,"",IF(INDEX('Fleet dates'!$C$9:$C$1008,$I393-8)="","",INDEX('Fleet dates'!$C$9:$C$1008,$I393-8)))</x:f>
      </x:c>
      <x:c r="D393" s="51" t="str">
        <x:f>IF(385&gt;$H$4,"",IF(INDEX('Fleet dates'!$D$9:$D$1008,$I393-8)="","",INDEX('Fleet dates'!$D$9:$D$1008,$I393-8)))</x:f>
      </x:c>
      <x:c r="E393" s="51" t="str">
        <x:f>IF(385&gt;$H$4,"",IF(INDEX('Fleet dates'!$E$9:$E$1008,$I393-8)="","",INDEX('Fleet dates'!$E$9:$E$1008,$I393-8)))</x:f>
      </x:c>
      <x:c r="F393" s="51" t="str">
        <x:f>IF(385&gt;$H$4,"",IF(INDEX('Fleet dates'!$F$9:$F$1008,$I393-8)="","",INDEX('Fleet dates'!$F$9:$F$1008,$I393-8)))</x:f>
      </x:c>
      <x:c r="G393" s="50" t="str">
        <x:f>IF(385&gt;$H$4,"",IF(INDEX('Fleet dates'!$G$9:$G$1008,$I393-8)="","",INDEX('Fleet dates'!$G$9:$G$1008,$I393-8)))</x:f>
      </x:c>
      <x:c r="H393" s="50" t="str">
        <x:f>IF(385&gt;$H$4,"",IF(INDEX('Fleet dates'!$I$9:$I$1008,$I393-8)="","",INDEX('Fleet dates'!$I$9:$I$1008,$I393-8)))</x:f>
      </x:c>
      <x:c r="I393" t="str">
        <x:f>IF(385&gt;$H$4,"",MATCH(385,'Fleet dates'!$L$9:$L$1008,0)+8)</x:f>
      </x:c>
    </x:row>
    <x:row r="394" ht="36" customHeight="1">
      <x:c r="A394" s="50" t="str">
        <x:f>IF(386&gt;$H$4,"",IF(INDEX('Fleet dates'!$A$9:$A$1008,$I394-8)="","",INDEX('Fleet dates'!$A$9:$A$1008,$I394-8)))</x:f>
      </x:c>
      <x:c r="B394" s="50" t="str">
        <x:f>IF(386&gt;$H$4,"",IF(INDEX('Fleet dates'!$B$9:$B$1008,$I394-8)="","",INDEX('Fleet dates'!$B$9:$B$1008,$I394-8)))</x:f>
      </x:c>
      <x:c r="C394" s="51" t="str">
        <x:f>IF(386&gt;$H$4,"",IF(INDEX('Fleet dates'!$C$9:$C$1008,$I394-8)="","",INDEX('Fleet dates'!$C$9:$C$1008,$I394-8)))</x:f>
      </x:c>
      <x:c r="D394" s="51" t="str">
        <x:f>IF(386&gt;$H$4,"",IF(INDEX('Fleet dates'!$D$9:$D$1008,$I394-8)="","",INDEX('Fleet dates'!$D$9:$D$1008,$I394-8)))</x:f>
      </x:c>
      <x:c r="E394" s="51" t="str">
        <x:f>IF(386&gt;$H$4,"",IF(INDEX('Fleet dates'!$E$9:$E$1008,$I394-8)="","",INDEX('Fleet dates'!$E$9:$E$1008,$I394-8)))</x:f>
      </x:c>
      <x:c r="F394" s="51" t="str">
        <x:f>IF(386&gt;$H$4,"",IF(INDEX('Fleet dates'!$F$9:$F$1008,$I394-8)="","",INDEX('Fleet dates'!$F$9:$F$1008,$I394-8)))</x:f>
      </x:c>
      <x:c r="G394" s="50" t="str">
        <x:f>IF(386&gt;$H$4,"",IF(INDEX('Fleet dates'!$G$9:$G$1008,$I394-8)="","",INDEX('Fleet dates'!$G$9:$G$1008,$I394-8)))</x:f>
      </x:c>
      <x:c r="H394" s="50" t="str">
        <x:f>IF(386&gt;$H$4,"",IF(INDEX('Fleet dates'!$I$9:$I$1008,$I394-8)="","",INDEX('Fleet dates'!$I$9:$I$1008,$I394-8)))</x:f>
      </x:c>
      <x:c r="I394" t="str">
        <x:f>IF(386&gt;$H$4,"",MATCH(386,'Fleet dates'!$L$9:$L$1008,0)+8)</x:f>
      </x:c>
    </x:row>
    <x:row r="395" ht="36" customHeight="1">
      <x:c r="A395" s="50" t="str">
        <x:f>IF(387&gt;$H$4,"",IF(INDEX('Fleet dates'!$A$9:$A$1008,$I395-8)="","",INDEX('Fleet dates'!$A$9:$A$1008,$I395-8)))</x:f>
      </x:c>
      <x:c r="B395" s="50" t="str">
        <x:f>IF(387&gt;$H$4,"",IF(INDEX('Fleet dates'!$B$9:$B$1008,$I395-8)="","",INDEX('Fleet dates'!$B$9:$B$1008,$I395-8)))</x:f>
      </x:c>
      <x:c r="C395" s="51" t="str">
        <x:f>IF(387&gt;$H$4,"",IF(INDEX('Fleet dates'!$C$9:$C$1008,$I395-8)="","",INDEX('Fleet dates'!$C$9:$C$1008,$I395-8)))</x:f>
      </x:c>
      <x:c r="D395" s="51" t="str">
        <x:f>IF(387&gt;$H$4,"",IF(INDEX('Fleet dates'!$D$9:$D$1008,$I395-8)="","",INDEX('Fleet dates'!$D$9:$D$1008,$I395-8)))</x:f>
      </x:c>
      <x:c r="E395" s="51" t="str">
        <x:f>IF(387&gt;$H$4,"",IF(INDEX('Fleet dates'!$E$9:$E$1008,$I395-8)="","",INDEX('Fleet dates'!$E$9:$E$1008,$I395-8)))</x:f>
      </x:c>
      <x:c r="F395" s="51" t="str">
        <x:f>IF(387&gt;$H$4,"",IF(INDEX('Fleet dates'!$F$9:$F$1008,$I395-8)="","",INDEX('Fleet dates'!$F$9:$F$1008,$I395-8)))</x:f>
      </x:c>
      <x:c r="G395" s="50" t="str">
        <x:f>IF(387&gt;$H$4,"",IF(INDEX('Fleet dates'!$G$9:$G$1008,$I395-8)="","",INDEX('Fleet dates'!$G$9:$G$1008,$I395-8)))</x:f>
      </x:c>
      <x:c r="H395" s="50" t="str">
        <x:f>IF(387&gt;$H$4,"",IF(INDEX('Fleet dates'!$I$9:$I$1008,$I395-8)="","",INDEX('Fleet dates'!$I$9:$I$1008,$I395-8)))</x:f>
      </x:c>
      <x:c r="I395" t="str">
        <x:f>IF(387&gt;$H$4,"",MATCH(387,'Fleet dates'!$L$9:$L$1008,0)+8)</x:f>
      </x:c>
    </x:row>
    <x:row r="396" ht="36" customHeight="1">
      <x:c r="A396" s="50" t="str">
        <x:f>IF(388&gt;$H$4,"",IF(INDEX('Fleet dates'!$A$9:$A$1008,$I396-8)="","",INDEX('Fleet dates'!$A$9:$A$1008,$I396-8)))</x:f>
      </x:c>
      <x:c r="B396" s="50" t="str">
        <x:f>IF(388&gt;$H$4,"",IF(INDEX('Fleet dates'!$B$9:$B$1008,$I396-8)="","",INDEX('Fleet dates'!$B$9:$B$1008,$I396-8)))</x:f>
      </x:c>
      <x:c r="C396" s="51" t="str">
        <x:f>IF(388&gt;$H$4,"",IF(INDEX('Fleet dates'!$C$9:$C$1008,$I396-8)="","",INDEX('Fleet dates'!$C$9:$C$1008,$I396-8)))</x:f>
      </x:c>
      <x:c r="D396" s="51" t="str">
        <x:f>IF(388&gt;$H$4,"",IF(INDEX('Fleet dates'!$D$9:$D$1008,$I396-8)="","",INDEX('Fleet dates'!$D$9:$D$1008,$I396-8)))</x:f>
      </x:c>
      <x:c r="E396" s="51" t="str">
        <x:f>IF(388&gt;$H$4,"",IF(INDEX('Fleet dates'!$E$9:$E$1008,$I396-8)="","",INDEX('Fleet dates'!$E$9:$E$1008,$I396-8)))</x:f>
      </x:c>
      <x:c r="F396" s="51" t="str">
        <x:f>IF(388&gt;$H$4,"",IF(INDEX('Fleet dates'!$F$9:$F$1008,$I396-8)="","",INDEX('Fleet dates'!$F$9:$F$1008,$I396-8)))</x:f>
      </x:c>
      <x:c r="G396" s="50" t="str">
        <x:f>IF(388&gt;$H$4,"",IF(INDEX('Fleet dates'!$G$9:$G$1008,$I396-8)="","",INDEX('Fleet dates'!$G$9:$G$1008,$I396-8)))</x:f>
      </x:c>
      <x:c r="H396" s="50" t="str">
        <x:f>IF(388&gt;$H$4,"",IF(INDEX('Fleet dates'!$I$9:$I$1008,$I396-8)="","",INDEX('Fleet dates'!$I$9:$I$1008,$I396-8)))</x:f>
      </x:c>
      <x:c r="I396" t="str">
        <x:f>IF(388&gt;$H$4,"",MATCH(388,'Fleet dates'!$L$9:$L$1008,0)+8)</x:f>
      </x:c>
    </x:row>
    <x:row r="397" ht="36" customHeight="1">
      <x:c r="A397" s="50" t="str">
        <x:f>IF(389&gt;$H$4,"",IF(INDEX('Fleet dates'!$A$9:$A$1008,$I397-8)="","",INDEX('Fleet dates'!$A$9:$A$1008,$I397-8)))</x:f>
      </x:c>
      <x:c r="B397" s="50" t="str">
        <x:f>IF(389&gt;$H$4,"",IF(INDEX('Fleet dates'!$B$9:$B$1008,$I397-8)="","",INDEX('Fleet dates'!$B$9:$B$1008,$I397-8)))</x:f>
      </x:c>
      <x:c r="C397" s="51" t="str">
        <x:f>IF(389&gt;$H$4,"",IF(INDEX('Fleet dates'!$C$9:$C$1008,$I397-8)="","",INDEX('Fleet dates'!$C$9:$C$1008,$I397-8)))</x:f>
      </x:c>
      <x:c r="D397" s="51" t="str">
        <x:f>IF(389&gt;$H$4,"",IF(INDEX('Fleet dates'!$D$9:$D$1008,$I397-8)="","",INDEX('Fleet dates'!$D$9:$D$1008,$I397-8)))</x:f>
      </x:c>
      <x:c r="E397" s="51" t="str">
        <x:f>IF(389&gt;$H$4,"",IF(INDEX('Fleet dates'!$E$9:$E$1008,$I397-8)="","",INDEX('Fleet dates'!$E$9:$E$1008,$I397-8)))</x:f>
      </x:c>
      <x:c r="F397" s="51" t="str">
        <x:f>IF(389&gt;$H$4,"",IF(INDEX('Fleet dates'!$F$9:$F$1008,$I397-8)="","",INDEX('Fleet dates'!$F$9:$F$1008,$I397-8)))</x:f>
      </x:c>
      <x:c r="G397" s="50" t="str">
        <x:f>IF(389&gt;$H$4,"",IF(INDEX('Fleet dates'!$G$9:$G$1008,$I397-8)="","",INDEX('Fleet dates'!$G$9:$G$1008,$I397-8)))</x:f>
      </x:c>
      <x:c r="H397" s="50" t="str">
        <x:f>IF(389&gt;$H$4,"",IF(INDEX('Fleet dates'!$I$9:$I$1008,$I397-8)="","",INDEX('Fleet dates'!$I$9:$I$1008,$I397-8)))</x:f>
      </x:c>
      <x:c r="I397" t="str">
        <x:f>IF(389&gt;$H$4,"",MATCH(389,'Fleet dates'!$L$9:$L$1008,0)+8)</x:f>
      </x:c>
    </x:row>
    <x:row r="398" ht="36" customHeight="1">
      <x:c r="A398" s="50" t="str">
        <x:f>IF(390&gt;$H$4,"",IF(INDEX('Fleet dates'!$A$9:$A$1008,$I398-8)="","",INDEX('Fleet dates'!$A$9:$A$1008,$I398-8)))</x:f>
      </x:c>
      <x:c r="B398" s="50" t="str">
        <x:f>IF(390&gt;$H$4,"",IF(INDEX('Fleet dates'!$B$9:$B$1008,$I398-8)="","",INDEX('Fleet dates'!$B$9:$B$1008,$I398-8)))</x:f>
      </x:c>
      <x:c r="C398" s="51" t="str">
        <x:f>IF(390&gt;$H$4,"",IF(INDEX('Fleet dates'!$C$9:$C$1008,$I398-8)="","",INDEX('Fleet dates'!$C$9:$C$1008,$I398-8)))</x:f>
      </x:c>
      <x:c r="D398" s="51" t="str">
        <x:f>IF(390&gt;$H$4,"",IF(INDEX('Fleet dates'!$D$9:$D$1008,$I398-8)="","",INDEX('Fleet dates'!$D$9:$D$1008,$I398-8)))</x:f>
      </x:c>
      <x:c r="E398" s="51" t="str">
        <x:f>IF(390&gt;$H$4,"",IF(INDEX('Fleet dates'!$E$9:$E$1008,$I398-8)="","",INDEX('Fleet dates'!$E$9:$E$1008,$I398-8)))</x:f>
      </x:c>
      <x:c r="F398" s="51" t="str">
        <x:f>IF(390&gt;$H$4,"",IF(INDEX('Fleet dates'!$F$9:$F$1008,$I398-8)="","",INDEX('Fleet dates'!$F$9:$F$1008,$I398-8)))</x:f>
      </x:c>
      <x:c r="G398" s="50" t="str">
        <x:f>IF(390&gt;$H$4,"",IF(INDEX('Fleet dates'!$G$9:$G$1008,$I398-8)="","",INDEX('Fleet dates'!$G$9:$G$1008,$I398-8)))</x:f>
      </x:c>
      <x:c r="H398" s="50" t="str">
        <x:f>IF(390&gt;$H$4,"",IF(INDEX('Fleet dates'!$I$9:$I$1008,$I398-8)="","",INDEX('Fleet dates'!$I$9:$I$1008,$I398-8)))</x:f>
      </x:c>
      <x:c r="I398" t="str">
        <x:f>IF(390&gt;$H$4,"",MATCH(390,'Fleet dates'!$L$9:$L$1008,0)+8)</x:f>
      </x:c>
    </x:row>
    <x:row r="399" ht="36" customHeight="1">
      <x:c r="A399" s="50" t="str">
        <x:f>IF(391&gt;$H$4,"",IF(INDEX('Fleet dates'!$A$9:$A$1008,$I399-8)="","",INDEX('Fleet dates'!$A$9:$A$1008,$I399-8)))</x:f>
      </x:c>
      <x:c r="B399" s="50" t="str">
        <x:f>IF(391&gt;$H$4,"",IF(INDEX('Fleet dates'!$B$9:$B$1008,$I399-8)="","",INDEX('Fleet dates'!$B$9:$B$1008,$I399-8)))</x:f>
      </x:c>
      <x:c r="C399" s="51" t="str">
        <x:f>IF(391&gt;$H$4,"",IF(INDEX('Fleet dates'!$C$9:$C$1008,$I399-8)="","",INDEX('Fleet dates'!$C$9:$C$1008,$I399-8)))</x:f>
      </x:c>
      <x:c r="D399" s="51" t="str">
        <x:f>IF(391&gt;$H$4,"",IF(INDEX('Fleet dates'!$D$9:$D$1008,$I399-8)="","",INDEX('Fleet dates'!$D$9:$D$1008,$I399-8)))</x:f>
      </x:c>
      <x:c r="E399" s="51" t="str">
        <x:f>IF(391&gt;$H$4,"",IF(INDEX('Fleet dates'!$E$9:$E$1008,$I399-8)="","",INDEX('Fleet dates'!$E$9:$E$1008,$I399-8)))</x:f>
      </x:c>
      <x:c r="F399" s="51" t="str">
        <x:f>IF(391&gt;$H$4,"",IF(INDEX('Fleet dates'!$F$9:$F$1008,$I399-8)="","",INDEX('Fleet dates'!$F$9:$F$1008,$I399-8)))</x:f>
      </x:c>
      <x:c r="G399" s="50" t="str">
        <x:f>IF(391&gt;$H$4,"",IF(INDEX('Fleet dates'!$G$9:$G$1008,$I399-8)="","",INDEX('Fleet dates'!$G$9:$G$1008,$I399-8)))</x:f>
      </x:c>
      <x:c r="H399" s="50" t="str">
        <x:f>IF(391&gt;$H$4,"",IF(INDEX('Fleet dates'!$I$9:$I$1008,$I399-8)="","",INDEX('Fleet dates'!$I$9:$I$1008,$I399-8)))</x:f>
      </x:c>
      <x:c r="I399" t="str">
        <x:f>IF(391&gt;$H$4,"",MATCH(391,'Fleet dates'!$L$9:$L$1008,0)+8)</x:f>
      </x:c>
    </x:row>
    <x:row r="400" ht="36" customHeight="1">
      <x:c r="A400" s="50" t="str">
        <x:f>IF(392&gt;$H$4,"",IF(INDEX('Fleet dates'!$A$9:$A$1008,$I400-8)="","",INDEX('Fleet dates'!$A$9:$A$1008,$I400-8)))</x:f>
      </x:c>
      <x:c r="B400" s="50" t="str">
        <x:f>IF(392&gt;$H$4,"",IF(INDEX('Fleet dates'!$B$9:$B$1008,$I400-8)="","",INDEX('Fleet dates'!$B$9:$B$1008,$I400-8)))</x:f>
      </x:c>
      <x:c r="C400" s="51" t="str">
        <x:f>IF(392&gt;$H$4,"",IF(INDEX('Fleet dates'!$C$9:$C$1008,$I400-8)="","",INDEX('Fleet dates'!$C$9:$C$1008,$I400-8)))</x:f>
      </x:c>
      <x:c r="D400" s="51" t="str">
        <x:f>IF(392&gt;$H$4,"",IF(INDEX('Fleet dates'!$D$9:$D$1008,$I400-8)="","",INDEX('Fleet dates'!$D$9:$D$1008,$I400-8)))</x:f>
      </x:c>
      <x:c r="E400" s="51" t="str">
        <x:f>IF(392&gt;$H$4,"",IF(INDEX('Fleet dates'!$E$9:$E$1008,$I400-8)="","",INDEX('Fleet dates'!$E$9:$E$1008,$I400-8)))</x:f>
      </x:c>
      <x:c r="F400" s="51" t="str">
        <x:f>IF(392&gt;$H$4,"",IF(INDEX('Fleet dates'!$F$9:$F$1008,$I400-8)="","",INDEX('Fleet dates'!$F$9:$F$1008,$I400-8)))</x:f>
      </x:c>
      <x:c r="G400" s="50" t="str">
        <x:f>IF(392&gt;$H$4,"",IF(INDEX('Fleet dates'!$G$9:$G$1008,$I400-8)="","",INDEX('Fleet dates'!$G$9:$G$1008,$I400-8)))</x:f>
      </x:c>
      <x:c r="H400" s="50" t="str">
        <x:f>IF(392&gt;$H$4,"",IF(INDEX('Fleet dates'!$I$9:$I$1008,$I400-8)="","",INDEX('Fleet dates'!$I$9:$I$1008,$I400-8)))</x:f>
      </x:c>
      <x:c r="I400" t="str">
        <x:f>IF(392&gt;$H$4,"",MATCH(392,'Fleet dates'!$L$9:$L$1008,0)+8)</x:f>
      </x:c>
    </x:row>
    <x:row r="401" ht="36" customHeight="1">
      <x:c r="A401" s="50" t="str">
        <x:f>IF(393&gt;$H$4,"",IF(INDEX('Fleet dates'!$A$9:$A$1008,$I401-8)="","",INDEX('Fleet dates'!$A$9:$A$1008,$I401-8)))</x:f>
      </x:c>
      <x:c r="B401" s="50" t="str">
        <x:f>IF(393&gt;$H$4,"",IF(INDEX('Fleet dates'!$B$9:$B$1008,$I401-8)="","",INDEX('Fleet dates'!$B$9:$B$1008,$I401-8)))</x:f>
      </x:c>
      <x:c r="C401" s="51" t="str">
        <x:f>IF(393&gt;$H$4,"",IF(INDEX('Fleet dates'!$C$9:$C$1008,$I401-8)="","",INDEX('Fleet dates'!$C$9:$C$1008,$I401-8)))</x:f>
      </x:c>
      <x:c r="D401" s="51" t="str">
        <x:f>IF(393&gt;$H$4,"",IF(INDEX('Fleet dates'!$D$9:$D$1008,$I401-8)="","",INDEX('Fleet dates'!$D$9:$D$1008,$I401-8)))</x:f>
      </x:c>
      <x:c r="E401" s="51" t="str">
        <x:f>IF(393&gt;$H$4,"",IF(INDEX('Fleet dates'!$E$9:$E$1008,$I401-8)="","",INDEX('Fleet dates'!$E$9:$E$1008,$I401-8)))</x:f>
      </x:c>
      <x:c r="F401" s="51" t="str">
        <x:f>IF(393&gt;$H$4,"",IF(INDEX('Fleet dates'!$F$9:$F$1008,$I401-8)="","",INDEX('Fleet dates'!$F$9:$F$1008,$I401-8)))</x:f>
      </x:c>
      <x:c r="G401" s="50" t="str">
        <x:f>IF(393&gt;$H$4,"",IF(INDEX('Fleet dates'!$G$9:$G$1008,$I401-8)="","",INDEX('Fleet dates'!$G$9:$G$1008,$I401-8)))</x:f>
      </x:c>
      <x:c r="H401" s="50" t="str">
        <x:f>IF(393&gt;$H$4,"",IF(INDEX('Fleet dates'!$I$9:$I$1008,$I401-8)="","",INDEX('Fleet dates'!$I$9:$I$1008,$I401-8)))</x:f>
      </x:c>
      <x:c r="I401" t="str">
        <x:f>IF(393&gt;$H$4,"",MATCH(393,'Fleet dates'!$L$9:$L$1008,0)+8)</x:f>
      </x:c>
    </x:row>
    <x:row r="402" ht="36" customHeight="1">
      <x:c r="A402" s="50" t="str">
        <x:f>IF(394&gt;$H$4,"",IF(INDEX('Fleet dates'!$A$9:$A$1008,$I402-8)="","",INDEX('Fleet dates'!$A$9:$A$1008,$I402-8)))</x:f>
      </x:c>
      <x:c r="B402" s="50" t="str">
        <x:f>IF(394&gt;$H$4,"",IF(INDEX('Fleet dates'!$B$9:$B$1008,$I402-8)="","",INDEX('Fleet dates'!$B$9:$B$1008,$I402-8)))</x:f>
      </x:c>
      <x:c r="C402" s="51" t="str">
        <x:f>IF(394&gt;$H$4,"",IF(INDEX('Fleet dates'!$C$9:$C$1008,$I402-8)="","",INDEX('Fleet dates'!$C$9:$C$1008,$I402-8)))</x:f>
      </x:c>
      <x:c r="D402" s="51" t="str">
        <x:f>IF(394&gt;$H$4,"",IF(INDEX('Fleet dates'!$D$9:$D$1008,$I402-8)="","",INDEX('Fleet dates'!$D$9:$D$1008,$I402-8)))</x:f>
      </x:c>
      <x:c r="E402" s="51" t="str">
        <x:f>IF(394&gt;$H$4,"",IF(INDEX('Fleet dates'!$E$9:$E$1008,$I402-8)="","",INDEX('Fleet dates'!$E$9:$E$1008,$I402-8)))</x:f>
      </x:c>
      <x:c r="F402" s="51" t="str">
        <x:f>IF(394&gt;$H$4,"",IF(INDEX('Fleet dates'!$F$9:$F$1008,$I402-8)="","",INDEX('Fleet dates'!$F$9:$F$1008,$I402-8)))</x:f>
      </x:c>
      <x:c r="G402" s="50" t="str">
        <x:f>IF(394&gt;$H$4,"",IF(INDEX('Fleet dates'!$G$9:$G$1008,$I402-8)="","",INDEX('Fleet dates'!$G$9:$G$1008,$I402-8)))</x:f>
      </x:c>
      <x:c r="H402" s="50" t="str">
        <x:f>IF(394&gt;$H$4,"",IF(INDEX('Fleet dates'!$I$9:$I$1008,$I402-8)="","",INDEX('Fleet dates'!$I$9:$I$1008,$I402-8)))</x:f>
      </x:c>
      <x:c r="I402" t="str">
        <x:f>IF(394&gt;$H$4,"",MATCH(394,'Fleet dates'!$L$9:$L$1008,0)+8)</x:f>
      </x:c>
    </x:row>
    <x:row r="403" ht="36" customHeight="1">
      <x:c r="A403" s="50" t="str">
        <x:f>IF(395&gt;$H$4,"",IF(INDEX('Fleet dates'!$A$9:$A$1008,$I403-8)="","",INDEX('Fleet dates'!$A$9:$A$1008,$I403-8)))</x:f>
      </x:c>
      <x:c r="B403" s="50" t="str">
        <x:f>IF(395&gt;$H$4,"",IF(INDEX('Fleet dates'!$B$9:$B$1008,$I403-8)="","",INDEX('Fleet dates'!$B$9:$B$1008,$I403-8)))</x:f>
      </x:c>
      <x:c r="C403" s="51" t="str">
        <x:f>IF(395&gt;$H$4,"",IF(INDEX('Fleet dates'!$C$9:$C$1008,$I403-8)="","",INDEX('Fleet dates'!$C$9:$C$1008,$I403-8)))</x:f>
      </x:c>
      <x:c r="D403" s="51" t="str">
        <x:f>IF(395&gt;$H$4,"",IF(INDEX('Fleet dates'!$D$9:$D$1008,$I403-8)="","",INDEX('Fleet dates'!$D$9:$D$1008,$I403-8)))</x:f>
      </x:c>
      <x:c r="E403" s="51" t="str">
        <x:f>IF(395&gt;$H$4,"",IF(INDEX('Fleet dates'!$E$9:$E$1008,$I403-8)="","",INDEX('Fleet dates'!$E$9:$E$1008,$I403-8)))</x:f>
      </x:c>
      <x:c r="F403" s="51" t="str">
        <x:f>IF(395&gt;$H$4,"",IF(INDEX('Fleet dates'!$F$9:$F$1008,$I403-8)="","",INDEX('Fleet dates'!$F$9:$F$1008,$I403-8)))</x:f>
      </x:c>
      <x:c r="G403" s="50" t="str">
        <x:f>IF(395&gt;$H$4,"",IF(INDEX('Fleet dates'!$G$9:$G$1008,$I403-8)="","",INDEX('Fleet dates'!$G$9:$G$1008,$I403-8)))</x:f>
      </x:c>
      <x:c r="H403" s="50" t="str">
        <x:f>IF(395&gt;$H$4,"",IF(INDEX('Fleet dates'!$I$9:$I$1008,$I403-8)="","",INDEX('Fleet dates'!$I$9:$I$1008,$I403-8)))</x:f>
      </x:c>
      <x:c r="I403" t="str">
        <x:f>IF(395&gt;$H$4,"",MATCH(395,'Fleet dates'!$L$9:$L$1008,0)+8)</x:f>
      </x:c>
    </x:row>
    <x:row r="404" ht="36" customHeight="1">
      <x:c r="A404" s="50" t="str">
        <x:f>IF(396&gt;$H$4,"",IF(INDEX('Fleet dates'!$A$9:$A$1008,$I404-8)="","",INDEX('Fleet dates'!$A$9:$A$1008,$I404-8)))</x:f>
      </x:c>
      <x:c r="B404" s="50" t="str">
        <x:f>IF(396&gt;$H$4,"",IF(INDEX('Fleet dates'!$B$9:$B$1008,$I404-8)="","",INDEX('Fleet dates'!$B$9:$B$1008,$I404-8)))</x:f>
      </x:c>
      <x:c r="C404" s="51" t="str">
        <x:f>IF(396&gt;$H$4,"",IF(INDEX('Fleet dates'!$C$9:$C$1008,$I404-8)="","",INDEX('Fleet dates'!$C$9:$C$1008,$I404-8)))</x:f>
      </x:c>
      <x:c r="D404" s="51" t="str">
        <x:f>IF(396&gt;$H$4,"",IF(INDEX('Fleet dates'!$D$9:$D$1008,$I404-8)="","",INDEX('Fleet dates'!$D$9:$D$1008,$I404-8)))</x:f>
      </x:c>
      <x:c r="E404" s="51" t="str">
        <x:f>IF(396&gt;$H$4,"",IF(INDEX('Fleet dates'!$E$9:$E$1008,$I404-8)="","",INDEX('Fleet dates'!$E$9:$E$1008,$I404-8)))</x:f>
      </x:c>
      <x:c r="F404" s="51" t="str">
        <x:f>IF(396&gt;$H$4,"",IF(INDEX('Fleet dates'!$F$9:$F$1008,$I404-8)="","",INDEX('Fleet dates'!$F$9:$F$1008,$I404-8)))</x:f>
      </x:c>
      <x:c r="G404" s="50" t="str">
        <x:f>IF(396&gt;$H$4,"",IF(INDEX('Fleet dates'!$G$9:$G$1008,$I404-8)="","",INDEX('Fleet dates'!$G$9:$G$1008,$I404-8)))</x:f>
      </x:c>
      <x:c r="H404" s="50" t="str">
        <x:f>IF(396&gt;$H$4,"",IF(INDEX('Fleet dates'!$I$9:$I$1008,$I404-8)="","",INDEX('Fleet dates'!$I$9:$I$1008,$I404-8)))</x:f>
      </x:c>
      <x:c r="I404" t="str">
        <x:f>IF(396&gt;$H$4,"",MATCH(396,'Fleet dates'!$L$9:$L$1008,0)+8)</x:f>
      </x:c>
    </x:row>
    <x:row r="405" ht="36" customHeight="1">
      <x:c r="A405" s="50" t="str">
        <x:f>IF(397&gt;$H$4,"",IF(INDEX('Fleet dates'!$A$9:$A$1008,$I405-8)="","",INDEX('Fleet dates'!$A$9:$A$1008,$I405-8)))</x:f>
      </x:c>
      <x:c r="B405" s="50" t="str">
        <x:f>IF(397&gt;$H$4,"",IF(INDEX('Fleet dates'!$B$9:$B$1008,$I405-8)="","",INDEX('Fleet dates'!$B$9:$B$1008,$I405-8)))</x:f>
      </x:c>
      <x:c r="C405" s="51" t="str">
        <x:f>IF(397&gt;$H$4,"",IF(INDEX('Fleet dates'!$C$9:$C$1008,$I405-8)="","",INDEX('Fleet dates'!$C$9:$C$1008,$I405-8)))</x:f>
      </x:c>
      <x:c r="D405" s="51" t="str">
        <x:f>IF(397&gt;$H$4,"",IF(INDEX('Fleet dates'!$D$9:$D$1008,$I405-8)="","",INDEX('Fleet dates'!$D$9:$D$1008,$I405-8)))</x:f>
      </x:c>
      <x:c r="E405" s="51" t="str">
        <x:f>IF(397&gt;$H$4,"",IF(INDEX('Fleet dates'!$E$9:$E$1008,$I405-8)="","",INDEX('Fleet dates'!$E$9:$E$1008,$I405-8)))</x:f>
      </x:c>
      <x:c r="F405" s="51" t="str">
        <x:f>IF(397&gt;$H$4,"",IF(INDEX('Fleet dates'!$F$9:$F$1008,$I405-8)="","",INDEX('Fleet dates'!$F$9:$F$1008,$I405-8)))</x:f>
      </x:c>
      <x:c r="G405" s="50" t="str">
        <x:f>IF(397&gt;$H$4,"",IF(INDEX('Fleet dates'!$G$9:$G$1008,$I405-8)="","",INDEX('Fleet dates'!$G$9:$G$1008,$I405-8)))</x:f>
      </x:c>
      <x:c r="H405" s="50" t="str">
        <x:f>IF(397&gt;$H$4,"",IF(INDEX('Fleet dates'!$I$9:$I$1008,$I405-8)="","",INDEX('Fleet dates'!$I$9:$I$1008,$I405-8)))</x:f>
      </x:c>
      <x:c r="I405" t="str">
        <x:f>IF(397&gt;$H$4,"",MATCH(397,'Fleet dates'!$L$9:$L$1008,0)+8)</x:f>
      </x:c>
    </x:row>
    <x:row r="406" ht="36" customHeight="1">
      <x:c r="A406" s="50" t="str">
        <x:f>IF(398&gt;$H$4,"",IF(INDEX('Fleet dates'!$A$9:$A$1008,$I406-8)="","",INDEX('Fleet dates'!$A$9:$A$1008,$I406-8)))</x:f>
      </x:c>
      <x:c r="B406" s="50" t="str">
        <x:f>IF(398&gt;$H$4,"",IF(INDEX('Fleet dates'!$B$9:$B$1008,$I406-8)="","",INDEX('Fleet dates'!$B$9:$B$1008,$I406-8)))</x:f>
      </x:c>
      <x:c r="C406" s="51" t="str">
        <x:f>IF(398&gt;$H$4,"",IF(INDEX('Fleet dates'!$C$9:$C$1008,$I406-8)="","",INDEX('Fleet dates'!$C$9:$C$1008,$I406-8)))</x:f>
      </x:c>
      <x:c r="D406" s="51" t="str">
        <x:f>IF(398&gt;$H$4,"",IF(INDEX('Fleet dates'!$D$9:$D$1008,$I406-8)="","",INDEX('Fleet dates'!$D$9:$D$1008,$I406-8)))</x:f>
      </x:c>
      <x:c r="E406" s="51" t="str">
        <x:f>IF(398&gt;$H$4,"",IF(INDEX('Fleet dates'!$E$9:$E$1008,$I406-8)="","",INDEX('Fleet dates'!$E$9:$E$1008,$I406-8)))</x:f>
      </x:c>
      <x:c r="F406" s="51" t="str">
        <x:f>IF(398&gt;$H$4,"",IF(INDEX('Fleet dates'!$F$9:$F$1008,$I406-8)="","",INDEX('Fleet dates'!$F$9:$F$1008,$I406-8)))</x:f>
      </x:c>
      <x:c r="G406" s="50" t="str">
        <x:f>IF(398&gt;$H$4,"",IF(INDEX('Fleet dates'!$G$9:$G$1008,$I406-8)="","",INDEX('Fleet dates'!$G$9:$G$1008,$I406-8)))</x:f>
      </x:c>
      <x:c r="H406" s="50" t="str">
        <x:f>IF(398&gt;$H$4,"",IF(INDEX('Fleet dates'!$I$9:$I$1008,$I406-8)="","",INDEX('Fleet dates'!$I$9:$I$1008,$I406-8)))</x:f>
      </x:c>
      <x:c r="I406" t="str">
        <x:f>IF(398&gt;$H$4,"",MATCH(398,'Fleet dates'!$L$9:$L$1008,0)+8)</x:f>
      </x:c>
    </x:row>
    <x:row r="407" ht="36" customHeight="1">
      <x:c r="A407" s="50" t="str">
        <x:f>IF(399&gt;$H$4,"",IF(INDEX('Fleet dates'!$A$9:$A$1008,$I407-8)="","",INDEX('Fleet dates'!$A$9:$A$1008,$I407-8)))</x:f>
      </x:c>
      <x:c r="B407" s="50" t="str">
        <x:f>IF(399&gt;$H$4,"",IF(INDEX('Fleet dates'!$B$9:$B$1008,$I407-8)="","",INDEX('Fleet dates'!$B$9:$B$1008,$I407-8)))</x:f>
      </x:c>
      <x:c r="C407" s="51" t="str">
        <x:f>IF(399&gt;$H$4,"",IF(INDEX('Fleet dates'!$C$9:$C$1008,$I407-8)="","",INDEX('Fleet dates'!$C$9:$C$1008,$I407-8)))</x:f>
      </x:c>
      <x:c r="D407" s="51" t="str">
        <x:f>IF(399&gt;$H$4,"",IF(INDEX('Fleet dates'!$D$9:$D$1008,$I407-8)="","",INDEX('Fleet dates'!$D$9:$D$1008,$I407-8)))</x:f>
      </x:c>
      <x:c r="E407" s="51" t="str">
        <x:f>IF(399&gt;$H$4,"",IF(INDEX('Fleet dates'!$E$9:$E$1008,$I407-8)="","",INDEX('Fleet dates'!$E$9:$E$1008,$I407-8)))</x:f>
      </x:c>
      <x:c r="F407" s="51" t="str">
        <x:f>IF(399&gt;$H$4,"",IF(INDEX('Fleet dates'!$F$9:$F$1008,$I407-8)="","",INDEX('Fleet dates'!$F$9:$F$1008,$I407-8)))</x:f>
      </x:c>
      <x:c r="G407" s="50" t="str">
        <x:f>IF(399&gt;$H$4,"",IF(INDEX('Fleet dates'!$G$9:$G$1008,$I407-8)="","",INDEX('Fleet dates'!$G$9:$G$1008,$I407-8)))</x:f>
      </x:c>
      <x:c r="H407" s="50" t="str">
        <x:f>IF(399&gt;$H$4,"",IF(INDEX('Fleet dates'!$I$9:$I$1008,$I407-8)="","",INDEX('Fleet dates'!$I$9:$I$1008,$I407-8)))</x:f>
      </x:c>
      <x:c r="I407" t="str">
        <x:f>IF(399&gt;$H$4,"",MATCH(399,'Fleet dates'!$L$9:$L$1008,0)+8)</x:f>
      </x:c>
    </x:row>
    <x:row r="408" ht="36" customHeight="1">
      <x:c r="A408" s="50" t="str">
        <x:f>IF(400&gt;$H$4,"",IF(INDEX('Fleet dates'!$A$9:$A$1008,$I408-8)="","",INDEX('Fleet dates'!$A$9:$A$1008,$I408-8)))</x:f>
      </x:c>
      <x:c r="B408" s="50" t="str">
        <x:f>IF(400&gt;$H$4,"",IF(INDEX('Fleet dates'!$B$9:$B$1008,$I408-8)="","",INDEX('Fleet dates'!$B$9:$B$1008,$I408-8)))</x:f>
      </x:c>
      <x:c r="C408" s="51" t="str">
        <x:f>IF(400&gt;$H$4,"",IF(INDEX('Fleet dates'!$C$9:$C$1008,$I408-8)="","",INDEX('Fleet dates'!$C$9:$C$1008,$I408-8)))</x:f>
      </x:c>
      <x:c r="D408" s="51" t="str">
        <x:f>IF(400&gt;$H$4,"",IF(INDEX('Fleet dates'!$D$9:$D$1008,$I408-8)="","",INDEX('Fleet dates'!$D$9:$D$1008,$I408-8)))</x:f>
      </x:c>
      <x:c r="E408" s="51" t="str">
        <x:f>IF(400&gt;$H$4,"",IF(INDEX('Fleet dates'!$E$9:$E$1008,$I408-8)="","",INDEX('Fleet dates'!$E$9:$E$1008,$I408-8)))</x:f>
      </x:c>
      <x:c r="F408" s="51" t="str">
        <x:f>IF(400&gt;$H$4,"",IF(INDEX('Fleet dates'!$F$9:$F$1008,$I408-8)="","",INDEX('Fleet dates'!$F$9:$F$1008,$I408-8)))</x:f>
      </x:c>
      <x:c r="G408" s="50" t="str">
        <x:f>IF(400&gt;$H$4,"",IF(INDEX('Fleet dates'!$G$9:$G$1008,$I408-8)="","",INDEX('Fleet dates'!$G$9:$G$1008,$I408-8)))</x:f>
      </x:c>
      <x:c r="H408" s="50" t="str">
        <x:f>IF(400&gt;$H$4,"",IF(INDEX('Fleet dates'!$I$9:$I$1008,$I408-8)="","",INDEX('Fleet dates'!$I$9:$I$1008,$I408-8)))</x:f>
      </x:c>
      <x:c r="I408" t="str">
        <x:f>IF(400&gt;$H$4,"",MATCH(400,'Fleet dates'!$L$9:$L$1008,0)+8)</x:f>
      </x:c>
    </x:row>
    <x:row r="409" ht="36" customHeight="1">
      <x:c r="A409" s="50" t="str">
        <x:f>IF(401&gt;$H$4,"",IF(INDEX('Fleet dates'!$A$9:$A$1008,$I409-8)="","",INDEX('Fleet dates'!$A$9:$A$1008,$I409-8)))</x:f>
      </x:c>
      <x:c r="B409" s="50" t="str">
        <x:f>IF(401&gt;$H$4,"",IF(INDEX('Fleet dates'!$B$9:$B$1008,$I409-8)="","",INDEX('Fleet dates'!$B$9:$B$1008,$I409-8)))</x:f>
      </x:c>
      <x:c r="C409" s="51" t="str">
        <x:f>IF(401&gt;$H$4,"",IF(INDEX('Fleet dates'!$C$9:$C$1008,$I409-8)="","",INDEX('Fleet dates'!$C$9:$C$1008,$I409-8)))</x:f>
      </x:c>
      <x:c r="D409" s="51" t="str">
        <x:f>IF(401&gt;$H$4,"",IF(INDEX('Fleet dates'!$D$9:$D$1008,$I409-8)="","",INDEX('Fleet dates'!$D$9:$D$1008,$I409-8)))</x:f>
      </x:c>
      <x:c r="E409" s="51" t="str">
        <x:f>IF(401&gt;$H$4,"",IF(INDEX('Fleet dates'!$E$9:$E$1008,$I409-8)="","",INDEX('Fleet dates'!$E$9:$E$1008,$I409-8)))</x:f>
      </x:c>
      <x:c r="F409" s="51" t="str">
        <x:f>IF(401&gt;$H$4,"",IF(INDEX('Fleet dates'!$F$9:$F$1008,$I409-8)="","",INDEX('Fleet dates'!$F$9:$F$1008,$I409-8)))</x:f>
      </x:c>
      <x:c r="G409" s="50" t="str">
        <x:f>IF(401&gt;$H$4,"",IF(INDEX('Fleet dates'!$G$9:$G$1008,$I409-8)="","",INDEX('Fleet dates'!$G$9:$G$1008,$I409-8)))</x:f>
      </x:c>
      <x:c r="H409" s="50" t="str">
        <x:f>IF(401&gt;$H$4,"",IF(INDEX('Fleet dates'!$I$9:$I$1008,$I409-8)="","",INDEX('Fleet dates'!$I$9:$I$1008,$I409-8)))</x:f>
      </x:c>
      <x:c r="I409" t="str">
        <x:f>IF(401&gt;$H$4,"",MATCH(401,'Fleet dates'!$L$9:$L$1008,0)+8)</x:f>
      </x:c>
    </x:row>
    <x:row r="410" ht="36" customHeight="1">
      <x:c r="A410" s="50" t="str">
        <x:f>IF(402&gt;$H$4,"",IF(INDEX('Fleet dates'!$A$9:$A$1008,$I410-8)="","",INDEX('Fleet dates'!$A$9:$A$1008,$I410-8)))</x:f>
      </x:c>
      <x:c r="B410" s="50" t="str">
        <x:f>IF(402&gt;$H$4,"",IF(INDEX('Fleet dates'!$B$9:$B$1008,$I410-8)="","",INDEX('Fleet dates'!$B$9:$B$1008,$I410-8)))</x:f>
      </x:c>
      <x:c r="C410" s="51" t="str">
        <x:f>IF(402&gt;$H$4,"",IF(INDEX('Fleet dates'!$C$9:$C$1008,$I410-8)="","",INDEX('Fleet dates'!$C$9:$C$1008,$I410-8)))</x:f>
      </x:c>
      <x:c r="D410" s="51" t="str">
        <x:f>IF(402&gt;$H$4,"",IF(INDEX('Fleet dates'!$D$9:$D$1008,$I410-8)="","",INDEX('Fleet dates'!$D$9:$D$1008,$I410-8)))</x:f>
      </x:c>
      <x:c r="E410" s="51" t="str">
        <x:f>IF(402&gt;$H$4,"",IF(INDEX('Fleet dates'!$E$9:$E$1008,$I410-8)="","",INDEX('Fleet dates'!$E$9:$E$1008,$I410-8)))</x:f>
      </x:c>
      <x:c r="F410" s="51" t="str">
        <x:f>IF(402&gt;$H$4,"",IF(INDEX('Fleet dates'!$F$9:$F$1008,$I410-8)="","",INDEX('Fleet dates'!$F$9:$F$1008,$I410-8)))</x:f>
      </x:c>
      <x:c r="G410" s="50" t="str">
        <x:f>IF(402&gt;$H$4,"",IF(INDEX('Fleet dates'!$G$9:$G$1008,$I410-8)="","",INDEX('Fleet dates'!$G$9:$G$1008,$I410-8)))</x:f>
      </x:c>
      <x:c r="H410" s="50" t="str">
        <x:f>IF(402&gt;$H$4,"",IF(INDEX('Fleet dates'!$I$9:$I$1008,$I410-8)="","",INDEX('Fleet dates'!$I$9:$I$1008,$I410-8)))</x:f>
      </x:c>
      <x:c r="I410" t="str">
        <x:f>IF(402&gt;$H$4,"",MATCH(402,'Fleet dates'!$L$9:$L$1008,0)+8)</x:f>
      </x:c>
    </x:row>
    <x:row r="411" ht="36" customHeight="1">
      <x:c r="A411" s="50" t="str">
        <x:f>IF(403&gt;$H$4,"",IF(INDEX('Fleet dates'!$A$9:$A$1008,$I411-8)="","",INDEX('Fleet dates'!$A$9:$A$1008,$I411-8)))</x:f>
      </x:c>
      <x:c r="B411" s="50" t="str">
        <x:f>IF(403&gt;$H$4,"",IF(INDEX('Fleet dates'!$B$9:$B$1008,$I411-8)="","",INDEX('Fleet dates'!$B$9:$B$1008,$I411-8)))</x:f>
      </x:c>
      <x:c r="C411" s="51" t="str">
        <x:f>IF(403&gt;$H$4,"",IF(INDEX('Fleet dates'!$C$9:$C$1008,$I411-8)="","",INDEX('Fleet dates'!$C$9:$C$1008,$I411-8)))</x:f>
      </x:c>
      <x:c r="D411" s="51" t="str">
        <x:f>IF(403&gt;$H$4,"",IF(INDEX('Fleet dates'!$D$9:$D$1008,$I411-8)="","",INDEX('Fleet dates'!$D$9:$D$1008,$I411-8)))</x:f>
      </x:c>
      <x:c r="E411" s="51" t="str">
        <x:f>IF(403&gt;$H$4,"",IF(INDEX('Fleet dates'!$E$9:$E$1008,$I411-8)="","",INDEX('Fleet dates'!$E$9:$E$1008,$I411-8)))</x:f>
      </x:c>
      <x:c r="F411" s="51" t="str">
        <x:f>IF(403&gt;$H$4,"",IF(INDEX('Fleet dates'!$F$9:$F$1008,$I411-8)="","",INDEX('Fleet dates'!$F$9:$F$1008,$I411-8)))</x:f>
      </x:c>
      <x:c r="G411" s="50" t="str">
        <x:f>IF(403&gt;$H$4,"",IF(INDEX('Fleet dates'!$G$9:$G$1008,$I411-8)="","",INDEX('Fleet dates'!$G$9:$G$1008,$I411-8)))</x:f>
      </x:c>
      <x:c r="H411" s="50" t="str">
        <x:f>IF(403&gt;$H$4,"",IF(INDEX('Fleet dates'!$I$9:$I$1008,$I411-8)="","",INDEX('Fleet dates'!$I$9:$I$1008,$I411-8)))</x:f>
      </x:c>
      <x:c r="I411" t="str">
        <x:f>IF(403&gt;$H$4,"",MATCH(403,'Fleet dates'!$L$9:$L$1008,0)+8)</x:f>
      </x:c>
    </x:row>
    <x:row r="412" ht="36" customHeight="1">
      <x:c r="A412" s="50" t="str">
        <x:f>IF(404&gt;$H$4,"",IF(INDEX('Fleet dates'!$A$9:$A$1008,$I412-8)="","",INDEX('Fleet dates'!$A$9:$A$1008,$I412-8)))</x:f>
      </x:c>
      <x:c r="B412" s="50" t="str">
        <x:f>IF(404&gt;$H$4,"",IF(INDEX('Fleet dates'!$B$9:$B$1008,$I412-8)="","",INDEX('Fleet dates'!$B$9:$B$1008,$I412-8)))</x:f>
      </x:c>
      <x:c r="C412" s="51" t="str">
        <x:f>IF(404&gt;$H$4,"",IF(INDEX('Fleet dates'!$C$9:$C$1008,$I412-8)="","",INDEX('Fleet dates'!$C$9:$C$1008,$I412-8)))</x:f>
      </x:c>
      <x:c r="D412" s="51" t="str">
        <x:f>IF(404&gt;$H$4,"",IF(INDEX('Fleet dates'!$D$9:$D$1008,$I412-8)="","",INDEX('Fleet dates'!$D$9:$D$1008,$I412-8)))</x:f>
      </x:c>
      <x:c r="E412" s="51" t="str">
        <x:f>IF(404&gt;$H$4,"",IF(INDEX('Fleet dates'!$E$9:$E$1008,$I412-8)="","",INDEX('Fleet dates'!$E$9:$E$1008,$I412-8)))</x:f>
      </x:c>
      <x:c r="F412" s="51" t="str">
        <x:f>IF(404&gt;$H$4,"",IF(INDEX('Fleet dates'!$F$9:$F$1008,$I412-8)="","",INDEX('Fleet dates'!$F$9:$F$1008,$I412-8)))</x:f>
      </x:c>
      <x:c r="G412" s="50" t="str">
        <x:f>IF(404&gt;$H$4,"",IF(INDEX('Fleet dates'!$G$9:$G$1008,$I412-8)="","",INDEX('Fleet dates'!$G$9:$G$1008,$I412-8)))</x:f>
      </x:c>
      <x:c r="H412" s="50" t="str">
        <x:f>IF(404&gt;$H$4,"",IF(INDEX('Fleet dates'!$I$9:$I$1008,$I412-8)="","",INDEX('Fleet dates'!$I$9:$I$1008,$I412-8)))</x:f>
      </x:c>
      <x:c r="I412" t="str">
        <x:f>IF(404&gt;$H$4,"",MATCH(404,'Fleet dates'!$L$9:$L$1008,0)+8)</x:f>
      </x:c>
    </x:row>
    <x:row r="413" ht="36" customHeight="1">
      <x:c r="A413" s="50" t="str">
        <x:f>IF(405&gt;$H$4,"",IF(INDEX('Fleet dates'!$A$9:$A$1008,$I413-8)="","",INDEX('Fleet dates'!$A$9:$A$1008,$I413-8)))</x:f>
      </x:c>
      <x:c r="B413" s="50" t="str">
        <x:f>IF(405&gt;$H$4,"",IF(INDEX('Fleet dates'!$B$9:$B$1008,$I413-8)="","",INDEX('Fleet dates'!$B$9:$B$1008,$I413-8)))</x:f>
      </x:c>
      <x:c r="C413" s="51" t="str">
        <x:f>IF(405&gt;$H$4,"",IF(INDEX('Fleet dates'!$C$9:$C$1008,$I413-8)="","",INDEX('Fleet dates'!$C$9:$C$1008,$I413-8)))</x:f>
      </x:c>
      <x:c r="D413" s="51" t="str">
        <x:f>IF(405&gt;$H$4,"",IF(INDEX('Fleet dates'!$D$9:$D$1008,$I413-8)="","",INDEX('Fleet dates'!$D$9:$D$1008,$I413-8)))</x:f>
      </x:c>
      <x:c r="E413" s="51" t="str">
        <x:f>IF(405&gt;$H$4,"",IF(INDEX('Fleet dates'!$E$9:$E$1008,$I413-8)="","",INDEX('Fleet dates'!$E$9:$E$1008,$I413-8)))</x:f>
      </x:c>
      <x:c r="F413" s="51" t="str">
        <x:f>IF(405&gt;$H$4,"",IF(INDEX('Fleet dates'!$F$9:$F$1008,$I413-8)="","",INDEX('Fleet dates'!$F$9:$F$1008,$I413-8)))</x:f>
      </x:c>
      <x:c r="G413" s="50" t="str">
        <x:f>IF(405&gt;$H$4,"",IF(INDEX('Fleet dates'!$G$9:$G$1008,$I413-8)="","",INDEX('Fleet dates'!$G$9:$G$1008,$I413-8)))</x:f>
      </x:c>
      <x:c r="H413" s="50" t="str">
        <x:f>IF(405&gt;$H$4,"",IF(INDEX('Fleet dates'!$I$9:$I$1008,$I413-8)="","",INDEX('Fleet dates'!$I$9:$I$1008,$I413-8)))</x:f>
      </x:c>
      <x:c r="I413" t="str">
        <x:f>IF(405&gt;$H$4,"",MATCH(405,'Fleet dates'!$L$9:$L$1008,0)+8)</x:f>
      </x:c>
    </x:row>
    <x:row r="414" ht="36" customHeight="1">
      <x:c r="A414" s="50" t="str">
        <x:f>IF(406&gt;$H$4,"",IF(INDEX('Fleet dates'!$A$9:$A$1008,$I414-8)="","",INDEX('Fleet dates'!$A$9:$A$1008,$I414-8)))</x:f>
      </x:c>
      <x:c r="B414" s="50" t="str">
        <x:f>IF(406&gt;$H$4,"",IF(INDEX('Fleet dates'!$B$9:$B$1008,$I414-8)="","",INDEX('Fleet dates'!$B$9:$B$1008,$I414-8)))</x:f>
      </x:c>
      <x:c r="C414" s="51" t="str">
        <x:f>IF(406&gt;$H$4,"",IF(INDEX('Fleet dates'!$C$9:$C$1008,$I414-8)="","",INDEX('Fleet dates'!$C$9:$C$1008,$I414-8)))</x:f>
      </x:c>
      <x:c r="D414" s="51" t="str">
        <x:f>IF(406&gt;$H$4,"",IF(INDEX('Fleet dates'!$D$9:$D$1008,$I414-8)="","",INDEX('Fleet dates'!$D$9:$D$1008,$I414-8)))</x:f>
      </x:c>
      <x:c r="E414" s="51" t="str">
        <x:f>IF(406&gt;$H$4,"",IF(INDEX('Fleet dates'!$E$9:$E$1008,$I414-8)="","",INDEX('Fleet dates'!$E$9:$E$1008,$I414-8)))</x:f>
      </x:c>
      <x:c r="F414" s="51" t="str">
        <x:f>IF(406&gt;$H$4,"",IF(INDEX('Fleet dates'!$F$9:$F$1008,$I414-8)="","",INDEX('Fleet dates'!$F$9:$F$1008,$I414-8)))</x:f>
      </x:c>
      <x:c r="G414" s="50" t="str">
        <x:f>IF(406&gt;$H$4,"",IF(INDEX('Fleet dates'!$G$9:$G$1008,$I414-8)="","",INDEX('Fleet dates'!$G$9:$G$1008,$I414-8)))</x:f>
      </x:c>
      <x:c r="H414" s="50" t="str">
        <x:f>IF(406&gt;$H$4,"",IF(INDEX('Fleet dates'!$I$9:$I$1008,$I414-8)="","",INDEX('Fleet dates'!$I$9:$I$1008,$I414-8)))</x:f>
      </x:c>
      <x:c r="I414" t="str">
        <x:f>IF(406&gt;$H$4,"",MATCH(406,'Fleet dates'!$L$9:$L$1008,0)+8)</x:f>
      </x:c>
    </x:row>
    <x:row r="415" ht="36" customHeight="1">
      <x:c r="A415" s="50" t="str">
        <x:f>IF(407&gt;$H$4,"",IF(INDEX('Fleet dates'!$A$9:$A$1008,$I415-8)="","",INDEX('Fleet dates'!$A$9:$A$1008,$I415-8)))</x:f>
      </x:c>
      <x:c r="B415" s="50" t="str">
        <x:f>IF(407&gt;$H$4,"",IF(INDEX('Fleet dates'!$B$9:$B$1008,$I415-8)="","",INDEX('Fleet dates'!$B$9:$B$1008,$I415-8)))</x:f>
      </x:c>
      <x:c r="C415" s="51" t="str">
        <x:f>IF(407&gt;$H$4,"",IF(INDEX('Fleet dates'!$C$9:$C$1008,$I415-8)="","",INDEX('Fleet dates'!$C$9:$C$1008,$I415-8)))</x:f>
      </x:c>
      <x:c r="D415" s="51" t="str">
        <x:f>IF(407&gt;$H$4,"",IF(INDEX('Fleet dates'!$D$9:$D$1008,$I415-8)="","",INDEX('Fleet dates'!$D$9:$D$1008,$I415-8)))</x:f>
      </x:c>
      <x:c r="E415" s="51" t="str">
        <x:f>IF(407&gt;$H$4,"",IF(INDEX('Fleet dates'!$E$9:$E$1008,$I415-8)="","",INDEX('Fleet dates'!$E$9:$E$1008,$I415-8)))</x:f>
      </x:c>
      <x:c r="F415" s="51" t="str">
        <x:f>IF(407&gt;$H$4,"",IF(INDEX('Fleet dates'!$F$9:$F$1008,$I415-8)="","",INDEX('Fleet dates'!$F$9:$F$1008,$I415-8)))</x:f>
      </x:c>
      <x:c r="G415" s="50" t="str">
        <x:f>IF(407&gt;$H$4,"",IF(INDEX('Fleet dates'!$G$9:$G$1008,$I415-8)="","",INDEX('Fleet dates'!$G$9:$G$1008,$I415-8)))</x:f>
      </x:c>
      <x:c r="H415" s="50" t="str">
        <x:f>IF(407&gt;$H$4,"",IF(INDEX('Fleet dates'!$I$9:$I$1008,$I415-8)="","",INDEX('Fleet dates'!$I$9:$I$1008,$I415-8)))</x:f>
      </x:c>
      <x:c r="I415" t="str">
        <x:f>IF(407&gt;$H$4,"",MATCH(407,'Fleet dates'!$L$9:$L$1008,0)+8)</x:f>
      </x:c>
    </x:row>
    <x:row r="416" ht="36" customHeight="1">
      <x:c r="A416" s="50" t="str">
        <x:f>IF(408&gt;$H$4,"",IF(INDEX('Fleet dates'!$A$9:$A$1008,$I416-8)="","",INDEX('Fleet dates'!$A$9:$A$1008,$I416-8)))</x:f>
      </x:c>
      <x:c r="B416" s="50" t="str">
        <x:f>IF(408&gt;$H$4,"",IF(INDEX('Fleet dates'!$B$9:$B$1008,$I416-8)="","",INDEX('Fleet dates'!$B$9:$B$1008,$I416-8)))</x:f>
      </x:c>
      <x:c r="C416" s="51" t="str">
        <x:f>IF(408&gt;$H$4,"",IF(INDEX('Fleet dates'!$C$9:$C$1008,$I416-8)="","",INDEX('Fleet dates'!$C$9:$C$1008,$I416-8)))</x:f>
      </x:c>
      <x:c r="D416" s="51" t="str">
        <x:f>IF(408&gt;$H$4,"",IF(INDEX('Fleet dates'!$D$9:$D$1008,$I416-8)="","",INDEX('Fleet dates'!$D$9:$D$1008,$I416-8)))</x:f>
      </x:c>
      <x:c r="E416" s="51" t="str">
        <x:f>IF(408&gt;$H$4,"",IF(INDEX('Fleet dates'!$E$9:$E$1008,$I416-8)="","",INDEX('Fleet dates'!$E$9:$E$1008,$I416-8)))</x:f>
      </x:c>
      <x:c r="F416" s="51" t="str">
        <x:f>IF(408&gt;$H$4,"",IF(INDEX('Fleet dates'!$F$9:$F$1008,$I416-8)="","",INDEX('Fleet dates'!$F$9:$F$1008,$I416-8)))</x:f>
      </x:c>
      <x:c r="G416" s="50" t="str">
        <x:f>IF(408&gt;$H$4,"",IF(INDEX('Fleet dates'!$G$9:$G$1008,$I416-8)="","",INDEX('Fleet dates'!$G$9:$G$1008,$I416-8)))</x:f>
      </x:c>
      <x:c r="H416" s="50" t="str">
        <x:f>IF(408&gt;$H$4,"",IF(INDEX('Fleet dates'!$I$9:$I$1008,$I416-8)="","",INDEX('Fleet dates'!$I$9:$I$1008,$I416-8)))</x:f>
      </x:c>
      <x:c r="I416" t="str">
        <x:f>IF(408&gt;$H$4,"",MATCH(408,'Fleet dates'!$L$9:$L$1008,0)+8)</x:f>
      </x:c>
    </x:row>
    <x:row r="417" ht="36" customHeight="1">
      <x:c r="A417" s="50" t="str">
        <x:f>IF(409&gt;$H$4,"",IF(INDEX('Fleet dates'!$A$9:$A$1008,$I417-8)="","",INDEX('Fleet dates'!$A$9:$A$1008,$I417-8)))</x:f>
      </x:c>
      <x:c r="B417" s="50" t="str">
        <x:f>IF(409&gt;$H$4,"",IF(INDEX('Fleet dates'!$B$9:$B$1008,$I417-8)="","",INDEX('Fleet dates'!$B$9:$B$1008,$I417-8)))</x:f>
      </x:c>
      <x:c r="C417" s="51" t="str">
        <x:f>IF(409&gt;$H$4,"",IF(INDEX('Fleet dates'!$C$9:$C$1008,$I417-8)="","",INDEX('Fleet dates'!$C$9:$C$1008,$I417-8)))</x:f>
      </x:c>
      <x:c r="D417" s="51" t="str">
        <x:f>IF(409&gt;$H$4,"",IF(INDEX('Fleet dates'!$D$9:$D$1008,$I417-8)="","",INDEX('Fleet dates'!$D$9:$D$1008,$I417-8)))</x:f>
      </x:c>
      <x:c r="E417" s="51" t="str">
        <x:f>IF(409&gt;$H$4,"",IF(INDEX('Fleet dates'!$E$9:$E$1008,$I417-8)="","",INDEX('Fleet dates'!$E$9:$E$1008,$I417-8)))</x:f>
      </x:c>
      <x:c r="F417" s="51" t="str">
        <x:f>IF(409&gt;$H$4,"",IF(INDEX('Fleet dates'!$F$9:$F$1008,$I417-8)="","",INDEX('Fleet dates'!$F$9:$F$1008,$I417-8)))</x:f>
      </x:c>
      <x:c r="G417" s="50" t="str">
        <x:f>IF(409&gt;$H$4,"",IF(INDEX('Fleet dates'!$G$9:$G$1008,$I417-8)="","",INDEX('Fleet dates'!$G$9:$G$1008,$I417-8)))</x:f>
      </x:c>
      <x:c r="H417" s="50" t="str">
        <x:f>IF(409&gt;$H$4,"",IF(INDEX('Fleet dates'!$I$9:$I$1008,$I417-8)="","",INDEX('Fleet dates'!$I$9:$I$1008,$I417-8)))</x:f>
      </x:c>
      <x:c r="I417" t="str">
        <x:f>IF(409&gt;$H$4,"",MATCH(409,'Fleet dates'!$L$9:$L$1008,0)+8)</x:f>
      </x:c>
    </x:row>
    <x:row r="418" ht="36" customHeight="1">
      <x:c r="A418" s="50" t="str">
        <x:f>IF(410&gt;$H$4,"",IF(INDEX('Fleet dates'!$A$9:$A$1008,$I418-8)="","",INDEX('Fleet dates'!$A$9:$A$1008,$I418-8)))</x:f>
      </x:c>
      <x:c r="B418" s="50" t="str">
        <x:f>IF(410&gt;$H$4,"",IF(INDEX('Fleet dates'!$B$9:$B$1008,$I418-8)="","",INDEX('Fleet dates'!$B$9:$B$1008,$I418-8)))</x:f>
      </x:c>
      <x:c r="C418" s="51" t="str">
        <x:f>IF(410&gt;$H$4,"",IF(INDEX('Fleet dates'!$C$9:$C$1008,$I418-8)="","",INDEX('Fleet dates'!$C$9:$C$1008,$I418-8)))</x:f>
      </x:c>
      <x:c r="D418" s="51" t="str">
        <x:f>IF(410&gt;$H$4,"",IF(INDEX('Fleet dates'!$D$9:$D$1008,$I418-8)="","",INDEX('Fleet dates'!$D$9:$D$1008,$I418-8)))</x:f>
      </x:c>
      <x:c r="E418" s="51" t="str">
        <x:f>IF(410&gt;$H$4,"",IF(INDEX('Fleet dates'!$E$9:$E$1008,$I418-8)="","",INDEX('Fleet dates'!$E$9:$E$1008,$I418-8)))</x:f>
      </x:c>
      <x:c r="F418" s="51" t="str">
        <x:f>IF(410&gt;$H$4,"",IF(INDEX('Fleet dates'!$F$9:$F$1008,$I418-8)="","",INDEX('Fleet dates'!$F$9:$F$1008,$I418-8)))</x:f>
      </x:c>
      <x:c r="G418" s="50" t="str">
        <x:f>IF(410&gt;$H$4,"",IF(INDEX('Fleet dates'!$G$9:$G$1008,$I418-8)="","",INDEX('Fleet dates'!$G$9:$G$1008,$I418-8)))</x:f>
      </x:c>
      <x:c r="H418" s="50" t="str">
        <x:f>IF(410&gt;$H$4,"",IF(INDEX('Fleet dates'!$I$9:$I$1008,$I418-8)="","",INDEX('Fleet dates'!$I$9:$I$1008,$I418-8)))</x:f>
      </x:c>
      <x:c r="I418" t="str">
        <x:f>IF(410&gt;$H$4,"",MATCH(410,'Fleet dates'!$L$9:$L$1008,0)+8)</x:f>
      </x:c>
    </x:row>
    <x:row r="419" ht="36" customHeight="1">
      <x:c r="A419" s="50" t="str">
        <x:f>IF(411&gt;$H$4,"",IF(INDEX('Fleet dates'!$A$9:$A$1008,$I419-8)="","",INDEX('Fleet dates'!$A$9:$A$1008,$I419-8)))</x:f>
      </x:c>
      <x:c r="B419" s="50" t="str">
        <x:f>IF(411&gt;$H$4,"",IF(INDEX('Fleet dates'!$B$9:$B$1008,$I419-8)="","",INDEX('Fleet dates'!$B$9:$B$1008,$I419-8)))</x:f>
      </x:c>
      <x:c r="C419" s="51" t="str">
        <x:f>IF(411&gt;$H$4,"",IF(INDEX('Fleet dates'!$C$9:$C$1008,$I419-8)="","",INDEX('Fleet dates'!$C$9:$C$1008,$I419-8)))</x:f>
      </x:c>
      <x:c r="D419" s="51" t="str">
        <x:f>IF(411&gt;$H$4,"",IF(INDEX('Fleet dates'!$D$9:$D$1008,$I419-8)="","",INDEX('Fleet dates'!$D$9:$D$1008,$I419-8)))</x:f>
      </x:c>
      <x:c r="E419" s="51" t="str">
        <x:f>IF(411&gt;$H$4,"",IF(INDEX('Fleet dates'!$E$9:$E$1008,$I419-8)="","",INDEX('Fleet dates'!$E$9:$E$1008,$I419-8)))</x:f>
      </x:c>
      <x:c r="F419" s="51" t="str">
        <x:f>IF(411&gt;$H$4,"",IF(INDEX('Fleet dates'!$F$9:$F$1008,$I419-8)="","",INDEX('Fleet dates'!$F$9:$F$1008,$I419-8)))</x:f>
      </x:c>
      <x:c r="G419" s="50" t="str">
        <x:f>IF(411&gt;$H$4,"",IF(INDEX('Fleet dates'!$G$9:$G$1008,$I419-8)="","",INDEX('Fleet dates'!$G$9:$G$1008,$I419-8)))</x:f>
      </x:c>
      <x:c r="H419" s="50" t="str">
        <x:f>IF(411&gt;$H$4,"",IF(INDEX('Fleet dates'!$I$9:$I$1008,$I419-8)="","",INDEX('Fleet dates'!$I$9:$I$1008,$I419-8)))</x:f>
      </x:c>
      <x:c r="I419" t="str">
        <x:f>IF(411&gt;$H$4,"",MATCH(411,'Fleet dates'!$L$9:$L$1008,0)+8)</x:f>
      </x:c>
    </x:row>
    <x:row r="420" ht="36" customHeight="1">
      <x:c r="A420" s="50" t="str">
        <x:f>IF(412&gt;$H$4,"",IF(INDEX('Fleet dates'!$A$9:$A$1008,$I420-8)="","",INDEX('Fleet dates'!$A$9:$A$1008,$I420-8)))</x:f>
      </x:c>
      <x:c r="B420" s="50" t="str">
        <x:f>IF(412&gt;$H$4,"",IF(INDEX('Fleet dates'!$B$9:$B$1008,$I420-8)="","",INDEX('Fleet dates'!$B$9:$B$1008,$I420-8)))</x:f>
      </x:c>
      <x:c r="C420" s="51" t="str">
        <x:f>IF(412&gt;$H$4,"",IF(INDEX('Fleet dates'!$C$9:$C$1008,$I420-8)="","",INDEX('Fleet dates'!$C$9:$C$1008,$I420-8)))</x:f>
      </x:c>
      <x:c r="D420" s="51" t="str">
        <x:f>IF(412&gt;$H$4,"",IF(INDEX('Fleet dates'!$D$9:$D$1008,$I420-8)="","",INDEX('Fleet dates'!$D$9:$D$1008,$I420-8)))</x:f>
      </x:c>
      <x:c r="E420" s="51" t="str">
        <x:f>IF(412&gt;$H$4,"",IF(INDEX('Fleet dates'!$E$9:$E$1008,$I420-8)="","",INDEX('Fleet dates'!$E$9:$E$1008,$I420-8)))</x:f>
      </x:c>
      <x:c r="F420" s="51" t="str">
        <x:f>IF(412&gt;$H$4,"",IF(INDEX('Fleet dates'!$F$9:$F$1008,$I420-8)="","",INDEX('Fleet dates'!$F$9:$F$1008,$I420-8)))</x:f>
      </x:c>
      <x:c r="G420" s="50" t="str">
        <x:f>IF(412&gt;$H$4,"",IF(INDEX('Fleet dates'!$G$9:$G$1008,$I420-8)="","",INDEX('Fleet dates'!$G$9:$G$1008,$I420-8)))</x:f>
      </x:c>
      <x:c r="H420" s="50" t="str">
        <x:f>IF(412&gt;$H$4,"",IF(INDEX('Fleet dates'!$I$9:$I$1008,$I420-8)="","",INDEX('Fleet dates'!$I$9:$I$1008,$I420-8)))</x:f>
      </x:c>
      <x:c r="I420" t="str">
        <x:f>IF(412&gt;$H$4,"",MATCH(412,'Fleet dates'!$L$9:$L$1008,0)+8)</x:f>
      </x:c>
    </x:row>
    <x:row r="421" ht="36" customHeight="1">
      <x:c r="A421" s="50" t="str">
        <x:f>IF(413&gt;$H$4,"",IF(INDEX('Fleet dates'!$A$9:$A$1008,$I421-8)="","",INDEX('Fleet dates'!$A$9:$A$1008,$I421-8)))</x:f>
      </x:c>
      <x:c r="B421" s="50" t="str">
        <x:f>IF(413&gt;$H$4,"",IF(INDEX('Fleet dates'!$B$9:$B$1008,$I421-8)="","",INDEX('Fleet dates'!$B$9:$B$1008,$I421-8)))</x:f>
      </x:c>
      <x:c r="C421" s="51" t="str">
        <x:f>IF(413&gt;$H$4,"",IF(INDEX('Fleet dates'!$C$9:$C$1008,$I421-8)="","",INDEX('Fleet dates'!$C$9:$C$1008,$I421-8)))</x:f>
      </x:c>
      <x:c r="D421" s="51" t="str">
        <x:f>IF(413&gt;$H$4,"",IF(INDEX('Fleet dates'!$D$9:$D$1008,$I421-8)="","",INDEX('Fleet dates'!$D$9:$D$1008,$I421-8)))</x:f>
      </x:c>
      <x:c r="E421" s="51" t="str">
        <x:f>IF(413&gt;$H$4,"",IF(INDEX('Fleet dates'!$E$9:$E$1008,$I421-8)="","",INDEX('Fleet dates'!$E$9:$E$1008,$I421-8)))</x:f>
      </x:c>
      <x:c r="F421" s="51" t="str">
        <x:f>IF(413&gt;$H$4,"",IF(INDEX('Fleet dates'!$F$9:$F$1008,$I421-8)="","",INDEX('Fleet dates'!$F$9:$F$1008,$I421-8)))</x:f>
      </x:c>
      <x:c r="G421" s="50" t="str">
        <x:f>IF(413&gt;$H$4,"",IF(INDEX('Fleet dates'!$G$9:$G$1008,$I421-8)="","",INDEX('Fleet dates'!$G$9:$G$1008,$I421-8)))</x:f>
      </x:c>
      <x:c r="H421" s="50" t="str">
        <x:f>IF(413&gt;$H$4,"",IF(INDEX('Fleet dates'!$I$9:$I$1008,$I421-8)="","",INDEX('Fleet dates'!$I$9:$I$1008,$I421-8)))</x:f>
      </x:c>
      <x:c r="I421" t="str">
        <x:f>IF(413&gt;$H$4,"",MATCH(413,'Fleet dates'!$L$9:$L$1008,0)+8)</x:f>
      </x:c>
    </x:row>
    <x:row r="422" ht="36" customHeight="1">
      <x:c r="A422" s="50" t="str">
        <x:f>IF(414&gt;$H$4,"",IF(INDEX('Fleet dates'!$A$9:$A$1008,$I422-8)="","",INDEX('Fleet dates'!$A$9:$A$1008,$I422-8)))</x:f>
      </x:c>
      <x:c r="B422" s="50" t="str">
        <x:f>IF(414&gt;$H$4,"",IF(INDEX('Fleet dates'!$B$9:$B$1008,$I422-8)="","",INDEX('Fleet dates'!$B$9:$B$1008,$I422-8)))</x:f>
      </x:c>
      <x:c r="C422" s="51" t="str">
        <x:f>IF(414&gt;$H$4,"",IF(INDEX('Fleet dates'!$C$9:$C$1008,$I422-8)="","",INDEX('Fleet dates'!$C$9:$C$1008,$I422-8)))</x:f>
      </x:c>
      <x:c r="D422" s="51" t="str">
        <x:f>IF(414&gt;$H$4,"",IF(INDEX('Fleet dates'!$D$9:$D$1008,$I422-8)="","",INDEX('Fleet dates'!$D$9:$D$1008,$I422-8)))</x:f>
      </x:c>
      <x:c r="E422" s="51" t="str">
        <x:f>IF(414&gt;$H$4,"",IF(INDEX('Fleet dates'!$E$9:$E$1008,$I422-8)="","",INDEX('Fleet dates'!$E$9:$E$1008,$I422-8)))</x:f>
      </x:c>
      <x:c r="F422" s="51" t="str">
        <x:f>IF(414&gt;$H$4,"",IF(INDEX('Fleet dates'!$F$9:$F$1008,$I422-8)="","",INDEX('Fleet dates'!$F$9:$F$1008,$I422-8)))</x:f>
      </x:c>
      <x:c r="G422" s="50" t="str">
        <x:f>IF(414&gt;$H$4,"",IF(INDEX('Fleet dates'!$G$9:$G$1008,$I422-8)="","",INDEX('Fleet dates'!$G$9:$G$1008,$I422-8)))</x:f>
      </x:c>
      <x:c r="H422" s="50" t="str">
        <x:f>IF(414&gt;$H$4,"",IF(INDEX('Fleet dates'!$I$9:$I$1008,$I422-8)="","",INDEX('Fleet dates'!$I$9:$I$1008,$I422-8)))</x:f>
      </x:c>
      <x:c r="I422" t="str">
        <x:f>IF(414&gt;$H$4,"",MATCH(414,'Fleet dates'!$L$9:$L$1008,0)+8)</x:f>
      </x:c>
    </x:row>
    <x:row r="423" ht="36" customHeight="1">
      <x:c r="A423" s="50" t="str">
        <x:f>IF(415&gt;$H$4,"",IF(INDEX('Fleet dates'!$A$9:$A$1008,$I423-8)="","",INDEX('Fleet dates'!$A$9:$A$1008,$I423-8)))</x:f>
      </x:c>
      <x:c r="B423" s="50" t="str">
        <x:f>IF(415&gt;$H$4,"",IF(INDEX('Fleet dates'!$B$9:$B$1008,$I423-8)="","",INDEX('Fleet dates'!$B$9:$B$1008,$I423-8)))</x:f>
      </x:c>
      <x:c r="C423" s="51" t="str">
        <x:f>IF(415&gt;$H$4,"",IF(INDEX('Fleet dates'!$C$9:$C$1008,$I423-8)="","",INDEX('Fleet dates'!$C$9:$C$1008,$I423-8)))</x:f>
      </x:c>
      <x:c r="D423" s="51" t="str">
        <x:f>IF(415&gt;$H$4,"",IF(INDEX('Fleet dates'!$D$9:$D$1008,$I423-8)="","",INDEX('Fleet dates'!$D$9:$D$1008,$I423-8)))</x:f>
      </x:c>
      <x:c r="E423" s="51" t="str">
        <x:f>IF(415&gt;$H$4,"",IF(INDEX('Fleet dates'!$E$9:$E$1008,$I423-8)="","",INDEX('Fleet dates'!$E$9:$E$1008,$I423-8)))</x:f>
      </x:c>
      <x:c r="F423" s="51" t="str">
        <x:f>IF(415&gt;$H$4,"",IF(INDEX('Fleet dates'!$F$9:$F$1008,$I423-8)="","",INDEX('Fleet dates'!$F$9:$F$1008,$I423-8)))</x:f>
      </x:c>
      <x:c r="G423" s="50" t="str">
        <x:f>IF(415&gt;$H$4,"",IF(INDEX('Fleet dates'!$G$9:$G$1008,$I423-8)="","",INDEX('Fleet dates'!$G$9:$G$1008,$I423-8)))</x:f>
      </x:c>
      <x:c r="H423" s="50" t="str">
        <x:f>IF(415&gt;$H$4,"",IF(INDEX('Fleet dates'!$I$9:$I$1008,$I423-8)="","",INDEX('Fleet dates'!$I$9:$I$1008,$I423-8)))</x:f>
      </x:c>
      <x:c r="I423" t="str">
        <x:f>IF(415&gt;$H$4,"",MATCH(415,'Fleet dates'!$L$9:$L$1008,0)+8)</x:f>
      </x:c>
    </x:row>
    <x:row r="424" ht="36" customHeight="1">
      <x:c r="A424" s="50" t="str">
        <x:f>IF(416&gt;$H$4,"",IF(INDEX('Fleet dates'!$A$9:$A$1008,$I424-8)="","",INDEX('Fleet dates'!$A$9:$A$1008,$I424-8)))</x:f>
      </x:c>
      <x:c r="B424" s="50" t="str">
        <x:f>IF(416&gt;$H$4,"",IF(INDEX('Fleet dates'!$B$9:$B$1008,$I424-8)="","",INDEX('Fleet dates'!$B$9:$B$1008,$I424-8)))</x:f>
      </x:c>
      <x:c r="C424" s="51" t="str">
        <x:f>IF(416&gt;$H$4,"",IF(INDEX('Fleet dates'!$C$9:$C$1008,$I424-8)="","",INDEX('Fleet dates'!$C$9:$C$1008,$I424-8)))</x:f>
      </x:c>
      <x:c r="D424" s="51" t="str">
        <x:f>IF(416&gt;$H$4,"",IF(INDEX('Fleet dates'!$D$9:$D$1008,$I424-8)="","",INDEX('Fleet dates'!$D$9:$D$1008,$I424-8)))</x:f>
      </x:c>
      <x:c r="E424" s="51" t="str">
        <x:f>IF(416&gt;$H$4,"",IF(INDEX('Fleet dates'!$E$9:$E$1008,$I424-8)="","",INDEX('Fleet dates'!$E$9:$E$1008,$I424-8)))</x:f>
      </x:c>
      <x:c r="F424" s="51" t="str">
        <x:f>IF(416&gt;$H$4,"",IF(INDEX('Fleet dates'!$F$9:$F$1008,$I424-8)="","",INDEX('Fleet dates'!$F$9:$F$1008,$I424-8)))</x:f>
      </x:c>
      <x:c r="G424" s="50" t="str">
        <x:f>IF(416&gt;$H$4,"",IF(INDEX('Fleet dates'!$G$9:$G$1008,$I424-8)="","",INDEX('Fleet dates'!$G$9:$G$1008,$I424-8)))</x:f>
      </x:c>
      <x:c r="H424" s="50" t="str">
        <x:f>IF(416&gt;$H$4,"",IF(INDEX('Fleet dates'!$I$9:$I$1008,$I424-8)="","",INDEX('Fleet dates'!$I$9:$I$1008,$I424-8)))</x:f>
      </x:c>
      <x:c r="I424" t="str">
        <x:f>IF(416&gt;$H$4,"",MATCH(416,'Fleet dates'!$L$9:$L$1008,0)+8)</x:f>
      </x:c>
    </x:row>
    <x:row r="425" ht="36" customHeight="1">
      <x:c r="A425" s="50" t="str">
        <x:f>IF(417&gt;$H$4,"",IF(INDEX('Fleet dates'!$A$9:$A$1008,$I425-8)="","",INDEX('Fleet dates'!$A$9:$A$1008,$I425-8)))</x:f>
      </x:c>
      <x:c r="B425" s="50" t="str">
        <x:f>IF(417&gt;$H$4,"",IF(INDEX('Fleet dates'!$B$9:$B$1008,$I425-8)="","",INDEX('Fleet dates'!$B$9:$B$1008,$I425-8)))</x:f>
      </x:c>
      <x:c r="C425" s="51" t="str">
        <x:f>IF(417&gt;$H$4,"",IF(INDEX('Fleet dates'!$C$9:$C$1008,$I425-8)="","",INDEX('Fleet dates'!$C$9:$C$1008,$I425-8)))</x:f>
      </x:c>
      <x:c r="D425" s="51" t="str">
        <x:f>IF(417&gt;$H$4,"",IF(INDEX('Fleet dates'!$D$9:$D$1008,$I425-8)="","",INDEX('Fleet dates'!$D$9:$D$1008,$I425-8)))</x:f>
      </x:c>
      <x:c r="E425" s="51" t="str">
        <x:f>IF(417&gt;$H$4,"",IF(INDEX('Fleet dates'!$E$9:$E$1008,$I425-8)="","",INDEX('Fleet dates'!$E$9:$E$1008,$I425-8)))</x:f>
      </x:c>
      <x:c r="F425" s="51" t="str">
        <x:f>IF(417&gt;$H$4,"",IF(INDEX('Fleet dates'!$F$9:$F$1008,$I425-8)="","",INDEX('Fleet dates'!$F$9:$F$1008,$I425-8)))</x:f>
      </x:c>
      <x:c r="G425" s="50" t="str">
        <x:f>IF(417&gt;$H$4,"",IF(INDEX('Fleet dates'!$G$9:$G$1008,$I425-8)="","",INDEX('Fleet dates'!$G$9:$G$1008,$I425-8)))</x:f>
      </x:c>
      <x:c r="H425" s="50" t="str">
        <x:f>IF(417&gt;$H$4,"",IF(INDEX('Fleet dates'!$I$9:$I$1008,$I425-8)="","",INDEX('Fleet dates'!$I$9:$I$1008,$I425-8)))</x:f>
      </x:c>
      <x:c r="I425" t="str">
        <x:f>IF(417&gt;$H$4,"",MATCH(417,'Fleet dates'!$L$9:$L$1008,0)+8)</x:f>
      </x:c>
    </x:row>
    <x:row r="426" ht="36" customHeight="1">
      <x:c r="A426" s="50" t="str">
        <x:f>IF(418&gt;$H$4,"",IF(INDEX('Fleet dates'!$A$9:$A$1008,$I426-8)="","",INDEX('Fleet dates'!$A$9:$A$1008,$I426-8)))</x:f>
      </x:c>
      <x:c r="B426" s="50" t="str">
        <x:f>IF(418&gt;$H$4,"",IF(INDEX('Fleet dates'!$B$9:$B$1008,$I426-8)="","",INDEX('Fleet dates'!$B$9:$B$1008,$I426-8)))</x:f>
      </x:c>
      <x:c r="C426" s="51" t="str">
        <x:f>IF(418&gt;$H$4,"",IF(INDEX('Fleet dates'!$C$9:$C$1008,$I426-8)="","",INDEX('Fleet dates'!$C$9:$C$1008,$I426-8)))</x:f>
      </x:c>
      <x:c r="D426" s="51" t="str">
        <x:f>IF(418&gt;$H$4,"",IF(INDEX('Fleet dates'!$D$9:$D$1008,$I426-8)="","",INDEX('Fleet dates'!$D$9:$D$1008,$I426-8)))</x:f>
      </x:c>
      <x:c r="E426" s="51" t="str">
        <x:f>IF(418&gt;$H$4,"",IF(INDEX('Fleet dates'!$E$9:$E$1008,$I426-8)="","",INDEX('Fleet dates'!$E$9:$E$1008,$I426-8)))</x:f>
      </x:c>
      <x:c r="F426" s="51" t="str">
        <x:f>IF(418&gt;$H$4,"",IF(INDEX('Fleet dates'!$F$9:$F$1008,$I426-8)="","",INDEX('Fleet dates'!$F$9:$F$1008,$I426-8)))</x:f>
      </x:c>
      <x:c r="G426" s="50" t="str">
        <x:f>IF(418&gt;$H$4,"",IF(INDEX('Fleet dates'!$G$9:$G$1008,$I426-8)="","",INDEX('Fleet dates'!$G$9:$G$1008,$I426-8)))</x:f>
      </x:c>
      <x:c r="H426" s="50" t="str">
        <x:f>IF(418&gt;$H$4,"",IF(INDEX('Fleet dates'!$I$9:$I$1008,$I426-8)="","",INDEX('Fleet dates'!$I$9:$I$1008,$I426-8)))</x:f>
      </x:c>
      <x:c r="I426" t="str">
        <x:f>IF(418&gt;$H$4,"",MATCH(418,'Fleet dates'!$L$9:$L$1008,0)+8)</x:f>
      </x:c>
    </x:row>
    <x:row r="427" ht="36" customHeight="1">
      <x:c r="A427" s="50" t="str">
        <x:f>IF(419&gt;$H$4,"",IF(INDEX('Fleet dates'!$A$9:$A$1008,$I427-8)="","",INDEX('Fleet dates'!$A$9:$A$1008,$I427-8)))</x:f>
      </x:c>
      <x:c r="B427" s="50" t="str">
        <x:f>IF(419&gt;$H$4,"",IF(INDEX('Fleet dates'!$B$9:$B$1008,$I427-8)="","",INDEX('Fleet dates'!$B$9:$B$1008,$I427-8)))</x:f>
      </x:c>
      <x:c r="C427" s="51" t="str">
        <x:f>IF(419&gt;$H$4,"",IF(INDEX('Fleet dates'!$C$9:$C$1008,$I427-8)="","",INDEX('Fleet dates'!$C$9:$C$1008,$I427-8)))</x:f>
      </x:c>
      <x:c r="D427" s="51" t="str">
        <x:f>IF(419&gt;$H$4,"",IF(INDEX('Fleet dates'!$D$9:$D$1008,$I427-8)="","",INDEX('Fleet dates'!$D$9:$D$1008,$I427-8)))</x:f>
      </x:c>
      <x:c r="E427" s="51" t="str">
        <x:f>IF(419&gt;$H$4,"",IF(INDEX('Fleet dates'!$E$9:$E$1008,$I427-8)="","",INDEX('Fleet dates'!$E$9:$E$1008,$I427-8)))</x:f>
      </x:c>
      <x:c r="F427" s="51" t="str">
        <x:f>IF(419&gt;$H$4,"",IF(INDEX('Fleet dates'!$F$9:$F$1008,$I427-8)="","",INDEX('Fleet dates'!$F$9:$F$1008,$I427-8)))</x:f>
      </x:c>
      <x:c r="G427" s="50" t="str">
        <x:f>IF(419&gt;$H$4,"",IF(INDEX('Fleet dates'!$G$9:$G$1008,$I427-8)="","",INDEX('Fleet dates'!$G$9:$G$1008,$I427-8)))</x:f>
      </x:c>
      <x:c r="H427" s="50" t="str">
        <x:f>IF(419&gt;$H$4,"",IF(INDEX('Fleet dates'!$I$9:$I$1008,$I427-8)="","",INDEX('Fleet dates'!$I$9:$I$1008,$I427-8)))</x:f>
      </x:c>
      <x:c r="I427" t="str">
        <x:f>IF(419&gt;$H$4,"",MATCH(419,'Fleet dates'!$L$9:$L$1008,0)+8)</x:f>
      </x:c>
    </x:row>
    <x:row r="428" ht="36" customHeight="1">
      <x:c r="A428" s="50" t="str">
        <x:f>IF(420&gt;$H$4,"",IF(INDEX('Fleet dates'!$A$9:$A$1008,$I428-8)="","",INDEX('Fleet dates'!$A$9:$A$1008,$I428-8)))</x:f>
      </x:c>
      <x:c r="B428" s="50" t="str">
        <x:f>IF(420&gt;$H$4,"",IF(INDEX('Fleet dates'!$B$9:$B$1008,$I428-8)="","",INDEX('Fleet dates'!$B$9:$B$1008,$I428-8)))</x:f>
      </x:c>
      <x:c r="C428" s="51" t="str">
        <x:f>IF(420&gt;$H$4,"",IF(INDEX('Fleet dates'!$C$9:$C$1008,$I428-8)="","",INDEX('Fleet dates'!$C$9:$C$1008,$I428-8)))</x:f>
      </x:c>
      <x:c r="D428" s="51" t="str">
        <x:f>IF(420&gt;$H$4,"",IF(INDEX('Fleet dates'!$D$9:$D$1008,$I428-8)="","",INDEX('Fleet dates'!$D$9:$D$1008,$I428-8)))</x:f>
      </x:c>
      <x:c r="E428" s="51" t="str">
        <x:f>IF(420&gt;$H$4,"",IF(INDEX('Fleet dates'!$E$9:$E$1008,$I428-8)="","",INDEX('Fleet dates'!$E$9:$E$1008,$I428-8)))</x:f>
      </x:c>
      <x:c r="F428" s="51" t="str">
        <x:f>IF(420&gt;$H$4,"",IF(INDEX('Fleet dates'!$F$9:$F$1008,$I428-8)="","",INDEX('Fleet dates'!$F$9:$F$1008,$I428-8)))</x:f>
      </x:c>
      <x:c r="G428" s="50" t="str">
        <x:f>IF(420&gt;$H$4,"",IF(INDEX('Fleet dates'!$G$9:$G$1008,$I428-8)="","",INDEX('Fleet dates'!$G$9:$G$1008,$I428-8)))</x:f>
      </x:c>
      <x:c r="H428" s="50" t="str">
        <x:f>IF(420&gt;$H$4,"",IF(INDEX('Fleet dates'!$I$9:$I$1008,$I428-8)="","",INDEX('Fleet dates'!$I$9:$I$1008,$I428-8)))</x:f>
      </x:c>
      <x:c r="I428" t="str">
        <x:f>IF(420&gt;$H$4,"",MATCH(420,'Fleet dates'!$L$9:$L$1008,0)+8)</x:f>
      </x:c>
    </x:row>
    <x:row r="429" ht="36" customHeight="1">
      <x:c r="A429" s="50" t="str">
        <x:f>IF(421&gt;$H$4,"",IF(INDEX('Fleet dates'!$A$9:$A$1008,$I429-8)="","",INDEX('Fleet dates'!$A$9:$A$1008,$I429-8)))</x:f>
      </x:c>
      <x:c r="B429" s="50" t="str">
        <x:f>IF(421&gt;$H$4,"",IF(INDEX('Fleet dates'!$B$9:$B$1008,$I429-8)="","",INDEX('Fleet dates'!$B$9:$B$1008,$I429-8)))</x:f>
      </x:c>
      <x:c r="C429" s="51" t="str">
        <x:f>IF(421&gt;$H$4,"",IF(INDEX('Fleet dates'!$C$9:$C$1008,$I429-8)="","",INDEX('Fleet dates'!$C$9:$C$1008,$I429-8)))</x:f>
      </x:c>
      <x:c r="D429" s="51" t="str">
        <x:f>IF(421&gt;$H$4,"",IF(INDEX('Fleet dates'!$D$9:$D$1008,$I429-8)="","",INDEX('Fleet dates'!$D$9:$D$1008,$I429-8)))</x:f>
      </x:c>
      <x:c r="E429" s="51" t="str">
        <x:f>IF(421&gt;$H$4,"",IF(INDEX('Fleet dates'!$E$9:$E$1008,$I429-8)="","",INDEX('Fleet dates'!$E$9:$E$1008,$I429-8)))</x:f>
      </x:c>
      <x:c r="F429" s="51" t="str">
        <x:f>IF(421&gt;$H$4,"",IF(INDEX('Fleet dates'!$F$9:$F$1008,$I429-8)="","",INDEX('Fleet dates'!$F$9:$F$1008,$I429-8)))</x:f>
      </x:c>
      <x:c r="G429" s="50" t="str">
        <x:f>IF(421&gt;$H$4,"",IF(INDEX('Fleet dates'!$G$9:$G$1008,$I429-8)="","",INDEX('Fleet dates'!$G$9:$G$1008,$I429-8)))</x:f>
      </x:c>
      <x:c r="H429" s="50" t="str">
        <x:f>IF(421&gt;$H$4,"",IF(INDEX('Fleet dates'!$I$9:$I$1008,$I429-8)="","",INDEX('Fleet dates'!$I$9:$I$1008,$I429-8)))</x:f>
      </x:c>
      <x:c r="I429" t="str">
        <x:f>IF(421&gt;$H$4,"",MATCH(421,'Fleet dates'!$L$9:$L$1008,0)+8)</x:f>
      </x:c>
    </x:row>
    <x:row r="430" ht="36" customHeight="1">
      <x:c r="A430" s="50" t="str">
        <x:f>IF(422&gt;$H$4,"",IF(INDEX('Fleet dates'!$A$9:$A$1008,$I430-8)="","",INDEX('Fleet dates'!$A$9:$A$1008,$I430-8)))</x:f>
      </x:c>
      <x:c r="B430" s="50" t="str">
        <x:f>IF(422&gt;$H$4,"",IF(INDEX('Fleet dates'!$B$9:$B$1008,$I430-8)="","",INDEX('Fleet dates'!$B$9:$B$1008,$I430-8)))</x:f>
      </x:c>
      <x:c r="C430" s="51" t="str">
        <x:f>IF(422&gt;$H$4,"",IF(INDEX('Fleet dates'!$C$9:$C$1008,$I430-8)="","",INDEX('Fleet dates'!$C$9:$C$1008,$I430-8)))</x:f>
      </x:c>
      <x:c r="D430" s="51" t="str">
        <x:f>IF(422&gt;$H$4,"",IF(INDEX('Fleet dates'!$D$9:$D$1008,$I430-8)="","",INDEX('Fleet dates'!$D$9:$D$1008,$I430-8)))</x:f>
      </x:c>
      <x:c r="E430" s="51" t="str">
        <x:f>IF(422&gt;$H$4,"",IF(INDEX('Fleet dates'!$E$9:$E$1008,$I430-8)="","",INDEX('Fleet dates'!$E$9:$E$1008,$I430-8)))</x:f>
      </x:c>
      <x:c r="F430" s="51" t="str">
        <x:f>IF(422&gt;$H$4,"",IF(INDEX('Fleet dates'!$F$9:$F$1008,$I430-8)="","",INDEX('Fleet dates'!$F$9:$F$1008,$I430-8)))</x:f>
      </x:c>
      <x:c r="G430" s="50" t="str">
        <x:f>IF(422&gt;$H$4,"",IF(INDEX('Fleet dates'!$G$9:$G$1008,$I430-8)="","",INDEX('Fleet dates'!$G$9:$G$1008,$I430-8)))</x:f>
      </x:c>
      <x:c r="H430" s="50" t="str">
        <x:f>IF(422&gt;$H$4,"",IF(INDEX('Fleet dates'!$I$9:$I$1008,$I430-8)="","",INDEX('Fleet dates'!$I$9:$I$1008,$I430-8)))</x:f>
      </x:c>
      <x:c r="I430" t="str">
        <x:f>IF(422&gt;$H$4,"",MATCH(422,'Fleet dates'!$L$9:$L$1008,0)+8)</x:f>
      </x:c>
    </x:row>
    <x:row r="431" ht="36" customHeight="1">
      <x:c r="A431" s="50" t="str">
        <x:f>IF(423&gt;$H$4,"",IF(INDEX('Fleet dates'!$A$9:$A$1008,$I431-8)="","",INDEX('Fleet dates'!$A$9:$A$1008,$I431-8)))</x:f>
      </x:c>
      <x:c r="B431" s="50" t="str">
        <x:f>IF(423&gt;$H$4,"",IF(INDEX('Fleet dates'!$B$9:$B$1008,$I431-8)="","",INDEX('Fleet dates'!$B$9:$B$1008,$I431-8)))</x:f>
      </x:c>
      <x:c r="C431" s="51" t="str">
        <x:f>IF(423&gt;$H$4,"",IF(INDEX('Fleet dates'!$C$9:$C$1008,$I431-8)="","",INDEX('Fleet dates'!$C$9:$C$1008,$I431-8)))</x:f>
      </x:c>
      <x:c r="D431" s="51" t="str">
        <x:f>IF(423&gt;$H$4,"",IF(INDEX('Fleet dates'!$D$9:$D$1008,$I431-8)="","",INDEX('Fleet dates'!$D$9:$D$1008,$I431-8)))</x:f>
      </x:c>
      <x:c r="E431" s="51" t="str">
        <x:f>IF(423&gt;$H$4,"",IF(INDEX('Fleet dates'!$E$9:$E$1008,$I431-8)="","",INDEX('Fleet dates'!$E$9:$E$1008,$I431-8)))</x:f>
      </x:c>
      <x:c r="F431" s="51" t="str">
        <x:f>IF(423&gt;$H$4,"",IF(INDEX('Fleet dates'!$F$9:$F$1008,$I431-8)="","",INDEX('Fleet dates'!$F$9:$F$1008,$I431-8)))</x:f>
      </x:c>
      <x:c r="G431" s="50" t="str">
        <x:f>IF(423&gt;$H$4,"",IF(INDEX('Fleet dates'!$G$9:$G$1008,$I431-8)="","",INDEX('Fleet dates'!$G$9:$G$1008,$I431-8)))</x:f>
      </x:c>
      <x:c r="H431" s="50" t="str">
        <x:f>IF(423&gt;$H$4,"",IF(INDEX('Fleet dates'!$I$9:$I$1008,$I431-8)="","",INDEX('Fleet dates'!$I$9:$I$1008,$I431-8)))</x:f>
      </x:c>
      <x:c r="I431" t="str">
        <x:f>IF(423&gt;$H$4,"",MATCH(423,'Fleet dates'!$L$9:$L$1008,0)+8)</x:f>
      </x:c>
    </x:row>
    <x:row r="432" ht="36" customHeight="1">
      <x:c r="A432" s="50" t="str">
        <x:f>IF(424&gt;$H$4,"",IF(INDEX('Fleet dates'!$A$9:$A$1008,$I432-8)="","",INDEX('Fleet dates'!$A$9:$A$1008,$I432-8)))</x:f>
      </x:c>
      <x:c r="B432" s="50" t="str">
        <x:f>IF(424&gt;$H$4,"",IF(INDEX('Fleet dates'!$B$9:$B$1008,$I432-8)="","",INDEX('Fleet dates'!$B$9:$B$1008,$I432-8)))</x:f>
      </x:c>
      <x:c r="C432" s="51" t="str">
        <x:f>IF(424&gt;$H$4,"",IF(INDEX('Fleet dates'!$C$9:$C$1008,$I432-8)="","",INDEX('Fleet dates'!$C$9:$C$1008,$I432-8)))</x:f>
      </x:c>
      <x:c r="D432" s="51" t="str">
        <x:f>IF(424&gt;$H$4,"",IF(INDEX('Fleet dates'!$D$9:$D$1008,$I432-8)="","",INDEX('Fleet dates'!$D$9:$D$1008,$I432-8)))</x:f>
      </x:c>
      <x:c r="E432" s="51" t="str">
        <x:f>IF(424&gt;$H$4,"",IF(INDEX('Fleet dates'!$E$9:$E$1008,$I432-8)="","",INDEX('Fleet dates'!$E$9:$E$1008,$I432-8)))</x:f>
      </x:c>
      <x:c r="F432" s="51" t="str">
        <x:f>IF(424&gt;$H$4,"",IF(INDEX('Fleet dates'!$F$9:$F$1008,$I432-8)="","",INDEX('Fleet dates'!$F$9:$F$1008,$I432-8)))</x:f>
      </x:c>
      <x:c r="G432" s="50" t="str">
        <x:f>IF(424&gt;$H$4,"",IF(INDEX('Fleet dates'!$G$9:$G$1008,$I432-8)="","",INDEX('Fleet dates'!$G$9:$G$1008,$I432-8)))</x:f>
      </x:c>
      <x:c r="H432" s="50" t="str">
        <x:f>IF(424&gt;$H$4,"",IF(INDEX('Fleet dates'!$I$9:$I$1008,$I432-8)="","",INDEX('Fleet dates'!$I$9:$I$1008,$I432-8)))</x:f>
      </x:c>
      <x:c r="I432" t="str">
        <x:f>IF(424&gt;$H$4,"",MATCH(424,'Fleet dates'!$L$9:$L$1008,0)+8)</x:f>
      </x:c>
    </x:row>
    <x:row r="433" ht="36" customHeight="1">
      <x:c r="A433" s="50" t="str">
        <x:f>IF(425&gt;$H$4,"",IF(INDEX('Fleet dates'!$A$9:$A$1008,$I433-8)="","",INDEX('Fleet dates'!$A$9:$A$1008,$I433-8)))</x:f>
      </x:c>
      <x:c r="B433" s="50" t="str">
        <x:f>IF(425&gt;$H$4,"",IF(INDEX('Fleet dates'!$B$9:$B$1008,$I433-8)="","",INDEX('Fleet dates'!$B$9:$B$1008,$I433-8)))</x:f>
      </x:c>
      <x:c r="C433" s="51" t="str">
        <x:f>IF(425&gt;$H$4,"",IF(INDEX('Fleet dates'!$C$9:$C$1008,$I433-8)="","",INDEX('Fleet dates'!$C$9:$C$1008,$I433-8)))</x:f>
      </x:c>
      <x:c r="D433" s="51" t="str">
        <x:f>IF(425&gt;$H$4,"",IF(INDEX('Fleet dates'!$D$9:$D$1008,$I433-8)="","",INDEX('Fleet dates'!$D$9:$D$1008,$I433-8)))</x:f>
      </x:c>
      <x:c r="E433" s="51" t="str">
        <x:f>IF(425&gt;$H$4,"",IF(INDEX('Fleet dates'!$E$9:$E$1008,$I433-8)="","",INDEX('Fleet dates'!$E$9:$E$1008,$I433-8)))</x:f>
      </x:c>
      <x:c r="F433" s="51" t="str">
        <x:f>IF(425&gt;$H$4,"",IF(INDEX('Fleet dates'!$F$9:$F$1008,$I433-8)="","",INDEX('Fleet dates'!$F$9:$F$1008,$I433-8)))</x:f>
      </x:c>
      <x:c r="G433" s="50" t="str">
        <x:f>IF(425&gt;$H$4,"",IF(INDEX('Fleet dates'!$G$9:$G$1008,$I433-8)="","",INDEX('Fleet dates'!$G$9:$G$1008,$I433-8)))</x:f>
      </x:c>
      <x:c r="H433" s="50" t="str">
        <x:f>IF(425&gt;$H$4,"",IF(INDEX('Fleet dates'!$I$9:$I$1008,$I433-8)="","",INDEX('Fleet dates'!$I$9:$I$1008,$I433-8)))</x:f>
      </x:c>
      <x:c r="I433" t="str">
        <x:f>IF(425&gt;$H$4,"",MATCH(425,'Fleet dates'!$L$9:$L$1008,0)+8)</x:f>
      </x:c>
    </x:row>
    <x:row r="434" ht="36" customHeight="1">
      <x:c r="A434" s="50" t="str">
        <x:f>IF(426&gt;$H$4,"",IF(INDEX('Fleet dates'!$A$9:$A$1008,$I434-8)="","",INDEX('Fleet dates'!$A$9:$A$1008,$I434-8)))</x:f>
      </x:c>
      <x:c r="B434" s="50" t="str">
        <x:f>IF(426&gt;$H$4,"",IF(INDEX('Fleet dates'!$B$9:$B$1008,$I434-8)="","",INDEX('Fleet dates'!$B$9:$B$1008,$I434-8)))</x:f>
      </x:c>
      <x:c r="C434" s="51" t="str">
        <x:f>IF(426&gt;$H$4,"",IF(INDEX('Fleet dates'!$C$9:$C$1008,$I434-8)="","",INDEX('Fleet dates'!$C$9:$C$1008,$I434-8)))</x:f>
      </x:c>
      <x:c r="D434" s="51" t="str">
        <x:f>IF(426&gt;$H$4,"",IF(INDEX('Fleet dates'!$D$9:$D$1008,$I434-8)="","",INDEX('Fleet dates'!$D$9:$D$1008,$I434-8)))</x:f>
      </x:c>
      <x:c r="E434" s="51" t="str">
        <x:f>IF(426&gt;$H$4,"",IF(INDEX('Fleet dates'!$E$9:$E$1008,$I434-8)="","",INDEX('Fleet dates'!$E$9:$E$1008,$I434-8)))</x:f>
      </x:c>
      <x:c r="F434" s="51" t="str">
        <x:f>IF(426&gt;$H$4,"",IF(INDEX('Fleet dates'!$F$9:$F$1008,$I434-8)="","",INDEX('Fleet dates'!$F$9:$F$1008,$I434-8)))</x:f>
      </x:c>
      <x:c r="G434" s="50" t="str">
        <x:f>IF(426&gt;$H$4,"",IF(INDEX('Fleet dates'!$G$9:$G$1008,$I434-8)="","",INDEX('Fleet dates'!$G$9:$G$1008,$I434-8)))</x:f>
      </x:c>
      <x:c r="H434" s="50" t="str">
        <x:f>IF(426&gt;$H$4,"",IF(INDEX('Fleet dates'!$I$9:$I$1008,$I434-8)="","",INDEX('Fleet dates'!$I$9:$I$1008,$I434-8)))</x:f>
      </x:c>
      <x:c r="I434" t="str">
        <x:f>IF(426&gt;$H$4,"",MATCH(426,'Fleet dates'!$L$9:$L$1008,0)+8)</x:f>
      </x:c>
    </x:row>
    <x:row r="435" ht="36" customHeight="1">
      <x:c r="A435" s="50" t="str">
        <x:f>IF(427&gt;$H$4,"",IF(INDEX('Fleet dates'!$A$9:$A$1008,$I435-8)="","",INDEX('Fleet dates'!$A$9:$A$1008,$I435-8)))</x:f>
      </x:c>
      <x:c r="B435" s="50" t="str">
        <x:f>IF(427&gt;$H$4,"",IF(INDEX('Fleet dates'!$B$9:$B$1008,$I435-8)="","",INDEX('Fleet dates'!$B$9:$B$1008,$I435-8)))</x:f>
      </x:c>
      <x:c r="C435" s="51" t="str">
        <x:f>IF(427&gt;$H$4,"",IF(INDEX('Fleet dates'!$C$9:$C$1008,$I435-8)="","",INDEX('Fleet dates'!$C$9:$C$1008,$I435-8)))</x:f>
      </x:c>
      <x:c r="D435" s="51" t="str">
        <x:f>IF(427&gt;$H$4,"",IF(INDEX('Fleet dates'!$D$9:$D$1008,$I435-8)="","",INDEX('Fleet dates'!$D$9:$D$1008,$I435-8)))</x:f>
      </x:c>
      <x:c r="E435" s="51" t="str">
        <x:f>IF(427&gt;$H$4,"",IF(INDEX('Fleet dates'!$E$9:$E$1008,$I435-8)="","",INDEX('Fleet dates'!$E$9:$E$1008,$I435-8)))</x:f>
      </x:c>
      <x:c r="F435" s="51" t="str">
        <x:f>IF(427&gt;$H$4,"",IF(INDEX('Fleet dates'!$F$9:$F$1008,$I435-8)="","",INDEX('Fleet dates'!$F$9:$F$1008,$I435-8)))</x:f>
      </x:c>
      <x:c r="G435" s="50" t="str">
        <x:f>IF(427&gt;$H$4,"",IF(INDEX('Fleet dates'!$G$9:$G$1008,$I435-8)="","",INDEX('Fleet dates'!$G$9:$G$1008,$I435-8)))</x:f>
      </x:c>
      <x:c r="H435" s="50" t="str">
        <x:f>IF(427&gt;$H$4,"",IF(INDEX('Fleet dates'!$I$9:$I$1008,$I435-8)="","",INDEX('Fleet dates'!$I$9:$I$1008,$I435-8)))</x:f>
      </x:c>
      <x:c r="I435" t="str">
        <x:f>IF(427&gt;$H$4,"",MATCH(427,'Fleet dates'!$L$9:$L$1008,0)+8)</x:f>
      </x:c>
    </x:row>
    <x:row r="436" ht="36" customHeight="1">
      <x:c r="A436" s="50" t="str">
        <x:f>IF(428&gt;$H$4,"",IF(INDEX('Fleet dates'!$A$9:$A$1008,$I436-8)="","",INDEX('Fleet dates'!$A$9:$A$1008,$I436-8)))</x:f>
      </x:c>
      <x:c r="B436" s="50" t="str">
        <x:f>IF(428&gt;$H$4,"",IF(INDEX('Fleet dates'!$B$9:$B$1008,$I436-8)="","",INDEX('Fleet dates'!$B$9:$B$1008,$I436-8)))</x:f>
      </x:c>
      <x:c r="C436" s="51" t="str">
        <x:f>IF(428&gt;$H$4,"",IF(INDEX('Fleet dates'!$C$9:$C$1008,$I436-8)="","",INDEX('Fleet dates'!$C$9:$C$1008,$I436-8)))</x:f>
      </x:c>
      <x:c r="D436" s="51" t="str">
        <x:f>IF(428&gt;$H$4,"",IF(INDEX('Fleet dates'!$D$9:$D$1008,$I436-8)="","",INDEX('Fleet dates'!$D$9:$D$1008,$I436-8)))</x:f>
      </x:c>
      <x:c r="E436" s="51" t="str">
        <x:f>IF(428&gt;$H$4,"",IF(INDEX('Fleet dates'!$E$9:$E$1008,$I436-8)="","",INDEX('Fleet dates'!$E$9:$E$1008,$I436-8)))</x:f>
      </x:c>
      <x:c r="F436" s="51" t="str">
        <x:f>IF(428&gt;$H$4,"",IF(INDEX('Fleet dates'!$F$9:$F$1008,$I436-8)="","",INDEX('Fleet dates'!$F$9:$F$1008,$I436-8)))</x:f>
      </x:c>
      <x:c r="G436" s="50" t="str">
        <x:f>IF(428&gt;$H$4,"",IF(INDEX('Fleet dates'!$G$9:$G$1008,$I436-8)="","",INDEX('Fleet dates'!$G$9:$G$1008,$I436-8)))</x:f>
      </x:c>
      <x:c r="H436" s="50" t="str">
        <x:f>IF(428&gt;$H$4,"",IF(INDEX('Fleet dates'!$I$9:$I$1008,$I436-8)="","",INDEX('Fleet dates'!$I$9:$I$1008,$I436-8)))</x:f>
      </x:c>
      <x:c r="I436" t="str">
        <x:f>IF(428&gt;$H$4,"",MATCH(428,'Fleet dates'!$L$9:$L$1008,0)+8)</x:f>
      </x:c>
    </x:row>
    <x:row r="437" ht="36" customHeight="1">
      <x:c r="A437" s="50" t="str">
        <x:f>IF(429&gt;$H$4,"",IF(INDEX('Fleet dates'!$A$9:$A$1008,$I437-8)="","",INDEX('Fleet dates'!$A$9:$A$1008,$I437-8)))</x:f>
      </x:c>
      <x:c r="B437" s="50" t="str">
        <x:f>IF(429&gt;$H$4,"",IF(INDEX('Fleet dates'!$B$9:$B$1008,$I437-8)="","",INDEX('Fleet dates'!$B$9:$B$1008,$I437-8)))</x:f>
      </x:c>
      <x:c r="C437" s="51" t="str">
        <x:f>IF(429&gt;$H$4,"",IF(INDEX('Fleet dates'!$C$9:$C$1008,$I437-8)="","",INDEX('Fleet dates'!$C$9:$C$1008,$I437-8)))</x:f>
      </x:c>
      <x:c r="D437" s="51" t="str">
        <x:f>IF(429&gt;$H$4,"",IF(INDEX('Fleet dates'!$D$9:$D$1008,$I437-8)="","",INDEX('Fleet dates'!$D$9:$D$1008,$I437-8)))</x:f>
      </x:c>
      <x:c r="E437" s="51" t="str">
        <x:f>IF(429&gt;$H$4,"",IF(INDEX('Fleet dates'!$E$9:$E$1008,$I437-8)="","",INDEX('Fleet dates'!$E$9:$E$1008,$I437-8)))</x:f>
      </x:c>
      <x:c r="F437" s="51" t="str">
        <x:f>IF(429&gt;$H$4,"",IF(INDEX('Fleet dates'!$F$9:$F$1008,$I437-8)="","",INDEX('Fleet dates'!$F$9:$F$1008,$I437-8)))</x:f>
      </x:c>
      <x:c r="G437" s="50" t="str">
        <x:f>IF(429&gt;$H$4,"",IF(INDEX('Fleet dates'!$G$9:$G$1008,$I437-8)="","",INDEX('Fleet dates'!$G$9:$G$1008,$I437-8)))</x:f>
      </x:c>
      <x:c r="H437" s="50" t="str">
        <x:f>IF(429&gt;$H$4,"",IF(INDEX('Fleet dates'!$I$9:$I$1008,$I437-8)="","",INDEX('Fleet dates'!$I$9:$I$1008,$I437-8)))</x:f>
      </x:c>
      <x:c r="I437" t="str">
        <x:f>IF(429&gt;$H$4,"",MATCH(429,'Fleet dates'!$L$9:$L$1008,0)+8)</x:f>
      </x:c>
    </x:row>
    <x:row r="438" ht="36" customHeight="1">
      <x:c r="A438" s="50" t="str">
        <x:f>IF(430&gt;$H$4,"",IF(INDEX('Fleet dates'!$A$9:$A$1008,$I438-8)="","",INDEX('Fleet dates'!$A$9:$A$1008,$I438-8)))</x:f>
      </x:c>
      <x:c r="B438" s="50" t="str">
        <x:f>IF(430&gt;$H$4,"",IF(INDEX('Fleet dates'!$B$9:$B$1008,$I438-8)="","",INDEX('Fleet dates'!$B$9:$B$1008,$I438-8)))</x:f>
      </x:c>
      <x:c r="C438" s="51" t="str">
        <x:f>IF(430&gt;$H$4,"",IF(INDEX('Fleet dates'!$C$9:$C$1008,$I438-8)="","",INDEX('Fleet dates'!$C$9:$C$1008,$I438-8)))</x:f>
      </x:c>
      <x:c r="D438" s="51" t="str">
        <x:f>IF(430&gt;$H$4,"",IF(INDEX('Fleet dates'!$D$9:$D$1008,$I438-8)="","",INDEX('Fleet dates'!$D$9:$D$1008,$I438-8)))</x:f>
      </x:c>
      <x:c r="E438" s="51" t="str">
        <x:f>IF(430&gt;$H$4,"",IF(INDEX('Fleet dates'!$E$9:$E$1008,$I438-8)="","",INDEX('Fleet dates'!$E$9:$E$1008,$I438-8)))</x:f>
      </x:c>
      <x:c r="F438" s="51" t="str">
        <x:f>IF(430&gt;$H$4,"",IF(INDEX('Fleet dates'!$F$9:$F$1008,$I438-8)="","",INDEX('Fleet dates'!$F$9:$F$1008,$I438-8)))</x:f>
      </x:c>
      <x:c r="G438" s="50" t="str">
        <x:f>IF(430&gt;$H$4,"",IF(INDEX('Fleet dates'!$G$9:$G$1008,$I438-8)="","",INDEX('Fleet dates'!$G$9:$G$1008,$I438-8)))</x:f>
      </x:c>
      <x:c r="H438" s="50" t="str">
        <x:f>IF(430&gt;$H$4,"",IF(INDEX('Fleet dates'!$I$9:$I$1008,$I438-8)="","",INDEX('Fleet dates'!$I$9:$I$1008,$I438-8)))</x:f>
      </x:c>
      <x:c r="I438" t="str">
        <x:f>IF(430&gt;$H$4,"",MATCH(430,'Fleet dates'!$L$9:$L$1008,0)+8)</x:f>
      </x:c>
    </x:row>
    <x:row r="439" ht="36" customHeight="1">
      <x:c r="A439" s="50" t="str">
        <x:f>IF(431&gt;$H$4,"",IF(INDEX('Fleet dates'!$A$9:$A$1008,$I439-8)="","",INDEX('Fleet dates'!$A$9:$A$1008,$I439-8)))</x:f>
      </x:c>
      <x:c r="B439" s="50" t="str">
        <x:f>IF(431&gt;$H$4,"",IF(INDEX('Fleet dates'!$B$9:$B$1008,$I439-8)="","",INDEX('Fleet dates'!$B$9:$B$1008,$I439-8)))</x:f>
      </x:c>
      <x:c r="C439" s="51" t="str">
        <x:f>IF(431&gt;$H$4,"",IF(INDEX('Fleet dates'!$C$9:$C$1008,$I439-8)="","",INDEX('Fleet dates'!$C$9:$C$1008,$I439-8)))</x:f>
      </x:c>
      <x:c r="D439" s="51" t="str">
        <x:f>IF(431&gt;$H$4,"",IF(INDEX('Fleet dates'!$D$9:$D$1008,$I439-8)="","",INDEX('Fleet dates'!$D$9:$D$1008,$I439-8)))</x:f>
      </x:c>
      <x:c r="E439" s="51" t="str">
        <x:f>IF(431&gt;$H$4,"",IF(INDEX('Fleet dates'!$E$9:$E$1008,$I439-8)="","",INDEX('Fleet dates'!$E$9:$E$1008,$I439-8)))</x:f>
      </x:c>
      <x:c r="F439" s="51" t="str">
        <x:f>IF(431&gt;$H$4,"",IF(INDEX('Fleet dates'!$F$9:$F$1008,$I439-8)="","",INDEX('Fleet dates'!$F$9:$F$1008,$I439-8)))</x:f>
      </x:c>
      <x:c r="G439" s="50" t="str">
        <x:f>IF(431&gt;$H$4,"",IF(INDEX('Fleet dates'!$G$9:$G$1008,$I439-8)="","",INDEX('Fleet dates'!$G$9:$G$1008,$I439-8)))</x:f>
      </x:c>
      <x:c r="H439" s="50" t="str">
        <x:f>IF(431&gt;$H$4,"",IF(INDEX('Fleet dates'!$I$9:$I$1008,$I439-8)="","",INDEX('Fleet dates'!$I$9:$I$1008,$I439-8)))</x:f>
      </x:c>
      <x:c r="I439" t="str">
        <x:f>IF(431&gt;$H$4,"",MATCH(431,'Fleet dates'!$L$9:$L$1008,0)+8)</x:f>
      </x:c>
    </x:row>
    <x:row r="440" ht="36" customHeight="1">
      <x:c r="A440" s="50" t="str">
        <x:f>IF(432&gt;$H$4,"",IF(INDEX('Fleet dates'!$A$9:$A$1008,$I440-8)="","",INDEX('Fleet dates'!$A$9:$A$1008,$I440-8)))</x:f>
      </x:c>
      <x:c r="B440" s="50" t="str">
        <x:f>IF(432&gt;$H$4,"",IF(INDEX('Fleet dates'!$B$9:$B$1008,$I440-8)="","",INDEX('Fleet dates'!$B$9:$B$1008,$I440-8)))</x:f>
      </x:c>
      <x:c r="C440" s="51" t="str">
        <x:f>IF(432&gt;$H$4,"",IF(INDEX('Fleet dates'!$C$9:$C$1008,$I440-8)="","",INDEX('Fleet dates'!$C$9:$C$1008,$I440-8)))</x:f>
      </x:c>
      <x:c r="D440" s="51" t="str">
        <x:f>IF(432&gt;$H$4,"",IF(INDEX('Fleet dates'!$D$9:$D$1008,$I440-8)="","",INDEX('Fleet dates'!$D$9:$D$1008,$I440-8)))</x:f>
      </x:c>
      <x:c r="E440" s="51" t="str">
        <x:f>IF(432&gt;$H$4,"",IF(INDEX('Fleet dates'!$E$9:$E$1008,$I440-8)="","",INDEX('Fleet dates'!$E$9:$E$1008,$I440-8)))</x:f>
      </x:c>
      <x:c r="F440" s="51" t="str">
        <x:f>IF(432&gt;$H$4,"",IF(INDEX('Fleet dates'!$F$9:$F$1008,$I440-8)="","",INDEX('Fleet dates'!$F$9:$F$1008,$I440-8)))</x:f>
      </x:c>
      <x:c r="G440" s="50" t="str">
        <x:f>IF(432&gt;$H$4,"",IF(INDEX('Fleet dates'!$G$9:$G$1008,$I440-8)="","",INDEX('Fleet dates'!$G$9:$G$1008,$I440-8)))</x:f>
      </x:c>
      <x:c r="H440" s="50" t="str">
        <x:f>IF(432&gt;$H$4,"",IF(INDEX('Fleet dates'!$I$9:$I$1008,$I440-8)="","",INDEX('Fleet dates'!$I$9:$I$1008,$I440-8)))</x:f>
      </x:c>
      <x:c r="I440" t="str">
        <x:f>IF(432&gt;$H$4,"",MATCH(432,'Fleet dates'!$L$9:$L$1008,0)+8)</x:f>
      </x:c>
    </x:row>
    <x:row r="441" ht="36" customHeight="1">
      <x:c r="A441" s="50" t="str">
        <x:f>IF(433&gt;$H$4,"",IF(INDEX('Fleet dates'!$A$9:$A$1008,$I441-8)="","",INDEX('Fleet dates'!$A$9:$A$1008,$I441-8)))</x:f>
      </x:c>
      <x:c r="B441" s="50" t="str">
        <x:f>IF(433&gt;$H$4,"",IF(INDEX('Fleet dates'!$B$9:$B$1008,$I441-8)="","",INDEX('Fleet dates'!$B$9:$B$1008,$I441-8)))</x:f>
      </x:c>
      <x:c r="C441" s="51" t="str">
        <x:f>IF(433&gt;$H$4,"",IF(INDEX('Fleet dates'!$C$9:$C$1008,$I441-8)="","",INDEX('Fleet dates'!$C$9:$C$1008,$I441-8)))</x:f>
      </x:c>
      <x:c r="D441" s="51" t="str">
        <x:f>IF(433&gt;$H$4,"",IF(INDEX('Fleet dates'!$D$9:$D$1008,$I441-8)="","",INDEX('Fleet dates'!$D$9:$D$1008,$I441-8)))</x:f>
      </x:c>
      <x:c r="E441" s="51" t="str">
        <x:f>IF(433&gt;$H$4,"",IF(INDEX('Fleet dates'!$E$9:$E$1008,$I441-8)="","",INDEX('Fleet dates'!$E$9:$E$1008,$I441-8)))</x:f>
      </x:c>
      <x:c r="F441" s="51" t="str">
        <x:f>IF(433&gt;$H$4,"",IF(INDEX('Fleet dates'!$F$9:$F$1008,$I441-8)="","",INDEX('Fleet dates'!$F$9:$F$1008,$I441-8)))</x:f>
      </x:c>
      <x:c r="G441" s="50" t="str">
        <x:f>IF(433&gt;$H$4,"",IF(INDEX('Fleet dates'!$G$9:$G$1008,$I441-8)="","",INDEX('Fleet dates'!$G$9:$G$1008,$I441-8)))</x:f>
      </x:c>
      <x:c r="H441" s="50" t="str">
        <x:f>IF(433&gt;$H$4,"",IF(INDEX('Fleet dates'!$I$9:$I$1008,$I441-8)="","",INDEX('Fleet dates'!$I$9:$I$1008,$I441-8)))</x:f>
      </x:c>
      <x:c r="I441" t="str">
        <x:f>IF(433&gt;$H$4,"",MATCH(433,'Fleet dates'!$L$9:$L$1008,0)+8)</x:f>
      </x:c>
    </x:row>
    <x:row r="442" ht="36" customHeight="1">
      <x:c r="A442" s="50" t="str">
        <x:f>IF(434&gt;$H$4,"",IF(INDEX('Fleet dates'!$A$9:$A$1008,$I442-8)="","",INDEX('Fleet dates'!$A$9:$A$1008,$I442-8)))</x:f>
      </x:c>
      <x:c r="B442" s="50" t="str">
        <x:f>IF(434&gt;$H$4,"",IF(INDEX('Fleet dates'!$B$9:$B$1008,$I442-8)="","",INDEX('Fleet dates'!$B$9:$B$1008,$I442-8)))</x:f>
      </x:c>
      <x:c r="C442" s="51" t="str">
        <x:f>IF(434&gt;$H$4,"",IF(INDEX('Fleet dates'!$C$9:$C$1008,$I442-8)="","",INDEX('Fleet dates'!$C$9:$C$1008,$I442-8)))</x:f>
      </x:c>
      <x:c r="D442" s="51" t="str">
        <x:f>IF(434&gt;$H$4,"",IF(INDEX('Fleet dates'!$D$9:$D$1008,$I442-8)="","",INDEX('Fleet dates'!$D$9:$D$1008,$I442-8)))</x:f>
      </x:c>
      <x:c r="E442" s="51" t="str">
        <x:f>IF(434&gt;$H$4,"",IF(INDEX('Fleet dates'!$E$9:$E$1008,$I442-8)="","",INDEX('Fleet dates'!$E$9:$E$1008,$I442-8)))</x:f>
      </x:c>
      <x:c r="F442" s="51" t="str">
        <x:f>IF(434&gt;$H$4,"",IF(INDEX('Fleet dates'!$F$9:$F$1008,$I442-8)="","",INDEX('Fleet dates'!$F$9:$F$1008,$I442-8)))</x:f>
      </x:c>
      <x:c r="G442" s="50" t="str">
        <x:f>IF(434&gt;$H$4,"",IF(INDEX('Fleet dates'!$G$9:$G$1008,$I442-8)="","",INDEX('Fleet dates'!$G$9:$G$1008,$I442-8)))</x:f>
      </x:c>
      <x:c r="H442" s="50" t="str">
        <x:f>IF(434&gt;$H$4,"",IF(INDEX('Fleet dates'!$I$9:$I$1008,$I442-8)="","",INDEX('Fleet dates'!$I$9:$I$1008,$I442-8)))</x:f>
      </x:c>
      <x:c r="I442" t="str">
        <x:f>IF(434&gt;$H$4,"",MATCH(434,'Fleet dates'!$L$9:$L$1008,0)+8)</x:f>
      </x:c>
    </x:row>
    <x:row r="443" ht="36" customHeight="1">
      <x:c r="A443" s="50" t="str">
        <x:f>IF(435&gt;$H$4,"",IF(INDEX('Fleet dates'!$A$9:$A$1008,$I443-8)="","",INDEX('Fleet dates'!$A$9:$A$1008,$I443-8)))</x:f>
      </x:c>
      <x:c r="B443" s="50" t="str">
        <x:f>IF(435&gt;$H$4,"",IF(INDEX('Fleet dates'!$B$9:$B$1008,$I443-8)="","",INDEX('Fleet dates'!$B$9:$B$1008,$I443-8)))</x:f>
      </x:c>
      <x:c r="C443" s="51" t="str">
        <x:f>IF(435&gt;$H$4,"",IF(INDEX('Fleet dates'!$C$9:$C$1008,$I443-8)="","",INDEX('Fleet dates'!$C$9:$C$1008,$I443-8)))</x:f>
      </x:c>
      <x:c r="D443" s="51" t="str">
        <x:f>IF(435&gt;$H$4,"",IF(INDEX('Fleet dates'!$D$9:$D$1008,$I443-8)="","",INDEX('Fleet dates'!$D$9:$D$1008,$I443-8)))</x:f>
      </x:c>
      <x:c r="E443" s="51" t="str">
        <x:f>IF(435&gt;$H$4,"",IF(INDEX('Fleet dates'!$E$9:$E$1008,$I443-8)="","",INDEX('Fleet dates'!$E$9:$E$1008,$I443-8)))</x:f>
      </x:c>
      <x:c r="F443" s="51" t="str">
        <x:f>IF(435&gt;$H$4,"",IF(INDEX('Fleet dates'!$F$9:$F$1008,$I443-8)="","",INDEX('Fleet dates'!$F$9:$F$1008,$I443-8)))</x:f>
      </x:c>
      <x:c r="G443" s="50" t="str">
        <x:f>IF(435&gt;$H$4,"",IF(INDEX('Fleet dates'!$G$9:$G$1008,$I443-8)="","",INDEX('Fleet dates'!$G$9:$G$1008,$I443-8)))</x:f>
      </x:c>
      <x:c r="H443" s="50" t="str">
        <x:f>IF(435&gt;$H$4,"",IF(INDEX('Fleet dates'!$I$9:$I$1008,$I443-8)="","",INDEX('Fleet dates'!$I$9:$I$1008,$I443-8)))</x:f>
      </x:c>
      <x:c r="I443" t="str">
        <x:f>IF(435&gt;$H$4,"",MATCH(435,'Fleet dates'!$L$9:$L$1008,0)+8)</x:f>
      </x:c>
    </x:row>
    <x:row r="444" ht="36" customHeight="1">
      <x:c r="A444" s="50" t="str">
        <x:f>IF(436&gt;$H$4,"",IF(INDEX('Fleet dates'!$A$9:$A$1008,$I444-8)="","",INDEX('Fleet dates'!$A$9:$A$1008,$I444-8)))</x:f>
      </x:c>
      <x:c r="B444" s="50" t="str">
        <x:f>IF(436&gt;$H$4,"",IF(INDEX('Fleet dates'!$B$9:$B$1008,$I444-8)="","",INDEX('Fleet dates'!$B$9:$B$1008,$I444-8)))</x:f>
      </x:c>
      <x:c r="C444" s="51" t="str">
        <x:f>IF(436&gt;$H$4,"",IF(INDEX('Fleet dates'!$C$9:$C$1008,$I444-8)="","",INDEX('Fleet dates'!$C$9:$C$1008,$I444-8)))</x:f>
      </x:c>
      <x:c r="D444" s="51" t="str">
        <x:f>IF(436&gt;$H$4,"",IF(INDEX('Fleet dates'!$D$9:$D$1008,$I444-8)="","",INDEX('Fleet dates'!$D$9:$D$1008,$I444-8)))</x:f>
      </x:c>
      <x:c r="E444" s="51" t="str">
        <x:f>IF(436&gt;$H$4,"",IF(INDEX('Fleet dates'!$E$9:$E$1008,$I444-8)="","",INDEX('Fleet dates'!$E$9:$E$1008,$I444-8)))</x:f>
      </x:c>
      <x:c r="F444" s="51" t="str">
        <x:f>IF(436&gt;$H$4,"",IF(INDEX('Fleet dates'!$F$9:$F$1008,$I444-8)="","",INDEX('Fleet dates'!$F$9:$F$1008,$I444-8)))</x:f>
      </x:c>
      <x:c r="G444" s="50" t="str">
        <x:f>IF(436&gt;$H$4,"",IF(INDEX('Fleet dates'!$G$9:$G$1008,$I444-8)="","",INDEX('Fleet dates'!$G$9:$G$1008,$I444-8)))</x:f>
      </x:c>
      <x:c r="H444" s="50" t="str">
        <x:f>IF(436&gt;$H$4,"",IF(INDEX('Fleet dates'!$I$9:$I$1008,$I444-8)="","",INDEX('Fleet dates'!$I$9:$I$1008,$I444-8)))</x:f>
      </x:c>
      <x:c r="I444" t="str">
        <x:f>IF(436&gt;$H$4,"",MATCH(436,'Fleet dates'!$L$9:$L$1008,0)+8)</x:f>
      </x:c>
    </x:row>
    <x:row r="445" ht="36" customHeight="1">
      <x:c r="A445" s="50" t="str">
        <x:f>IF(437&gt;$H$4,"",IF(INDEX('Fleet dates'!$A$9:$A$1008,$I445-8)="","",INDEX('Fleet dates'!$A$9:$A$1008,$I445-8)))</x:f>
      </x:c>
      <x:c r="B445" s="50" t="str">
        <x:f>IF(437&gt;$H$4,"",IF(INDEX('Fleet dates'!$B$9:$B$1008,$I445-8)="","",INDEX('Fleet dates'!$B$9:$B$1008,$I445-8)))</x:f>
      </x:c>
      <x:c r="C445" s="51" t="str">
        <x:f>IF(437&gt;$H$4,"",IF(INDEX('Fleet dates'!$C$9:$C$1008,$I445-8)="","",INDEX('Fleet dates'!$C$9:$C$1008,$I445-8)))</x:f>
      </x:c>
      <x:c r="D445" s="51" t="str">
        <x:f>IF(437&gt;$H$4,"",IF(INDEX('Fleet dates'!$D$9:$D$1008,$I445-8)="","",INDEX('Fleet dates'!$D$9:$D$1008,$I445-8)))</x:f>
      </x:c>
      <x:c r="E445" s="51" t="str">
        <x:f>IF(437&gt;$H$4,"",IF(INDEX('Fleet dates'!$E$9:$E$1008,$I445-8)="","",INDEX('Fleet dates'!$E$9:$E$1008,$I445-8)))</x:f>
      </x:c>
      <x:c r="F445" s="51" t="str">
        <x:f>IF(437&gt;$H$4,"",IF(INDEX('Fleet dates'!$F$9:$F$1008,$I445-8)="","",INDEX('Fleet dates'!$F$9:$F$1008,$I445-8)))</x:f>
      </x:c>
      <x:c r="G445" s="50" t="str">
        <x:f>IF(437&gt;$H$4,"",IF(INDEX('Fleet dates'!$G$9:$G$1008,$I445-8)="","",INDEX('Fleet dates'!$G$9:$G$1008,$I445-8)))</x:f>
      </x:c>
      <x:c r="H445" s="50" t="str">
        <x:f>IF(437&gt;$H$4,"",IF(INDEX('Fleet dates'!$I$9:$I$1008,$I445-8)="","",INDEX('Fleet dates'!$I$9:$I$1008,$I445-8)))</x:f>
      </x:c>
      <x:c r="I445" t="str">
        <x:f>IF(437&gt;$H$4,"",MATCH(437,'Fleet dates'!$L$9:$L$1008,0)+8)</x:f>
      </x:c>
    </x:row>
    <x:row r="446" ht="36" customHeight="1">
      <x:c r="A446" s="50" t="str">
        <x:f>IF(438&gt;$H$4,"",IF(INDEX('Fleet dates'!$A$9:$A$1008,$I446-8)="","",INDEX('Fleet dates'!$A$9:$A$1008,$I446-8)))</x:f>
      </x:c>
      <x:c r="B446" s="50" t="str">
        <x:f>IF(438&gt;$H$4,"",IF(INDEX('Fleet dates'!$B$9:$B$1008,$I446-8)="","",INDEX('Fleet dates'!$B$9:$B$1008,$I446-8)))</x:f>
      </x:c>
      <x:c r="C446" s="51" t="str">
        <x:f>IF(438&gt;$H$4,"",IF(INDEX('Fleet dates'!$C$9:$C$1008,$I446-8)="","",INDEX('Fleet dates'!$C$9:$C$1008,$I446-8)))</x:f>
      </x:c>
      <x:c r="D446" s="51" t="str">
        <x:f>IF(438&gt;$H$4,"",IF(INDEX('Fleet dates'!$D$9:$D$1008,$I446-8)="","",INDEX('Fleet dates'!$D$9:$D$1008,$I446-8)))</x:f>
      </x:c>
      <x:c r="E446" s="51" t="str">
        <x:f>IF(438&gt;$H$4,"",IF(INDEX('Fleet dates'!$E$9:$E$1008,$I446-8)="","",INDEX('Fleet dates'!$E$9:$E$1008,$I446-8)))</x:f>
      </x:c>
      <x:c r="F446" s="51" t="str">
        <x:f>IF(438&gt;$H$4,"",IF(INDEX('Fleet dates'!$F$9:$F$1008,$I446-8)="","",INDEX('Fleet dates'!$F$9:$F$1008,$I446-8)))</x:f>
      </x:c>
      <x:c r="G446" s="50" t="str">
        <x:f>IF(438&gt;$H$4,"",IF(INDEX('Fleet dates'!$G$9:$G$1008,$I446-8)="","",INDEX('Fleet dates'!$G$9:$G$1008,$I446-8)))</x:f>
      </x:c>
      <x:c r="H446" s="50" t="str">
        <x:f>IF(438&gt;$H$4,"",IF(INDEX('Fleet dates'!$I$9:$I$1008,$I446-8)="","",INDEX('Fleet dates'!$I$9:$I$1008,$I446-8)))</x:f>
      </x:c>
      <x:c r="I446" t="str">
        <x:f>IF(438&gt;$H$4,"",MATCH(438,'Fleet dates'!$L$9:$L$1008,0)+8)</x:f>
      </x:c>
    </x:row>
    <x:row r="447" ht="36" customHeight="1">
      <x:c r="A447" s="50" t="str">
        <x:f>IF(439&gt;$H$4,"",IF(INDEX('Fleet dates'!$A$9:$A$1008,$I447-8)="","",INDEX('Fleet dates'!$A$9:$A$1008,$I447-8)))</x:f>
      </x:c>
      <x:c r="B447" s="50" t="str">
        <x:f>IF(439&gt;$H$4,"",IF(INDEX('Fleet dates'!$B$9:$B$1008,$I447-8)="","",INDEX('Fleet dates'!$B$9:$B$1008,$I447-8)))</x:f>
      </x:c>
      <x:c r="C447" s="51" t="str">
        <x:f>IF(439&gt;$H$4,"",IF(INDEX('Fleet dates'!$C$9:$C$1008,$I447-8)="","",INDEX('Fleet dates'!$C$9:$C$1008,$I447-8)))</x:f>
      </x:c>
      <x:c r="D447" s="51" t="str">
        <x:f>IF(439&gt;$H$4,"",IF(INDEX('Fleet dates'!$D$9:$D$1008,$I447-8)="","",INDEX('Fleet dates'!$D$9:$D$1008,$I447-8)))</x:f>
      </x:c>
      <x:c r="E447" s="51" t="str">
        <x:f>IF(439&gt;$H$4,"",IF(INDEX('Fleet dates'!$E$9:$E$1008,$I447-8)="","",INDEX('Fleet dates'!$E$9:$E$1008,$I447-8)))</x:f>
      </x:c>
      <x:c r="F447" s="51" t="str">
        <x:f>IF(439&gt;$H$4,"",IF(INDEX('Fleet dates'!$F$9:$F$1008,$I447-8)="","",INDEX('Fleet dates'!$F$9:$F$1008,$I447-8)))</x:f>
      </x:c>
      <x:c r="G447" s="50" t="str">
        <x:f>IF(439&gt;$H$4,"",IF(INDEX('Fleet dates'!$G$9:$G$1008,$I447-8)="","",INDEX('Fleet dates'!$G$9:$G$1008,$I447-8)))</x:f>
      </x:c>
      <x:c r="H447" s="50" t="str">
        <x:f>IF(439&gt;$H$4,"",IF(INDEX('Fleet dates'!$I$9:$I$1008,$I447-8)="","",INDEX('Fleet dates'!$I$9:$I$1008,$I447-8)))</x:f>
      </x:c>
      <x:c r="I447" t="str">
        <x:f>IF(439&gt;$H$4,"",MATCH(439,'Fleet dates'!$L$9:$L$1008,0)+8)</x:f>
      </x:c>
    </x:row>
    <x:row r="448" ht="36" customHeight="1">
      <x:c r="A448" s="50" t="str">
        <x:f>IF(440&gt;$H$4,"",IF(INDEX('Fleet dates'!$A$9:$A$1008,$I448-8)="","",INDEX('Fleet dates'!$A$9:$A$1008,$I448-8)))</x:f>
      </x:c>
      <x:c r="B448" s="50" t="str">
        <x:f>IF(440&gt;$H$4,"",IF(INDEX('Fleet dates'!$B$9:$B$1008,$I448-8)="","",INDEX('Fleet dates'!$B$9:$B$1008,$I448-8)))</x:f>
      </x:c>
      <x:c r="C448" s="51" t="str">
        <x:f>IF(440&gt;$H$4,"",IF(INDEX('Fleet dates'!$C$9:$C$1008,$I448-8)="","",INDEX('Fleet dates'!$C$9:$C$1008,$I448-8)))</x:f>
      </x:c>
      <x:c r="D448" s="51" t="str">
        <x:f>IF(440&gt;$H$4,"",IF(INDEX('Fleet dates'!$D$9:$D$1008,$I448-8)="","",INDEX('Fleet dates'!$D$9:$D$1008,$I448-8)))</x:f>
      </x:c>
      <x:c r="E448" s="51" t="str">
        <x:f>IF(440&gt;$H$4,"",IF(INDEX('Fleet dates'!$E$9:$E$1008,$I448-8)="","",INDEX('Fleet dates'!$E$9:$E$1008,$I448-8)))</x:f>
      </x:c>
      <x:c r="F448" s="51" t="str">
        <x:f>IF(440&gt;$H$4,"",IF(INDEX('Fleet dates'!$F$9:$F$1008,$I448-8)="","",INDEX('Fleet dates'!$F$9:$F$1008,$I448-8)))</x:f>
      </x:c>
      <x:c r="G448" s="50" t="str">
        <x:f>IF(440&gt;$H$4,"",IF(INDEX('Fleet dates'!$G$9:$G$1008,$I448-8)="","",INDEX('Fleet dates'!$G$9:$G$1008,$I448-8)))</x:f>
      </x:c>
      <x:c r="H448" s="50" t="str">
        <x:f>IF(440&gt;$H$4,"",IF(INDEX('Fleet dates'!$I$9:$I$1008,$I448-8)="","",INDEX('Fleet dates'!$I$9:$I$1008,$I448-8)))</x:f>
      </x:c>
      <x:c r="I448" t="str">
        <x:f>IF(440&gt;$H$4,"",MATCH(440,'Fleet dates'!$L$9:$L$1008,0)+8)</x:f>
      </x:c>
    </x:row>
    <x:row r="449" ht="36" customHeight="1">
      <x:c r="A449" s="50" t="str">
        <x:f>IF(441&gt;$H$4,"",IF(INDEX('Fleet dates'!$A$9:$A$1008,$I449-8)="","",INDEX('Fleet dates'!$A$9:$A$1008,$I449-8)))</x:f>
      </x:c>
      <x:c r="B449" s="50" t="str">
        <x:f>IF(441&gt;$H$4,"",IF(INDEX('Fleet dates'!$B$9:$B$1008,$I449-8)="","",INDEX('Fleet dates'!$B$9:$B$1008,$I449-8)))</x:f>
      </x:c>
      <x:c r="C449" s="51" t="str">
        <x:f>IF(441&gt;$H$4,"",IF(INDEX('Fleet dates'!$C$9:$C$1008,$I449-8)="","",INDEX('Fleet dates'!$C$9:$C$1008,$I449-8)))</x:f>
      </x:c>
      <x:c r="D449" s="51" t="str">
        <x:f>IF(441&gt;$H$4,"",IF(INDEX('Fleet dates'!$D$9:$D$1008,$I449-8)="","",INDEX('Fleet dates'!$D$9:$D$1008,$I449-8)))</x:f>
      </x:c>
      <x:c r="E449" s="51" t="str">
        <x:f>IF(441&gt;$H$4,"",IF(INDEX('Fleet dates'!$E$9:$E$1008,$I449-8)="","",INDEX('Fleet dates'!$E$9:$E$1008,$I449-8)))</x:f>
      </x:c>
      <x:c r="F449" s="51" t="str">
        <x:f>IF(441&gt;$H$4,"",IF(INDEX('Fleet dates'!$F$9:$F$1008,$I449-8)="","",INDEX('Fleet dates'!$F$9:$F$1008,$I449-8)))</x:f>
      </x:c>
      <x:c r="G449" s="50" t="str">
        <x:f>IF(441&gt;$H$4,"",IF(INDEX('Fleet dates'!$G$9:$G$1008,$I449-8)="","",INDEX('Fleet dates'!$G$9:$G$1008,$I449-8)))</x:f>
      </x:c>
      <x:c r="H449" s="50" t="str">
        <x:f>IF(441&gt;$H$4,"",IF(INDEX('Fleet dates'!$I$9:$I$1008,$I449-8)="","",INDEX('Fleet dates'!$I$9:$I$1008,$I449-8)))</x:f>
      </x:c>
      <x:c r="I449" t="str">
        <x:f>IF(441&gt;$H$4,"",MATCH(441,'Fleet dates'!$L$9:$L$1008,0)+8)</x:f>
      </x:c>
    </x:row>
    <x:row r="450" ht="36" customHeight="1">
      <x:c r="A450" s="50" t="str">
        <x:f>IF(442&gt;$H$4,"",IF(INDEX('Fleet dates'!$A$9:$A$1008,$I450-8)="","",INDEX('Fleet dates'!$A$9:$A$1008,$I450-8)))</x:f>
      </x:c>
      <x:c r="B450" s="50" t="str">
        <x:f>IF(442&gt;$H$4,"",IF(INDEX('Fleet dates'!$B$9:$B$1008,$I450-8)="","",INDEX('Fleet dates'!$B$9:$B$1008,$I450-8)))</x:f>
      </x:c>
      <x:c r="C450" s="51" t="str">
        <x:f>IF(442&gt;$H$4,"",IF(INDEX('Fleet dates'!$C$9:$C$1008,$I450-8)="","",INDEX('Fleet dates'!$C$9:$C$1008,$I450-8)))</x:f>
      </x:c>
      <x:c r="D450" s="51" t="str">
        <x:f>IF(442&gt;$H$4,"",IF(INDEX('Fleet dates'!$D$9:$D$1008,$I450-8)="","",INDEX('Fleet dates'!$D$9:$D$1008,$I450-8)))</x:f>
      </x:c>
      <x:c r="E450" s="51" t="str">
        <x:f>IF(442&gt;$H$4,"",IF(INDEX('Fleet dates'!$E$9:$E$1008,$I450-8)="","",INDEX('Fleet dates'!$E$9:$E$1008,$I450-8)))</x:f>
      </x:c>
      <x:c r="F450" s="51" t="str">
        <x:f>IF(442&gt;$H$4,"",IF(INDEX('Fleet dates'!$F$9:$F$1008,$I450-8)="","",INDEX('Fleet dates'!$F$9:$F$1008,$I450-8)))</x:f>
      </x:c>
      <x:c r="G450" s="50" t="str">
        <x:f>IF(442&gt;$H$4,"",IF(INDEX('Fleet dates'!$G$9:$G$1008,$I450-8)="","",INDEX('Fleet dates'!$G$9:$G$1008,$I450-8)))</x:f>
      </x:c>
      <x:c r="H450" s="50" t="str">
        <x:f>IF(442&gt;$H$4,"",IF(INDEX('Fleet dates'!$I$9:$I$1008,$I450-8)="","",INDEX('Fleet dates'!$I$9:$I$1008,$I450-8)))</x:f>
      </x:c>
      <x:c r="I450" t="str">
        <x:f>IF(442&gt;$H$4,"",MATCH(442,'Fleet dates'!$L$9:$L$1008,0)+8)</x:f>
      </x:c>
    </x:row>
    <x:row r="451" ht="36" customHeight="1">
      <x:c r="A451" s="50" t="str">
        <x:f>IF(443&gt;$H$4,"",IF(INDEX('Fleet dates'!$A$9:$A$1008,$I451-8)="","",INDEX('Fleet dates'!$A$9:$A$1008,$I451-8)))</x:f>
      </x:c>
      <x:c r="B451" s="50" t="str">
        <x:f>IF(443&gt;$H$4,"",IF(INDEX('Fleet dates'!$B$9:$B$1008,$I451-8)="","",INDEX('Fleet dates'!$B$9:$B$1008,$I451-8)))</x:f>
      </x:c>
      <x:c r="C451" s="51" t="str">
        <x:f>IF(443&gt;$H$4,"",IF(INDEX('Fleet dates'!$C$9:$C$1008,$I451-8)="","",INDEX('Fleet dates'!$C$9:$C$1008,$I451-8)))</x:f>
      </x:c>
      <x:c r="D451" s="51" t="str">
        <x:f>IF(443&gt;$H$4,"",IF(INDEX('Fleet dates'!$D$9:$D$1008,$I451-8)="","",INDEX('Fleet dates'!$D$9:$D$1008,$I451-8)))</x:f>
      </x:c>
      <x:c r="E451" s="51" t="str">
        <x:f>IF(443&gt;$H$4,"",IF(INDEX('Fleet dates'!$E$9:$E$1008,$I451-8)="","",INDEX('Fleet dates'!$E$9:$E$1008,$I451-8)))</x:f>
      </x:c>
      <x:c r="F451" s="51" t="str">
        <x:f>IF(443&gt;$H$4,"",IF(INDEX('Fleet dates'!$F$9:$F$1008,$I451-8)="","",INDEX('Fleet dates'!$F$9:$F$1008,$I451-8)))</x:f>
      </x:c>
      <x:c r="G451" s="50" t="str">
        <x:f>IF(443&gt;$H$4,"",IF(INDEX('Fleet dates'!$G$9:$G$1008,$I451-8)="","",INDEX('Fleet dates'!$G$9:$G$1008,$I451-8)))</x:f>
      </x:c>
      <x:c r="H451" s="50" t="str">
        <x:f>IF(443&gt;$H$4,"",IF(INDEX('Fleet dates'!$I$9:$I$1008,$I451-8)="","",INDEX('Fleet dates'!$I$9:$I$1008,$I451-8)))</x:f>
      </x:c>
      <x:c r="I451" t="str">
        <x:f>IF(443&gt;$H$4,"",MATCH(443,'Fleet dates'!$L$9:$L$1008,0)+8)</x:f>
      </x:c>
    </x:row>
    <x:row r="452" ht="36" customHeight="1">
      <x:c r="A452" s="50" t="str">
        <x:f>IF(444&gt;$H$4,"",IF(INDEX('Fleet dates'!$A$9:$A$1008,$I452-8)="","",INDEX('Fleet dates'!$A$9:$A$1008,$I452-8)))</x:f>
      </x:c>
      <x:c r="B452" s="50" t="str">
        <x:f>IF(444&gt;$H$4,"",IF(INDEX('Fleet dates'!$B$9:$B$1008,$I452-8)="","",INDEX('Fleet dates'!$B$9:$B$1008,$I452-8)))</x:f>
      </x:c>
      <x:c r="C452" s="51" t="str">
        <x:f>IF(444&gt;$H$4,"",IF(INDEX('Fleet dates'!$C$9:$C$1008,$I452-8)="","",INDEX('Fleet dates'!$C$9:$C$1008,$I452-8)))</x:f>
      </x:c>
      <x:c r="D452" s="51" t="str">
        <x:f>IF(444&gt;$H$4,"",IF(INDEX('Fleet dates'!$D$9:$D$1008,$I452-8)="","",INDEX('Fleet dates'!$D$9:$D$1008,$I452-8)))</x:f>
      </x:c>
      <x:c r="E452" s="51" t="str">
        <x:f>IF(444&gt;$H$4,"",IF(INDEX('Fleet dates'!$E$9:$E$1008,$I452-8)="","",INDEX('Fleet dates'!$E$9:$E$1008,$I452-8)))</x:f>
      </x:c>
      <x:c r="F452" s="51" t="str">
        <x:f>IF(444&gt;$H$4,"",IF(INDEX('Fleet dates'!$F$9:$F$1008,$I452-8)="","",INDEX('Fleet dates'!$F$9:$F$1008,$I452-8)))</x:f>
      </x:c>
      <x:c r="G452" s="50" t="str">
        <x:f>IF(444&gt;$H$4,"",IF(INDEX('Fleet dates'!$G$9:$G$1008,$I452-8)="","",INDEX('Fleet dates'!$G$9:$G$1008,$I452-8)))</x:f>
      </x:c>
      <x:c r="H452" s="50" t="str">
        <x:f>IF(444&gt;$H$4,"",IF(INDEX('Fleet dates'!$I$9:$I$1008,$I452-8)="","",INDEX('Fleet dates'!$I$9:$I$1008,$I452-8)))</x:f>
      </x:c>
      <x:c r="I452" t="str">
        <x:f>IF(444&gt;$H$4,"",MATCH(444,'Fleet dates'!$L$9:$L$1008,0)+8)</x:f>
      </x:c>
    </x:row>
    <x:row r="453" ht="36" customHeight="1">
      <x:c r="A453" s="50" t="str">
        <x:f>IF(445&gt;$H$4,"",IF(INDEX('Fleet dates'!$A$9:$A$1008,$I453-8)="","",INDEX('Fleet dates'!$A$9:$A$1008,$I453-8)))</x:f>
      </x:c>
      <x:c r="B453" s="50" t="str">
        <x:f>IF(445&gt;$H$4,"",IF(INDEX('Fleet dates'!$B$9:$B$1008,$I453-8)="","",INDEX('Fleet dates'!$B$9:$B$1008,$I453-8)))</x:f>
      </x:c>
      <x:c r="C453" s="51" t="str">
        <x:f>IF(445&gt;$H$4,"",IF(INDEX('Fleet dates'!$C$9:$C$1008,$I453-8)="","",INDEX('Fleet dates'!$C$9:$C$1008,$I453-8)))</x:f>
      </x:c>
      <x:c r="D453" s="51" t="str">
        <x:f>IF(445&gt;$H$4,"",IF(INDEX('Fleet dates'!$D$9:$D$1008,$I453-8)="","",INDEX('Fleet dates'!$D$9:$D$1008,$I453-8)))</x:f>
      </x:c>
      <x:c r="E453" s="51" t="str">
        <x:f>IF(445&gt;$H$4,"",IF(INDEX('Fleet dates'!$E$9:$E$1008,$I453-8)="","",INDEX('Fleet dates'!$E$9:$E$1008,$I453-8)))</x:f>
      </x:c>
      <x:c r="F453" s="51" t="str">
        <x:f>IF(445&gt;$H$4,"",IF(INDEX('Fleet dates'!$F$9:$F$1008,$I453-8)="","",INDEX('Fleet dates'!$F$9:$F$1008,$I453-8)))</x:f>
      </x:c>
      <x:c r="G453" s="50" t="str">
        <x:f>IF(445&gt;$H$4,"",IF(INDEX('Fleet dates'!$G$9:$G$1008,$I453-8)="","",INDEX('Fleet dates'!$G$9:$G$1008,$I453-8)))</x:f>
      </x:c>
      <x:c r="H453" s="50" t="str">
        <x:f>IF(445&gt;$H$4,"",IF(INDEX('Fleet dates'!$I$9:$I$1008,$I453-8)="","",INDEX('Fleet dates'!$I$9:$I$1008,$I453-8)))</x:f>
      </x:c>
      <x:c r="I453" t="str">
        <x:f>IF(445&gt;$H$4,"",MATCH(445,'Fleet dates'!$L$9:$L$1008,0)+8)</x:f>
      </x:c>
    </x:row>
    <x:row r="454" ht="36" customHeight="1">
      <x:c r="A454" s="50" t="str">
        <x:f>IF(446&gt;$H$4,"",IF(INDEX('Fleet dates'!$A$9:$A$1008,$I454-8)="","",INDEX('Fleet dates'!$A$9:$A$1008,$I454-8)))</x:f>
      </x:c>
      <x:c r="B454" s="50" t="str">
        <x:f>IF(446&gt;$H$4,"",IF(INDEX('Fleet dates'!$B$9:$B$1008,$I454-8)="","",INDEX('Fleet dates'!$B$9:$B$1008,$I454-8)))</x:f>
      </x:c>
      <x:c r="C454" s="51" t="str">
        <x:f>IF(446&gt;$H$4,"",IF(INDEX('Fleet dates'!$C$9:$C$1008,$I454-8)="","",INDEX('Fleet dates'!$C$9:$C$1008,$I454-8)))</x:f>
      </x:c>
      <x:c r="D454" s="51" t="str">
        <x:f>IF(446&gt;$H$4,"",IF(INDEX('Fleet dates'!$D$9:$D$1008,$I454-8)="","",INDEX('Fleet dates'!$D$9:$D$1008,$I454-8)))</x:f>
      </x:c>
      <x:c r="E454" s="51" t="str">
        <x:f>IF(446&gt;$H$4,"",IF(INDEX('Fleet dates'!$E$9:$E$1008,$I454-8)="","",INDEX('Fleet dates'!$E$9:$E$1008,$I454-8)))</x:f>
      </x:c>
      <x:c r="F454" s="51" t="str">
        <x:f>IF(446&gt;$H$4,"",IF(INDEX('Fleet dates'!$F$9:$F$1008,$I454-8)="","",INDEX('Fleet dates'!$F$9:$F$1008,$I454-8)))</x:f>
      </x:c>
      <x:c r="G454" s="50" t="str">
        <x:f>IF(446&gt;$H$4,"",IF(INDEX('Fleet dates'!$G$9:$G$1008,$I454-8)="","",INDEX('Fleet dates'!$G$9:$G$1008,$I454-8)))</x:f>
      </x:c>
      <x:c r="H454" s="50" t="str">
        <x:f>IF(446&gt;$H$4,"",IF(INDEX('Fleet dates'!$I$9:$I$1008,$I454-8)="","",INDEX('Fleet dates'!$I$9:$I$1008,$I454-8)))</x:f>
      </x:c>
      <x:c r="I454" t="str">
        <x:f>IF(446&gt;$H$4,"",MATCH(446,'Fleet dates'!$L$9:$L$1008,0)+8)</x:f>
      </x:c>
    </x:row>
    <x:row r="455" ht="36" customHeight="1">
      <x:c r="A455" s="50" t="str">
        <x:f>IF(447&gt;$H$4,"",IF(INDEX('Fleet dates'!$A$9:$A$1008,$I455-8)="","",INDEX('Fleet dates'!$A$9:$A$1008,$I455-8)))</x:f>
      </x:c>
      <x:c r="B455" s="50" t="str">
        <x:f>IF(447&gt;$H$4,"",IF(INDEX('Fleet dates'!$B$9:$B$1008,$I455-8)="","",INDEX('Fleet dates'!$B$9:$B$1008,$I455-8)))</x:f>
      </x:c>
      <x:c r="C455" s="51" t="str">
        <x:f>IF(447&gt;$H$4,"",IF(INDEX('Fleet dates'!$C$9:$C$1008,$I455-8)="","",INDEX('Fleet dates'!$C$9:$C$1008,$I455-8)))</x:f>
      </x:c>
      <x:c r="D455" s="51" t="str">
        <x:f>IF(447&gt;$H$4,"",IF(INDEX('Fleet dates'!$D$9:$D$1008,$I455-8)="","",INDEX('Fleet dates'!$D$9:$D$1008,$I455-8)))</x:f>
      </x:c>
      <x:c r="E455" s="51" t="str">
        <x:f>IF(447&gt;$H$4,"",IF(INDEX('Fleet dates'!$E$9:$E$1008,$I455-8)="","",INDEX('Fleet dates'!$E$9:$E$1008,$I455-8)))</x:f>
      </x:c>
      <x:c r="F455" s="51" t="str">
        <x:f>IF(447&gt;$H$4,"",IF(INDEX('Fleet dates'!$F$9:$F$1008,$I455-8)="","",INDEX('Fleet dates'!$F$9:$F$1008,$I455-8)))</x:f>
      </x:c>
      <x:c r="G455" s="50" t="str">
        <x:f>IF(447&gt;$H$4,"",IF(INDEX('Fleet dates'!$G$9:$G$1008,$I455-8)="","",INDEX('Fleet dates'!$G$9:$G$1008,$I455-8)))</x:f>
      </x:c>
      <x:c r="H455" s="50" t="str">
        <x:f>IF(447&gt;$H$4,"",IF(INDEX('Fleet dates'!$I$9:$I$1008,$I455-8)="","",INDEX('Fleet dates'!$I$9:$I$1008,$I455-8)))</x:f>
      </x:c>
      <x:c r="I455" t="str">
        <x:f>IF(447&gt;$H$4,"",MATCH(447,'Fleet dates'!$L$9:$L$1008,0)+8)</x:f>
      </x:c>
    </x:row>
    <x:row r="456" ht="36" customHeight="1">
      <x:c r="A456" s="50" t="str">
        <x:f>IF(448&gt;$H$4,"",IF(INDEX('Fleet dates'!$A$9:$A$1008,$I456-8)="","",INDEX('Fleet dates'!$A$9:$A$1008,$I456-8)))</x:f>
      </x:c>
      <x:c r="B456" s="50" t="str">
        <x:f>IF(448&gt;$H$4,"",IF(INDEX('Fleet dates'!$B$9:$B$1008,$I456-8)="","",INDEX('Fleet dates'!$B$9:$B$1008,$I456-8)))</x:f>
      </x:c>
      <x:c r="C456" s="51" t="str">
        <x:f>IF(448&gt;$H$4,"",IF(INDEX('Fleet dates'!$C$9:$C$1008,$I456-8)="","",INDEX('Fleet dates'!$C$9:$C$1008,$I456-8)))</x:f>
      </x:c>
      <x:c r="D456" s="51" t="str">
        <x:f>IF(448&gt;$H$4,"",IF(INDEX('Fleet dates'!$D$9:$D$1008,$I456-8)="","",INDEX('Fleet dates'!$D$9:$D$1008,$I456-8)))</x:f>
      </x:c>
      <x:c r="E456" s="51" t="str">
        <x:f>IF(448&gt;$H$4,"",IF(INDEX('Fleet dates'!$E$9:$E$1008,$I456-8)="","",INDEX('Fleet dates'!$E$9:$E$1008,$I456-8)))</x:f>
      </x:c>
      <x:c r="F456" s="51" t="str">
        <x:f>IF(448&gt;$H$4,"",IF(INDEX('Fleet dates'!$F$9:$F$1008,$I456-8)="","",INDEX('Fleet dates'!$F$9:$F$1008,$I456-8)))</x:f>
      </x:c>
      <x:c r="G456" s="50" t="str">
        <x:f>IF(448&gt;$H$4,"",IF(INDEX('Fleet dates'!$G$9:$G$1008,$I456-8)="","",INDEX('Fleet dates'!$G$9:$G$1008,$I456-8)))</x:f>
      </x:c>
      <x:c r="H456" s="50" t="str">
        <x:f>IF(448&gt;$H$4,"",IF(INDEX('Fleet dates'!$I$9:$I$1008,$I456-8)="","",INDEX('Fleet dates'!$I$9:$I$1008,$I456-8)))</x:f>
      </x:c>
      <x:c r="I456" t="str">
        <x:f>IF(448&gt;$H$4,"",MATCH(448,'Fleet dates'!$L$9:$L$1008,0)+8)</x:f>
      </x:c>
    </x:row>
    <x:row r="457" ht="36" customHeight="1">
      <x:c r="A457" s="50" t="str">
        <x:f>IF(449&gt;$H$4,"",IF(INDEX('Fleet dates'!$A$9:$A$1008,$I457-8)="","",INDEX('Fleet dates'!$A$9:$A$1008,$I457-8)))</x:f>
      </x:c>
      <x:c r="B457" s="50" t="str">
        <x:f>IF(449&gt;$H$4,"",IF(INDEX('Fleet dates'!$B$9:$B$1008,$I457-8)="","",INDEX('Fleet dates'!$B$9:$B$1008,$I457-8)))</x:f>
      </x:c>
      <x:c r="C457" s="51" t="str">
        <x:f>IF(449&gt;$H$4,"",IF(INDEX('Fleet dates'!$C$9:$C$1008,$I457-8)="","",INDEX('Fleet dates'!$C$9:$C$1008,$I457-8)))</x:f>
      </x:c>
      <x:c r="D457" s="51" t="str">
        <x:f>IF(449&gt;$H$4,"",IF(INDEX('Fleet dates'!$D$9:$D$1008,$I457-8)="","",INDEX('Fleet dates'!$D$9:$D$1008,$I457-8)))</x:f>
      </x:c>
      <x:c r="E457" s="51" t="str">
        <x:f>IF(449&gt;$H$4,"",IF(INDEX('Fleet dates'!$E$9:$E$1008,$I457-8)="","",INDEX('Fleet dates'!$E$9:$E$1008,$I457-8)))</x:f>
      </x:c>
      <x:c r="F457" s="51" t="str">
        <x:f>IF(449&gt;$H$4,"",IF(INDEX('Fleet dates'!$F$9:$F$1008,$I457-8)="","",INDEX('Fleet dates'!$F$9:$F$1008,$I457-8)))</x:f>
      </x:c>
      <x:c r="G457" s="50" t="str">
        <x:f>IF(449&gt;$H$4,"",IF(INDEX('Fleet dates'!$G$9:$G$1008,$I457-8)="","",INDEX('Fleet dates'!$G$9:$G$1008,$I457-8)))</x:f>
      </x:c>
      <x:c r="H457" s="50" t="str">
        <x:f>IF(449&gt;$H$4,"",IF(INDEX('Fleet dates'!$I$9:$I$1008,$I457-8)="","",INDEX('Fleet dates'!$I$9:$I$1008,$I457-8)))</x:f>
      </x:c>
      <x:c r="I457" t="str">
        <x:f>IF(449&gt;$H$4,"",MATCH(449,'Fleet dates'!$L$9:$L$1008,0)+8)</x:f>
      </x:c>
    </x:row>
    <x:row r="458" ht="36" customHeight="1">
      <x:c r="A458" s="50" t="str">
        <x:f>IF(450&gt;$H$4,"",IF(INDEX('Fleet dates'!$A$9:$A$1008,$I458-8)="","",INDEX('Fleet dates'!$A$9:$A$1008,$I458-8)))</x:f>
      </x:c>
      <x:c r="B458" s="50" t="str">
        <x:f>IF(450&gt;$H$4,"",IF(INDEX('Fleet dates'!$B$9:$B$1008,$I458-8)="","",INDEX('Fleet dates'!$B$9:$B$1008,$I458-8)))</x:f>
      </x:c>
      <x:c r="C458" s="51" t="str">
        <x:f>IF(450&gt;$H$4,"",IF(INDEX('Fleet dates'!$C$9:$C$1008,$I458-8)="","",INDEX('Fleet dates'!$C$9:$C$1008,$I458-8)))</x:f>
      </x:c>
      <x:c r="D458" s="51" t="str">
        <x:f>IF(450&gt;$H$4,"",IF(INDEX('Fleet dates'!$D$9:$D$1008,$I458-8)="","",INDEX('Fleet dates'!$D$9:$D$1008,$I458-8)))</x:f>
      </x:c>
      <x:c r="E458" s="51" t="str">
        <x:f>IF(450&gt;$H$4,"",IF(INDEX('Fleet dates'!$E$9:$E$1008,$I458-8)="","",INDEX('Fleet dates'!$E$9:$E$1008,$I458-8)))</x:f>
      </x:c>
      <x:c r="F458" s="51" t="str">
        <x:f>IF(450&gt;$H$4,"",IF(INDEX('Fleet dates'!$F$9:$F$1008,$I458-8)="","",INDEX('Fleet dates'!$F$9:$F$1008,$I458-8)))</x:f>
      </x:c>
      <x:c r="G458" s="50" t="str">
        <x:f>IF(450&gt;$H$4,"",IF(INDEX('Fleet dates'!$G$9:$G$1008,$I458-8)="","",INDEX('Fleet dates'!$G$9:$G$1008,$I458-8)))</x:f>
      </x:c>
      <x:c r="H458" s="50" t="str">
        <x:f>IF(450&gt;$H$4,"",IF(INDEX('Fleet dates'!$I$9:$I$1008,$I458-8)="","",INDEX('Fleet dates'!$I$9:$I$1008,$I458-8)))</x:f>
      </x:c>
      <x:c r="I458" t="str">
        <x:f>IF(450&gt;$H$4,"",MATCH(450,'Fleet dates'!$L$9:$L$1008,0)+8)</x:f>
      </x:c>
    </x:row>
    <x:row r="459" ht="36" customHeight="1">
      <x:c r="A459" s="50" t="str">
        <x:f>IF(451&gt;$H$4,"",IF(INDEX('Fleet dates'!$A$9:$A$1008,$I459-8)="","",INDEX('Fleet dates'!$A$9:$A$1008,$I459-8)))</x:f>
      </x:c>
      <x:c r="B459" s="50" t="str">
        <x:f>IF(451&gt;$H$4,"",IF(INDEX('Fleet dates'!$B$9:$B$1008,$I459-8)="","",INDEX('Fleet dates'!$B$9:$B$1008,$I459-8)))</x:f>
      </x:c>
      <x:c r="C459" s="51" t="str">
        <x:f>IF(451&gt;$H$4,"",IF(INDEX('Fleet dates'!$C$9:$C$1008,$I459-8)="","",INDEX('Fleet dates'!$C$9:$C$1008,$I459-8)))</x:f>
      </x:c>
      <x:c r="D459" s="51" t="str">
        <x:f>IF(451&gt;$H$4,"",IF(INDEX('Fleet dates'!$D$9:$D$1008,$I459-8)="","",INDEX('Fleet dates'!$D$9:$D$1008,$I459-8)))</x:f>
      </x:c>
      <x:c r="E459" s="51" t="str">
        <x:f>IF(451&gt;$H$4,"",IF(INDEX('Fleet dates'!$E$9:$E$1008,$I459-8)="","",INDEX('Fleet dates'!$E$9:$E$1008,$I459-8)))</x:f>
      </x:c>
      <x:c r="F459" s="51" t="str">
        <x:f>IF(451&gt;$H$4,"",IF(INDEX('Fleet dates'!$F$9:$F$1008,$I459-8)="","",INDEX('Fleet dates'!$F$9:$F$1008,$I459-8)))</x:f>
      </x:c>
      <x:c r="G459" s="50" t="str">
        <x:f>IF(451&gt;$H$4,"",IF(INDEX('Fleet dates'!$G$9:$G$1008,$I459-8)="","",INDEX('Fleet dates'!$G$9:$G$1008,$I459-8)))</x:f>
      </x:c>
      <x:c r="H459" s="50" t="str">
        <x:f>IF(451&gt;$H$4,"",IF(INDEX('Fleet dates'!$I$9:$I$1008,$I459-8)="","",INDEX('Fleet dates'!$I$9:$I$1008,$I459-8)))</x:f>
      </x:c>
      <x:c r="I459" t="str">
        <x:f>IF(451&gt;$H$4,"",MATCH(451,'Fleet dates'!$L$9:$L$1008,0)+8)</x:f>
      </x:c>
    </x:row>
    <x:row r="460" ht="36" customHeight="1">
      <x:c r="A460" s="50" t="str">
        <x:f>IF(452&gt;$H$4,"",IF(INDEX('Fleet dates'!$A$9:$A$1008,$I460-8)="","",INDEX('Fleet dates'!$A$9:$A$1008,$I460-8)))</x:f>
      </x:c>
      <x:c r="B460" s="50" t="str">
        <x:f>IF(452&gt;$H$4,"",IF(INDEX('Fleet dates'!$B$9:$B$1008,$I460-8)="","",INDEX('Fleet dates'!$B$9:$B$1008,$I460-8)))</x:f>
      </x:c>
      <x:c r="C460" s="51" t="str">
        <x:f>IF(452&gt;$H$4,"",IF(INDEX('Fleet dates'!$C$9:$C$1008,$I460-8)="","",INDEX('Fleet dates'!$C$9:$C$1008,$I460-8)))</x:f>
      </x:c>
      <x:c r="D460" s="51" t="str">
        <x:f>IF(452&gt;$H$4,"",IF(INDEX('Fleet dates'!$D$9:$D$1008,$I460-8)="","",INDEX('Fleet dates'!$D$9:$D$1008,$I460-8)))</x:f>
      </x:c>
      <x:c r="E460" s="51" t="str">
        <x:f>IF(452&gt;$H$4,"",IF(INDEX('Fleet dates'!$E$9:$E$1008,$I460-8)="","",INDEX('Fleet dates'!$E$9:$E$1008,$I460-8)))</x:f>
      </x:c>
      <x:c r="F460" s="51" t="str">
        <x:f>IF(452&gt;$H$4,"",IF(INDEX('Fleet dates'!$F$9:$F$1008,$I460-8)="","",INDEX('Fleet dates'!$F$9:$F$1008,$I460-8)))</x:f>
      </x:c>
      <x:c r="G460" s="50" t="str">
        <x:f>IF(452&gt;$H$4,"",IF(INDEX('Fleet dates'!$G$9:$G$1008,$I460-8)="","",INDEX('Fleet dates'!$G$9:$G$1008,$I460-8)))</x:f>
      </x:c>
      <x:c r="H460" s="50" t="str">
        <x:f>IF(452&gt;$H$4,"",IF(INDEX('Fleet dates'!$I$9:$I$1008,$I460-8)="","",INDEX('Fleet dates'!$I$9:$I$1008,$I460-8)))</x:f>
      </x:c>
      <x:c r="I460" t="str">
        <x:f>IF(452&gt;$H$4,"",MATCH(452,'Fleet dates'!$L$9:$L$1008,0)+8)</x:f>
      </x:c>
    </x:row>
    <x:row r="461" ht="36" customHeight="1">
      <x:c r="A461" s="50" t="str">
        <x:f>IF(453&gt;$H$4,"",IF(INDEX('Fleet dates'!$A$9:$A$1008,$I461-8)="","",INDEX('Fleet dates'!$A$9:$A$1008,$I461-8)))</x:f>
      </x:c>
      <x:c r="B461" s="50" t="str">
        <x:f>IF(453&gt;$H$4,"",IF(INDEX('Fleet dates'!$B$9:$B$1008,$I461-8)="","",INDEX('Fleet dates'!$B$9:$B$1008,$I461-8)))</x:f>
      </x:c>
      <x:c r="C461" s="51" t="str">
        <x:f>IF(453&gt;$H$4,"",IF(INDEX('Fleet dates'!$C$9:$C$1008,$I461-8)="","",INDEX('Fleet dates'!$C$9:$C$1008,$I461-8)))</x:f>
      </x:c>
      <x:c r="D461" s="51" t="str">
        <x:f>IF(453&gt;$H$4,"",IF(INDEX('Fleet dates'!$D$9:$D$1008,$I461-8)="","",INDEX('Fleet dates'!$D$9:$D$1008,$I461-8)))</x:f>
      </x:c>
      <x:c r="E461" s="51" t="str">
        <x:f>IF(453&gt;$H$4,"",IF(INDEX('Fleet dates'!$E$9:$E$1008,$I461-8)="","",INDEX('Fleet dates'!$E$9:$E$1008,$I461-8)))</x:f>
      </x:c>
      <x:c r="F461" s="51" t="str">
        <x:f>IF(453&gt;$H$4,"",IF(INDEX('Fleet dates'!$F$9:$F$1008,$I461-8)="","",INDEX('Fleet dates'!$F$9:$F$1008,$I461-8)))</x:f>
      </x:c>
      <x:c r="G461" s="50" t="str">
        <x:f>IF(453&gt;$H$4,"",IF(INDEX('Fleet dates'!$G$9:$G$1008,$I461-8)="","",INDEX('Fleet dates'!$G$9:$G$1008,$I461-8)))</x:f>
      </x:c>
      <x:c r="H461" s="50" t="str">
        <x:f>IF(453&gt;$H$4,"",IF(INDEX('Fleet dates'!$I$9:$I$1008,$I461-8)="","",INDEX('Fleet dates'!$I$9:$I$1008,$I461-8)))</x:f>
      </x:c>
      <x:c r="I461" t="str">
        <x:f>IF(453&gt;$H$4,"",MATCH(453,'Fleet dates'!$L$9:$L$1008,0)+8)</x:f>
      </x:c>
    </x:row>
    <x:row r="462" ht="36" customHeight="1">
      <x:c r="A462" s="50" t="str">
        <x:f>IF(454&gt;$H$4,"",IF(INDEX('Fleet dates'!$A$9:$A$1008,$I462-8)="","",INDEX('Fleet dates'!$A$9:$A$1008,$I462-8)))</x:f>
      </x:c>
      <x:c r="B462" s="50" t="str">
        <x:f>IF(454&gt;$H$4,"",IF(INDEX('Fleet dates'!$B$9:$B$1008,$I462-8)="","",INDEX('Fleet dates'!$B$9:$B$1008,$I462-8)))</x:f>
      </x:c>
      <x:c r="C462" s="51" t="str">
        <x:f>IF(454&gt;$H$4,"",IF(INDEX('Fleet dates'!$C$9:$C$1008,$I462-8)="","",INDEX('Fleet dates'!$C$9:$C$1008,$I462-8)))</x:f>
      </x:c>
      <x:c r="D462" s="51" t="str">
        <x:f>IF(454&gt;$H$4,"",IF(INDEX('Fleet dates'!$D$9:$D$1008,$I462-8)="","",INDEX('Fleet dates'!$D$9:$D$1008,$I462-8)))</x:f>
      </x:c>
      <x:c r="E462" s="51" t="str">
        <x:f>IF(454&gt;$H$4,"",IF(INDEX('Fleet dates'!$E$9:$E$1008,$I462-8)="","",INDEX('Fleet dates'!$E$9:$E$1008,$I462-8)))</x:f>
      </x:c>
      <x:c r="F462" s="51" t="str">
        <x:f>IF(454&gt;$H$4,"",IF(INDEX('Fleet dates'!$F$9:$F$1008,$I462-8)="","",INDEX('Fleet dates'!$F$9:$F$1008,$I462-8)))</x:f>
      </x:c>
      <x:c r="G462" s="50" t="str">
        <x:f>IF(454&gt;$H$4,"",IF(INDEX('Fleet dates'!$G$9:$G$1008,$I462-8)="","",INDEX('Fleet dates'!$G$9:$G$1008,$I462-8)))</x:f>
      </x:c>
      <x:c r="H462" s="50" t="str">
        <x:f>IF(454&gt;$H$4,"",IF(INDEX('Fleet dates'!$I$9:$I$1008,$I462-8)="","",INDEX('Fleet dates'!$I$9:$I$1008,$I462-8)))</x:f>
      </x:c>
      <x:c r="I462" t="str">
        <x:f>IF(454&gt;$H$4,"",MATCH(454,'Fleet dates'!$L$9:$L$1008,0)+8)</x:f>
      </x:c>
    </x:row>
    <x:row r="463" ht="36" customHeight="1">
      <x:c r="A463" s="50" t="str">
        <x:f>IF(455&gt;$H$4,"",IF(INDEX('Fleet dates'!$A$9:$A$1008,$I463-8)="","",INDEX('Fleet dates'!$A$9:$A$1008,$I463-8)))</x:f>
      </x:c>
      <x:c r="B463" s="50" t="str">
        <x:f>IF(455&gt;$H$4,"",IF(INDEX('Fleet dates'!$B$9:$B$1008,$I463-8)="","",INDEX('Fleet dates'!$B$9:$B$1008,$I463-8)))</x:f>
      </x:c>
      <x:c r="C463" s="51" t="str">
        <x:f>IF(455&gt;$H$4,"",IF(INDEX('Fleet dates'!$C$9:$C$1008,$I463-8)="","",INDEX('Fleet dates'!$C$9:$C$1008,$I463-8)))</x:f>
      </x:c>
      <x:c r="D463" s="51" t="str">
        <x:f>IF(455&gt;$H$4,"",IF(INDEX('Fleet dates'!$D$9:$D$1008,$I463-8)="","",INDEX('Fleet dates'!$D$9:$D$1008,$I463-8)))</x:f>
      </x:c>
      <x:c r="E463" s="51" t="str">
        <x:f>IF(455&gt;$H$4,"",IF(INDEX('Fleet dates'!$E$9:$E$1008,$I463-8)="","",INDEX('Fleet dates'!$E$9:$E$1008,$I463-8)))</x:f>
      </x:c>
      <x:c r="F463" s="51" t="str">
        <x:f>IF(455&gt;$H$4,"",IF(INDEX('Fleet dates'!$F$9:$F$1008,$I463-8)="","",INDEX('Fleet dates'!$F$9:$F$1008,$I463-8)))</x:f>
      </x:c>
      <x:c r="G463" s="50" t="str">
        <x:f>IF(455&gt;$H$4,"",IF(INDEX('Fleet dates'!$G$9:$G$1008,$I463-8)="","",INDEX('Fleet dates'!$G$9:$G$1008,$I463-8)))</x:f>
      </x:c>
      <x:c r="H463" s="50" t="str">
        <x:f>IF(455&gt;$H$4,"",IF(INDEX('Fleet dates'!$I$9:$I$1008,$I463-8)="","",INDEX('Fleet dates'!$I$9:$I$1008,$I463-8)))</x:f>
      </x:c>
      <x:c r="I463" t="str">
        <x:f>IF(455&gt;$H$4,"",MATCH(455,'Fleet dates'!$L$9:$L$1008,0)+8)</x:f>
      </x:c>
    </x:row>
    <x:row r="464" ht="36" customHeight="1">
      <x:c r="A464" s="50" t="str">
        <x:f>IF(456&gt;$H$4,"",IF(INDEX('Fleet dates'!$A$9:$A$1008,$I464-8)="","",INDEX('Fleet dates'!$A$9:$A$1008,$I464-8)))</x:f>
      </x:c>
      <x:c r="B464" s="50" t="str">
        <x:f>IF(456&gt;$H$4,"",IF(INDEX('Fleet dates'!$B$9:$B$1008,$I464-8)="","",INDEX('Fleet dates'!$B$9:$B$1008,$I464-8)))</x:f>
      </x:c>
      <x:c r="C464" s="51" t="str">
        <x:f>IF(456&gt;$H$4,"",IF(INDEX('Fleet dates'!$C$9:$C$1008,$I464-8)="","",INDEX('Fleet dates'!$C$9:$C$1008,$I464-8)))</x:f>
      </x:c>
      <x:c r="D464" s="51" t="str">
        <x:f>IF(456&gt;$H$4,"",IF(INDEX('Fleet dates'!$D$9:$D$1008,$I464-8)="","",INDEX('Fleet dates'!$D$9:$D$1008,$I464-8)))</x:f>
      </x:c>
      <x:c r="E464" s="51" t="str">
        <x:f>IF(456&gt;$H$4,"",IF(INDEX('Fleet dates'!$E$9:$E$1008,$I464-8)="","",INDEX('Fleet dates'!$E$9:$E$1008,$I464-8)))</x:f>
      </x:c>
      <x:c r="F464" s="51" t="str">
        <x:f>IF(456&gt;$H$4,"",IF(INDEX('Fleet dates'!$F$9:$F$1008,$I464-8)="","",INDEX('Fleet dates'!$F$9:$F$1008,$I464-8)))</x:f>
      </x:c>
      <x:c r="G464" s="50" t="str">
        <x:f>IF(456&gt;$H$4,"",IF(INDEX('Fleet dates'!$G$9:$G$1008,$I464-8)="","",INDEX('Fleet dates'!$G$9:$G$1008,$I464-8)))</x:f>
      </x:c>
      <x:c r="H464" s="50" t="str">
        <x:f>IF(456&gt;$H$4,"",IF(INDEX('Fleet dates'!$I$9:$I$1008,$I464-8)="","",INDEX('Fleet dates'!$I$9:$I$1008,$I464-8)))</x:f>
      </x:c>
      <x:c r="I464" t="str">
        <x:f>IF(456&gt;$H$4,"",MATCH(456,'Fleet dates'!$L$9:$L$1008,0)+8)</x:f>
      </x:c>
    </x:row>
    <x:row r="465" ht="36" customHeight="1">
      <x:c r="A465" s="50" t="str">
        <x:f>IF(457&gt;$H$4,"",IF(INDEX('Fleet dates'!$A$9:$A$1008,$I465-8)="","",INDEX('Fleet dates'!$A$9:$A$1008,$I465-8)))</x:f>
      </x:c>
      <x:c r="B465" s="50" t="str">
        <x:f>IF(457&gt;$H$4,"",IF(INDEX('Fleet dates'!$B$9:$B$1008,$I465-8)="","",INDEX('Fleet dates'!$B$9:$B$1008,$I465-8)))</x:f>
      </x:c>
      <x:c r="C465" s="51" t="str">
        <x:f>IF(457&gt;$H$4,"",IF(INDEX('Fleet dates'!$C$9:$C$1008,$I465-8)="","",INDEX('Fleet dates'!$C$9:$C$1008,$I465-8)))</x:f>
      </x:c>
      <x:c r="D465" s="51" t="str">
        <x:f>IF(457&gt;$H$4,"",IF(INDEX('Fleet dates'!$D$9:$D$1008,$I465-8)="","",INDEX('Fleet dates'!$D$9:$D$1008,$I465-8)))</x:f>
      </x:c>
      <x:c r="E465" s="51" t="str">
        <x:f>IF(457&gt;$H$4,"",IF(INDEX('Fleet dates'!$E$9:$E$1008,$I465-8)="","",INDEX('Fleet dates'!$E$9:$E$1008,$I465-8)))</x:f>
      </x:c>
      <x:c r="F465" s="51" t="str">
        <x:f>IF(457&gt;$H$4,"",IF(INDEX('Fleet dates'!$F$9:$F$1008,$I465-8)="","",INDEX('Fleet dates'!$F$9:$F$1008,$I465-8)))</x:f>
      </x:c>
      <x:c r="G465" s="50" t="str">
        <x:f>IF(457&gt;$H$4,"",IF(INDEX('Fleet dates'!$G$9:$G$1008,$I465-8)="","",INDEX('Fleet dates'!$G$9:$G$1008,$I465-8)))</x:f>
      </x:c>
      <x:c r="H465" s="50" t="str">
        <x:f>IF(457&gt;$H$4,"",IF(INDEX('Fleet dates'!$I$9:$I$1008,$I465-8)="","",INDEX('Fleet dates'!$I$9:$I$1008,$I465-8)))</x:f>
      </x:c>
      <x:c r="I465" t="str">
        <x:f>IF(457&gt;$H$4,"",MATCH(457,'Fleet dates'!$L$9:$L$1008,0)+8)</x:f>
      </x:c>
    </x:row>
    <x:row r="466" ht="36" customHeight="1">
      <x:c r="A466" s="50" t="str">
        <x:f>IF(458&gt;$H$4,"",IF(INDEX('Fleet dates'!$A$9:$A$1008,$I466-8)="","",INDEX('Fleet dates'!$A$9:$A$1008,$I466-8)))</x:f>
      </x:c>
      <x:c r="B466" s="50" t="str">
        <x:f>IF(458&gt;$H$4,"",IF(INDEX('Fleet dates'!$B$9:$B$1008,$I466-8)="","",INDEX('Fleet dates'!$B$9:$B$1008,$I466-8)))</x:f>
      </x:c>
      <x:c r="C466" s="51" t="str">
        <x:f>IF(458&gt;$H$4,"",IF(INDEX('Fleet dates'!$C$9:$C$1008,$I466-8)="","",INDEX('Fleet dates'!$C$9:$C$1008,$I466-8)))</x:f>
      </x:c>
      <x:c r="D466" s="51" t="str">
        <x:f>IF(458&gt;$H$4,"",IF(INDEX('Fleet dates'!$D$9:$D$1008,$I466-8)="","",INDEX('Fleet dates'!$D$9:$D$1008,$I466-8)))</x:f>
      </x:c>
      <x:c r="E466" s="51" t="str">
        <x:f>IF(458&gt;$H$4,"",IF(INDEX('Fleet dates'!$E$9:$E$1008,$I466-8)="","",INDEX('Fleet dates'!$E$9:$E$1008,$I466-8)))</x:f>
      </x:c>
      <x:c r="F466" s="51" t="str">
        <x:f>IF(458&gt;$H$4,"",IF(INDEX('Fleet dates'!$F$9:$F$1008,$I466-8)="","",INDEX('Fleet dates'!$F$9:$F$1008,$I466-8)))</x:f>
      </x:c>
      <x:c r="G466" s="50" t="str">
        <x:f>IF(458&gt;$H$4,"",IF(INDEX('Fleet dates'!$G$9:$G$1008,$I466-8)="","",INDEX('Fleet dates'!$G$9:$G$1008,$I466-8)))</x:f>
      </x:c>
      <x:c r="H466" s="50" t="str">
        <x:f>IF(458&gt;$H$4,"",IF(INDEX('Fleet dates'!$I$9:$I$1008,$I466-8)="","",INDEX('Fleet dates'!$I$9:$I$1008,$I466-8)))</x:f>
      </x:c>
      <x:c r="I466" t="str">
        <x:f>IF(458&gt;$H$4,"",MATCH(458,'Fleet dates'!$L$9:$L$1008,0)+8)</x:f>
      </x:c>
    </x:row>
    <x:row r="467" ht="36" customHeight="1">
      <x:c r="A467" s="50" t="str">
        <x:f>IF(459&gt;$H$4,"",IF(INDEX('Fleet dates'!$A$9:$A$1008,$I467-8)="","",INDEX('Fleet dates'!$A$9:$A$1008,$I467-8)))</x:f>
      </x:c>
      <x:c r="B467" s="50" t="str">
        <x:f>IF(459&gt;$H$4,"",IF(INDEX('Fleet dates'!$B$9:$B$1008,$I467-8)="","",INDEX('Fleet dates'!$B$9:$B$1008,$I467-8)))</x:f>
      </x:c>
      <x:c r="C467" s="51" t="str">
        <x:f>IF(459&gt;$H$4,"",IF(INDEX('Fleet dates'!$C$9:$C$1008,$I467-8)="","",INDEX('Fleet dates'!$C$9:$C$1008,$I467-8)))</x:f>
      </x:c>
      <x:c r="D467" s="51" t="str">
        <x:f>IF(459&gt;$H$4,"",IF(INDEX('Fleet dates'!$D$9:$D$1008,$I467-8)="","",INDEX('Fleet dates'!$D$9:$D$1008,$I467-8)))</x:f>
      </x:c>
      <x:c r="E467" s="51" t="str">
        <x:f>IF(459&gt;$H$4,"",IF(INDEX('Fleet dates'!$E$9:$E$1008,$I467-8)="","",INDEX('Fleet dates'!$E$9:$E$1008,$I467-8)))</x:f>
      </x:c>
      <x:c r="F467" s="51" t="str">
        <x:f>IF(459&gt;$H$4,"",IF(INDEX('Fleet dates'!$F$9:$F$1008,$I467-8)="","",INDEX('Fleet dates'!$F$9:$F$1008,$I467-8)))</x:f>
      </x:c>
      <x:c r="G467" s="50" t="str">
        <x:f>IF(459&gt;$H$4,"",IF(INDEX('Fleet dates'!$G$9:$G$1008,$I467-8)="","",INDEX('Fleet dates'!$G$9:$G$1008,$I467-8)))</x:f>
      </x:c>
      <x:c r="H467" s="50" t="str">
        <x:f>IF(459&gt;$H$4,"",IF(INDEX('Fleet dates'!$I$9:$I$1008,$I467-8)="","",INDEX('Fleet dates'!$I$9:$I$1008,$I467-8)))</x:f>
      </x:c>
      <x:c r="I467" t="str">
        <x:f>IF(459&gt;$H$4,"",MATCH(459,'Fleet dates'!$L$9:$L$1008,0)+8)</x:f>
      </x:c>
    </x:row>
    <x:row r="468" ht="36" customHeight="1">
      <x:c r="A468" s="50" t="str">
        <x:f>IF(460&gt;$H$4,"",IF(INDEX('Fleet dates'!$A$9:$A$1008,$I468-8)="","",INDEX('Fleet dates'!$A$9:$A$1008,$I468-8)))</x:f>
      </x:c>
      <x:c r="B468" s="50" t="str">
        <x:f>IF(460&gt;$H$4,"",IF(INDEX('Fleet dates'!$B$9:$B$1008,$I468-8)="","",INDEX('Fleet dates'!$B$9:$B$1008,$I468-8)))</x:f>
      </x:c>
      <x:c r="C468" s="51" t="str">
        <x:f>IF(460&gt;$H$4,"",IF(INDEX('Fleet dates'!$C$9:$C$1008,$I468-8)="","",INDEX('Fleet dates'!$C$9:$C$1008,$I468-8)))</x:f>
      </x:c>
      <x:c r="D468" s="51" t="str">
        <x:f>IF(460&gt;$H$4,"",IF(INDEX('Fleet dates'!$D$9:$D$1008,$I468-8)="","",INDEX('Fleet dates'!$D$9:$D$1008,$I468-8)))</x:f>
      </x:c>
      <x:c r="E468" s="51" t="str">
        <x:f>IF(460&gt;$H$4,"",IF(INDEX('Fleet dates'!$E$9:$E$1008,$I468-8)="","",INDEX('Fleet dates'!$E$9:$E$1008,$I468-8)))</x:f>
      </x:c>
      <x:c r="F468" s="51" t="str">
        <x:f>IF(460&gt;$H$4,"",IF(INDEX('Fleet dates'!$F$9:$F$1008,$I468-8)="","",INDEX('Fleet dates'!$F$9:$F$1008,$I468-8)))</x:f>
      </x:c>
      <x:c r="G468" s="50" t="str">
        <x:f>IF(460&gt;$H$4,"",IF(INDEX('Fleet dates'!$G$9:$G$1008,$I468-8)="","",INDEX('Fleet dates'!$G$9:$G$1008,$I468-8)))</x:f>
      </x:c>
      <x:c r="H468" s="50" t="str">
        <x:f>IF(460&gt;$H$4,"",IF(INDEX('Fleet dates'!$I$9:$I$1008,$I468-8)="","",INDEX('Fleet dates'!$I$9:$I$1008,$I468-8)))</x:f>
      </x:c>
      <x:c r="I468" t="str">
        <x:f>IF(460&gt;$H$4,"",MATCH(460,'Fleet dates'!$L$9:$L$1008,0)+8)</x:f>
      </x:c>
    </x:row>
    <x:row r="469" ht="36" customHeight="1">
      <x:c r="A469" s="50" t="str">
        <x:f>IF(461&gt;$H$4,"",IF(INDEX('Fleet dates'!$A$9:$A$1008,$I469-8)="","",INDEX('Fleet dates'!$A$9:$A$1008,$I469-8)))</x:f>
      </x:c>
      <x:c r="B469" s="50" t="str">
        <x:f>IF(461&gt;$H$4,"",IF(INDEX('Fleet dates'!$B$9:$B$1008,$I469-8)="","",INDEX('Fleet dates'!$B$9:$B$1008,$I469-8)))</x:f>
      </x:c>
      <x:c r="C469" s="51" t="str">
        <x:f>IF(461&gt;$H$4,"",IF(INDEX('Fleet dates'!$C$9:$C$1008,$I469-8)="","",INDEX('Fleet dates'!$C$9:$C$1008,$I469-8)))</x:f>
      </x:c>
      <x:c r="D469" s="51" t="str">
        <x:f>IF(461&gt;$H$4,"",IF(INDEX('Fleet dates'!$D$9:$D$1008,$I469-8)="","",INDEX('Fleet dates'!$D$9:$D$1008,$I469-8)))</x:f>
      </x:c>
      <x:c r="E469" s="51" t="str">
        <x:f>IF(461&gt;$H$4,"",IF(INDEX('Fleet dates'!$E$9:$E$1008,$I469-8)="","",INDEX('Fleet dates'!$E$9:$E$1008,$I469-8)))</x:f>
      </x:c>
      <x:c r="F469" s="51" t="str">
        <x:f>IF(461&gt;$H$4,"",IF(INDEX('Fleet dates'!$F$9:$F$1008,$I469-8)="","",INDEX('Fleet dates'!$F$9:$F$1008,$I469-8)))</x:f>
      </x:c>
      <x:c r="G469" s="50" t="str">
        <x:f>IF(461&gt;$H$4,"",IF(INDEX('Fleet dates'!$G$9:$G$1008,$I469-8)="","",INDEX('Fleet dates'!$G$9:$G$1008,$I469-8)))</x:f>
      </x:c>
      <x:c r="H469" s="50" t="str">
        <x:f>IF(461&gt;$H$4,"",IF(INDEX('Fleet dates'!$I$9:$I$1008,$I469-8)="","",INDEX('Fleet dates'!$I$9:$I$1008,$I469-8)))</x:f>
      </x:c>
      <x:c r="I469" t="str">
        <x:f>IF(461&gt;$H$4,"",MATCH(461,'Fleet dates'!$L$9:$L$1008,0)+8)</x:f>
      </x:c>
    </x:row>
    <x:row r="470" ht="36" customHeight="1">
      <x:c r="A470" s="50" t="str">
        <x:f>IF(462&gt;$H$4,"",IF(INDEX('Fleet dates'!$A$9:$A$1008,$I470-8)="","",INDEX('Fleet dates'!$A$9:$A$1008,$I470-8)))</x:f>
      </x:c>
      <x:c r="B470" s="50" t="str">
        <x:f>IF(462&gt;$H$4,"",IF(INDEX('Fleet dates'!$B$9:$B$1008,$I470-8)="","",INDEX('Fleet dates'!$B$9:$B$1008,$I470-8)))</x:f>
      </x:c>
      <x:c r="C470" s="51" t="str">
        <x:f>IF(462&gt;$H$4,"",IF(INDEX('Fleet dates'!$C$9:$C$1008,$I470-8)="","",INDEX('Fleet dates'!$C$9:$C$1008,$I470-8)))</x:f>
      </x:c>
      <x:c r="D470" s="51" t="str">
        <x:f>IF(462&gt;$H$4,"",IF(INDEX('Fleet dates'!$D$9:$D$1008,$I470-8)="","",INDEX('Fleet dates'!$D$9:$D$1008,$I470-8)))</x:f>
      </x:c>
      <x:c r="E470" s="51" t="str">
        <x:f>IF(462&gt;$H$4,"",IF(INDEX('Fleet dates'!$E$9:$E$1008,$I470-8)="","",INDEX('Fleet dates'!$E$9:$E$1008,$I470-8)))</x:f>
      </x:c>
      <x:c r="F470" s="51" t="str">
        <x:f>IF(462&gt;$H$4,"",IF(INDEX('Fleet dates'!$F$9:$F$1008,$I470-8)="","",INDEX('Fleet dates'!$F$9:$F$1008,$I470-8)))</x:f>
      </x:c>
      <x:c r="G470" s="50" t="str">
        <x:f>IF(462&gt;$H$4,"",IF(INDEX('Fleet dates'!$G$9:$G$1008,$I470-8)="","",INDEX('Fleet dates'!$G$9:$G$1008,$I470-8)))</x:f>
      </x:c>
      <x:c r="H470" s="50" t="str">
        <x:f>IF(462&gt;$H$4,"",IF(INDEX('Fleet dates'!$I$9:$I$1008,$I470-8)="","",INDEX('Fleet dates'!$I$9:$I$1008,$I470-8)))</x:f>
      </x:c>
      <x:c r="I470" t="str">
        <x:f>IF(462&gt;$H$4,"",MATCH(462,'Fleet dates'!$L$9:$L$1008,0)+8)</x:f>
      </x:c>
    </x:row>
    <x:row r="471" ht="36" customHeight="1">
      <x:c r="A471" s="50" t="str">
        <x:f>IF(463&gt;$H$4,"",IF(INDEX('Fleet dates'!$A$9:$A$1008,$I471-8)="","",INDEX('Fleet dates'!$A$9:$A$1008,$I471-8)))</x:f>
      </x:c>
      <x:c r="B471" s="50" t="str">
        <x:f>IF(463&gt;$H$4,"",IF(INDEX('Fleet dates'!$B$9:$B$1008,$I471-8)="","",INDEX('Fleet dates'!$B$9:$B$1008,$I471-8)))</x:f>
      </x:c>
      <x:c r="C471" s="51" t="str">
        <x:f>IF(463&gt;$H$4,"",IF(INDEX('Fleet dates'!$C$9:$C$1008,$I471-8)="","",INDEX('Fleet dates'!$C$9:$C$1008,$I471-8)))</x:f>
      </x:c>
      <x:c r="D471" s="51" t="str">
        <x:f>IF(463&gt;$H$4,"",IF(INDEX('Fleet dates'!$D$9:$D$1008,$I471-8)="","",INDEX('Fleet dates'!$D$9:$D$1008,$I471-8)))</x:f>
      </x:c>
      <x:c r="E471" s="51" t="str">
        <x:f>IF(463&gt;$H$4,"",IF(INDEX('Fleet dates'!$E$9:$E$1008,$I471-8)="","",INDEX('Fleet dates'!$E$9:$E$1008,$I471-8)))</x:f>
      </x:c>
      <x:c r="F471" s="51" t="str">
        <x:f>IF(463&gt;$H$4,"",IF(INDEX('Fleet dates'!$F$9:$F$1008,$I471-8)="","",INDEX('Fleet dates'!$F$9:$F$1008,$I471-8)))</x:f>
      </x:c>
      <x:c r="G471" s="50" t="str">
        <x:f>IF(463&gt;$H$4,"",IF(INDEX('Fleet dates'!$G$9:$G$1008,$I471-8)="","",INDEX('Fleet dates'!$G$9:$G$1008,$I471-8)))</x:f>
      </x:c>
      <x:c r="H471" s="50" t="str">
        <x:f>IF(463&gt;$H$4,"",IF(INDEX('Fleet dates'!$I$9:$I$1008,$I471-8)="","",INDEX('Fleet dates'!$I$9:$I$1008,$I471-8)))</x:f>
      </x:c>
      <x:c r="I471" t="str">
        <x:f>IF(463&gt;$H$4,"",MATCH(463,'Fleet dates'!$L$9:$L$1008,0)+8)</x:f>
      </x:c>
    </x:row>
    <x:row r="472" ht="36" customHeight="1">
      <x:c r="A472" s="50" t="str">
        <x:f>IF(464&gt;$H$4,"",IF(INDEX('Fleet dates'!$A$9:$A$1008,$I472-8)="","",INDEX('Fleet dates'!$A$9:$A$1008,$I472-8)))</x:f>
      </x:c>
      <x:c r="B472" s="50" t="str">
        <x:f>IF(464&gt;$H$4,"",IF(INDEX('Fleet dates'!$B$9:$B$1008,$I472-8)="","",INDEX('Fleet dates'!$B$9:$B$1008,$I472-8)))</x:f>
      </x:c>
      <x:c r="C472" s="51" t="str">
        <x:f>IF(464&gt;$H$4,"",IF(INDEX('Fleet dates'!$C$9:$C$1008,$I472-8)="","",INDEX('Fleet dates'!$C$9:$C$1008,$I472-8)))</x:f>
      </x:c>
      <x:c r="D472" s="51" t="str">
        <x:f>IF(464&gt;$H$4,"",IF(INDEX('Fleet dates'!$D$9:$D$1008,$I472-8)="","",INDEX('Fleet dates'!$D$9:$D$1008,$I472-8)))</x:f>
      </x:c>
      <x:c r="E472" s="51" t="str">
        <x:f>IF(464&gt;$H$4,"",IF(INDEX('Fleet dates'!$E$9:$E$1008,$I472-8)="","",INDEX('Fleet dates'!$E$9:$E$1008,$I472-8)))</x:f>
      </x:c>
      <x:c r="F472" s="51" t="str">
        <x:f>IF(464&gt;$H$4,"",IF(INDEX('Fleet dates'!$F$9:$F$1008,$I472-8)="","",INDEX('Fleet dates'!$F$9:$F$1008,$I472-8)))</x:f>
      </x:c>
      <x:c r="G472" s="50" t="str">
        <x:f>IF(464&gt;$H$4,"",IF(INDEX('Fleet dates'!$G$9:$G$1008,$I472-8)="","",INDEX('Fleet dates'!$G$9:$G$1008,$I472-8)))</x:f>
      </x:c>
      <x:c r="H472" s="50" t="str">
        <x:f>IF(464&gt;$H$4,"",IF(INDEX('Fleet dates'!$I$9:$I$1008,$I472-8)="","",INDEX('Fleet dates'!$I$9:$I$1008,$I472-8)))</x:f>
      </x:c>
      <x:c r="I472" t="str">
        <x:f>IF(464&gt;$H$4,"",MATCH(464,'Fleet dates'!$L$9:$L$1008,0)+8)</x:f>
      </x:c>
    </x:row>
    <x:row r="473" ht="36" customHeight="1">
      <x:c r="A473" s="50" t="str">
        <x:f>IF(465&gt;$H$4,"",IF(INDEX('Fleet dates'!$A$9:$A$1008,$I473-8)="","",INDEX('Fleet dates'!$A$9:$A$1008,$I473-8)))</x:f>
      </x:c>
      <x:c r="B473" s="50" t="str">
        <x:f>IF(465&gt;$H$4,"",IF(INDEX('Fleet dates'!$B$9:$B$1008,$I473-8)="","",INDEX('Fleet dates'!$B$9:$B$1008,$I473-8)))</x:f>
      </x:c>
      <x:c r="C473" s="51" t="str">
        <x:f>IF(465&gt;$H$4,"",IF(INDEX('Fleet dates'!$C$9:$C$1008,$I473-8)="","",INDEX('Fleet dates'!$C$9:$C$1008,$I473-8)))</x:f>
      </x:c>
      <x:c r="D473" s="51" t="str">
        <x:f>IF(465&gt;$H$4,"",IF(INDEX('Fleet dates'!$D$9:$D$1008,$I473-8)="","",INDEX('Fleet dates'!$D$9:$D$1008,$I473-8)))</x:f>
      </x:c>
      <x:c r="E473" s="51" t="str">
        <x:f>IF(465&gt;$H$4,"",IF(INDEX('Fleet dates'!$E$9:$E$1008,$I473-8)="","",INDEX('Fleet dates'!$E$9:$E$1008,$I473-8)))</x:f>
      </x:c>
      <x:c r="F473" s="51" t="str">
        <x:f>IF(465&gt;$H$4,"",IF(INDEX('Fleet dates'!$F$9:$F$1008,$I473-8)="","",INDEX('Fleet dates'!$F$9:$F$1008,$I473-8)))</x:f>
      </x:c>
      <x:c r="G473" s="50" t="str">
        <x:f>IF(465&gt;$H$4,"",IF(INDEX('Fleet dates'!$G$9:$G$1008,$I473-8)="","",INDEX('Fleet dates'!$G$9:$G$1008,$I473-8)))</x:f>
      </x:c>
      <x:c r="H473" s="50" t="str">
        <x:f>IF(465&gt;$H$4,"",IF(INDEX('Fleet dates'!$I$9:$I$1008,$I473-8)="","",INDEX('Fleet dates'!$I$9:$I$1008,$I473-8)))</x:f>
      </x:c>
      <x:c r="I473" t="str">
        <x:f>IF(465&gt;$H$4,"",MATCH(465,'Fleet dates'!$L$9:$L$1008,0)+8)</x:f>
      </x:c>
    </x:row>
    <x:row r="474" ht="36" customHeight="1">
      <x:c r="A474" s="50" t="str">
        <x:f>IF(466&gt;$H$4,"",IF(INDEX('Fleet dates'!$A$9:$A$1008,$I474-8)="","",INDEX('Fleet dates'!$A$9:$A$1008,$I474-8)))</x:f>
      </x:c>
      <x:c r="B474" s="50" t="str">
        <x:f>IF(466&gt;$H$4,"",IF(INDEX('Fleet dates'!$B$9:$B$1008,$I474-8)="","",INDEX('Fleet dates'!$B$9:$B$1008,$I474-8)))</x:f>
      </x:c>
      <x:c r="C474" s="51" t="str">
        <x:f>IF(466&gt;$H$4,"",IF(INDEX('Fleet dates'!$C$9:$C$1008,$I474-8)="","",INDEX('Fleet dates'!$C$9:$C$1008,$I474-8)))</x:f>
      </x:c>
      <x:c r="D474" s="51" t="str">
        <x:f>IF(466&gt;$H$4,"",IF(INDEX('Fleet dates'!$D$9:$D$1008,$I474-8)="","",INDEX('Fleet dates'!$D$9:$D$1008,$I474-8)))</x:f>
      </x:c>
      <x:c r="E474" s="51" t="str">
        <x:f>IF(466&gt;$H$4,"",IF(INDEX('Fleet dates'!$E$9:$E$1008,$I474-8)="","",INDEX('Fleet dates'!$E$9:$E$1008,$I474-8)))</x:f>
      </x:c>
      <x:c r="F474" s="51" t="str">
        <x:f>IF(466&gt;$H$4,"",IF(INDEX('Fleet dates'!$F$9:$F$1008,$I474-8)="","",INDEX('Fleet dates'!$F$9:$F$1008,$I474-8)))</x:f>
      </x:c>
      <x:c r="G474" s="50" t="str">
        <x:f>IF(466&gt;$H$4,"",IF(INDEX('Fleet dates'!$G$9:$G$1008,$I474-8)="","",INDEX('Fleet dates'!$G$9:$G$1008,$I474-8)))</x:f>
      </x:c>
      <x:c r="H474" s="50" t="str">
        <x:f>IF(466&gt;$H$4,"",IF(INDEX('Fleet dates'!$I$9:$I$1008,$I474-8)="","",INDEX('Fleet dates'!$I$9:$I$1008,$I474-8)))</x:f>
      </x:c>
      <x:c r="I474" t="str">
        <x:f>IF(466&gt;$H$4,"",MATCH(466,'Fleet dates'!$L$9:$L$1008,0)+8)</x:f>
      </x:c>
    </x:row>
    <x:row r="475" ht="36" customHeight="1">
      <x:c r="A475" s="50" t="str">
        <x:f>IF(467&gt;$H$4,"",IF(INDEX('Fleet dates'!$A$9:$A$1008,$I475-8)="","",INDEX('Fleet dates'!$A$9:$A$1008,$I475-8)))</x:f>
      </x:c>
      <x:c r="B475" s="50" t="str">
        <x:f>IF(467&gt;$H$4,"",IF(INDEX('Fleet dates'!$B$9:$B$1008,$I475-8)="","",INDEX('Fleet dates'!$B$9:$B$1008,$I475-8)))</x:f>
      </x:c>
      <x:c r="C475" s="51" t="str">
        <x:f>IF(467&gt;$H$4,"",IF(INDEX('Fleet dates'!$C$9:$C$1008,$I475-8)="","",INDEX('Fleet dates'!$C$9:$C$1008,$I475-8)))</x:f>
      </x:c>
      <x:c r="D475" s="51" t="str">
        <x:f>IF(467&gt;$H$4,"",IF(INDEX('Fleet dates'!$D$9:$D$1008,$I475-8)="","",INDEX('Fleet dates'!$D$9:$D$1008,$I475-8)))</x:f>
      </x:c>
      <x:c r="E475" s="51" t="str">
        <x:f>IF(467&gt;$H$4,"",IF(INDEX('Fleet dates'!$E$9:$E$1008,$I475-8)="","",INDEX('Fleet dates'!$E$9:$E$1008,$I475-8)))</x:f>
      </x:c>
      <x:c r="F475" s="51" t="str">
        <x:f>IF(467&gt;$H$4,"",IF(INDEX('Fleet dates'!$F$9:$F$1008,$I475-8)="","",INDEX('Fleet dates'!$F$9:$F$1008,$I475-8)))</x:f>
      </x:c>
      <x:c r="G475" s="50" t="str">
        <x:f>IF(467&gt;$H$4,"",IF(INDEX('Fleet dates'!$G$9:$G$1008,$I475-8)="","",INDEX('Fleet dates'!$G$9:$G$1008,$I475-8)))</x:f>
      </x:c>
      <x:c r="H475" s="50" t="str">
        <x:f>IF(467&gt;$H$4,"",IF(INDEX('Fleet dates'!$I$9:$I$1008,$I475-8)="","",INDEX('Fleet dates'!$I$9:$I$1008,$I475-8)))</x:f>
      </x:c>
      <x:c r="I475" t="str">
        <x:f>IF(467&gt;$H$4,"",MATCH(467,'Fleet dates'!$L$9:$L$1008,0)+8)</x:f>
      </x:c>
    </x:row>
    <x:row r="476" ht="36" customHeight="1">
      <x:c r="A476" s="50" t="str">
        <x:f>IF(468&gt;$H$4,"",IF(INDEX('Fleet dates'!$A$9:$A$1008,$I476-8)="","",INDEX('Fleet dates'!$A$9:$A$1008,$I476-8)))</x:f>
      </x:c>
      <x:c r="B476" s="50" t="str">
        <x:f>IF(468&gt;$H$4,"",IF(INDEX('Fleet dates'!$B$9:$B$1008,$I476-8)="","",INDEX('Fleet dates'!$B$9:$B$1008,$I476-8)))</x:f>
      </x:c>
      <x:c r="C476" s="51" t="str">
        <x:f>IF(468&gt;$H$4,"",IF(INDEX('Fleet dates'!$C$9:$C$1008,$I476-8)="","",INDEX('Fleet dates'!$C$9:$C$1008,$I476-8)))</x:f>
      </x:c>
      <x:c r="D476" s="51" t="str">
        <x:f>IF(468&gt;$H$4,"",IF(INDEX('Fleet dates'!$D$9:$D$1008,$I476-8)="","",INDEX('Fleet dates'!$D$9:$D$1008,$I476-8)))</x:f>
      </x:c>
      <x:c r="E476" s="51" t="str">
        <x:f>IF(468&gt;$H$4,"",IF(INDEX('Fleet dates'!$E$9:$E$1008,$I476-8)="","",INDEX('Fleet dates'!$E$9:$E$1008,$I476-8)))</x:f>
      </x:c>
      <x:c r="F476" s="51" t="str">
        <x:f>IF(468&gt;$H$4,"",IF(INDEX('Fleet dates'!$F$9:$F$1008,$I476-8)="","",INDEX('Fleet dates'!$F$9:$F$1008,$I476-8)))</x:f>
      </x:c>
      <x:c r="G476" s="50" t="str">
        <x:f>IF(468&gt;$H$4,"",IF(INDEX('Fleet dates'!$G$9:$G$1008,$I476-8)="","",INDEX('Fleet dates'!$G$9:$G$1008,$I476-8)))</x:f>
      </x:c>
      <x:c r="H476" s="50" t="str">
        <x:f>IF(468&gt;$H$4,"",IF(INDEX('Fleet dates'!$I$9:$I$1008,$I476-8)="","",INDEX('Fleet dates'!$I$9:$I$1008,$I476-8)))</x:f>
      </x:c>
      <x:c r="I476" t="str">
        <x:f>IF(468&gt;$H$4,"",MATCH(468,'Fleet dates'!$L$9:$L$1008,0)+8)</x:f>
      </x:c>
    </x:row>
    <x:row r="477" ht="36" customHeight="1">
      <x:c r="A477" s="50" t="str">
        <x:f>IF(469&gt;$H$4,"",IF(INDEX('Fleet dates'!$A$9:$A$1008,$I477-8)="","",INDEX('Fleet dates'!$A$9:$A$1008,$I477-8)))</x:f>
      </x:c>
      <x:c r="B477" s="50" t="str">
        <x:f>IF(469&gt;$H$4,"",IF(INDEX('Fleet dates'!$B$9:$B$1008,$I477-8)="","",INDEX('Fleet dates'!$B$9:$B$1008,$I477-8)))</x:f>
      </x:c>
      <x:c r="C477" s="51" t="str">
        <x:f>IF(469&gt;$H$4,"",IF(INDEX('Fleet dates'!$C$9:$C$1008,$I477-8)="","",INDEX('Fleet dates'!$C$9:$C$1008,$I477-8)))</x:f>
      </x:c>
      <x:c r="D477" s="51" t="str">
        <x:f>IF(469&gt;$H$4,"",IF(INDEX('Fleet dates'!$D$9:$D$1008,$I477-8)="","",INDEX('Fleet dates'!$D$9:$D$1008,$I477-8)))</x:f>
      </x:c>
      <x:c r="E477" s="51" t="str">
        <x:f>IF(469&gt;$H$4,"",IF(INDEX('Fleet dates'!$E$9:$E$1008,$I477-8)="","",INDEX('Fleet dates'!$E$9:$E$1008,$I477-8)))</x:f>
      </x:c>
      <x:c r="F477" s="51" t="str">
        <x:f>IF(469&gt;$H$4,"",IF(INDEX('Fleet dates'!$F$9:$F$1008,$I477-8)="","",INDEX('Fleet dates'!$F$9:$F$1008,$I477-8)))</x:f>
      </x:c>
      <x:c r="G477" s="50" t="str">
        <x:f>IF(469&gt;$H$4,"",IF(INDEX('Fleet dates'!$G$9:$G$1008,$I477-8)="","",INDEX('Fleet dates'!$G$9:$G$1008,$I477-8)))</x:f>
      </x:c>
      <x:c r="H477" s="50" t="str">
        <x:f>IF(469&gt;$H$4,"",IF(INDEX('Fleet dates'!$I$9:$I$1008,$I477-8)="","",INDEX('Fleet dates'!$I$9:$I$1008,$I477-8)))</x:f>
      </x:c>
      <x:c r="I477" t="str">
        <x:f>IF(469&gt;$H$4,"",MATCH(469,'Fleet dates'!$L$9:$L$1008,0)+8)</x:f>
      </x:c>
    </x:row>
    <x:row r="478" ht="36" customHeight="1">
      <x:c r="A478" s="50" t="str">
        <x:f>IF(470&gt;$H$4,"",IF(INDEX('Fleet dates'!$A$9:$A$1008,$I478-8)="","",INDEX('Fleet dates'!$A$9:$A$1008,$I478-8)))</x:f>
      </x:c>
      <x:c r="B478" s="50" t="str">
        <x:f>IF(470&gt;$H$4,"",IF(INDEX('Fleet dates'!$B$9:$B$1008,$I478-8)="","",INDEX('Fleet dates'!$B$9:$B$1008,$I478-8)))</x:f>
      </x:c>
      <x:c r="C478" s="51" t="str">
        <x:f>IF(470&gt;$H$4,"",IF(INDEX('Fleet dates'!$C$9:$C$1008,$I478-8)="","",INDEX('Fleet dates'!$C$9:$C$1008,$I478-8)))</x:f>
      </x:c>
      <x:c r="D478" s="51" t="str">
        <x:f>IF(470&gt;$H$4,"",IF(INDEX('Fleet dates'!$D$9:$D$1008,$I478-8)="","",INDEX('Fleet dates'!$D$9:$D$1008,$I478-8)))</x:f>
      </x:c>
      <x:c r="E478" s="51" t="str">
        <x:f>IF(470&gt;$H$4,"",IF(INDEX('Fleet dates'!$E$9:$E$1008,$I478-8)="","",INDEX('Fleet dates'!$E$9:$E$1008,$I478-8)))</x:f>
      </x:c>
      <x:c r="F478" s="51" t="str">
        <x:f>IF(470&gt;$H$4,"",IF(INDEX('Fleet dates'!$F$9:$F$1008,$I478-8)="","",INDEX('Fleet dates'!$F$9:$F$1008,$I478-8)))</x:f>
      </x:c>
      <x:c r="G478" s="50" t="str">
        <x:f>IF(470&gt;$H$4,"",IF(INDEX('Fleet dates'!$G$9:$G$1008,$I478-8)="","",INDEX('Fleet dates'!$G$9:$G$1008,$I478-8)))</x:f>
      </x:c>
      <x:c r="H478" s="50" t="str">
        <x:f>IF(470&gt;$H$4,"",IF(INDEX('Fleet dates'!$I$9:$I$1008,$I478-8)="","",INDEX('Fleet dates'!$I$9:$I$1008,$I478-8)))</x:f>
      </x:c>
      <x:c r="I478" t="str">
        <x:f>IF(470&gt;$H$4,"",MATCH(470,'Fleet dates'!$L$9:$L$1008,0)+8)</x:f>
      </x:c>
    </x:row>
    <x:row r="479" ht="36" customHeight="1">
      <x:c r="A479" s="50" t="str">
        <x:f>IF(471&gt;$H$4,"",IF(INDEX('Fleet dates'!$A$9:$A$1008,$I479-8)="","",INDEX('Fleet dates'!$A$9:$A$1008,$I479-8)))</x:f>
      </x:c>
      <x:c r="B479" s="50" t="str">
        <x:f>IF(471&gt;$H$4,"",IF(INDEX('Fleet dates'!$B$9:$B$1008,$I479-8)="","",INDEX('Fleet dates'!$B$9:$B$1008,$I479-8)))</x:f>
      </x:c>
      <x:c r="C479" s="51" t="str">
        <x:f>IF(471&gt;$H$4,"",IF(INDEX('Fleet dates'!$C$9:$C$1008,$I479-8)="","",INDEX('Fleet dates'!$C$9:$C$1008,$I479-8)))</x:f>
      </x:c>
      <x:c r="D479" s="51" t="str">
        <x:f>IF(471&gt;$H$4,"",IF(INDEX('Fleet dates'!$D$9:$D$1008,$I479-8)="","",INDEX('Fleet dates'!$D$9:$D$1008,$I479-8)))</x:f>
      </x:c>
      <x:c r="E479" s="51" t="str">
        <x:f>IF(471&gt;$H$4,"",IF(INDEX('Fleet dates'!$E$9:$E$1008,$I479-8)="","",INDEX('Fleet dates'!$E$9:$E$1008,$I479-8)))</x:f>
      </x:c>
      <x:c r="F479" s="51" t="str">
        <x:f>IF(471&gt;$H$4,"",IF(INDEX('Fleet dates'!$F$9:$F$1008,$I479-8)="","",INDEX('Fleet dates'!$F$9:$F$1008,$I479-8)))</x:f>
      </x:c>
      <x:c r="G479" s="50" t="str">
        <x:f>IF(471&gt;$H$4,"",IF(INDEX('Fleet dates'!$G$9:$G$1008,$I479-8)="","",INDEX('Fleet dates'!$G$9:$G$1008,$I479-8)))</x:f>
      </x:c>
      <x:c r="H479" s="50" t="str">
        <x:f>IF(471&gt;$H$4,"",IF(INDEX('Fleet dates'!$I$9:$I$1008,$I479-8)="","",INDEX('Fleet dates'!$I$9:$I$1008,$I479-8)))</x:f>
      </x:c>
      <x:c r="I479" t="str">
        <x:f>IF(471&gt;$H$4,"",MATCH(471,'Fleet dates'!$L$9:$L$1008,0)+8)</x:f>
      </x:c>
    </x:row>
    <x:row r="480" ht="36" customHeight="1">
      <x:c r="A480" s="50" t="str">
        <x:f>IF(472&gt;$H$4,"",IF(INDEX('Fleet dates'!$A$9:$A$1008,$I480-8)="","",INDEX('Fleet dates'!$A$9:$A$1008,$I480-8)))</x:f>
      </x:c>
      <x:c r="B480" s="50" t="str">
        <x:f>IF(472&gt;$H$4,"",IF(INDEX('Fleet dates'!$B$9:$B$1008,$I480-8)="","",INDEX('Fleet dates'!$B$9:$B$1008,$I480-8)))</x:f>
      </x:c>
      <x:c r="C480" s="51" t="str">
        <x:f>IF(472&gt;$H$4,"",IF(INDEX('Fleet dates'!$C$9:$C$1008,$I480-8)="","",INDEX('Fleet dates'!$C$9:$C$1008,$I480-8)))</x:f>
      </x:c>
      <x:c r="D480" s="51" t="str">
        <x:f>IF(472&gt;$H$4,"",IF(INDEX('Fleet dates'!$D$9:$D$1008,$I480-8)="","",INDEX('Fleet dates'!$D$9:$D$1008,$I480-8)))</x:f>
      </x:c>
      <x:c r="E480" s="51" t="str">
        <x:f>IF(472&gt;$H$4,"",IF(INDEX('Fleet dates'!$E$9:$E$1008,$I480-8)="","",INDEX('Fleet dates'!$E$9:$E$1008,$I480-8)))</x:f>
      </x:c>
      <x:c r="F480" s="51" t="str">
        <x:f>IF(472&gt;$H$4,"",IF(INDEX('Fleet dates'!$F$9:$F$1008,$I480-8)="","",INDEX('Fleet dates'!$F$9:$F$1008,$I480-8)))</x:f>
      </x:c>
      <x:c r="G480" s="50" t="str">
        <x:f>IF(472&gt;$H$4,"",IF(INDEX('Fleet dates'!$G$9:$G$1008,$I480-8)="","",INDEX('Fleet dates'!$G$9:$G$1008,$I480-8)))</x:f>
      </x:c>
      <x:c r="H480" s="50" t="str">
        <x:f>IF(472&gt;$H$4,"",IF(INDEX('Fleet dates'!$I$9:$I$1008,$I480-8)="","",INDEX('Fleet dates'!$I$9:$I$1008,$I480-8)))</x:f>
      </x:c>
      <x:c r="I480" t="str">
        <x:f>IF(472&gt;$H$4,"",MATCH(472,'Fleet dates'!$L$9:$L$1008,0)+8)</x:f>
      </x:c>
    </x:row>
    <x:row r="481" ht="36" customHeight="1">
      <x:c r="A481" s="50" t="str">
        <x:f>IF(473&gt;$H$4,"",IF(INDEX('Fleet dates'!$A$9:$A$1008,$I481-8)="","",INDEX('Fleet dates'!$A$9:$A$1008,$I481-8)))</x:f>
      </x:c>
      <x:c r="B481" s="50" t="str">
        <x:f>IF(473&gt;$H$4,"",IF(INDEX('Fleet dates'!$B$9:$B$1008,$I481-8)="","",INDEX('Fleet dates'!$B$9:$B$1008,$I481-8)))</x:f>
      </x:c>
      <x:c r="C481" s="51" t="str">
        <x:f>IF(473&gt;$H$4,"",IF(INDEX('Fleet dates'!$C$9:$C$1008,$I481-8)="","",INDEX('Fleet dates'!$C$9:$C$1008,$I481-8)))</x:f>
      </x:c>
      <x:c r="D481" s="51" t="str">
        <x:f>IF(473&gt;$H$4,"",IF(INDEX('Fleet dates'!$D$9:$D$1008,$I481-8)="","",INDEX('Fleet dates'!$D$9:$D$1008,$I481-8)))</x:f>
      </x:c>
      <x:c r="E481" s="51" t="str">
        <x:f>IF(473&gt;$H$4,"",IF(INDEX('Fleet dates'!$E$9:$E$1008,$I481-8)="","",INDEX('Fleet dates'!$E$9:$E$1008,$I481-8)))</x:f>
      </x:c>
      <x:c r="F481" s="51" t="str">
        <x:f>IF(473&gt;$H$4,"",IF(INDEX('Fleet dates'!$F$9:$F$1008,$I481-8)="","",INDEX('Fleet dates'!$F$9:$F$1008,$I481-8)))</x:f>
      </x:c>
      <x:c r="G481" s="50" t="str">
        <x:f>IF(473&gt;$H$4,"",IF(INDEX('Fleet dates'!$G$9:$G$1008,$I481-8)="","",INDEX('Fleet dates'!$G$9:$G$1008,$I481-8)))</x:f>
      </x:c>
      <x:c r="H481" s="50" t="str">
        <x:f>IF(473&gt;$H$4,"",IF(INDEX('Fleet dates'!$I$9:$I$1008,$I481-8)="","",INDEX('Fleet dates'!$I$9:$I$1008,$I481-8)))</x:f>
      </x:c>
      <x:c r="I481" t="str">
        <x:f>IF(473&gt;$H$4,"",MATCH(473,'Fleet dates'!$L$9:$L$1008,0)+8)</x:f>
      </x:c>
    </x:row>
    <x:row r="482" ht="36" customHeight="1">
      <x:c r="A482" s="50" t="str">
        <x:f>IF(474&gt;$H$4,"",IF(INDEX('Fleet dates'!$A$9:$A$1008,$I482-8)="","",INDEX('Fleet dates'!$A$9:$A$1008,$I482-8)))</x:f>
      </x:c>
      <x:c r="B482" s="50" t="str">
        <x:f>IF(474&gt;$H$4,"",IF(INDEX('Fleet dates'!$B$9:$B$1008,$I482-8)="","",INDEX('Fleet dates'!$B$9:$B$1008,$I482-8)))</x:f>
      </x:c>
      <x:c r="C482" s="51" t="str">
        <x:f>IF(474&gt;$H$4,"",IF(INDEX('Fleet dates'!$C$9:$C$1008,$I482-8)="","",INDEX('Fleet dates'!$C$9:$C$1008,$I482-8)))</x:f>
      </x:c>
      <x:c r="D482" s="51" t="str">
        <x:f>IF(474&gt;$H$4,"",IF(INDEX('Fleet dates'!$D$9:$D$1008,$I482-8)="","",INDEX('Fleet dates'!$D$9:$D$1008,$I482-8)))</x:f>
      </x:c>
      <x:c r="E482" s="51" t="str">
        <x:f>IF(474&gt;$H$4,"",IF(INDEX('Fleet dates'!$E$9:$E$1008,$I482-8)="","",INDEX('Fleet dates'!$E$9:$E$1008,$I482-8)))</x:f>
      </x:c>
      <x:c r="F482" s="51" t="str">
        <x:f>IF(474&gt;$H$4,"",IF(INDEX('Fleet dates'!$F$9:$F$1008,$I482-8)="","",INDEX('Fleet dates'!$F$9:$F$1008,$I482-8)))</x:f>
      </x:c>
      <x:c r="G482" s="50" t="str">
        <x:f>IF(474&gt;$H$4,"",IF(INDEX('Fleet dates'!$G$9:$G$1008,$I482-8)="","",INDEX('Fleet dates'!$G$9:$G$1008,$I482-8)))</x:f>
      </x:c>
      <x:c r="H482" s="50" t="str">
        <x:f>IF(474&gt;$H$4,"",IF(INDEX('Fleet dates'!$I$9:$I$1008,$I482-8)="","",INDEX('Fleet dates'!$I$9:$I$1008,$I482-8)))</x:f>
      </x:c>
      <x:c r="I482" t="str">
        <x:f>IF(474&gt;$H$4,"",MATCH(474,'Fleet dates'!$L$9:$L$1008,0)+8)</x:f>
      </x:c>
    </x:row>
    <x:row r="483" ht="36" customHeight="1">
      <x:c r="A483" s="50" t="str">
        <x:f>IF(475&gt;$H$4,"",IF(INDEX('Fleet dates'!$A$9:$A$1008,$I483-8)="","",INDEX('Fleet dates'!$A$9:$A$1008,$I483-8)))</x:f>
      </x:c>
      <x:c r="B483" s="50" t="str">
        <x:f>IF(475&gt;$H$4,"",IF(INDEX('Fleet dates'!$B$9:$B$1008,$I483-8)="","",INDEX('Fleet dates'!$B$9:$B$1008,$I483-8)))</x:f>
      </x:c>
      <x:c r="C483" s="51" t="str">
        <x:f>IF(475&gt;$H$4,"",IF(INDEX('Fleet dates'!$C$9:$C$1008,$I483-8)="","",INDEX('Fleet dates'!$C$9:$C$1008,$I483-8)))</x:f>
      </x:c>
      <x:c r="D483" s="51" t="str">
        <x:f>IF(475&gt;$H$4,"",IF(INDEX('Fleet dates'!$D$9:$D$1008,$I483-8)="","",INDEX('Fleet dates'!$D$9:$D$1008,$I483-8)))</x:f>
      </x:c>
      <x:c r="E483" s="51" t="str">
        <x:f>IF(475&gt;$H$4,"",IF(INDEX('Fleet dates'!$E$9:$E$1008,$I483-8)="","",INDEX('Fleet dates'!$E$9:$E$1008,$I483-8)))</x:f>
      </x:c>
      <x:c r="F483" s="51" t="str">
        <x:f>IF(475&gt;$H$4,"",IF(INDEX('Fleet dates'!$F$9:$F$1008,$I483-8)="","",INDEX('Fleet dates'!$F$9:$F$1008,$I483-8)))</x:f>
      </x:c>
      <x:c r="G483" s="50" t="str">
        <x:f>IF(475&gt;$H$4,"",IF(INDEX('Fleet dates'!$G$9:$G$1008,$I483-8)="","",INDEX('Fleet dates'!$G$9:$G$1008,$I483-8)))</x:f>
      </x:c>
      <x:c r="H483" s="50" t="str">
        <x:f>IF(475&gt;$H$4,"",IF(INDEX('Fleet dates'!$I$9:$I$1008,$I483-8)="","",INDEX('Fleet dates'!$I$9:$I$1008,$I483-8)))</x:f>
      </x:c>
      <x:c r="I483" t="str">
        <x:f>IF(475&gt;$H$4,"",MATCH(475,'Fleet dates'!$L$9:$L$1008,0)+8)</x:f>
      </x:c>
    </x:row>
    <x:row r="484" ht="36" customHeight="1">
      <x:c r="A484" s="50" t="str">
        <x:f>IF(476&gt;$H$4,"",IF(INDEX('Fleet dates'!$A$9:$A$1008,$I484-8)="","",INDEX('Fleet dates'!$A$9:$A$1008,$I484-8)))</x:f>
      </x:c>
      <x:c r="B484" s="50" t="str">
        <x:f>IF(476&gt;$H$4,"",IF(INDEX('Fleet dates'!$B$9:$B$1008,$I484-8)="","",INDEX('Fleet dates'!$B$9:$B$1008,$I484-8)))</x:f>
      </x:c>
      <x:c r="C484" s="51" t="str">
        <x:f>IF(476&gt;$H$4,"",IF(INDEX('Fleet dates'!$C$9:$C$1008,$I484-8)="","",INDEX('Fleet dates'!$C$9:$C$1008,$I484-8)))</x:f>
      </x:c>
      <x:c r="D484" s="51" t="str">
        <x:f>IF(476&gt;$H$4,"",IF(INDEX('Fleet dates'!$D$9:$D$1008,$I484-8)="","",INDEX('Fleet dates'!$D$9:$D$1008,$I484-8)))</x:f>
      </x:c>
      <x:c r="E484" s="51" t="str">
        <x:f>IF(476&gt;$H$4,"",IF(INDEX('Fleet dates'!$E$9:$E$1008,$I484-8)="","",INDEX('Fleet dates'!$E$9:$E$1008,$I484-8)))</x:f>
      </x:c>
      <x:c r="F484" s="51" t="str">
        <x:f>IF(476&gt;$H$4,"",IF(INDEX('Fleet dates'!$F$9:$F$1008,$I484-8)="","",INDEX('Fleet dates'!$F$9:$F$1008,$I484-8)))</x:f>
      </x:c>
      <x:c r="G484" s="50" t="str">
        <x:f>IF(476&gt;$H$4,"",IF(INDEX('Fleet dates'!$G$9:$G$1008,$I484-8)="","",INDEX('Fleet dates'!$G$9:$G$1008,$I484-8)))</x:f>
      </x:c>
      <x:c r="H484" s="50" t="str">
        <x:f>IF(476&gt;$H$4,"",IF(INDEX('Fleet dates'!$I$9:$I$1008,$I484-8)="","",INDEX('Fleet dates'!$I$9:$I$1008,$I484-8)))</x:f>
      </x:c>
      <x:c r="I484" t="str">
        <x:f>IF(476&gt;$H$4,"",MATCH(476,'Fleet dates'!$L$9:$L$1008,0)+8)</x:f>
      </x:c>
    </x:row>
    <x:row r="485" ht="36" customHeight="1">
      <x:c r="A485" s="50" t="str">
        <x:f>IF(477&gt;$H$4,"",IF(INDEX('Fleet dates'!$A$9:$A$1008,$I485-8)="","",INDEX('Fleet dates'!$A$9:$A$1008,$I485-8)))</x:f>
      </x:c>
      <x:c r="B485" s="50" t="str">
        <x:f>IF(477&gt;$H$4,"",IF(INDEX('Fleet dates'!$B$9:$B$1008,$I485-8)="","",INDEX('Fleet dates'!$B$9:$B$1008,$I485-8)))</x:f>
      </x:c>
      <x:c r="C485" s="51" t="str">
        <x:f>IF(477&gt;$H$4,"",IF(INDEX('Fleet dates'!$C$9:$C$1008,$I485-8)="","",INDEX('Fleet dates'!$C$9:$C$1008,$I485-8)))</x:f>
      </x:c>
      <x:c r="D485" s="51" t="str">
        <x:f>IF(477&gt;$H$4,"",IF(INDEX('Fleet dates'!$D$9:$D$1008,$I485-8)="","",INDEX('Fleet dates'!$D$9:$D$1008,$I485-8)))</x:f>
      </x:c>
      <x:c r="E485" s="51" t="str">
        <x:f>IF(477&gt;$H$4,"",IF(INDEX('Fleet dates'!$E$9:$E$1008,$I485-8)="","",INDEX('Fleet dates'!$E$9:$E$1008,$I485-8)))</x:f>
      </x:c>
      <x:c r="F485" s="51" t="str">
        <x:f>IF(477&gt;$H$4,"",IF(INDEX('Fleet dates'!$F$9:$F$1008,$I485-8)="","",INDEX('Fleet dates'!$F$9:$F$1008,$I485-8)))</x:f>
      </x:c>
      <x:c r="G485" s="50" t="str">
        <x:f>IF(477&gt;$H$4,"",IF(INDEX('Fleet dates'!$G$9:$G$1008,$I485-8)="","",INDEX('Fleet dates'!$G$9:$G$1008,$I485-8)))</x:f>
      </x:c>
      <x:c r="H485" s="50" t="str">
        <x:f>IF(477&gt;$H$4,"",IF(INDEX('Fleet dates'!$I$9:$I$1008,$I485-8)="","",INDEX('Fleet dates'!$I$9:$I$1008,$I485-8)))</x:f>
      </x:c>
      <x:c r="I485" t="str">
        <x:f>IF(477&gt;$H$4,"",MATCH(477,'Fleet dates'!$L$9:$L$1008,0)+8)</x:f>
      </x:c>
    </x:row>
    <x:row r="486" ht="36" customHeight="1">
      <x:c r="A486" s="50" t="str">
        <x:f>IF(478&gt;$H$4,"",IF(INDEX('Fleet dates'!$A$9:$A$1008,$I486-8)="","",INDEX('Fleet dates'!$A$9:$A$1008,$I486-8)))</x:f>
      </x:c>
      <x:c r="B486" s="50" t="str">
        <x:f>IF(478&gt;$H$4,"",IF(INDEX('Fleet dates'!$B$9:$B$1008,$I486-8)="","",INDEX('Fleet dates'!$B$9:$B$1008,$I486-8)))</x:f>
      </x:c>
      <x:c r="C486" s="51" t="str">
        <x:f>IF(478&gt;$H$4,"",IF(INDEX('Fleet dates'!$C$9:$C$1008,$I486-8)="","",INDEX('Fleet dates'!$C$9:$C$1008,$I486-8)))</x:f>
      </x:c>
      <x:c r="D486" s="51" t="str">
        <x:f>IF(478&gt;$H$4,"",IF(INDEX('Fleet dates'!$D$9:$D$1008,$I486-8)="","",INDEX('Fleet dates'!$D$9:$D$1008,$I486-8)))</x:f>
      </x:c>
      <x:c r="E486" s="51" t="str">
        <x:f>IF(478&gt;$H$4,"",IF(INDEX('Fleet dates'!$E$9:$E$1008,$I486-8)="","",INDEX('Fleet dates'!$E$9:$E$1008,$I486-8)))</x:f>
      </x:c>
      <x:c r="F486" s="51" t="str">
        <x:f>IF(478&gt;$H$4,"",IF(INDEX('Fleet dates'!$F$9:$F$1008,$I486-8)="","",INDEX('Fleet dates'!$F$9:$F$1008,$I486-8)))</x:f>
      </x:c>
      <x:c r="G486" s="50" t="str">
        <x:f>IF(478&gt;$H$4,"",IF(INDEX('Fleet dates'!$G$9:$G$1008,$I486-8)="","",INDEX('Fleet dates'!$G$9:$G$1008,$I486-8)))</x:f>
      </x:c>
      <x:c r="H486" s="50" t="str">
        <x:f>IF(478&gt;$H$4,"",IF(INDEX('Fleet dates'!$I$9:$I$1008,$I486-8)="","",INDEX('Fleet dates'!$I$9:$I$1008,$I486-8)))</x:f>
      </x:c>
      <x:c r="I486" t="str">
        <x:f>IF(478&gt;$H$4,"",MATCH(478,'Fleet dates'!$L$9:$L$1008,0)+8)</x:f>
      </x:c>
    </x:row>
    <x:row r="487" ht="36" customHeight="1">
      <x:c r="A487" s="50" t="str">
        <x:f>IF(479&gt;$H$4,"",IF(INDEX('Fleet dates'!$A$9:$A$1008,$I487-8)="","",INDEX('Fleet dates'!$A$9:$A$1008,$I487-8)))</x:f>
      </x:c>
      <x:c r="B487" s="50" t="str">
        <x:f>IF(479&gt;$H$4,"",IF(INDEX('Fleet dates'!$B$9:$B$1008,$I487-8)="","",INDEX('Fleet dates'!$B$9:$B$1008,$I487-8)))</x:f>
      </x:c>
      <x:c r="C487" s="51" t="str">
        <x:f>IF(479&gt;$H$4,"",IF(INDEX('Fleet dates'!$C$9:$C$1008,$I487-8)="","",INDEX('Fleet dates'!$C$9:$C$1008,$I487-8)))</x:f>
      </x:c>
      <x:c r="D487" s="51" t="str">
        <x:f>IF(479&gt;$H$4,"",IF(INDEX('Fleet dates'!$D$9:$D$1008,$I487-8)="","",INDEX('Fleet dates'!$D$9:$D$1008,$I487-8)))</x:f>
      </x:c>
      <x:c r="E487" s="51" t="str">
        <x:f>IF(479&gt;$H$4,"",IF(INDEX('Fleet dates'!$E$9:$E$1008,$I487-8)="","",INDEX('Fleet dates'!$E$9:$E$1008,$I487-8)))</x:f>
      </x:c>
      <x:c r="F487" s="51" t="str">
        <x:f>IF(479&gt;$H$4,"",IF(INDEX('Fleet dates'!$F$9:$F$1008,$I487-8)="","",INDEX('Fleet dates'!$F$9:$F$1008,$I487-8)))</x:f>
      </x:c>
      <x:c r="G487" s="50" t="str">
        <x:f>IF(479&gt;$H$4,"",IF(INDEX('Fleet dates'!$G$9:$G$1008,$I487-8)="","",INDEX('Fleet dates'!$G$9:$G$1008,$I487-8)))</x:f>
      </x:c>
      <x:c r="H487" s="50" t="str">
        <x:f>IF(479&gt;$H$4,"",IF(INDEX('Fleet dates'!$I$9:$I$1008,$I487-8)="","",INDEX('Fleet dates'!$I$9:$I$1008,$I487-8)))</x:f>
      </x:c>
      <x:c r="I487" t="str">
        <x:f>IF(479&gt;$H$4,"",MATCH(479,'Fleet dates'!$L$9:$L$1008,0)+8)</x:f>
      </x:c>
    </x:row>
    <x:row r="488" ht="36" customHeight="1">
      <x:c r="A488" s="50" t="str">
        <x:f>IF(480&gt;$H$4,"",IF(INDEX('Fleet dates'!$A$9:$A$1008,$I488-8)="","",INDEX('Fleet dates'!$A$9:$A$1008,$I488-8)))</x:f>
      </x:c>
      <x:c r="B488" s="50" t="str">
        <x:f>IF(480&gt;$H$4,"",IF(INDEX('Fleet dates'!$B$9:$B$1008,$I488-8)="","",INDEX('Fleet dates'!$B$9:$B$1008,$I488-8)))</x:f>
      </x:c>
      <x:c r="C488" s="51" t="str">
        <x:f>IF(480&gt;$H$4,"",IF(INDEX('Fleet dates'!$C$9:$C$1008,$I488-8)="","",INDEX('Fleet dates'!$C$9:$C$1008,$I488-8)))</x:f>
      </x:c>
      <x:c r="D488" s="51" t="str">
        <x:f>IF(480&gt;$H$4,"",IF(INDEX('Fleet dates'!$D$9:$D$1008,$I488-8)="","",INDEX('Fleet dates'!$D$9:$D$1008,$I488-8)))</x:f>
      </x:c>
      <x:c r="E488" s="51" t="str">
        <x:f>IF(480&gt;$H$4,"",IF(INDEX('Fleet dates'!$E$9:$E$1008,$I488-8)="","",INDEX('Fleet dates'!$E$9:$E$1008,$I488-8)))</x:f>
      </x:c>
      <x:c r="F488" s="51" t="str">
        <x:f>IF(480&gt;$H$4,"",IF(INDEX('Fleet dates'!$F$9:$F$1008,$I488-8)="","",INDEX('Fleet dates'!$F$9:$F$1008,$I488-8)))</x:f>
      </x:c>
      <x:c r="G488" s="50" t="str">
        <x:f>IF(480&gt;$H$4,"",IF(INDEX('Fleet dates'!$G$9:$G$1008,$I488-8)="","",INDEX('Fleet dates'!$G$9:$G$1008,$I488-8)))</x:f>
      </x:c>
      <x:c r="H488" s="50" t="str">
        <x:f>IF(480&gt;$H$4,"",IF(INDEX('Fleet dates'!$I$9:$I$1008,$I488-8)="","",INDEX('Fleet dates'!$I$9:$I$1008,$I488-8)))</x:f>
      </x:c>
      <x:c r="I488" t="str">
        <x:f>IF(480&gt;$H$4,"",MATCH(480,'Fleet dates'!$L$9:$L$1008,0)+8)</x:f>
      </x:c>
    </x:row>
    <x:row r="489" ht="36" customHeight="1">
      <x:c r="A489" s="50" t="str">
        <x:f>IF(481&gt;$H$4,"",IF(INDEX('Fleet dates'!$A$9:$A$1008,$I489-8)="","",INDEX('Fleet dates'!$A$9:$A$1008,$I489-8)))</x:f>
      </x:c>
      <x:c r="B489" s="50" t="str">
        <x:f>IF(481&gt;$H$4,"",IF(INDEX('Fleet dates'!$B$9:$B$1008,$I489-8)="","",INDEX('Fleet dates'!$B$9:$B$1008,$I489-8)))</x:f>
      </x:c>
      <x:c r="C489" s="51" t="str">
        <x:f>IF(481&gt;$H$4,"",IF(INDEX('Fleet dates'!$C$9:$C$1008,$I489-8)="","",INDEX('Fleet dates'!$C$9:$C$1008,$I489-8)))</x:f>
      </x:c>
      <x:c r="D489" s="51" t="str">
        <x:f>IF(481&gt;$H$4,"",IF(INDEX('Fleet dates'!$D$9:$D$1008,$I489-8)="","",INDEX('Fleet dates'!$D$9:$D$1008,$I489-8)))</x:f>
      </x:c>
      <x:c r="E489" s="51" t="str">
        <x:f>IF(481&gt;$H$4,"",IF(INDEX('Fleet dates'!$E$9:$E$1008,$I489-8)="","",INDEX('Fleet dates'!$E$9:$E$1008,$I489-8)))</x:f>
      </x:c>
      <x:c r="F489" s="51" t="str">
        <x:f>IF(481&gt;$H$4,"",IF(INDEX('Fleet dates'!$F$9:$F$1008,$I489-8)="","",INDEX('Fleet dates'!$F$9:$F$1008,$I489-8)))</x:f>
      </x:c>
      <x:c r="G489" s="50" t="str">
        <x:f>IF(481&gt;$H$4,"",IF(INDEX('Fleet dates'!$G$9:$G$1008,$I489-8)="","",INDEX('Fleet dates'!$G$9:$G$1008,$I489-8)))</x:f>
      </x:c>
      <x:c r="H489" s="50" t="str">
        <x:f>IF(481&gt;$H$4,"",IF(INDEX('Fleet dates'!$I$9:$I$1008,$I489-8)="","",INDEX('Fleet dates'!$I$9:$I$1008,$I489-8)))</x:f>
      </x:c>
      <x:c r="I489" t="str">
        <x:f>IF(481&gt;$H$4,"",MATCH(481,'Fleet dates'!$L$9:$L$1008,0)+8)</x:f>
      </x:c>
    </x:row>
    <x:row r="490" ht="36" customHeight="1">
      <x:c r="A490" s="50" t="str">
        <x:f>IF(482&gt;$H$4,"",IF(INDEX('Fleet dates'!$A$9:$A$1008,$I490-8)="","",INDEX('Fleet dates'!$A$9:$A$1008,$I490-8)))</x:f>
      </x:c>
      <x:c r="B490" s="50" t="str">
        <x:f>IF(482&gt;$H$4,"",IF(INDEX('Fleet dates'!$B$9:$B$1008,$I490-8)="","",INDEX('Fleet dates'!$B$9:$B$1008,$I490-8)))</x:f>
      </x:c>
      <x:c r="C490" s="51" t="str">
        <x:f>IF(482&gt;$H$4,"",IF(INDEX('Fleet dates'!$C$9:$C$1008,$I490-8)="","",INDEX('Fleet dates'!$C$9:$C$1008,$I490-8)))</x:f>
      </x:c>
      <x:c r="D490" s="51" t="str">
        <x:f>IF(482&gt;$H$4,"",IF(INDEX('Fleet dates'!$D$9:$D$1008,$I490-8)="","",INDEX('Fleet dates'!$D$9:$D$1008,$I490-8)))</x:f>
      </x:c>
      <x:c r="E490" s="51" t="str">
        <x:f>IF(482&gt;$H$4,"",IF(INDEX('Fleet dates'!$E$9:$E$1008,$I490-8)="","",INDEX('Fleet dates'!$E$9:$E$1008,$I490-8)))</x:f>
      </x:c>
      <x:c r="F490" s="51" t="str">
        <x:f>IF(482&gt;$H$4,"",IF(INDEX('Fleet dates'!$F$9:$F$1008,$I490-8)="","",INDEX('Fleet dates'!$F$9:$F$1008,$I490-8)))</x:f>
      </x:c>
      <x:c r="G490" s="50" t="str">
        <x:f>IF(482&gt;$H$4,"",IF(INDEX('Fleet dates'!$G$9:$G$1008,$I490-8)="","",INDEX('Fleet dates'!$G$9:$G$1008,$I490-8)))</x:f>
      </x:c>
      <x:c r="H490" s="50" t="str">
        <x:f>IF(482&gt;$H$4,"",IF(INDEX('Fleet dates'!$I$9:$I$1008,$I490-8)="","",INDEX('Fleet dates'!$I$9:$I$1008,$I490-8)))</x:f>
      </x:c>
      <x:c r="I490" t="str">
        <x:f>IF(482&gt;$H$4,"",MATCH(482,'Fleet dates'!$L$9:$L$1008,0)+8)</x:f>
      </x:c>
    </x:row>
    <x:row r="491" ht="36" customHeight="1">
      <x:c r="A491" s="50" t="str">
        <x:f>IF(483&gt;$H$4,"",IF(INDEX('Fleet dates'!$A$9:$A$1008,$I491-8)="","",INDEX('Fleet dates'!$A$9:$A$1008,$I491-8)))</x:f>
      </x:c>
      <x:c r="B491" s="50" t="str">
        <x:f>IF(483&gt;$H$4,"",IF(INDEX('Fleet dates'!$B$9:$B$1008,$I491-8)="","",INDEX('Fleet dates'!$B$9:$B$1008,$I491-8)))</x:f>
      </x:c>
      <x:c r="C491" s="51" t="str">
        <x:f>IF(483&gt;$H$4,"",IF(INDEX('Fleet dates'!$C$9:$C$1008,$I491-8)="","",INDEX('Fleet dates'!$C$9:$C$1008,$I491-8)))</x:f>
      </x:c>
      <x:c r="D491" s="51" t="str">
        <x:f>IF(483&gt;$H$4,"",IF(INDEX('Fleet dates'!$D$9:$D$1008,$I491-8)="","",INDEX('Fleet dates'!$D$9:$D$1008,$I491-8)))</x:f>
      </x:c>
      <x:c r="E491" s="51" t="str">
        <x:f>IF(483&gt;$H$4,"",IF(INDEX('Fleet dates'!$E$9:$E$1008,$I491-8)="","",INDEX('Fleet dates'!$E$9:$E$1008,$I491-8)))</x:f>
      </x:c>
      <x:c r="F491" s="51" t="str">
        <x:f>IF(483&gt;$H$4,"",IF(INDEX('Fleet dates'!$F$9:$F$1008,$I491-8)="","",INDEX('Fleet dates'!$F$9:$F$1008,$I491-8)))</x:f>
      </x:c>
      <x:c r="G491" s="50" t="str">
        <x:f>IF(483&gt;$H$4,"",IF(INDEX('Fleet dates'!$G$9:$G$1008,$I491-8)="","",INDEX('Fleet dates'!$G$9:$G$1008,$I491-8)))</x:f>
      </x:c>
      <x:c r="H491" s="50" t="str">
        <x:f>IF(483&gt;$H$4,"",IF(INDEX('Fleet dates'!$I$9:$I$1008,$I491-8)="","",INDEX('Fleet dates'!$I$9:$I$1008,$I491-8)))</x:f>
      </x:c>
      <x:c r="I491" t="str">
        <x:f>IF(483&gt;$H$4,"",MATCH(483,'Fleet dates'!$L$9:$L$1008,0)+8)</x:f>
      </x:c>
    </x:row>
    <x:row r="492" ht="36" customHeight="1">
      <x:c r="A492" s="50" t="str">
        <x:f>IF(484&gt;$H$4,"",IF(INDEX('Fleet dates'!$A$9:$A$1008,$I492-8)="","",INDEX('Fleet dates'!$A$9:$A$1008,$I492-8)))</x:f>
      </x:c>
      <x:c r="B492" s="50" t="str">
        <x:f>IF(484&gt;$H$4,"",IF(INDEX('Fleet dates'!$B$9:$B$1008,$I492-8)="","",INDEX('Fleet dates'!$B$9:$B$1008,$I492-8)))</x:f>
      </x:c>
      <x:c r="C492" s="51" t="str">
        <x:f>IF(484&gt;$H$4,"",IF(INDEX('Fleet dates'!$C$9:$C$1008,$I492-8)="","",INDEX('Fleet dates'!$C$9:$C$1008,$I492-8)))</x:f>
      </x:c>
      <x:c r="D492" s="51" t="str">
        <x:f>IF(484&gt;$H$4,"",IF(INDEX('Fleet dates'!$D$9:$D$1008,$I492-8)="","",INDEX('Fleet dates'!$D$9:$D$1008,$I492-8)))</x:f>
      </x:c>
      <x:c r="E492" s="51" t="str">
        <x:f>IF(484&gt;$H$4,"",IF(INDEX('Fleet dates'!$E$9:$E$1008,$I492-8)="","",INDEX('Fleet dates'!$E$9:$E$1008,$I492-8)))</x:f>
      </x:c>
      <x:c r="F492" s="51" t="str">
        <x:f>IF(484&gt;$H$4,"",IF(INDEX('Fleet dates'!$F$9:$F$1008,$I492-8)="","",INDEX('Fleet dates'!$F$9:$F$1008,$I492-8)))</x:f>
      </x:c>
      <x:c r="G492" s="50" t="str">
        <x:f>IF(484&gt;$H$4,"",IF(INDEX('Fleet dates'!$G$9:$G$1008,$I492-8)="","",INDEX('Fleet dates'!$G$9:$G$1008,$I492-8)))</x:f>
      </x:c>
      <x:c r="H492" s="50" t="str">
        <x:f>IF(484&gt;$H$4,"",IF(INDEX('Fleet dates'!$I$9:$I$1008,$I492-8)="","",INDEX('Fleet dates'!$I$9:$I$1008,$I492-8)))</x:f>
      </x:c>
      <x:c r="I492" t="str">
        <x:f>IF(484&gt;$H$4,"",MATCH(484,'Fleet dates'!$L$9:$L$1008,0)+8)</x:f>
      </x:c>
    </x:row>
    <x:row r="493" ht="36" customHeight="1">
      <x:c r="A493" s="50" t="str">
        <x:f>IF(485&gt;$H$4,"",IF(INDEX('Fleet dates'!$A$9:$A$1008,$I493-8)="","",INDEX('Fleet dates'!$A$9:$A$1008,$I493-8)))</x:f>
      </x:c>
      <x:c r="B493" s="50" t="str">
        <x:f>IF(485&gt;$H$4,"",IF(INDEX('Fleet dates'!$B$9:$B$1008,$I493-8)="","",INDEX('Fleet dates'!$B$9:$B$1008,$I493-8)))</x:f>
      </x:c>
      <x:c r="C493" s="51" t="str">
        <x:f>IF(485&gt;$H$4,"",IF(INDEX('Fleet dates'!$C$9:$C$1008,$I493-8)="","",INDEX('Fleet dates'!$C$9:$C$1008,$I493-8)))</x:f>
      </x:c>
      <x:c r="D493" s="51" t="str">
        <x:f>IF(485&gt;$H$4,"",IF(INDEX('Fleet dates'!$D$9:$D$1008,$I493-8)="","",INDEX('Fleet dates'!$D$9:$D$1008,$I493-8)))</x:f>
      </x:c>
      <x:c r="E493" s="51" t="str">
        <x:f>IF(485&gt;$H$4,"",IF(INDEX('Fleet dates'!$E$9:$E$1008,$I493-8)="","",INDEX('Fleet dates'!$E$9:$E$1008,$I493-8)))</x:f>
      </x:c>
      <x:c r="F493" s="51" t="str">
        <x:f>IF(485&gt;$H$4,"",IF(INDEX('Fleet dates'!$F$9:$F$1008,$I493-8)="","",INDEX('Fleet dates'!$F$9:$F$1008,$I493-8)))</x:f>
      </x:c>
      <x:c r="G493" s="50" t="str">
        <x:f>IF(485&gt;$H$4,"",IF(INDEX('Fleet dates'!$G$9:$G$1008,$I493-8)="","",INDEX('Fleet dates'!$G$9:$G$1008,$I493-8)))</x:f>
      </x:c>
      <x:c r="H493" s="50" t="str">
        <x:f>IF(485&gt;$H$4,"",IF(INDEX('Fleet dates'!$I$9:$I$1008,$I493-8)="","",INDEX('Fleet dates'!$I$9:$I$1008,$I493-8)))</x:f>
      </x:c>
      <x:c r="I493" t="str">
        <x:f>IF(485&gt;$H$4,"",MATCH(485,'Fleet dates'!$L$9:$L$1008,0)+8)</x:f>
      </x:c>
    </x:row>
    <x:row r="494" ht="36" customHeight="1">
      <x:c r="A494" s="50" t="str">
        <x:f>IF(486&gt;$H$4,"",IF(INDEX('Fleet dates'!$A$9:$A$1008,$I494-8)="","",INDEX('Fleet dates'!$A$9:$A$1008,$I494-8)))</x:f>
      </x:c>
      <x:c r="B494" s="50" t="str">
        <x:f>IF(486&gt;$H$4,"",IF(INDEX('Fleet dates'!$B$9:$B$1008,$I494-8)="","",INDEX('Fleet dates'!$B$9:$B$1008,$I494-8)))</x:f>
      </x:c>
      <x:c r="C494" s="51" t="str">
        <x:f>IF(486&gt;$H$4,"",IF(INDEX('Fleet dates'!$C$9:$C$1008,$I494-8)="","",INDEX('Fleet dates'!$C$9:$C$1008,$I494-8)))</x:f>
      </x:c>
      <x:c r="D494" s="51" t="str">
        <x:f>IF(486&gt;$H$4,"",IF(INDEX('Fleet dates'!$D$9:$D$1008,$I494-8)="","",INDEX('Fleet dates'!$D$9:$D$1008,$I494-8)))</x:f>
      </x:c>
      <x:c r="E494" s="51" t="str">
        <x:f>IF(486&gt;$H$4,"",IF(INDEX('Fleet dates'!$E$9:$E$1008,$I494-8)="","",INDEX('Fleet dates'!$E$9:$E$1008,$I494-8)))</x:f>
      </x:c>
      <x:c r="F494" s="51" t="str">
        <x:f>IF(486&gt;$H$4,"",IF(INDEX('Fleet dates'!$F$9:$F$1008,$I494-8)="","",INDEX('Fleet dates'!$F$9:$F$1008,$I494-8)))</x:f>
      </x:c>
      <x:c r="G494" s="50" t="str">
        <x:f>IF(486&gt;$H$4,"",IF(INDEX('Fleet dates'!$G$9:$G$1008,$I494-8)="","",INDEX('Fleet dates'!$G$9:$G$1008,$I494-8)))</x:f>
      </x:c>
      <x:c r="H494" s="50" t="str">
        <x:f>IF(486&gt;$H$4,"",IF(INDEX('Fleet dates'!$I$9:$I$1008,$I494-8)="","",INDEX('Fleet dates'!$I$9:$I$1008,$I494-8)))</x:f>
      </x:c>
      <x:c r="I494" t="str">
        <x:f>IF(486&gt;$H$4,"",MATCH(486,'Fleet dates'!$L$9:$L$1008,0)+8)</x:f>
      </x:c>
    </x:row>
    <x:row r="495" ht="36" customHeight="1">
      <x:c r="A495" s="50" t="str">
        <x:f>IF(487&gt;$H$4,"",IF(INDEX('Fleet dates'!$A$9:$A$1008,$I495-8)="","",INDEX('Fleet dates'!$A$9:$A$1008,$I495-8)))</x:f>
      </x:c>
      <x:c r="B495" s="50" t="str">
        <x:f>IF(487&gt;$H$4,"",IF(INDEX('Fleet dates'!$B$9:$B$1008,$I495-8)="","",INDEX('Fleet dates'!$B$9:$B$1008,$I495-8)))</x:f>
      </x:c>
      <x:c r="C495" s="51" t="str">
        <x:f>IF(487&gt;$H$4,"",IF(INDEX('Fleet dates'!$C$9:$C$1008,$I495-8)="","",INDEX('Fleet dates'!$C$9:$C$1008,$I495-8)))</x:f>
      </x:c>
      <x:c r="D495" s="51" t="str">
        <x:f>IF(487&gt;$H$4,"",IF(INDEX('Fleet dates'!$D$9:$D$1008,$I495-8)="","",INDEX('Fleet dates'!$D$9:$D$1008,$I495-8)))</x:f>
      </x:c>
      <x:c r="E495" s="51" t="str">
        <x:f>IF(487&gt;$H$4,"",IF(INDEX('Fleet dates'!$E$9:$E$1008,$I495-8)="","",INDEX('Fleet dates'!$E$9:$E$1008,$I495-8)))</x:f>
      </x:c>
      <x:c r="F495" s="51" t="str">
        <x:f>IF(487&gt;$H$4,"",IF(INDEX('Fleet dates'!$F$9:$F$1008,$I495-8)="","",INDEX('Fleet dates'!$F$9:$F$1008,$I495-8)))</x:f>
      </x:c>
      <x:c r="G495" s="50" t="str">
        <x:f>IF(487&gt;$H$4,"",IF(INDEX('Fleet dates'!$G$9:$G$1008,$I495-8)="","",INDEX('Fleet dates'!$G$9:$G$1008,$I495-8)))</x:f>
      </x:c>
      <x:c r="H495" s="50" t="str">
        <x:f>IF(487&gt;$H$4,"",IF(INDEX('Fleet dates'!$I$9:$I$1008,$I495-8)="","",INDEX('Fleet dates'!$I$9:$I$1008,$I495-8)))</x:f>
      </x:c>
      <x:c r="I495" t="str">
        <x:f>IF(487&gt;$H$4,"",MATCH(487,'Fleet dates'!$L$9:$L$1008,0)+8)</x:f>
      </x:c>
    </x:row>
    <x:row r="496" ht="36" customHeight="1">
      <x:c r="A496" s="50" t="str">
        <x:f>IF(488&gt;$H$4,"",IF(INDEX('Fleet dates'!$A$9:$A$1008,$I496-8)="","",INDEX('Fleet dates'!$A$9:$A$1008,$I496-8)))</x:f>
      </x:c>
      <x:c r="B496" s="50" t="str">
        <x:f>IF(488&gt;$H$4,"",IF(INDEX('Fleet dates'!$B$9:$B$1008,$I496-8)="","",INDEX('Fleet dates'!$B$9:$B$1008,$I496-8)))</x:f>
      </x:c>
      <x:c r="C496" s="51" t="str">
        <x:f>IF(488&gt;$H$4,"",IF(INDEX('Fleet dates'!$C$9:$C$1008,$I496-8)="","",INDEX('Fleet dates'!$C$9:$C$1008,$I496-8)))</x:f>
      </x:c>
      <x:c r="D496" s="51" t="str">
        <x:f>IF(488&gt;$H$4,"",IF(INDEX('Fleet dates'!$D$9:$D$1008,$I496-8)="","",INDEX('Fleet dates'!$D$9:$D$1008,$I496-8)))</x:f>
      </x:c>
      <x:c r="E496" s="51" t="str">
        <x:f>IF(488&gt;$H$4,"",IF(INDEX('Fleet dates'!$E$9:$E$1008,$I496-8)="","",INDEX('Fleet dates'!$E$9:$E$1008,$I496-8)))</x:f>
      </x:c>
      <x:c r="F496" s="51" t="str">
        <x:f>IF(488&gt;$H$4,"",IF(INDEX('Fleet dates'!$F$9:$F$1008,$I496-8)="","",INDEX('Fleet dates'!$F$9:$F$1008,$I496-8)))</x:f>
      </x:c>
      <x:c r="G496" s="50" t="str">
        <x:f>IF(488&gt;$H$4,"",IF(INDEX('Fleet dates'!$G$9:$G$1008,$I496-8)="","",INDEX('Fleet dates'!$G$9:$G$1008,$I496-8)))</x:f>
      </x:c>
      <x:c r="H496" s="50" t="str">
        <x:f>IF(488&gt;$H$4,"",IF(INDEX('Fleet dates'!$I$9:$I$1008,$I496-8)="","",INDEX('Fleet dates'!$I$9:$I$1008,$I496-8)))</x:f>
      </x:c>
      <x:c r="I496" t="str">
        <x:f>IF(488&gt;$H$4,"",MATCH(488,'Fleet dates'!$L$9:$L$1008,0)+8)</x:f>
      </x:c>
    </x:row>
    <x:row r="497" ht="36" customHeight="1">
      <x:c r="A497" s="50" t="str">
        <x:f>IF(489&gt;$H$4,"",IF(INDEX('Fleet dates'!$A$9:$A$1008,$I497-8)="","",INDEX('Fleet dates'!$A$9:$A$1008,$I497-8)))</x:f>
      </x:c>
      <x:c r="B497" s="50" t="str">
        <x:f>IF(489&gt;$H$4,"",IF(INDEX('Fleet dates'!$B$9:$B$1008,$I497-8)="","",INDEX('Fleet dates'!$B$9:$B$1008,$I497-8)))</x:f>
      </x:c>
      <x:c r="C497" s="51" t="str">
        <x:f>IF(489&gt;$H$4,"",IF(INDEX('Fleet dates'!$C$9:$C$1008,$I497-8)="","",INDEX('Fleet dates'!$C$9:$C$1008,$I497-8)))</x:f>
      </x:c>
      <x:c r="D497" s="51" t="str">
        <x:f>IF(489&gt;$H$4,"",IF(INDEX('Fleet dates'!$D$9:$D$1008,$I497-8)="","",INDEX('Fleet dates'!$D$9:$D$1008,$I497-8)))</x:f>
      </x:c>
      <x:c r="E497" s="51" t="str">
        <x:f>IF(489&gt;$H$4,"",IF(INDEX('Fleet dates'!$E$9:$E$1008,$I497-8)="","",INDEX('Fleet dates'!$E$9:$E$1008,$I497-8)))</x:f>
      </x:c>
      <x:c r="F497" s="51" t="str">
        <x:f>IF(489&gt;$H$4,"",IF(INDEX('Fleet dates'!$F$9:$F$1008,$I497-8)="","",INDEX('Fleet dates'!$F$9:$F$1008,$I497-8)))</x:f>
      </x:c>
      <x:c r="G497" s="50" t="str">
        <x:f>IF(489&gt;$H$4,"",IF(INDEX('Fleet dates'!$G$9:$G$1008,$I497-8)="","",INDEX('Fleet dates'!$G$9:$G$1008,$I497-8)))</x:f>
      </x:c>
      <x:c r="H497" s="50" t="str">
        <x:f>IF(489&gt;$H$4,"",IF(INDEX('Fleet dates'!$I$9:$I$1008,$I497-8)="","",INDEX('Fleet dates'!$I$9:$I$1008,$I497-8)))</x:f>
      </x:c>
      <x:c r="I497" t="str">
        <x:f>IF(489&gt;$H$4,"",MATCH(489,'Fleet dates'!$L$9:$L$1008,0)+8)</x:f>
      </x:c>
    </x:row>
    <x:row r="498" ht="36" customHeight="1">
      <x:c r="A498" s="50" t="str">
        <x:f>IF(490&gt;$H$4,"",IF(INDEX('Fleet dates'!$A$9:$A$1008,$I498-8)="","",INDEX('Fleet dates'!$A$9:$A$1008,$I498-8)))</x:f>
      </x:c>
      <x:c r="B498" s="50" t="str">
        <x:f>IF(490&gt;$H$4,"",IF(INDEX('Fleet dates'!$B$9:$B$1008,$I498-8)="","",INDEX('Fleet dates'!$B$9:$B$1008,$I498-8)))</x:f>
      </x:c>
      <x:c r="C498" s="51" t="str">
        <x:f>IF(490&gt;$H$4,"",IF(INDEX('Fleet dates'!$C$9:$C$1008,$I498-8)="","",INDEX('Fleet dates'!$C$9:$C$1008,$I498-8)))</x:f>
      </x:c>
      <x:c r="D498" s="51" t="str">
        <x:f>IF(490&gt;$H$4,"",IF(INDEX('Fleet dates'!$D$9:$D$1008,$I498-8)="","",INDEX('Fleet dates'!$D$9:$D$1008,$I498-8)))</x:f>
      </x:c>
      <x:c r="E498" s="51" t="str">
        <x:f>IF(490&gt;$H$4,"",IF(INDEX('Fleet dates'!$E$9:$E$1008,$I498-8)="","",INDEX('Fleet dates'!$E$9:$E$1008,$I498-8)))</x:f>
      </x:c>
      <x:c r="F498" s="51" t="str">
        <x:f>IF(490&gt;$H$4,"",IF(INDEX('Fleet dates'!$F$9:$F$1008,$I498-8)="","",INDEX('Fleet dates'!$F$9:$F$1008,$I498-8)))</x:f>
      </x:c>
      <x:c r="G498" s="50" t="str">
        <x:f>IF(490&gt;$H$4,"",IF(INDEX('Fleet dates'!$G$9:$G$1008,$I498-8)="","",INDEX('Fleet dates'!$G$9:$G$1008,$I498-8)))</x:f>
      </x:c>
      <x:c r="H498" s="50" t="str">
        <x:f>IF(490&gt;$H$4,"",IF(INDEX('Fleet dates'!$I$9:$I$1008,$I498-8)="","",INDEX('Fleet dates'!$I$9:$I$1008,$I498-8)))</x:f>
      </x:c>
      <x:c r="I498" t="str">
        <x:f>IF(490&gt;$H$4,"",MATCH(490,'Fleet dates'!$L$9:$L$1008,0)+8)</x:f>
      </x:c>
    </x:row>
    <x:row r="499" ht="36" customHeight="1">
      <x:c r="A499" s="50" t="str">
        <x:f>IF(491&gt;$H$4,"",IF(INDEX('Fleet dates'!$A$9:$A$1008,$I499-8)="","",INDEX('Fleet dates'!$A$9:$A$1008,$I499-8)))</x:f>
      </x:c>
      <x:c r="B499" s="50" t="str">
        <x:f>IF(491&gt;$H$4,"",IF(INDEX('Fleet dates'!$B$9:$B$1008,$I499-8)="","",INDEX('Fleet dates'!$B$9:$B$1008,$I499-8)))</x:f>
      </x:c>
      <x:c r="C499" s="51" t="str">
        <x:f>IF(491&gt;$H$4,"",IF(INDEX('Fleet dates'!$C$9:$C$1008,$I499-8)="","",INDEX('Fleet dates'!$C$9:$C$1008,$I499-8)))</x:f>
      </x:c>
      <x:c r="D499" s="51" t="str">
        <x:f>IF(491&gt;$H$4,"",IF(INDEX('Fleet dates'!$D$9:$D$1008,$I499-8)="","",INDEX('Fleet dates'!$D$9:$D$1008,$I499-8)))</x:f>
      </x:c>
      <x:c r="E499" s="51" t="str">
        <x:f>IF(491&gt;$H$4,"",IF(INDEX('Fleet dates'!$E$9:$E$1008,$I499-8)="","",INDEX('Fleet dates'!$E$9:$E$1008,$I499-8)))</x:f>
      </x:c>
      <x:c r="F499" s="51" t="str">
        <x:f>IF(491&gt;$H$4,"",IF(INDEX('Fleet dates'!$F$9:$F$1008,$I499-8)="","",INDEX('Fleet dates'!$F$9:$F$1008,$I499-8)))</x:f>
      </x:c>
      <x:c r="G499" s="50" t="str">
        <x:f>IF(491&gt;$H$4,"",IF(INDEX('Fleet dates'!$G$9:$G$1008,$I499-8)="","",INDEX('Fleet dates'!$G$9:$G$1008,$I499-8)))</x:f>
      </x:c>
      <x:c r="H499" s="50" t="str">
        <x:f>IF(491&gt;$H$4,"",IF(INDEX('Fleet dates'!$I$9:$I$1008,$I499-8)="","",INDEX('Fleet dates'!$I$9:$I$1008,$I499-8)))</x:f>
      </x:c>
      <x:c r="I499" t="str">
        <x:f>IF(491&gt;$H$4,"",MATCH(491,'Fleet dates'!$L$9:$L$1008,0)+8)</x:f>
      </x:c>
    </x:row>
    <x:row r="500" ht="36" customHeight="1">
      <x:c r="A500" s="50" t="str">
        <x:f>IF(492&gt;$H$4,"",IF(INDEX('Fleet dates'!$A$9:$A$1008,$I500-8)="","",INDEX('Fleet dates'!$A$9:$A$1008,$I500-8)))</x:f>
      </x:c>
      <x:c r="B500" s="50" t="str">
        <x:f>IF(492&gt;$H$4,"",IF(INDEX('Fleet dates'!$B$9:$B$1008,$I500-8)="","",INDEX('Fleet dates'!$B$9:$B$1008,$I500-8)))</x:f>
      </x:c>
      <x:c r="C500" s="51" t="str">
        <x:f>IF(492&gt;$H$4,"",IF(INDEX('Fleet dates'!$C$9:$C$1008,$I500-8)="","",INDEX('Fleet dates'!$C$9:$C$1008,$I500-8)))</x:f>
      </x:c>
      <x:c r="D500" s="51" t="str">
        <x:f>IF(492&gt;$H$4,"",IF(INDEX('Fleet dates'!$D$9:$D$1008,$I500-8)="","",INDEX('Fleet dates'!$D$9:$D$1008,$I500-8)))</x:f>
      </x:c>
      <x:c r="E500" s="51" t="str">
        <x:f>IF(492&gt;$H$4,"",IF(INDEX('Fleet dates'!$E$9:$E$1008,$I500-8)="","",INDEX('Fleet dates'!$E$9:$E$1008,$I500-8)))</x:f>
      </x:c>
      <x:c r="F500" s="51" t="str">
        <x:f>IF(492&gt;$H$4,"",IF(INDEX('Fleet dates'!$F$9:$F$1008,$I500-8)="","",INDEX('Fleet dates'!$F$9:$F$1008,$I500-8)))</x:f>
      </x:c>
      <x:c r="G500" s="50" t="str">
        <x:f>IF(492&gt;$H$4,"",IF(INDEX('Fleet dates'!$G$9:$G$1008,$I500-8)="","",INDEX('Fleet dates'!$G$9:$G$1008,$I500-8)))</x:f>
      </x:c>
      <x:c r="H500" s="50" t="str">
        <x:f>IF(492&gt;$H$4,"",IF(INDEX('Fleet dates'!$I$9:$I$1008,$I500-8)="","",INDEX('Fleet dates'!$I$9:$I$1008,$I500-8)))</x:f>
      </x:c>
      <x:c r="I500" t="str">
        <x:f>IF(492&gt;$H$4,"",MATCH(492,'Fleet dates'!$L$9:$L$1008,0)+8)</x:f>
      </x:c>
    </x:row>
    <x:row r="501" ht="36" customHeight="1">
      <x:c r="A501" s="50" t="str">
        <x:f>IF(493&gt;$H$4,"",IF(INDEX('Fleet dates'!$A$9:$A$1008,$I501-8)="","",INDEX('Fleet dates'!$A$9:$A$1008,$I501-8)))</x:f>
      </x:c>
      <x:c r="B501" s="50" t="str">
        <x:f>IF(493&gt;$H$4,"",IF(INDEX('Fleet dates'!$B$9:$B$1008,$I501-8)="","",INDEX('Fleet dates'!$B$9:$B$1008,$I501-8)))</x:f>
      </x:c>
      <x:c r="C501" s="51" t="str">
        <x:f>IF(493&gt;$H$4,"",IF(INDEX('Fleet dates'!$C$9:$C$1008,$I501-8)="","",INDEX('Fleet dates'!$C$9:$C$1008,$I501-8)))</x:f>
      </x:c>
      <x:c r="D501" s="51" t="str">
        <x:f>IF(493&gt;$H$4,"",IF(INDEX('Fleet dates'!$D$9:$D$1008,$I501-8)="","",INDEX('Fleet dates'!$D$9:$D$1008,$I501-8)))</x:f>
      </x:c>
      <x:c r="E501" s="51" t="str">
        <x:f>IF(493&gt;$H$4,"",IF(INDEX('Fleet dates'!$E$9:$E$1008,$I501-8)="","",INDEX('Fleet dates'!$E$9:$E$1008,$I501-8)))</x:f>
      </x:c>
      <x:c r="F501" s="51" t="str">
        <x:f>IF(493&gt;$H$4,"",IF(INDEX('Fleet dates'!$F$9:$F$1008,$I501-8)="","",INDEX('Fleet dates'!$F$9:$F$1008,$I501-8)))</x:f>
      </x:c>
      <x:c r="G501" s="50" t="str">
        <x:f>IF(493&gt;$H$4,"",IF(INDEX('Fleet dates'!$G$9:$G$1008,$I501-8)="","",INDEX('Fleet dates'!$G$9:$G$1008,$I501-8)))</x:f>
      </x:c>
      <x:c r="H501" s="50" t="str">
        <x:f>IF(493&gt;$H$4,"",IF(INDEX('Fleet dates'!$I$9:$I$1008,$I501-8)="","",INDEX('Fleet dates'!$I$9:$I$1008,$I501-8)))</x:f>
      </x:c>
      <x:c r="I501" t="str">
        <x:f>IF(493&gt;$H$4,"",MATCH(493,'Fleet dates'!$L$9:$L$1008,0)+8)</x:f>
      </x:c>
    </x:row>
    <x:row r="502" ht="36" customHeight="1">
      <x:c r="A502" s="50" t="str">
        <x:f>IF(494&gt;$H$4,"",IF(INDEX('Fleet dates'!$A$9:$A$1008,$I502-8)="","",INDEX('Fleet dates'!$A$9:$A$1008,$I502-8)))</x:f>
      </x:c>
      <x:c r="B502" s="50" t="str">
        <x:f>IF(494&gt;$H$4,"",IF(INDEX('Fleet dates'!$B$9:$B$1008,$I502-8)="","",INDEX('Fleet dates'!$B$9:$B$1008,$I502-8)))</x:f>
      </x:c>
      <x:c r="C502" s="51" t="str">
        <x:f>IF(494&gt;$H$4,"",IF(INDEX('Fleet dates'!$C$9:$C$1008,$I502-8)="","",INDEX('Fleet dates'!$C$9:$C$1008,$I502-8)))</x:f>
      </x:c>
      <x:c r="D502" s="51" t="str">
        <x:f>IF(494&gt;$H$4,"",IF(INDEX('Fleet dates'!$D$9:$D$1008,$I502-8)="","",INDEX('Fleet dates'!$D$9:$D$1008,$I502-8)))</x:f>
      </x:c>
      <x:c r="E502" s="51" t="str">
        <x:f>IF(494&gt;$H$4,"",IF(INDEX('Fleet dates'!$E$9:$E$1008,$I502-8)="","",INDEX('Fleet dates'!$E$9:$E$1008,$I502-8)))</x:f>
      </x:c>
      <x:c r="F502" s="51" t="str">
        <x:f>IF(494&gt;$H$4,"",IF(INDEX('Fleet dates'!$F$9:$F$1008,$I502-8)="","",INDEX('Fleet dates'!$F$9:$F$1008,$I502-8)))</x:f>
      </x:c>
      <x:c r="G502" s="50" t="str">
        <x:f>IF(494&gt;$H$4,"",IF(INDEX('Fleet dates'!$G$9:$G$1008,$I502-8)="","",INDEX('Fleet dates'!$G$9:$G$1008,$I502-8)))</x:f>
      </x:c>
      <x:c r="H502" s="50" t="str">
        <x:f>IF(494&gt;$H$4,"",IF(INDEX('Fleet dates'!$I$9:$I$1008,$I502-8)="","",INDEX('Fleet dates'!$I$9:$I$1008,$I502-8)))</x:f>
      </x:c>
      <x:c r="I502" t="str">
        <x:f>IF(494&gt;$H$4,"",MATCH(494,'Fleet dates'!$L$9:$L$1008,0)+8)</x:f>
      </x:c>
    </x:row>
    <x:row r="503" ht="36" customHeight="1">
      <x:c r="A503" s="50" t="str">
        <x:f>IF(495&gt;$H$4,"",IF(INDEX('Fleet dates'!$A$9:$A$1008,$I503-8)="","",INDEX('Fleet dates'!$A$9:$A$1008,$I503-8)))</x:f>
      </x:c>
      <x:c r="B503" s="50" t="str">
        <x:f>IF(495&gt;$H$4,"",IF(INDEX('Fleet dates'!$B$9:$B$1008,$I503-8)="","",INDEX('Fleet dates'!$B$9:$B$1008,$I503-8)))</x:f>
      </x:c>
      <x:c r="C503" s="51" t="str">
        <x:f>IF(495&gt;$H$4,"",IF(INDEX('Fleet dates'!$C$9:$C$1008,$I503-8)="","",INDEX('Fleet dates'!$C$9:$C$1008,$I503-8)))</x:f>
      </x:c>
      <x:c r="D503" s="51" t="str">
        <x:f>IF(495&gt;$H$4,"",IF(INDEX('Fleet dates'!$D$9:$D$1008,$I503-8)="","",INDEX('Fleet dates'!$D$9:$D$1008,$I503-8)))</x:f>
      </x:c>
      <x:c r="E503" s="51" t="str">
        <x:f>IF(495&gt;$H$4,"",IF(INDEX('Fleet dates'!$E$9:$E$1008,$I503-8)="","",INDEX('Fleet dates'!$E$9:$E$1008,$I503-8)))</x:f>
      </x:c>
      <x:c r="F503" s="51" t="str">
        <x:f>IF(495&gt;$H$4,"",IF(INDEX('Fleet dates'!$F$9:$F$1008,$I503-8)="","",INDEX('Fleet dates'!$F$9:$F$1008,$I503-8)))</x:f>
      </x:c>
      <x:c r="G503" s="50" t="str">
        <x:f>IF(495&gt;$H$4,"",IF(INDEX('Fleet dates'!$G$9:$G$1008,$I503-8)="","",INDEX('Fleet dates'!$G$9:$G$1008,$I503-8)))</x:f>
      </x:c>
      <x:c r="H503" s="50" t="str">
        <x:f>IF(495&gt;$H$4,"",IF(INDEX('Fleet dates'!$I$9:$I$1008,$I503-8)="","",INDEX('Fleet dates'!$I$9:$I$1008,$I503-8)))</x:f>
      </x:c>
      <x:c r="I503" t="str">
        <x:f>IF(495&gt;$H$4,"",MATCH(495,'Fleet dates'!$L$9:$L$1008,0)+8)</x:f>
      </x:c>
    </x:row>
    <x:row r="504" ht="36" customHeight="1">
      <x:c r="A504" s="50" t="str">
        <x:f>IF(496&gt;$H$4,"",IF(INDEX('Fleet dates'!$A$9:$A$1008,$I504-8)="","",INDEX('Fleet dates'!$A$9:$A$1008,$I504-8)))</x:f>
      </x:c>
      <x:c r="B504" s="50" t="str">
        <x:f>IF(496&gt;$H$4,"",IF(INDEX('Fleet dates'!$B$9:$B$1008,$I504-8)="","",INDEX('Fleet dates'!$B$9:$B$1008,$I504-8)))</x:f>
      </x:c>
      <x:c r="C504" s="51" t="str">
        <x:f>IF(496&gt;$H$4,"",IF(INDEX('Fleet dates'!$C$9:$C$1008,$I504-8)="","",INDEX('Fleet dates'!$C$9:$C$1008,$I504-8)))</x:f>
      </x:c>
      <x:c r="D504" s="51" t="str">
        <x:f>IF(496&gt;$H$4,"",IF(INDEX('Fleet dates'!$D$9:$D$1008,$I504-8)="","",INDEX('Fleet dates'!$D$9:$D$1008,$I504-8)))</x:f>
      </x:c>
      <x:c r="E504" s="51" t="str">
        <x:f>IF(496&gt;$H$4,"",IF(INDEX('Fleet dates'!$E$9:$E$1008,$I504-8)="","",INDEX('Fleet dates'!$E$9:$E$1008,$I504-8)))</x:f>
      </x:c>
      <x:c r="F504" s="51" t="str">
        <x:f>IF(496&gt;$H$4,"",IF(INDEX('Fleet dates'!$F$9:$F$1008,$I504-8)="","",INDEX('Fleet dates'!$F$9:$F$1008,$I504-8)))</x:f>
      </x:c>
      <x:c r="G504" s="50" t="str">
        <x:f>IF(496&gt;$H$4,"",IF(INDEX('Fleet dates'!$G$9:$G$1008,$I504-8)="","",INDEX('Fleet dates'!$G$9:$G$1008,$I504-8)))</x:f>
      </x:c>
      <x:c r="H504" s="50" t="str">
        <x:f>IF(496&gt;$H$4,"",IF(INDEX('Fleet dates'!$I$9:$I$1008,$I504-8)="","",INDEX('Fleet dates'!$I$9:$I$1008,$I504-8)))</x:f>
      </x:c>
      <x:c r="I504" t="str">
        <x:f>IF(496&gt;$H$4,"",MATCH(496,'Fleet dates'!$L$9:$L$1008,0)+8)</x:f>
      </x:c>
    </x:row>
    <x:row r="505" ht="36" customHeight="1">
      <x:c r="A505" s="50" t="str">
        <x:f>IF(497&gt;$H$4,"",IF(INDEX('Fleet dates'!$A$9:$A$1008,$I505-8)="","",INDEX('Fleet dates'!$A$9:$A$1008,$I505-8)))</x:f>
      </x:c>
      <x:c r="B505" s="50" t="str">
        <x:f>IF(497&gt;$H$4,"",IF(INDEX('Fleet dates'!$B$9:$B$1008,$I505-8)="","",INDEX('Fleet dates'!$B$9:$B$1008,$I505-8)))</x:f>
      </x:c>
      <x:c r="C505" s="51" t="str">
        <x:f>IF(497&gt;$H$4,"",IF(INDEX('Fleet dates'!$C$9:$C$1008,$I505-8)="","",INDEX('Fleet dates'!$C$9:$C$1008,$I505-8)))</x:f>
      </x:c>
      <x:c r="D505" s="51" t="str">
        <x:f>IF(497&gt;$H$4,"",IF(INDEX('Fleet dates'!$D$9:$D$1008,$I505-8)="","",INDEX('Fleet dates'!$D$9:$D$1008,$I505-8)))</x:f>
      </x:c>
      <x:c r="E505" s="51" t="str">
        <x:f>IF(497&gt;$H$4,"",IF(INDEX('Fleet dates'!$E$9:$E$1008,$I505-8)="","",INDEX('Fleet dates'!$E$9:$E$1008,$I505-8)))</x:f>
      </x:c>
      <x:c r="F505" s="51" t="str">
        <x:f>IF(497&gt;$H$4,"",IF(INDEX('Fleet dates'!$F$9:$F$1008,$I505-8)="","",INDEX('Fleet dates'!$F$9:$F$1008,$I505-8)))</x:f>
      </x:c>
      <x:c r="G505" s="50" t="str">
        <x:f>IF(497&gt;$H$4,"",IF(INDEX('Fleet dates'!$G$9:$G$1008,$I505-8)="","",INDEX('Fleet dates'!$G$9:$G$1008,$I505-8)))</x:f>
      </x:c>
      <x:c r="H505" s="50" t="str">
        <x:f>IF(497&gt;$H$4,"",IF(INDEX('Fleet dates'!$I$9:$I$1008,$I505-8)="","",INDEX('Fleet dates'!$I$9:$I$1008,$I505-8)))</x:f>
      </x:c>
      <x:c r="I505" t="str">
        <x:f>IF(497&gt;$H$4,"",MATCH(497,'Fleet dates'!$L$9:$L$1008,0)+8)</x:f>
      </x:c>
    </x:row>
    <x:row r="506" ht="36" customHeight="1">
      <x:c r="A506" s="50" t="str">
        <x:f>IF(498&gt;$H$4,"",IF(INDEX('Fleet dates'!$A$9:$A$1008,$I506-8)="","",INDEX('Fleet dates'!$A$9:$A$1008,$I506-8)))</x:f>
      </x:c>
      <x:c r="B506" s="50" t="str">
        <x:f>IF(498&gt;$H$4,"",IF(INDEX('Fleet dates'!$B$9:$B$1008,$I506-8)="","",INDEX('Fleet dates'!$B$9:$B$1008,$I506-8)))</x:f>
      </x:c>
      <x:c r="C506" s="51" t="str">
        <x:f>IF(498&gt;$H$4,"",IF(INDEX('Fleet dates'!$C$9:$C$1008,$I506-8)="","",INDEX('Fleet dates'!$C$9:$C$1008,$I506-8)))</x:f>
      </x:c>
      <x:c r="D506" s="51" t="str">
        <x:f>IF(498&gt;$H$4,"",IF(INDEX('Fleet dates'!$D$9:$D$1008,$I506-8)="","",INDEX('Fleet dates'!$D$9:$D$1008,$I506-8)))</x:f>
      </x:c>
      <x:c r="E506" s="51" t="str">
        <x:f>IF(498&gt;$H$4,"",IF(INDEX('Fleet dates'!$E$9:$E$1008,$I506-8)="","",INDEX('Fleet dates'!$E$9:$E$1008,$I506-8)))</x:f>
      </x:c>
      <x:c r="F506" s="51" t="str">
        <x:f>IF(498&gt;$H$4,"",IF(INDEX('Fleet dates'!$F$9:$F$1008,$I506-8)="","",INDEX('Fleet dates'!$F$9:$F$1008,$I506-8)))</x:f>
      </x:c>
      <x:c r="G506" s="50" t="str">
        <x:f>IF(498&gt;$H$4,"",IF(INDEX('Fleet dates'!$G$9:$G$1008,$I506-8)="","",INDEX('Fleet dates'!$G$9:$G$1008,$I506-8)))</x:f>
      </x:c>
      <x:c r="H506" s="50" t="str">
        <x:f>IF(498&gt;$H$4,"",IF(INDEX('Fleet dates'!$I$9:$I$1008,$I506-8)="","",INDEX('Fleet dates'!$I$9:$I$1008,$I506-8)))</x:f>
      </x:c>
      <x:c r="I506" t="str">
        <x:f>IF(498&gt;$H$4,"",MATCH(498,'Fleet dates'!$L$9:$L$1008,0)+8)</x:f>
      </x:c>
    </x:row>
    <x:row r="507" ht="36" customHeight="1">
      <x:c r="A507" s="50" t="str">
        <x:f>IF(499&gt;$H$4,"",IF(INDEX('Fleet dates'!$A$9:$A$1008,$I507-8)="","",INDEX('Fleet dates'!$A$9:$A$1008,$I507-8)))</x:f>
      </x:c>
      <x:c r="B507" s="50" t="str">
        <x:f>IF(499&gt;$H$4,"",IF(INDEX('Fleet dates'!$B$9:$B$1008,$I507-8)="","",INDEX('Fleet dates'!$B$9:$B$1008,$I507-8)))</x:f>
      </x:c>
      <x:c r="C507" s="51" t="str">
        <x:f>IF(499&gt;$H$4,"",IF(INDEX('Fleet dates'!$C$9:$C$1008,$I507-8)="","",INDEX('Fleet dates'!$C$9:$C$1008,$I507-8)))</x:f>
      </x:c>
      <x:c r="D507" s="51" t="str">
        <x:f>IF(499&gt;$H$4,"",IF(INDEX('Fleet dates'!$D$9:$D$1008,$I507-8)="","",INDEX('Fleet dates'!$D$9:$D$1008,$I507-8)))</x:f>
      </x:c>
      <x:c r="E507" s="51" t="str">
        <x:f>IF(499&gt;$H$4,"",IF(INDEX('Fleet dates'!$E$9:$E$1008,$I507-8)="","",INDEX('Fleet dates'!$E$9:$E$1008,$I507-8)))</x:f>
      </x:c>
      <x:c r="F507" s="51" t="str">
        <x:f>IF(499&gt;$H$4,"",IF(INDEX('Fleet dates'!$F$9:$F$1008,$I507-8)="","",INDEX('Fleet dates'!$F$9:$F$1008,$I507-8)))</x:f>
      </x:c>
      <x:c r="G507" s="50" t="str">
        <x:f>IF(499&gt;$H$4,"",IF(INDEX('Fleet dates'!$G$9:$G$1008,$I507-8)="","",INDEX('Fleet dates'!$G$9:$G$1008,$I507-8)))</x:f>
      </x:c>
      <x:c r="H507" s="50" t="str">
        <x:f>IF(499&gt;$H$4,"",IF(INDEX('Fleet dates'!$I$9:$I$1008,$I507-8)="","",INDEX('Fleet dates'!$I$9:$I$1008,$I507-8)))</x:f>
      </x:c>
      <x:c r="I507" t="str">
        <x:f>IF(499&gt;$H$4,"",MATCH(499,'Fleet dates'!$L$9:$L$1008,0)+8)</x:f>
      </x:c>
    </x:row>
    <x:row r="508" ht="36" customHeight="1">
      <x:c r="A508" s="50" t="str">
        <x:f>IF(500&gt;$H$4,"",IF(INDEX('Fleet dates'!$A$9:$A$1008,$I508-8)="","",INDEX('Fleet dates'!$A$9:$A$1008,$I508-8)))</x:f>
      </x:c>
      <x:c r="B508" s="50" t="str">
        <x:f>IF(500&gt;$H$4,"",IF(INDEX('Fleet dates'!$B$9:$B$1008,$I508-8)="","",INDEX('Fleet dates'!$B$9:$B$1008,$I508-8)))</x:f>
      </x:c>
      <x:c r="C508" s="51" t="str">
        <x:f>IF(500&gt;$H$4,"",IF(INDEX('Fleet dates'!$C$9:$C$1008,$I508-8)="","",INDEX('Fleet dates'!$C$9:$C$1008,$I508-8)))</x:f>
      </x:c>
      <x:c r="D508" s="51" t="str">
        <x:f>IF(500&gt;$H$4,"",IF(INDEX('Fleet dates'!$D$9:$D$1008,$I508-8)="","",INDEX('Fleet dates'!$D$9:$D$1008,$I508-8)))</x:f>
      </x:c>
      <x:c r="E508" s="51" t="str">
        <x:f>IF(500&gt;$H$4,"",IF(INDEX('Fleet dates'!$E$9:$E$1008,$I508-8)="","",INDEX('Fleet dates'!$E$9:$E$1008,$I508-8)))</x:f>
      </x:c>
      <x:c r="F508" s="51" t="str">
        <x:f>IF(500&gt;$H$4,"",IF(INDEX('Fleet dates'!$F$9:$F$1008,$I508-8)="","",INDEX('Fleet dates'!$F$9:$F$1008,$I508-8)))</x:f>
      </x:c>
      <x:c r="G508" s="50" t="str">
        <x:f>IF(500&gt;$H$4,"",IF(INDEX('Fleet dates'!$G$9:$G$1008,$I508-8)="","",INDEX('Fleet dates'!$G$9:$G$1008,$I508-8)))</x:f>
      </x:c>
      <x:c r="H508" s="50" t="str">
        <x:f>IF(500&gt;$H$4,"",IF(INDEX('Fleet dates'!$I$9:$I$1008,$I508-8)="","",INDEX('Fleet dates'!$I$9:$I$1008,$I508-8)))</x:f>
      </x:c>
      <x:c r="I508" t="str">
        <x:f>IF(500&gt;$H$4,"",MATCH(500,'Fleet dates'!$L$9:$L$1008,0)+8)</x:f>
      </x:c>
    </x:row>
    <x:row r="509" ht="36" customHeight="1">
      <x:c r="A509" s="50" t="str">
        <x:f>IF(501&gt;$H$4,"",IF(INDEX('Fleet dates'!$A$9:$A$1008,$I509-8)="","",INDEX('Fleet dates'!$A$9:$A$1008,$I509-8)))</x:f>
      </x:c>
      <x:c r="B509" s="50" t="str">
        <x:f>IF(501&gt;$H$4,"",IF(INDEX('Fleet dates'!$B$9:$B$1008,$I509-8)="","",INDEX('Fleet dates'!$B$9:$B$1008,$I509-8)))</x:f>
      </x:c>
      <x:c r="C509" s="51" t="str">
        <x:f>IF(501&gt;$H$4,"",IF(INDEX('Fleet dates'!$C$9:$C$1008,$I509-8)="","",INDEX('Fleet dates'!$C$9:$C$1008,$I509-8)))</x:f>
      </x:c>
      <x:c r="D509" s="51" t="str">
        <x:f>IF(501&gt;$H$4,"",IF(INDEX('Fleet dates'!$D$9:$D$1008,$I509-8)="","",INDEX('Fleet dates'!$D$9:$D$1008,$I509-8)))</x:f>
      </x:c>
      <x:c r="E509" s="51" t="str">
        <x:f>IF(501&gt;$H$4,"",IF(INDEX('Fleet dates'!$E$9:$E$1008,$I509-8)="","",INDEX('Fleet dates'!$E$9:$E$1008,$I509-8)))</x:f>
      </x:c>
      <x:c r="F509" s="51" t="str">
        <x:f>IF(501&gt;$H$4,"",IF(INDEX('Fleet dates'!$F$9:$F$1008,$I509-8)="","",INDEX('Fleet dates'!$F$9:$F$1008,$I509-8)))</x:f>
      </x:c>
      <x:c r="G509" s="50" t="str">
        <x:f>IF(501&gt;$H$4,"",IF(INDEX('Fleet dates'!$G$9:$G$1008,$I509-8)="","",INDEX('Fleet dates'!$G$9:$G$1008,$I509-8)))</x:f>
      </x:c>
      <x:c r="H509" s="50" t="str">
        <x:f>IF(501&gt;$H$4,"",IF(INDEX('Fleet dates'!$I$9:$I$1008,$I509-8)="","",INDEX('Fleet dates'!$I$9:$I$1008,$I509-8)))</x:f>
      </x:c>
      <x:c r="I509" t="str">
        <x:f>IF(501&gt;$H$4,"",MATCH(501,'Fleet dates'!$L$9:$L$1008,0)+8)</x:f>
      </x:c>
    </x:row>
    <x:row r="510" ht="36" customHeight="1">
      <x:c r="A510" s="50" t="str">
        <x:f>IF(502&gt;$H$4,"",IF(INDEX('Fleet dates'!$A$9:$A$1008,$I510-8)="","",INDEX('Fleet dates'!$A$9:$A$1008,$I510-8)))</x:f>
      </x:c>
      <x:c r="B510" s="50" t="str">
        <x:f>IF(502&gt;$H$4,"",IF(INDEX('Fleet dates'!$B$9:$B$1008,$I510-8)="","",INDEX('Fleet dates'!$B$9:$B$1008,$I510-8)))</x:f>
      </x:c>
      <x:c r="C510" s="51" t="str">
        <x:f>IF(502&gt;$H$4,"",IF(INDEX('Fleet dates'!$C$9:$C$1008,$I510-8)="","",INDEX('Fleet dates'!$C$9:$C$1008,$I510-8)))</x:f>
      </x:c>
      <x:c r="D510" s="51" t="str">
        <x:f>IF(502&gt;$H$4,"",IF(INDEX('Fleet dates'!$D$9:$D$1008,$I510-8)="","",INDEX('Fleet dates'!$D$9:$D$1008,$I510-8)))</x:f>
      </x:c>
      <x:c r="E510" s="51" t="str">
        <x:f>IF(502&gt;$H$4,"",IF(INDEX('Fleet dates'!$E$9:$E$1008,$I510-8)="","",INDEX('Fleet dates'!$E$9:$E$1008,$I510-8)))</x:f>
      </x:c>
      <x:c r="F510" s="51" t="str">
        <x:f>IF(502&gt;$H$4,"",IF(INDEX('Fleet dates'!$F$9:$F$1008,$I510-8)="","",INDEX('Fleet dates'!$F$9:$F$1008,$I510-8)))</x:f>
      </x:c>
      <x:c r="G510" s="50" t="str">
        <x:f>IF(502&gt;$H$4,"",IF(INDEX('Fleet dates'!$G$9:$G$1008,$I510-8)="","",INDEX('Fleet dates'!$G$9:$G$1008,$I510-8)))</x:f>
      </x:c>
      <x:c r="H510" s="50" t="str">
        <x:f>IF(502&gt;$H$4,"",IF(INDEX('Fleet dates'!$I$9:$I$1008,$I510-8)="","",INDEX('Fleet dates'!$I$9:$I$1008,$I510-8)))</x:f>
      </x:c>
      <x:c r="I510" t="str">
        <x:f>IF(502&gt;$H$4,"",MATCH(502,'Fleet dates'!$L$9:$L$1008,0)+8)</x:f>
      </x:c>
    </x:row>
    <x:row r="511" ht="36" customHeight="1">
      <x:c r="A511" s="50" t="str">
        <x:f>IF(503&gt;$H$4,"",IF(INDEX('Fleet dates'!$A$9:$A$1008,$I511-8)="","",INDEX('Fleet dates'!$A$9:$A$1008,$I511-8)))</x:f>
      </x:c>
      <x:c r="B511" s="50" t="str">
        <x:f>IF(503&gt;$H$4,"",IF(INDEX('Fleet dates'!$B$9:$B$1008,$I511-8)="","",INDEX('Fleet dates'!$B$9:$B$1008,$I511-8)))</x:f>
      </x:c>
      <x:c r="C511" s="51" t="str">
        <x:f>IF(503&gt;$H$4,"",IF(INDEX('Fleet dates'!$C$9:$C$1008,$I511-8)="","",INDEX('Fleet dates'!$C$9:$C$1008,$I511-8)))</x:f>
      </x:c>
      <x:c r="D511" s="51" t="str">
        <x:f>IF(503&gt;$H$4,"",IF(INDEX('Fleet dates'!$D$9:$D$1008,$I511-8)="","",INDEX('Fleet dates'!$D$9:$D$1008,$I511-8)))</x:f>
      </x:c>
      <x:c r="E511" s="51" t="str">
        <x:f>IF(503&gt;$H$4,"",IF(INDEX('Fleet dates'!$E$9:$E$1008,$I511-8)="","",INDEX('Fleet dates'!$E$9:$E$1008,$I511-8)))</x:f>
      </x:c>
      <x:c r="F511" s="51" t="str">
        <x:f>IF(503&gt;$H$4,"",IF(INDEX('Fleet dates'!$F$9:$F$1008,$I511-8)="","",INDEX('Fleet dates'!$F$9:$F$1008,$I511-8)))</x:f>
      </x:c>
      <x:c r="G511" s="50" t="str">
        <x:f>IF(503&gt;$H$4,"",IF(INDEX('Fleet dates'!$G$9:$G$1008,$I511-8)="","",INDEX('Fleet dates'!$G$9:$G$1008,$I511-8)))</x:f>
      </x:c>
      <x:c r="H511" s="50" t="str">
        <x:f>IF(503&gt;$H$4,"",IF(INDEX('Fleet dates'!$I$9:$I$1008,$I511-8)="","",INDEX('Fleet dates'!$I$9:$I$1008,$I511-8)))</x:f>
      </x:c>
      <x:c r="I511" t="str">
        <x:f>IF(503&gt;$H$4,"",MATCH(503,'Fleet dates'!$L$9:$L$1008,0)+8)</x:f>
      </x:c>
    </x:row>
    <x:row r="512" ht="36" customHeight="1">
      <x:c r="A512" s="50" t="str">
        <x:f>IF(504&gt;$H$4,"",IF(INDEX('Fleet dates'!$A$9:$A$1008,$I512-8)="","",INDEX('Fleet dates'!$A$9:$A$1008,$I512-8)))</x:f>
      </x:c>
      <x:c r="B512" s="50" t="str">
        <x:f>IF(504&gt;$H$4,"",IF(INDEX('Fleet dates'!$B$9:$B$1008,$I512-8)="","",INDEX('Fleet dates'!$B$9:$B$1008,$I512-8)))</x:f>
      </x:c>
      <x:c r="C512" s="51" t="str">
        <x:f>IF(504&gt;$H$4,"",IF(INDEX('Fleet dates'!$C$9:$C$1008,$I512-8)="","",INDEX('Fleet dates'!$C$9:$C$1008,$I512-8)))</x:f>
      </x:c>
      <x:c r="D512" s="51" t="str">
        <x:f>IF(504&gt;$H$4,"",IF(INDEX('Fleet dates'!$D$9:$D$1008,$I512-8)="","",INDEX('Fleet dates'!$D$9:$D$1008,$I512-8)))</x:f>
      </x:c>
      <x:c r="E512" s="51" t="str">
        <x:f>IF(504&gt;$H$4,"",IF(INDEX('Fleet dates'!$E$9:$E$1008,$I512-8)="","",INDEX('Fleet dates'!$E$9:$E$1008,$I512-8)))</x:f>
      </x:c>
      <x:c r="F512" s="51" t="str">
        <x:f>IF(504&gt;$H$4,"",IF(INDEX('Fleet dates'!$F$9:$F$1008,$I512-8)="","",INDEX('Fleet dates'!$F$9:$F$1008,$I512-8)))</x:f>
      </x:c>
      <x:c r="G512" s="50" t="str">
        <x:f>IF(504&gt;$H$4,"",IF(INDEX('Fleet dates'!$G$9:$G$1008,$I512-8)="","",INDEX('Fleet dates'!$G$9:$G$1008,$I512-8)))</x:f>
      </x:c>
      <x:c r="H512" s="50" t="str">
        <x:f>IF(504&gt;$H$4,"",IF(INDEX('Fleet dates'!$I$9:$I$1008,$I512-8)="","",INDEX('Fleet dates'!$I$9:$I$1008,$I512-8)))</x:f>
      </x:c>
      <x:c r="I512" t="str">
        <x:f>IF(504&gt;$H$4,"",MATCH(504,'Fleet dates'!$L$9:$L$1008,0)+8)</x:f>
      </x:c>
    </x:row>
    <x:row r="513" ht="36" customHeight="1">
      <x:c r="A513" s="50" t="str">
        <x:f>IF(505&gt;$H$4,"",IF(INDEX('Fleet dates'!$A$9:$A$1008,$I513-8)="","",INDEX('Fleet dates'!$A$9:$A$1008,$I513-8)))</x:f>
      </x:c>
      <x:c r="B513" s="50" t="str">
        <x:f>IF(505&gt;$H$4,"",IF(INDEX('Fleet dates'!$B$9:$B$1008,$I513-8)="","",INDEX('Fleet dates'!$B$9:$B$1008,$I513-8)))</x:f>
      </x:c>
      <x:c r="C513" s="51" t="str">
        <x:f>IF(505&gt;$H$4,"",IF(INDEX('Fleet dates'!$C$9:$C$1008,$I513-8)="","",INDEX('Fleet dates'!$C$9:$C$1008,$I513-8)))</x:f>
      </x:c>
      <x:c r="D513" s="51" t="str">
        <x:f>IF(505&gt;$H$4,"",IF(INDEX('Fleet dates'!$D$9:$D$1008,$I513-8)="","",INDEX('Fleet dates'!$D$9:$D$1008,$I513-8)))</x:f>
      </x:c>
      <x:c r="E513" s="51" t="str">
        <x:f>IF(505&gt;$H$4,"",IF(INDEX('Fleet dates'!$E$9:$E$1008,$I513-8)="","",INDEX('Fleet dates'!$E$9:$E$1008,$I513-8)))</x:f>
      </x:c>
      <x:c r="F513" s="51" t="str">
        <x:f>IF(505&gt;$H$4,"",IF(INDEX('Fleet dates'!$F$9:$F$1008,$I513-8)="","",INDEX('Fleet dates'!$F$9:$F$1008,$I513-8)))</x:f>
      </x:c>
      <x:c r="G513" s="50" t="str">
        <x:f>IF(505&gt;$H$4,"",IF(INDEX('Fleet dates'!$G$9:$G$1008,$I513-8)="","",INDEX('Fleet dates'!$G$9:$G$1008,$I513-8)))</x:f>
      </x:c>
      <x:c r="H513" s="50" t="str">
        <x:f>IF(505&gt;$H$4,"",IF(INDEX('Fleet dates'!$I$9:$I$1008,$I513-8)="","",INDEX('Fleet dates'!$I$9:$I$1008,$I513-8)))</x:f>
      </x:c>
      <x:c r="I513" t="str">
        <x:f>IF(505&gt;$H$4,"",MATCH(505,'Fleet dates'!$L$9:$L$1008,0)+8)</x:f>
      </x:c>
    </x:row>
    <x:row r="514" ht="36" customHeight="1">
      <x:c r="A514" s="50" t="str">
        <x:f>IF(506&gt;$H$4,"",IF(INDEX('Fleet dates'!$A$9:$A$1008,$I514-8)="","",INDEX('Fleet dates'!$A$9:$A$1008,$I514-8)))</x:f>
      </x:c>
      <x:c r="B514" s="50" t="str">
        <x:f>IF(506&gt;$H$4,"",IF(INDEX('Fleet dates'!$B$9:$B$1008,$I514-8)="","",INDEX('Fleet dates'!$B$9:$B$1008,$I514-8)))</x:f>
      </x:c>
      <x:c r="C514" s="51" t="str">
        <x:f>IF(506&gt;$H$4,"",IF(INDEX('Fleet dates'!$C$9:$C$1008,$I514-8)="","",INDEX('Fleet dates'!$C$9:$C$1008,$I514-8)))</x:f>
      </x:c>
      <x:c r="D514" s="51" t="str">
        <x:f>IF(506&gt;$H$4,"",IF(INDEX('Fleet dates'!$D$9:$D$1008,$I514-8)="","",INDEX('Fleet dates'!$D$9:$D$1008,$I514-8)))</x:f>
      </x:c>
      <x:c r="E514" s="51" t="str">
        <x:f>IF(506&gt;$H$4,"",IF(INDEX('Fleet dates'!$E$9:$E$1008,$I514-8)="","",INDEX('Fleet dates'!$E$9:$E$1008,$I514-8)))</x:f>
      </x:c>
      <x:c r="F514" s="51" t="str">
        <x:f>IF(506&gt;$H$4,"",IF(INDEX('Fleet dates'!$F$9:$F$1008,$I514-8)="","",INDEX('Fleet dates'!$F$9:$F$1008,$I514-8)))</x:f>
      </x:c>
      <x:c r="G514" s="50" t="str">
        <x:f>IF(506&gt;$H$4,"",IF(INDEX('Fleet dates'!$G$9:$G$1008,$I514-8)="","",INDEX('Fleet dates'!$G$9:$G$1008,$I514-8)))</x:f>
      </x:c>
      <x:c r="H514" s="50" t="str">
        <x:f>IF(506&gt;$H$4,"",IF(INDEX('Fleet dates'!$I$9:$I$1008,$I514-8)="","",INDEX('Fleet dates'!$I$9:$I$1008,$I514-8)))</x:f>
      </x:c>
      <x:c r="I514" t="str">
        <x:f>IF(506&gt;$H$4,"",MATCH(506,'Fleet dates'!$L$9:$L$1008,0)+8)</x:f>
      </x:c>
    </x:row>
    <x:row r="515" ht="36" customHeight="1">
      <x:c r="A515" s="50" t="str">
        <x:f>IF(507&gt;$H$4,"",IF(INDEX('Fleet dates'!$A$9:$A$1008,$I515-8)="","",INDEX('Fleet dates'!$A$9:$A$1008,$I515-8)))</x:f>
      </x:c>
      <x:c r="B515" s="50" t="str">
        <x:f>IF(507&gt;$H$4,"",IF(INDEX('Fleet dates'!$B$9:$B$1008,$I515-8)="","",INDEX('Fleet dates'!$B$9:$B$1008,$I515-8)))</x:f>
      </x:c>
      <x:c r="C515" s="51" t="str">
        <x:f>IF(507&gt;$H$4,"",IF(INDEX('Fleet dates'!$C$9:$C$1008,$I515-8)="","",INDEX('Fleet dates'!$C$9:$C$1008,$I515-8)))</x:f>
      </x:c>
      <x:c r="D515" s="51" t="str">
        <x:f>IF(507&gt;$H$4,"",IF(INDEX('Fleet dates'!$D$9:$D$1008,$I515-8)="","",INDEX('Fleet dates'!$D$9:$D$1008,$I515-8)))</x:f>
      </x:c>
      <x:c r="E515" s="51" t="str">
        <x:f>IF(507&gt;$H$4,"",IF(INDEX('Fleet dates'!$E$9:$E$1008,$I515-8)="","",INDEX('Fleet dates'!$E$9:$E$1008,$I515-8)))</x:f>
      </x:c>
      <x:c r="F515" s="51" t="str">
        <x:f>IF(507&gt;$H$4,"",IF(INDEX('Fleet dates'!$F$9:$F$1008,$I515-8)="","",INDEX('Fleet dates'!$F$9:$F$1008,$I515-8)))</x:f>
      </x:c>
      <x:c r="G515" s="50" t="str">
        <x:f>IF(507&gt;$H$4,"",IF(INDEX('Fleet dates'!$G$9:$G$1008,$I515-8)="","",INDEX('Fleet dates'!$G$9:$G$1008,$I515-8)))</x:f>
      </x:c>
      <x:c r="H515" s="50" t="str">
        <x:f>IF(507&gt;$H$4,"",IF(INDEX('Fleet dates'!$I$9:$I$1008,$I515-8)="","",INDEX('Fleet dates'!$I$9:$I$1008,$I515-8)))</x:f>
      </x:c>
      <x:c r="I515" t="str">
        <x:f>IF(507&gt;$H$4,"",MATCH(507,'Fleet dates'!$L$9:$L$1008,0)+8)</x:f>
      </x:c>
    </x:row>
    <x:row r="516" ht="36" customHeight="1">
      <x:c r="A516" s="50" t="str">
        <x:f>IF(508&gt;$H$4,"",IF(INDEX('Fleet dates'!$A$9:$A$1008,$I516-8)="","",INDEX('Fleet dates'!$A$9:$A$1008,$I516-8)))</x:f>
      </x:c>
      <x:c r="B516" s="50" t="str">
        <x:f>IF(508&gt;$H$4,"",IF(INDEX('Fleet dates'!$B$9:$B$1008,$I516-8)="","",INDEX('Fleet dates'!$B$9:$B$1008,$I516-8)))</x:f>
      </x:c>
      <x:c r="C516" s="51" t="str">
        <x:f>IF(508&gt;$H$4,"",IF(INDEX('Fleet dates'!$C$9:$C$1008,$I516-8)="","",INDEX('Fleet dates'!$C$9:$C$1008,$I516-8)))</x:f>
      </x:c>
      <x:c r="D516" s="51" t="str">
        <x:f>IF(508&gt;$H$4,"",IF(INDEX('Fleet dates'!$D$9:$D$1008,$I516-8)="","",INDEX('Fleet dates'!$D$9:$D$1008,$I516-8)))</x:f>
      </x:c>
      <x:c r="E516" s="51" t="str">
        <x:f>IF(508&gt;$H$4,"",IF(INDEX('Fleet dates'!$E$9:$E$1008,$I516-8)="","",INDEX('Fleet dates'!$E$9:$E$1008,$I516-8)))</x:f>
      </x:c>
      <x:c r="F516" s="51" t="str">
        <x:f>IF(508&gt;$H$4,"",IF(INDEX('Fleet dates'!$F$9:$F$1008,$I516-8)="","",INDEX('Fleet dates'!$F$9:$F$1008,$I516-8)))</x:f>
      </x:c>
      <x:c r="G516" s="50" t="str">
        <x:f>IF(508&gt;$H$4,"",IF(INDEX('Fleet dates'!$G$9:$G$1008,$I516-8)="","",INDEX('Fleet dates'!$G$9:$G$1008,$I516-8)))</x:f>
      </x:c>
      <x:c r="H516" s="50" t="str">
        <x:f>IF(508&gt;$H$4,"",IF(INDEX('Fleet dates'!$I$9:$I$1008,$I516-8)="","",INDEX('Fleet dates'!$I$9:$I$1008,$I516-8)))</x:f>
      </x:c>
      <x:c r="I516" t="str">
        <x:f>IF(508&gt;$H$4,"",MATCH(508,'Fleet dates'!$L$9:$L$1008,0)+8)</x:f>
      </x:c>
    </x:row>
    <x:row r="517" ht="36" customHeight="1">
      <x:c r="A517" s="50" t="str">
        <x:f>IF(509&gt;$H$4,"",IF(INDEX('Fleet dates'!$A$9:$A$1008,$I517-8)="","",INDEX('Fleet dates'!$A$9:$A$1008,$I517-8)))</x:f>
      </x:c>
      <x:c r="B517" s="50" t="str">
        <x:f>IF(509&gt;$H$4,"",IF(INDEX('Fleet dates'!$B$9:$B$1008,$I517-8)="","",INDEX('Fleet dates'!$B$9:$B$1008,$I517-8)))</x:f>
      </x:c>
      <x:c r="C517" s="51" t="str">
        <x:f>IF(509&gt;$H$4,"",IF(INDEX('Fleet dates'!$C$9:$C$1008,$I517-8)="","",INDEX('Fleet dates'!$C$9:$C$1008,$I517-8)))</x:f>
      </x:c>
      <x:c r="D517" s="51" t="str">
        <x:f>IF(509&gt;$H$4,"",IF(INDEX('Fleet dates'!$D$9:$D$1008,$I517-8)="","",INDEX('Fleet dates'!$D$9:$D$1008,$I517-8)))</x:f>
      </x:c>
      <x:c r="E517" s="51" t="str">
        <x:f>IF(509&gt;$H$4,"",IF(INDEX('Fleet dates'!$E$9:$E$1008,$I517-8)="","",INDEX('Fleet dates'!$E$9:$E$1008,$I517-8)))</x:f>
      </x:c>
      <x:c r="F517" s="51" t="str">
        <x:f>IF(509&gt;$H$4,"",IF(INDEX('Fleet dates'!$F$9:$F$1008,$I517-8)="","",INDEX('Fleet dates'!$F$9:$F$1008,$I517-8)))</x:f>
      </x:c>
      <x:c r="G517" s="50" t="str">
        <x:f>IF(509&gt;$H$4,"",IF(INDEX('Fleet dates'!$G$9:$G$1008,$I517-8)="","",INDEX('Fleet dates'!$G$9:$G$1008,$I517-8)))</x:f>
      </x:c>
      <x:c r="H517" s="50" t="str">
        <x:f>IF(509&gt;$H$4,"",IF(INDEX('Fleet dates'!$I$9:$I$1008,$I517-8)="","",INDEX('Fleet dates'!$I$9:$I$1008,$I517-8)))</x:f>
      </x:c>
      <x:c r="I517" t="str">
        <x:f>IF(509&gt;$H$4,"",MATCH(509,'Fleet dates'!$L$9:$L$1008,0)+8)</x:f>
      </x:c>
    </x:row>
    <x:row r="518" ht="36" customHeight="1">
      <x:c r="A518" s="50" t="str">
        <x:f>IF(510&gt;$H$4,"",IF(INDEX('Fleet dates'!$A$9:$A$1008,$I518-8)="","",INDEX('Fleet dates'!$A$9:$A$1008,$I518-8)))</x:f>
      </x:c>
      <x:c r="B518" s="50" t="str">
        <x:f>IF(510&gt;$H$4,"",IF(INDEX('Fleet dates'!$B$9:$B$1008,$I518-8)="","",INDEX('Fleet dates'!$B$9:$B$1008,$I518-8)))</x:f>
      </x:c>
      <x:c r="C518" s="51" t="str">
        <x:f>IF(510&gt;$H$4,"",IF(INDEX('Fleet dates'!$C$9:$C$1008,$I518-8)="","",INDEX('Fleet dates'!$C$9:$C$1008,$I518-8)))</x:f>
      </x:c>
      <x:c r="D518" s="51" t="str">
        <x:f>IF(510&gt;$H$4,"",IF(INDEX('Fleet dates'!$D$9:$D$1008,$I518-8)="","",INDEX('Fleet dates'!$D$9:$D$1008,$I518-8)))</x:f>
      </x:c>
      <x:c r="E518" s="51" t="str">
        <x:f>IF(510&gt;$H$4,"",IF(INDEX('Fleet dates'!$E$9:$E$1008,$I518-8)="","",INDEX('Fleet dates'!$E$9:$E$1008,$I518-8)))</x:f>
      </x:c>
      <x:c r="F518" s="51" t="str">
        <x:f>IF(510&gt;$H$4,"",IF(INDEX('Fleet dates'!$F$9:$F$1008,$I518-8)="","",INDEX('Fleet dates'!$F$9:$F$1008,$I518-8)))</x:f>
      </x:c>
      <x:c r="G518" s="50" t="str">
        <x:f>IF(510&gt;$H$4,"",IF(INDEX('Fleet dates'!$G$9:$G$1008,$I518-8)="","",INDEX('Fleet dates'!$G$9:$G$1008,$I518-8)))</x:f>
      </x:c>
      <x:c r="H518" s="50" t="str">
        <x:f>IF(510&gt;$H$4,"",IF(INDEX('Fleet dates'!$I$9:$I$1008,$I518-8)="","",INDEX('Fleet dates'!$I$9:$I$1008,$I518-8)))</x:f>
      </x:c>
      <x:c r="I518" t="str">
        <x:f>IF(510&gt;$H$4,"",MATCH(510,'Fleet dates'!$L$9:$L$1008,0)+8)</x:f>
      </x:c>
    </x:row>
    <x:row r="519" ht="36" customHeight="1">
      <x:c r="A519" s="50" t="str">
        <x:f>IF(511&gt;$H$4,"",IF(INDEX('Fleet dates'!$A$9:$A$1008,$I519-8)="","",INDEX('Fleet dates'!$A$9:$A$1008,$I519-8)))</x:f>
      </x:c>
      <x:c r="B519" s="50" t="str">
        <x:f>IF(511&gt;$H$4,"",IF(INDEX('Fleet dates'!$B$9:$B$1008,$I519-8)="","",INDEX('Fleet dates'!$B$9:$B$1008,$I519-8)))</x:f>
      </x:c>
      <x:c r="C519" s="51" t="str">
        <x:f>IF(511&gt;$H$4,"",IF(INDEX('Fleet dates'!$C$9:$C$1008,$I519-8)="","",INDEX('Fleet dates'!$C$9:$C$1008,$I519-8)))</x:f>
      </x:c>
      <x:c r="D519" s="51" t="str">
        <x:f>IF(511&gt;$H$4,"",IF(INDEX('Fleet dates'!$D$9:$D$1008,$I519-8)="","",INDEX('Fleet dates'!$D$9:$D$1008,$I519-8)))</x:f>
      </x:c>
      <x:c r="E519" s="51" t="str">
        <x:f>IF(511&gt;$H$4,"",IF(INDEX('Fleet dates'!$E$9:$E$1008,$I519-8)="","",INDEX('Fleet dates'!$E$9:$E$1008,$I519-8)))</x:f>
      </x:c>
      <x:c r="F519" s="51" t="str">
        <x:f>IF(511&gt;$H$4,"",IF(INDEX('Fleet dates'!$F$9:$F$1008,$I519-8)="","",INDEX('Fleet dates'!$F$9:$F$1008,$I519-8)))</x:f>
      </x:c>
      <x:c r="G519" s="50" t="str">
        <x:f>IF(511&gt;$H$4,"",IF(INDEX('Fleet dates'!$G$9:$G$1008,$I519-8)="","",INDEX('Fleet dates'!$G$9:$G$1008,$I519-8)))</x:f>
      </x:c>
      <x:c r="H519" s="50" t="str">
        <x:f>IF(511&gt;$H$4,"",IF(INDEX('Fleet dates'!$I$9:$I$1008,$I519-8)="","",INDEX('Fleet dates'!$I$9:$I$1008,$I519-8)))</x:f>
      </x:c>
      <x:c r="I519" t="str">
        <x:f>IF(511&gt;$H$4,"",MATCH(511,'Fleet dates'!$L$9:$L$1008,0)+8)</x:f>
      </x:c>
    </x:row>
    <x:row r="520" ht="36" customHeight="1">
      <x:c r="A520" s="50" t="str">
        <x:f>IF(512&gt;$H$4,"",IF(INDEX('Fleet dates'!$A$9:$A$1008,$I520-8)="","",INDEX('Fleet dates'!$A$9:$A$1008,$I520-8)))</x:f>
      </x:c>
      <x:c r="B520" s="50" t="str">
        <x:f>IF(512&gt;$H$4,"",IF(INDEX('Fleet dates'!$B$9:$B$1008,$I520-8)="","",INDEX('Fleet dates'!$B$9:$B$1008,$I520-8)))</x:f>
      </x:c>
      <x:c r="C520" s="51" t="str">
        <x:f>IF(512&gt;$H$4,"",IF(INDEX('Fleet dates'!$C$9:$C$1008,$I520-8)="","",INDEX('Fleet dates'!$C$9:$C$1008,$I520-8)))</x:f>
      </x:c>
      <x:c r="D520" s="51" t="str">
        <x:f>IF(512&gt;$H$4,"",IF(INDEX('Fleet dates'!$D$9:$D$1008,$I520-8)="","",INDEX('Fleet dates'!$D$9:$D$1008,$I520-8)))</x:f>
      </x:c>
      <x:c r="E520" s="51" t="str">
        <x:f>IF(512&gt;$H$4,"",IF(INDEX('Fleet dates'!$E$9:$E$1008,$I520-8)="","",INDEX('Fleet dates'!$E$9:$E$1008,$I520-8)))</x:f>
      </x:c>
      <x:c r="F520" s="51" t="str">
        <x:f>IF(512&gt;$H$4,"",IF(INDEX('Fleet dates'!$F$9:$F$1008,$I520-8)="","",INDEX('Fleet dates'!$F$9:$F$1008,$I520-8)))</x:f>
      </x:c>
      <x:c r="G520" s="50" t="str">
        <x:f>IF(512&gt;$H$4,"",IF(INDEX('Fleet dates'!$G$9:$G$1008,$I520-8)="","",INDEX('Fleet dates'!$G$9:$G$1008,$I520-8)))</x:f>
      </x:c>
      <x:c r="H520" s="50" t="str">
        <x:f>IF(512&gt;$H$4,"",IF(INDEX('Fleet dates'!$I$9:$I$1008,$I520-8)="","",INDEX('Fleet dates'!$I$9:$I$1008,$I520-8)))</x:f>
      </x:c>
      <x:c r="I520" t="str">
        <x:f>IF(512&gt;$H$4,"",MATCH(512,'Fleet dates'!$L$9:$L$1008,0)+8)</x:f>
      </x:c>
    </x:row>
    <x:row r="521" ht="36" customHeight="1">
      <x:c r="A521" s="50" t="str">
        <x:f>IF(513&gt;$H$4,"",IF(INDEX('Fleet dates'!$A$9:$A$1008,$I521-8)="","",INDEX('Fleet dates'!$A$9:$A$1008,$I521-8)))</x:f>
      </x:c>
      <x:c r="B521" s="50" t="str">
        <x:f>IF(513&gt;$H$4,"",IF(INDEX('Fleet dates'!$B$9:$B$1008,$I521-8)="","",INDEX('Fleet dates'!$B$9:$B$1008,$I521-8)))</x:f>
      </x:c>
      <x:c r="C521" s="51" t="str">
        <x:f>IF(513&gt;$H$4,"",IF(INDEX('Fleet dates'!$C$9:$C$1008,$I521-8)="","",INDEX('Fleet dates'!$C$9:$C$1008,$I521-8)))</x:f>
      </x:c>
      <x:c r="D521" s="51" t="str">
        <x:f>IF(513&gt;$H$4,"",IF(INDEX('Fleet dates'!$D$9:$D$1008,$I521-8)="","",INDEX('Fleet dates'!$D$9:$D$1008,$I521-8)))</x:f>
      </x:c>
      <x:c r="E521" s="51" t="str">
        <x:f>IF(513&gt;$H$4,"",IF(INDEX('Fleet dates'!$E$9:$E$1008,$I521-8)="","",INDEX('Fleet dates'!$E$9:$E$1008,$I521-8)))</x:f>
      </x:c>
      <x:c r="F521" s="51" t="str">
        <x:f>IF(513&gt;$H$4,"",IF(INDEX('Fleet dates'!$F$9:$F$1008,$I521-8)="","",INDEX('Fleet dates'!$F$9:$F$1008,$I521-8)))</x:f>
      </x:c>
      <x:c r="G521" s="50" t="str">
        <x:f>IF(513&gt;$H$4,"",IF(INDEX('Fleet dates'!$G$9:$G$1008,$I521-8)="","",INDEX('Fleet dates'!$G$9:$G$1008,$I521-8)))</x:f>
      </x:c>
      <x:c r="H521" s="50" t="str">
        <x:f>IF(513&gt;$H$4,"",IF(INDEX('Fleet dates'!$I$9:$I$1008,$I521-8)="","",INDEX('Fleet dates'!$I$9:$I$1008,$I521-8)))</x:f>
      </x:c>
      <x:c r="I521" t="str">
        <x:f>IF(513&gt;$H$4,"",MATCH(513,'Fleet dates'!$L$9:$L$1008,0)+8)</x:f>
      </x:c>
    </x:row>
    <x:row r="522" ht="36" customHeight="1">
      <x:c r="A522" s="50" t="str">
        <x:f>IF(514&gt;$H$4,"",IF(INDEX('Fleet dates'!$A$9:$A$1008,$I522-8)="","",INDEX('Fleet dates'!$A$9:$A$1008,$I522-8)))</x:f>
      </x:c>
      <x:c r="B522" s="50" t="str">
        <x:f>IF(514&gt;$H$4,"",IF(INDEX('Fleet dates'!$B$9:$B$1008,$I522-8)="","",INDEX('Fleet dates'!$B$9:$B$1008,$I522-8)))</x:f>
      </x:c>
      <x:c r="C522" s="51" t="str">
        <x:f>IF(514&gt;$H$4,"",IF(INDEX('Fleet dates'!$C$9:$C$1008,$I522-8)="","",INDEX('Fleet dates'!$C$9:$C$1008,$I522-8)))</x:f>
      </x:c>
      <x:c r="D522" s="51" t="str">
        <x:f>IF(514&gt;$H$4,"",IF(INDEX('Fleet dates'!$D$9:$D$1008,$I522-8)="","",INDEX('Fleet dates'!$D$9:$D$1008,$I522-8)))</x:f>
      </x:c>
      <x:c r="E522" s="51" t="str">
        <x:f>IF(514&gt;$H$4,"",IF(INDEX('Fleet dates'!$E$9:$E$1008,$I522-8)="","",INDEX('Fleet dates'!$E$9:$E$1008,$I522-8)))</x:f>
      </x:c>
      <x:c r="F522" s="51" t="str">
        <x:f>IF(514&gt;$H$4,"",IF(INDEX('Fleet dates'!$F$9:$F$1008,$I522-8)="","",INDEX('Fleet dates'!$F$9:$F$1008,$I522-8)))</x:f>
      </x:c>
      <x:c r="G522" s="50" t="str">
        <x:f>IF(514&gt;$H$4,"",IF(INDEX('Fleet dates'!$G$9:$G$1008,$I522-8)="","",INDEX('Fleet dates'!$G$9:$G$1008,$I522-8)))</x:f>
      </x:c>
      <x:c r="H522" s="50" t="str">
        <x:f>IF(514&gt;$H$4,"",IF(INDEX('Fleet dates'!$I$9:$I$1008,$I522-8)="","",INDEX('Fleet dates'!$I$9:$I$1008,$I522-8)))</x:f>
      </x:c>
      <x:c r="I522" t="str">
        <x:f>IF(514&gt;$H$4,"",MATCH(514,'Fleet dates'!$L$9:$L$1008,0)+8)</x:f>
      </x:c>
    </x:row>
    <x:row r="523" ht="36" customHeight="1">
      <x:c r="A523" s="50" t="str">
        <x:f>IF(515&gt;$H$4,"",IF(INDEX('Fleet dates'!$A$9:$A$1008,$I523-8)="","",INDEX('Fleet dates'!$A$9:$A$1008,$I523-8)))</x:f>
      </x:c>
      <x:c r="B523" s="50" t="str">
        <x:f>IF(515&gt;$H$4,"",IF(INDEX('Fleet dates'!$B$9:$B$1008,$I523-8)="","",INDEX('Fleet dates'!$B$9:$B$1008,$I523-8)))</x:f>
      </x:c>
      <x:c r="C523" s="51" t="str">
        <x:f>IF(515&gt;$H$4,"",IF(INDEX('Fleet dates'!$C$9:$C$1008,$I523-8)="","",INDEX('Fleet dates'!$C$9:$C$1008,$I523-8)))</x:f>
      </x:c>
      <x:c r="D523" s="51" t="str">
        <x:f>IF(515&gt;$H$4,"",IF(INDEX('Fleet dates'!$D$9:$D$1008,$I523-8)="","",INDEX('Fleet dates'!$D$9:$D$1008,$I523-8)))</x:f>
      </x:c>
      <x:c r="E523" s="51" t="str">
        <x:f>IF(515&gt;$H$4,"",IF(INDEX('Fleet dates'!$E$9:$E$1008,$I523-8)="","",INDEX('Fleet dates'!$E$9:$E$1008,$I523-8)))</x:f>
      </x:c>
      <x:c r="F523" s="51" t="str">
        <x:f>IF(515&gt;$H$4,"",IF(INDEX('Fleet dates'!$F$9:$F$1008,$I523-8)="","",INDEX('Fleet dates'!$F$9:$F$1008,$I523-8)))</x:f>
      </x:c>
      <x:c r="G523" s="50" t="str">
        <x:f>IF(515&gt;$H$4,"",IF(INDEX('Fleet dates'!$G$9:$G$1008,$I523-8)="","",INDEX('Fleet dates'!$G$9:$G$1008,$I523-8)))</x:f>
      </x:c>
      <x:c r="H523" s="50" t="str">
        <x:f>IF(515&gt;$H$4,"",IF(INDEX('Fleet dates'!$I$9:$I$1008,$I523-8)="","",INDEX('Fleet dates'!$I$9:$I$1008,$I523-8)))</x:f>
      </x:c>
      <x:c r="I523" t="str">
        <x:f>IF(515&gt;$H$4,"",MATCH(515,'Fleet dates'!$L$9:$L$1008,0)+8)</x:f>
      </x:c>
    </x:row>
    <x:row r="524" ht="36" customHeight="1">
      <x:c r="A524" s="50" t="str">
        <x:f>IF(516&gt;$H$4,"",IF(INDEX('Fleet dates'!$A$9:$A$1008,$I524-8)="","",INDEX('Fleet dates'!$A$9:$A$1008,$I524-8)))</x:f>
      </x:c>
      <x:c r="B524" s="50" t="str">
        <x:f>IF(516&gt;$H$4,"",IF(INDEX('Fleet dates'!$B$9:$B$1008,$I524-8)="","",INDEX('Fleet dates'!$B$9:$B$1008,$I524-8)))</x:f>
      </x:c>
      <x:c r="C524" s="51" t="str">
        <x:f>IF(516&gt;$H$4,"",IF(INDEX('Fleet dates'!$C$9:$C$1008,$I524-8)="","",INDEX('Fleet dates'!$C$9:$C$1008,$I524-8)))</x:f>
      </x:c>
      <x:c r="D524" s="51" t="str">
        <x:f>IF(516&gt;$H$4,"",IF(INDEX('Fleet dates'!$D$9:$D$1008,$I524-8)="","",INDEX('Fleet dates'!$D$9:$D$1008,$I524-8)))</x:f>
      </x:c>
      <x:c r="E524" s="51" t="str">
        <x:f>IF(516&gt;$H$4,"",IF(INDEX('Fleet dates'!$E$9:$E$1008,$I524-8)="","",INDEX('Fleet dates'!$E$9:$E$1008,$I524-8)))</x:f>
      </x:c>
      <x:c r="F524" s="51" t="str">
        <x:f>IF(516&gt;$H$4,"",IF(INDEX('Fleet dates'!$F$9:$F$1008,$I524-8)="","",INDEX('Fleet dates'!$F$9:$F$1008,$I524-8)))</x:f>
      </x:c>
      <x:c r="G524" s="50" t="str">
        <x:f>IF(516&gt;$H$4,"",IF(INDEX('Fleet dates'!$G$9:$G$1008,$I524-8)="","",INDEX('Fleet dates'!$G$9:$G$1008,$I524-8)))</x:f>
      </x:c>
      <x:c r="H524" s="50" t="str">
        <x:f>IF(516&gt;$H$4,"",IF(INDEX('Fleet dates'!$I$9:$I$1008,$I524-8)="","",INDEX('Fleet dates'!$I$9:$I$1008,$I524-8)))</x:f>
      </x:c>
      <x:c r="I524" t="str">
        <x:f>IF(516&gt;$H$4,"",MATCH(516,'Fleet dates'!$L$9:$L$1008,0)+8)</x:f>
      </x:c>
    </x:row>
    <x:row r="525" ht="36" customHeight="1">
      <x:c r="A525" s="50" t="str">
        <x:f>IF(517&gt;$H$4,"",IF(INDEX('Fleet dates'!$A$9:$A$1008,$I525-8)="","",INDEX('Fleet dates'!$A$9:$A$1008,$I525-8)))</x:f>
      </x:c>
      <x:c r="B525" s="50" t="str">
        <x:f>IF(517&gt;$H$4,"",IF(INDEX('Fleet dates'!$B$9:$B$1008,$I525-8)="","",INDEX('Fleet dates'!$B$9:$B$1008,$I525-8)))</x:f>
      </x:c>
      <x:c r="C525" s="51" t="str">
        <x:f>IF(517&gt;$H$4,"",IF(INDEX('Fleet dates'!$C$9:$C$1008,$I525-8)="","",INDEX('Fleet dates'!$C$9:$C$1008,$I525-8)))</x:f>
      </x:c>
      <x:c r="D525" s="51" t="str">
        <x:f>IF(517&gt;$H$4,"",IF(INDEX('Fleet dates'!$D$9:$D$1008,$I525-8)="","",INDEX('Fleet dates'!$D$9:$D$1008,$I525-8)))</x:f>
      </x:c>
      <x:c r="E525" s="51" t="str">
        <x:f>IF(517&gt;$H$4,"",IF(INDEX('Fleet dates'!$E$9:$E$1008,$I525-8)="","",INDEX('Fleet dates'!$E$9:$E$1008,$I525-8)))</x:f>
      </x:c>
      <x:c r="F525" s="51" t="str">
        <x:f>IF(517&gt;$H$4,"",IF(INDEX('Fleet dates'!$F$9:$F$1008,$I525-8)="","",INDEX('Fleet dates'!$F$9:$F$1008,$I525-8)))</x:f>
      </x:c>
      <x:c r="G525" s="50" t="str">
        <x:f>IF(517&gt;$H$4,"",IF(INDEX('Fleet dates'!$G$9:$G$1008,$I525-8)="","",INDEX('Fleet dates'!$G$9:$G$1008,$I525-8)))</x:f>
      </x:c>
      <x:c r="H525" s="50" t="str">
        <x:f>IF(517&gt;$H$4,"",IF(INDEX('Fleet dates'!$I$9:$I$1008,$I525-8)="","",INDEX('Fleet dates'!$I$9:$I$1008,$I525-8)))</x:f>
      </x:c>
      <x:c r="I525" t="str">
        <x:f>IF(517&gt;$H$4,"",MATCH(517,'Fleet dates'!$L$9:$L$1008,0)+8)</x:f>
      </x:c>
    </x:row>
    <x:row r="526" ht="36" customHeight="1">
      <x:c r="A526" s="50" t="str">
        <x:f>IF(518&gt;$H$4,"",IF(INDEX('Fleet dates'!$A$9:$A$1008,$I526-8)="","",INDEX('Fleet dates'!$A$9:$A$1008,$I526-8)))</x:f>
      </x:c>
      <x:c r="B526" s="50" t="str">
        <x:f>IF(518&gt;$H$4,"",IF(INDEX('Fleet dates'!$B$9:$B$1008,$I526-8)="","",INDEX('Fleet dates'!$B$9:$B$1008,$I526-8)))</x:f>
      </x:c>
      <x:c r="C526" s="51" t="str">
        <x:f>IF(518&gt;$H$4,"",IF(INDEX('Fleet dates'!$C$9:$C$1008,$I526-8)="","",INDEX('Fleet dates'!$C$9:$C$1008,$I526-8)))</x:f>
      </x:c>
      <x:c r="D526" s="51" t="str">
        <x:f>IF(518&gt;$H$4,"",IF(INDEX('Fleet dates'!$D$9:$D$1008,$I526-8)="","",INDEX('Fleet dates'!$D$9:$D$1008,$I526-8)))</x:f>
      </x:c>
      <x:c r="E526" s="51" t="str">
        <x:f>IF(518&gt;$H$4,"",IF(INDEX('Fleet dates'!$E$9:$E$1008,$I526-8)="","",INDEX('Fleet dates'!$E$9:$E$1008,$I526-8)))</x:f>
      </x:c>
      <x:c r="F526" s="51" t="str">
        <x:f>IF(518&gt;$H$4,"",IF(INDEX('Fleet dates'!$F$9:$F$1008,$I526-8)="","",INDEX('Fleet dates'!$F$9:$F$1008,$I526-8)))</x:f>
      </x:c>
      <x:c r="G526" s="50" t="str">
        <x:f>IF(518&gt;$H$4,"",IF(INDEX('Fleet dates'!$G$9:$G$1008,$I526-8)="","",INDEX('Fleet dates'!$G$9:$G$1008,$I526-8)))</x:f>
      </x:c>
      <x:c r="H526" s="50" t="str">
        <x:f>IF(518&gt;$H$4,"",IF(INDEX('Fleet dates'!$I$9:$I$1008,$I526-8)="","",INDEX('Fleet dates'!$I$9:$I$1008,$I526-8)))</x:f>
      </x:c>
      <x:c r="I526" t="str">
        <x:f>IF(518&gt;$H$4,"",MATCH(518,'Fleet dates'!$L$9:$L$1008,0)+8)</x:f>
      </x:c>
    </x:row>
    <x:row r="527" ht="36" customHeight="1">
      <x:c r="A527" s="50" t="str">
        <x:f>IF(519&gt;$H$4,"",IF(INDEX('Fleet dates'!$A$9:$A$1008,$I527-8)="","",INDEX('Fleet dates'!$A$9:$A$1008,$I527-8)))</x:f>
      </x:c>
      <x:c r="B527" s="50" t="str">
        <x:f>IF(519&gt;$H$4,"",IF(INDEX('Fleet dates'!$B$9:$B$1008,$I527-8)="","",INDEX('Fleet dates'!$B$9:$B$1008,$I527-8)))</x:f>
      </x:c>
      <x:c r="C527" s="51" t="str">
        <x:f>IF(519&gt;$H$4,"",IF(INDEX('Fleet dates'!$C$9:$C$1008,$I527-8)="","",INDEX('Fleet dates'!$C$9:$C$1008,$I527-8)))</x:f>
      </x:c>
      <x:c r="D527" s="51" t="str">
        <x:f>IF(519&gt;$H$4,"",IF(INDEX('Fleet dates'!$D$9:$D$1008,$I527-8)="","",INDEX('Fleet dates'!$D$9:$D$1008,$I527-8)))</x:f>
      </x:c>
      <x:c r="E527" s="51" t="str">
        <x:f>IF(519&gt;$H$4,"",IF(INDEX('Fleet dates'!$E$9:$E$1008,$I527-8)="","",INDEX('Fleet dates'!$E$9:$E$1008,$I527-8)))</x:f>
      </x:c>
      <x:c r="F527" s="51" t="str">
        <x:f>IF(519&gt;$H$4,"",IF(INDEX('Fleet dates'!$F$9:$F$1008,$I527-8)="","",INDEX('Fleet dates'!$F$9:$F$1008,$I527-8)))</x:f>
      </x:c>
      <x:c r="G527" s="50" t="str">
        <x:f>IF(519&gt;$H$4,"",IF(INDEX('Fleet dates'!$G$9:$G$1008,$I527-8)="","",INDEX('Fleet dates'!$G$9:$G$1008,$I527-8)))</x:f>
      </x:c>
      <x:c r="H527" s="50" t="str">
        <x:f>IF(519&gt;$H$4,"",IF(INDEX('Fleet dates'!$I$9:$I$1008,$I527-8)="","",INDEX('Fleet dates'!$I$9:$I$1008,$I527-8)))</x:f>
      </x:c>
      <x:c r="I527" t="str">
        <x:f>IF(519&gt;$H$4,"",MATCH(519,'Fleet dates'!$L$9:$L$1008,0)+8)</x:f>
      </x:c>
    </x:row>
    <x:row r="528" ht="36" customHeight="1">
      <x:c r="A528" s="50" t="str">
        <x:f>IF(520&gt;$H$4,"",IF(INDEX('Fleet dates'!$A$9:$A$1008,$I528-8)="","",INDEX('Fleet dates'!$A$9:$A$1008,$I528-8)))</x:f>
      </x:c>
      <x:c r="B528" s="50" t="str">
        <x:f>IF(520&gt;$H$4,"",IF(INDEX('Fleet dates'!$B$9:$B$1008,$I528-8)="","",INDEX('Fleet dates'!$B$9:$B$1008,$I528-8)))</x:f>
      </x:c>
      <x:c r="C528" s="51" t="str">
        <x:f>IF(520&gt;$H$4,"",IF(INDEX('Fleet dates'!$C$9:$C$1008,$I528-8)="","",INDEX('Fleet dates'!$C$9:$C$1008,$I528-8)))</x:f>
      </x:c>
      <x:c r="D528" s="51" t="str">
        <x:f>IF(520&gt;$H$4,"",IF(INDEX('Fleet dates'!$D$9:$D$1008,$I528-8)="","",INDEX('Fleet dates'!$D$9:$D$1008,$I528-8)))</x:f>
      </x:c>
      <x:c r="E528" s="51" t="str">
        <x:f>IF(520&gt;$H$4,"",IF(INDEX('Fleet dates'!$E$9:$E$1008,$I528-8)="","",INDEX('Fleet dates'!$E$9:$E$1008,$I528-8)))</x:f>
      </x:c>
      <x:c r="F528" s="51" t="str">
        <x:f>IF(520&gt;$H$4,"",IF(INDEX('Fleet dates'!$F$9:$F$1008,$I528-8)="","",INDEX('Fleet dates'!$F$9:$F$1008,$I528-8)))</x:f>
      </x:c>
      <x:c r="G528" s="50" t="str">
        <x:f>IF(520&gt;$H$4,"",IF(INDEX('Fleet dates'!$G$9:$G$1008,$I528-8)="","",INDEX('Fleet dates'!$G$9:$G$1008,$I528-8)))</x:f>
      </x:c>
      <x:c r="H528" s="50" t="str">
        <x:f>IF(520&gt;$H$4,"",IF(INDEX('Fleet dates'!$I$9:$I$1008,$I528-8)="","",INDEX('Fleet dates'!$I$9:$I$1008,$I528-8)))</x:f>
      </x:c>
      <x:c r="I528" t="str">
        <x:f>IF(520&gt;$H$4,"",MATCH(520,'Fleet dates'!$L$9:$L$1008,0)+8)</x:f>
      </x:c>
    </x:row>
    <x:row r="529" ht="36" customHeight="1">
      <x:c r="A529" s="50" t="str">
        <x:f>IF(521&gt;$H$4,"",IF(INDEX('Fleet dates'!$A$9:$A$1008,$I529-8)="","",INDEX('Fleet dates'!$A$9:$A$1008,$I529-8)))</x:f>
      </x:c>
      <x:c r="B529" s="50" t="str">
        <x:f>IF(521&gt;$H$4,"",IF(INDEX('Fleet dates'!$B$9:$B$1008,$I529-8)="","",INDEX('Fleet dates'!$B$9:$B$1008,$I529-8)))</x:f>
      </x:c>
      <x:c r="C529" s="51" t="str">
        <x:f>IF(521&gt;$H$4,"",IF(INDEX('Fleet dates'!$C$9:$C$1008,$I529-8)="","",INDEX('Fleet dates'!$C$9:$C$1008,$I529-8)))</x:f>
      </x:c>
      <x:c r="D529" s="51" t="str">
        <x:f>IF(521&gt;$H$4,"",IF(INDEX('Fleet dates'!$D$9:$D$1008,$I529-8)="","",INDEX('Fleet dates'!$D$9:$D$1008,$I529-8)))</x:f>
      </x:c>
      <x:c r="E529" s="51" t="str">
        <x:f>IF(521&gt;$H$4,"",IF(INDEX('Fleet dates'!$E$9:$E$1008,$I529-8)="","",INDEX('Fleet dates'!$E$9:$E$1008,$I529-8)))</x:f>
      </x:c>
      <x:c r="F529" s="51" t="str">
        <x:f>IF(521&gt;$H$4,"",IF(INDEX('Fleet dates'!$F$9:$F$1008,$I529-8)="","",INDEX('Fleet dates'!$F$9:$F$1008,$I529-8)))</x:f>
      </x:c>
      <x:c r="G529" s="50" t="str">
        <x:f>IF(521&gt;$H$4,"",IF(INDEX('Fleet dates'!$G$9:$G$1008,$I529-8)="","",INDEX('Fleet dates'!$G$9:$G$1008,$I529-8)))</x:f>
      </x:c>
      <x:c r="H529" s="50" t="str">
        <x:f>IF(521&gt;$H$4,"",IF(INDEX('Fleet dates'!$I$9:$I$1008,$I529-8)="","",INDEX('Fleet dates'!$I$9:$I$1008,$I529-8)))</x:f>
      </x:c>
      <x:c r="I529" t="str">
        <x:f>IF(521&gt;$H$4,"",MATCH(521,'Fleet dates'!$L$9:$L$1008,0)+8)</x:f>
      </x:c>
    </x:row>
    <x:row r="530" ht="36" customHeight="1">
      <x:c r="A530" s="50" t="str">
        <x:f>IF(522&gt;$H$4,"",IF(INDEX('Fleet dates'!$A$9:$A$1008,$I530-8)="","",INDEX('Fleet dates'!$A$9:$A$1008,$I530-8)))</x:f>
      </x:c>
      <x:c r="B530" s="50" t="str">
        <x:f>IF(522&gt;$H$4,"",IF(INDEX('Fleet dates'!$B$9:$B$1008,$I530-8)="","",INDEX('Fleet dates'!$B$9:$B$1008,$I530-8)))</x:f>
      </x:c>
      <x:c r="C530" s="51" t="str">
        <x:f>IF(522&gt;$H$4,"",IF(INDEX('Fleet dates'!$C$9:$C$1008,$I530-8)="","",INDEX('Fleet dates'!$C$9:$C$1008,$I530-8)))</x:f>
      </x:c>
      <x:c r="D530" s="51" t="str">
        <x:f>IF(522&gt;$H$4,"",IF(INDEX('Fleet dates'!$D$9:$D$1008,$I530-8)="","",INDEX('Fleet dates'!$D$9:$D$1008,$I530-8)))</x:f>
      </x:c>
      <x:c r="E530" s="51" t="str">
        <x:f>IF(522&gt;$H$4,"",IF(INDEX('Fleet dates'!$E$9:$E$1008,$I530-8)="","",INDEX('Fleet dates'!$E$9:$E$1008,$I530-8)))</x:f>
      </x:c>
      <x:c r="F530" s="51" t="str">
        <x:f>IF(522&gt;$H$4,"",IF(INDEX('Fleet dates'!$F$9:$F$1008,$I530-8)="","",INDEX('Fleet dates'!$F$9:$F$1008,$I530-8)))</x:f>
      </x:c>
      <x:c r="G530" s="50" t="str">
        <x:f>IF(522&gt;$H$4,"",IF(INDEX('Fleet dates'!$G$9:$G$1008,$I530-8)="","",INDEX('Fleet dates'!$G$9:$G$1008,$I530-8)))</x:f>
      </x:c>
      <x:c r="H530" s="50" t="str">
        <x:f>IF(522&gt;$H$4,"",IF(INDEX('Fleet dates'!$I$9:$I$1008,$I530-8)="","",INDEX('Fleet dates'!$I$9:$I$1008,$I530-8)))</x:f>
      </x:c>
      <x:c r="I530" t="str">
        <x:f>IF(522&gt;$H$4,"",MATCH(522,'Fleet dates'!$L$9:$L$1008,0)+8)</x:f>
      </x:c>
    </x:row>
    <x:row r="531" ht="36" customHeight="1">
      <x:c r="A531" s="50" t="str">
        <x:f>IF(523&gt;$H$4,"",IF(INDEX('Fleet dates'!$A$9:$A$1008,$I531-8)="","",INDEX('Fleet dates'!$A$9:$A$1008,$I531-8)))</x:f>
      </x:c>
      <x:c r="B531" s="50" t="str">
        <x:f>IF(523&gt;$H$4,"",IF(INDEX('Fleet dates'!$B$9:$B$1008,$I531-8)="","",INDEX('Fleet dates'!$B$9:$B$1008,$I531-8)))</x:f>
      </x:c>
      <x:c r="C531" s="51" t="str">
        <x:f>IF(523&gt;$H$4,"",IF(INDEX('Fleet dates'!$C$9:$C$1008,$I531-8)="","",INDEX('Fleet dates'!$C$9:$C$1008,$I531-8)))</x:f>
      </x:c>
      <x:c r="D531" s="51" t="str">
        <x:f>IF(523&gt;$H$4,"",IF(INDEX('Fleet dates'!$D$9:$D$1008,$I531-8)="","",INDEX('Fleet dates'!$D$9:$D$1008,$I531-8)))</x:f>
      </x:c>
      <x:c r="E531" s="51" t="str">
        <x:f>IF(523&gt;$H$4,"",IF(INDEX('Fleet dates'!$E$9:$E$1008,$I531-8)="","",INDEX('Fleet dates'!$E$9:$E$1008,$I531-8)))</x:f>
      </x:c>
      <x:c r="F531" s="51" t="str">
        <x:f>IF(523&gt;$H$4,"",IF(INDEX('Fleet dates'!$F$9:$F$1008,$I531-8)="","",INDEX('Fleet dates'!$F$9:$F$1008,$I531-8)))</x:f>
      </x:c>
      <x:c r="G531" s="50" t="str">
        <x:f>IF(523&gt;$H$4,"",IF(INDEX('Fleet dates'!$G$9:$G$1008,$I531-8)="","",INDEX('Fleet dates'!$G$9:$G$1008,$I531-8)))</x:f>
      </x:c>
      <x:c r="H531" s="50" t="str">
        <x:f>IF(523&gt;$H$4,"",IF(INDEX('Fleet dates'!$I$9:$I$1008,$I531-8)="","",INDEX('Fleet dates'!$I$9:$I$1008,$I531-8)))</x:f>
      </x:c>
      <x:c r="I531" t="str">
        <x:f>IF(523&gt;$H$4,"",MATCH(523,'Fleet dates'!$L$9:$L$1008,0)+8)</x:f>
      </x:c>
    </x:row>
    <x:row r="532" ht="36" customHeight="1">
      <x:c r="A532" s="50" t="str">
        <x:f>IF(524&gt;$H$4,"",IF(INDEX('Fleet dates'!$A$9:$A$1008,$I532-8)="","",INDEX('Fleet dates'!$A$9:$A$1008,$I532-8)))</x:f>
      </x:c>
      <x:c r="B532" s="50" t="str">
        <x:f>IF(524&gt;$H$4,"",IF(INDEX('Fleet dates'!$B$9:$B$1008,$I532-8)="","",INDEX('Fleet dates'!$B$9:$B$1008,$I532-8)))</x:f>
      </x:c>
      <x:c r="C532" s="51" t="str">
        <x:f>IF(524&gt;$H$4,"",IF(INDEX('Fleet dates'!$C$9:$C$1008,$I532-8)="","",INDEX('Fleet dates'!$C$9:$C$1008,$I532-8)))</x:f>
      </x:c>
      <x:c r="D532" s="51" t="str">
        <x:f>IF(524&gt;$H$4,"",IF(INDEX('Fleet dates'!$D$9:$D$1008,$I532-8)="","",INDEX('Fleet dates'!$D$9:$D$1008,$I532-8)))</x:f>
      </x:c>
      <x:c r="E532" s="51" t="str">
        <x:f>IF(524&gt;$H$4,"",IF(INDEX('Fleet dates'!$E$9:$E$1008,$I532-8)="","",INDEX('Fleet dates'!$E$9:$E$1008,$I532-8)))</x:f>
      </x:c>
      <x:c r="F532" s="51" t="str">
        <x:f>IF(524&gt;$H$4,"",IF(INDEX('Fleet dates'!$F$9:$F$1008,$I532-8)="","",INDEX('Fleet dates'!$F$9:$F$1008,$I532-8)))</x:f>
      </x:c>
      <x:c r="G532" s="50" t="str">
        <x:f>IF(524&gt;$H$4,"",IF(INDEX('Fleet dates'!$G$9:$G$1008,$I532-8)="","",INDEX('Fleet dates'!$G$9:$G$1008,$I532-8)))</x:f>
      </x:c>
      <x:c r="H532" s="50" t="str">
        <x:f>IF(524&gt;$H$4,"",IF(INDEX('Fleet dates'!$I$9:$I$1008,$I532-8)="","",INDEX('Fleet dates'!$I$9:$I$1008,$I532-8)))</x:f>
      </x:c>
      <x:c r="I532" t="str">
        <x:f>IF(524&gt;$H$4,"",MATCH(524,'Fleet dates'!$L$9:$L$1008,0)+8)</x:f>
      </x:c>
    </x:row>
    <x:row r="533" ht="36" customHeight="1">
      <x:c r="A533" s="50" t="str">
        <x:f>IF(525&gt;$H$4,"",IF(INDEX('Fleet dates'!$A$9:$A$1008,$I533-8)="","",INDEX('Fleet dates'!$A$9:$A$1008,$I533-8)))</x:f>
      </x:c>
      <x:c r="B533" s="50" t="str">
        <x:f>IF(525&gt;$H$4,"",IF(INDEX('Fleet dates'!$B$9:$B$1008,$I533-8)="","",INDEX('Fleet dates'!$B$9:$B$1008,$I533-8)))</x:f>
      </x:c>
      <x:c r="C533" s="51" t="str">
        <x:f>IF(525&gt;$H$4,"",IF(INDEX('Fleet dates'!$C$9:$C$1008,$I533-8)="","",INDEX('Fleet dates'!$C$9:$C$1008,$I533-8)))</x:f>
      </x:c>
      <x:c r="D533" s="51" t="str">
        <x:f>IF(525&gt;$H$4,"",IF(INDEX('Fleet dates'!$D$9:$D$1008,$I533-8)="","",INDEX('Fleet dates'!$D$9:$D$1008,$I533-8)))</x:f>
      </x:c>
      <x:c r="E533" s="51" t="str">
        <x:f>IF(525&gt;$H$4,"",IF(INDEX('Fleet dates'!$E$9:$E$1008,$I533-8)="","",INDEX('Fleet dates'!$E$9:$E$1008,$I533-8)))</x:f>
      </x:c>
      <x:c r="F533" s="51" t="str">
        <x:f>IF(525&gt;$H$4,"",IF(INDEX('Fleet dates'!$F$9:$F$1008,$I533-8)="","",INDEX('Fleet dates'!$F$9:$F$1008,$I533-8)))</x:f>
      </x:c>
      <x:c r="G533" s="50" t="str">
        <x:f>IF(525&gt;$H$4,"",IF(INDEX('Fleet dates'!$G$9:$G$1008,$I533-8)="","",INDEX('Fleet dates'!$G$9:$G$1008,$I533-8)))</x:f>
      </x:c>
      <x:c r="H533" s="50" t="str">
        <x:f>IF(525&gt;$H$4,"",IF(INDEX('Fleet dates'!$I$9:$I$1008,$I533-8)="","",INDEX('Fleet dates'!$I$9:$I$1008,$I533-8)))</x:f>
      </x:c>
      <x:c r="I533" t="str">
        <x:f>IF(525&gt;$H$4,"",MATCH(525,'Fleet dates'!$L$9:$L$1008,0)+8)</x:f>
      </x:c>
    </x:row>
    <x:row r="534" ht="36" customHeight="1">
      <x:c r="A534" s="50" t="str">
        <x:f>IF(526&gt;$H$4,"",IF(INDEX('Fleet dates'!$A$9:$A$1008,$I534-8)="","",INDEX('Fleet dates'!$A$9:$A$1008,$I534-8)))</x:f>
      </x:c>
      <x:c r="B534" s="50" t="str">
        <x:f>IF(526&gt;$H$4,"",IF(INDEX('Fleet dates'!$B$9:$B$1008,$I534-8)="","",INDEX('Fleet dates'!$B$9:$B$1008,$I534-8)))</x:f>
      </x:c>
      <x:c r="C534" s="51" t="str">
        <x:f>IF(526&gt;$H$4,"",IF(INDEX('Fleet dates'!$C$9:$C$1008,$I534-8)="","",INDEX('Fleet dates'!$C$9:$C$1008,$I534-8)))</x:f>
      </x:c>
      <x:c r="D534" s="51" t="str">
        <x:f>IF(526&gt;$H$4,"",IF(INDEX('Fleet dates'!$D$9:$D$1008,$I534-8)="","",INDEX('Fleet dates'!$D$9:$D$1008,$I534-8)))</x:f>
      </x:c>
      <x:c r="E534" s="51" t="str">
        <x:f>IF(526&gt;$H$4,"",IF(INDEX('Fleet dates'!$E$9:$E$1008,$I534-8)="","",INDEX('Fleet dates'!$E$9:$E$1008,$I534-8)))</x:f>
      </x:c>
      <x:c r="F534" s="51" t="str">
        <x:f>IF(526&gt;$H$4,"",IF(INDEX('Fleet dates'!$F$9:$F$1008,$I534-8)="","",INDEX('Fleet dates'!$F$9:$F$1008,$I534-8)))</x:f>
      </x:c>
      <x:c r="G534" s="50" t="str">
        <x:f>IF(526&gt;$H$4,"",IF(INDEX('Fleet dates'!$G$9:$G$1008,$I534-8)="","",INDEX('Fleet dates'!$G$9:$G$1008,$I534-8)))</x:f>
      </x:c>
      <x:c r="H534" s="50" t="str">
        <x:f>IF(526&gt;$H$4,"",IF(INDEX('Fleet dates'!$I$9:$I$1008,$I534-8)="","",INDEX('Fleet dates'!$I$9:$I$1008,$I534-8)))</x:f>
      </x:c>
      <x:c r="I534" t="str">
        <x:f>IF(526&gt;$H$4,"",MATCH(526,'Fleet dates'!$L$9:$L$1008,0)+8)</x:f>
      </x:c>
    </x:row>
    <x:row r="535" ht="36" customHeight="1">
      <x:c r="A535" s="50" t="str">
        <x:f>IF(527&gt;$H$4,"",IF(INDEX('Fleet dates'!$A$9:$A$1008,$I535-8)="","",INDEX('Fleet dates'!$A$9:$A$1008,$I535-8)))</x:f>
      </x:c>
      <x:c r="B535" s="50" t="str">
        <x:f>IF(527&gt;$H$4,"",IF(INDEX('Fleet dates'!$B$9:$B$1008,$I535-8)="","",INDEX('Fleet dates'!$B$9:$B$1008,$I535-8)))</x:f>
      </x:c>
      <x:c r="C535" s="51" t="str">
        <x:f>IF(527&gt;$H$4,"",IF(INDEX('Fleet dates'!$C$9:$C$1008,$I535-8)="","",INDEX('Fleet dates'!$C$9:$C$1008,$I535-8)))</x:f>
      </x:c>
      <x:c r="D535" s="51" t="str">
        <x:f>IF(527&gt;$H$4,"",IF(INDEX('Fleet dates'!$D$9:$D$1008,$I535-8)="","",INDEX('Fleet dates'!$D$9:$D$1008,$I535-8)))</x:f>
      </x:c>
      <x:c r="E535" s="51" t="str">
        <x:f>IF(527&gt;$H$4,"",IF(INDEX('Fleet dates'!$E$9:$E$1008,$I535-8)="","",INDEX('Fleet dates'!$E$9:$E$1008,$I535-8)))</x:f>
      </x:c>
      <x:c r="F535" s="51" t="str">
        <x:f>IF(527&gt;$H$4,"",IF(INDEX('Fleet dates'!$F$9:$F$1008,$I535-8)="","",INDEX('Fleet dates'!$F$9:$F$1008,$I535-8)))</x:f>
      </x:c>
      <x:c r="G535" s="50" t="str">
        <x:f>IF(527&gt;$H$4,"",IF(INDEX('Fleet dates'!$G$9:$G$1008,$I535-8)="","",INDEX('Fleet dates'!$G$9:$G$1008,$I535-8)))</x:f>
      </x:c>
      <x:c r="H535" s="50" t="str">
        <x:f>IF(527&gt;$H$4,"",IF(INDEX('Fleet dates'!$I$9:$I$1008,$I535-8)="","",INDEX('Fleet dates'!$I$9:$I$1008,$I535-8)))</x:f>
      </x:c>
      <x:c r="I535" t="str">
        <x:f>IF(527&gt;$H$4,"",MATCH(527,'Fleet dates'!$L$9:$L$1008,0)+8)</x:f>
      </x:c>
    </x:row>
    <x:row r="536" ht="36" customHeight="1">
      <x:c r="A536" s="50" t="str">
        <x:f>IF(528&gt;$H$4,"",IF(INDEX('Fleet dates'!$A$9:$A$1008,$I536-8)="","",INDEX('Fleet dates'!$A$9:$A$1008,$I536-8)))</x:f>
      </x:c>
      <x:c r="B536" s="50" t="str">
        <x:f>IF(528&gt;$H$4,"",IF(INDEX('Fleet dates'!$B$9:$B$1008,$I536-8)="","",INDEX('Fleet dates'!$B$9:$B$1008,$I536-8)))</x:f>
      </x:c>
      <x:c r="C536" s="51" t="str">
        <x:f>IF(528&gt;$H$4,"",IF(INDEX('Fleet dates'!$C$9:$C$1008,$I536-8)="","",INDEX('Fleet dates'!$C$9:$C$1008,$I536-8)))</x:f>
      </x:c>
      <x:c r="D536" s="51" t="str">
        <x:f>IF(528&gt;$H$4,"",IF(INDEX('Fleet dates'!$D$9:$D$1008,$I536-8)="","",INDEX('Fleet dates'!$D$9:$D$1008,$I536-8)))</x:f>
      </x:c>
      <x:c r="E536" s="51" t="str">
        <x:f>IF(528&gt;$H$4,"",IF(INDEX('Fleet dates'!$E$9:$E$1008,$I536-8)="","",INDEX('Fleet dates'!$E$9:$E$1008,$I536-8)))</x:f>
      </x:c>
      <x:c r="F536" s="51" t="str">
        <x:f>IF(528&gt;$H$4,"",IF(INDEX('Fleet dates'!$F$9:$F$1008,$I536-8)="","",INDEX('Fleet dates'!$F$9:$F$1008,$I536-8)))</x:f>
      </x:c>
      <x:c r="G536" s="50" t="str">
        <x:f>IF(528&gt;$H$4,"",IF(INDEX('Fleet dates'!$G$9:$G$1008,$I536-8)="","",INDEX('Fleet dates'!$G$9:$G$1008,$I536-8)))</x:f>
      </x:c>
      <x:c r="H536" s="50" t="str">
        <x:f>IF(528&gt;$H$4,"",IF(INDEX('Fleet dates'!$I$9:$I$1008,$I536-8)="","",INDEX('Fleet dates'!$I$9:$I$1008,$I536-8)))</x:f>
      </x:c>
      <x:c r="I536" t="str">
        <x:f>IF(528&gt;$H$4,"",MATCH(528,'Fleet dates'!$L$9:$L$1008,0)+8)</x:f>
      </x:c>
    </x:row>
    <x:row r="537" ht="36" customHeight="1">
      <x:c r="A537" s="50" t="str">
        <x:f>IF(529&gt;$H$4,"",IF(INDEX('Fleet dates'!$A$9:$A$1008,$I537-8)="","",INDEX('Fleet dates'!$A$9:$A$1008,$I537-8)))</x:f>
      </x:c>
      <x:c r="B537" s="50" t="str">
        <x:f>IF(529&gt;$H$4,"",IF(INDEX('Fleet dates'!$B$9:$B$1008,$I537-8)="","",INDEX('Fleet dates'!$B$9:$B$1008,$I537-8)))</x:f>
      </x:c>
      <x:c r="C537" s="51" t="str">
        <x:f>IF(529&gt;$H$4,"",IF(INDEX('Fleet dates'!$C$9:$C$1008,$I537-8)="","",INDEX('Fleet dates'!$C$9:$C$1008,$I537-8)))</x:f>
      </x:c>
      <x:c r="D537" s="51" t="str">
        <x:f>IF(529&gt;$H$4,"",IF(INDEX('Fleet dates'!$D$9:$D$1008,$I537-8)="","",INDEX('Fleet dates'!$D$9:$D$1008,$I537-8)))</x:f>
      </x:c>
      <x:c r="E537" s="51" t="str">
        <x:f>IF(529&gt;$H$4,"",IF(INDEX('Fleet dates'!$E$9:$E$1008,$I537-8)="","",INDEX('Fleet dates'!$E$9:$E$1008,$I537-8)))</x:f>
      </x:c>
      <x:c r="F537" s="51" t="str">
        <x:f>IF(529&gt;$H$4,"",IF(INDEX('Fleet dates'!$F$9:$F$1008,$I537-8)="","",INDEX('Fleet dates'!$F$9:$F$1008,$I537-8)))</x:f>
      </x:c>
      <x:c r="G537" s="50" t="str">
        <x:f>IF(529&gt;$H$4,"",IF(INDEX('Fleet dates'!$G$9:$G$1008,$I537-8)="","",INDEX('Fleet dates'!$G$9:$G$1008,$I537-8)))</x:f>
      </x:c>
      <x:c r="H537" s="50" t="str">
        <x:f>IF(529&gt;$H$4,"",IF(INDEX('Fleet dates'!$I$9:$I$1008,$I537-8)="","",INDEX('Fleet dates'!$I$9:$I$1008,$I537-8)))</x:f>
      </x:c>
      <x:c r="I537" t="str">
        <x:f>IF(529&gt;$H$4,"",MATCH(529,'Fleet dates'!$L$9:$L$1008,0)+8)</x:f>
      </x:c>
    </x:row>
    <x:row r="538" ht="36" customHeight="1">
      <x:c r="A538" s="50" t="str">
        <x:f>IF(530&gt;$H$4,"",IF(INDEX('Fleet dates'!$A$9:$A$1008,$I538-8)="","",INDEX('Fleet dates'!$A$9:$A$1008,$I538-8)))</x:f>
      </x:c>
      <x:c r="B538" s="50" t="str">
        <x:f>IF(530&gt;$H$4,"",IF(INDEX('Fleet dates'!$B$9:$B$1008,$I538-8)="","",INDEX('Fleet dates'!$B$9:$B$1008,$I538-8)))</x:f>
      </x:c>
      <x:c r="C538" s="51" t="str">
        <x:f>IF(530&gt;$H$4,"",IF(INDEX('Fleet dates'!$C$9:$C$1008,$I538-8)="","",INDEX('Fleet dates'!$C$9:$C$1008,$I538-8)))</x:f>
      </x:c>
      <x:c r="D538" s="51" t="str">
        <x:f>IF(530&gt;$H$4,"",IF(INDEX('Fleet dates'!$D$9:$D$1008,$I538-8)="","",INDEX('Fleet dates'!$D$9:$D$1008,$I538-8)))</x:f>
      </x:c>
      <x:c r="E538" s="51" t="str">
        <x:f>IF(530&gt;$H$4,"",IF(INDEX('Fleet dates'!$E$9:$E$1008,$I538-8)="","",INDEX('Fleet dates'!$E$9:$E$1008,$I538-8)))</x:f>
      </x:c>
      <x:c r="F538" s="51" t="str">
        <x:f>IF(530&gt;$H$4,"",IF(INDEX('Fleet dates'!$F$9:$F$1008,$I538-8)="","",INDEX('Fleet dates'!$F$9:$F$1008,$I538-8)))</x:f>
      </x:c>
      <x:c r="G538" s="50" t="str">
        <x:f>IF(530&gt;$H$4,"",IF(INDEX('Fleet dates'!$G$9:$G$1008,$I538-8)="","",INDEX('Fleet dates'!$G$9:$G$1008,$I538-8)))</x:f>
      </x:c>
      <x:c r="H538" s="50" t="str">
        <x:f>IF(530&gt;$H$4,"",IF(INDEX('Fleet dates'!$I$9:$I$1008,$I538-8)="","",INDEX('Fleet dates'!$I$9:$I$1008,$I538-8)))</x:f>
      </x:c>
      <x:c r="I538" t="str">
        <x:f>IF(530&gt;$H$4,"",MATCH(530,'Fleet dates'!$L$9:$L$1008,0)+8)</x:f>
      </x:c>
    </x:row>
    <x:row r="539" ht="36" customHeight="1">
      <x:c r="A539" s="50" t="str">
        <x:f>IF(531&gt;$H$4,"",IF(INDEX('Fleet dates'!$A$9:$A$1008,$I539-8)="","",INDEX('Fleet dates'!$A$9:$A$1008,$I539-8)))</x:f>
      </x:c>
      <x:c r="B539" s="50" t="str">
        <x:f>IF(531&gt;$H$4,"",IF(INDEX('Fleet dates'!$B$9:$B$1008,$I539-8)="","",INDEX('Fleet dates'!$B$9:$B$1008,$I539-8)))</x:f>
      </x:c>
      <x:c r="C539" s="51" t="str">
        <x:f>IF(531&gt;$H$4,"",IF(INDEX('Fleet dates'!$C$9:$C$1008,$I539-8)="","",INDEX('Fleet dates'!$C$9:$C$1008,$I539-8)))</x:f>
      </x:c>
      <x:c r="D539" s="51" t="str">
        <x:f>IF(531&gt;$H$4,"",IF(INDEX('Fleet dates'!$D$9:$D$1008,$I539-8)="","",INDEX('Fleet dates'!$D$9:$D$1008,$I539-8)))</x:f>
      </x:c>
      <x:c r="E539" s="51" t="str">
        <x:f>IF(531&gt;$H$4,"",IF(INDEX('Fleet dates'!$E$9:$E$1008,$I539-8)="","",INDEX('Fleet dates'!$E$9:$E$1008,$I539-8)))</x:f>
      </x:c>
      <x:c r="F539" s="51" t="str">
        <x:f>IF(531&gt;$H$4,"",IF(INDEX('Fleet dates'!$F$9:$F$1008,$I539-8)="","",INDEX('Fleet dates'!$F$9:$F$1008,$I539-8)))</x:f>
      </x:c>
      <x:c r="G539" s="50" t="str">
        <x:f>IF(531&gt;$H$4,"",IF(INDEX('Fleet dates'!$G$9:$G$1008,$I539-8)="","",INDEX('Fleet dates'!$G$9:$G$1008,$I539-8)))</x:f>
      </x:c>
      <x:c r="H539" s="50" t="str">
        <x:f>IF(531&gt;$H$4,"",IF(INDEX('Fleet dates'!$I$9:$I$1008,$I539-8)="","",INDEX('Fleet dates'!$I$9:$I$1008,$I539-8)))</x:f>
      </x:c>
      <x:c r="I539" t="str">
        <x:f>IF(531&gt;$H$4,"",MATCH(531,'Fleet dates'!$L$9:$L$1008,0)+8)</x:f>
      </x:c>
    </x:row>
    <x:row r="540" ht="36" customHeight="1">
      <x:c r="A540" s="50" t="str">
        <x:f>IF(532&gt;$H$4,"",IF(INDEX('Fleet dates'!$A$9:$A$1008,$I540-8)="","",INDEX('Fleet dates'!$A$9:$A$1008,$I540-8)))</x:f>
      </x:c>
      <x:c r="B540" s="50" t="str">
        <x:f>IF(532&gt;$H$4,"",IF(INDEX('Fleet dates'!$B$9:$B$1008,$I540-8)="","",INDEX('Fleet dates'!$B$9:$B$1008,$I540-8)))</x:f>
      </x:c>
      <x:c r="C540" s="51" t="str">
        <x:f>IF(532&gt;$H$4,"",IF(INDEX('Fleet dates'!$C$9:$C$1008,$I540-8)="","",INDEX('Fleet dates'!$C$9:$C$1008,$I540-8)))</x:f>
      </x:c>
      <x:c r="D540" s="51" t="str">
        <x:f>IF(532&gt;$H$4,"",IF(INDEX('Fleet dates'!$D$9:$D$1008,$I540-8)="","",INDEX('Fleet dates'!$D$9:$D$1008,$I540-8)))</x:f>
      </x:c>
      <x:c r="E540" s="51" t="str">
        <x:f>IF(532&gt;$H$4,"",IF(INDEX('Fleet dates'!$E$9:$E$1008,$I540-8)="","",INDEX('Fleet dates'!$E$9:$E$1008,$I540-8)))</x:f>
      </x:c>
      <x:c r="F540" s="51" t="str">
        <x:f>IF(532&gt;$H$4,"",IF(INDEX('Fleet dates'!$F$9:$F$1008,$I540-8)="","",INDEX('Fleet dates'!$F$9:$F$1008,$I540-8)))</x:f>
      </x:c>
      <x:c r="G540" s="50" t="str">
        <x:f>IF(532&gt;$H$4,"",IF(INDEX('Fleet dates'!$G$9:$G$1008,$I540-8)="","",INDEX('Fleet dates'!$G$9:$G$1008,$I540-8)))</x:f>
      </x:c>
      <x:c r="H540" s="50" t="str">
        <x:f>IF(532&gt;$H$4,"",IF(INDEX('Fleet dates'!$I$9:$I$1008,$I540-8)="","",INDEX('Fleet dates'!$I$9:$I$1008,$I540-8)))</x:f>
      </x:c>
      <x:c r="I540" t="str">
        <x:f>IF(532&gt;$H$4,"",MATCH(532,'Fleet dates'!$L$9:$L$1008,0)+8)</x:f>
      </x:c>
    </x:row>
    <x:row r="541" ht="36" customHeight="1">
      <x:c r="A541" s="50" t="str">
        <x:f>IF(533&gt;$H$4,"",IF(INDEX('Fleet dates'!$A$9:$A$1008,$I541-8)="","",INDEX('Fleet dates'!$A$9:$A$1008,$I541-8)))</x:f>
      </x:c>
      <x:c r="B541" s="50" t="str">
        <x:f>IF(533&gt;$H$4,"",IF(INDEX('Fleet dates'!$B$9:$B$1008,$I541-8)="","",INDEX('Fleet dates'!$B$9:$B$1008,$I541-8)))</x:f>
      </x:c>
      <x:c r="C541" s="51" t="str">
        <x:f>IF(533&gt;$H$4,"",IF(INDEX('Fleet dates'!$C$9:$C$1008,$I541-8)="","",INDEX('Fleet dates'!$C$9:$C$1008,$I541-8)))</x:f>
      </x:c>
      <x:c r="D541" s="51" t="str">
        <x:f>IF(533&gt;$H$4,"",IF(INDEX('Fleet dates'!$D$9:$D$1008,$I541-8)="","",INDEX('Fleet dates'!$D$9:$D$1008,$I541-8)))</x:f>
      </x:c>
      <x:c r="E541" s="51" t="str">
        <x:f>IF(533&gt;$H$4,"",IF(INDEX('Fleet dates'!$E$9:$E$1008,$I541-8)="","",INDEX('Fleet dates'!$E$9:$E$1008,$I541-8)))</x:f>
      </x:c>
      <x:c r="F541" s="51" t="str">
        <x:f>IF(533&gt;$H$4,"",IF(INDEX('Fleet dates'!$F$9:$F$1008,$I541-8)="","",INDEX('Fleet dates'!$F$9:$F$1008,$I541-8)))</x:f>
      </x:c>
      <x:c r="G541" s="50" t="str">
        <x:f>IF(533&gt;$H$4,"",IF(INDEX('Fleet dates'!$G$9:$G$1008,$I541-8)="","",INDEX('Fleet dates'!$G$9:$G$1008,$I541-8)))</x:f>
      </x:c>
      <x:c r="H541" s="50" t="str">
        <x:f>IF(533&gt;$H$4,"",IF(INDEX('Fleet dates'!$I$9:$I$1008,$I541-8)="","",INDEX('Fleet dates'!$I$9:$I$1008,$I541-8)))</x:f>
      </x:c>
      <x:c r="I541" t="str">
        <x:f>IF(533&gt;$H$4,"",MATCH(533,'Fleet dates'!$L$9:$L$1008,0)+8)</x:f>
      </x:c>
    </x:row>
    <x:row r="542" ht="36" customHeight="1">
      <x:c r="A542" s="50" t="str">
        <x:f>IF(534&gt;$H$4,"",IF(INDEX('Fleet dates'!$A$9:$A$1008,$I542-8)="","",INDEX('Fleet dates'!$A$9:$A$1008,$I542-8)))</x:f>
      </x:c>
      <x:c r="B542" s="50" t="str">
        <x:f>IF(534&gt;$H$4,"",IF(INDEX('Fleet dates'!$B$9:$B$1008,$I542-8)="","",INDEX('Fleet dates'!$B$9:$B$1008,$I542-8)))</x:f>
      </x:c>
      <x:c r="C542" s="51" t="str">
        <x:f>IF(534&gt;$H$4,"",IF(INDEX('Fleet dates'!$C$9:$C$1008,$I542-8)="","",INDEX('Fleet dates'!$C$9:$C$1008,$I542-8)))</x:f>
      </x:c>
      <x:c r="D542" s="51" t="str">
        <x:f>IF(534&gt;$H$4,"",IF(INDEX('Fleet dates'!$D$9:$D$1008,$I542-8)="","",INDEX('Fleet dates'!$D$9:$D$1008,$I542-8)))</x:f>
      </x:c>
      <x:c r="E542" s="51" t="str">
        <x:f>IF(534&gt;$H$4,"",IF(INDEX('Fleet dates'!$E$9:$E$1008,$I542-8)="","",INDEX('Fleet dates'!$E$9:$E$1008,$I542-8)))</x:f>
      </x:c>
      <x:c r="F542" s="51" t="str">
        <x:f>IF(534&gt;$H$4,"",IF(INDEX('Fleet dates'!$F$9:$F$1008,$I542-8)="","",INDEX('Fleet dates'!$F$9:$F$1008,$I542-8)))</x:f>
      </x:c>
      <x:c r="G542" s="50" t="str">
        <x:f>IF(534&gt;$H$4,"",IF(INDEX('Fleet dates'!$G$9:$G$1008,$I542-8)="","",INDEX('Fleet dates'!$G$9:$G$1008,$I542-8)))</x:f>
      </x:c>
      <x:c r="H542" s="50" t="str">
        <x:f>IF(534&gt;$H$4,"",IF(INDEX('Fleet dates'!$I$9:$I$1008,$I542-8)="","",INDEX('Fleet dates'!$I$9:$I$1008,$I542-8)))</x:f>
      </x:c>
      <x:c r="I542" t="str">
        <x:f>IF(534&gt;$H$4,"",MATCH(534,'Fleet dates'!$L$9:$L$1008,0)+8)</x:f>
      </x:c>
    </x:row>
    <x:row r="543" ht="36" customHeight="1">
      <x:c r="A543" s="50" t="str">
        <x:f>IF(535&gt;$H$4,"",IF(INDEX('Fleet dates'!$A$9:$A$1008,$I543-8)="","",INDEX('Fleet dates'!$A$9:$A$1008,$I543-8)))</x:f>
      </x:c>
      <x:c r="B543" s="50" t="str">
        <x:f>IF(535&gt;$H$4,"",IF(INDEX('Fleet dates'!$B$9:$B$1008,$I543-8)="","",INDEX('Fleet dates'!$B$9:$B$1008,$I543-8)))</x:f>
      </x:c>
      <x:c r="C543" s="51" t="str">
        <x:f>IF(535&gt;$H$4,"",IF(INDEX('Fleet dates'!$C$9:$C$1008,$I543-8)="","",INDEX('Fleet dates'!$C$9:$C$1008,$I543-8)))</x:f>
      </x:c>
      <x:c r="D543" s="51" t="str">
        <x:f>IF(535&gt;$H$4,"",IF(INDEX('Fleet dates'!$D$9:$D$1008,$I543-8)="","",INDEX('Fleet dates'!$D$9:$D$1008,$I543-8)))</x:f>
      </x:c>
      <x:c r="E543" s="51" t="str">
        <x:f>IF(535&gt;$H$4,"",IF(INDEX('Fleet dates'!$E$9:$E$1008,$I543-8)="","",INDEX('Fleet dates'!$E$9:$E$1008,$I543-8)))</x:f>
      </x:c>
      <x:c r="F543" s="51" t="str">
        <x:f>IF(535&gt;$H$4,"",IF(INDEX('Fleet dates'!$F$9:$F$1008,$I543-8)="","",INDEX('Fleet dates'!$F$9:$F$1008,$I543-8)))</x:f>
      </x:c>
      <x:c r="G543" s="50" t="str">
        <x:f>IF(535&gt;$H$4,"",IF(INDEX('Fleet dates'!$G$9:$G$1008,$I543-8)="","",INDEX('Fleet dates'!$G$9:$G$1008,$I543-8)))</x:f>
      </x:c>
      <x:c r="H543" s="50" t="str">
        <x:f>IF(535&gt;$H$4,"",IF(INDEX('Fleet dates'!$I$9:$I$1008,$I543-8)="","",INDEX('Fleet dates'!$I$9:$I$1008,$I543-8)))</x:f>
      </x:c>
      <x:c r="I543" t="str">
        <x:f>IF(535&gt;$H$4,"",MATCH(535,'Fleet dates'!$L$9:$L$1008,0)+8)</x:f>
      </x:c>
    </x:row>
    <x:row r="544" ht="36" customHeight="1">
      <x:c r="A544" s="50" t="str">
        <x:f>IF(536&gt;$H$4,"",IF(INDEX('Fleet dates'!$A$9:$A$1008,$I544-8)="","",INDEX('Fleet dates'!$A$9:$A$1008,$I544-8)))</x:f>
      </x:c>
      <x:c r="B544" s="50" t="str">
        <x:f>IF(536&gt;$H$4,"",IF(INDEX('Fleet dates'!$B$9:$B$1008,$I544-8)="","",INDEX('Fleet dates'!$B$9:$B$1008,$I544-8)))</x:f>
      </x:c>
      <x:c r="C544" s="51" t="str">
        <x:f>IF(536&gt;$H$4,"",IF(INDEX('Fleet dates'!$C$9:$C$1008,$I544-8)="","",INDEX('Fleet dates'!$C$9:$C$1008,$I544-8)))</x:f>
      </x:c>
      <x:c r="D544" s="51" t="str">
        <x:f>IF(536&gt;$H$4,"",IF(INDEX('Fleet dates'!$D$9:$D$1008,$I544-8)="","",INDEX('Fleet dates'!$D$9:$D$1008,$I544-8)))</x:f>
      </x:c>
      <x:c r="E544" s="51" t="str">
        <x:f>IF(536&gt;$H$4,"",IF(INDEX('Fleet dates'!$E$9:$E$1008,$I544-8)="","",INDEX('Fleet dates'!$E$9:$E$1008,$I544-8)))</x:f>
      </x:c>
      <x:c r="F544" s="51" t="str">
        <x:f>IF(536&gt;$H$4,"",IF(INDEX('Fleet dates'!$F$9:$F$1008,$I544-8)="","",INDEX('Fleet dates'!$F$9:$F$1008,$I544-8)))</x:f>
      </x:c>
      <x:c r="G544" s="50" t="str">
        <x:f>IF(536&gt;$H$4,"",IF(INDEX('Fleet dates'!$G$9:$G$1008,$I544-8)="","",INDEX('Fleet dates'!$G$9:$G$1008,$I544-8)))</x:f>
      </x:c>
      <x:c r="H544" s="50" t="str">
        <x:f>IF(536&gt;$H$4,"",IF(INDEX('Fleet dates'!$I$9:$I$1008,$I544-8)="","",INDEX('Fleet dates'!$I$9:$I$1008,$I544-8)))</x:f>
      </x:c>
      <x:c r="I544" t="str">
        <x:f>IF(536&gt;$H$4,"",MATCH(536,'Fleet dates'!$L$9:$L$1008,0)+8)</x:f>
      </x:c>
    </x:row>
    <x:row r="545" ht="36" customHeight="1">
      <x:c r="A545" s="50" t="str">
        <x:f>IF(537&gt;$H$4,"",IF(INDEX('Fleet dates'!$A$9:$A$1008,$I545-8)="","",INDEX('Fleet dates'!$A$9:$A$1008,$I545-8)))</x:f>
      </x:c>
      <x:c r="B545" s="50" t="str">
        <x:f>IF(537&gt;$H$4,"",IF(INDEX('Fleet dates'!$B$9:$B$1008,$I545-8)="","",INDEX('Fleet dates'!$B$9:$B$1008,$I545-8)))</x:f>
      </x:c>
      <x:c r="C545" s="51" t="str">
        <x:f>IF(537&gt;$H$4,"",IF(INDEX('Fleet dates'!$C$9:$C$1008,$I545-8)="","",INDEX('Fleet dates'!$C$9:$C$1008,$I545-8)))</x:f>
      </x:c>
      <x:c r="D545" s="51" t="str">
        <x:f>IF(537&gt;$H$4,"",IF(INDEX('Fleet dates'!$D$9:$D$1008,$I545-8)="","",INDEX('Fleet dates'!$D$9:$D$1008,$I545-8)))</x:f>
      </x:c>
      <x:c r="E545" s="51" t="str">
        <x:f>IF(537&gt;$H$4,"",IF(INDEX('Fleet dates'!$E$9:$E$1008,$I545-8)="","",INDEX('Fleet dates'!$E$9:$E$1008,$I545-8)))</x:f>
      </x:c>
      <x:c r="F545" s="51" t="str">
        <x:f>IF(537&gt;$H$4,"",IF(INDEX('Fleet dates'!$F$9:$F$1008,$I545-8)="","",INDEX('Fleet dates'!$F$9:$F$1008,$I545-8)))</x:f>
      </x:c>
      <x:c r="G545" s="50" t="str">
        <x:f>IF(537&gt;$H$4,"",IF(INDEX('Fleet dates'!$G$9:$G$1008,$I545-8)="","",INDEX('Fleet dates'!$G$9:$G$1008,$I545-8)))</x:f>
      </x:c>
      <x:c r="H545" s="50" t="str">
        <x:f>IF(537&gt;$H$4,"",IF(INDEX('Fleet dates'!$I$9:$I$1008,$I545-8)="","",INDEX('Fleet dates'!$I$9:$I$1008,$I545-8)))</x:f>
      </x:c>
      <x:c r="I545" t="str">
        <x:f>IF(537&gt;$H$4,"",MATCH(537,'Fleet dates'!$L$9:$L$1008,0)+8)</x:f>
      </x:c>
    </x:row>
    <x:row r="546" ht="36" customHeight="1">
      <x:c r="A546" s="50" t="str">
        <x:f>IF(538&gt;$H$4,"",IF(INDEX('Fleet dates'!$A$9:$A$1008,$I546-8)="","",INDEX('Fleet dates'!$A$9:$A$1008,$I546-8)))</x:f>
      </x:c>
      <x:c r="B546" s="50" t="str">
        <x:f>IF(538&gt;$H$4,"",IF(INDEX('Fleet dates'!$B$9:$B$1008,$I546-8)="","",INDEX('Fleet dates'!$B$9:$B$1008,$I546-8)))</x:f>
      </x:c>
      <x:c r="C546" s="51" t="str">
        <x:f>IF(538&gt;$H$4,"",IF(INDEX('Fleet dates'!$C$9:$C$1008,$I546-8)="","",INDEX('Fleet dates'!$C$9:$C$1008,$I546-8)))</x:f>
      </x:c>
      <x:c r="D546" s="51" t="str">
        <x:f>IF(538&gt;$H$4,"",IF(INDEX('Fleet dates'!$D$9:$D$1008,$I546-8)="","",INDEX('Fleet dates'!$D$9:$D$1008,$I546-8)))</x:f>
      </x:c>
      <x:c r="E546" s="51" t="str">
        <x:f>IF(538&gt;$H$4,"",IF(INDEX('Fleet dates'!$E$9:$E$1008,$I546-8)="","",INDEX('Fleet dates'!$E$9:$E$1008,$I546-8)))</x:f>
      </x:c>
      <x:c r="F546" s="51" t="str">
        <x:f>IF(538&gt;$H$4,"",IF(INDEX('Fleet dates'!$F$9:$F$1008,$I546-8)="","",INDEX('Fleet dates'!$F$9:$F$1008,$I546-8)))</x:f>
      </x:c>
      <x:c r="G546" s="50" t="str">
        <x:f>IF(538&gt;$H$4,"",IF(INDEX('Fleet dates'!$G$9:$G$1008,$I546-8)="","",INDEX('Fleet dates'!$G$9:$G$1008,$I546-8)))</x:f>
      </x:c>
      <x:c r="H546" s="50" t="str">
        <x:f>IF(538&gt;$H$4,"",IF(INDEX('Fleet dates'!$I$9:$I$1008,$I546-8)="","",INDEX('Fleet dates'!$I$9:$I$1008,$I546-8)))</x:f>
      </x:c>
      <x:c r="I546" t="str">
        <x:f>IF(538&gt;$H$4,"",MATCH(538,'Fleet dates'!$L$9:$L$1008,0)+8)</x:f>
      </x:c>
    </x:row>
    <x:row r="547" ht="36" customHeight="1">
      <x:c r="A547" s="50" t="str">
        <x:f>IF(539&gt;$H$4,"",IF(INDEX('Fleet dates'!$A$9:$A$1008,$I547-8)="","",INDEX('Fleet dates'!$A$9:$A$1008,$I547-8)))</x:f>
      </x:c>
      <x:c r="B547" s="50" t="str">
        <x:f>IF(539&gt;$H$4,"",IF(INDEX('Fleet dates'!$B$9:$B$1008,$I547-8)="","",INDEX('Fleet dates'!$B$9:$B$1008,$I547-8)))</x:f>
      </x:c>
      <x:c r="C547" s="51" t="str">
        <x:f>IF(539&gt;$H$4,"",IF(INDEX('Fleet dates'!$C$9:$C$1008,$I547-8)="","",INDEX('Fleet dates'!$C$9:$C$1008,$I547-8)))</x:f>
      </x:c>
      <x:c r="D547" s="51" t="str">
        <x:f>IF(539&gt;$H$4,"",IF(INDEX('Fleet dates'!$D$9:$D$1008,$I547-8)="","",INDEX('Fleet dates'!$D$9:$D$1008,$I547-8)))</x:f>
      </x:c>
      <x:c r="E547" s="51" t="str">
        <x:f>IF(539&gt;$H$4,"",IF(INDEX('Fleet dates'!$E$9:$E$1008,$I547-8)="","",INDEX('Fleet dates'!$E$9:$E$1008,$I547-8)))</x:f>
      </x:c>
      <x:c r="F547" s="51" t="str">
        <x:f>IF(539&gt;$H$4,"",IF(INDEX('Fleet dates'!$F$9:$F$1008,$I547-8)="","",INDEX('Fleet dates'!$F$9:$F$1008,$I547-8)))</x:f>
      </x:c>
      <x:c r="G547" s="50" t="str">
        <x:f>IF(539&gt;$H$4,"",IF(INDEX('Fleet dates'!$G$9:$G$1008,$I547-8)="","",INDEX('Fleet dates'!$G$9:$G$1008,$I547-8)))</x:f>
      </x:c>
      <x:c r="H547" s="50" t="str">
        <x:f>IF(539&gt;$H$4,"",IF(INDEX('Fleet dates'!$I$9:$I$1008,$I547-8)="","",INDEX('Fleet dates'!$I$9:$I$1008,$I547-8)))</x:f>
      </x:c>
      <x:c r="I547" t="str">
        <x:f>IF(539&gt;$H$4,"",MATCH(539,'Fleet dates'!$L$9:$L$1008,0)+8)</x:f>
      </x:c>
    </x:row>
    <x:row r="548" ht="36" customHeight="1">
      <x:c r="A548" s="50" t="str">
        <x:f>IF(540&gt;$H$4,"",IF(INDEX('Fleet dates'!$A$9:$A$1008,$I548-8)="","",INDEX('Fleet dates'!$A$9:$A$1008,$I548-8)))</x:f>
      </x:c>
      <x:c r="B548" s="50" t="str">
        <x:f>IF(540&gt;$H$4,"",IF(INDEX('Fleet dates'!$B$9:$B$1008,$I548-8)="","",INDEX('Fleet dates'!$B$9:$B$1008,$I548-8)))</x:f>
      </x:c>
      <x:c r="C548" s="51" t="str">
        <x:f>IF(540&gt;$H$4,"",IF(INDEX('Fleet dates'!$C$9:$C$1008,$I548-8)="","",INDEX('Fleet dates'!$C$9:$C$1008,$I548-8)))</x:f>
      </x:c>
      <x:c r="D548" s="51" t="str">
        <x:f>IF(540&gt;$H$4,"",IF(INDEX('Fleet dates'!$D$9:$D$1008,$I548-8)="","",INDEX('Fleet dates'!$D$9:$D$1008,$I548-8)))</x:f>
      </x:c>
      <x:c r="E548" s="51" t="str">
        <x:f>IF(540&gt;$H$4,"",IF(INDEX('Fleet dates'!$E$9:$E$1008,$I548-8)="","",INDEX('Fleet dates'!$E$9:$E$1008,$I548-8)))</x:f>
      </x:c>
      <x:c r="F548" s="51" t="str">
        <x:f>IF(540&gt;$H$4,"",IF(INDEX('Fleet dates'!$F$9:$F$1008,$I548-8)="","",INDEX('Fleet dates'!$F$9:$F$1008,$I548-8)))</x:f>
      </x:c>
      <x:c r="G548" s="50" t="str">
        <x:f>IF(540&gt;$H$4,"",IF(INDEX('Fleet dates'!$G$9:$G$1008,$I548-8)="","",INDEX('Fleet dates'!$G$9:$G$1008,$I548-8)))</x:f>
      </x:c>
      <x:c r="H548" s="50" t="str">
        <x:f>IF(540&gt;$H$4,"",IF(INDEX('Fleet dates'!$I$9:$I$1008,$I548-8)="","",INDEX('Fleet dates'!$I$9:$I$1008,$I548-8)))</x:f>
      </x:c>
      <x:c r="I548" t="str">
        <x:f>IF(540&gt;$H$4,"",MATCH(540,'Fleet dates'!$L$9:$L$1008,0)+8)</x:f>
      </x:c>
    </x:row>
    <x:row r="549" ht="36" customHeight="1">
      <x:c r="A549" s="50" t="str">
        <x:f>IF(541&gt;$H$4,"",IF(INDEX('Fleet dates'!$A$9:$A$1008,$I549-8)="","",INDEX('Fleet dates'!$A$9:$A$1008,$I549-8)))</x:f>
      </x:c>
      <x:c r="B549" s="50" t="str">
        <x:f>IF(541&gt;$H$4,"",IF(INDEX('Fleet dates'!$B$9:$B$1008,$I549-8)="","",INDEX('Fleet dates'!$B$9:$B$1008,$I549-8)))</x:f>
      </x:c>
      <x:c r="C549" s="51" t="str">
        <x:f>IF(541&gt;$H$4,"",IF(INDEX('Fleet dates'!$C$9:$C$1008,$I549-8)="","",INDEX('Fleet dates'!$C$9:$C$1008,$I549-8)))</x:f>
      </x:c>
      <x:c r="D549" s="51" t="str">
        <x:f>IF(541&gt;$H$4,"",IF(INDEX('Fleet dates'!$D$9:$D$1008,$I549-8)="","",INDEX('Fleet dates'!$D$9:$D$1008,$I549-8)))</x:f>
      </x:c>
      <x:c r="E549" s="51" t="str">
        <x:f>IF(541&gt;$H$4,"",IF(INDEX('Fleet dates'!$E$9:$E$1008,$I549-8)="","",INDEX('Fleet dates'!$E$9:$E$1008,$I549-8)))</x:f>
      </x:c>
      <x:c r="F549" s="51" t="str">
        <x:f>IF(541&gt;$H$4,"",IF(INDEX('Fleet dates'!$F$9:$F$1008,$I549-8)="","",INDEX('Fleet dates'!$F$9:$F$1008,$I549-8)))</x:f>
      </x:c>
      <x:c r="G549" s="50" t="str">
        <x:f>IF(541&gt;$H$4,"",IF(INDEX('Fleet dates'!$G$9:$G$1008,$I549-8)="","",INDEX('Fleet dates'!$G$9:$G$1008,$I549-8)))</x:f>
      </x:c>
      <x:c r="H549" s="50" t="str">
        <x:f>IF(541&gt;$H$4,"",IF(INDEX('Fleet dates'!$I$9:$I$1008,$I549-8)="","",INDEX('Fleet dates'!$I$9:$I$1008,$I549-8)))</x:f>
      </x:c>
      <x:c r="I549" t="str">
        <x:f>IF(541&gt;$H$4,"",MATCH(541,'Fleet dates'!$L$9:$L$1008,0)+8)</x:f>
      </x:c>
    </x:row>
    <x:row r="550" ht="36" customHeight="1">
      <x:c r="A550" s="50" t="str">
        <x:f>IF(542&gt;$H$4,"",IF(INDEX('Fleet dates'!$A$9:$A$1008,$I550-8)="","",INDEX('Fleet dates'!$A$9:$A$1008,$I550-8)))</x:f>
      </x:c>
      <x:c r="B550" s="50" t="str">
        <x:f>IF(542&gt;$H$4,"",IF(INDEX('Fleet dates'!$B$9:$B$1008,$I550-8)="","",INDEX('Fleet dates'!$B$9:$B$1008,$I550-8)))</x:f>
      </x:c>
      <x:c r="C550" s="51" t="str">
        <x:f>IF(542&gt;$H$4,"",IF(INDEX('Fleet dates'!$C$9:$C$1008,$I550-8)="","",INDEX('Fleet dates'!$C$9:$C$1008,$I550-8)))</x:f>
      </x:c>
      <x:c r="D550" s="51" t="str">
        <x:f>IF(542&gt;$H$4,"",IF(INDEX('Fleet dates'!$D$9:$D$1008,$I550-8)="","",INDEX('Fleet dates'!$D$9:$D$1008,$I550-8)))</x:f>
      </x:c>
      <x:c r="E550" s="51" t="str">
        <x:f>IF(542&gt;$H$4,"",IF(INDEX('Fleet dates'!$E$9:$E$1008,$I550-8)="","",INDEX('Fleet dates'!$E$9:$E$1008,$I550-8)))</x:f>
      </x:c>
      <x:c r="F550" s="51" t="str">
        <x:f>IF(542&gt;$H$4,"",IF(INDEX('Fleet dates'!$F$9:$F$1008,$I550-8)="","",INDEX('Fleet dates'!$F$9:$F$1008,$I550-8)))</x:f>
      </x:c>
      <x:c r="G550" s="50" t="str">
        <x:f>IF(542&gt;$H$4,"",IF(INDEX('Fleet dates'!$G$9:$G$1008,$I550-8)="","",INDEX('Fleet dates'!$G$9:$G$1008,$I550-8)))</x:f>
      </x:c>
      <x:c r="H550" s="50" t="str">
        <x:f>IF(542&gt;$H$4,"",IF(INDEX('Fleet dates'!$I$9:$I$1008,$I550-8)="","",INDEX('Fleet dates'!$I$9:$I$1008,$I550-8)))</x:f>
      </x:c>
      <x:c r="I550" t="str">
        <x:f>IF(542&gt;$H$4,"",MATCH(542,'Fleet dates'!$L$9:$L$1008,0)+8)</x:f>
      </x:c>
    </x:row>
    <x:row r="551" ht="36" customHeight="1">
      <x:c r="A551" s="50" t="str">
        <x:f>IF(543&gt;$H$4,"",IF(INDEX('Fleet dates'!$A$9:$A$1008,$I551-8)="","",INDEX('Fleet dates'!$A$9:$A$1008,$I551-8)))</x:f>
      </x:c>
      <x:c r="B551" s="50" t="str">
        <x:f>IF(543&gt;$H$4,"",IF(INDEX('Fleet dates'!$B$9:$B$1008,$I551-8)="","",INDEX('Fleet dates'!$B$9:$B$1008,$I551-8)))</x:f>
      </x:c>
      <x:c r="C551" s="51" t="str">
        <x:f>IF(543&gt;$H$4,"",IF(INDEX('Fleet dates'!$C$9:$C$1008,$I551-8)="","",INDEX('Fleet dates'!$C$9:$C$1008,$I551-8)))</x:f>
      </x:c>
      <x:c r="D551" s="51" t="str">
        <x:f>IF(543&gt;$H$4,"",IF(INDEX('Fleet dates'!$D$9:$D$1008,$I551-8)="","",INDEX('Fleet dates'!$D$9:$D$1008,$I551-8)))</x:f>
      </x:c>
      <x:c r="E551" s="51" t="str">
        <x:f>IF(543&gt;$H$4,"",IF(INDEX('Fleet dates'!$E$9:$E$1008,$I551-8)="","",INDEX('Fleet dates'!$E$9:$E$1008,$I551-8)))</x:f>
      </x:c>
      <x:c r="F551" s="51" t="str">
        <x:f>IF(543&gt;$H$4,"",IF(INDEX('Fleet dates'!$F$9:$F$1008,$I551-8)="","",INDEX('Fleet dates'!$F$9:$F$1008,$I551-8)))</x:f>
      </x:c>
      <x:c r="G551" s="50" t="str">
        <x:f>IF(543&gt;$H$4,"",IF(INDEX('Fleet dates'!$G$9:$G$1008,$I551-8)="","",INDEX('Fleet dates'!$G$9:$G$1008,$I551-8)))</x:f>
      </x:c>
      <x:c r="H551" s="50" t="str">
        <x:f>IF(543&gt;$H$4,"",IF(INDEX('Fleet dates'!$I$9:$I$1008,$I551-8)="","",INDEX('Fleet dates'!$I$9:$I$1008,$I551-8)))</x:f>
      </x:c>
      <x:c r="I551" t="str">
        <x:f>IF(543&gt;$H$4,"",MATCH(543,'Fleet dates'!$L$9:$L$1008,0)+8)</x:f>
      </x:c>
    </x:row>
    <x:row r="552" ht="36" customHeight="1">
      <x:c r="A552" s="50" t="str">
        <x:f>IF(544&gt;$H$4,"",IF(INDEX('Fleet dates'!$A$9:$A$1008,$I552-8)="","",INDEX('Fleet dates'!$A$9:$A$1008,$I552-8)))</x:f>
      </x:c>
      <x:c r="B552" s="50" t="str">
        <x:f>IF(544&gt;$H$4,"",IF(INDEX('Fleet dates'!$B$9:$B$1008,$I552-8)="","",INDEX('Fleet dates'!$B$9:$B$1008,$I552-8)))</x:f>
      </x:c>
      <x:c r="C552" s="51" t="str">
        <x:f>IF(544&gt;$H$4,"",IF(INDEX('Fleet dates'!$C$9:$C$1008,$I552-8)="","",INDEX('Fleet dates'!$C$9:$C$1008,$I552-8)))</x:f>
      </x:c>
      <x:c r="D552" s="51" t="str">
        <x:f>IF(544&gt;$H$4,"",IF(INDEX('Fleet dates'!$D$9:$D$1008,$I552-8)="","",INDEX('Fleet dates'!$D$9:$D$1008,$I552-8)))</x:f>
      </x:c>
      <x:c r="E552" s="51" t="str">
        <x:f>IF(544&gt;$H$4,"",IF(INDEX('Fleet dates'!$E$9:$E$1008,$I552-8)="","",INDEX('Fleet dates'!$E$9:$E$1008,$I552-8)))</x:f>
      </x:c>
      <x:c r="F552" s="51" t="str">
        <x:f>IF(544&gt;$H$4,"",IF(INDEX('Fleet dates'!$F$9:$F$1008,$I552-8)="","",INDEX('Fleet dates'!$F$9:$F$1008,$I552-8)))</x:f>
      </x:c>
      <x:c r="G552" s="50" t="str">
        <x:f>IF(544&gt;$H$4,"",IF(INDEX('Fleet dates'!$G$9:$G$1008,$I552-8)="","",INDEX('Fleet dates'!$G$9:$G$1008,$I552-8)))</x:f>
      </x:c>
      <x:c r="H552" s="50" t="str">
        <x:f>IF(544&gt;$H$4,"",IF(INDEX('Fleet dates'!$I$9:$I$1008,$I552-8)="","",INDEX('Fleet dates'!$I$9:$I$1008,$I552-8)))</x:f>
      </x:c>
      <x:c r="I552" t="str">
        <x:f>IF(544&gt;$H$4,"",MATCH(544,'Fleet dates'!$L$9:$L$1008,0)+8)</x:f>
      </x:c>
    </x:row>
    <x:row r="553" ht="36" customHeight="1">
      <x:c r="A553" s="50" t="str">
        <x:f>IF(545&gt;$H$4,"",IF(INDEX('Fleet dates'!$A$9:$A$1008,$I553-8)="","",INDEX('Fleet dates'!$A$9:$A$1008,$I553-8)))</x:f>
      </x:c>
      <x:c r="B553" s="50" t="str">
        <x:f>IF(545&gt;$H$4,"",IF(INDEX('Fleet dates'!$B$9:$B$1008,$I553-8)="","",INDEX('Fleet dates'!$B$9:$B$1008,$I553-8)))</x:f>
      </x:c>
      <x:c r="C553" s="51" t="str">
        <x:f>IF(545&gt;$H$4,"",IF(INDEX('Fleet dates'!$C$9:$C$1008,$I553-8)="","",INDEX('Fleet dates'!$C$9:$C$1008,$I553-8)))</x:f>
      </x:c>
      <x:c r="D553" s="51" t="str">
        <x:f>IF(545&gt;$H$4,"",IF(INDEX('Fleet dates'!$D$9:$D$1008,$I553-8)="","",INDEX('Fleet dates'!$D$9:$D$1008,$I553-8)))</x:f>
      </x:c>
      <x:c r="E553" s="51" t="str">
        <x:f>IF(545&gt;$H$4,"",IF(INDEX('Fleet dates'!$E$9:$E$1008,$I553-8)="","",INDEX('Fleet dates'!$E$9:$E$1008,$I553-8)))</x:f>
      </x:c>
      <x:c r="F553" s="51" t="str">
        <x:f>IF(545&gt;$H$4,"",IF(INDEX('Fleet dates'!$F$9:$F$1008,$I553-8)="","",INDEX('Fleet dates'!$F$9:$F$1008,$I553-8)))</x:f>
      </x:c>
      <x:c r="G553" s="50" t="str">
        <x:f>IF(545&gt;$H$4,"",IF(INDEX('Fleet dates'!$G$9:$G$1008,$I553-8)="","",INDEX('Fleet dates'!$G$9:$G$1008,$I553-8)))</x:f>
      </x:c>
      <x:c r="H553" s="50" t="str">
        <x:f>IF(545&gt;$H$4,"",IF(INDEX('Fleet dates'!$I$9:$I$1008,$I553-8)="","",INDEX('Fleet dates'!$I$9:$I$1008,$I553-8)))</x:f>
      </x:c>
      <x:c r="I553" t="str">
        <x:f>IF(545&gt;$H$4,"",MATCH(545,'Fleet dates'!$L$9:$L$1008,0)+8)</x:f>
      </x:c>
    </x:row>
    <x:row r="554" ht="36" customHeight="1">
      <x:c r="A554" s="50" t="str">
        <x:f>IF(546&gt;$H$4,"",IF(INDEX('Fleet dates'!$A$9:$A$1008,$I554-8)="","",INDEX('Fleet dates'!$A$9:$A$1008,$I554-8)))</x:f>
      </x:c>
      <x:c r="B554" s="50" t="str">
        <x:f>IF(546&gt;$H$4,"",IF(INDEX('Fleet dates'!$B$9:$B$1008,$I554-8)="","",INDEX('Fleet dates'!$B$9:$B$1008,$I554-8)))</x:f>
      </x:c>
      <x:c r="C554" s="51" t="str">
        <x:f>IF(546&gt;$H$4,"",IF(INDEX('Fleet dates'!$C$9:$C$1008,$I554-8)="","",INDEX('Fleet dates'!$C$9:$C$1008,$I554-8)))</x:f>
      </x:c>
      <x:c r="D554" s="51" t="str">
        <x:f>IF(546&gt;$H$4,"",IF(INDEX('Fleet dates'!$D$9:$D$1008,$I554-8)="","",INDEX('Fleet dates'!$D$9:$D$1008,$I554-8)))</x:f>
      </x:c>
      <x:c r="E554" s="51" t="str">
        <x:f>IF(546&gt;$H$4,"",IF(INDEX('Fleet dates'!$E$9:$E$1008,$I554-8)="","",INDEX('Fleet dates'!$E$9:$E$1008,$I554-8)))</x:f>
      </x:c>
      <x:c r="F554" s="51" t="str">
        <x:f>IF(546&gt;$H$4,"",IF(INDEX('Fleet dates'!$F$9:$F$1008,$I554-8)="","",INDEX('Fleet dates'!$F$9:$F$1008,$I554-8)))</x:f>
      </x:c>
      <x:c r="G554" s="50" t="str">
        <x:f>IF(546&gt;$H$4,"",IF(INDEX('Fleet dates'!$G$9:$G$1008,$I554-8)="","",INDEX('Fleet dates'!$G$9:$G$1008,$I554-8)))</x:f>
      </x:c>
      <x:c r="H554" s="50" t="str">
        <x:f>IF(546&gt;$H$4,"",IF(INDEX('Fleet dates'!$I$9:$I$1008,$I554-8)="","",INDEX('Fleet dates'!$I$9:$I$1008,$I554-8)))</x:f>
      </x:c>
      <x:c r="I554" t="str">
        <x:f>IF(546&gt;$H$4,"",MATCH(546,'Fleet dates'!$L$9:$L$1008,0)+8)</x:f>
      </x:c>
    </x:row>
    <x:row r="555" ht="36" customHeight="1">
      <x:c r="A555" s="50" t="str">
        <x:f>IF(547&gt;$H$4,"",IF(INDEX('Fleet dates'!$A$9:$A$1008,$I555-8)="","",INDEX('Fleet dates'!$A$9:$A$1008,$I555-8)))</x:f>
      </x:c>
      <x:c r="B555" s="50" t="str">
        <x:f>IF(547&gt;$H$4,"",IF(INDEX('Fleet dates'!$B$9:$B$1008,$I555-8)="","",INDEX('Fleet dates'!$B$9:$B$1008,$I555-8)))</x:f>
      </x:c>
      <x:c r="C555" s="51" t="str">
        <x:f>IF(547&gt;$H$4,"",IF(INDEX('Fleet dates'!$C$9:$C$1008,$I555-8)="","",INDEX('Fleet dates'!$C$9:$C$1008,$I555-8)))</x:f>
      </x:c>
      <x:c r="D555" s="51" t="str">
        <x:f>IF(547&gt;$H$4,"",IF(INDEX('Fleet dates'!$D$9:$D$1008,$I555-8)="","",INDEX('Fleet dates'!$D$9:$D$1008,$I555-8)))</x:f>
      </x:c>
      <x:c r="E555" s="51" t="str">
        <x:f>IF(547&gt;$H$4,"",IF(INDEX('Fleet dates'!$E$9:$E$1008,$I555-8)="","",INDEX('Fleet dates'!$E$9:$E$1008,$I555-8)))</x:f>
      </x:c>
      <x:c r="F555" s="51" t="str">
        <x:f>IF(547&gt;$H$4,"",IF(INDEX('Fleet dates'!$F$9:$F$1008,$I555-8)="","",INDEX('Fleet dates'!$F$9:$F$1008,$I555-8)))</x:f>
      </x:c>
      <x:c r="G555" s="50" t="str">
        <x:f>IF(547&gt;$H$4,"",IF(INDEX('Fleet dates'!$G$9:$G$1008,$I555-8)="","",INDEX('Fleet dates'!$G$9:$G$1008,$I555-8)))</x:f>
      </x:c>
      <x:c r="H555" s="50" t="str">
        <x:f>IF(547&gt;$H$4,"",IF(INDEX('Fleet dates'!$I$9:$I$1008,$I555-8)="","",INDEX('Fleet dates'!$I$9:$I$1008,$I555-8)))</x:f>
      </x:c>
      <x:c r="I555" t="str">
        <x:f>IF(547&gt;$H$4,"",MATCH(547,'Fleet dates'!$L$9:$L$1008,0)+8)</x:f>
      </x:c>
    </x:row>
    <x:row r="556" ht="36" customHeight="1">
      <x:c r="A556" s="50" t="str">
        <x:f>IF(548&gt;$H$4,"",IF(INDEX('Fleet dates'!$A$9:$A$1008,$I556-8)="","",INDEX('Fleet dates'!$A$9:$A$1008,$I556-8)))</x:f>
      </x:c>
      <x:c r="B556" s="50" t="str">
        <x:f>IF(548&gt;$H$4,"",IF(INDEX('Fleet dates'!$B$9:$B$1008,$I556-8)="","",INDEX('Fleet dates'!$B$9:$B$1008,$I556-8)))</x:f>
      </x:c>
      <x:c r="C556" s="51" t="str">
        <x:f>IF(548&gt;$H$4,"",IF(INDEX('Fleet dates'!$C$9:$C$1008,$I556-8)="","",INDEX('Fleet dates'!$C$9:$C$1008,$I556-8)))</x:f>
      </x:c>
      <x:c r="D556" s="51" t="str">
        <x:f>IF(548&gt;$H$4,"",IF(INDEX('Fleet dates'!$D$9:$D$1008,$I556-8)="","",INDEX('Fleet dates'!$D$9:$D$1008,$I556-8)))</x:f>
      </x:c>
      <x:c r="E556" s="51" t="str">
        <x:f>IF(548&gt;$H$4,"",IF(INDEX('Fleet dates'!$E$9:$E$1008,$I556-8)="","",INDEX('Fleet dates'!$E$9:$E$1008,$I556-8)))</x:f>
      </x:c>
      <x:c r="F556" s="51" t="str">
        <x:f>IF(548&gt;$H$4,"",IF(INDEX('Fleet dates'!$F$9:$F$1008,$I556-8)="","",INDEX('Fleet dates'!$F$9:$F$1008,$I556-8)))</x:f>
      </x:c>
      <x:c r="G556" s="50" t="str">
        <x:f>IF(548&gt;$H$4,"",IF(INDEX('Fleet dates'!$G$9:$G$1008,$I556-8)="","",INDEX('Fleet dates'!$G$9:$G$1008,$I556-8)))</x:f>
      </x:c>
      <x:c r="H556" s="50" t="str">
        <x:f>IF(548&gt;$H$4,"",IF(INDEX('Fleet dates'!$I$9:$I$1008,$I556-8)="","",INDEX('Fleet dates'!$I$9:$I$1008,$I556-8)))</x:f>
      </x:c>
      <x:c r="I556" t="str">
        <x:f>IF(548&gt;$H$4,"",MATCH(548,'Fleet dates'!$L$9:$L$1008,0)+8)</x:f>
      </x:c>
    </x:row>
    <x:row r="557" ht="36" customHeight="1">
      <x:c r="A557" s="50" t="str">
        <x:f>IF(549&gt;$H$4,"",IF(INDEX('Fleet dates'!$A$9:$A$1008,$I557-8)="","",INDEX('Fleet dates'!$A$9:$A$1008,$I557-8)))</x:f>
      </x:c>
      <x:c r="B557" s="50" t="str">
        <x:f>IF(549&gt;$H$4,"",IF(INDEX('Fleet dates'!$B$9:$B$1008,$I557-8)="","",INDEX('Fleet dates'!$B$9:$B$1008,$I557-8)))</x:f>
      </x:c>
      <x:c r="C557" s="51" t="str">
        <x:f>IF(549&gt;$H$4,"",IF(INDEX('Fleet dates'!$C$9:$C$1008,$I557-8)="","",INDEX('Fleet dates'!$C$9:$C$1008,$I557-8)))</x:f>
      </x:c>
      <x:c r="D557" s="51" t="str">
        <x:f>IF(549&gt;$H$4,"",IF(INDEX('Fleet dates'!$D$9:$D$1008,$I557-8)="","",INDEX('Fleet dates'!$D$9:$D$1008,$I557-8)))</x:f>
      </x:c>
      <x:c r="E557" s="51" t="str">
        <x:f>IF(549&gt;$H$4,"",IF(INDEX('Fleet dates'!$E$9:$E$1008,$I557-8)="","",INDEX('Fleet dates'!$E$9:$E$1008,$I557-8)))</x:f>
      </x:c>
      <x:c r="F557" s="51" t="str">
        <x:f>IF(549&gt;$H$4,"",IF(INDEX('Fleet dates'!$F$9:$F$1008,$I557-8)="","",INDEX('Fleet dates'!$F$9:$F$1008,$I557-8)))</x:f>
      </x:c>
      <x:c r="G557" s="50" t="str">
        <x:f>IF(549&gt;$H$4,"",IF(INDEX('Fleet dates'!$G$9:$G$1008,$I557-8)="","",INDEX('Fleet dates'!$G$9:$G$1008,$I557-8)))</x:f>
      </x:c>
      <x:c r="H557" s="50" t="str">
        <x:f>IF(549&gt;$H$4,"",IF(INDEX('Fleet dates'!$I$9:$I$1008,$I557-8)="","",INDEX('Fleet dates'!$I$9:$I$1008,$I557-8)))</x:f>
      </x:c>
      <x:c r="I557" t="str">
        <x:f>IF(549&gt;$H$4,"",MATCH(549,'Fleet dates'!$L$9:$L$1008,0)+8)</x:f>
      </x:c>
    </x:row>
    <x:row r="558" ht="36" customHeight="1">
      <x:c r="A558" s="50" t="str">
        <x:f>IF(550&gt;$H$4,"",IF(INDEX('Fleet dates'!$A$9:$A$1008,$I558-8)="","",INDEX('Fleet dates'!$A$9:$A$1008,$I558-8)))</x:f>
      </x:c>
      <x:c r="B558" s="50" t="str">
        <x:f>IF(550&gt;$H$4,"",IF(INDEX('Fleet dates'!$B$9:$B$1008,$I558-8)="","",INDEX('Fleet dates'!$B$9:$B$1008,$I558-8)))</x:f>
      </x:c>
      <x:c r="C558" s="51" t="str">
        <x:f>IF(550&gt;$H$4,"",IF(INDEX('Fleet dates'!$C$9:$C$1008,$I558-8)="","",INDEX('Fleet dates'!$C$9:$C$1008,$I558-8)))</x:f>
      </x:c>
      <x:c r="D558" s="51" t="str">
        <x:f>IF(550&gt;$H$4,"",IF(INDEX('Fleet dates'!$D$9:$D$1008,$I558-8)="","",INDEX('Fleet dates'!$D$9:$D$1008,$I558-8)))</x:f>
      </x:c>
      <x:c r="E558" s="51" t="str">
        <x:f>IF(550&gt;$H$4,"",IF(INDEX('Fleet dates'!$E$9:$E$1008,$I558-8)="","",INDEX('Fleet dates'!$E$9:$E$1008,$I558-8)))</x:f>
      </x:c>
      <x:c r="F558" s="51" t="str">
        <x:f>IF(550&gt;$H$4,"",IF(INDEX('Fleet dates'!$F$9:$F$1008,$I558-8)="","",INDEX('Fleet dates'!$F$9:$F$1008,$I558-8)))</x:f>
      </x:c>
      <x:c r="G558" s="50" t="str">
        <x:f>IF(550&gt;$H$4,"",IF(INDEX('Fleet dates'!$G$9:$G$1008,$I558-8)="","",INDEX('Fleet dates'!$G$9:$G$1008,$I558-8)))</x:f>
      </x:c>
      <x:c r="H558" s="50" t="str">
        <x:f>IF(550&gt;$H$4,"",IF(INDEX('Fleet dates'!$I$9:$I$1008,$I558-8)="","",INDEX('Fleet dates'!$I$9:$I$1008,$I558-8)))</x:f>
      </x:c>
      <x:c r="I558" t="str">
        <x:f>IF(550&gt;$H$4,"",MATCH(550,'Fleet dates'!$L$9:$L$1008,0)+8)</x:f>
      </x:c>
    </x:row>
    <x:row r="559" ht="36" customHeight="1">
      <x:c r="A559" s="50" t="str">
        <x:f>IF(551&gt;$H$4,"",IF(INDEX('Fleet dates'!$A$9:$A$1008,$I559-8)="","",INDEX('Fleet dates'!$A$9:$A$1008,$I559-8)))</x:f>
      </x:c>
      <x:c r="B559" s="50" t="str">
        <x:f>IF(551&gt;$H$4,"",IF(INDEX('Fleet dates'!$B$9:$B$1008,$I559-8)="","",INDEX('Fleet dates'!$B$9:$B$1008,$I559-8)))</x:f>
      </x:c>
      <x:c r="C559" s="51" t="str">
        <x:f>IF(551&gt;$H$4,"",IF(INDEX('Fleet dates'!$C$9:$C$1008,$I559-8)="","",INDEX('Fleet dates'!$C$9:$C$1008,$I559-8)))</x:f>
      </x:c>
      <x:c r="D559" s="51" t="str">
        <x:f>IF(551&gt;$H$4,"",IF(INDEX('Fleet dates'!$D$9:$D$1008,$I559-8)="","",INDEX('Fleet dates'!$D$9:$D$1008,$I559-8)))</x:f>
      </x:c>
      <x:c r="E559" s="51" t="str">
        <x:f>IF(551&gt;$H$4,"",IF(INDEX('Fleet dates'!$E$9:$E$1008,$I559-8)="","",INDEX('Fleet dates'!$E$9:$E$1008,$I559-8)))</x:f>
      </x:c>
      <x:c r="F559" s="51" t="str">
        <x:f>IF(551&gt;$H$4,"",IF(INDEX('Fleet dates'!$F$9:$F$1008,$I559-8)="","",INDEX('Fleet dates'!$F$9:$F$1008,$I559-8)))</x:f>
      </x:c>
      <x:c r="G559" s="50" t="str">
        <x:f>IF(551&gt;$H$4,"",IF(INDEX('Fleet dates'!$G$9:$G$1008,$I559-8)="","",INDEX('Fleet dates'!$G$9:$G$1008,$I559-8)))</x:f>
      </x:c>
      <x:c r="H559" s="50" t="str">
        <x:f>IF(551&gt;$H$4,"",IF(INDEX('Fleet dates'!$I$9:$I$1008,$I559-8)="","",INDEX('Fleet dates'!$I$9:$I$1008,$I559-8)))</x:f>
      </x:c>
      <x:c r="I559" t="str">
        <x:f>IF(551&gt;$H$4,"",MATCH(551,'Fleet dates'!$L$9:$L$1008,0)+8)</x:f>
      </x:c>
    </x:row>
    <x:row r="560" ht="36" customHeight="1">
      <x:c r="A560" s="50" t="str">
        <x:f>IF(552&gt;$H$4,"",IF(INDEX('Fleet dates'!$A$9:$A$1008,$I560-8)="","",INDEX('Fleet dates'!$A$9:$A$1008,$I560-8)))</x:f>
      </x:c>
      <x:c r="B560" s="50" t="str">
        <x:f>IF(552&gt;$H$4,"",IF(INDEX('Fleet dates'!$B$9:$B$1008,$I560-8)="","",INDEX('Fleet dates'!$B$9:$B$1008,$I560-8)))</x:f>
      </x:c>
      <x:c r="C560" s="51" t="str">
        <x:f>IF(552&gt;$H$4,"",IF(INDEX('Fleet dates'!$C$9:$C$1008,$I560-8)="","",INDEX('Fleet dates'!$C$9:$C$1008,$I560-8)))</x:f>
      </x:c>
      <x:c r="D560" s="51" t="str">
        <x:f>IF(552&gt;$H$4,"",IF(INDEX('Fleet dates'!$D$9:$D$1008,$I560-8)="","",INDEX('Fleet dates'!$D$9:$D$1008,$I560-8)))</x:f>
      </x:c>
      <x:c r="E560" s="51" t="str">
        <x:f>IF(552&gt;$H$4,"",IF(INDEX('Fleet dates'!$E$9:$E$1008,$I560-8)="","",INDEX('Fleet dates'!$E$9:$E$1008,$I560-8)))</x:f>
      </x:c>
      <x:c r="F560" s="51" t="str">
        <x:f>IF(552&gt;$H$4,"",IF(INDEX('Fleet dates'!$F$9:$F$1008,$I560-8)="","",INDEX('Fleet dates'!$F$9:$F$1008,$I560-8)))</x:f>
      </x:c>
      <x:c r="G560" s="50" t="str">
        <x:f>IF(552&gt;$H$4,"",IF(INDEX('Fleet dates'!$G$9:$G$1008,$I560-8)="","",INDEX('Fleet dates'!$G$9:$G$1008,$I560-8)))</x:f>
      </x:c>
      <x:c r="H560" s="50" t="str">
        <x:f>IF(552&gt;$H$4,"",IF(INDEX('Fleet dates'!$I$9:$I$1008,$I560-8)="","",INDEX('Fleet dates'!$I$9:$I$1008,$I560-8)))</x:f>
      </x:c>
      <x:c r="I560" t="str">
        <x:f>IF(552&gt;$H$4,"",MATCH(552,'Fleet dates'!$L$9:$L$1008,0)+8)</x:f>
      </x:c>
    </x:row>
    <x:row r="561" ht="36" customHeight="1">
      <x:c r="A561" s="50" t="str">
        <x:f>IF(553&gt;$H$4,"",IF(INDEX('Fleet dates'!$A$9:$A$1008,$I561-8)="","",INDEX('Fleet dates'!$A$9:$A$1008,$I561-8)))</x:f>
      </x:c>
      <x:c r="B561" s="50" t="str">
        <x:f>IF(553&gt;$H$4,"",IF(INDEX('Fleet dates'!$B$9:$B$1008,$I561-8)="","",INDEX('Fleet dates'!$B$9:$B$1008,$I561-8)))</x:f>
      </x:c>
      <x:c r="C561" s="51" t="str">
        <x:f>IF(553&gt;$H$4,"",IF(INDEX('Fleet dates'!$C$9:$C$1008,$I561-8)="","",INDEX('Fleet dates'!$C$9:$C$1008,$I561-8)))</x:f>
      </x:c>
      <x:c r="D561" s="51" t="str">
        <x:f>IF(553&gt;$H$4,"",IF(INDEX('Fleet dates'!$D$9:$D$1008,$I561-8)="","",INDEX('Fleet dates'!$D$9:$D$1008,$I561-8)))</x:f>
      </x:c>
      <x:c r="E561" s="51" t="str">
        <x:f>IF(553&gt;$H$4,"",IF(INDEX('Fleet dates'!$E$9:$E$1008,$I561-8)="","",INDEX('Fleet dates'!$E$9:$E$1008,$I561-8)))</x:f>
      </x:c>
      <x:c r="F561" s="51" t="str">
        <x:f>IF(553&gt;$H$4,"",IF(INDEX('Fleet dates'!$F$9:$F$1008,$I561-8)="","",INDEX('Fleet dates'!$F$9:$F$1008,$I561-8)))</x:f>
      </x:c>
      <x:c r="G561" s="50" t="str">
        <x:f>IF(553&gt;$H$4,"",IF(INDEX('Fleet dates'!$G$9:$G$1008,$I561-8)="","",INDEX('Fleet dates'!$G$9:$G$1008,$I561-8)))</x:f>
      </x:c>
      <x:c r="H561" s="50" t="str">
        <x:f>IF(553&gt;$H$4,"",IF(INDEX('Fleet dates'!$I$9:$I$1008,$I561-8)="","",INDEX('Fleet dates'!$I$9:$I$1008,$I561-8)))</x:f>
      </x:c>
      <x:c r="I561" t="str">
        <x:f>IF(553&gt;$H$4,"",MATCH(553,'Fleet dates'!$L$9:$L$1008,0)+8)</x:f>
      </x:c>
    </x:row>
    <x:row r="562" ht="36" customHeight="1">
      <x:c r="A562" s="50" t="str">
        <x:f>IF(554&gt;$H$4,"",IF(INDEX('Fleet dates'!$A$9:$A$1008,$I562-8)="","",INDEX('Fleet dates'!$A$9:$A$1008,$I562-8)))</x:f>
      </x:c>
      <x:c r="B562" s="50" t="str">
        <x:f>IF(554&gt;$H$4,"",IF(INDEX('Fleet dates'!$B$9:$B$1008,$I562-8)="","",INDEX('Fleet dates'!$B$9:$B$1008,$I562-8)))</x:f>
      </x:c>
      <x:c r="C562" s="51" t="str">
        <x:f>IF(554&gt;$H$4,"",IF(INDEX('Fleet dates'!$C$9:$C$1008,$I562-8)="","",INDEX('Fleet dates'!$C$9:$C$1008,$I562-8)))</x:f>
      </x:c>
      <x:c r="D562" s="51" t="str">
        <x:f>IF(554&gt;$H$4,"",IF(INDEX('Fleet dates'!$D$9:$D$1008,$I562-8)="","",INDEX('Fleet dates'!$D$9:$D$1008,$I562-8)))</x:f>
      </x:c>
      <x:c r="E562" s="51" t="str">
        <x:f>IF(554&gt;$H$4,"",IF(INDEX('Fleet dates'!$E$9:$E$1008,$I562-8)="","",INDEX('Fleet dates'!$E$9:$E$1008,$I562-8)))</x:f>
      </x:c>
      <x:c r="F562" s="51" t="str">
        <x:f>IF(554&gt;$H$4,"",IF(INDEX('Fleet dates'!$F$9:$F$1008,$I562-8)="","",INDEX('Fleet dates'!$F$9:$F$1008,$I562-8)))</x:f>
      </x:c>
      <x:c r="G562" s="50" t="str">
        <x:f>IF(554&gt;$H$4,"",IF(INDEX('Fleet dates'!$G$9:$G$1008,$I562-8)="","",INDEX('Fleet dates'!$G$9:$G$1008,$I562-8)))</x:f>
      </x:c>
      <x:c r="H562" s="50" t="str">
        <x:f>IF(554&gt;$H$4,"",IF(INDEX('Fleet dates'!$I$9:$I$1008,$I562-8)="","",INDEX('Fleet dates'!$I$9:$I$1008,$I562-8)))</x:f>
      </x:c>
      <x:c r="I562" t="str">
        <x:f>IF(554&gt;$H$4,"",MATCH(554,'Fleet dates'!$L$9:$L$1008,0)+8)</x:f>
      </x:c>
    </x:row>
    <x:row r="563" ht="36" customHeight="1">
      <x:c r="A563" s="50" t="str">
        <x:f>IF(555&gt;$H$4,"",IF(INDEX('Fleet dates'!$A$9:$A$1008,$I563-8)="","",INDEX('Fleet dates'!$A$9:$A$1008,$I563-8)))</x:f>
      </x:c>
      <x:c r="B563" s="50" t="str">
        <x:f>IF(555&gt;$H$4,"",IF(INDEX('Fleet dates'!$B$9:$B$1008,$I563-8)="","",INDEX('Fleet dates'!$B$9:$B$1008,$I563-8)))</x:f>
      </x:c>
      <x:c r="C563" s="51" t="str">
        <x:f>IF(555&gt;$H$4,"",IF(INDEX('Fleet dates'!$C$9:$C$1008,$I563-8)="","",INDEX('Fleet dates'!$C$9:$C$1008,$I563-8)))</x:f>
      </x:c>
      <x:c r="D563" s="51" t="str">
        <x:f>IF(555&gt;$H$4,"",IF(INDEX('Fleet dates'!$D$9:$D$1008,$I563-8)="","",INDEX('Fleet dates'!$D$9:$D$1008,$I563-8)))</x:f>
      </x:c>
      <x:c r="E563" s="51" t="str">
        <x:f>IF(555&gt;$H$4,"",IF(INDEX('Fleet dates'!$E$9:$E$1008,$I563-8)="","",INDEX('Fleet dates'!$E$9:$E$1008,$I563-8)))</x:f>
      </x:c>
      <x:c r="F563" s="51" t="str">
        <x:f>IF(555&gt;$H$4,"",IF(INDEX('Fleet dates'!$F$9:$F$1008,$I563-8)="","",INDEX('Fleet dates'!$F$9:$F$1008,$I563-8)))</x:f>
      </x:c>
      <x:c r="G563" s="50" t="str">
        <x:f>IF(555&gt;$H$4,"",IF(INDEX('Fleet dates'!$G$9:$G$1008,$I563-8)="","",INDEX('Fleet dates'!$G$9:$G$1008,$I563-8)))</x:f>
      </x:c>
      <x:c r="H563" s="50" t="str">
        <x:f>IF(555&gt;$H$4,"",IF(INDEX('Fleet dates'!$I$9:$I$1008,$I563-8)="","",INDEX('Fleet dates'!$I$9:$I$1008,$I563-8)))</x:f>
      </x:c>
      <x:c r="I563" t="str">
        <x:f>IF(555&gt;$H$4,"",MATCH(555,'Fleet dates'!$L$9:$L$1008,0)+8)</x:f>
      </x:c>
    </x:row>
    <x:row r="564" ht="36" customHeight="1">
      <x:c r="A564" s="50" t="str">
        <x:f>IF(556&gt;$H$4,"",IF(INDEX('Fleet dates'!$A$9:$A$1008,$I564-8)="","",INDEX('Fleet dates'!$A$9:$A$1008,$I564-8)))</x:f>
      </x:c>
      <x:c r="B564" s="50" t="str">
        <x:f>IF(556&gt;$H$4,"",IF(INDEX('Fleet dates'!$B$9:$B$1008,$I564-8)="","",INDEX('Fleet dates'!$B$9:$B$1008,$I564-8)))</x:f>
      </x:c>
      <x:c r="C564" s="51" t="str">
        <x:f>IF(556&gt;$H$4,"",IF(INDEX('Fleet dates'!$C$9:$C$1008,$I564-8)="","",INDEX('Fleet dates'!$C$9:$C$1008,$I564-8)))</x:f>
      </x:c>
      <x:c r="D564" s="51" t="str">
        <x:f>IF(556&gt;$H$4,"",IF(INDEX('Fleet dates'!$D$9:$D$1008,$I564-8)="","",INDEX('Fleet dates'!$D$9:$D$1008,$I564-8)))</x:f>
      </x:c>
      <x:c r="E564" s="51" t="str">
        <x:f>IF(556&gt;$H$4,"",IF(INDEX('Fleet dates'!$E$9:$E$1008,$I564-8)="","",INDEX('Fleet dates'!$E$9:$E$1008,$I564-8)))</x:f>
      </x:c>
      <x:c r="F564" s="51" t="str">
        <x:f>IF(556&gt;$H$4,"",IF(INDEX('Fleet dates'!$F$9:$F$1008,$I564-8)="","",INDEX('Fleet dates'!$F$9:$F$1008,$I564-8)))</x:f>
      </x:c>
      <x:c r="G564" s="50" t="str">
        <x:f>IF(556&gt;$H$4,"",IF(INDEX('Fleet dates'!$G$9:$G$1008,$I564-8)="","",INDEX('Fleet dates'!$G$9:$G$1008,$I564-8)))</x:f>
      </x:c>
      <x:c r="H564" s="50" t="str">
        <x:f>IF(556&gt;$H$4,"",IF(INDEX('Fleet dates'!$I$9:$I$1008,$I564-8)="","",INDEX('Fleet dates'!$I$9:$I$1008,$I564-8)))</x:f>
      </x:c>
      <x:c r="I564" t="str">
        <x:f>IF(556&gt;$H$4,"",MATCH(556,'Fleet dates'!$L$9:$L$1008,0)+8)</x:f>
      </x:c>
    </x:row>
    <x:row r="565" ht="36" customHeight="1">
      <x:c r="A565" s="50" t="str">
        <x:f>IF(557&gt;$H$4,"",IF(INDEX('Fleet dates'!$A$9:$A$1008,$I565-8)="","",INDEX('Fleet dates'!$A$9:$A$1008,$I565-8)))</x:f>
      </x:c>
      <x:c r="B565" s="50" t="str">
        <x:f>IF(557&gt;$H$4,"",IF(INDEX('Fleet dates'!$B$9:$B$1008,$I565-8)="","",INDEX('Fleet dates'!$B$9:$B$1008,$I565-8)))</x:f>
      </x:c>
      <x:c r="C565" s="51" t="str">
        <x:f>IF(557&gt;$H$4,"",IF(INDEX('Fleet dates'!$C$9:$C$1008,$I565-8)="","",INDEX('Fleet dates'!$C$9:$C$1008,$I565-8)))</x:f>
      </x:c>
      <x:c r="D565" s="51" t="str">
        <x:f>IF(557&gt;$H$4,"",IF(INDEX('Fleet dates'!$D$9:$D$1008,$I565-8)="","",INDEX('Fleet dates'!$D$9:$D$1008,$I565-8)))</x:f>
      </x:c>
      <x:c r="E565" s="51" t="str">
        <x:f>IF(557&gt;$H$4,"",IF(INDEX('Fleet dates'!$E$9:$E$1008,$I565-8)="","",INDEX('Fleet dates'!$E$9:$E$1008,$I565-8)))</x:f>
      </x:c>
      <x:c r="F565" s="51" t="str">
        <x:f>IF(557&gt;$H$4,"",IF(INDEX('Fleet dates'!$F$9:$F$1008,$I565-8)="","",INDEX('Fleet dates'!$F$9:$F$1008,$I565-8)))</x:f>
      </x:c>
      <x:c r="G565" s="50" t="str">
        <x:f>IF(557&gt;$H$4,"",IF(INDEX('Fleet dates'!$G$9:$G$1008,$I565-8)="","",INDEX('Fleet dates'!$G$9:$G$1008,$I565-8)))</x:f>
      </x:c>
      <x:c r="H565" s="50" t="str">
        <x:f>IF(557&gt;$H$4,"",IF(INDEX('Fleet dates'!$I$9:$I$1008,$I565-8)="","",INDEX('Fleet dates'!$I$9:$I$1008,$I565-8)))</x:f>
      </x:c>
      <x:c r="I565" t="str">
        <x:f>IF(557&gt;$H$4,"",MATCH(557,'Fleet dates'!$L$9:$L$1008,0)+8)</x:f>
      </x:c>
    </x:row>
    <x:row r="566" ht="36" customHeight="1">
      <x:c r="A566" s="50" t="str">
        <x:f>IF(558&gt;$H$4,"",IF(INDEX('Fleet dates'!$A$9:$A$1008,$I566-8)="","",INDEX('Fleet dates'!$A$9:$A$1008,$I566-8)))</x:f>
      </x:c>
      <x:c r="B566" s="50" t="str">
        <x:f>IF(558&gt;$H$4,"",IF(INDEX('Fleet dates'!$B$9:$B$1008,$I566-8)="","",INDEX('Fleet dates'!$B$9:$B$1008,$I566-8)))</x:f>
      </x:c>
      <x:c r="C566" s="51" t="str">
        <x:f>IF(558&gt;$H$4,"",IF(INDEX('Fleet dates'!$C$9:$C$1008,$I566-8)="","",INDEX('Fleet dates'!$C$9:$C$1008,$I566-8)))</x:f>
      </x:c>
      <x:c r="D566" s="51" t="str">
        <x:f>IF(558&gt;$H$4,"",IF(INDEX('Fleet dates'!$D$9:$D$1008,$I566-8)="","",INDEX('Fleet dates'!$D$9:$D$1008,$I566-8)))</x:f>
      </x:c>
      <x:c r="E566" s="51" t="str">
        <x:f>IF(558&gt;$H$4,"",IF(INDEX('Fleet dates'!$E$9:$E$1008,$I566-8)="","",INDEX('Fleet dates'!$E$9:$E$1008,$I566-8)))</x:f>
      </x:c>
      <x:c r="F566" s="51" t="str">
        <x:f>IF(558&gt;$H$4,"",IF(INDEX('Fleet dates'!$F$9:$F$1008,$I566-8)="","",INDEX('Fleet dates'!$F$9:$F$1008,$I566-8)))</x:f>
      </x:c>
      <x:c r="G566" s="50" t="str">
        <x:f>IF(558&gt;$H$4,"",IF(INDEX('Fleet dates'!$G$9:$G$1008,$I566-8)="","",INDEX('Fleet dates'!$G$9:$G$1008,$I566-8)))</x:f>
      </x:c>
      <x:c r="H566" s="50" t="str">
        <x:f>IF(558&gt;$H$4,"",IF(INDEX('Fleet dates'!$I$9:$I$1008,$I566-8)="","",INDEX('Fleet dates'!$I$9:$I$1008,$I566-8)))</x:f>
      </x:c>
      <x:c r="I566" t="str">
        <x:f>IF(558&gt;$H$4,"",MATCH(558,'Fleet dates'!$L$9:$L$1008,0)+8)</x:f>
      </x:c>
    </x:row>
    <x:row r="567" ht="36" customHeight="1">
      <x:c r="A567" s="50" t="str">
        <x:f>IF(559&gt;$H$4,"",IF(INDEX('Fleet dates'!$A$9:$A$1008,$I567-8)="","",INDEX('Fleet dates'!$A$9:$A$1008,$I567-8)))</x:f>
      </x:c>
      <x:c r="B567" s="50" t="str">
        <x:f>IF(559&gt;$H$4,"",IF(INDEX('Fleet dates'!$B$9:$B$1008,$I567-8)="","",INDEX('Fleet dates'!$B$9:$B$1008,$I567-8)))</x:f>
      </x:c>
      <x:c r="C567" s="51" t="str">
        <x:f>IF(559&gt;$H$4,"",IF(INDEX('Fleet dates'!$C$9:$C$1008,$I567-8)="","",INDEX('Fleet dates'!$C$9:$C$1008,$I567-8)))</x:f>
      </x:c>
      <x:c r="D567" s="51" t="str">
        <x:f>IF(559&gt;$H$4,"",IF(INDEX('Fleet dates'!$D$9:$D$1008,$I567-8)="","",INDEX('Fleet dates'!$D$9:$D$1008,$I567-8)))</x:f>
      </x:c>
      <x:c r="E567" s="51" t="str">
        <x:f>IF(559&gt;$H$4,"",IF(INDEX('Fleet dates'!$E$9:$E$1008,$I567-8)="","",INDEX('Fleet dates'!$E$9:$E$1008,$I567-8)))</x:f>
      </x:c>
      <x:c r="F567" s="51" t="str">
        <x:f>IF(559&gt;$H$4,"",IF(INDEX('Fleet dates'!$F$9:$F$1008,$I567-8)="","",INDEX('Fleet dates'!$F$9:$F$1008,$I567-8)))</x:f>
      </x:c>
      <x:c r="G567" s="50" t="str">
        <x:f>IF(559&gt;$H$4,"",IF(INDEX('Fleet dates'!$G$9:$G$1008,$I567-8)="","",INDEX('Fleet dates'!$G$9:$G$1008,$I567-8)))</x:f>
      </x:c>
      <x:c r="H567" s="50" t="str">
        <x:f>IF(559&gt;$H$4,"",IF(INDEX('Fleet dates'!$I$9:$I$1008,$I567-8)="","",INDEX('Fleet dates'!$I$9:$I$1008,$I567-8)))</x:f>
      </x:c>
      <x:c r="I567" t="str">
        <x:f>IF(559&gt;$H$4,"",MATCH(559,'Fleet dates'!$L$9:$L$1008,0)+8)</x:f>
      </x:c>
    </x:row>
    <x:row r="568" ht="36" customHeight="1">
      <x:c r="A568" s="50" t="str">
        <x:f>IF(560&gt;$H$4,"",IF(INDEX('Fleet dates'!$A$9:$A$1008,$I568-8)="","",INDEX('Fleet dates'!$A$9:$A$1008,$I568-8)))</x:f>
      </x:c>
      <x:c r="B568" s="50" t="str">
        <x:f>IF(560&gt;$H$4,"",IF(INDEX('Fleet dates'!$B$9:$B$1008,$I568-8)="","",INDEX('Fleet dates'!$B$9:$B$1008,$I568-8)))</x:f>
      </x:c>
      <x:c r="C568" s="51" t="str">
        <x:f>IF(560&gt;$H$4,"",IF(INDEX('Fleet dates'!$C$9:$C$1008,$I568-8)="","",INDEX('Fleet dates'!$C$9:$C$1008,$I568-8)))</x:f>
      </x:c>
      <x:c r="D568" s="51" t="str">
        <x:f>IF(560&gt;$H$4,"",IF(INDEX('Fleet dates'!$D$9:$D$1008,$I568-8)="","",INDEX('Fleet dates'!$D$9:$D$1008,$I568-8)))</x:f>
      </x:c>
      <x:c r="E568" s="51" t="str">
        <x:f>IF(560&gt;$H$4,"",IF(INDEX('Fleet dates'!$E$9:$E$1008,$I568-8)="","",INDEX('Fleet dates'!$E$9:$E$1008,$I568-8)))</x:f>
      </x:c>
      <x:c r="F568" s="51" t="str">
        <x:f>IF(560&gt;$H$4,"",IF(INDEX('Fleet dates'!$F$9:$F$1008,$I568-8)="","",INDEX('Fleet dates'!$F$9:$F$1008,$I568-8)))</x:f>
      </x:c>
      <x:c r="G568" s="50" t="str">
        <x:f>IF(560&gt;$H$4,"",IF(INDEX('Fleet dates'!$G$9:$G$1008,$I568-8)="","",INDEX('Fleet dates'!$G$9:$G$1008,$I568-8)))</x:f>
      </x:c>
      <x:c r="H568" s="50" t="str">
        <x:f>IF(560&gt;$H$4,"",IF(INDEX('Fleet dates'!$I$9:$I$1008,$I568-8)="","",INDEX('Fleet dates'!$I$9:$I$1008,$I568-8)))</x:f>
      </x:c>
      <x:c r="I568" t="str">
        <x:f>IF(560&gt;$H$4,"",MATCH(560,'Fleet dates'!$L$9:$L$1008,0)+8)</x:f>
      </x:c>
    </x:row>
    <x:row r="569" ht="36" customHeight="1">
      <x:c r="A569" s="50" t="str">
        <x:f>IF(561&gt;$H$4,"",IF(INDEX('Fleet dates'!$A$9:$A$1008,$I569-8)="","",INDEX('Fleet dates'!$A$9:$A$1008,$I569-8)))</x:f>
      </x:c>
      <x:c r="B569" s="50" t="str">
        <x:f>IF(561&gt;$H$4,"",IF(INDEX('Fleet dates'!$B$9:$B$1008,$I569-8)="","",INDEX('Fleet dates'!$B$9:$B$1008,$I569-8)))</x:f>
      </x:c>
      <x:c r="C569" s="51" t="str">
        <x:f>IF(561&gt;$H$4,"",IF(INDEX('Fleet dates'!$C$9:$C$1008,$I569-8)="","",INDEX('Fleet dates'!$C$9:$C$1008,$I569-8)))</x:f>
      </x:c>
      <x:c r="D569" s="51" t="str">
        <x:f>IF(561&gt;$H$4,"",IF(INDEX('Fleet dates'!$D$9:$D$1008,$I569-8)="","",INDEX('Fleet dates'!$D$9:$D$1008,$I569-8)))</x:f>
      </x:c>
      <x:c r="E569" s="51" t="str">
        <x:f>IF(561&gt;$H$4,"",IF(INDEX('Fleet dates'!$E$9:$E$1008,$I569-8)="","",INDEX('Fleet dates'!$E$9:$E$1008,$I569-8)))</x:f>
      </x:c>
      <x:c r="F569" s="51" t="str">
        <x:f>IF(561&gt;$H$4,"",IF(INDEX('Fleet dates'!$F$9:$F$1008,$I569-8)="","",INDEX('Fleet dates'!$F$9:$F$1008,$I569-8)))</x:f>
      </x:c>
      <x:c r="G569" s="50" t="str">
        <x:f>IF(561&gt;$H$4,"",IF(INDEX('Fleet dates'!$G$9:$G$1008,$I569-8)="","",INDEX('Fleet dates'!$G$9:$G$1008,$I569-8)))</x:f>
      </x:c>
      <x:c r="H569" s="50" t="str">
        <x:f>IF(561&gt;$H$4,"",IF(INDEX('Fleet dates'!$I$9:$I$1008,$I569-8)="","",INDEX('Fleet dates'!$I$9:$I$1008,$I569-8)))</x:f>
      </x:c>
      <x:c r="I569" t="str">
        <x:f>IF(561&gt;$H$4,"",MATCH(561,'Fleet dates'!$L$9:$L$1008,0)+8)</x:f>
      </x:c>
    </x:row>
    <x:row r="570" ht="36" customHeight="1">
      <x:c r="A570" s="50" t="str">
        <x:f>IF(562&gt;$H$4,"",IF(INDEX('Fleet dates'!$A$9:$A$1008,$I570-8)="","",INDEX('Fleet dates'!$A$9:$A$1008,$I570-8)))</x:f>
      </x:c>
      <x:c r="B570" s="50" t="str">
        <x:f>IF(562&gt;$H$4,"",IF(INDEX('Fleet dates'!$B$9:$B$1008,$I570-8)="","",INDEX('Fleet dates'!$B$9:$B$1008,$I570-8)))</x:f>
      </x:c>
      <x:c r="C570" s="51" t="str">
        <x:f>IF(562&gt;$H$4,"",IF(INDEX('Fleet dates'!$C$9:$C$1008,$I570-8)="","",INDEX('Fleet dates'!$C$9:$C$1008,$I570-8)))</x:f>
      </x:c>
      <x:c r="D570" s="51" t="str">
        <x:f>IF(562&gt;$H$4,"",IF(INDEX('Fleet dates'!$D$9:$D$1008,$I570-8)="","",INDEX('Fleet dates'!$D$9:$D$1008,$I570-8)))</x:f>
      </x:c>
      <x:c r="E570" s="51" t="str">
        <x:f>IF(562&gt;$H$4,"",IF(INDEX('Fleet dates'!$E$9:$E$1008,$I570-8)="","",INDEX('Fleet dates'!$E$9:$E$1008,$I570-8)))</x:f>
      </x:c>
      <x:c r="F570" s="51" t="str">
        <x:f>IF(562&gt;$H$4,"",IF(INDEX('Fleet dates'!$F$9:$F$1008,$I570-8)="","",INDEX('Fleet dates'!$F$9:$F$1008,$I570-8)))</x:f>
      </x:c>
      <x:c r="G570" s="50" t="str">
        <x:f>IF(562&gt;$H$4,"",IF(INDEX('Fleet dates'!$G$9:$G$1008,$I570-8)="","",INDEX('Fleet dates'!$G$9:$G$1008,$I570-8)))</x:f>
      </x:c>
      <x:c r="H570" s="50" t="str">
        <x:f>IF(562&gt;$H$4,"",IF(INDEX('Fleet dates'!$I$9:$I$1008,$I570-8)="","",INDEX('Fleet dates'!$I$9:$I$1008,$I570-8)))</x:f>
      </x:c>
      <x:c r="I570" t="str">
        <x:f>IF(562&gt;$H$4,"",MATCH(562,'Fleet dates'!$L$9:$L$1008,0)+8)</x:f>
      </x:c>
    </x:row>
    <x:row r="571" ht="36" customHeight="1">
      <x:c r="A571" s="50" t="str">
        <x:f>IF(563&gt;$H$4,"",IF(INDEX('Fleet dates'!$A$9:$A$1008,$I571-8)="","",INDEX('Fleet dates'!$A$9:$A$1008,$I571-8)))</x:f>
      </x:c>
      <x:c r="B571" s="50" t="str">
        <x:f>IF(563&gt;$H$4,"",IF(INDEX('Fleet dates'!$B$9:$B$1008,$I571-8)="","",INDEX('Fleet dates'!$B$9:$B$1008,$I571-8)))</x:f>
      </x:c>
      <x:c r="C571" s="51" t="str">
        <x:f>IF(563&gt;$H$4,"",IF(INDEX('Fleet dates'!$C$9:$C$1008,$I571-8)="","",INDEX('Fleet dates'!$C$9:$C$1008,$I571-8)))</x:f>
      </x:c>
      <x:c r="D571" s="51" t="str">
        <x:f>IF(563&gt;$H$4,"",IF(INDEX('Fleet dates'!$D$9:$D$1008,$I571-8)="","",INDEX('Fleet dates'!$D$9:$D$1008,$I571-8)))</x:f>
      </x:c>
      <x:c r="E571" s="51" t="str">
        <x:f>IF(563&gt;$H$4,"",IF(INDEX('Fleet dates'!$E$9:$E$1008,$I571-8)="","",INDEX('Fleet dates'!$E$9:$E$1008,$I571-8)))</x:f>
      </x:c>
      <x:c r="F571" s="51" t="str">
        <x:f>IF(563&gt;$H$4,"",IF(INDEX('Fleet dates'!$F$9:$F$1008,$I571-8)="","",INDEX('Fleet dates'!$F$9:$F$1008,$I571-8)))</x:f>
      </x:c>
      <x:c r="G571" s="50" t="str">
        <x:f>IF(563&gt;$H$4,"",IF(INDEX('Fleet dates'!$G$9:$G$1008,$I571-8)="","",INDEX('Fleet dates'!$G$9:$G$1008,$I571-8)))</x:f>
      </x:c>
      <x:c r="H571" s="50" t="str">
        <x:f>IF(563&gt;$H$4,"",IF(INDEX('Fleet dates'!$I$9:$I$1008,$I571-8)="","",INDEX('Fleet dates'!$I$9:$I$1008,$I571-8)))</x:f>
      </x:c>
      <x:c r="I571" t="str">
        <x:f>IF(563&gt;$H$4,"",MATCH(563,'Fleet dates'!$L$9:$L$1008,0)+8)</x:f>
      </x:c>
    </x:row>
    <x:row r="572" ht="36" customHeight="1">
      <x:c r="A572" s="50" t="str">
        <x:f>IF(564&gt;$H$4,"",IF(INDEX('Fleet dates'!$A$9:$A$1008,$I572-8)="","",INDEX('Fleet dates'!$A$9:$A$1008,$I572-8)))</x:f>
      </x:c>
      <x:c r="B572" s="50" t="str">
        <x:f>IF(564&gt;$H$4,"",IF(INDEX('Fleet dates'!$B$9:$B$1008,$I572-8)="","",INDEX('Fleet dates'!$B$9:$B$1008,$I572-8)))</x:f>
      </x:c>
      <x:c r="C572" s="51" t="str">
        <x:f>IF(564&gt;$H$4,"",IF(INDEX('Fleet dates'!$C$9:$C$1008,$I572-8)="","",INDEX('Fleet dates'!$C$9:$C$1008,$I572-8)))</x:f>
      </x:c>
      <x:c r="D572" s="51" t="str">
        <x:f>IF(564&gt;$H$4,"",IF(INDEX('Fleet dates'!$D$9:$D$1008,$I572-8)="","",INDEX('Fleet dates'!$D$9:$D$1008,$I572-8)))</x:f>
      </x:c>
      <x:c r="E572" s="51" t="str">
        <x:f>IF(564&gt;$H$4,"",IF(INDEX('Fleet dates'!$E$9:$E$1008,$I572-8)="","",INDEX('Fleet dates'!$E$9:$E$1008,$I572-8)))</x:f>
      </x:c>
      <x:c r="F572" s="51" t="str">
        <x:f>IF(564&gt;$H$4,"",IF(INDEX('Fleet dates'!$F$9:$F$1008,$I572-8)="","",INDEX('Fleet dates'!$F$9:$F$1008,$I572-8)))</x:f>
      </x:c>
      <x:c r="G572" s="50" t="str">
        <x:f>IF(564&gt;$H$4,"",IF(INDEX('Fleet dates'!$G$9:$G$1008,$I572-8)="","",INDEX('Fleet dates'!$G$9:$G$1008,$I572-8)))</x:f>
      </x:c>
      <x:c r="H572" s="50" t="str">
        <x:f>IF(564&gt;$H$4,"",IF(INDEX('Fleet dates'!$I$9:$I$1008,$I572-8)="","",INDEX('Fleet dates'!$I$9:$I$1008,$I572-8)))</x:f>
      </x:c>
      <x:c r="I572" t="str">
        <x:f>IF(564&gt;$H$4,"",MATCH(564,'Fleet dates'!$L$9:$L$1008,0)+8)</x:f>
      </x:c>
    </x:row>
    <x:row r="573" ht="36" customHeight="1">
      <x:c r="A573" s="50" t="str">
        <x:f>IF(565&gt;$H$4,"",IF(INDEX('Fleet dates'!$A$9:$A$1008,$I573-8)="","",INDEX('Fleet dates'!$A$9:$A$1008,$I573-8)))</x:f>
      </x:c>
      <x:c r="B573" s="50" t="str">
        <x:f>IF(565&gt;$H$4,"",IF(INDEX('Fleet dates'!$B$9:$B$1008,$I573-8)="","",INDEX('Fleet dates'!$B$9:$B$1008,$I573-8)))</x:f>
      </x:c>
      <x:c r="C573" s="51" t="str">
        <x:f>IF(565&gt;$H$4,"",IF(INDEX('Fleet dates'!$C$9:$C$1008,$I573-8)="","",INDEX('Fleet dates'!$C$9:$C$1008,$I573-8)))</x:f>
      </x:c>
      <x:c r="D573" s="51" t="str">
        <x:f>IF(565&gt;$H$4,"",IF(INDEX('Fleet dates'!$D$9:$D$1008,$I573-8)="","",INDEX('Fleet dates'!$D$9:$D$1008,$I573-8)))</x:f>
      </x:c>
      <x:c r="E573" s="51" t="str">
        <x:f>IF(565&gt;$H$4,"",IF(INDEX('Fleet dates'!$E$9:$E$1008,$I573-8)="","",INDEX('Fleet dates'!$E$9:$E$1008,$I573-8)))</x:f>
      </x:c>
      <x:c r="F573" s="51" t="str">
        <x:f>IF(565&gt;$H$4,"",IF(INDEX('Fleet dates'!$F$9:$F$1008,$I573-8)="","",INDEX('Fleet dates'!$F$9:$F$1008,$I573-8)))</x:f>
      </x:c>
      <x:c r="G573" s="50" t="str">
        <x:f>IF(565&gt;$H$4,"",IF(INDEX('Fleet dates'!$G$9:$G$1008,$I573-8)="","",INDEX('Fleet dates'!$G$9:$G$1008,$I573-8)))</x:f>
      </x:c>
      <x:c r="H573" s="50" t="str">
        <x:f>IF(565&gt;$H$4,"",IF(INDEX('Fleet dates'!$I$9:$I$1008,$I573-8)="","",INDEX('Fleet dates'!$I$9:$I$1008,$I573-8)))</x:f>
      </x:c>
      <x:c r="I573" t="str">
        <x:f>IF(565&gt;$H$4,"",MATCH(565,'Fleet dates'!$L$9:$L$1008,0)+8)</x:f>
      </x:c>
    </x:row>
    <x:row r="574" ht="36" customHeight="1">
      <x:c r="A574" s="50" t="str">
        <x:f>IF(566&gt;$H$4,"",IF(INDEX('Fleet dates'!$A$9:$A$1008,$I574-8)="","",INDEX('Fleet dates'!$A$9:$A$1008,$I574-8)))</x:f>
      </x:c>
      <x:c r="B574" s="50" t="str">
        <x:f>IF(566&gt;$H$4,"",IF(INDEX('Fleet dates'!$B$9:$B$1008,$I574-8)="","",INDEX('Fleet dates'!$B$9:$B$1008,$I574-8)))</x:f>
      </x:c>
      <x:c r="C574" s="51" t="str">
        <x:f>IF(566&gt;$H$4,"",IF(INDEX('Fleet dates'!$C$9:$C$1008,$I574-8)="","",INDEX('Fleet dates'!$C$9:$C$1008,$I574-8)))</x:f>
      </x:c>
      <x:c r="D574" s="51" t="str">
        <x:f>IF(566&gt;$H$4,"",IF(INDEX('Fleet dates'!$D$9:$D$1008,$I574-8)="","",INDEX('Fleet dates'!$D$9:$D$1008,$I574-8)))</x:f>
      </x:c>
      <x:c r="E574" s="51" t="str">
        <x:f>IF(566&gt;$H$4,"",IF(INDEX('Fleet dates'!$E$9:$E$1008,$I574-8)="","",INDEX('Fleet dates'!$E$9:$E$1008,$I574-8)))</x:f>
      </x:c>
      <x:c r="F574" s="51" t="str">
        <x:f>IF(566&gt;$H$4,"",IF(INDEX('Fleet dates'!$F$9:$F$1008,$I574-8)="","",INDEX('Fleet dates'!$F$9:$F$1008,$I574-8)))</x:f>
      </x:c>
      <x:c r="G574" s="50" t="str">
        <x:f>IF(566&gt;$H$4,"",IF(INDEX('Fleet dates'!$G$9:$G$1008,$I574-8)="","",INDEX('Fleet dates'!$G$9:$G$1008,$I574-8)))</x:f>
      </x:c>
      <x:c r="H574" s="50" t="str">
        <x:f>IF(566&gt;$H$4,"",IF(INDEX('Fleet dates'!$I$9:$I$1008,$I574-8)="","",INDEX('Fleet dates'!$I$9:$I$1008,$I574-8)))</x:f>
      </x:c>
      <x:c r="I574" t="str">
        <x:f>IF(566&gt;$H$4,"",MATCH(566,'Fleet dates'!$L$9:$L$1008,0)+8)</x:f>
      </x:c>
    </x:row>
    <x:row r="575" ht="36" customHeight="1">
      <x:c r="A575" s="50" t="str">
        <x:f>IF(567&gt;$H$4,"",IF(INDEX('Fleet dates'!$A$9:$A$1008,$I575-8)="","",INDEX('Fleet dates'!$A$9:$A$1008,$I575-8)))</x:f>
      </x:c>
      <x:c r="B575" s="50" t="str">
        <x:f>IF(567&gt;$H$4,"",IF(INDEX('Fleet dates'!$B$9:$B$1008,$I575-8)="","",INDEX('Fleet dates'!$B$9:$B$1008,$I575-8)))</x:f>
      </x:c>
      <x:c r="C575" s="51" t="str">
        <x:f>IF(567&gt;$H$4,"",IF(INDEX('Fleet dates'!$C$9:$C$1008,$I575-8)="","",INDEX('Fleet dates'!$C$9:$C$1008,$I575-8)))</x:f>
      </x:c>
      <x:c r="D575" s="51" t="str">
        <x:f>IF(567&gt;$H$4,"",IF(INDEX('Fleet dates'!$D$9:$D$1008,$I575-8)="","",INDEX('Fleet dates'!$D$9:$D$1008,$I575-8)))</x:f>
      </x:c>
      <x:c r="E575" s="51" t="str">
        <x:f>IF(567&gt;$H$4,"",IF(INDEX('Fleet dates'!$E$9:$E$1008,$I575-8)="","",INDEX('Fleet dates'!$E$9:$E$1008,$I575-8)))</x:f>
      </x:c>
      <x:c r="F575" s="51" t="str">
        <x:f>IF(567&gt;$H$4,"",IF(INDEX('Fleet dates'!$F$9:$F$1008,$I575-8)="","",INDEX('Fleet dates'!$F$9:$F$1008,$I575-8)))</x:f>
      </x:c>
      <x:c r="G575" s="50" t="str">
        <x:f>IF(567&gt;$H$4,"",IF(INDEX('Fleet dates'!$G$9:$G$1008,$I575-8)="","",INDEX('Fleet dates'!$G$9:$G$1008,$I575-8)))</x:f>
      </x:c>
      <x:c r="H575" s="50" t="str">
        <x:f>IF(567&gt;$H$4,"",IF(INDEX('Fleet dates'!$I$9:$I$1008,$I575-8)="","",INDEX('Fleet dates'!$I$9:$I$1008,$I575-8)))</x:f>
      </x:c>
      <x:c r="I575" t="str">
        <x:f>IF(567&gt;$H$4,"",MATCH(567,'Fleet dates'!$L$9:$L$1008,0)+8)</x:f>
      </x:c>
    </x:row>
    <x:row r="576" ht="36" customHeight="1">
      <x:c r="A576" s="50" t="str">
        <x:f>IF(568&gt;$H$4,"",IF(INDEX('Fleet dates'!$A$9:$A$1008,$I576-8)="","",INDEX('Fleet dates'!$A$9:$A$1008,$I576-8)))</x:f>
      </x:c>
      <x:c r="B576" s="50" t="str">
        <x:f>IF(568&gt;$H$4,"",IF(INDEX('Fleet dates'!$B$9:$B$1008,$I576-8)="","",INDEX('Fleet dates'!$B$9:$B$1008,$I576-8)))</x:f>
      </x:c>
      <x:c r="C576" s="51" t="str">
        <x:f>IF(568&gt;$H$4,"",IF(INDEX('Fleet dates'!$C$9:$C$1008,$I576-8)="","",INDEX('Fleet dates'!$C$9:$C$1008,$I576-8)))</x:f>
      </x:c>
      <x:c r="D576" s="51" t="str">
        <x:f>IF(568&gt;$H$4,"",IF(INDEX('Fleet dates'!$D$9:$D$1008,$I576-8)="","",INDEX('Fleet dates'!$D$9:$D$1008,$I576-8)))</x:f>
      </x:c>
      <x:c r="E576" s="51" t="str">
        <x:f>IF(568&gt;$H$4,"",IF(INDEX('Fleet dates'!$E$9:$E$1008,$I576-8)="","",INDEX('Fleet dates'!$E$9:$E$1008,$I576-8)))</x:f>
      </x:c>
      <x:c r="F576" s="51" t="str">
        <x:f>IF(568&gt;$H$4,"",IF(INDEX('Fleet dates'!$F$9:$F$1008,$I576-8)="","",INDEX('Fleet dates'!$F$9:$F$1008,$I576-8)))</x:f>
      </x:c>
      <x:c r="G576" s="50" t="str">
        <x:f>IF(568&gt;$H$4,"",IF(INDEX('Fleet dates'!$G$9:$G$1008,$I576-8)="","",INDEX('Fleet dates'!$G$9:$G$1008,$I576-8)))</x:f>
      </x:c>
      <x:c r="H576" s="50" t="str">
        <x:f>IF(568&gt;$H$4,"",IF(INDEX('Fleet dates'!$I$9:$I$1008,$I576-8)="","",INDEX('Fleet dates'!$I$9:$I$1008,$I576-8)))</x:f>
      </x:c>
      <x:c r="I576" t="str">
        <x:f>IF(568&gt;$H$4,"",MATCH(568,'Fleet dates'!$L$9:$L$1008,0)+8)</x:f>
      </x:c>
    </x:row>
    <x:row r="577" ht="36" customHeight="1">
      <x:c r="A577" s="50" t="str">
        <x:f>IF(569&gt;$H$4,"",IF(INDEX('Fleet dates'!$A$9:$A$1008,$I577-8)="","",INDEX('Fleet dates'!$A$9:$A$1008,$I577-8)))</x:f>
      </x:c>
      <x:c r="B577" s="50" t="str">
        <x:f>IF(569&gt;$H$4,"",IF(INDEX('Fleet dates'!$B$9:$B$1008,$I577-8)="","",INDEX('Fleet dates'!$B$9:$B$1008,$I577-8)))</x:f>
      </x:c>
      <x:c r="C577" s="51" t="str">
        <x:f>IF(569&gt;$H$4,"",IF(INDEX('Fleet dates'!$C$9:$C$1008,$I577-8)="","",INDEX('Fleet dates'!$C$9:$C$1008,$I577-8)))</x:f>
      </x:c>
      <x:c r="D577" s="51" t="str">
        <x:f>IF(569&gt;$H$4,"",IF(INDEX('Fleet dates'!$D$9:$D$1008,$I577-8)="","",INDEX('Fleet dates'!$D$9:$D$1008,$I577-8)))</x:f>
      </x:c>
      <x:c r="E577" s="51" t="str">
        <x:f>IF(569&gt;$H$4,"",IF(INDEX('Fleet dates'!$E$9:$E$1008,$I577-8)="","",INDEX('Fleet dates'!$E$9:$E$1008,$I577-8)))</x:f>
      </x:c>
      <x:c r="F577" s="51" t="str">
        <x:f>IF(569&gt;$H$4,"",IF(INDEX('Fleet dates'!$F$9:$F$1008,$I577-8)="","",INDEX('Fleet dates'!$F$9:$F$1008,$I577-8)))</x:f>
      </x:c>
      <x:c r="G577" s="50" t="str">
        <x:f>IF(569&gt;$H$4,"",IF(INDEX('Fleet dates'!$G$9:$G$1008,$I577-8)="","",INDEX('Fleet dates'!$G$9:$G$1008,$I577-8)))</x:f>
      </x:c>
      <x:c r="H577" s="50" t="str">
        <x:f>IF(569&gt;$H$4,"",IF(INDEX('Fleet dates'!$I$9:$I$1008,$I577-8)="","",INDEX('Fleet dates'!$I$9:$I$1008,$I577-8)))</x:f>
      </x:c>
      <x:c r="I577" t="str">
        <x:f>IF(569&gt;$H$4,"",MATCH(569,'Fleet dates'!$L$9:$L$1008,0)+8)</x:f>
      </x:c>
    </x:row>
    <x:row r="578" ht="36" customHeight="1">
      <x:c r="A578" s="50" t="str">
        <x:f>IF(570&gt;$H$4,"",IF(INDEX('Fleet dates'!$A$9:$A$1008,$I578-8)="","",INDEX('Fleet dates'!$A$9:$A$1008,$I578-8)))</x:f>
      </x:c>
      <x:c r="B578" s="50" t="str">
        <x:f>IF(570&gt;$H$4,"",IF(INDEX('Fleet dates'!$B$9:$B$1008,$I578-8)="","",INDEX('Fleet dates'!$B$9:$B$1008,$I578-8)))</x:f>
      </x:c>
      <x:c r="C578" s="51" t="str">
        <x:f>IF(570&gt;$H$4,"",IF(INDEX('Fleet dates'!$C$9:$C$1008,$I578-8)="","",INDEX('Fleet dates'!$C$9:$C$1008,$I578-8)))</x:f>
      </x:c>
      <x:c r="D578" s="51" t="str">
        <x:f>IF(570&gt;$H$4,"",IF(INDEX('Fleet dates'!$D$9:$D$1008,$I578-8)="","",INDEX('Fleet dates'!$D$9:$D$1008,$I578-8)))</x:f>
      </x:c>
      <x:c r="E578" s="51" t="str">
        <x:f>IF(570&gt;$H$4,"",IF(INDEX('Fleet dates'!$E$9:$E$1008,$I578-8)="","",INDEX('Fleet dates'!$E$9:$E$1008,$I578-8)))</x:f>
      </x:c>
      <x:c r="F578" s="51" t="str">
        <x:f>IF(570&gt;$H$4,"",IF(INDEX('Fleet dates'!$F$9:$F$1008,$I578-8)="","",INDEX('Fleet dates'!$F$9:$F$1008,$I578-8)))</x:f>
      </x:c>
      <x:c r="G578" s="50" t="str">
        <x:f>IF(570&gt;$H$4,"",IF(INDEX('Fleet dates'!$G$9:$G$1008,$I578-8)="","",INDEX('Fleet dates'!$G$9:$G$1008,$I578-8)))</x:f>
      </x:c>
      <x:c r="H578" s="50" t="str">
        <x:f>IF(570&gt;$H$4,"",IF(INDEX('Fleet dates'!$I$9:$I$1008,$I578-8)="","",INDEX('Fleet dates'!$I$9:$I$1008,$I578-8)))</x:f>
      </x:c>
      <x:c r="I578" t="str">
        <x:f>IF(570&gt;$H$4,"",MATCH(570,'Fleet dates'!$L$9:$L$1008,0)+8)</x:f>
      </x:c>
    </x:row>
    <x:row r="579" ht="36" customHeight="1">
      <x:c r="A579" s="50" t="str">
        <x:f>IF(571&gt;$H$4,"",IF(INDEX('Fleet dates'!$A$9:$A$1008,$I579-8)="","",INDEX('Fleet dates'!$A$9:$A$1008,$I579-8)))</x:f>
      </x:c>
      <x:c r="B579" s="50" t="str">
        <x:f>IF(571&gt;$H$4,"",IF(INDEX('Fleet dates'!$B$9:$B$1008,$I579-8)="","",INDEX('Fleet dates'!$B$9:$B$1008,$I579-8)))</x:f>
      </x:c>
      <x:c r="C579" s="51" t="str">
        <x:f>IF(571&gt;$H$4,"",IF(INDEX('Fleet dates'!$C$9:$C$1008,$I579-8)="","",INDEX('Fleet dates'!$C$9:$C$1008,$I579-8)))</x:f>
      </x:c>
      <x:c r="D579" s="51" t="str">
        <x:f>IF(571&gt;$H$4,"",IF(INDEX('Fleet dates'!$D$9:$D$1008,$I579-8)="","",INDEX('Fleet dates'!$D$9:$D$1008,$I579-8)))</x:f>
      </x:c>
      <x:c r="E579" s="51" t="str">
        <x:f>IF(571&gt;$H$4,"",IF(INDEX('Fleet dates'!$E$9:$E$1008,$I579-8)="","",INDEX('Fleet dates'!$E$9:$E$1008,$I579-8)))</x:f>
      </x:c>
      <x:c r="F579" s="51" t="str">
        <x:f>IF(571&gt;$H$4,"",IF(INDEX('Fleet dates'!$F$9:$F$1008,$I579-8)="","",INDEX('Fleet dates'!$F$9:$F$1008,$I579-8)))</x:f>
      </x:c>
      <x:c r="G579" s="50" t="str">
        <x:f>IF(571&gt;$H$4,"",IF(INDEX('Fleet dates'!$G$9:$G$1008,$I579-8)="","",INDEX('Fleet dates'!$G$9:$G$1008,$I579-8)))</x:f>
      </x:c>
      <x:c r="H579" s="50" t="str">
        <x:f>IF(571&gt;$H$4,"",IF(INDEX('Fleet dates'!$I$9:$I$1008,$I579-8)="","",INDEX('Fleet dates'!$I$9:$I$1008,$I579-8)))</x:f>
      </x:c>
      <x:c r="I579" t="str">
        <x:f>IF(571&gt;$H$4,"",MATCH(571,'Fleet dates'!$L$9:$L$1008,0)+8)</x:f>
      </x:c>
    </x:row>
    <x:row r="580" ht="36" customHeight="1">
      <x:c r="A580" s="50" t="str">
        <x:f>IF(572&gt;$H$4,"",IF(INDEX('Fleet dates'!$A$9:$A$1008,$I580-8)="","",INDEX('Fleet dates'!$A$9:$A$1008,$I580-8)))</x:f>
      </x:c>
      <x:c r="B580" s="50" t="str">
        <x:f>IF(572&gt;$H$4,"",IF(INDEX('Fleet dates'!$B$9:$B$1008,$I580-8)="","",INDEX('Fleet dates'!$B$9:$B$1008,$I580-8)))</x:f>
      </x:c>
      <x:c r="C580" s="51" t="str">
        <x:f>IF(572&gt;$H$4,"",IF(INDEX('Fleet dates'!$C$9:$C$1008,$I580-8)="","",INDEX('Fleet dates'!$C$9:$C$1008,$I580-8)))</x:f>
      </x:c>
      <x:c r="D580" s="51" t="str">
        <x:f>IF(572&gt;$H$4,"",IF(INDEX('Fleet dates'!$D$9:$D$1008,$I580-8)="","",INDEX('Fleet dates'!$D$9:$D$1008,$I580-8)))</x:f>
      </x:c>
      <x:c r="E580" s="51" t="str">
        <x:f>IF(572&gt;$H$4,"",IF(INDEX('Fleet dates'!$E$9:$E$1008,$I580-8)="","",INDEX('Fleet dates'!$E$9:$E$1008,$I580-8)))</x:f>
      </x:c>
      <x:c r="F580" s="51" t="str">
        <x:f>IF(572&gt;$H$4,"",IF(INDEX('Fleet dates'!$F$9:$F$1008,$I580-8)="","",INDEX('Fleet dates'!$F$9:$F$1008,$I580-8)))</x:f>
      </x:c>
      <x:c r="G580" s="50" t="str">
        <x:f>IF(572&gt;$H$4,"",IF(INDEX('Fleet dates'!$G$9:$G$1008,$I580-8)="","",INDEX('Fleet dates'!$G$9:$G$1008,$I580-8)))</x:f>
      </x:c>
      <x:c r="H580" s="50" t="str">
        <x:f>IF(572&gt;$H$4,"",IF(INDEX('Fleet dates'!$I$9:$I$1008,$I580-8)="","",INDEX('Fleet dates'!$I$9:$I$1008,$I580-8)))</x:f>
      </x:c>
      <x:c r="I580" t="str">
        <x:f>IF(572&gt;$H$4,"",MATCH(572,'Fleet dates'!$L$9:$L$1008,0)+8)</x:f>
      </x:c>
    </x:row>
    <x:row r="581" ht="36" customHeight="1">
      <x:c r="A581" s="50" t="str">
        <x:f>IF(573&gt;$H$4,"",IF(INDEX('Fleet dates'!$A$9:$A$1008,$I581-8)="","",INDEX('Fleet dates'!$A$9:$A$1008,$I581-8)))</x:f>
      </x:c>
      <x:c r="B581" s="50" t="str">
        <x:f>IF(573&gt;$H$4,"",IF(INDEX('Fleet dates'!$B$9:$B$1008,$I581-8)="","",INDEX('Fleet dates'!$B$9:$B$1008,$I581-8)))</x:f>
      </x:c>
      <x:c r="C581" s="51" t="str">
        <x:f>IF(573&gt;$H$4,"",IF(INDEX('Fleet dates'!$C$9:$C$1008,$I581-8)="","",INDEX('Fleet dates'!$C$9:$C$1008,$I581-8)))</x:f>
      </x:c>
      <x:c r="D581" s="51" t="str">
        <x:f>IF(573&gt;$H$4,"",IF(INDEX('Fleet dates'!$D$9:$D$1008,$I581-8)="","",INDEX('Fleet dates'!$D$9:$D$1008,$I581-8)))</x:f>
      </x:c>
      <x:c r="E581" s="51" t="str">
        <x:f>IF(573&gt;$H$4,"",IF(INDEX('Fleet dates'!$E$9:$E$1008,$I581-8)="","",INDEX('Fleet dates'!$E$9:$E$1008,$I581-8)))</x:f>
      </x:c>
      <x:c r="F581" s="51" t="str">
        <x:f>IF(573&gt;$H$4,"",IF(INDEX('Fleet dates'!$F$9:$F$1008,$I581-8)="","",INDEX('Fleet dates'!$F$9:$F$1008,$I581-8)))</x:f>
      </x:c>
      <x:c r="G581" s="50" t="str">
        <x:f>IF(573&gt;$H$4,"",IF(INDEX('Fleet dates'!$G$9:$G$1008,$I581-8)="","",INDEX('Fleet dates'!$G$9:$G$1008,$I581-8)))</x:f>
      </x:c>
      <x:c r="H581" s="50" t="str">
        <x:f>IF(573&gt;$H$4,"",IF(INDEX('Fleet dates'!$I$9:$I$1008,$I581-8)="","",INDEX('Fleet dates'!$I$9:$I$1008,$I581-8)))</x:f>
      </x:c>
      <x:c r="I581" t="str">
        <x:f>IF(573&gt;$H$4,"",MATCH(573,'Fleet dates'!$L$9:$L$1008,0)+8)</x:f>
      </x:c>
    </x:row>
    <x:row r="582" ht="36" customHeight="1">
      <x:c r="A582" s="50" t="str">
        <x:f>IF(574&gt;$H$4,"",IF(INDEX('Fleet dates'!$A$9:$A$1008,$I582-8)="","",INDEX('Fleet dates'!$A$9:$A$1008,$I582-8)))</x:f>
      </x:c>
      <x:c r="B582" s="50" t="str">
        <x:f>IF(574&gt;$H$4,"",IF(INDEX('Fleet dates'!$B$9:$B$1008,$I582-8)="","",INDEX('Fleet dates'!$B$9:$B$1008,$I582-8)))</x:f>
      </x:c>
      <x:c r="C582" s="51" t="str">
        <x:f>IF(574&gt;$H$4,"",IF(INDEX('Fleet dates'!$C$9:$C$1008,$I582-8)="","",INDEX('Fleet dates'!$C$9:$C$1008,$I582-8)))</x:f>
      </x:c>
      <x:c r="D582" s="51" t="str">
        <x:f>IF(574&gt;$H$4,"",IF(INDEX('Fleet dates'!$D$9:$D$1008,$I582-8)="","",INDEX('Fleet dates'!$D$9:$D$1008,$I582-8)))</x:f>
      </x:c>
      <x:c r="E582" s="51" t="str">
        <x:f>IF(574&gt;$H$4,"",IF(INDEX('Fleet dates'!$E$9:$E$1008,$I582-8)="","",INDEX('Fleet dates'!$E$9:$E$1008,$I582-8)))</x:f>
      </x:c>
      <x:c r="F582" s="51" t="str">
        <x:f>IF(574&gt;$H$4,"",IF(INDEX('Fleet dates'!$F$9:$F$1008,$I582-8)="","",INDEX('Fleet dates'!$F$9:$F$1008,$I582-8)))</x:f>
      </x:c>
      <x:c r="G582" s="50" t="str">
        <x:f>IF(574&gt;$H$4,"",IF(INDEX('Fleet dates'!$G$9:$G$1008,$I582-8)="","",INDEX('Fleet dates'!$G$9:$G$1008,$I582-8)))</x:f>
      </x:c>
      <x:c r="H582" s="50" t="str">
        <x:f>IF(574&gt;$H$4,"",IF(INDEX('Fleet dates'!$I$9:$I$1008,$I582-8)="","",INDEX('Fleet dates'!$I$9:$I$1008,$I582-8)))</x:f>
      </x:c>
      <x:c r="I582" t="str">
        <x:f>IF(574&gt;$H$4,"",MATCH(574,'Fleet dates'!$L$9:$L$1008,0)+8)</x:f>
      </x:c>
    </x:row>
    <x:row r="583" ht="36" customHeight="1">
      <x:c r="A583" s="50" t="str">
        <x:f>IF(575&gt;$H$4,"",IF(INDEX('Fleet dates'!$A$9:$A$1008,$I583-8)="","",INDEX('Fleet dates'!$A$9:$A$1008,$I583-8)))</x:f>
      </x:c>
      <x:c r="B583" s="50" t="str">
        <x:f>IF(575&gt;$H$4,"",IF(INDEX('Fleet dates'!$B$9:$B$1008,$I583-8)="","",INDEX('Fleet dates'!$B$9:$B$1008,$I583-8)))</x:f>
      </x:c>
      <x:c r="C583" s="51" t="str">
        <x:f>IF(575&gt;$H$4,"",IF(INDEX('Fleet dates'!$C$9:$C$1008,$I583-8)="","",INDEX('Fleet dates'!$C$9:$C$1008,$I583-8)))</x:f>
      </x:c>
      <x:c r="D583" s="51" t="str">
        <x:f>IF(575&gt;$H$4,"",IF(INDEX('Fleet dates'!$D$9:$D$1008,$I583-8)="","",INDEX('Fleet dates'!$D$9:$D$1008,$I583-8)))</x:f>
      </x:c>
      <x:c r="E583" s="51" t="str">
        <x:f>IF(575&gt;$H$4,"",IF(INDEX('Fleet dates'!$E$9:$E$1008,$I583-8)="","",INDEX('Fleet dates'!$E$9:$E$1008,$I583-8)))</x:f>
      </x:c>
      <x:c r="F583" s="51" t="str">
        <x:f>IF(575&gt;$H$4,"",IF(INDEX('Fleet dates'!$F$9:$F$1008,$I583-8)="","",INDEX('Fleet dates'!$F$9:$F$1008,$I583-8)))</x:f>
      </x:c>
      <x:c r="G583" s="50" t="str">
        <x:f>IF(575&gt;$H$4,"",IF(INDEX('Fleet dates'!$G$9:$G$1008,$I583-8)="","",INDEX('Fleet dates'!$G$9:$G$1008,$I583-8)))</x:f>
      </x:c>
      <x:c r="H583" s="50" t="str">
        <x:f>IF(575&gt;$H$4,"",IF(INDEX('Fleet dates'!$I$9:$I$1008,$I583-8)="","",INDEX('Fleet dates'!$I$9:$I$1008,$I583-8)))</x:f>
      </x:c>
      <x:c r="I583" t="str">
        <x:f>IF(575&gt;$H$4,"",MATCH(575,'Fleet dates'!$L$9:$L$1008,0)+8)</x:f>
      </x:c>
    </x:row>
    <x:row r="584" ht="36" customHeight="1">
      <x:c r="A584" s="50" t="str">
        <x:f>IF(576&gt;$H$4,"",IF(INDEX('Fleet dates'!$A$9:$A$1008,$I584-8)="","",INDEX('Fleet dates'!$A$9:$A$1008,$I584-8)))</x:f>
      </x:c>
      <x:c r="B584" s="50" t="str">
        <x:f>IF(576&gt;$H$4,"",IF(INDEX('Fleet dates'!$B$9:$B$1008,$I584-8)="","",INDEX('Fleet dates'!$B$9:$B$1008,$I584-8)))</x:f>
      </x:c>
      <x:c r="C584" s="51" t="str">
        <x:f>IF(576&gt;$H$4,"",IF(INDEX('Fleet dates'!$C$9:$C$1008,$I584-8)="","",INDEX('Fleet dates'!$C$9:$C$1008,$I584-8)))</x:f>
      </x:c>
      <x:c r="D584" s="51" t="str">
        <x:f>IF(576&gt;$H$4,"",IF(INDEX('Fleet dates'!$D$9:$D$1008,$I584-8)="","",INDEX('Fleet dates'!$D$9:$D$1008,$I584-8)))</x:f>
      </x:c>
      <x:c r="E584" s="51" t="str">
        <x:f>IF(576&gt;$H$4,"",IF(INDEX('Fleet dates'!$E$9:$E$1008,$I584-8)="","",INDEX('Fleet dates'!$E$9:$E$1008,$I584-8)))</x:f>
      </x:c>
      <x:c r="F584" s="51" t="str">
        <x:f>IF(576&gt;$H$4,"",IF(INDEX('Fleet dates'!$F$9:$F$1008,$I584-8)="","",INDEX('Fleet dates'!$F$9:$F$1008,$I584-8)))</x:f>
      </x:c>
      <x:c r="G584" s="50" t="str">
        <x:f>IF(576&gt;$H$4,"",IF(INDEX('Fleet dates'!$G$9:$G$1008,$I584-8)="","",INDEX('Fleet dates'!$G$9:$G$1008,$I584-8)))</x:f>
      </x:c>
      <x:c r="H584" s="50" t="str">
        <x:f>IF(576&gt;$H$4,"",IF(INDEX('Fleet dates'!$I$9:$I$1008,$I584-8)="","",INDEX('Fleet dates'!$I$9:$I$1008,$I584-8)))</x:f>
      </x:c>
      <x:c r="I584" t="str">
        <x:f>IF(576&gt;$H$4,"",MATCH(576,'Fleet dates'!$L$9:$L$1008,0)+8)</x:f>
      </x:c>
    </x:row>
    <x:row r="585" ht="36" customHeight="1">
      <x:c r="A585" s="50" t="str">
        <x:f>IF(577&gt;$H$4,"",IF(INDEX('Fleet dates'!$A$9:$A$1008,$I585-8)="","",INDEX('Fleet dates'!$A$9:$A$1008,$I585-8)))</x:f>
      </x:c>
      <x:c r="B585" s="50" t="str">
        <x:f>IF(577&gt;$H$4,"",IF(INDEX('Fleet dates'!$B$9:$B$1008,$I585-8)="","",INDEX('Fleet dates'!$B$9:$B$1008,$I585-8)))</x:f>
      </x:c>
      <x:c r="C585" s="51" t="str">
        <x:f>IF(577&gt;$H$4,"",IF(INDEX('Fleet dates'!$C$9:$C$1008,$I585-8)="","",INDEX('Fleet dates'!$C$9:$C$1008,$I585-8)))</x:f>
      </x:c>
      <x:c r="D585" s="51" t="str">
        <x:f>IF(577&gt;$H$4,"",IF(INDEX('Fleet dates'!$D$9:$D$1008,$I585-8)="","",INDEX('Fleet dates'!$D$9:$D$1008,$I585-8)))</x:f>
      </x:c>
      <x:c r="E585" s="51" t="str">
        <x:f>IF(577&gt;$H$4,"",IF(INDEX('Fleet dates'!$E$9:$E$1008,$I585-8)="","",INDEX('Fleet dates'!$E$9:$E$1008,$I585-8)))</x:f>
      </x:c>
      <x:c r="F585" s="51" t="str">
        <x:f>IF(577&gt;$H$4,"",IF(INDEX('Fleet dates'!$F$9:$F$1008,$I585-8)="","",INDEX('Fleet dates'!$F$9:$F$1008,$I585-8)))</x:f>
      </x:c>
      <x:c r="G585" s="50" t="str">
        <x:f>IF(577&gt;$H$4,"",IF(INDEX('Fleet dates'!$G$9:$G$1008,$I585-8)="","",INDEX('Fleet dates'!$G$9:$G$1008,$I585-8)))</x:f>
      </x:c>
      <x:c r="H585" s="50" t="str">
        <x:f>IF(577&gt;$H$4,"",IF(INDEX('Fleet dates'!$I$9:$I$1008,$I585-8)="","",INDEX('Fleet dates'!$I$9:$I$1008,$I585-8)))</x:f>
      </x:c>
      <x:c r="I585" t="str">
        <x:f>IF(577&gt;$H$4,"",MATCH(577,'Fleet dates'!$L$9:$L$1008,0)+8)</x:f>
      </x:c>
    </x:row>
    <x:row r="586" ht="36" customHeight="1">
      <x:c r="A586" s="50" t="str">
        <x:f>IF(578&gt;$H$4,"",IF(INDEX('Fleet dates'!$A$9:$A$1008,$I586-8)="","",INDEX('Fleet dates'!$A$9:$A$1008,$I586-8)))</x:f>
      </x:c>
      <x:c r="B586" s="50" t="str">
        <x:f>IF(578&gt;$H$4,"",IF(INDEX('Fleet dates'!$B$9:$B$1008,$I586-8)="","",INDEX('Fleet dates'!$B$9:$B$1008,$I586-8)))</x:f>
      </x:c>
      <x:c r="C586" s="51" t="str">
        <x:f>IF(578&gt;$H$4,"",IF(INDEX('Fleet dates'!$C$9:$C$1008,$I586-8)="","",INDEX('Fleet dates'!$C$9:$C$1008,$I586-8)))</x:f>
      </x:c>
      <x:c r="D586" s="51" t="str">
        <x:f>IF(578&gt;$H$4,"",IF(INDEX('Fleet dates'!$D$9:$D$1008,$I586-8)="","",INDEX('Fleet dates'!$D$9:$D$1008,$I586-8)))</x:f>
      </x:c>
      <x:c r="E586" s="51" t="str">
        <x:f>IF(578&gt;$H$4,"",IF(INDEX('Fleet dates'!$E$9:$E$1008,$I586-8)="","",INDEX('Fleet dates'!$E$9:$E$1008,$I586-8)))</x:f>
      </x:c>
      <x:c r="F586" s="51" t="str">
        <x:f>IF(578&gt;$H$4,"",IF(INDEX('Fleet dates'!$F$9:$F$1008,$I586-8)="","",INDEX('Fleet dates'!$F$9:$F$1008,$I586-8)))</x:f>
      </x:c>
      <x:c r="G586" s="50" t="str">
        <x:f>IF(578&gt;$H$4,"",IF(INDEX('Fleet dates'!$G$9:$G$1008,$I586-8)="","",INDEX('Fleet dates'!$G$9:$G$1008,$I586-8)))</x:f>
      </x:c>
      <x:c r="H586" s="50" t="str">
        <x:f>IF(578&gt;$H$4,"",IF(INDEX('Fleet dates'!$I$9:$I$1008,$I586-8)="","",INDEX('Fleet dates'!$I$9:$I$1008,$I586-8)))</x:f>
      </x:c>
      <x:c r="I586" t="str">
        <x:f>IF(578&gt;$H$4,"",MATCH(578,'Fleet dates'!$L$9:$L$1008,0)+8)</x:f>
      </x:c>
    </x:row>
    <x:row r="587" ht="36" customHeight="1">
      <x:c r="A587" s="50" t="str">
        <x:f>IF(579&gt;$H$4,"",IF(INDEX('Fleet dates'!$A$9:$A$1008,$I587-8)="","",INDEX('Fleet dates'!$A$9:$A$1008,$I587-8)))</x:f>
      </x:c>
      <x:c r="B587" s="50" t="str">
        <x:f>IF(579&gt;$H$4,"",IF(INDEX('Fleet dates'!$B$9:$B$1008,$I587-8)="","",INDEX('Fleet dates'!$B$9:$B$1008,$I587-8)))</x:f>
      </x:c>
      <x:c r="C587" s="51" t="str">
        <x:f>IF(579&gt;$H$4,"",IF(INDEX('Fleet dates'!$C$9:$C$1008,$I587-8)="","",INDEX('Fleet dates'!$C$9:$C$1008,$I587-8)))</x:f>
      </x:c>
      <x:c r="D587" s="51" t="str">
        <x:f>IF(579&gt;$H$4,"",IF(INDEX('Fleet dates'!$D$9:$D$1008,$I587-8)="","",INDEX('Fleet dates'!$D$9:$D$1008,$I587-8)))</x:f>
      </x:c>
      <x:c r="E587" s="51" t="str">
        <x:f>IF(579&gt;$H$4,"",IF(INDEX('Fleet dates'!$E$9:$E$1008,$I587-8)="","",INDEX('Fleet dates'!$E$9:$E$1008,$I587-8)))</x:f>
      </x:c>
      <x:c r="F587" s="51" t="str">
        <x:f>IF(579&gt;$H$4,"",IF(INDEX('Fleet dates'!$F$9:$F$1008,$I587-8)="","",INDEX('Fleet dates'!$F$9:$F$1008,$I587-8)))</x:f>
      </x:c>
      <x:c r="G587" s="50" t="str">
        <x:f>IF(579&gt;$H$4,"",IF(INDEX('Fleet dates'!$G$9:$G$1008,$I587-8)="","",INDEX('Fleet dates'!$G$9:$G$1008,$I587-8)))</x:f>
      </x:c>
      <x:c r="H587" s="50" t="str">
        <x:f>IF(579&gt;$H$4,"",IF(INDEX('Fleet dates'!$I$9:$I$1008,$I587-8)="","",INDEX('Fleet dates'!$I$9:$I$1008,$I587-8)))</x:f>
      </x:c>
      <x:c r="I587" t="str">
        <x:f>IF(579&gt;$H$4,"",MATCH(579,'Fleet dates'!$L$9:$L$1008,0)+8)</x:f>
      </x:c>
    </x:row>
    <x:row r="588" ht="36" customHeight="1">
      <x:c r="A588" s="50" t="str">
        <x:f>IF(580&gt;$H$4,"",IF(INDEX('Fleet dates'!$A$9:$A$1008,$I588-8)="","",INDEX('Fleet dates'!$A$9:$A$1008,$I588-8)))</x:f>
      </x:c>
      <x:c r="B588" s="50" t="str">
        <x:f>IF(580&gt;$H$4,"",IF(INDEX('Fleet dates'!$B$9:$B$1008,$I588-8)="","",INDEX('Fleet dates'!$B$9:$B$1008,$I588-8)))</x:f>
      </x:c>
      <x:c r="C588" s="51" t="str">
        <x:f>IF(580&gt;$H$4,"",IF(INDEX('Fleet dates'!$C$9:$C$1008,$I588-8)="","",INDEX('Fleet dates'!$C$9:$C$1008,$I588-8)))</x:f>
      </x:c>
      <x:c r="D588" s="51" t="str">
        <x:f>IF(580&gt;$H$4,"",IF(INDEX('Fleet dates'!$D$9:$D$1008,$I588-8)="","",INDEX('Fleet dates'!$D$9:$D$1008,$I588-8)))</x:f>
      </x:c>
      <x:c r="E588" s="51" t="str">
        <x:f>IF(580&gt;$H$4,"",IF(INDEX('Fleet dates'!$E$9:$E$1008,$I588-8)="","",INDEX('Fleet dates'!$E$9:$E$1008,$I588-8)))</x:f>
      </x:c>
      <x:c r="F588" s="51" t="str">
        <x:f>IF(580&gt;$H$4,"",IF(INDEX('Fleet dates'!$F$9:$F$1008,$I588-8)="","",INDEX('Fleet dates'!$F$9:$F$1008,$I588-8)))</x:f>
      </x:c>
      <x:c r="G588" s="50" t="str">
        <x:f>IF(580&gt;$H$4,"",IF(INDEX('Fleet dates'!$G$9:$G$1008,$I588-8)="","",INDEX('Fleet dates'!$G$9:$G$1008,$I588-8)))</x:f>
      </x:c>
      <x:c r="H588" s="50" t="str">
        <x:f>IF(580&gt;$H$4,"",IF(INDEX('Fleet dates'!$I$9:$I$1008,$I588-8)="","",INDEX('Fleet dates'!$I$9:$I$1008,$I588-8)))</x:f>
      </x:c>
      <x:c r="I588" t="str">
        <x:f>IF(580&gt;$H$4,"",MATCH(580,'Fleet dates'!$L$9:$L$1008,0)+8)</x:f>
      </x:c>
    </x:row>
    <x:row r="589" ht="36" customHeight="1">
      <x:c r="A589" s="50" t="str">
        <x:f>IF(581&gt;$H$4,"",IF(INDEX('Fleet dates'!$A$9:$A$1008,$I589-8)="","",INDEX('Fleet dates'!$A$9:$A$1008,$I589-8)))</x:f>
      </x:c>
      <x:c r="B589" s="50" t="str">
        <x:f>IF(581&gt;$H$4,"",IF(INDEX('Fleet dates'!$B$9:$B$1008,$I589-8)="","",INDEX('Fleet dates'!$B$9:$B$1008,$I589-8)))</x:f>
      </x:c>
      <x:c r="C589" s="51" t="str">
        <x:f>IF(581&gt;$H$4,"",IF(INDEX('Fleet dates'!$C$9:$C$1008,$I589-8)="","",INDEX('Fleet dates'!$C$9:$C$1008,$I589-8)))</x:f>
      </x:c>
      <x:c r="D589" s="51" t="str">
        <x:f>IF(581&gt;$H$4,"",IF(INDEX('Fleet dates'!$D$9:$D$1008,$I589-8)="","",INDEX('Fleet dates'!$D$9:$D$1008,$I589-8)))</x:f>
      </x:c>
      <x:c r="E589" s="51" t="str">
        <x:f>IF(581&gt;$H$4,"",IF(INDEX('Fleet dates'!$E$9:$E$1008,$I589-8)="","",INDEX('Fleet dates'!$E$9:$E$1008,$I589-8)))</x:f>
      </x:c>
      <x:c r="F589" s="51" t="str">
        <x:f>IF(581&gt;$H$4,"",IF(INDEX('Fleet dates'!$F$9:$F$1008,$I589-8)="","",INDEX('Fleet dates'!$F$9:$F$1008,$I589-8)))</x:f>
      </x:c>
      <x:c r="G589" s="50" t="str">
        <x:f>IF(581&gt;$H$4,"",IF(INDEX('Fleet dates'!$G$9:$G$1008,$I589-8)="","",INDEX('Fleet dates'!$G$9:$G$1008,$I589-8)))</x:f>
      </x:c>
      <x:c r="H589" s="50" t="str">
        <x:f>IF(581&gt;$H$4,"",IF(INDEX('Fleet dates'!$I$9:$I$1008,$I589-8)="","",INDEX('Fleet dates'!$I$9:$I$1008,$I589-8)))</x:f>
      </x:c>
      <x:c r="I589" t="str">
        <x:f>IF(581&gt;$H$4,"",MATCH(581,'Fleet dates'!$L$9:$L$1008,0)+8)</x:f>
      </x:c>
    </x:row>
    <x:row r="590" ht="36" customHeight="1">
      <x:c r="A590" s="50" t="str">
        <x:f>IF(582&gt;$H$4,"",IF(INDEX('Fleet dates'!$A$9:$A$1008,$I590-8)="","",INDEX('Fleet dates'!$A$9:$A$1008,$I590-8)))</x:f>
      </x:c>
      <x:c r="B590" s="50" t="str">
        <x:f>IF(582&gt;$H$4,"",IF(INDEX('Fleet dates'!$B$9:$B$1008,$I590-8)="","",INDEX('Fleet dates'!$B$9:$B$1008,$I590-8)))</x:f>
      </x:c>
      <x:c r="C590" s="51" t="str">
        <x:f>IF(582&gt;$H$4,"",IF(INDEX('Fleet dates'!$C$9:$C$1008,$I590-8)="","",INDEX('Fleet dates'!$C$9:$C$1008,$I590-8)))</x:f>
      </x:c>
      <x:c r="D590" s="51" t="str">
        <x:f>IF(582&gt;$H$4,"",IF(INDEX('Fleet dates'!$D$9:$D$1008,$I590-8)="","",INDEX('Fleet dates'!$D$9:$D$1008,$I590-8)))</x:f>
      </x:c>
      <x:c r="E590" s="51" t="str">
        <x:f>IF(582&gt;$H$4,"",IF(INDEX('Fleet dates'!$E$9:$E$1008,$I590-8)="","",INDEX('Fleet dates'!$E$9:$E$1008,$I590-8)))</x:f>
      </x:c>
      <x:c r="F590" s="51" t="str">
        <x:f>IF(582&gt;$H$4,"",IF(INDEX('Fleet dates'!$F$9:$F$1008,$I590-8)="","",INDEX('Fleet dates'!$F$9:$F$1008,$I590-8)))</x:f>
      </x:c>
      <x:c r="G590" s="50" t="str">
        <x:f>IF(582&gt;$H$4,"",IF(INDEX('Fleet dates'!$G$9:$G$1008,$I590-8)="","",INDEX('Fleet dates'!$G$9:$G$1008,$I590-8)))</x:f>
      </x:c>
      <x:c r="H590" s="50" t="str">
        <x:f>IF(582&gt;$H$4,"",IF(INDEX('Fleet dates'!$I$9:$I$1008,$I590-8)="","",INDEX('Fleet dates'!$I$9:$I$1008,$I590-8)))</x:f>
      </x:c>
      <x:c r="I590" t="str">
        <x:f>IF(582&gt;$H$4,"",MATCH(582,'Fleet dates'!$L$9:$L$1008,0)+8)</x:f>
      </x:c>
    </x:row>
    <x:row r="591" ht="36" customHeight="1">
      <x:c r="A591" s="50" t="str">
        <x:f>IF(583&gt;$H$4,"",IF(INDEX('Fleet dates'!$A$9:$A$1008,$I591-8)="","",INDEX('Fleet dates'!$A$9:$A$1008,$I591-8)))</x:f>
      </x:c>
      <x:c r="B591" s="50" t="str">
        <x:f>IF(583&gt;$H$4,"",IF(INDEX('Fleet dates'!$B$9:$B$1008,$I591-8)="","",INDEX('Fleet dates'!$B$9:$B$1008,$I591-8)))</x:f>
      </x:c>
      <x:c r="C591" s="51" t="str">
        <x:f>IF(583&gt;$H$4,"",IF(INDEX('Fleet dates'!$C$9:$C$1008,$I591-8)="","",INDEX('Fleet dates'!$C$9:$C$1008,$I591-8)))</x:f>
      </x:c>
      <x:c r="D591" s="51" t="str">
        <x:f>IF(583&gt;$H$4,"",IF(INDEX('Fleet dates'!$D$9:$D$1008,$I591-8)="","",INDEX('Fleet dates'!$D$9:$D$1008,$I591-8)))</x:f>
      </x:c>
      <x:c r="E591" s="51" t="str">
        <x:f>IF(583&gt;$H$4,"",IF(INDEX('Fleet dates'!$E$9:$E$1008,$I591-8)="","",INDEX('Fleet dates'!$E$9:$E$1008,$I591-8)))</x:f>
      </x:c>
      <x:c r="F591" s="51" t="str">
        <x:f>IF(583&gt;$H$4,"",IF(INDEX('Fleet dates'!$F$9:$F$1008,$I591-8)="","",INDEX('Fleet dates'!$F$9:$F$1008,$I591-8)))</x:f>
      </x:c>
      <x:c r="G591" s="50" t="str">
        <x:f>IF(583&gt;$H$4,"",IF(INDEX('Fleet dates'!$G$9:$G$1008,$I591-8)="","",INDEX('Fleet dates'!$G$9:$G$1008,$I591-8)))</x:f>
      </x:c>
      <x:c r="H591" s="50" t="str">
        <x:f>IF(583&gt;$H$4,"",IF(INDEX('Fleet dates'!$I$9:$I$1008,$I591-8)="","",INDEX('Fleet dates'!$I$9:$I$1008,$I591-8)))</x:f>
      </x:c>
      <x:c r="I591" t="str">
        <x:f>IF(583&gt;$H$4,"",MATCH(583,'Fleet dates'!$L$9:$L$1008,0)+8)</x:f>
      </x:c>
    </x:row>
    <x:row r="592" ht="36" customHeight="1">
      <x:c r="A592" s="50" t="str">
        <x:f>IF(584&gt;$H$4,"",IF(INDEX('Fleet dates'!$A$9:$A$1008,$I592-8)="","",INDEX('Fleet dates'!$A$9:$A$1008,$I592-8)))</x:f>
      </x:c>
      <x:c r="B592" s="50" t="str">
        <x:f>IF(584&gt;$H$4,"",IF(INDEX('Fleet dates'!$B$9:$B$1008,$I592-8)="","",INDEX('Fleet dates'!$B$9:$B$1008,$I592-8)))</x:f>
      </x:c>
      <x:c r="C592" s="51" t="str">
        <x:f>IF(584&gt;$H$4,"",IF(INDEX('Fleet dates'!$C$9:$C$1008,$I592-8)="","",INDEX('Fleet dates'!$C$9:$C$1008,$I592-8)))</x:f>
      </x:c>
      <x:c r="D592" s="51" t="str">
        <x:f>IF(584&gt;$H$4,"",IF(INDEX('Fleet dates'!$D$9:$D$1008,$I592-8)="","",INDEX('Fleet dates'!$D$9:$D$1008,$I592-8)))</x:f>
      </x:c>
      <x:c r="E592" s="51" t="str">
        <x:f>IF(584&gt;$H$4,"",IF(INDEX('Fleet dates'!$E$9:$E$1008,$I592-8)="","",INDEX('Fleet dates'!$E$9:$E$1008,$I592-8)))</x:f>
      </x:c>
      <x:c r="F592" s="51" t="str">
        <x:f>IF(584&gt;$H$4,"",IF(INDEX('Fleet dates'!$F$9:$F$1008,$I592-8)="","",INDEX('Fleet dates'!$F$9:$F$1008,$I592-8)))</x:f>
      </x:c>
      <x:c r="G592" s="50" t="str">
        <x:f>IF(584&gt;$H$4,"",IF(INDEX('Fleet dates'!$G$9:$G$1008,$I592-8)="","",INDEX('Fleet dates'!$G$9:$G$1008,$I592-8)))</x:f>
      </x:c>
      <x:c r="H592" s="50" t="str">
        <x:f>IF(584&gt;$H$4,"",IF(INDEX('Fleet dates'!$I$9:$I$1008,$I592-8)="","",INDEX('Fleet dates'!$I$9:$I$1008,$I592-8)))</x:f>
      </x:c>
      <x:c r="I592" t="str">
        <x:f>IF(584&gt;$H$4,"",MATCH(584,'Fleet dates'!$L$9:$L$1008,0)+8)</x:f>
      </x:c>
    </x:row>
    <x:row r="593" ht="36" customHeight="1">
      <x:c r="A593" s="50" t="str">
        <x:f>IF(585&gt;$H$4,"",IF(INDEX('Fleet dates'!$A$9:$A$1008,$I593-8)="","",INDEX('Fleet dates'!$A$9:$A$1008,$I593-8)))</x:f>
      </x:c>
      <x:c r="B593" s="50" t="str">
        <x:f>IF(585&gt;$H$4,"",IF(INDEX('Fleet dates'!$B$9:$B$1008,$I593-8)="","",INDEX('Fleet dates'!$B$9:$B$1008,$I593-8)))</x:f>
      </x:c>
      <x:c r="C593" s="51" t="str">
        <x:f>IF(585&gt;$H$4,"",IF(INDEX('Fleet dates'!$C$9:$C$1008,$I593-8)="","",INDEX('Fleet dates'!$C$9:$C$1008,$I593-8)))</x:f>
      </x:c>
      <x:c r="D593" s="51" t="str">
        <x:f>IF(585&gt;$H$4,"",IF(INDEX('Fleet dates'!$D$9:$D$1008,$I593-8)="","",INDEX('Fleet dates'!$D$9:$D$1008,$I593-8)))</x:f>
      </x:c>
      <x:c r="E593" s="51" t="str">
        <x:f>IF(585&gt;$H$4,"",IF(INDEX('Fleet dates'!$E$9:$E$1008,$I593-8)="","",INDEX('Fleet dates'!$E$9:$E$1008,$I593-8)))</x:f>
      </x:c>
      <x:c r="F593" s="51" t="str">
        <x:f>IF(585&gt;$H$4,"",IF(INDEX('Fleet dates'!$F$9:$F$1008,$I593-8)="","",INDEX('Fleet dates'!$F$9:$F$1008,$I593-8)))</x:f>
      </x:c>
      <x:c r="G593" s="50" t="str">
        <x:f>IF(585&gt;$H$4,"",IF(INDEX('Fleet dates'!$G$9:$G$1008,$I593-8)="","",INDEX('Fleet dates'!$G$9:$G$1008,$I593-8)))</x:f>
      </x:c>
      <x:c r="H593" s="50" t="str">
        <x:f>IF(585&gt;$H$4,"",IF(INDEX('Fleet dates'!$I$9:$I$1008,$I593-8)="","",INDEX('Fleet dates'!$I$9:$I$1008,$I593-8)))</x:f>
      </x:c>
      <x:c r="I593" t="str">
        <x:f>IF(585&gt;$H$4,"",MATCH(585,'Fleet dates'!$L$9:$L$1008,0)+8)</x:f>
      </x:c>
    </x:row>
    <x:row r="594" ht="36" customHeight="1">
      <x:c r="A594" s="50" t="str">
        <x:f>IF(586&gt;$H$4,"",IF(INDEX('Fleet dates'!$A$9:$A$1008,$I594-8)="","",INDEX('Fleet dates'!$A$9:$A$1008,$I594-8)))</x:f>
      </x:c>
      <x:c r="B594" s="50" t="str">
        <x:f>IF(586&gt;$H$4,"",IF(INDEX('Fleet dates'!$B$9:$B$1008,$I594-8)="","",INDEX('Fleet dates'!$B$9:$B$1008,$I594-8)))</x:f>
      </x:c>
      <x:c r="C594" s="51" t="str">
        <x:f>IF(586&gt;$H$4,"",IF(INDEX('Fleet dates'!$C$9:$C$1008,$I594-8)="","",INDEX('Fleet dates'!$C$9:$C$1008,$I594-8)))</x:f>
      </x:c>
      <x:c r="D594" s="51" t="str">
        <x:f>IF(586&gt;$H$4,"",IF(INDEX('Fleet dates'!$D$9:$D$1008,$I594-8)="","",INDEX('Fleet dates'!$D$9:$D$1008,$I594-8)))</x:f>
      </x:c>
      <x:c r="E594" s="51" t="str">
        <x:f>IF(586&gt;$H$4,"",IF(INDEX('Fleet dates'!$E$9:$E$1008,$I594-8)="","",INDEX('Fleet dates'!$E$9:$E$1008,$I594-8)))</x:f>
      </x:c>
      <x:c r="F594" s="51" t="str">
        <x:f>IF(586&gt;$H$4,"",IF(INDEX('Fleet dates'!$F$9:$F$1008,$I594-8)="","",INDEX('Fleet dates'!$F$9:$F$1008,$I594-8)))</x:f>
      </x:c>
      <x:c r="G594" s="50" t="str">
        <x:f>IF(586&gt;$H$4,"",IF(INDEX('Fleet dates'!$G$9:$G$1008,$I594-8)="","",INDEX('Fleet dates'!$G$9:$G$1008,$I594-8)))</x:f>
      </x:c>
      <x:c r="H594" s="50" t="str">
        <x:f>IF(586&gt;$H$4,"",IF(INDEX('Fleet dates'!$I$9:$I$1008,$I594-8)="","",INDEX('Fleet dates'!$I$9:$I$1008,$I594-8)))</x:f>
      </x:c>
      <x:c r="I594" t="str">
        <x:f>IF(586&gt;$H$4,"",MATCH(586,'Fleet dates'!$L$9:$L$1008,0)+8)</x:f>
      </x:c>
    </x:row>
    <x:row r="595" ht="36" customHeight="1">
      <x:c r="A595" s="50" t="str">
        <x:f>IF(587&gt;$H$4,"",IF(INDEX('Fleet dates'!$A$9:$A$1008,$I595-8)="","",INDEX('Fleet dates'!$A$9:$A$1008,$I595-8)))</x:f>
      </x:c>
      <x:c r="B595" s="50" t="str">
        <x:f>IF(587&gt;$H$4,"",IF(INDEX('Fleet dates'!$B$9:$B$1008,$I595-8)="","",INDEX('Fleet dates'!$B$9:$B$1008,$I595-8)))</x:f>
      </x:c>
      <x:c r="C595" s="51" t="str">
        <x:f>IF(587&gt;$H$4,"",IF(INDEX('Fleet dates'!$C$9:$C$1008,$I595-8)="","",INDEX('Fleet dates'!$C$9:$C$1008,$I595-8)))</x:f>
      </x:c>
      <x:c r="D595" s="51" t="str">
        <x:f>IF(587&gt;$H$4,"",IF(INDEX('Fleet dates'!$D$9:$D$1008,$I595-8)="","",INDEX('Fleet dates'!$D$9:$D$1008,$I595-8)))</x:f>
      </x:c>
      <x:c r="E595" s="51" t="str">
        <x:f>IF(587&gt;$H$4,"",IF(INDEX('Fleet dates'!$E$9:$E$1008,$I595-8)="","",INDEX('Fleet dates'!$E$9:$E$1008,$I595-8)))</x:f>
      </x:c>
      <x:c r="F595" s="51" t="str">
        <x:f>IF(587&gt;$H$4,"",IF(INDEX('Fleet dates'!$F$9:$F$1008,$I595-8)="","",INDEX('Fleet dates'!$F$9:$F$1008,$I595-8)))</x:f>
      </x:c>
      <x:c r="G595" s="50" t="str">
        <x:f>IF(587&gt;$H$4,"",IF(INDEX('Fleet dates'!$G$9:$G$1008,$I595-8)="","",INDEX('Fleet dates'!$G$9:$G$1008,$I595-8)))</x:f>
      </x:c>
      <x:c r="H595" s="50" t="str">
        <x:f>IF(587&gt;$H$4,"",IF(INDEX('Fleet dates'!$I$9:$I$1008,$I595-8)="","",INDEX('Fleet dates'!$I$9:$I$1008,$I595-8)))</x:f>
      </x:c>
      <x:c r="I595" t="str">
        <x:f>IF(587&gt;$H$4,"",MATCH(587,'Fleet dates'!$L$9:$L$1008,0)+8)</x:f>
      </x:c>
    </x:row>
    <x:row r="596" ht="36" customHeight="1">
      <x:c r="A596" s="50" t="str">
        <x:f>IF(588&gt;$H$4,"",IF(INDEX('Fleet dates'!$A$9:$A$1008,$I596-8)="","",INDEX('Fleet dates'!$A$9:$A$1008,$I596-8)))</x:f>
      </x:c>
      <x:c r="B596" s="50" t="str">
        <x:f>IF(588&gt;$H$4,"",IF(INDEX('Fleet dates'!$B$9:$B$1008,$I596-8)="","",INDEX('Fleet dates'!$B$9:$B$1008,$I596-8)))</x:f>
      </x:c>
      <x:c r="C596" s="51" t="str">
        <x:f>IF(588&gt;$H$4,"",IF(INDEX('Fleet dates'!$C$9:$C$1008,$I596-8)="","",INDEX('Fleet dates'!$C$9:$C$1008,$I596-8)))</x:f>
      </x:c>
      <x:c r="D596" s="51" t="str">
        <x:f>IF(588&gt;$H$4,"",IF(INDEX('Fleet dates'!$D$9:$D$1008,$I596-8)="","",INDEX('Fleet dates'!$D$9:$D$1008,$I596-8)))</x:f>
      </x:c>
      <x:c r="E596" s="51" t="str">
        <x:f>IF(588&gt;$H$4,"",IF(INDEX('Fleet dates'!$E$9:$E$1008,$I596-8)="","",INDEX('Fleet dates'!$E$9:$E$1008,$I596-8)))</x:f>
      </x:c>
      <x:c r="F596" s="51" t="str">
        <x:f>IF(588&gt;$H$4,"",IF(INDEX('Fleet dates'!$F$9:$F$1008,$I596-8)="","",INDEX('Fleet dates'!$F$9:$F$1008,$I596-8)))</x:f>
      </x:c>
      <x:c r="G596" s="50" t="str">
        <x:f>IF(588&gt;$H$4,"",IF(INDEX('Fleet dates'!$G$9:$G$1008,$I596-8)="","",INDEX('Fleet dates'!$G$9:$G$1008,$I596-8)))</x:f>
      </x:c>
      <x:c r="H596" s="50" t="str">
        <x:f>IF(588&gt;$H$4,"",IF(INDEX('Fleet dates'!$I$9:$I$1008,$I596-8)="","",INDEX('Fleet dates'!$I$9:$I$1008,$I596-8)))</x:f>
      </x:c>
      <x:c r="I596" t="str">
        <x:f>IF(588&gt;$H$4,"",MATCH(588,'Fleet dates'!$L$9:$L$1008,0)+8)</x:f>
      </x:c>
    </x:row>
    <x:row r="597" ht="36" customHeight="1">
      <x:c r="A597" s="50" t="str">
        <x:f>IF(589&gt;$H$4,"",IF(INDEX('Fleet dates'!$A$9:$A$1008,$I597-8)="","",INDEX('Fleet dates'!$A$9:$A$1008,$I597-8)))</x:f>
      </x:c>
      <x:c r="B597" s="50" t="str">
        <x:f>IF(589&gt;$H$4,"",IF(INDEX('Fleet dates'!$B$9:$B$1008,$I597-8)="","",INDEX('Fleet dates'!$B$9:$B$1008,$I597-8)))</x:f>
      </x:c>
      <x:c r="C597" s="51" t="str">
        <x:f>IF(589&gt;$H$4,"",IF(INDEX('Fleet dates'!$C$9:$C$1008,$I597-8)="","",INDEX('Fleet dates'!$C$9:$C$1008,$I597-8)))</x:f>
      </x:c>
      <x:c r="D597" s="51" t="str">
        <x:f>IF(589&gt;$H$4,"",IF(INDEX('Fleet dates'!$D$9:$D$1008,$I597-8)="","",INDEX('Fleet dates'!$D$9:$D$1008,$I597-8)))</x:f>
      </x:c>
      <x:c r="E597" s="51" t="str">
        <x:f>IF(589&gt;$H$4,"",IF(INDEX('Fleet dates'!$E$9:$E$1008,$I597-8)="","",INDEX('Fleet dates'!$E$9:$E$1008,$I597-8)))</x:f>
      </x:c>
      <x:c r="F597" s="51" t="str">
        <x:f>IF(589&gt;$H$4,"",IF(INDEX('Fleet dates'!$F$9:$F$1008,$I597-8)="","",INDEX('Fleet dates'!$F$9:$F$1008,$I597-8)))</x:f>
      </x:c>
      <x:c r="G597" s="50" t="str">
        <x:f>IF(589&gt;$H$4,"",IF(INDEX('Fleet dates'!$G$9:$G$1008,$I597-8)="","",INDEX('Fleet dates'!$G$9:$G$1008,$I597-8)))</x:f>
      </x:c>
      <x:c r="H597" s="50" t="str">
        <x:f>IF(589&gt;$H$4,"",IF(INDEX('Fleet dates'!$I$9:$I$1008,$I597-8)="","",INDEX('Fleet dates'!$I$9:$I$1008,$I597-8)))</x:f>
      </x:c>
      <x:c r="I597" t="str">
        <x:f>IF(589&gt;$H$4,"",MATCH(589,'Fleet dates'!$L$9:$L$1008,0)+8)</x:f>
      </x:c>
    </x:row>
    <x:row r="598" ht="36" customHeight="1">
      <x:c r="A598" s="50" t="str">
        <x:f>IF(590&gt;$H$4,"",IF(INDEX('Fleet dates'!$A$9:$A$1008,$I598-8)="","",INDEX('Fleet dates'!$A$9:$A$1008,$I598-8)))</x:f>
      </x:c>
      <x:c r="B598" s="50" t="str">
        <x:f>IF(590&gt;$H$4,"",IF(INDEX('Fleet dates'!$B$9:$B$1008,$I598-8)="","",INDEX('Fleet dates'!$B$9:$B$1008,$I598-8)))</x:f>
      </x:c>
      <x:c r="C598" s="51" t="str">
        <x:f>IF(590&gt;$H$4,"",IF(INDEX('Fleet dates'!$C$9:$C$1008,$I598-8)="","",INDEX('Fleet dates'!$C$9:$C$1008,$I598-8)))</x:f>
      </x:c>
      <x:c r="D598" s="51" t="str">
        <x:f>IF(590&gt;$H$4,"",IF(INDEX('Fleet dates'!$D$9:$D$1008,$I598-8)="","",INDEX('Fleet dates'!$D$9:$D$1008,$I598-8)))</x:f>
      </x:c>
      <x:c r="E598" s="51" t="str">
        <x:f>IF(590&gt;$H$4,"",IF(INDEX('Fleet dates'!$E$9:$E$1008,$I598-8)="","",INDEX('Fleet dates'!$E$9:$E$1008,$I598-8)))</x:f>
      </x:c>
      <x:c r="F598" s="51" t="str">
        <x:f>IF(590&gt;$H$4,"",IF(INDEX('Fleet dates'!$F$9:$F$1008,$I598-8)="","",INDEX('Fleet dates'!$F$9:$F$1008,$I598-8)))</x:f>
      </x:c>
      <x:c r="G598" s="50" t="str">
        <x:f>IF(590&gt;$H$4,"",IF(INDEX('Fleet dates'!$G$9:$G$1008,$I598-8)="","",INDEX('Fleet dates'!$G$9:$G$1008,$I598-8)))</x:f>
      </x:c>
      <x:c r="H598" s="50" t="str">
        <x:f>IF(590&gt;$H$4,"",IF(INDEX('Fleet dates'!$I$9:$I$1008,$I598-8)="","",INDEX('Fleet dates'!$I$9:$I$1008,$I598-8)))</x:f>
      </x:c>
      <x:c r="I598" t="str">
        <x:f>IF(590&gt;$H$4,"",MATCH(590,'Fleet dates'!$L$9:$L$1008,0)+8)</x:f>
      </x:c>
    </x:row>
    <x:row r="599" ht="36" customHeight="1">
      <x:c r="A599" s="50" t="str">
        <x:f>IF(591&gt;$H$4,"",IF(INDEX('Fleet dates'!$A$9:$A$1008,$I599-8)="","",INDEX('Fleet dates'!$A$9:$A$1008,$I599-8)))</x:f>
      </x:c>
      <x:c r="B599" s="50" t="str">
        <x:f>IF(591&gt;$H$4,"",IF(INDEX('Fleet dates'!$B$9:$B$1008,$I599-8)="","",INDEX('Fleet dates'!$B$9:$B$1008,$I599-8)))</x:f>
      </x:c>
      <x:c r="C599" s="51" t="str">
        <x:f>IF(591&gt;$H$4,"",IF(INDEX('Fleet dates'!$C$9:$C$1008,$I599-8)="","",INDEX('Fleet dates'!$C$9:$C$1008,$I599-8)))</x:f>
      </x:c>
      <x:c r="D599" s="51" t="str">
        <x:f>IF(591&gt;$H$4,"",IF(INDEX('Fleet dates'!$D$9:$D$1008,$I599-8)="","",INDEX('Fleet dates'!$D$9:$D$1008,$I599-8)))</x:f>
      </x:c>
      <x:c r="E599" s="51" t="str">
        <x:f>IF(591&gt;$H$4,"",IF(INDEX('Fleet dates'!$E$9:$E$1008,$I599-8)="","",INDEX('Fleet dates'!$E$9:$E$1008,$I599-8)))</x:f>
      </x:c>
      <x:c r="F599" s="51" t="str">
        <x:f>IF(591&gt;$H$4,"",IF(INDEX('Fleet dates'!$F$9:$F$1008,$I599-8)="","",INDEX('Fleet dates'!$F$9:$F$1008,$I599-8)))</x:f>
      </x:c>
      <x:c r="G599" s="50" t="str">
        <x:f>IF(591&gt;$H$4,"",IF(INDEX('Fleet dates'!$G$9:$G$1008,$I599-8)="","",INDEX('Fleet dates'!$G$9:$G$1008,$I599-8)))</x:f>
      </x:c>
      <x:c r="H599" s="50" t="str">
        <x:f>IF(591&gt;$H$4,"",IF(INDEX('Fleet dates'!$I$9:$I$1008,$I599-8)="","",INDEX('Fleet dates'!$I$9:$I$1008,$I599-8)))</x:f>
      </x:c>
      <x:c r="I599" t="str">
        <x:f>IF(591&gt;$H$4,"",MATCH(591,'Fleet dates'!$L$9:$L$1008,0)+8)</x:f>
      </x:c>
    </x:row>
    <x:row r="600" ht="36" customHeight="1">
      <x:c r="A600" s="50" t="str">
        <x:f>IF(592&gt;$H$4,"",IF(INDEX('Fleet dates'!$A$9:$A$1008,$I600-8)="","",INDEX('Fleet dates'!$A$9:$A$1008,$I600-8)))</x:f>
      </x:c>
      <x:c r="B600" s="50" t="str">
        <x:f>IF(592&gt;$H$4,"",IF(INDEX('Fleet dates'!$B$9:$B$1008,$I600-8)="","",INDEX('Fleet dates'!$B$9:$B$1008,$I600-8)))</x:f>
      </x:c>
      <x:c r="C600" s="51" t="str">
        <x:f>IF(592&gt;$H$4,"",IF(INDEX('Fleet dates'!$C$9:$C$1008,$I600-8)="","",INDEX('Fleet dates'!$C$9:$C$1008,$I600-8)))</x:f>
      </x:c>
      <x:c r="D600" s="51" t="str">
        <x:f>IF(592&gt;$H$4,"",IF(INDEX('Fleet dates'!$D$9:$D$1008,$I600-8)="","",INDEX('Fleet dates'!$D$9:$D$1008,$I600-8)))</x:f>
      </x:c>
      <x:c r="E600" s="51" t="str">
        <x:f>IF(592&gt;$H$4,"",IF(INDEX('Fleet dates'!$E$9:$E$1008,$I600-8)="","",INDEX('Fleet dates'!$E$9:$E$1008,$I600-8)))</x:f>
      </x:c>
      <x:c r="F600" s="51" t="str">
        <x:f>IF(592&gt;$H$4,"",IF(INDEX('Fleet dates'!$F$9:$F$1008,$I600-8)="","",INDEX('Fleet dates'!$F$9:$F$1008,$I600-8)))</x:f>
      </x:c>
      <x:c r="G600" s="50" t="str">
        <x:f>IF(592&gt;$H$4,"",IF(INDEX('Fleet dates'!$G$9:$G$1008,$I600-8)="","",INDEX('Fleet dates'!$G$9:$G$1008,$I600-8)))</x:f>
      </x:c>
      <x:c r="H600" s="50" t="str">
        <x:f>IF(592&gt;$H$4,"",IF(INDEX('Fleet dates'!$I$9:$I$1008,$I600-8)="","",INDEX('Fleet dates'!$I$9:$I$1008,$I600-8)))</x:f>
      </x:c>
      <x:c r="I600" t="str">
        <x:f>IF(592&gt;$H$4,"",MATCH(592,'Fleet dates'!$L$9:$L$1008,0)+8)</x:f>
      </x:c>
    </x:row>
    <x:row r="601" ht="36" customHeight="1">
      <x:c r="A601" s="50" t="str">
        <x:f>IF(593&gt;$H$4,"",IF(INDEX('Fleet dates'!$A$9:$A$1008,$I601-8)="","",INDEX('Fleet dates'!$A$9:$A$1008,$I601-8)))</x:f>
      </x:c>
      <x:c r="B601" s="50" t="str">
        <x:f>IF(593&gt;$H$4,"",IF(INDEX('Fleet dates'!$B$9:$B$1008,$I601-8)="","",INDEX('Fleet dates'!$B$9:$B$1008,$I601-8)))</x:f>
      </x:c>
      <x:c r="C601" s="51" t="str">
        <x:f>IF(593&gt;$H$4,"",IF(INDEX('Fleet dates'!$C$9:$C$1008,$I601-8)="","",INDEX('Fleet dates'!$C$9:$C$1008,$I601-8)))</x:f>
      </x:c>
      <x:c r="D601" s="51" t="str">
        <x:f>IF(593&gt;$H$4,"",IF(INDEX('Fleet dates'!$D$9:$D$1008,$I601-8)="","",INDEX('Fleet dates'!$D$9:$D$1008,$I601-8)))</x:f>
      </x:c>
      <x:c r="E601" s="51" t="str">
        <x:f>IF(593&gt;$H$4,"",IF(INDEX('Fleet dates'!$E$9:$E$1008,$I601-8)="","",INDEX('Fleet dates'!$E$9:$E$1008,$I601-8)))</x:f>
      </x:c>
      <x:c r="F601" s="51" t="str">
        <x:f>IF(593&gt;$H$4,"",IF(INDEX('Fleet dates'!$F$9:$F$1008,$I601-8)="","",INDEX('Fleet dates'!$F$9:$F$1008,$I601-8)))</x:f>
      </x:c>
      <x:c r="G601" s="50" t="str">
        <x:f>IF(593&gt;$H$4,"",IF(INDEX('Fleet dates'!$G$9:$G$1008,$I601-8)="","",INDEX('Fleet dates'!$G$9:$G$1008,$I601-8)))</x:f>
      </x:c>
      <x:c r="H601" s="50" t="str">
        <x:f>IF(593&gt;$H$4,"",IF(INDEX('Fleet dates'!$I$9:$I$1008,$I601-8)="","",INDEX('Fleet dates'!$I$9:$I$1008,$I601-8)))</x:f>
      </x:c>
      <x:c r="I601" t="str">
        <x:f>IF(593&gt;$H$4,"",MATCH(593,'Fleet dates'!$L$9:$L$1008,0)+8)</x:f>
      </x:c>
    </x:row>
    <x:row r="602" ht="36" customHeight="1">
      <x:c r="A602" s="50" t="str">
        <x:f>IF(594&gt;$H$4,"",IF(INDEX('Fleet dates'!$A$9:$A$1008,$I602-8)="","",INDEX('Fleet dates'!$A$9:$A$1008,$I602-8)))</x:f>
      </x:c>
      <x:c r="B602" s="50" t="str">
        <x:f>IF(594&gt;$H$4,"",IF(INDEX('Fleet dates'!$B$9:$B$1008,$I602-8)="","",INDEX('Fleet dates'!$B$9:$B$1008,$I602-8)))</x:f>
      </x:c>
      <x:c r="C602" s="51" t="str">
        <x:f>IF(594&gt;$H$4,"",IF(INDEX('Fleet dates'!$C$9:$C$1008,$I602-8)="","",INDEX('Fleet dates'!$C$9:$C$1008,$I602-8)))</x:f>
      </x:c>
      <x:c r="D602" s="51" t="str">
        <x:f>IF(594&gt;$H$4,"",IF(INDEX('Fleet dates'!$D$9:$D$1008,$I602-8)="","",INDEX('Fleet dates'!$D$9:$D$1008,$I602-8)))</x:f>
      </x:c>
      <x:c r="E602" s="51" t="str">
        <x:f>IF(594&gt;$H$4,"",IF(INDEX('Fleet dates'!$E$9:$E$1008,$I602-8)="","",INDEX('Fleet dates'!$E$9:$E$1008,$I602-8)))</x:f>
      </x:c>
      <x:c r="F602" s="51" t="str">
        <x:f>IF(594&gt;$H$4,"",IF(INDEX('Fleet dates'!$F$9:$F$1008,$I602-8)="","",INDEX('Fleet dates'!$F$9:$F$1008,$I602-8)))</x:f>
      </x:c>
      <x:c r="G602" s="50" t="str">
        <x:f>IF(594&gt;$H$4,"",IF(INDEX('Fleet dates'!$G$9:$G$1008,$I602-8)="","",INDEX('Fleet dates'!$G$9:$G$1008,$I602-8)))</x:f>
      </x:c>
      <x:c r="H602" s="50" t="str">
        <x:f>IF(594&gt;$H$4,"",IF(INDEX('Fleet dates'!$I$9:$I$1008,$I602-8)="","",INDEX('Fleet dates'!$I$9:$I$1008,$I602-8)))</x:f>
      </x:c>
      <x:c r="I602" t="str">
        <x:f>IF(594&gt;$H$4,"",MATCH(594,'Fleet dates'!$L$9:$L$1008,0)+8)</x:f>
      </x:c>
    </x:row>
    <x:row r="603" ht="36" customHeight="1">
      <x:c r="A603" s="50" t="str">
        <x:f>IF(595&gt;$H$4,"",IF(INDEX('Fleet dates'!$A$9:$A$1008,$I603-8)="","",INDEX('Fleet dates'!$A$9:$A$1008,$I603-8)))</x:f>
      </x:c>
      <x:c r="B603" s="50" t="str">
        <x:f>IF(595&gt;$H$4,"",IF(INDEX('Fleet dates'!$B$9:$B$1008,$I603-8)="","",INDEX('Fleet dates'!$B$9:$B$1008,$I603-8)))</x:f>
      </x:c>
      <x:c r="C603" s="51" t="str">
        <x:f>IF(595&gt;$H$4,"",IF(INDEX('Fleet dates'!$C$9:$C$1008,$I603-8)="","",INDEX('Fleet dates'!$C$9:$C$1008,$I603-8)))</x:f>
      </x:c>
      <x:c r="D603" s="51" t="str">
        <x:f>IF(595&gt;$H$4,"",IF(INDEX('Fleet dates'!$D$9:$D$1008,$I603-8)="","",INDEX('Fleet dates'!$D$9:$D$1008,$I603-8)))</x:f>
      </x:c>
      <x:c r="E603" s="51" t="str">
        <x:f>IF(595&gt;$H$4,"",IF(INDEX('Fleet dates'!$E$9:$E$1008,$I603-8)="","",INDEX('Fleet dates'!$E$9:$E$1008,$I603-8)))</x:f>
      </x:c>
      <x:c r="F603" s="51" t="str">
        <x:f>IF(595&gt;$H$4,"",IF(INDEX('Fleet dates'!$F$9:$F$1008,$I603-8)="","",INDEX('Fleet dates'!$F$9:$F$1008,$I603-8)))</x:f>
      </x:c>
      <x:c r="G603" s="50" t="str">
        <x:f>IF(595&gt;$H$4,"",IF(INDEX('Fleet dates'!$G$9:$G$1008,$I603-8)="","",INDEX('Fleet dates'!$G$9:$G$1008,$I603-8)))</x:f>
      </x:c>
      <x:c r="H603" s="50" t="str">
        <x:f>IF(595&gt;$H$4,"",IF(INDEX('Fleet dates'!$I$9:$I$1008,$I603-8)="","",INDEX('Fleet dates'!$I$9:$I$1008,$I603-8)))</x:f>
      </x:c>
      <x:c r="I603" t="str">
        <x:f>IF(595&gt;$H$4,"",MATCH(595,'Fleet dates'!$L$9:$L$1008,0)+8)</x:f>
      </x:c>
    </x:row>
    <x:row r="604" ht="36" customHeight="1">
      <x:c r="A604" s="50" t="str">
        <x:f>IF(596&gt;$H$4,"",IF(INDEX('Fleet dates'!$A$9:$A$1008,$I604-8)="","",INDEX('Fleet dates'!$A$9:$A$1008,$I604-8)))</x:f>
      </x:c>
      <x:c r="B604" s="50" t="str">
        <x:f>IF(596&gt;$H$4,"",IF(INDEX('Fleet dates'!$B$9:$B$1008,$I604-8)="","",INDEX('Fleet dates'!$B$9:$B$1008,$I604-8)))</x:f>
      </x:c>
      <x:c r="C604" s="51" t="str">
        <x:f>IF(596&gt;$H$4,"",IF(INDEX('Fleet dates'!$C$9:$C$1008,$I604-8)="","",INDEX('Fleet dates'!$C$9:$C$1008,$I604-8)))</x:f>
      </x:c>
      <x:c r="D604" s="51" t="str">
        <x:f>IF(596&gt;$H$4,"",IF(INDEX('Fleet dates'!$D$9:$D$1008,$I604-8)="","",INDEX('Fleet dates'!$D$9:$D$1008,$I604-8)))</x:f>
      </x:c>
      <x:c r="E604" s="51" t="str">
        <x:f>IF(596&gt;$H$4,"",IF(INDEX('Fleet dates'!$E$9:$E$1008,$I604-8)="","",INDEX('Fleet dates'!$E$9:$E$1008,$I604-8)))</x:f>
      </x:c>
      <x:c r="F604" s="51" t="str">
        <x:f>IF(596&gt;$H$4,"",IF(INDEX('Fleet dates'!$F$9:$F$1008,$I604-8)="","",INDEX('Fleet dates'!$F$9:$F$1008,$I604-8)))</x:f>
      </x:c>
      <x:c r="G604" s="50" t="str">
        <x:f>IF(596&gt;$H$4,"",IF(INDEX('Fleet dates'!$G$9:$G$1008,$I604-8)="","",INDEX('Fleet dates'!$G$9:$G$1008,$I604-8)))</x:f>
      </x:c>
      <x:c r="H604" s="50" t="str">
        <x:f>IF(596&gt;$H$4,"",IF(INDEX('Fleet dates'!$I$9:$I$1008,$I604-8)="","",INDEX('Fleet dates'!$I$9:$I$1008,$I604-8)))</x:f>
      </x:c>
      <x:c r="I604" t="str">
        <x:f>IF(596&gt;$H$4,"",MATCH(596,'Fleet dates'!$L$9:$L$1008,0)+8)</x:f>
      </x:c>
    </x:row>
    <x:row r="605" ht="36" customHeight="1">
      <x:c r="A605" s="50" t="str">
        <x:f>IF(597&gt;$H$4,"",IF(INDEX('Fleet dates'!$A$9:$A$1008,$I605-8)="","",INDEX('Fleet dates'!$A$9:$A$1008,$I605-8)))</x:f>
      </x:c>
      <x:c r="B605" s="50" t="str">
        <x:f>IF(597&gt;$H$4,"",IF(INDEX('Fleet dates'!$B$9:$B$1008,$I605-8)="","",INDEX('Fleet dates'!$B$9:$B$1008,$I605-8)))</x:f>
      </x:c>
      <x:c r="C605" s="51" t="str">
        <x:f>IF(597&gt;$H$4,"",IF(INDEX('Fleet dates'!$C$9:$C$1008,$I605-8)="","",INDEX('Fleet dates'!$C$9:$C$1008,$I605-8)))</x:f>
      </x:c>
      <x:c r="D605" s="51" t="str">
        <x:f>IF(597&gt;$H$4,"",IF(INDEX('Fleet dates'!$D$9:$D$1008,$I605-8)="","",INDEX('Fleet dates'!$D$9:$D$1008,$I605-8)))</x:f>
      </x:c>
      <x:c r="E605" s="51" t="str">
        <x:f>IF(597&gt;$H$4,"",IF(INDEX('Fleet dates'!$E$9:$E$1008,$I605-8)="","",INDEX('Fleet dates'!$E$9:$E$1008,$I605-8)))</x:f>
      </x:c>
      <x:c r="F605" s="51" t="str">
        <x:f>IF(597&gt;$H$4,"",IF(INDEX('Fleet dates'!$F$9:$F$1008,$I605-8)="","",INDEX('Fleet dates'!$F$9:$F$1008,$I605-8)))</x:f>
      </x:c>
      <x:c r="G605" s="50" t="str">
        <x:f>IF(597&gt;$H$4,"",IF(INDEX('Fleet dates'!$G$9:$G$1008,$I605-8)="","",INDEX('Fleet dates'!$G$9:$G$1008,$I605-8)))</x:f>
      </x:c>
      <x:c r="H605" s="50" t="str">
        <x:f>IF(597&gt;$H$4,"",IF(INDEX('Fleet dates'!$I$9:$I$1008,$I605-8)="","",INDEX('Fleet dates'!$I$9:$I$1008,$I605-8)))</x:f>
      </x:c>
      <x:c r="I605" t="str">
        <x:f>IF(597&gt;$H$4,"",MATCH(597,'Fleet dates'!$L$9:$L$1008,0)+8)</x:f>
      </x:c>
    </x:row>
    <x:row r="606" ht="36" customHeight="1">
      <x:c r="A606" s="50" t="str">
        <x:f>IF(598&gt;$H$4,"",IF(INDEX('Fleet dates'!$A$9:$A$1008,$I606-8)="","",INDEX('Fleet dates'!$A$9:$A$1008,$I606-8)))</x:f>
      </x:c>
      <x:c r="B606" s="50" t="str">
        <x:f>IF(598&gt;$H$4,"",IF(INDEX('Fleet dates'!$B$9:$B$1008,$I606-8)="","",INDEX('Fleet dates'!$B$9:$B$1008,$I606-8)))</x:f>
      </x:c>
      <x:c r="C606" s="51" t="str">
        <x:f>IF(598&gt;$H$4,"",IF(INDEX('Fleet dates'!$C$9:$C$1008,$I606-8)="","",INDEX('Fleet dates'!$C$9:$C$1008,$I606-8)))</x:f>
      </x:c>
      <x:c r="D606" s="51" t="str">
        <x:f>IF(598&gt;$H$4,"",IF(INDEX('Fleet dates'!$D$9:$D$1008,$I606-8)="","",INDEX('Fleet dates'!$D$9:$D$1008,$I606-8)))</x:f>
      </x:c>
      <x:c r="E606" s="51" t="str">
        <x:f>IF(598&gt;$H$4,"",IF(INDEX('Fleet dates'!$E$9:$E$1008,$I606-8)="","",INDEX('Fleet dates'!$E$9:$E$1008,$I606-8)))</x:f>
      </x:c>
      <x:c r="F606" s="51" t="str">
        <x:f>IF(598&gt;$H$4,"",IF(INDEX('Fleet dates'!$F$9:$F$1008,$I606-8)="","",INDEX('Fleet dates'!$F$9:$F$1008,$I606-8)))</x:f>
      </x:c>
      <x:c r="G606" s="50" t="str">
        <x:f>IF(598&gt;$H$4,"",IF(INDEX('Fleet dates'!$G$9:$G$1008,$I606-8)="","",INDEX('Fleet dates'!$G$9:$G$1008,$I606-8)))</x:f>
      </x:c>
      <x:c r="H606" s="50" t="str">
        <x:f>IF(598&gt;$H$4,"",IF(INDEX('Fleet dates'!$I$9:$I$1008,$I606-8)="","",INDEX('Fleet dates'!$I$9:$I$1008,$I606-8)))</x:f>
      </x:c>
      <x:c r="I606" t="str">
        <x:f>IF(598&gt;$H$4,"",MATCH(598,'Fleet dates'!$L$9:$L$1008,0)+8)</x:f>
      </x:c>
    </x:row>
    <x:row r="607" ht="36" customHeight="1">
      <x:c r="A607" s="50" t="str">
        <x:f>IF(599&gt;$H$4,"",IF(INDEX('Fleet dates'!$A$9:$A$1008,$I607-8)="","",INDEX('Fleet dates'!$A$9:$A$1008,$I607-8)))</x:f>
      </x:c>
      <x:c r="B607" s="50" t="str">
        <x:f>IF(599&gt;$H$4,"",IF(INDEX('Fleet dates'!$B$9:$B$1008,$I607-8)="","",INDEX('Fleet dates'!$B$9:$B$1008,$I607-8)))</x:f>
      </x:c>
      <x:c r="C607" s="51" t="str">
        <x:f>IF(599&gt;$H$4,"",IF(INDEX('Fleet dates'!$C$9:$C$1008,$I607-8)="","",INDEX('Fleet dates'!$C$9:$C$1008,$I607-8)))</x:f>
      </x:c>
      <x:c r="D607" s="51" t="str">
        <x:f>IF(599&gt;$H$4,"",IF(INDEX('Fleet dates'!$D$9:$D$1008,$I607-8)="","",INDEX('Fleet dates'!$D$9:$D$1008,$I607-8)))</x:f>
      </x:c>
      <x:c r="E607" s="51" t="str">
        <x:f>IF(599&gt;$H$4,"",IF(INDEX('Fleet dates'!$E$9:$E$1008,$I607-8)="","",INDEX('Fleet dates'!$E$9:$E$1008,$I607-8)))</x:f>
      </x:c>
      <x:c r="F607" s="51" t="str">
        <x:f>IF(599&gt;$H$4,"",IF(INDEX('Fleet dates'!$F$9:$F$1008,$I607-8)="","",INDEX('Fleet dates'!$F$9:$F$1008,$I607-8)))</x:f>
      </x:c>
      <x:c r="G607" s="50" t="str">
        <x:f>IF(599&gt;$H$4,"",IF(INDEX('Fleet dates'!$G$9:$G$1008,$I607-8)="","",INDEX('Fleet dates'!$G$9:$G$1008,$I607-8)))</x:f>
      </x:c>
      <x:c r="H607" s="50" t="str">
        <x:f>IF(599&gt;$H$4,"",IF(INDEX('Fleet dates'!$I$9:$I$1008,$I607-8)="","",INDEX('Fleet dates'!$I$9:$I$1008,$I607-8)))</x:f>
      </x:c>
      <x:c r="I607" t="str">
        <x:f>IF(599&gt;$H$4,"",MATCH(599,'Fleet dates'!$L$9:$L$1008,0)+8)</x:f>
      </x:c>
    </x:row>
    <x:row r="608" ht="36" customHeight="1">
      <x:c r="A608" s="50" t="str">
        <x:f>IF(600&gt;$H$4,"",IF(INDEX('Fleet dates'!$A$9:$A$1008,$I608-8)="","",INDEX('Fleet dates'!$A$9:$A$1008,$I608-8)))</x:f>
      </x:c>
      <x:c r="B608" s="50" t="str">
        <x:f>IF(600&gt;$H$4,"",IF(INDEX('Fleet dates'!$B$9:$B$1008,$I608-8)="","",INDEX('Fleet dates'!$B$9:$B$1008,$I608-8)))</x:f>
      </x:c>
      <x:c r="C608" s="51" t="str">
        <x:f>IF(600&gt;$H$4,"",IF(INDEX('Fleet dates'!$C$9:$C$1008,$I608-8)="","",INDEX('Fleet dates'!$C$9:$C$1008,$I608-8)))</x:f>
      </x:c>
      <x:c r="D608" s="51" t="str">
        <x:f>IF(600&gt;$H$4,"",IF(INDEX('Fleet dates'!$D$9:$D$1008,$I608-8)="","",INDEX('Fleet dates'!$D$9:$D$1008,$I608-8)))</x:f>
      </x:c>
      <x:c r="E608" s="51" t="str">
        <x:f>IF(600&gt;$H$4,"",IF(INDEX('Fleet dates'!$E$9:$E$1008,$I608-8)="","",INDEX('Fleet dates'!$E$9:$E$1008,$I608-8)))</x:f>
      </x:c>
      <x:c r="F608" s="51" t="str">
        <x:f>IF(600&gt;$H$4,"",IF(INDEX('Fleet dates'!$F$9:$F$1008,$I608-8)="","",INDEX('Fleet dates'!$F$9:$F$1008,$I608-8)))</x:f>
      </x:c>
      <x:c r="G608" s="50" t="str">
        <x:f>IF(600&gt;$H$4,"",IF(INDEX('Fleet dates'!$G$9:$G$1008,$I608-8)="","",INDEX('Fleet dates'!$G$9:$G$1008,$I608-8)))</x:f>
      </x:c>
      <x:c r="H608" s="50" t="str">
        <x:f>IF(600&gt;$H$4,"",IF(INDEX('Fleet dates'!$I$9:$I$1008,$I608-8)="","",INDEX('Fleet dates'!$I$9:$I$1008,$I608-8)))</x:f>
      </x:c>
      <x:c r="I608" t="str">
        <x:f>IF(600&gt;$H$4,"",MATCH(600,'Fleet dates'!$L$9:$L$1008,0)+8)</x:f>
      </x:c>
    </x:row>
    <x:row r="609" ht="36" customHeight="1">
      <x:c r="A609" s="50" t="str">
        <x:f>IF(601&gt;$H$4,"",IF(INDEX('Fleet dates'!$A$9:$A$1008,$I609-8)="","",INDEX('Fleet dates'!$A$9:$A$1008,$I609-8)))</x:f>
      </x:c>
      <x:c r="B609" s="50" t="str">
        <x:f>IF(601&gt;$H$4,"",IF(INDEX('Fleet dates'!$B$9:$B$1008,$I609-8)="","",INDEX('Fleet dates'!$B$9:$B$1008,$I609-8)))</x:f>
      </x:c>
      <x:c r="C609" s="51" t="str">
        <x:f>IF(601&gt;$H$4,"",IF(INDEX('Fleet dates'!$C$9:$C$1008,$I609-8)="","",INDEX('Fleet dates'!$C$9:$C$1008,$I609-8)))</x:f>
      </x:c>
      <x:c r="D609" s="51" t="str">
        <x:f>IF(601&gt;$H$4,"",IF(INDEX('Fleet dates'!$D$9:$D$1008,$I609-8)="","",INDEX('Fleet dates'!$D$9:$D$1008,$I609-8)))</x:f>
      </x:c>
      <x:c r="E609" s="51" t="str">
        <x:f>IF(601&gt;$H$4,"",IF(INDEX('Fleet dates'!$E$9:$E$1008,$I609-8)="","",INDEX('Fleet dates'!$E$9:$E$1008,$I609-8)))</x:f>
      </x:c>
      <x:c r="F609" s="51" t="str">
        <x:f>IF(601&gt;$H$4,"",IF(INDEX('Fleet dates'!$F$9:$F$1008,$I609-8)="","",INDEX('Fleet dates'!$F$9:$F$1008,$I609-8)))</x:f>
      </x:c>
      <x:c r="G609" s="50" t="str">
        <x:f>IF(601&gt;$H$4,"",IF(INDEX('Fleet dates'!$G$9:$G$1008,$I609-8)="","",INDEX('Fleet dates'!$G$9:$G$1008,$I609-8)))</x:f>
      </x:c>
      <x:c r="H609" s="50" t="str">
        <x:f>IF(601&gt;$H$4,"",IF(INDEX('Fleet dates'!$I$9:$I$1008,$I609-8)="","",INDEX('Fleet dates'!$I$9:$I$1008,$I609-8)))</x:f>
      </x:c>
      <x:c r="I609" t="str">
        <x:f>IF(601&gt;$H$4,"",MATCH(601,'Fleet dates'!$L$9:$L$1008,0)+8)</x:f>
      </x:c>
    </x:row>
    <x:row r="610" ht="36" customHeight="1">
      <x:c r="A610" s="50" t="str">
        <x:f>IF(602&gt;$H$4,"",IF(INDEX('Fleet dates'!$A$9:$A$1008,$I610-8)="","",INDEX('Fleet dates'!$A$9:$A$1008,$I610-8)))</x:f>
      </x:c>
      <x:c r="B610" s="50" t="str">
        <x:f>IF(602&gt;$H$4,"",IF(INDEX('Fleet dates'!$B$9:$B$1008,$I610-8)="","",INDEX('Fleet dates'!$B$9:$B$1008,$I610-8)))</x:f>
      </x:c>
      <x:c r="C610" s="51" t="str">
        <x:f>IF(602&gt;$H$4,"",IF(INDEX('Fleet dates'!$C$9:$C$1008,$I610-8)="","",INDEX('Fleet dates'!$C$9:$C$1008,$I610-8)))</x:f>
      </x:c>
      <x:c r="D610" s="51" t="str">
        <x:f>IF(602&gt;$H$4,"",IF(INDEX('Fleet dates'!$D$9:$D$1008,$I610-8)="","",INDEX('Fleet dates'!$D$9:$D$1008,$I610-8)))</x:f>
      </x:c>
      <x:c r="E610" s="51" t="str">
        <x:f>IF(602&gt;$H$4,"",IF(INDEX('Fleet dates'!$E$9:$E$1008,$I610-8)="","",INDEX('Fleet dates'!$E$9:$E$1008,$I610-8)))</x:f>
      </x:c>
      <x:c r="F610" s="51" t="str">
        <x:f>IF(602&gt;$H$4,"",IF(INDEX('Fleet dates'!$F$9:$F$1008,$I610-8)="","",INDEX('Fleet dates'!$F$9:$F$1008,$I610-8)))</x:f>
      </x:c>
      <x:c r="G610" s="50" t="str">
        <x:f>IF(602&gt;$H$4,"",IF(INDEX('Fleet dates'!$G$9:$G$1008,$I610-8)="","",INDEX('Fleet dates'!$G$9:$G$1008,$I610-8)))</x:f>
      </x:c>
      <x:c r="H610" s="50" t="str">
        <x:f>IF(602&gt;$H$4,"",IF(INDEX('Fleet dates'!$I$9:$I$1008,$I610-8)="","",INDEX('Fleet dates'!$I$9:$I$1008,$I610-8)))</x:f>
      </x:c>
      <x:c r="I610" t="str">
        <x:f>IF(602&gt;$H$4,"",MATCH(602,'Fleet dates'!$L$9:$L$1008,0)+8)</x:f>
      </x:c>
    </x:row>
    <x:row r="611" ht="36" customHeight="1">
      <x:c r="A611" s="50" t="str">
        <x:f>IF(603&gt;$H$4,"",IF(INDEX('Fleet dates'!$A$9:$A$1008,$I611-8)="","",INDEX('Fleet dates'!$A$9:$A$1008,$I611-8)))</x:f>
      </x:c>
      <x:c r="B611" s="50" t="str">
        <x:f>IF(603&gt;$H$4,"",IF(INDEX('Fleet dates'!$B$9:$B$1008,$I611-8)="","",INDEX('Fleet dates'!$B$9:$B$1008,$I611-8)))</x:f>
      </x:c>
      <x:c r="C611" s="51" t="str">
        <x:f>IF(603&gt;$H$4,"",IF(INDEX('Fleet dates'!$C$9:$C$1008,$I611-8)="","",INDEX('Fleet dates'!$C$9:$C$1008,$I611-8)))</x:f>
      </x:c>
      <x:c r="D611" s="51" t="str">
        <x:f>IF(603&gt;$H$4,"",IF(INDEX('Fleet dates'!$D$9:$D$1008,$I611-8)="","",INDEX('Fleet dates'!$D$9:$D$1008,$I611-8)))</x:f>
      </x:c>
      <x:c r="E611" s="51" t="str">
        <x:f>IF(603&gt;$H$4,"",IF(INDEX('Fleet dates'!$E$9:$E$1008,$I611-8)="","",INDEX('Fleet dates'!$E$9:$E$1008,$I611-8)))</x:f>
      </x:c>
      <x:c r="F611" s="51" t="str">
        <x:f>IF(603&gt;$H$4,"",IF(INDEX('Fleet dates'!$F$9:$F$1008,$I611-8)="","",INDEX('Fleet dates'!$F$9:$F$1008,$I611-8)))</x:f>
      </x:c>
      <x:c r="G611" s="50" t="str">
        <x:f>IF(603&gt;$H$4,"",IF(INDEX('Fleet dates'!$G$9:$G$1008,$I611-8)="","",INDEX('Fleet dates'!$G$9:$G$1008,$I611-8)))</x:f>
      </x:c>
      <x:c r="H611" s="50" t="str">
        <x:f>IF(603&gt;$H$4,"",IF(INDEX('Fleet dates'!$I$9:$I$1008,$I611-8)="","",INDEX('Fleet dates'!$I$9:$I$1008,$I611-8)))</x:f>
      </x:c>
      <x:c r="I611" t="str">
        <x:f>IF(603&gt;$H$4,"",MATCH(603,'Fleet dates'!$L$9:$L$1008,0)+8)</x:f>
      </x:c>
    </x:row>
    <x:row r="612" ht="36" customHeight="1">
      <x:c r="A612" s="50" t="str">
        <x:f>IF(604&gt;$H$4,"",IF(INDEX('Fleet dates'!$A$9:$A$1008,$I612-8)="","",INDEX('Fleet dates'!$A$9:$A$1008,$I612-8)))</x:f>
      </x:c>
      <x:c r="B612" s="50" t="str">
        <x:f>IF(604&gt;$H$4,"",IF(INDEX('Fleet dates'!$B$9:$B$1008,$I612-8)="","",INDEX('Fleet dates'!$B$9:$B$1008,$I612-8)))</x:f>
      </x:c>
      <x:c r="C612" s="51" t="str">
        <x:f>IF(604&gt;$H$4,"",IF(INDEX('Fleet dates'!$C$9:$C$1008,$I612-8)="","",INDEX('Fleet dates'!$C$9:$C$1008,$I612-8)))</x:f>
      </x:c>
      <x:c r="D612" s="51" t="str">
        <x:f>IF(604&gt;$H$4,"",IF(INDEX('Fleet dates'!$D$9:$D$1008,$I612-8)="","",INDEX('Fleet dates'!$D$9:$D$1008,$I612-8)))</x:f>
      </x:c>
      <x:c r="E612" s="51" t="str">
        <x:f>IF(604&gt;$H$4,"",IF(INDEX('Fleet dates'!$E$9:$E$1008,$I612-8)="","",INDEX('Fleet dates'!$E$9:$E$1008,$I612-8)))</x:f>
      </x:c>
      <x:c r="F612" s="51" t="str">
        <x:f>IF(604&gt;$H$4,"",IF(INDEX('Fleet dates'!$F$9:$F$1008,$I612-8)="","",INDEX('Fleet dates'!$F$9:$F$1008,$I612-8)))</x:f>
      </x:c>
      <x:c r="G612" s="50" t="str">
        <x:f>IF(604&gt;$H$4,"",IF(INDEX('Fleet dates'!$G$9:$G$1008,$I612-8)="","",INDEX('Fleet dates'!$G$9:$G$1008,$I612-8)))</x:f>
      </x:c>
      <x:c r="H612" s="50" t="str">
        <x:f>IF(604&gt;$H$4,"",IF(INDEX('Fleet dates'!$I$9:$I$1008,$I612-8)="","",INDEX('Fleet dates'!$I$9:$I$1008,$I612-8)))</x:f>
      </x:c>
      <x:c r="I612" t="str">
        <x:f>IF(604&gt;$H$4,"",MATCH(604,'Fleet dates'!$L$9:$L$1008,0)+8)</x:f>
      </x:c>
    </x:row>
    <x:row r="613" ht="36" customHeight="1">
      <x:c r="A613" s="50" t="str">
        <x:f>IF(605&gt;$H$4,"",IF(INDEX('Fleet dates'!$A$9:$A$1008,$I613-8)="","",INDEX('Fleet dates'!$A$9:$A$1008,$I613-8)))</x:f>
      </x:c>
      <x:c r="B613" s="50" t="str">
        <x:f>IF(605&gt;$H$4,"",IF(INDEX('Fleet dates'!$B$9:$B$1008,$I613-8)="","",INDEX('Fleet dates'!$B$9:$B$1008,$I613-8)))</x:f>
      </x:c>
      <x:c r="C613" s="51" t="str">
        <x:f>IF(605&gt;$H$4,"",IF(INDEX('Fleet dates'!$C$9:$C$1008,$I613-8)="","",INDEX('Fleet dates'!$C$9:$C$1008,$I613-8)))</x:f>
      </x:c>
      <x:c r="D613" s="51" t="str">
        <x:f>IF(605&gt;$H$4,"",IF(INDEX('Fleet dates'!$D$9:$D$1008,$I613-8)="","",INDEX('Fleet dates'!$D$9:$D$1008,$I613-8)))</x:f>
      </x:c>
      <x:c r="E613" s="51" t="str">
        <x:f>IF(605&gt;$H$4,"",IF(INDEX('Fleet dates'!$E$9:$E$1008,$I613-8)="","",INDEX('Fleet dates'!$E$9:$E$1008,$I613-8)))</x:f>
      </x:c>
      <x:c r="F613" s="51" t="str">
        <x:f>IF(605&gt;$H$4,"",IF(INDEX('Fleet dates'!$F$9:$F$1008,$I613-8)="","",INDEX('Fleet dates'!$F$9:$F$1008,$I613-8)))</x:f>
      </x:c>
      <x:c r="G613" s="50" t="str">
        <x:f>IF(605&gt;$H$4,"",IF(INDEX('Fleet dates'!$G$9:$G$1008,$I613-8)="","",INDEX('Fleet dates'!$G$9:$G$1008,$I613-8)))</x:f>
      </x:c>
      <x:c r="H613" s="50" t="str">
        <x:f>IF(605&gt;$H$4,"",IF(INDEX('Fleet dates'!$I$9:$I$1008,$I613-8)="","",INDEX('Fleet dates'!$I$9:$I$1008,$I613-8)))</x:f>
      </x:c>
      <x:c r="I613" t="str">
        <x:f>IF(605&gt;$H$4,"",MATCH(605,'Fleet dates'!$L$9:$L$1008,0)+8)</x:f>
      </x:c>
    </x:row>
    <x:row r="614" ht="36" customHeight="1">
      <x:c r="A614" s="50" t="str">
        <x:f>IF(606&gt;$H$4,"",IF(INDEX('Fleet dates'!$A$9:$A$1008,$I614-8)="","",INDEX('Fleet dates'!$A$9:$A$1008,$I614-8)))</x:f>
      </x:c>
      <x:c r="B614" s="50" t="str">
        <x:f>IF(606&gt;$H$4,"",IF(INDEX('Fleet dates'!$B$9:$B$1008,$I614-8)="","",INDEX('Fleet dates'!$B$9:$B$1008,$I614-8)))</x:f>
      </x:c>
      <x:c r="C614" s="51" t="str">
        <x:f>IF(606&gt;$H$4,"",IF(INDEX('Fleet dates'!$C$9:$C$1008,$I614-8)="","",INDEX('Fleet dates'!$C$9:$C$1008,$I614-8)))</x:f>
      </x:c>
      <x:c r="D614" s="51" t="str">
        <x:f>IF(606&gt;$H$4,"",IF(INDEX('Fleet dates'!$D$9:$D$1008,$I614-8)="","",INDEX('Fleet dates'!$D$9:$D$1008,$I614-8)))</x:f>
      </x:c>
      <x:c r="E614" s="51" t="str">
        <x:f>IF(606&gt;$H$4,"",IF(INDEX('Fleet dates'!$E$9:$E$1008,$I614-8)="","",INDEX('Fleet dates'!$E$9:$E$1008,$I614-8)))</x:f>
      </x:c>
      <x:c r="F614" s="51" t="str">
        <x:f>IF(606&gt;$H$4,"",IF(INDEX('Fleet dates'!$F$9:$F$1008,$I614-8)="","",INDEX('Fleet dates'!$F$9:$F$1008,$I614-8)))</x:f>
      </x:c>
      <x:c r="G614" s="50" t="str">
        <x:f>IF(606&gt;$H$4,"",IF(INDEX('Fleet dates'!$G$9:$G$1008,$I614-8)="","",INDEX('Fleet dates'!$G$9:$G$1008,$I614-8)))</x:f>
      </x:c>
      <x:c r="H614" s="50" t="str">
        <x:f>IF(606&gt;$H$4,"",IF(INDEX('Fleet dates'!$I$9:$I$1008,$I614-8)="","",INDEX('Fleet dates'!$I$9:$I$1008,$I614-8)))</x:f>
      </x:c>
      <x:c r="I614" t="str">
        <x:f>IF(606&gt;$H$4,"",MATCH(606,'Fleet dates'!$L$9:$L$1008,0)+8)</x:f>
      </x:c>
    </x:row>
    <x:row r="615" ht="36" customHeight="1">
      <x:c r="A615" s="50" t="str">
        <x:f>IF(607&gt;$H$4,"",IF(INDEX('Fleet dates'!$A$9:$A$1008,$I615-8)="","",INDEX('Fleet dates'!$A$9:$A$1008,$I615-8)))</x:f>
      </x:c>
      <x:c r="B615" s="50" t="str">
        <x:f>IF(607&gt;$H$4,"",IF(INDEX('Fleet dates'!$B$9:$B$1008,$I615-8)="","",INDEX('Fleet dates'!$B$9:$B$1008,$I615-8)))</x:f>
      </x:c>
      <x:c r="C615" s="51" t="str">
        <x:f>IF(607&gt;$H$4,"",IF(INDEX('Fleet dates'!$C$9:$C$1008,$I615-8)="","",INDEX('Fleet dates'!$C$9:$C$1008,$I615-8)))</x:f>
      </x:c>
      <x:c r="D615" s="51" t="str">
        <x:f>IF(607&gt;$H$4,"",IF(INDEX('Fleet dates'!$D$9:$D$1008,$I615-8)="","",INDEX('Fleet dates'!$D$9:$D$1008,$I615-8)))</x:f>
      </x:c>
      <x:c r="E615" s="51" t="str">
        <x:f>IF(607&gt;$H$4,"",IF(INDEX('Fleet dates'!$E$9:$E$1008,$I615-8)="","",INDEX('Fleet dates'!$E$9:$E$1008,$I615-8)))</x:f>
      </x:c>
      <x:c r="F615" s="51" t="str">
        <x:f>IF(607&gt;$H$4,"",IF(INDEX('Fleet dates'!$F$9:$F$1008,$I615-8)="","",INDEX('Fleet dates'!$F$9:$F$1008,$I615-8)))</x:f>
      </x:c>
      <x:c r="G615" s="50" t="str">
        <x:f>IF(607&gt;$H$4,"",IF(INDEX('Fleet dates'!$G$9:$G$1008,$I615-8)="","",INDEX('Fleet dates'!$G$9:$G$1008,$I615-8)))</x:f>
      </x:c>
      <x:c r="H615" s="50" t="str">
        <x:f>IF(607&gt;$H$4,"",IF(INDEX('Fleet dates'!$I$9:$I$1008,$I615-8)="","",INDEX('Fleet dates'!$I$9:$I$1008,$I615-8)))</x:f>
      </x:c>
      <x:c r="I615" t="str">
        <x:f>IF(607&gt;$H$4,"",MATCH(607,'Fleet dates'!$L$9:$L$1008,0)+8)</x:f>
      </x:c>
    </x:row>
    <x:row r="616" ht="36" customHeight="1">
      <x:c r="A616" s="50" t="str">
        <x:f>IF(608&gt;$H$4,"",IF(INDEX('Fleet dates'!$A$9:$A$1008,$I616-8)="","",INDEX('Fleet dates'!$A$9:$A$1008,$I616-8)))</x:f>
      </x:c>
      <x:c r="B616" s="50" t="str">
        <x:f>IF(608&gt;$H$4,"",IF(INDEX('Fleet dates'!$B$9:$B$1008,$I616-8)="","",INDEX('Fleet dates'!$B$9:$B$1008,$I616-8)))</x:f>
      </x:c>
      <x:c r="C616" s="51" t="str">
        <x:f>IF(608&gt;$H$4,"",IF(INDEX('Fleet dates'!$C$9:$C$1008,$I616-8)="","",INDEX('Fleet dates'!$C$9:$C$1008,$I616-8)))</x:f>
      </x:c>
      <x:c r="D616" s="51" t="str">
        <x:f>IF(608&gt;$H$4,"",IF(INDEX('Fleet dates'!$D$9:$D$1008,$I616-8)="","",INDEX('Fleet dates'!$D$9:$D$1008,$I616-8)))</x:f>
      </x:c>
      <x:c r="E616" s="51" t="str">
        <x:f>IF(608&gt;$H$4,"",IF(INDEX('Fleet dates'!$E$9:$E$1008,$I616-8)="","",INDEX('Fleet dates'!$E$9:$E$1008,$I616-8)))</x:f>
      </x:c>
      <x:c r="F616" s="51" t="str">
        <x:f>IF(608&gt;$H$4,"",IF(INDEX('Fleet dates'!$F$9:$F$1008,$I616-8)="","",INDEX('Fleet dates'!$F$9:$F$1008,$I616-8)))</x:f>
      </x:c>
      <x:c r="G616" s="50" t="str">
        <x:f>IF(608&gt;$H$4,"",IF(INDEX('Fleet dates'!$G$9:$G$1008,$I616-8)="","",INDEX('Fleet dates'!$G$9:$G$1008,$I616-8)))</x:f>
      </x:c>
      <x:c r="H616" s="50" t="str">
        <x:f>IF(608&gt;$H$4,"",IF(INDEX('Fleet dates'!$I$9:$I$1008,$I616-8)="","",INDEX('Fleet dates'!$I$9:$I$1008,$I616-8)))</x:f>
      </x:c>
      <x:c r="I616" t="str">
        <x:f>IF(608&gt;$H$4,"",MATCH(608,'Fleet dates'!$L$9:$L$1008,0)+8)</x:f>
      </x:c>
    </x:row>
    <x:row r="617" ht="36" customHeight="1">
      <x:c r="A617" s="50" t="str">
        <x:f>IF(609&gt;$H$4,"",IF(INDEX('Fleet dates'!$A$9:$A$1008,$I617-8)="","",INDEX('Fleet dates'!$A$9:$A$1008,$I617-8)))</x:f>
      </x:c>
      <x:c r="B617" s="50" t="str">
        <x:f>IF(609&gt;$H$4,"",IF(INDEX('Fleet dates'!$B$9:$B$1008,$I617-8)="","",INDEX('Fleet dates'!$B$9:$B$1008,$I617-8)))</x:f>
      </x:c>
      <x:c r="C617" s="51" t="str">
        <x:f>IF(609&gt;$H$4,"",IF(INDEX('Fleet dates'!$C$9:$C$1008,$I617-8)="","",INDEX('Fleet dates'!$C$9:$C$1008,$I617-8)))</x:f>
      </x:c>
      <x:c r="D617" s="51" t="str">
        <x:f>IF(609&gt;$H$4,"",IF(INDEX('Fleet dates'!$D$9:$D$1008,$I617-8)="","",INDEX('Fleet dates'!$D$9:$D$1008,$I617-8)))</x:f>
      </x:c>
      <x:c r="E617" s="51" t="str">
        <x:f>IF(609&gt;$H$4,"",IF(INDEX('Fleet dates'!$E$9:$E$1008,$I617-8)="","",INDEX('Fleet dates'!$E$9:$E$1008,$I617-8)))</x:f>
      </x:c>
      <x:c r="F617" s="51" t="str">
        <x:f>IF(609&gt;$H$4,"",IF(INDEX('Fleet dates'!$F$9:$F$1008,$I617-8)="","",INDEX('Fleet dates'!$F$9:$F$1008,$I617-8)))</x:f>
      </x:c>
      <x:c r="G617" s="50" t="str">
        <x:f>IF(609&gt;$H$4,"",IF(INDEX('Fleet dates'!$G$9:$G$1008,$I617-8)="","",INDEX('Fleet dates'!$G$9:$G$1008,$I617-8)))</x:f>
      </x:c>
      <x:c r="H617" s="50" t="str">
        <x:f>IF(609&gt;$H$4,"",IF(INDEX('Fleet dates'!$I$9:$I$1008,$I617-8)="","",INDEX('Fleet dates'!$I$9:$I$1008,$I617-8)))</x:f>
      </x:c>
      <x:c r="I617" t="str">
        <x:f>IF(609&gt;$H$4,"",MATCH(609,'Fleet dates'!$L$9:$L$1008,0)+8)</x:f>
      </x:c>
    </x:row>
    <x:row r="618" ht="36" customHeight="1">
      <x:c r="A618" s="50" t="str">
        <x:f>IF(610&gt;$H$4,"",IF(INDEX('Fleet dates'!$A$9:$A$1008,$I618-8)="","",INDEX('Fleet dates'!$A$9:$A$1008,$I618-8)))</x:f>
      </x:c>
      <x:c r="B618" s="50" t="str">
        <x:f>IF(610&gt;$H$4,"",IF(INDEX('Fleet dates'!$B$9:$B$1008,$I618-8)="","",INDEX('Fleet dates'!$B$9:$B$1008,$I618-8)))</x:f>
      </x:c>
      <x:c r="C618" s="51" t="str">
        <x:f>IF(610&gt;$H$4,"",IF(INDEX('Fleet dates'!$C$9:$C$1008,$I618-8)="","",INDEX('Fleet dates'!$C$9:$C$1008,$I618-8)))</x:f>
      </x:c>
      <x:c r="D618" s="51" t="str">
        <x:f>IF(610&gt;$H$4,"",IF(INDEX('Fleet dates'!$D$9:$D$1008,$I618-8)="","",INDEX('Fleet dates'!$D$9:$D$1008,$I618-8)))</x:f>
      </x:c>
      <x:c r="E618" s="51" t="str">
        <x:f>IF(610&gt;$H$4,"",IF(INDEX('Fleet dates'!$E$9:$E$1008,$I618-8)="","",INDEX('Fleet dates'!$E$9:$E$1008,$I618-8)))</x:f>
      </x:c>
      <x:c r="F618" s="51" t="str">
        <x:f>IF(610&gt;$H$4,"",IF(INDEX('Fleet dates'!$F$9:$F$1008,$I618-8)="","",INDEX('Fleet dates'!$F$9:$F$1008,$I618-8)))</x:f>
      </x:c>
      <x:c r="G618" s="50" t="str">
        <x:f>IF(610&gt;$H$4,"",IF(INDEX('Fleet dates'!$G$9:$G$1008,$I618-8)="","",INDEX('Fleet dates'!$G$9:$G$1008,$I618-8)))</x:f>
      </x:c>
      <x:c r="H618" s="50" t="str">
        <x:f>IF(610&gt;$H$4,"",IF(INDEX('Fleet dates'!$I$9:$I$1008,$I618-8)="","",INDEX('Fleet dates'!$I$9:$I$1008,$I618-8)))</x:f>
      </x:c>
      <x:c r="I618" t="str">
        <x:f>IF(610&gt;$H$4,"",MATCH(610,'Fleet dates'!$L$9:$L$1008,0)+8)</x:f>
      </x:c>
    </x:row>
    <x:row r="619" ht="36" customHeight="1">
      <x:c r="A619" s="50" t="str">
        <x:f>IF(611&gt;$H$4,"",IF(INDEX('Fleet dates'!$A$9:$A$1008,$I619-8)="","",INDEX('Fleet dates'!$A$9:$A$1008,$I619-8)))</x:f>
      </x:c>
      <x:c r="B619" s="50" t="str">
        <x:f>IF(611&gt;$H$4,"",IF(INDEX('Fleet dates'!$B$9:$B$1008,$I619-8)="","",INDEX('Fleet dates'!$B$9:$B$1008,$I619-8)))</x:f>
      </x:c>
      <x:c r="C619" s="51" t="str">
        <x:f>IF(611&gt;$H$4,"",IF(INDEX('Fleet dates'!$C$9:$C$1008,$I619-8)="","",INDEX('Fleet dates'!$C$9:$C$1008,$I619-8)))</x:f>
      </x:c>
      <x:c r="D619" s="51" t="str">
        <x:f>IF(611&gt;$H$4,"",IF(INDEX('Fleet dates'!$D$9:$D$1008,$I619-8)="","",INDEX('Fleet dates'!$D$9:$D$1008,$I619-8)))</x:f>
      </x:c>
      <x:c r="E619" s="51" t="str">
        <x:f>IF(611&gt;$H$4,"",IF(INDEX('Fleet dates'!$E$9:$E$1008,$I619-8)="","",INDEX('Fleet dates'!$E$9:$E$1008,$I619-8)))</x:f>
      </x:c>
      <x:c r="F619" s="51" t="str">
        <x:f>IF(611&gt;$H$4,"",IF(INDEX('Fleet dates'!$F$9:$F$1008,$I619-8)="","",INDEX('Fleet dates'!$F$9:$F$1008,$I619-8)))</x:f>
      </x:c>
      <x:c r="G619" s="50" t="str">
        <x:f>IF(611&gt;$H$4,"",IF(INDEX('Fleet dates'!$G$9:$G$1008,$I619-8)="","",INDEX('Fleet dates'!$G$9:$G$1008,$I619-8)))</x:f>
      </x:c>
      <x:c r="H619" s="50" t="str">
        <x:f>IF(611&gt;$H$4,"",IF(INDEX('Fleet dates'!$I$9:$I$1008,$I619-8)="","",INDEX('Fleet dates'!$I$9:$I$1008,$I619-8)))</x:f>
      </x:c>
      <x:c r="I619" t="str">
        <x:f>IF(611&gt;$H$4,"",MATCH(611,'Fleet dates'!$L$9:$L$1008,0)+8)</x:f>
      </x:c>
    </x:row>
    <x:row r="620" ht="36" customHeight="1">
      <x:c r="A620" s="50" t="str">
        <x:f>IF(612&gt;$H$4,"",IF(INDEX('Fleet dates'!$A$9:$A$1008,$I620-8)="","",INDEX('Fleet dates'!$A$9:$A$1008,$I620-8)))</x:f>
      </x:c>
      <x:c r="B620" s="50" t="str">
        <x:f>IF(612&gt;$H$4,"",IF(INDEX('Fleet dates'!$B$9:$B$1008,$I620-8)="","",INDEX('Fleet dates'!$B$9:$B$1008,$I620-8)))</x:f>
      </x:c>
      <x:c r="C620" s="51" t="str">
        <x:f>IF(612&gt;$H$4,"",IF(INDEX('Fleet dates'!$C$9:$C$1008,$I620-8)="","",INDEX('Fleet dates'!$C$9:$C$1008,$I620-8)))</x:f>
      </x:c>
      <x:c r="D620" s="51" t="str">
        <x:f>IF(612&gt;$H$4,"",IF(INDEX('Fleet dates'!$D$9:$D$1008,$I620-8)="","",INDEX('Fleet dates'!$D$9:$D$1008,$I620-8)))</x:f>
      </x:c>
      <x:c r="E620" s="51" t="str">
        <x:f>IF(612&gt;$H$4,"",IF(INDEX('Fleet dates'!$E$9:$E$1008,$I620-8)="","",INDEX('Fleet dates'!$E$9:$E$1008,$I620-8)))</x:f>
      </x:c>
      <x:c r="F620" s="51" t="str">
        <x:f>IF(612&gt;$H$4,"",IF(INDEX('Fleet dates'!$F$9:$F$1008,$I620-8)="","",INDEX('Fleet dates'!$F$9:$F$1008,$I620-8)))</x:f>
      </x:c>
      <x:c r="G620" s="50" t="str">
        <x:f>IF(612&gt;$H$4,"",IF(INDEX('Fleet dates'!$G$9:$G$1008,$I620-8)="","",INDEX('Fleet dates'!$G$9:$G$1008,$I620-8)))</x:f>
      </x:c>
      <x:c r="H620" s="50" t="str">
        <x:f>IF(612&gt;$H$4,"",IF(INDEX('Fleet dates'!$I$9:$I$1008,$I620-8)="","",INDEX('Fleet dates'!$I$9:$I$1008,$I620-8)))</x:f>
      </x:c>
      <x:c r="I620" t="str">
        <x:f>IF(612&gt;$H$4,"",MATCH(612,'Fleet dates'!$L$9:$L$1008,0)+8)</x:f>
      </x:c>
    </x:row>
    <x:row r="621" ht="36" customHeight="1">
      <x:c r="A621" s="50" t="str">
        <x:f>IF(613&gt;$H$4,"",IF(INDEX('Fleet dates'!$A$9:$A$1008,$I621-8)="","",INDEX('Fleet dates'!$A$9:$A$1008,$I621-8)))</x:f>
      </x:c>
      <x:c r="B621" s="50" t="str">
        <x:f>IF(613&gt;$H$4,"",IF(INDEX('Fleet dates'!$B$9:$B$1008,$I621-8)="","",INDEX('Fleet dates'!$B$9:$B$1008,$I621-8)))</x:f>
      </x:c>
      <x:c r="C621" s="51" t="str">
        <x:f>IF(613&gt;$H$4,"",IF(INDEX('Fleet dates'!$C$9:$C$1008,$I621-8)="","",INDEX('Fleet dates'!$C$9:$C$1008,$I621-8)))</x:f>
      </x:c>
      <x:c r="D621" s="51" t="str">
        <x:f>IF(613&gt;$H$4,"",IF(INDEX('Fleet dates'!$D$9:$D$1008,$I621-8)="","",INDEX('Fleet dates'!$D$9:$D$1008,$I621-8)))</x:f>
      </x:c>
      <x:c r="E621" s="51" t="str">
        <x:f>IF(613&gt;$H$4,"",IF(INDEX('Fleet dates'!$E$9:$E$1008,$I621-8)="","",INDEX('Fleet dates'!$E$9:$E$1008,$I621-8)))</x:f>
      </x:c>
      <x:c r="F621" s="51" t="str">
        <x:f>IF(613&gt;$H$4,"",IF(INDEX('Fleet dates'!$F$9:$F$1008,$I621-8)="","",INDEX('Fleet dates'!$F$9:$F$1008,$I621-8)))</x:f>
      </x:c>
      <x:c r="G621" s="50" t="str">
        <x:f>IF(613&gt;$H$4,"",IF(INDEX('Fleet dates'!$G$9:$G$1008,$I621-8)="","",INDEX('Fleet dates'!$G$9:$G$1008,$I621-8)))</x:f>
      </x:c>
      <x:c r="H621" s="50" t="str">
        <x:f>IF(613&gt;$H$4,"",IF(INDEX('Fleet dates'!$I$9:$I$1008,$I621-8)="","",INDEX('Fleet dates'!$I$9:$I$1008,$I621-8)))</x:f>
      </x:c>
      <x:c r="I621" t="str">
        <x:f>IF(613&gt;$H$4,"",MATCH(613,'Fleet dates'!$L$9:$L$1008,0)+8)</x:f>
      </x:c>
    </x:row>
    <x:row r="622" ht="36" customHeight="1">
      <x:c r="A622" s="50" t="str">
        <x:f>IF(614&gt;$H$4,"",IF(INDEX('Fleet dates'!$A$9:$A$1008,$I622-8)="","",INDEX('Fleet dates'!$A$9:$A$1008,$I622-8)))</x:f>
      </x:c>
      <x:c r="B622" s="50" t="str">
        <x:f>IF(614&gt;$H$4,"",IF(INDEX('Fleet dates'!$B$9:$B$1008,$I622-8)="","",INDEX('Fleet dates'!$B$9:$B$1008,$I622-8)))</x:f>
      </x:c>
      <x:c r="C622" s="51" t="str">
        <x:f>IF(614&gt;$H$4,"",IF(INDEX('Fleet dates'!$C$9:$C$1008,$I622-8)="","",INDEX('Fleet dates'!$C$9:$C$1008,$I622-8)))</x:f>
      </x:c>
      <x:c r="D622" s="51" t="str">
        <x:f>IF(614&gt;$H$4,"",IF(INDEX('Fleet dates'!$D$9:$D$1008,$I622-8)="","",INDEX('Fleet dates'!$D$9:$D$1008,$I622-8)))</x:f>
      </x:c>
      <x:c r="E622" s="51" t="str">
        <x:f>IF(614&gt;$H$4,"",IF(INDEX('Fleet dates'!$E$9:$E$1008,$I622-8)="","",INDEX('Fleet dates'!$E$9:$E$1008,$I622-8)))</x:f>
      </x:c>
      <x:c r="F622" s="51" t="str">
        <x:f>IF(614&gt;$H$4,"",IF(INDEX('Fleet dates'!$F$9:$F$1008,$I622-8)="","",INDEX('Fleet dates'!$F$9:$F$1008,$I622-8)))</x:f>
      </x:c>
      <x:c r="G622" s="50" t="str">
        <x:f>IF(614&gt;$H$4,"",IF(INDEX('Fleet dates'!$G$9:$G$1008,$I622-8)="","",INDEX('Fleet dates'!$G$9:$G$1008,$I622-8)))</x:f>
      </x:c>
      <x:c r="H622" s="50" t="str">
        <x:f>IF(614&gt;$H$4,"",IF(INDEX('Fleet dates'!$I$9:$I$1008,$I622-8)="","",INDEX('Fleet dates'!$I$9:$I$1008,$I622-8)))</x:f>
      </x:c>
      <x:c r="I622" t="str">
        <x:f>IF(614&gt;$H$4,"",MATCH(614,'Fleet dates'!$L$9:$L$1008,0)+8)</x:f>
      </x:c>
    </x:row>
    <x:row r="623" ht="36" customHeight="1">
      <x:c r="A623" s="50" t="str">
        <x:f>IF(615&gt;$H$4,"",IF(INDEX('Fleet dates'!$A$9:$A$1008,$I623-8)="","",INDEX('Fleet dates'!$A$9:$A$1008,$I623-8)))</x:f>
      </x:c>
      <x:c r="B623" s="50" t="str">
        <x:f>IF(615&gt;$H$4,"",IF(INDEX('Fleet dates'!$B$9:$B$1008,$I623-8)="","",INDEX('Fleet dates'!$B$9:$B$1008,$I623-8)))</x:f>
      </x:c>
      <x:c r="C623" s="51" t="str">
        <x:f>IF(615&gt;$H$4,"",IF(INDEX('Fleet dates'!$C$9:$C$1008,$I623-8)="","",INDEX('Fleet dates'!$C$9:$C$1008,$I623-8)))</x:f>
      </x:c>
      <x:c r="D623" s="51" t="str">
        <x:f>IF(615&gt;$H$4,"",IF(INDEX('Fleet dates'!$D$9:$D$1008,$I623-8)="","",INDEX('Fleet dates'!$D$9:$D$1008,$I623-8)))</x:f>
      </x:c>
      <x:c r="E623" s="51" t="str">
        <x:f>IF(615&gt;$H$4,"",IF(INDEX('Fleet dates'!$E$9:$E$1008,$I623-8)="","",INDEX('Fleet dates'!$E$9:$E$1008,$I623-8)))</x:f>
      </x:c>
      <x:c r="F623" s="51" t="str">
        <x:f>IF(615&gt;$H$4,"",IF(INDEX('Fleet dates'!$F$9:$F$1008,$I623-8)="","",INDEX('Fleet dates'!$F$9:$F$1008,$I623-8)))</x:f>
      </x:c>
      <x:c r="G623" s="50" t="str">
        <x:f>IF(615&gt;$H$4,"",IF(INDEX('Fleet dates'!$G$9:$G$1008,$I623-8)="","",INDEX('Fleet dates'!$G$9:$G$1008,$I623-8)))</x:f>
      </x:c>
      <x:c r="H623" s="50" t="str">
        <x:f>IF(615&gt;$H$4,"",IF(INDEX('Fleet dates'!$I$9:$I$1008,$I623-8)="","",INDEX('Fleet dates'!$I$9:$I$1008,$I623-8)))</x:f>
      </x:c>
      <x:c r="I623" t="str">
        <x:f>IF(615&gt;$H$4,"",MATCH(615,'Fleet dates'!$L$9:$L$1008,0)+8)</x:f>
      </x:c>
    </x:row>
    <x:row r="624" ht="36" customHeight="1">
      <x:c r="A624" s="50" t="str">
        <x:f>IF(616&gt;$H$4,"",IF(INDEX('Fleet dates'!$A$9:$A$1008,$I624-8)="","",INDEX('Fleet dates'!$A$9:$A$1008,$I624-8)))</x:f>
      </x:c>
      <x:c r="B624" s="50" t="str">
        <x:f>IF(616&gt;$H$4,"",IF(INDEX('Fleet dates'!$B$9:$B$1008,$I624-8)="","",INDEX('Fleet dates'!$B$9:$B$1008,$I624-8)))</x:f>
      </x:c>
      <x:c r="C624" s="51" t="str">
        <x:f>IF(616&gt;$H$4,"",IF(INDEX('Fleet dates'!$C$9:$C$1008,$I624-8)="","",INDEX('Fleet dates'!$C$9:$C$1008,$I624-8)))</x:f>
      </x:c>
      <x:c r="D624" s="51" t="str">
        <x:f>IF(616&gt;$H$4,"",IF(INDEX('Fleet dates'!$D$9:$D$1008,$I624-8)="","",INDEX('Fleet dates'!$D$9:$D$1008,$I624-8)))</x:f>
      </x:c>
      <x:c r="E624" s="51" t="str">
        <x:f>IF(616&gt;$H$4,"",IF(INDEX('Fleet dates'!$E$9:$E$1008,$I624-8)="","",INDEX('Fleet dates'!$E$9:$E$1008,$I624-8)))</x:f>
      </x:c>
      <x:c r="F624" s="51" t="str">
        <x:f>IF(616&gt;$H$4,"",IF(INDEX('Fleet dates'!$F$9:$F$1008,$I624-8)="","",INDEX('Fleet dates'!$F$9:$F$1008,$I624-8)))</x:f>
      </x:c>
      <x:c r="G624" s="50" t="str">
        <x:f>IF(616&gt;$H$4,"",IF(INDEX('Fleet dates'!$G$9:$G$1008,$I624-8)="","",INDEX('Fleet dates'!$G$9:$G$1008,$I624-8)))</x:f>
      </x:c>
      <x:c r="H624" s="50" t="str">
        <x:f>IF(616&gt;$H$4,"",IF(INDEX('Fleet dates'!$I$9:$I$1008,$I624-8)="","",INDEX('Fleet dates'!$I$9:$I$1008,$I624-8)))</x:f>
      </x:c>
      <x:c r="I624" t="str">
        <x:f>IF(616&gt;$H$4,"",MATCH(616,'Fleet dates'!$L$9:$L$1008,0)+8)</x:f>
      </x:c>
    </x:row>
    <x:row r="625" ht="36" customHeight="1">
      <x:c r="A625" s="50" t="str">
        <x:f>IF(617&gt;$H$4,"",IF(INDEX('Fleet dates'!$A$9:$A$1008,$I625-8)="","",INDEX('Fleet dates'!$A$9:$A$1008,$I625-8)))</x:f>
      </x:c>
      <x:c r="B625" s="50" t="str">
        <x:f>IF(617&gt;$H$4,"",IF(INDEX('Fleet dates'!$B$9:$B$1008,$I625-8)="","",INDEX('Fleet dates'!$B$9:$B$1008,$I625-8)))</x:f>
      </x:c>
      <x:c r="C625" s="51" t="str">
        <x:f>IF(617&gt;$H$4,"",IF(INDEX('Fleet dates'!$C$9:$C$1008,$I625-8)="","",INDEX('Fleet dates'!$C$9:$C$1008,$I625-8)))</x:f>
      </x:c>
      <x:c r="D625" s="51" t="str">
        <x:f>IF(617&gt;$H$4,"",IF(INDEX('Fleet dates'!$D$9:$D$1008,$I625-8)="","",INDEX('Fleet dates'!$D$9:$D$1008,$I625-8)))</x:f>
      </x:c>
      <x:c r="E625" s="51" t="str">
        <x:f>IF(617&gt;$H$4,"",IF(INDEX('Fleet dates'!$E$9:$E$1008,$I625-8)="","",INDEX('Fleet dates'!$E$9:$E$1008,$I625-8)))</x:f>
      </x:c>
      <x:c r="F625" s="51" t="str">
        <x:f>IF(617&gt;$H$4,"",IF(INDEX('Fleet dates'!$F$9:$F$1008,$I625-8)="","",INDEX('Fleet dates'!$F$9:$F$1008,$I625-8)))</x:f>
      </x:c>
      <x:c r="G625" s="50" t="str">
        <x:f>IF(617&gt;$H$4,"",IF(INDEX('Fleet dates'!$G$9:$G$1008,$I625-8)="","",INDEX('Fleet dates'!$G$9:$G$1008,$I625-8)))</x:f>
      </x:c>
      <x:c r="H625" s="50" t="str">
        <x:f>IF(617&gt;$H$4,"",IF(INDEX('Fleet dates'!$I$9:$I$1008,$I625-8)="","",INDEX('Fleet dates'!$I$9:$I$1008,$I625-8)))</x:f>
      </x:c>
      <x:c r="I625" t="str">
        <x:f>IF(617&gt;$H$4,"",MATCH(617,'Fleet dates'!$L$9:$L$1008,0)+8)</x:f>
      </x:c>
    </x:row>
    <x:row r="626" ht="36" customHeight="1">
      <x:c r="A626" s="50" t="str">
        <x:f>IF(618&gt;$H$4,"",IF(INDEX('Fleet dates'!$A$9:$A$1008,$I626-8)="","",INDEX('Fleet dates'!$A$9:$A$1008,$I626-8)))</x:f>
      </x:c>
      <x:c r="B626" s="50" t="str">
        <x:f>IF(618&gt;$H$4,"",IF(INDEX('Fleet dates'!$B$9:$B$1008,$I626-8)="","",INDEX('Fleet dates'!$B$9:$B$1008,$I626-8)))</x:f>
      </x:c>
      <x:c r="C626" s="51" t="str">
        <x:f>IF(618&gt;$H$4,"",IF(INDEX('Fleet dates'!$C$9:$C$1008,$I626-8)="","",INDEX('Fleet dates'!$C$9:$C$1008,$I626-8)))</x:f>
      </x:c>
      <x:c r="D626" s="51" t="str">
        <x:f>IF(618&gt;$H$4,"",IF(INDEX('Fleet dates'!$D$9:$D$1008,$I626-8)="","",INDEX('Fleet dates'!$D$9:$D$1008,$I626-8)))</x:f>
      </x:c>
      <x:c r="E626" s="51" t="str">
        <x:f>IF(618&gt;$H$4,"",IF(INDEX('Fleet dates'!$E$9:$E$1008,$I626-8)="","",INDEX('Fleet dates'!$E$9:$E$1008,$I626-8)))</x:f>
      </x:c>
      <x:c r="F626" s="51" t="str">
        <x:f>IF(618&gt;$H$4,"",IF(INDEX('Fleet dates'!$F$9:$F$1008,$I626-8)="","",INDEX('Fleet dates'!$F$9:$F$1008,$I626-8)))</x:f>
      </x:c>
      <x:c r="G626" s="50" t="str">
        <x:f>IF(618&gt;$H$4,"",IF(INDEX('Fleet dates'!$G$9:$G$1008,$I626-8)="","",INDEX('Fleet dates'!$G$9:$G$1008,$I626-8)))</x:f>
      </x:c>
      <x:c r="H626" s="50" t="str">
        <x:f>IF(618&gt;$H$4,"",IF(INDEX('Fleet dates'!$I$9:$I$1008,$I626-8)="","",INDEX('Fleet dates'!$I$9:$I$1008,$I626-8)))</x:f>
      </x:c>
      <x:c r="I626" t="str">
        <x:f>IF(618&gt;$H$4,"",MATCH(618,'Fleet dates'!$L$9:$L$1008,0)+8)</x:f>
      </x:c>
    </x:row>
    <x:row r="627" ht="36" customHeight="1">
      <x:c r="A627" s="50" t="str">
        <x:f>IF(619&gt;$H$4,"",IF(INDEX('Fleet dates'!$A$9:$A$1008,$I627-8)="","",INDEX('Fleet dates'!$A$9:$A$1008,$I627-8)))</x:f>
      </x:c>
      <x:c r="B627" s="50" t="str">
        <x:f>IF(619&gt;$H$4,"",IF(INDEX('Fleet dates'!$B$9:$B$1008,$I627-8)="","",INDEX('Fleet dates'!$B$9:$B$1008,$I627-8)))</x:f>
      </x:c>
      <x:c r="C627" s="51" t="str">
        <x:f>IF(619&gt;$H$4,"",IF(INDEX('Fleet dates'!$C$9:$C$1008,$I627-8)="","",INDEX('Fleet dates'!$C$9:$C$1008,$I627-8)))</x:f>
      </x:c>
      <x:c r="D627" s="51" t="str">
        <x:f>IF(619&gt;$H$4,"",IF(INDEX('Fleet dates'!$D$9:$D$1008,$I627-8)="","",INDEX('Fleet dates'!$D$9:$D$1008,$I627-8)))</x:f>
      </x:c>
      <x:c r="E627" s="51" t="str">
        <x:f>IF(619&gt;$H$4,"",IF(INDEX('Fleet dates'!$E$9:$E$1008,$I627-8)="","",INDEX('Fleet dates'!$E$9:$E$1008,$I627-8)))</x:f>
      </x:c>
      <x:c r="F627" s="51" t="str">
        <x:f>IF(619&gt;$H$4,"",IF(INDEX('Fleet dates'!$F$9:$F$1008,$I627-8)="","",INDEX('Fleet dates'!$F$9:$F$1008,$I627-8)))</x:f>
      </x:c>
      <x:c r="G627" s="50" t="str">
        <x:f>IF(619&gt;$H$4,"",IF(INDEX('Fleet dates'!$G$9:$G$1008,$I627-8)="","",INDEX('Fleet dates'!$G$9:$G$1008,$I627-8)))</x:f>
      </x:c>
      <x:c r="H627" s="50" t="str">
        <x:f>IF(619&gt;$H$4,"",IF(INDEX('Fleet dates'!$I$9:$I$1008,$I627-8)="","",INDEX('Fleet dates'!$I$9:$I$1008,$I627-8)))</x:f>
      </x:c>
      <x:c r="I627" t="str">
        <x:f>IF(619&gt;$H$4,"",MATCH(619,'Fleet dates'!$L$9:$L$1008,0)+8)</x:f>
      </x:c>
    </x:row>
    <x:row r="628" ht="36" customHeight="1">
      <x:c r="A628" s="50" t="str">
        <x:f>IF(620&gt;$H$4,"",IF(INDEX('Fleet dates'!$A$9:$A$1008,$I628-8)="","",INDEX('Fleet dates'!$A$9:$A$1008,$I628-8)))</x:f>
      </x:c>
      <x:c r="B628" s="50" t="str">
        <x:f>IF(620&gt;$H$4,"",IF(INDEX('Fleet dates'!$B$9:$B$1008,$I628-8)="","",INDEX('Fleet dates'!$B$9:$B$1008,$I628-8)))</x:f>
      </x:c>
      <x:c r="C628" s="51" t="str">
        <x:f>IF(620&gt;$H$4,"",IF(INDEX('Fleet dates'!$C$9:$C$1008,$I628-8)="","",INDEX('Fleet dates'!$C$9:$C$1008,$I628-8)))</x:f>
      </x:c>
      <x:c r="D628" s="51" t="str">
        <x:f>IF(620&gt;$H$4,"",IF(INDEX('Fleet dates'!$D$9:$D$1008,$I628-8)="","",INDEX('Fleet dates'!$D$9:$D$1008,$I628-8)))</x:f>
      </x:c>
      <x:c r="E628" s="51" t="str">
        <x:f>IF(620&gt;$H$4,"",IF(INDEX('Fleet dates'!$E$9:$E$1008,$I628-8)="","",INDEX('Fleet dates'!$E$9:$E$1008,$I628-8)))</x:f>
      </x:c>
      <x:c r="F628" s="51" t="str">
        <x:f>IF(620&gt;$H$4,"",IF(INDEX('Fleet dates'!$F$9:$F$1008,$I628-8)="","",INDEX('Fleet dates'!$F$9:$F$1008,$I628-8)))</x:f>
      </x:c>
      <x:c r="G628" s="50" t="str">
        <x:f>IF(620&gt;$H$4,"",IF(INDEX('Fleet dates'!$G$9:$G$1008,$I628-8)="","",INDEX('Fleet dates'!$G$9:$G$1008,$I628-8)))</x:f>
      </x:c>
      <x:c r="H628" s="50" t="str">
        <x:f>IF(620&gt;$H$4,"",IF(INDEX('Fleet dates'!$I$9:$I$1008,$I628-8)="","",INDEX('Fleet dates'!$I$9:$I$1008,$I628-8)))</x:f>
      </x:c>
      <x:c r="I628" t="str">
        <x:f>IF(620&gt;$H$4,"",MATCH(620,'Fleet dates'!$L$9:$L$1008,0)+8)</x:f>
      </x:c>
    </x:row>
    <x:row r="629" ht="36" customHeight="1">
      <x:c r="A629" s="50" t="str">
        <x:f>IF(621&gt;$H$4,"",IF(INDEX('Fleet dates'!$A$9:$A$1008,$I629-8)="","",INDEX('Fleet dates'!$A$9:$A$1008,$I629-8)))</x:f>
      </x:c>
      <x:c r="B629" s="50" t="str">
        <x:f>IF(621&gt;$H$4,"",IF(INDEX('Fleet dates'!$B$9:$B$1008,$I629-8)="","",INDEX('Fleet dates'!$B$9:$B$1008,$I629-8)))</x:f>
      </x:c>
      <x:c r="C629" s="51" t="str">
        <x:f>IF(621&gt;$H$4,"",IF(INDEX('Fleet dates'!$C$9:$C$1008,$I629-8)="","",INDEX('Fleet dates'!$C$9:$C$1008,$I629-8)))</x:f>
      </x:c>
      <x:c r="D629" s="51" t="str">
        <x:f>IF(621&gt;$H$4,"",IF(INDEX('Fleet dates'!$D$9:$D$1008,$I629-8)="","",INDEX('Fleet dates'!$D$9:$D$1008,$I629-8)))</x:f>
      </x:c>
      <x:c r="E629" s="51" t="str">
        <x:f>IF(621&gt;$H$4,"",IF(INDEX('Fleet dates'!$E$9:$E$1008,$I629-8)="","",INDEX('Fleet dates'!$E$9:$E$1008,$I629-8)))</x:f>
      </x:c>
      <x:c r="F629" s="51" t="str">
        <x:f>IF(621&gt;$H$4,"",IF(INDEX('Fleet dates'!$F$9:$F$1008,$I629-8)="","",INDEX('Fleet dates'!$F$9:$F$1008,$I629-8)))</x:f>
      </x:c>
      <x:c r="G629" s="50" t="str">
        <x:f>IF(621&gt;$H$4,"",IF(INDEX('Fleet dates'!$G$9:$G$1008,$I629-8)="","",INDEX('Fleet dates'!$G$9:$G$1008,$I629-8)))</x:f>
      </x:c>
      <x:c r="H629" s="50" t="str">
        <x:f>IF(621&gt;$H$4,"",IF(INDEX('Fleet dates'!$I$9:$I$1008,$I629-8)="","",INDEX('Fleet dates'!$I$9:$I$1008,$I629-8)))</x:f>
      </x:c>
      <x:c r="I629" t="str">
        <x:f>IF(621&gt;$H$4,"",MATCH(621,'Fleet dates'!$L$9:$L$1008,0)+8)</x:f>
      </x:c>
    </x:row>
    <x:row r="630" ht="36" customHeight="1">
      <x:c r="A630" s="50" t="str">
        <x:f>IF(622&gt;$H$4,"",IF(INDEX('Fleet dates'!$A$9:$A$1008,$I630-8)="","",INDEX('Fleet dates'!$A$9:$A$1008,$I630-8)))</x:f>
      </x:c>
      <x:c r="B630" s="50" t="str">
        <x:f>IF(622&gt;$H$4,"",IF(INDEX('Fleet dates'!$B$9:$B$1008,$I630-8)="","",INDEX('Fleet dates'!$B$9:$B$1008,$I630-8)))</x:f>
      </x:c>
      <x:c r="C630" s="51" t="str">
        <x:f>IF(622&gt;$H$4,"",IF(INDEX('Fleet dates'!$C$9:$C$1008,$I630-8)="","",INDEX('Fleet dates'!$C$9:$C$1008,$I630-8)))</x:f>
      </x:c>
      <x:c r="D630" s="51" t="str">
        <x:f>IF(622&gt;$H$4,"",IF(INDEX('Fleet dates'!$D$9:$D$1008,$I630-8)="","",INDEX('Fleet dates'!$D$9:$D$1008,$I630-8)))</x:f>
      </x:c>
      <x:c r="E630" s="51" t="str">
        <x:f>IF(622&gt;$H$4,"",IF(INDEX('Fleet dates'!$E$9:$E$1008,$I630-8)="","",INDEX('Fleet dates'!$E$9:$E$1008,$I630-8)))</x:f>
      </x:c>
      <x:c r="F630" s="51" t="str">
        <x:f>IF(622&gt;$H$4,"",IF(INDEX('Fleet dates'!$F$9:$F$1008,$I630-8)="","",INDEX('Fleet dates'!$F$9:$F$1008,$I630-8)))</x:f>
      </x:c>
      <x:c r="G630" s="50" t="str">
        <x:f>IF(622&gt;$H$4,"",IF(INDEX('Fleet dates'!$G$9:$G$1008,$I630-8)="","",INDEX('Fleet dates'!$G$9:$G$1008,$I630-8)))</x:f>
      </x:c>
      <x:c r="H630" s="50" t="str">
        <x:f>IF(622&gt;$H$4,"",IF(INDEX('Fleet dates'!$I$9:$I$1008,$I630-8)="","",INDEX('Fleet dates'!$I$9:$I$1008,$I630-8)))</x:f>
      </x:c>
      <x:c r="I630" t="str">
        <x:f>IF(622&gt;$H$4,"",MATCH(622,'Fleet dates'!$L$9:$L$1008,0)+8)</x:f>
      </x:c>
    </x:row>
    <x:row r="631" ht="36" customHeight="1">
      <x:c r="A631" s="50" t="str">
        <x:f>IF(623&gt;$H$4,"",IF(INDEX('Fleet dates'!$A$9:$A$1008,$I631-8)="","",INDEX('Fleet dates'!$A$9:$A$1008,$I631-8)))</x:f>
      </x:c>
      <x:c r="B631" s="50" t="str">
        <x:f>IF(623&gt;$H$4,"",IF(INDEX('Fleet dates'!$B$9:$B$1008,$I631-8)="","",INDEX('Fleet dates'!$B$9:$B$1008,$I631-8)))</x:f>
      </x:c>
      <x:c r="C631" s="51" t="str">
        <x:f>IF(623&gt;$H$4,"",IF(INDEX('Fleet dates'!$C$9:$C$1008,$I631-8)="","",INDEX('Fleet dates'!$C$9:$C$1008,$I631-8)))</x:f>
      </x:c>
      <x:c r="D631" s="51" t="str">
        <x:f>IF(623&gt;$H$4,"",IF(INDEX('Fleet dates'!$D$9:$D$1008,$I631-8)="","",INDEX('Fleet dates'!$D$9:$D$1008,$I631-8)))</x:f>
      </x:c>
      <x:c r="E631" s="51" t="str">
        <x:f>IF(623&gt;$H$4,"",IF(INDEX('Fleet dates'!$E$9:$E$1008,$I631-8)="","",INDEX('Fleet dates'!$E$9:$E$1008,$I631-8)))</x:f>
      </x:c>
      <x:c r="F631" s="51" t="str">
        <x:f>IF(623&gt;$H$4,"",IF(INDEX('Fleet dates'!$F$9:$F$1008,$I631-8)="","",INDEX('Fleet dates'!$F$9:$F$1008,$I631-8)))</x:f>
      </x:c>
      <x:c r="G631" s="50" t="str">
        <x:f>IF(623&gt;$H$4,"",IF(INDEX('Fleet dates'!$G$9:$G$1008,$I631-8)="","",INDEX('Fleet dates'!$G$9:$G$1008,$I631-8)))</x:f>
      </x:c>
      <x:c r="H631" s="50" t="str">
        <x:f>IF(623&gt;$H$4,"",IF(INDEX('Fleet dates'!$I$9:$I$1008,$I631-8)="","",INDEX('Fleet dates'!$I$9:$I$1008,$I631-8)))</x:f>
      </x:c>
      <x:c r="I631" t="str">
        <x:f>IF(623&gt;$H$4,"",MATCH(623,'Fleet dates'!$L$9:$L$1008,0)+8)</x:f>
      </x:c>
    </x:row>
    <x:row r="632" ht="36" customHeight="1">
      <x:c r="A632" s="50" t="str">
        <x:f>IF(624&gt;$H$4,"",IF(INDEX('Fleet dates'!$A$9:$A$1008,$I632-8)="","",INDEX('Fleet dates'!$A$9:$A$1008,$I632-8)))</x:f>
      </x:c>
      <x:c r="B632" s="50" t="str">
        <x:f>IF(624&gt;$H$4,"",IF(INDEX('Fleet dates'!$B$9:$B$1008,$I632-8)="","",INDEX('Fleet dates'!$B$9:$B$1008,$I632-8)))</x:f>
      </x:c>
      <x:c r="C632" s="51" t="str">
        <x:f>IF(624&gt;$H$4,"",IF(INDEX('Fleet dates'!$C$9:$C$1008,$I632-8)="","",INDEX('Fleet dates'!$C$9:$C$1008,$I632-8)))</x:f>
      </x:c>
      <x:c r="D632" s="51" t="str">
        <x:f>IF(624&gt;$H$4,"",IF(INDEX('Fleet dates'!$D$9:$D$1008,$I632-8)="","",INDEX('Fleet dates'!$D$9:$D$1008,$I632-8)))</x:f>
      </x:c>
      <x:c r="E632" s="51" t="str">
        <x:f>IF(624&gt;$H$4,"",IF(INDEX('Fleet dates'!$E$9:$E$1008,$I632-8)="","",INDEX('Fleet dates'!$E$9:$E$1008,$I632-8)))</x:f>
      </x:c>
      <x:c r="F632" s="51" t="str">
        <x:f>IF(624&gt;$H$4,"",IF(INDEX('Fleet dates'!$F$9:$F$1008,$I632-8)="","",INDEX('Fleet dates'!$F$9:$F$1008,$I632-8)))</x:f>
      </x:c>
      <x:c r="G632" s="50" t="str">
        <x:f>IF(624&gt;$H$4,"",IF(INDEX('Fleet dates'!$G$9:$G$1008,$I632-8)="","",INDEX('Fleet dates'!$G$9:$G$1008,$I632-8)))</x:f>
      </x:c>
      <x:c r="H632" s="50" t="str">
        <x:f>IF(624&gt;$H$4,"",IF(INDEX('Fleet dates'!$I$9:$I$1008,$I632-8)="","",INDEX('Fleet dates'!$I$9:$I$1008,$I632-8)))</x:f>
      </x:c>
      <x:c r="I632" t="str">
        <x:f>IF(624&gt;$H$4,"",MATCH(624,'Fleet dates'!$L$9:$L$1008,0)+8)</x:f>
      </x:c>
    </x:row>
    <x:row r="633" ht="36" customHeight="1">
      <x:c r="A633" s="50" t="str">
        <x:f>IF(625&gt;$H$4,"",IF(INDEX('Fleet dates'!$A$9:$A$1008,$I633-8)="","",INDEX('Fleet dates'!$A$9:$A$1008,$I633-8)))</x:f>
      </x:c>
      <x:c r="B633" s="50" t="str">
        <x:f>IF(625&gt;$H$4,"",IF(INDEX('Fleet dates'!$B$9:$B$1008,$I633-8)="","",INDEX('Fleet dates'!$B$9:$B$1008,$I633-8)))</x:f>
      </x:c>
      <x:c r="C633" s="51" t="str">
        <x:f>IF(625&gt;$H$4,"",IF(INDEX('Fleet dates'!$C$9:$C$1008,$I633-8)="","",INDEX('Fleet dates'!$C$9:$C$1008,$I633-8)))</x:f>
      </x:c>
      <x:c r="D633" s="51" t="str">
        <x:f>IF(625&gt;$H$4,"",IF(INDEX('Fleet dates'!$D$9:$D$1008,$I633-8)="","",INDEX('Fleet dates'!$D$9:$D$1008,$I633-8)))</x:f>
      </x:c>
      <x:c r="E633" s="51" t="str">
        <x:f>IF(625&gt;$H$4,"",IF(INDEX('Fleet dates'!$E$9:$E$1008,$I633-8)="","",INDEX('Fleet dates'!$E$9:$E$1008,$I633-8)))</x:f>
      </x:c>
      <x:c r="F633" s="51" t="str">
        <x:f>IF(625&gt;$H$4,"",IF(INDEX('Fleet dates'!$F$9:$F$1008,$I633-8)="","",INDEX('Fleet dates'!$F$9:$F$1008,$I633-8)))</x:f>
      </x:c>
      <x:c r="G633" s="50" t="str">
        <x:f>IF(625&gt;$H$4,"",IF(INDEX('Fleet dates'!$G$9:$G$1008,$I633-8)="","",INDEX('Fleet dates'!$G$9:$G$1008,$I633-8)))</x:f>
      </x:c>
      <x:c r="H633" s="50" t="str">
        <x:f>IF(625&gt;$H$4,"",IF(INDEX('Fleet dates'!$I$9:$I$1008,$I633-8)="","",INDEX('Fleet dates'!$I$9:$I$1008,$I633-8)))</x:f>
      </x:c>
      <x:c r="I633" t="str">
        <x:f>IF(625&gt;$H$4,"",MATCH(625,'Fleet dates'!$L$9:$L$1008,0)+8)</x:f>
      </x:c>
    </x:row>
    <x:row r="634" ht="36" customHeight="1">
      <x:c r="A634" s="50" t="str">
        <x:f>IF(626&gt;$H$4,"",IF(INDEX('Fleet dates'!$A$9:$A$1008,$I634-8)="","",INDEX('Fleet dates'!$A$9:$A$1008,$I634-8)))</x:f>
      </x:c>
      <x:c r="B634" s="50" t="str">
        <x:f>IF(626&gt;$H$4,"",IF(INDEX('Fleet dates'!$B$9:$B$1008,$I634-8)="","",INDEX('Fleet dates'!$B$9:$B$1008,$I634-8)))</x:f>
      </x:c>
      <x:c r="C634" s="51" t="str">
        <x:f>IF(626&gt;$H$4,"",IF(INDEX('Fleet dates'!$C$9:$C$1008,$I634-8)="","",INDEX('Fleet dates'!$C$9:$C$1008,$I634-8)))</x:f>
      </x:c>
      <x:c r="D634" s="51" t="str">
        <x:f>IF(626&gt;$H$4,"",IF(INDEX('Fleet dates'!$D$9:$D$1008,$I634-8)="","",INDEX('Fleet dates'!$D$9:$D$1008,$I634-8)))</x:f>
      </x:c>
      <x:c r="E634" s="51" t="str">
        <x:f>IF(626&gt;$H$4,"",IF(INDEX('Fleet dates'!$E$9:$E$1008,$I634-8)="","",INDEX('Fleet dates'!$E$9:$E$1008,$I634-8)))</x:f>
      </x:c>
      <x:c r="F634" s="51" t="str">
        <x:f>IF(626&gt;$H$4,"",IF(INDEX('Fleet dates'!$F$9:$F$1008,$I634-8)="","",INDEX('Fleet dates'!$F$9:$F$1008,$I634-8)))</x:f>
      </x:c>
      <x:c r="G634" s="50" t="str">
        <x:f>IF(626&gt;$H$4,"",IF(INDEX('Fleet dates'!$G$9:$G$1008,$I634-8)="","",INDEX('Fleet dates'!$G$9:$G$1008,$I634-8)))</x:f>
      </x:c>
      <x:c r="H634" s="50" t="str">
        <x:f>IF(626&gt;$H$4,"",IF(INDEX('Fleet dates'!$I$9:$I$1008,$I634-8)="","",INDEX('Fleet dates'!$I$9:$I$1008,$I634-8)))</x:f>
      </x:c>
      <x:c r="I634" t="str">
        <x:f>IF(626&gt;$H$4,"",MATCH(626,'Fleet dates'!$L$9:$L$1008,0)+8)</x:f>
      </x:c>
    </x:row>
    <x:row r="635" ht="36" customHeight="1">
      <x:c r="A635" s="50" t="str">
        <x:f>IF(627&gt;$H$4,"",IF(INDEX('Fleet dates'!$A$9:$A$1008,$I635-8)="","",INDEX('Fleet dates'!$A$9:$A$1008,$I635-8)))</x:f>
      </x:c>
      <x:c r="B635" s="50" t="str">
        <x:f>IF(627&gt;$H$4,"",IF(INDEX('Fleet dates'!$B$9:$B$1008,$I635-8)="","",INDEX('Fleet dates'!$B$9:$B$1008,$I635-8)))</x:f>
      </x:c>
      <x:c r="C635" s="51" t="str">
        <x:f>IF(627&gt;$H$4,"",IF(INDEX('Fleet dates'!$C$9:$C$1008,$I635-8)="","",INDEX('Fleet dates'!$C$9:$C$1008,$I635-8)))</x:f>
      </x:c>
      <x:c r="D635" s="51" t="str">
        <x:f>IF(627&gt;$H$4,"",IF(INDEX('Fleet dates'!$D$9:$D$1008,$I635-8)="","",INDEX('Fleet dates'!$D$9:$D$1008,$I635-8)))</x:f>
      </x:c>
      <x:c r="E635" s="51" t="str">
        <x:f>IF(627&gt;$H$4,"",IF(INDEX('Fleet dates'!$E$9:$E$1008,$I635-8)="","",INDEX('Fleet dates'!$E$9:$E$1008,$I635-8)))</x:f>
      </x:c>
      <x:c r="F635" s="51" t="str">
        <x:f>IF(627&gt;$H$4,"",IF(INDEX('Fleet dates'!$F$9:$F$1008,$I635-8)="","",INDEX('Fleet dates'!$F$9:$F$1008,$I635-8)))</x:f>
      </x:c>
      <x:c r="G635" s="50" t="str">
        <x:f>IF(627&gt;$H$4,"",IF(INDEX('Fleet dates'!$G$9:$G$1008,$I635-8)="","",INDEX('Fleet dates'!$G$9:$G$1008,$I635-8)))</x:f>
      </x:c>
      <x:c r="H635" s="50" t="str">
        <x:f>IF(627&gt;$H$4,"",IF(INDEX('Fleet dates'!$I$9:$I$1008,$I635-8)="","",INDEX('Fleet dates'!$I$9:$I$1008,$I635-8)))</x:f>
      </x:c>
      <x:c r="I635" t="str">
        <x:f>IF(627&gt;$H$4,"",MATCH(627,'Fleet dates'!$L$9:$L$1008,0)+8)</x:f>
      </x:c>
    </x:row>
    <x:row r="636" ht="36" customHeight="1">
      <x:c r="A636" s="50" t="str">
        <x:f>IF(628&gt;$H$4,"",IF(INDEX('Fleet dates'!$A$9:$A$1008,$I636-8)="","",INDEX('Fleet dates'!$A$9:$A$1008,$I636-8)))</x:f>
      </x:c>
      <x:c r="B636" s="50" t="str">
        <x:f>IF(628&gt;$H$4,"",IF(INDEX('Fleet dates'!$B$9:$B$1008,$I636-8)="","",INDEX('Fleet dates'!$B$9:$B$1008,$I636-8)))</x:f>
      </x:c>
      <x:c r="C636" s="51" t="str">
        <x:f>IF(628&gt;$H$4,"",IF(INDEX('Fleet dates'!$C$9:$C$1008,$I636-8)="","",INDEX('Fleet dates'!$C$9:$C$1008,$I636-8)))</x:f>
      </x:c>
      <x:c r="D636" s="51" t="str">
        <x:f>IF(628&gt;$H$4,"",IF(INDEX('Fleet dates'!$D$9:$D$1008,$I636-8)="","",INDEX('Fleet dates'!$D$9:$D$1008,$I636-8)))</x:f>
      </x:c>
      <x:c r="E636" s="51" t="str">
        <x:f>IF(628&gt;$H$4,"",IF(INDEX('Fleet dates'!$E$9:$E$1008,$I636-8)="","",INDEX('Fleet dates'!$E$9:$E$1008,$I636-8)))</x:f>
      </x:c>
      <x:c r="F636" s="51" t="str">
        <x:f>IF(628&gt;$H$4,"",IF(INDEX('Fleet dates'!$F$9:$F$1008,$I636-8)="","",INDEX('Fleet dates'!$F$9:$F$1008,$I636-8)))</x:f>
      </x:c>
      <x:c r="G636" s="50" t="str">
        <x:f>IF(628&gt;$H$4,"",IF(INDEX('Fleet dates'!$G$9:$G$1008,$I636-8)="","",INDEX('Fleet dates'!$G$9:$G$1008,$I636-8)))</x:f>
      </x:c>
      <x:c r="H636" s="50" t="str">
        <x:f>IF(628&gt;$H$4,"",IF(INDEX('Fleet dates'!$I$9:$I$1008,$I636-8)="","",INDEX('Fleet dates'!$I$9:$I$1008,$I636-8)))</x:f>
      </x:c>
      <x:c r="I636" t="str">
        <x:f>IF(628&gt;$H$4,"",MATCH(628,'Fleet dates'!$L$9:$L$1008,0)+8)</x:f>
      </x:c>
    </x:row>
    <x:row r="637" ht="36" customHeight="1">
      <x:c r="A637" s="50" t="str">
        <x:f>IF(629&gt;$H$4,"",IF(INDEX('Fleet dates'!$A$9:$A$1008,$I637-8)="","",INDEX('Fleet dates'!$A$9:$A$1008,$I637-8)))</x:f>
      </x:c>
      <x:c r="B637" s="50" t="str">
        <x:f>IF(629&gt;$H$4,"",IF(INDEX('Fleet dates'!$B$9:$B$1008,$I637-8)="","",INDEX('Fleet dates'!$B$9:$B$1008,$I637-8)))</x:f>
      </x:c>
      <x:c r="C637" s="51" t="str">
        <x:f>IF(629&gt;$H$4,"",IF(INDEX('Fleet dates'!$C$9:$C$1008,$I637-8)="","",INDEX('Fleet dates'!$C$9:$C$1008,$I637-8)))</x:f>
      </x:c>
      <x:c r="D637" s="51" t="str">
        <x:f>IF(629&gt;$H$4,"",IF(INDEX('Fleet dates'!$D$9:$D$1008,$I637-8)="","",INDEX('Fleet dates'!$D$9:$D$1008,$I637-8)))</x:f>
      </x:c>
      <x:c r="E637" s="51" t="str">
        <x:f>IF(629&gt;$H$4,"",IF(INDEX('Fleet dates'!$E$9:$E$1008,$I637-8)="","",INDEX('Fleet dates'!$E$9:$E$1008,$I637-8)))</x:f>
      </x:c>
      <x:c r="F637" s="51" t="str">
        <x:f>IF(629&gt;$H$4,"",IF(INDEX('Fleet dates'!$F$9:$F$1008,$I637-8)="","",INDEX('Fleet dates'!$F$9:$F$1008,$I637-8)))</x:f>
      </x:c>
      <x:c r="G637" s="50" t="str">
        <x:f>IF(629&gt;$H$4,"",IF(INDEX('Fleet dates'!$G$9:$G$1008,$I637-8)="","",INDEX('Fleet dates'!$G$9:$G$1008,$I637-8)))</x:f>
      </x:c>
      <x:c r="H637" s="50" t="str">
        <x:f>IF(629&gt;$H$4,"",IF(INDEX('Fleet dates'!$I$9:$I$1008,$I637-8)="","",INDEX('Fleet dates'!$I$9:$I$1008,$I637-8)))</x:f>
      </x:c>
      <x:c r="I637" t="str">
        <x:f>IF(629&gt;$H$4,"",MATCH(629,'Fleet dates'!$L$9:$L$1008,0)+8)</x:f>
      </x:c>
    </x:row>
    <x:row r="638" ht="36" customHeight="1">
      <x:c r="A638" s="50" t="str">
        <x:f>IF(630&gt;$H$4,"",IF(INDEX('Fleet dates'!$A$9:$A$1008,$I638-8)="","",INDEX('Fleet dates'!$A$9:$A$1008,$I638-8)))</x:f>
      </x:c>
      <x:c r="B638" s="50" t="str">
        <x:f>IF(630&gt;$H$4,"",IF(INDEX('Fleet dates'!$B$9:$B$1008,$I638-8)="","",INDEX('Fleet dates'!$B$9:$B$1008,$I638-8)))</x:f>
      </x:c>
      <x:c r="C638" s="51" t="str">
        <x:f>IF(630&gt;$H$4,"",IF(INDEX('Fleet dates'!$C$9:$C$1008,$I638-8)="","",INDEX('Fleet dates'!$C$9:$C$1008,$I638-8)))</x:f>
      </x:c>
      <x:c r="D638" s="51" t="str">
        <x:f>IF(630&gt;$H$4,"",IF(INDEX('Fleet dates'!$D$9:$D$1008,$I638-8)="","",INDEX('Fleet dates'!$D$9:$D$1008,$I638-8)))</x:f>
      </x:c>
      <x:c r="E638" s="51" t="str">
        <x:f>IF(630&gt;$H$4,"",IF(INDEX('Fleet dates'!$E$9:$E$1008,$I638-8)="","",INDEX('Fleet dates'!$E$9:$E$1008,$I638-8)))</x:f>
      </x:c>
      <x:c r="F638" s="51" t="str">
        <x:f>IF(630&gt;$H$4,"",IF(INDEX('Fleet dates'!$F$9:$F$1008,$I638-8)="","",INDEX('Fleet dates'!$F$9:$F$1008,$I638-8)))</x:f>
      </x:c>
      <x:c r="G638" s="50" t="str">
        <x:f>IF(630&gt;$H$4,"",IF(INDEX('Fleet dates'!$G$9:$G$1008,$I638-8)="","",INDEX('Fleet dates'!$G$9:$G$1008,$I638-8)))</x:f>
      </x:c>
      <x:c r="H638" s="50" t="str">
        <x:f>IF(630&gt;$H$4,"",IF(INDEX('Fleet dates'!$I$9:$I$1008,$I638-8)="","",INDEX('Fleet dates'!$I$9:$I$1008,$I638-8)))</x:f>
      </x:c>
      <x:c r="I638" t="str">
        <x:f>IF(630&gt;$H$4,"",MATCH(630,'Fleet dates'!$L$9:$L$1008,0)+8)</x:f>
      </x:c>
    </x:row>
    <x:row r="639" ht="36" customHeight="1">
      <x:c r="A639" s="50" t="str">
        <x:f>IF(631&gt;$H$4,"",IF(INDEX('Fleet dates'!$A$9:$A$1008,$I639-8)="","",INDEX('Fleet dates'!$A$9:$A$1008,$I639-8)))</x:f>
      </x:c>
      <x:c r="B639" s="50" t="str">
        <x:f>IF(631&gt;$H$4,"",IF(INDEX('Fleet dates'!$B$9:$B$1008,$I639-8)="","",INDEX('Fleet dates'!$B$9:$B$1008,$I639-8)))</x:f>
      </x:c>
      <x:c r="C639" s="51" t="str">
        <x:f>IF(631&gt;$H$4,"",IF(INDEX('Fleet dates'!$C$9:$C$1008,$I639-8)="","",INDEX('Fleet dates'!$C$9:$C$1008,$I639-8)))</x:f>
      </x:c>
      <x:c r="D639" s="51" t="str">
        <x:f>IF(631&gt;$H$4,"",IF(INDEX('Fleet dates'!$D$9:$D$1008,$I639-8)="","",INDEX('Fleet dates'!$D$9:$D$1008,$I639-8)))</x:f>
      </x:c>
      <x:c r="E639" s="51" t="str">
        <x:f>IF(631&gt;$H$4,"",IF(INDEX('Fleet dates'!$E$9:$E$1008,$I639-8)="","",INDEX('Fleet dates'!$E$9:$E$1008,$I639-8)))</x:f>
      </x:c>
      <x:c r="F639" s="51" t="str">
        <x:f>IF(631&gt;$H$4,"",IF(INDEX('Fleet dates'!$F$9:$F$1008,$I639-8)="","",INDEX('Fleet dates'!$F$9:$F$1008,$I639-8)))</x:f>
      </x:c>
      <x:c r="G639" s="50" t="str">
        <x:f>IF(631&gt;$H$4,"",IF(INDEX('Fleet dates'!$G$9:$G$1008,$I639-8)="","",INDEX('Fleet dates'!$G$9:$G$1008,$I639-8)))</x:f>
      </x:c>
      <x:c r="H639" s="50" t="str">
        <x:f>IF(631&gt;$H$4,"",IF(INDEX('Fleet dates'!$I$9:$I$1008,$I639-8)="","",INDEX('Fleet dates'!$I$9:$I$1008,$I639-8)))</x:f>
      </x:c>
      <x:c r="I639" t="str">
        <x:f>IF(631&gt;$H$4,"",MATCH(631,'Fleet dates'!$L$9:$L$1008,0)+8)</x:f>
      </x:c>
    </x:row>
    <x:row r="640" ht="36" customHeight="1">
      <x:c r="A640" s="50" t="str">
        <x:f>IF(632&gt;$H$4,"",IF(INDEX('Fleet dates'!$A$9:$A$1008,$I640-8)="","",INDEX('Fleet dates'!$A$9:$A$1008,$I640-8)))</x:f>
      </x:c>
      <x:c r="B640" s="50" t="str">
        <x:f>IF(632&gt;$H$4,"",IF(INDEX('Fleet dates'!$B$9:$B$1008,$I640-8)="","",INDEX('Fleet dates'!$B$9:$B$1008,$I640-8)))</x:f>
      </x:c>
      <x:c r="C640" s="51" t="str">
        <x:f>IF(632&gt;$H$4,"",IF(INDEX('Fleet dates'!$C$9:$C$1008,$I640-8)="","",INDEX('Fleet dates'!$C$9:$C$1008,$I640-8)))</x:f>
      </x:c>
      <x:c r="D640" s="51" t="str">
        <x:f>IF(632&gt;$H$4,"",IF(INDEX('Fleet dates'!$D$9:$D$1008,$I640-8)="","",INDEX('Fleet dates'!$D$9:$D$1008,$I640-8)))</x:f>
      </x:c>
      <x:c r="E640" s="51" t="str">
        <x:f>IF(632&gt;$H$4,"",IF(INDEX('Fleet dates'!$E$9:$E$1008,$I640-8)="","",INDEX('Fleet dates'!$E$9:$E$1008,$I640-8)))</x:f>
      </x:c>
      <x:c r="F640" s="51" t="str">
        <x:f>IF(632&gt;$H$4,"",IF(INDEX('Fleet dates'!$F$9:$F$1008,$I640-8)="","",INDEX('Fleet dates'!$F$9:$F$1008,$I640-8)))</x:f>
      </x:c>
      <x:c r="G640" s="50" t="str">
        <x:f>IF(632&gt;$H$4,"",IF(INDEX('Fleet dates'!$G$9:$G$1008,$I640-8)="","",INDEX('Fleet dates'!$G$9:$G$1008,$I640-8)))</x:f>
      </x:c>
      <x:c r="H640" s="50" t="str">
        <x:f>IF(632&gt;$H$4,"",IF(INDEX('Fleet dates'!$I$9:$I$1008,$I640-8)="","",INDEX('Fleet dates'!$I$9:$I$1008,$I640-8)))</x:f>
      </x:c>
      <x:c r="I640" t="str">
        <x:f>IF(632&gt;$H$4,"",MATCH(632,'Fleet dates'!$L$9:$L$1008,0)+8)</x:f>
      </x:c>
    </x:row>
    <x:row r="641" ht="36" customHeight="1">
      <x:c r="A641" s="50" t="str">
        <x:f>IF(633&gt;$H$4,"",IF(INDEX('Fleet dates'!$A$9:$A$1008,$I641-8)="","",INDEX('Fleet dates'!$A$9:$A$1008,$I641-8)))</x:f>
      </x:c>
      <x:c r="B641" s="50" t="str">
        <x:f>IF(633&gt;$H$4,"",IF(INDEX('Fleet dates'!$B$9:$B$1008,$I641-8)="","",INDEX('Fleet dates'!$B$9:$B$1008,$I641-8)))</x:f>
      </x:c>
      <x:c r="C641" s="51" t="str">
        <x:f>IF(633&gt;$H$4,"",IF(INDEX('Fleet dates'!$C$9:$C$1008,$I641-8)="","",INDEX('Fleet dates'!$C$9:$C$1008,$I641-8)))</x:f>
      </x:c>
      <x:c r="D641" s="51" t="str">
        <x:f>IF(633&gt;$H$4,"",IF(INDEX('Fleet dates'!$D$9:$D$1008,$I641-8)="","",INDEX('Fleet dates'!$D$9:$D$1008,$I641-8)))</x:f>
      </x:c>
      <x:c r="E641" s="51" t="str">
        <x:f>IF(633&gt;$H$4,"",IF(INDEX('Fleet dates'!$E$9:$E$1008,$I641-8)="","",INDEX('Fleet dates'!$E$9:$E$1008,$I641-8)))</x:f>
      </x:c>
      <x:c r="F641" s="51" t="str">
        <x:f>IF(633&gt;$H$4,"",IF(INDEX('Fleet dates'!$F$9:$F$1008,$I641-8)="","",INDEX('Fleet dates'!$F$9:$F$1008,$I641-8)))</x:f>
      </x:c>
      <x:c r="G641" s="50" t="str">
        <x:f>IF(633&gt;$H$4,"",IF(INDEX('Fleet dates'!$G$9:$G$1008,$I641-8)="","",INDEX('Fleet dates'!$G$9:$G$1008,$I641-8)))</x:f>
      </x:c>
      <x:c r="H641" s="50" t="str">
        <x:f>IF(633&gt;$H$4,"",IF(INDEX('Fleet dates'!$I$9:$I$1008,$I641-8)="","",INDEX('Fleet dates'!$I$9:$I$1008,$I641-8)))</x:f>
      </x:c>
      <x:c r="I641" t="str">
        <x:f>IF(633&gt;$H$4,"",MATCH(633,'Fleet dates'!$L$9:$L$1008,0)+8)</x:f>
      </x:c>
    </x:row>
    <x:row r="642" ht="36" customHeight="1">
      <x:c r="A642" s="50" t="str">
        <x:f>IF(634&gt;$H$4,"",IF(INDEX('Fleet dates'!$A$9:$A$1008,$I642-8)="","",INDEX('Fleet dates'!$A$9:$A$1008,$I642-8)))</x:f>
      </x:c>
      <x:c r="B642" s="50" t="str">
        <x:f>IF(634&gt;$H$4,"",IF(INDEX('Fleet dates'!$B$9:$B$1008,$I642-8)="","",INDEX('Fleet dates'!$B$9:$B$1008,$I642-8)))</x:f>
      </x:c>
      <x:c r="C642" s="51" t="str">
        <x:f>IF(634&gt;$H$4,"",IF(INDEX('Fleet dates'!$C$9:$C$1008,$I642-8)="","",INDEX('Fleet dates'!$C$9:$C$1008,$I642-8)))</x:f>
      </x:c>
      <x:c r="D642" s="51" t="str">
        <x:f>IF(634&gt;$H$4,"",IF(INDEX('Fleet dates'!$D$9:$D$1008,$I642-8)="","",INDEX('Fleet dates'!$D$9:$D$1008,$I642-8)))</x:f>
      </x:c>
      <x:c r="E642" s="51" t="str">
        <x:f>IF(634&gt;$H$4,"",IF(INDEX('Fleet dates'!$E$9:$E$1008,$I642-8)="","",INDEX('Fleet dates'!$E$9:$E$1008,$I642-8)))</x:f>
      </x:c>
      <x:c r="F642" s="51" t="str">
        <x:f>IF(634&gt;$H$4,"",IF(INDEX('Fleet dates'!$F$9:$F$1008,$I642-8)="","",INDEX('Fleet dates'!$F$9:$F$1008,$I642-8)))</x:f>
      </x:c>
      <x:c r="G642" s="50" t="str">
        <x:f>IF(634&gt;$H$4,"",IF(INDEX('Fleet dates'!$G$9:$G$1008,$I642-8)="","",INDEX('Fleet dates'!$G$9:$G$1008,$I642-8)))</x:f>
      </x:c>
      <x:c r="H642" s="50" t="str">
        <x:f>IF(634&gt;$H$4,"",IF(INDEX('Fleet dates'!$I$9:$I$1008,$I642-8)="","",INDEX('Fleet dates'!$I$9:$I$1008,$I642-8)))</x:f>
      </x:c>
      <x:c r="I642" t="str">
        <x:f>IF(634&gt;$H$4,"",MATCH(634,'Fleet dates'!$L$9:$L$1008,0)+8)</x:f>
      </x:c>
    </x:row>
    <x:row r="643" ht="36" customHeight="1">
      <x:c r="A643" s="50" t="str">
        <x:f>IF(635&gt;$H$4,"",IF(INDEX('Fleet dates'!$A$9:$A$1008,$I643-8)="","",INDEX('Fleet dates'!$A$9:$A$1008,$I643-8)))</x:f>
      </x:c>
      <x:c r="B643" s="50" t="str">
        <x:f>IF(635&gt;$H$4,"",IF(INDEX('Fleet dates'!$B$9:$B$1008,$I643-8)="","",INDEX('Fleet dates'!$B$9:$B$1008,$I643-8)))</x:f>
      </x:c>
      <x:c r="C643" s="51" t="str">
        <x:f>IF(635&gt;$H$4,"",IF(INDEX('Fleet dates'!$C$9:$C$1008,$I643-8)="","",INDEX('Fleet dates'!$C$9:$C$1008,$I643-8)))</x:f>
      </x:c>
      <x:c r="D643" s="51" t="str">
        <x:f>IF(635&gt;$H$4,"",IF(INDEX('Fleet dates'!$D$9:$D$1008,$I643-8)="","",INDEX('Fleet dates'!$D$9:$D$1008,$I643-8)))</x:f>
      </x:c>
      <x:c r="E643" s="51" t="str">
        <x:f>IF(635&gt;$H$4,"",IF(INDEX('Fleet dates'!$E$9:$E$1008,$I643-8)="","",INDEX('Fleet dates'!$E$9:$E$1008,$I643-8)))</x:f>
      </x:c>
      <x:c r="F643" s="51" t="str">
        <x:f>IF(635&gt;$H$4,"",IF(INDEX('Fleet dates'!$F$9:$F$1008,$I643-8)="","",INDEX('Fleet dates'!$F$9:$F$1008,$I643-8)))</x:f>
      </x:c>
      <x:c r="G643" s="50" t="str">
        <x:f>IF(635&gt;$H$4,"",IF(INDEX('Fleet dates'!$G$9:$G$1008,$I643-8)="","",INDEX('Fleet dates'!$G$9:$G$1008,$I643-8)))</x:f>
      </x:c>
      <x:c r="H643" s="50" t="str">
        <x:f>IF(635&gt;$H$4,"",IF(INDEX('Fleet dates'!$I$9:$I$1008,$I643-8)="","",INDEX('Fleet dates'!$I$9:$I$1008,$I643-8)))</x:f>
      </x:c>
      <x:c r="I643" t="str">
        <x:f>IF(635&gt;$H$4,"",MATCH(635,'Fleet dates'!$L$9:$L$1008,0)+8)</x:f>
      </x:c>
    </x:row>
    <x:row r="644" ht="36" customHeight="1">
      <x:c r="A644" s="50" t="str">
        <x:f>IF(636&gt;$H$4,"",IF(INDEX('Fleet dates'!$A$9:$A$1008,$I644-8)="","",INDEX('Fleet dates'!$A$9:$A$1008,$I644-8)))</x:f>
      </x:c>
      <x:c r="B644" s="50" t="str">
        <x:f>IF(636&gt;$H$4,"",IF(INDEX('Fleet dates'!$B$9:$B$1008,$I644-8)="","",INDEX('Fleet dates'!$B$9:$B$1008,$I644-8)))</x:f>
      </x:c>
      <x:c r="C644" s="51" t="str">
        <x:f>IF(636&gt;$H$4,"",IF(INDEX('Fleet dates'!$C$9:$C$1008,$I644-8)="","",INDEX('Fleet dates'!$C$9:$C$1008,$I644-8)))</x:f>
      </x:c>
      <x:c r="D644" s="51" t="str">
        <x:f>IF(636&gt;$H$4,"",IF(INDEX('Fleet dates'!$D$9:$D$1008,$I644-8)="","",INDEX('Fleet dates'!$D$9:$D$1008,$I644-8)))</x:f>
      </x:c>
      <x:c r="E644" s="51" t="str">
        <x:f>IF(636&gt;$H$4,"",IF(INDEX('Fleet dates'!$E$9:$E$1008,$I644-8)="","",INDEX('Fleet dates'!$E$9:$E$1008,$I644-8)))</x:f>
      </x:c>
      <x:c r="F644" s="51" t="str">
        <x:f>IF(636&gt;$H$4,"",IF(INDEX('Fleet dates'!$F$9:$F$1008,$I644-8)="","",INDEX('Fleet dates'!$F$9:$F$1008,$I644-8)))</x:f>
      </x:c>
      <x:c r="G644" s="50" t="str">
        <x:f>IF(636&gt;$H$4,"",IF(INDEX('Fleet dates'!$G$9:$G$1008,$I644-8)="","",INDEX('Fleet dates'!$G$9:$G$1008,$I644-8)))</x:f>
      </x:c>
      <x:c r="H644" s="50" t="str">
        <x:f>IF(636&gt;$H$4,"",IF(INDEX('Fleet dates'!$I$9:$I$1008,$I644-8)="","",INDEX('Fleet dates'!$I$9:$I$1008,$I644-8)))</x:f>
      </x:c>
      <x:c r="I644" t="str">
        <x:f>IF(636&gt;$H$4,"",MATCH(636,'Fleet dates'!$L$9:$L$1008,0)+8)</x:f>
      </x:c>
    </x:row>
    <x:row r="645" ht="36" customHeight="1">
      <x:c r="A645" s="50" t="str">
        <x:f>IF(637&gt;$H$4,"",IF(INDEX('Fleet dates'!$A$9:$A$1008,$I645-8)="","",INDEX('Fleet dates'!$A$9:$A$1008,$I645-8)))</x:f>
      </x:c>
      <x:c r="B645" s="50" t="str">
        <x:f>IF(637&gt;$H$4,"",IF(INDEX('Fleet dates'!$B$9:$B$1008,$I645-8)="","",INDEX('Fleet dates'!$B$9:$B$1008,$I645-8)))</x:f>
      </x:c>
      <x:c r="C645" s="51" t="str">
        <x:f>IF(637&gt;$H$4,"",IF(INDEX('Fleet dates'!$C$9:$C$1008,$I645-8)="","",INDEX('Fleet dates'!$C$9:$C$1008,$I645-8)))</x:f>
      </x:c>
      <x:c r="D645" s="51" t="str">
        <x:f>IF(637&gt;$H$4,"",IF(INDEX('Fleet dates'!$D$9:$D$1008,$I645-8)="","",INDEX('Fleet dates'!$D$9:$D$1008,$I645-8)))</x:f>
      </x:c>
      <x:c r="E645" s="51" t="str">
        <x:f>IF(637&gt;$H$4,"",IF(INDEX('Fleet dates'!$E$9:$E$1008,$I645-8)="","",INDEX('Fleet dates'!$E$9:$E$1008,$I645-8)))</x:f>
      </x:c>
      <x:c r="F645" s="51" t="str">
        <x:f>IF(637&gt;$H$4,"",IF(INDEX('Fleet dates'!$F$9:$F$1008,$I645-8)="","",INDEX('Fleet dates'!$F$9:$F$1008,$I645-8)))</x:f>
      </x:c>
      <x:c r="G645" s="50" t="str">
        <x:f>IF(637&gt;$H$4,"",IF(INDEX('Fleet dates'!$G$9:$G$1008,$I645-8)="","",INDEX('Fleet dates'!$G$9:$G$1008,$I645-8)))</x:f>
      </x:c>
      <x:c r="H645" s="50" t="str">
        <x:f>IF(637&gt;$H$4,"",IF(INDEX('Fleet dates'!$I$9:$I$1008,$I645-8)="","",INDEX('Fleet dates'!$I$9:$I$1008,$I645-8)))</x:f>
      </x:c>
      <x:c r="I645" t="str">
        <x:f>IF(637&gt;$H$4,"",MATCH(637,'Fleet dates'!$L$9:$L$1008,0)+8)</x:f>
      </x:c>
    </x:row>
    <x:row r="646" ht="36" customHeight="1">
      <x:c r="A646" s="50" t="str">
        <x:f>IF(638&gt;$H$4,"",IF(INDEX('Fleet dates'!$A$9:$A$1008,$I646-8)="","",INDEX('Fleet dates'!$A$9:$A$1008,$I646-8)))</x:f>
      </x:c>
      <x:c r="B646" s="50" t="str">
        <x:f>IF(638&gt;$H$4,"",IF(INDEX('Fleet dates'!$B$9:$B$1008,$I646-8)="","",INDEX('Fleet dates'!$B$9:$B$1008,$I646-8)))</x:f>
      </x:c>
      <x:c r="C646" s="51" t="str">
        <x:f>IF(638&gt;$H$4,"",IF(INDEX('Fleet dates'!$C$9:$C$1008,$I646-8)="","",INDEX('Fleet dates'!$C$9:$C$1008,$I646-8)))</x:f>
      </x:c>
      <x:c r="D646" s="51" t="str">
        <x:f>IF(638&gt;$H$4,"",IF(INDEX('Fleet dates'!$D$9:$D$1008,$I646-8)="","",INDEX('Fleet dates'!$D$9:$D$1008,$I646-8)))</x:f>
      </x:c>
      <x:c r="E646" s="51" t="str">
        <x:f>IF(638&gt;$H$4,"",IF(INDEX('Fleet dates'!$E$9:$E$1008,$I646-8)="","",INDEX('Fleet dates'!$E$9:$E$1008,$I646-8)))</x:f>
      </x:c>
      <x:c r="F646" s="51" t="str">
        <x:f>IF(638&gt;$H$4,"",IF(INDEX('Fleet dates'!$F$9:$F$1008,$I646-8)="","",INDEX('Fleet dates'!$F$9:$F$1008,$I646-8)))</x:f>
      </x:c>
      <x:c r="G646" s="50" t="str">
        <x:f>IF(638&gt;$H$4,"",IF(INDEX('Fleet dates'!$G$9:$G$1008,$I646-8)="","",INDEX('Fleet dates'!$G$9:$G$1008,$I646-8)))</x:f>
      </x:c>
      <x:c r="H646" s="50" t="str">
        <x:f>IF(638&gt;$H$4,"",IF(INDEX('Fleet dates'!$I$9:$I$1008,$I646-8)="","",INDEX('Fleet dates'!$I$9:$I$1008,$I646-8)))</x:f>
      </x:c>
      <x:c r="I646" t="str">
        <x:f>IF(638&gt;$H$4,"",MATCH(638,'Fleet dates'!$L$9:$L$1008,0)+8)</x:f>
      </x:c>
    </x:row>
    <x:row r="647" ht="36" customHeight="1">
      <x:c r="A647" s="50" t="str">
        <x:f>IF(639&gt;$H$4,"",IF(INDEX('Fleet dates'!$A$9:$A$1008,$I647-8)="","",INDEX('Fleet dates'!$A$9:$A$1008,$I647-8)))</x:f>
      </x:c>
      <x:c r="B647" s="50" t="str">
        <x:f>IF(639&gt;$H$4,"",IF(INDEX('Fleet dates'!$B$9:$B$1008,$I647-8)="","",INDEX('Fleet dates'!$B$9:$B$1008,$I647-8)))</x:f>
      </x:c>
      <x:c r="C647" s="51" t="str">
        <x:f>IF(639&gt;$H$4,"",IF(INDEX('Fleet dates'!$C$9:$C$1008,$I647-8)="","",INDEX('Fleet dates'!$C$9:$C$1008,$I647-8)))</x:f>
      </x:c>
      <x:c r="D647" s="51" t="str">
        <x:f>IF(639&gt;$H$4,"",IF(INDEX('Fleet dates'!$D$9:$D$1008,$I647-8)="","",INDEX('Fleet dates'!$D$9:$D$1008,$I647-8)))</x:f>
      </x:c>
      <x:c r="E647" s="51" t="str">
        <x:f>IF(639&gt;$H$4,"",IF(INDEX('Fleet dates'!$E$9:$E$1008,$I647-8)="","",INDEX('Fleet dates'!$E$9:$E$1008,$I647-8)))</x:f>
      </x:c>
      <x:c r="F647" s="51" t="str">
        <x:f>IF(639&gt;$H$4,"",IF(INDEX('Fleet dates'!$F$9:$F$1008,$I647-8)="","",INDEX('Fleet dates'!$F$9:$F$1008,$I647-8)))</x:f>
      </x:c>
      <x:c r="G647" s="50" t="str">
        <x:f>IF(639&gt;$H$4,"",IF(INDEX('Fleet dates'!$G$9:$G$1008,$I647-8)="","",INDEX('Fleet dates'!$G$9:$G$1008,$I647-8)))</x:f>
      </x:c>
      <x:c r="H647" s="50" t="str">
        <x:f>IF(639&gt;$H$4,"",IF(INDEX('Fleet dates'!$I$9:$I$1008,$I647-8)="","",INDEX('Fleet dates'!$I$9:$I$1008,$I647-8)))</x:f>
      </x:c>
      <x:c r="I647" t="str">
        <x:f>IF(639&gt;$H$4,"",MATCH(639,'Fleet dates'!$L$9:$L$1008,0)+8)</x:f>
      </x:c>
    </x:row>
    <x:row r="648" ht="36" customHeight="1">
      <x:c r="A648" s="50" t="str">
        <x:f>IF(640&gt;$H$4,"",IF(INDEX('Fleet dates'!$A$9:$A$1008,$I648-8)="","",INDEX('Fleet dates'!$A$9:$A$1008,$I648-8)))</x:f>
      </x:c>
      <x:c r="B648" s="50" t="str">
        <x:f>IF(640&gt;$H$4,"",IF(INDEX('Fleet dates'!$B$9:$B$1008,$I648-8)="","",INDEX('Fleet dates'!$B$9:$B$1008,$I648-8)))</x:f>
      </x:c>
      <x:c r="C648" s="51" t="str">
        <x:f>IF(640&gt;$H$4,"",IF(INDEX('Fleet dates'!$C$9:$C$1008,$I648-8)="","",INDEX('Fleet dates'!$C$9:$C$1008,$I648-8)))</x:f>
      </x:c>
      <x:c r="D648" s="51" t="str">
        <x:f>IF(640&gt;$H$4,"",IF(INDEX('Fleet dates'!$D$9:$D$1008,$I648-8)="","",INDEX('Fleet dates'!$D$9:$D$1008,$I648-8)))</x:f>
      </x:c>
      <x:c r="E648" s="51" t="str">
        <x:f>IF(640&gt;$H$4,"",IF(INDEX('Fleet dates'!$E$9:$E$1008,$I648-8)="","",INDEX('Fleet dates'!$E$9:$E$1008,$I648-8)))</x:f>
      </x:c>
      <x:c r="F648" s="51" t="str">
        <x:f>IF(640&gt;$H$4,"",IF(INDEX('Fleet dates'!$F$9:$F$1008,$I648-8)="","",INDEX('Fleet dates'!$F$9:$F$1008,$I648-8)))</x:f>
      </x:c>
      <x:c r="G648" s="50" t="str">
        <x:f>IF(640&gt;$H$4,"",IF(INDEX('Fleet dates'!$G$9:$G$1008,$I648-8)="","",INDEX('Fleet dates'!$G$9:$G$1008,$I648-8)))</x:f>
      </x:c>
      <x:c r="H648" s="50" t="str">
        <x:f>IF(640&gt;$H$4,"",IF(INDEX('Fleet dates'!$I$9:$I$1008,$I648-8)="","",INDEX('Fleet dates'!$I$9:$I$1008,$I648-8)))</x:f>
      </x:c>
      <x:c r="I648" t="str">
        <x:f>IF(640&gt;$H$4,"",MATCH(640,'Fleet dates'!$L$9:$L$1008,0)+8)</x:f>
      </x:c>
    </x:row>
    <x:row r="649" ht="36" customHeight="1">
      <x:c r="A649" s="50" t="str">
        <x:f>IF(641&gt;$H$4,"",IF(INDEX('Fleet dates'!$A$9:$A$1008,$I649-8)="","",INDEX('Fleet dates'!$A$9:$A$1008,$I649-8)))</x:f>
      </x:c>
      <x:c r="B649" s="50" t="str">
        <x:f>IF(641&gt;$H$4,"",IF(INDEX('Fleet dates'!$B$9:$B$1008,$I649-8)="","",INDEX('Fleet dates'!$B$9:$B$1008,$I649-8)))</x:f>
      </x:c>
      <x:c r="C649" s="51" t="str">
        <x:f>IF(641&gt;$H$4,"",IF(INDEX('Fleet dates'!$C$9:$C$1008,$I649-8)="","",INDEX('Fleet dates'!$C$9:$C$1008,$I649-8)))</x:f>
      </x:c>
      <x:c r="D649" s="51" t="str">
        <x:f>IF(641&gt;$H$4,"",IF(INDEX('Fleet dates'!$D$9:$D$1008,$I649-8)="","",INDEX('Fleet dates'!$D$9:$D$1008,$I649-8)))</x:f>
      </x:c>
      <x:c r="E649" s="51" t="str">
        <x:f>IF(641&gt;$H$4,"",IF(INDEX('Fleet dates'!$E$9:$E$1008,$I649-8)="","",INDEX('Fleet dates'!$E$9:$E$1008,$I649-8)))</x:f>
      </x:c>
      <x:c r="F649" s="51" t="str">
        <x:f>IF(641&gt;$H$4,"",IF(INDEX('Fleet dates'!$F$9:$F$1008,$I649-8)="","",INDEX('Fleet dates'!$F$9:$F$1008,$I649-8)))</x:f>
      </x:c>
      <x:c r="G649" s="50" t="str">
        <x:f>IF(641&gt;$H$4,"",IF(INDEX('Fleet dates'!$G$9:$G$1008,$I649-8)="","",INDEX('Fleet dates'!$G$9:$G$1008,$I649-8)))</x:f>
      </x:c>
      <x:c r="H649" s="50" t="str">
        <x:f>IF(641&gt;$H$4,"",IF(INDEX('Fleet dates'!$I$9:$I$1008,$I649-8)="","",INDEX('Fleet dates'!$I$9:$I$1008,$I649-8)))</x:f>
      </x:c>
      <x:c r="I649" t="str">
        <x:f>IF(641&gt;$H$4,"",MATCH(641,'Fleet dates'!$L$9:$L$1008,0)+8)</x:f>
      </x:c>
    </x:row>
    <x:row r="650" ht="36" customHeight="1">
      <x:c r="A650" s="50" t="str">
        <x:f>IF(642&gt;$H$4,"",IF(INDEX('Fleet dates'!$A$9:$A$1008,$I650-8)="","",INDEX('Fleet dates'!$A$9:$A$1008,$I650-8)))</x:f>
      </x:c>
      <x:c r="B650" s="50" t="str">
        <x:f>IF(642&gt;$H$4,"",IF(INDEX('Fleet dates'!$B$9:$B$1008,$I650-8)="","",INDEX('Fleet dates'!$B$9:$B$1008,$I650-8)))</x:f>
      </x:c>
      <x:c r="C650" s="51" t="str">
        <x:f>IF(642&gt;$H$4,"",IF(INDEX('Fleet dates'!$C$9:$C$1008,$I650-8)="","",INDEX('Fleet dates'!$C$9:$C$1008,$I650-8)))</x:f>
      </x:c>
      <x:c r="D650" s="51" t="str">
        <x:f>IF(642&gt;$H$4,"",IF(INDEX('Fleet dates'!$D$9:$D$1008,$I650-8)="","",INDEX('Fleet dates'!$D$9:$D$1008,$I650-8)))</x:f>
      </x:c>
      <x:c r="E650" s="51" t="str">
        <x:f>IF(642&gt;$H$4,"",IF(INDEX('Fleet dates'!$E$9:$E$1008,$I650-8)="","",INDEX('Fleet dates'!$E$9:$E$1008,$I650-8)))</x:f>
      </x:c>
      <x:c r="F650" s="51" t="str">
        <x:f>IF(642&gt;$H$4,"",IF(INDEX('Fleet dates'!$F$9:$F$1008,$I650-8)="","",INDEX('Fleet dates'!$F$9:$F$1008,$I650-8)))</x:f>
      </x:c>
      <x:c r="G650" s="50" t="str">
        <x:f>IF(642&gt;$H$4,"",IF(INDEX('Fleet dates'!$G$9:$G$1008,$I650-8)="","",INDEX('Fleet dates'!$G$9:$G$1008,$I650-8)))</x:f>
      </x:c>
      <x:c r="H650" s="50" t="str">
        <x:f>IF(642&gt;$H$4,"",IF(INDEX('Fleet dates'!$I$9:$I$1008,$I650-8)="","",INDEX('Fleet dates'!$I$9:$I$1008,$I650-8)))</x:f>
      </x:c>
      <x:c r="I650" t="str">
        <x:f>IF(642&gt;$H$4,"",MATCH(642,'Fleet dates'!$L$9:$L$1008,0)+8)</x:f>
      </x:c>
    </x:row>
    <x:row r="651" ht="36" customHeight="1">
      <x:c r="A651" s="50" t="str">
        <x:f>IF(643&gt;$H$4,"",IF(INDEX('Fleet dates'!$A$9:$A$1008,$I651-8)="","",INDEX('Fleet dates'!$A$9:$A$1008,$I651-8)))</x:f>
      </x:c>
      <x:c r="B651" s="50" t="str">
        <x:f>IF(643&gt;$H$4,"",IF(INDEX('Fleet dates'!$B$9:$B$1008,$I651-8)="","",INDEX('Fleet dates'!$B$9:$B$1008,$I651-8)))</x:f>
      </x:c>
      <x:c r="C651" s="51" t="str">
        <x:f>IF(643&gt;$H$4,"",IF(INDEX('Fleet dates'!$C$9:$C$1008,$I651-8)="","",INDEX('Fleet dates'!$C$9:$C$1008,$I651-8)))</x:f>
      </x:c>
      <x:c r="D651" s="51" t="str">
        <x:f>IF(643&gt;$H$4,"",IF(INDEX('Fleet dates'!$D$9:$D$1008,$I651-8)="","",INDEX('Fleet dates'!$D$9:$D$1008,$I651-8)))</x:f>
      </x:c>
      <x:c r="E651" s="51" t="str">
        <x:f>IF(643&gt;$H$4,"",IF(INDEX('Fleet dates'!$E$9:$E$1008,$I651-8)="","",INDEX('Fleet dates'!$E$9:$E$1008,$I651-8)))</x:f>
      </x:c>
      <x:c r="F651" s="51" t="str">
        <x:f>IF(643&gt;$H$4,"",IF(INDEX('Fleet dates'!$F$9:$F$1008,$I651-8)="","",INDEX('Fleet dates'!$F$9:$F$1008,$I651-8)))</x:f>
      </x:c>
      <x:c r="G651" s="50" t="str">
        <x:f>IF(643&gt;$H$4,"",IF(INDEX('Fleet dates'!$G$9:$G$1008,$I651-8)="","",INDEX('Fleet dates'!$G$9:$G$1008,$I651-8)))</x:f>
      </x:c>
      <x:c r="H651" s="50" t="str">
        <x:f>IF(643&gt;$H$4,"",IF(INDEX('Fleet dates'!$I$9:$I$1008,$I651-8)="","",INDEX('Fleet dates'!$I$9:$I$1008,$I651-8)))</x:f>
      </x:c>
      <x:c r="I651" t="str">
        <x:f>IF(643&gt;$H$4,"",MATCH(643,'Fleet dates'!$L$9:$L$1008,0)+8)</x:f>
      </x:c>
    </x:row>
    <x:row r="652" ht="36" customHeight="1">
      <x:c r="A652" s="50" t="str">
        <x:f>IF(644&gt;$H$4,"",IF(INDEX('Fleet dates'!$A$9:$A$1008,$I652-8)="","",INDEX('Fleet dates'!$A$9:$A$1008,$I652-8)))</x:f>
      </x:c>
      <x:c r="B652" s="50" t="str">
        <x:f>IF(644&gt;$H$4,"",IF(INDEX('Fleet dates'!$B$9:$B$1008,$I652-8)="","",INDEX('Fleet dates'!$B$9:$B$1008,$I652-8)))</x:f>
      </x:c>
      <x:c r="C652" s="51" t="str">
        <x:f>IF(644&gt;$H$4,"",IF(INDEX('Fleet dates'!$C$9:$C$1008,$I652-8)="","",INDEX('Fleet dates'!$C$9:$C$1008,$I652-8)))</x:f>
      </x:c>
      <x:c r="D652" s="51" t="str">
        <x:f>IF(644&gt;$H$4,"",IF(INDEX('Fleet dates'!$D$9:$D$1008,$I652-8)="","",INDEX('Fleet dates'!$D$9:$D$1008,$I652-8)))</x:f>
      </x:c>
      <x:c r="E652" s="51" t="str">
        <x:f>IF(644&gt;$H$4,"",IF(INDEX('Fleet dates'!$E$9:$E$1008,$I652-8)="","",INDEX('Fleet dates'!$E$9:$E$1008,$I652-8)))</x:f>
      </x:c>
      <x:c r="F652" s="51" t="str">
        <x:f>IF(644&gt;$H$4,"",IF(INDEX('Fleet dates'!$F$9:$F$1008,$I652-8)="","",INDEX('Fleet dates'!$F$9:$F$1008,$I652-8)))</x:f>
      </x:c>
      <x:c r="G652" s="50" t="str">
        <x:f>IF(644&gt;$H$4,"",IF(INDEX('Fleet dates'!$G$9:$G$1008,$I652-8)="","",INDEX('Fleet dates'!$G$9:$G$1008,$I652-8)))</x:f>
      </x:c>
      <x:c r="H652" s="50" t="str">
        <x:f>IF(644&gt;$H$4,"",IF(INDEX('Fleet dates'!$I$9:$I$1008,$I652-8)="","",INDEX('Fleet dates'!$I$9:$I$1008,$I652-8)))</x:f>
      </x:c>
      <x:c r="I652" t="str">
        <x:f>IF(644&gt;$H$4,"",MATCH(644,'Fleet dates'!$L$9:$L$1008,0)+8)</x:f>
      </x:c>
    </x:row>
    <x:row r="653" ht="36" customHeight="1">
      <x:c r="A653" s="50" t="str">
        <x:f>IF(645&gt;$H$4,"",IF(INDEX('Fleet dates'!$A$9:$A$1008,$I653-8)="","",INDEX('Fleet dates'!$A$9:$A$1008,$I653-8)))</x:f>
      </x:c>
      <x:c r="B653" s="50" t="str">
        <x:f>IF(645&gt;$H$4,"",IF(INDEX('Fleet dates'!$B$9:$B$1008,$I653-8)="","",INDEX('Fleet dates'!$B$9:$B$1008,$I653-8)))</x:f>
      </x:c>
      <x:c r="C653" s="51" t="str">
        <x:f>IF(645&gt;$H$4,"",IF(INDEX('Fleet dates'!$C$9:$C$1008,$I653-8)="","",INDEX('Fleet dates'!$C$9:$C$1008,$I653-8)))</x:f>
      </x:c>
      <x:c r="D653" s="51" t="str">
        <x:f>IF(645&gt;$H$4,"",IF(INDEX('Fleet dates'!$D$9:$D$1008,$I653-8)="","",INDEX('Fleet dates'!$D$9:$D$1008,$I653-8)))</x:f>
      </x:c>
      <x:c r="E653" s="51" t="str">
        <x:f>IF(645&gt;$H$4,"",IF(INDEX('Fleet dates'!$E$9:$E$1008,$I653-8)="","",INDEX('Fleet dates'!$E$9:$E$1008,$I653-8)))</x:f>
      </x:c>
      <x:c r="F653" s="51" t="str">
        <x:f>IF(645&gt;$H$4,"",IF(INDEX('Fleet dates'!$F$9:$F$1008,$I653-8)="","",INDEX('Fleet dates'!$F$9:$F$1008,$I653-8)))</x:f>
      </x:c>
      <x:c r="G653" s="50" t="str">
        <x:f>IF(645&gt;$H$4,"",IF(INDEX('Fleet dates'!$G$9:$G$1008,$I653-8)="","",INDEX('Fleet dates'!$G$9:$G$1008,$I653-8)))</x:f>
      </x:c>
      <x:c r="H653" s="50" t="str">
        <x:f>IF(645&gt;$H$4,"",IF(INDEX('Fleet dates'!$I$9:$I$1008,$I653-8)="","",INDEX('Fleet dates'!$I$9:$I$1008,$I653-8)))</x:f>
      </x:c>
      <x:c r="I653" t="str">
        <x:f>IF(645&gt;$H$4,"",MATCH(645,'Fleet dates'!$L$9:$L$1008,0)+8)</x:f>
      </x:c>
    </x:row>
    <x:row r="654" ht="36" customHeight="1">
      <x:c r="A654" s="50" t="str">
        <x:f>IF(646&gt;$H$4,"",IF(INDEX('Fleet dates'!$A$9:$A$1008,$I654-8)="","",INDEX('Fleet dates'!$A$9:$A$1008,$I654-8)))</x:f>
      </x:c>
      <x:c r="B654" s="50" t="str">
        <x:f>IF(646&gt;$H$4,"",IF(INDEX('Fleet dates'!$B$9:$B$1008,$I654-8)="","",INDEX('Fleet dates'!$B$9:$B$1008,$I654-8)))</x:f>
      </x:c>
      <x:c r="C654" s="51" t="str">
        <x:f>IF(646&gt;$H$4,"",IF(INDEX('Fleet dates'!$C$9:$C$1008,$I654-8)="","",INDEX('Fleet dates'!$C$9:$C$1008,$I654-8)))</x:f>
      </x:c>
      <x:c r="D654" s="51" t="str">
        <x:f>IF(646&gt;$H$4,"",IF(INDEX('Fleet dates'!$D$9:$D$1008,$I654-8)="","",INDEX('Fleet dates'!$D$9:$D$1008,$I654-8)))</x:f>
      </x:c>
      <x:c r="E654" s="51" t="str">
        <x:f>IF(646&gt;$H$4,"",IF(INDEX('Fleet dates'!$E$9:$E$1008,$I654-8)="","",INDEX('Fleet dates'!$E$9:$E$1008,$I654-8)))</x:f>
      </x:c>
      <x:c r="F654" s="51" t="str">
        <x:f>IF(646&gt;$H$4,"",IF(INDEX('Fleet dates'!$F$9:$F$1008,$I654-8)="","",INDEX('Fleet dates'!$F$9:$F$1008,$I654-8)))</x:f>
      </x:c>
      <x:c r="G654" s="50" t="str">
        <x:f>IF(646&gt;$H$4,"",IF(INDEX('Fleet dates'!$G$9:$G$1008,$I654-8)="","",INDEX('Fleet dates'!$G$9:$G$1008,$I654-8)))</x:f>
      </x:c>
      <x:c r="H654" s="50" t="str">
        <x:f>IF(646&gt;$H$4,"",IF(INDEX('Fleet dates'!$I$9:$I$1008,$I654-8)="","",INDEX('Fleet dates'!$I$9:$I$1008,$I654-8)))</x:f>
      </x:c>
      <x:c r="I654" t="str">
        <x:f>IF(646&gt;$H$4,"",MATCH(646,'Fleet dates'!$L$9:$L$1008,0)+8)</x:f>
      </x:c>
    </x:row>
    <x:row r="655" ht="36" customHeight="1">
      <x:c r="A655" s="50" t="str">
        <x:f>IF(647&gt;$H$4,"",IF(INDEX('Fleet dates'!$A$9:$A$1008,$I655-8)="","",INDEX('Fleet dates'!$A$9:$A$1008,$I655-8)))</x:f>
      </x:c>
      <x:c r="B655" s="50" t="str">
        <x:f>IF(647&gt;$H$4,"",IF(INDEX('Fleet dates'!$B$9:$B$1008,$I655-8)="","",INDEX('Fleet dates'!$B$9:$B$1008,$I655-8)))</x:f>
      </x:c>
      <x:c r="C655" s="51" t="str">
        <x:f>IF(647&gt;$H$4,"",IF(INDEX('Fleet dates'!$C$9:$C$1008,$I655-8)="","",INDEX('Fleet dates'!$C$9:$C$1008,$I655-8)))</x:f>
      </x:c>
      <x:c r="D655" s="51" t="str">
        <x:f>IF(647&gt;$H$4,"",IF(INDEX('Fleet dates'!$D$9:$D$1008,$I655-8)="","",INDEX('Fleet dates'!$D$9:$D$1008,$I655-8)))</x:f>
      </x:c>
      <x:c r="E655" s="51" t="str">
        <x:f>IF(647&gt;$H$4,"",IF(INDEX('Fleet dates'!$E$9:$E$1008,$I655-8)="","",INDEX('Fleet dates'!$E$9:$E$1008,$I655-8)))</x:f>
      </x:c>
      <x:c r="F655" s="51" t="str">
        <x:f>IF(647&gt;$H$4,"",IF(INDEX('Fleet dates'!$F$9:$F$1008,$I655-8)="","",INDEX('Fleet dates'!$F$9:$F$1008,$I655-8)))</x:f>
      </x:c>
      <x:c r="G655" s="50" t="str">
        <x:f>IF(647&gt;$H$4,"",IF(INDEX('Fleet dates'!$G$9:$G$1008,$I655-8)="","",INDEX('Fleet dates'!$G$9:$G$1008,$I655-8)))</x:f>
      </x:c>
      <x:c r="H655" s="50" t="str">
        <x:f>IF(647&gt;$H$4,"",IF(INDEX('Fleet dates'!$I$9:$I$1008,$I655-8)="","",INDEX('Fleet dates'!$I$9:$I$1008,$I655-8)))</x:f>
      </x:c>
      <x:c r="I655" t="str">
        <x:f>IF(647&gt;$H$4,"",MATCH(647,'Fleet dates'!$L$9:$L$1008,0)+8)</x:f>
      </x:c>
    </x:row>
    <x:row r="656" ht="36" customHeight="1">
      <x:c r="A656" s="50" t="str">
        <x:f>IF(648&gt;$H$4,"",IF(INDEX('Fleet dates'!$A$9:$A$1008,$I656-8)="","",INDEX('Fleet dates'!$A$9:$A$1008,$I656-8)))</x:f>
      </x:c>
      <x:c r="B656" s="50" t="str">
        <x:f>IF(648&gt;$H$4,"",IF(INDEX('Fleet dates'!$B$9:$B$1008,$I656-8)="","",INDEX('Fleet dates'!$B$9:$B$1008,$I656-8)))</x:f>
      </x:c>
      <x:c r="C656" s="51" t="str">
        <x:f>IF(648&gt;$H$4,"",IF(INDEX('Fleet dates'!$C$9:$C$1008,$I656-8)="","",INDEX('Fleet dates'!$C$9:$C$1008,$I656-8)))</x:f>
      </x:c>
      <x:c r="D656" s="51" t="str">
        <x:f>IF(648&gt;$H$4,"",IF(INDEX('Fleet dates'!$D$9:$D$1008,$I656-8)="","",INDEX('Fleet dates'!$D$9:$D$1008,$I656-8)))</x:f>
      </x:c>
      <x:c r="E656" s="51" t="str">
        <x:f>IF(648&gt;$H$4,"",IF(INDEX('Fleet dates'!$E$9:$E$1008,$I656-8)="","",INDEX('Fleet dates'!$E$9:$E$1008,$I656-8)))</x:f>
      </x:c>
      <x:c r="F656" s="51" t="str">
        <x:f>IF(648&gt;$H$4,"",IF(INDEX('Fleet dates'!$F$9:$F$1008,$I656-8)="","",INDEX('Fleet dates'!$F$9:$F$1008,$I656-8)))</x:f>
      </x:c>
      <x:c r="G656" s="50" t="str">
        <x:f>IF(648&gt;$H$4,"",IF(INDEX('Fleet dates'!$G$9:$G$1008,$I656-8)="","",INDEX('Fleet dates'!$G$9:$G$1008,$I656-8)))</x:f>
      </x:c>
      <x:c r="H656" s="50" t="str">
        <x:f>IF(648&gt;$H$4,"",IF(INDEX('Fleet dates'!$I$9:$I$1008,$I656-8)="","",INDEX('Fleet dates'!$I$9:$I$1008,$I656-8)))</x:f>
      </x:c>
      <x:c r="I656" t="str">
        <x:f>IF(648&gt;$H$4,"",MATCH(648,'Fleet dates'!$L$9:$L$1008,0)+8)</x:f>
      </x:c>
    </x:row>
    <x:row r="657" ht="36" customHeight="1">
      <x:c r="A657" s="50" t="str">
        <x:f>IF(649&gt;$H$4,"",IF(INDEX('Fleet dates'!$A$9:$A$1008,$I657-8)="","",INDEX('Fleet dates'!$A$9:$A$1008,$I657-8)))</x:f>
      </x:c>
      <x:c r="B657" s="50" t="str">
        <x:f>IF(649&gt;$H$4,"",IF(INDEX('Fleet dates'!$B$9:$B$1008,$I657-8)="","",INDEX('Fleet dates'!$B$9:$B$1008,$I657-8)))</x:f>
      </x:c>
      <x:c r="C657" s="51" t="str">
        <x:f>IF(649&gt;$H$4,"",IF(INDEX('Fleet dates'!$C$9:$C$1008,$I657-8)="","",INDEX('Fleet dates'!$C$9:$C$1008,$I657-8)))</x:f>
      </x:c>
      <x:c r="D657" s="51" t="str">
        <x:f>IF(649&gt;$H$4,"",IF(INDEX('Fleet dates'!$D$9:$D$1008,$I657-8)="","",INDEX('Fleet dates'!$D$9:$D$1008,$I657-8)))</x:f>
      </x:c>
      <x:c r="E657" s="51" t="str">
        <x:f>IF(649&gt;$H$4,"",IF(INDEX('Fleet dates'!$E$9:$E$1008,$I657-8)="","",INDEX('Fleet dates'!$E$9:$E$1008,$I657-8)))</x:f>
      </x:c>
      <x:c r="F657" s="51" t="str">
        <x:f>IF(649&gt;$H$4,"",IF(INDEX('Fleet dates'!$F$9:$F$1008,$I657-8)="","",INDEX('Fleet dates'!$F$9:$F$1008,$I657-8)))</x:f>
      </x:c>
      <x:c r="G657" s="50" t="str">
        <x:f>IF(649&gt;$H$4,"",IF(INDEX('Fleet dates'!$G$9:$G$1008,$I657-8)="","",INDEX('Fleet dates'!$G$9:$G$1008,$I657-8)))</x:f>
      </x:c>
      <x:c r="H657" s="50" t="str">
        <x:f>IF(649&gt;$H$4,"",IF(INDEX('Fleet dates'!$I$9:$I$1008,$I657-8)="","",INDEX('Fleet dates'!$I$9:$I$1008,$I657-8)))</x:f>
      </x:c>
      <x:c r="I657" t="str">
        <x:f>IF(649&gt;$H$4,"",MATCH(649,'Fleet dates'!$L$9:$L$1008,0)+8)</x:f>
      </x:c>
    </x:row>
    <x:row r="658" ht="36" customHeight="1">
      <x:c r="A658" s="50" t="str">
        <x:f>IF(650&gt;$H$4,"",IF(INDEX('Fleet dates'!$A$9:$A$1008,$I658-8)="","",INDEX('Fleet dates'!$A$9:$A$1008,$I658-8)))</x:f>
      </x:c>
      <x:c r="B658" s="50" t="str">
        <x:f>IF(650&gt;$H$4,"",IF(INDEX('Fleet dates'!$B$9:$B$1008,$I658-8)="","",INDEX('Fleet dates'!$B$9:$B$1008,$I658-8)))</x:f>
      </x:c>
      <x:c r="C658" s="51" t="str">
        <x:f>IF(650&gt;$H$4,"",IF(INDEX('Fleet dates'!$C$9:$C$1008,$I658-8)="","",INDEX('Fleet dates'!$C$9:$C$1008,$I658-8)))</x:f>
      </x:c>
      <x:c r="D658" s="51" t="str">
        <x:f>IF(650&gt;$H$4,"",IF(INDEX('Fleet dates'!$D$9:$D$1008,$I658-8)="","",INDEX('Fleet dates'!$D$9:$D$1008,$I658-8)))</x:f>
      </x:c>
      <x:c r="E658" s="51" t="str">
        <x:f>IF(650&gt;$H$4,"",IF(INDEX('Fleet dates'!$E$9:$E$1008,$I658-8)="","",INDEX('Fleet dates'!$E$9:$E$1008,$I658-8)))</x:f>
      </x:c>
      <x:c r="F658" s="51" t="str">
        <x:f>IF(650&gt;$H$4,"",IF(INDEX('Fleet dates'!$F$9:$F$1008,$I658-8)="","",INDEX('Fleet dates'!$F$9:$F$1008,$I658-8)))</x:f>
      </x:c>
      <x:c r="G658" s="50" t="str">
        <x:f>IF(650&gt;$H$4,"",IF(INDEX('Fleet dates'!$G$9:$G$1008,$I658-8)="","",INDEX('Fleet dates'!$G$9:$G$1008,$I658-8)))</x:f>
      </x:c>
      <x:c r="H658" s="50" t="str">
        <x:f>IF(650&gt;$H$4,"",IF(INDEX('Fleet dates'!$I$9:$I$1008,$I658-8)="","",INDEX('Fleet dates'!$I$9:$I$1008,$I658-8)))</x:f>
      </x:c>
      <x:c r="I658" t="str">
        <x:f>IF(650&gt;$H$4,"",MATCH(650,'Fleet dates'!$L$9:$L$1008,0)+8)</x:f>
      </x:c>
    </x:row>
    <x:row r="659" ht="36" customHeight="1">
      <x:c r="A659" s="50" t="str">
        <x:f>IF(651&gt;$H$4,"",IF(INDEX('Fleet dates'!$A$9:$A$1008,$I659-8)="","",INDEX('Fleet dates'!$A$9:$A$1008,$I659-8)))</x:f>
      </x:c>
      <x:c r="B659" s="50" t="str">
        <x:f>IF(651&gt;$H$4,"",IF(INDEX('Fleet dates'!$B$9:$B$1008,$I659-8)="","",INDEX('Fleet dates'!$B$9:$B$1008,$I659-8)))</x:f>
      </x:c>
      <x:c r="C659" s="51" t="str">
        <x:f>IF(651&gt;$H$4,"",IF(INDEX('Fleet dates'!$C$9:$C$1008,$I659-8)="","",INDEX('Fleet dates'!$C$9:$C$1008,$I659-8)))</x:f>
      </x:c>
      <x:c r="D659" s="51" t="str">
        <x:f>IF(651&gt;$H$4,"",IF(INDEX('Fleet dates'!$D$9:$D$1008,$I659-8)="","",INDEX('Fleet dates'!$D$9:$D$1008,$I659-8)))</x:f>
      </x:c>
      <x:c r="E659" s="51" t="str">
        <x:f>IF(651&gt;$H$4,"",IF(INDEX('Fleet dates'!$E$9:$E$1008,$I659-8)="","",INDEX('Fleet dates'!$E$9:$E$1008,$I659-8)))</x:f>
      </x:c>
      <x:c r="F659" s="51" t="str">
        <x:f>IF(651&gt;$H$4,"",IF(INDEX('Fleet dates'!$F$9:$F$1008,$I659-8)="","",INDEX('Fleet dates'!$F$9:$F$1008,$I659-8)))</x:f>
      </x:c>
      <x:c r="G659" s="50" t="str">
        <x:f>IF(651&gt;$H$4,"",IF(INDEX('Fleet dates'!$G$9:$G$1008,$I659-8)="","",INDEX('Fleet dates'!$G$9:$G$1008,$I659-8)))</x:f>
      </x:c>
      <x:c r="H659" s="50" t="str">
        <x:f>IF(651&gt;$H$4,"",IF(INDEX('Fleet dates'!$I$9:$I$1008,$I659-8)="","",INDEX('Fleet dates'!$I$9:$I$1008,$I659-8)))</x:f>
      </x:c>
      <x:c r="I659" t="str">
        <x:f>IF(651&gt;$H$4,"",MATCH(651,'Fleet dates'!$L$9:$L$1008,0)+8)</x:f>
      </x:c>
    </x:row>
    <x:row r="660" ht="36" customHeight="1">
      <x:c r="A660" s="50" t="str">
        <x:f>IF(652&gt;$H$4,"",IF(INDEX('Fleet dates'!$A$9:$A$1008,$I660-8)="","",INDEX('Fleet dates'!$A$9:$A$1008,$I660-8)))</x:f>
      </x:c>
      <x:c r="B660" s="50" t="str">
        <x:f>IF(652&gt;$H$4,"",IF(INDEX('Fleet dates'!$B$9:$B$1008,$I660-8)="","",INDEX('Fleet dates'!$B$9:$B$1008,$I660-8)))</x:f>
      </x:c>
      <x:c r="C660" s="51" t="str">
        <x:f>IF(652&gt;$H$4,"",IF(INDEX('Fleet dates'!$C$9:$C$1008,$I660-8)="","",INDEX('Fleet dates'!$C$9:$C$1008,$I660-8)))</x:f>
      </x:c>
      <x:c r="D660" s="51" t="str">
        <x:f>IF(652&gt;$H$4,"",IF(INDEX('Fleet dates'!$D$9:$D$1008,$I660-8)="","",INDEX('Fleet dates'!$D$9:$D$1008,$I660-8)))</x:f>
      </x:c>
      <x:c r="E660" s="51" t="str">
        <x:f>IF(652&gt;$H$4,"",IF(INDEX('Fleet dates'!$E$9:$E$1008,$I660-8)="","",INDEX('Fleet dates'!$E$9:$E$1008,$I660-8)))</x:f>
      </x:c>
      <x:c r="F660" s="51" t="str">
        <x:f>IF(652&gt;$H$4,"",IF(INDEX('Fleet dates'!$F$9:$F$1008,$I660-8)="","",INDEX('Fleet dates'!$F$9:$F$1008,$I660-8)))</x:f>
      </x:c>
      <x:c r="G660" s="50" t="str">
        <x:f>IF(652&gt;$H$4,"",IF(INDEX('Fleet dates'!$G$9:$G$1008,$I660-8)="","",INDEX('Fleet dates'!$G$9:$G$1008,$I660-8)))</x:f>
      </x:c>
      <x:c r="H660" s="50" t="str">
        <x:f>IF(652&gt;$H$4,"",IF(INDEX('Fleet dates'!$I$9:$I$1008,$I660-8)="","",INDEX('Fleet dates'!$I$9:$I$1008,$I660-8)))</x:f>
      </x:c>
      <x:c r="I660" t="str">
        <x:f>IF(652&gt;$H$4,"",MATCH(652,'Fleet dates'!$L$9:$L$1008,0)+8)</x:f>
      </x:c>
    </x:row>
    <x:row r="661" ht="36" customHeight="1">
      <x:c r="A661" s="50" t="str">
        <x:f>IF(653&gt;$H$4,"",IF(INDEX('Fleet dates'!$A$9:$A$1008,$I661-8)="","",INDEX('Fleet dates'!$A$9:$A$1008,$I661-8)))</x:f>
      </x:c>
      <x:c r="B661" s="50" t="str">
        <x:f>IF(653&gt;$H$4,"",IF(INDEX('Fleet dates'!$B$9:$B$1008,$I661-8)="","",INDEX('Fleet dates'!$B$9:$B$1008,$I661-8)))</x:f>
      </x:c>
      <x:c r="C661" s="51" t="str">
        <x:f>IF(653&gt;$H$4,"",IF(INDEX('Fleet dates'!$C$9:$C$1008,$I661-8)="","",INDEX('Fleet dates'!$C$9:$C$1008,$I661-8)))</x:f>
      </x:c>
      <x:c r="D661" s="51" t="str">
        <x:f>IF(653&gt;$H$4,"",IF(INDEX('Fleet dates'!$D$9:$D$1008,$I661-8)="","",INDEX('Fleet dates'!$D$9:$D$1008,$I661-8)))</x:f>
      </x:c>
      <x:c r="E661" s="51" t="str">
        <x:f>IF(653&gt;$H$4,"",IF(INDEX('Fleet dates'!$E$9:$E$1008,$I661-8)="","",INDEX('Fleet dates'!$E$9:$E$1008,$I661-8)))</x:f>
      </x:c>
      <x:c r="F661" s="51" t="str">
        <x:f>IF(653&gt;$H$4,"",IF(INDEX('Fleet dates'!$F$9:$F$1008,$I661-8)="","",INDEX('Fleet dates'!$F$9:$F$1008,$I661-8)))</x:f>
      </x:c>
      <x:c r="G661" s="50" t="str">
        <x:f>IF(653&gt;$H$4,"",IF(INDEX('Fleet dates'!$G$9:$G$1008,$I661-8)="","",INDEX('Fleet dates'!$G$9:$G$1008,$I661-8)))</x:f>
      </x:c>
      <x:c r="H661" s="50" t="str">
        <x:f>IF(653&gt;$H$4,"",IF(INDEX('Fleet dates'!$I$9:$I$1008,$I661-8)="","",INDEX('Fleet dates'!$I$9:$I$1008,$I661-8)))</x:f>
      </x:c>
      <x:c r="I661" t="str">
        <x:f>IF(653&gt;$H$4,"",MATCH(653,'Fleet dates'!$L$9:$L$1008,0)+8)</x:f>
      </x:c>
    </x:row>
    <x:row r="662" ht="36" customHeight="1">
      <x:c r="A662" s="50" t="str">
        <x:f>IF(654&gt;$H$4,"",IF(INDEX('Fleet dates'!$A$9:$A$1008,$I662-8)="","",INDEX('Fleet dates'!$A$9:$A$1008,$I662-8)))</x:f>
      </x:c>
      <x:c r="B662" s="50" t="str">
        <x:f>IF(654&gt;$H$4,"",IF(INDEX('Fleet dates'!$B$9:$B$1008,$I662-8)="","",INDEX('Fleet dates'!$B$9:$B$1008,$I662-8)))</x:f>
      </x:c>
      <x:c r="C662" s="51" t="str">
        <x:f>IF(654&gt;$H$4,"",IF(INDEX('Fleet dates'!$C$9:$C$1008,$I662-8)="","",INDEX('Fleet dates'!$C$9:$C$1008,$I662-8)))</x:f>
      </x:c>
      <x:c r="D662" s="51" t="str">
        <x:f>IF(654&gt;$H$4,"",IF(INDEX('Fleet dates'!$D$9:$D$1008,$I662-8)="","",INDEX('Fleet dates'!$D$9:$D$1008,$I662-8)))</x:f>
      </x:c>
      <x:c r="E662" s="51" t="str">
        <x:f>IF(654&gt;$H$4,"",IF(INDEX('Fleet dates'!$E$9:$E$1008,$I662-8)="","",INDEX('Fleet dates'!$E$9:$E$1008,$I662-8)))</x:f>
      </x:c>
      <x:c r="F662" s="51" t="str">
        <x:f>IF(654&gt;$H$4,"",IF(INDEX('Fleet dates'!$F$9:$F$1008,$I662-8)="","",INDEX('Fleet dates'!$F$9:$F$1008,$I662-8)))</x:f>
      </x:c>
      <x:c r="G662" s="50" t="str">
        <x:f>IF(654&gt;$H$4,"",IF(INDEX('Fleet dates'!$G$9:$G$1008,$I662-8)="","",INDEX('Fleet dates'!$G$9:$G$1008,$I662-8)))</x:f>
      </x:c>
      <x:c r="H662" s="50" t="str">
        <x:f>IF(654&gt;$H$4,"",IF(INDEX('Fleet dates'!$I$9:$I$1008,$I662-8)="","",INDEX('Fleet dates'!$I$9:$I$1008,$I662-8)))</x:f>
      </x:c>
      <x:c r="I662" t="str">
        <x:f>IF(654&gt;$H$4,"",MATCH(654,'Fleet dates'!$L$9:$L$1008,0)+8)</x:f>
      </x:c>
    </x:row>
    <x:row r="663" ht="36" customHeight="1">
      <x:c r="A663" s="50" t="str">
        <x:f>IF(655&gt;$H$4,"",IF(INDEX('Fleet dates'!$A$9:$A$1008,$I663-8)="","",INDEX('Fleet dates'!$A$9:$A$1008,$I663-8)))</x:f>
      </x:c>
      <x:c r="B663" s="50" t="str">
        <x:f>IF(655&gt;$H$4,"",IF(INDEX('Fleet dates'!$B$9:$B$1008,$I663-8)="","",INDEX('Fleet dates'!$B$9:$B$1008,$I663-8)))</x:f>
      </x:c>
      <x:c r="C663" s="51" t="str">
        <x:f>IF(655&gt;$H$4,"",IF(INDEX('Fleet dates'!$C$9:$C$1008,$I663-8)="","",INDEX('Fleet dates'!$C$9:$C$1008,$I663-8)))</x:f>
      </x:c>
      <x:c r="D663" s="51" t="str">
        <x:f>IF(655&gt;$H$4,"",IF(INDEX('Fleet dates'!$D$9:$D$1008,$I663-8)="","",INDEX('Fleet dates'!$D$9:$D$1008,$I663-8)))</x:f>
      </x:c>
      <x:c r="E663" s="51" t="str">
        <x:f>IF(655&gt;$H$4,"",IF(INDEX('Fleet dates'!$E$9:$E$1008,$I663-8)="","",INDEX('Fleet dates'!$E$9:$E$1008,$I663-8)))</x:f>
      </x:c>
      <x:c r="F663" s="51" t="str">
        <x:f>IF(655&gt;$H$4,"",IF(INDEX('Fleet dates'!$F$9:$F$1008,$I663-8)="","",INDEX('Fleet dates'!$F$9:$F$1008,$I663-8)))</x:f>
      </x:c>
      <x:c r="G663" s="50" t="str">
        <x:f>IF(655&gt;$H$4,"",IF(INDEX('Fleet dates'!$G$9:$G$1008,$I663-8)="","",INDEX('Fleet dates'!$G$9:$G$1008,$I663-8)))</x:f>
      </x:c>
      <x:c r="H663" s="50" t="str">
        <x:f>IF(655&gt;$H$4,"",IF(INDEX('Fleet dates'!$I$9:$I$1008,$I663-8)="","",INDEX('Fleet dates'!$I$9:$I$1008,$I663-8)))</x:f>
      </x:c>
      <x:c r="I663" t="str">
        <x:f>IF(655&gt;$H$4,"",MATCH(655,'Fleet dates'!$L$9:$L$1008,0)+8)</x:f>
      </x:c>
    </x:row>
    <x:row r="664" ht="36" customHeight="1">
      <x:c r="A664" s="50" t="str">
        <x:f>IF(656&gt;$H$4,"",IF(INDEX('Fleet dates'!$A$9:$A$1008,$I664-8)="","",INDEX('Fleet dates'!$A$9:$A$1008,$I664-8)))</x:f>
      </x:c>
      <x:c r="B664" s="50" t="str">
        <x:f>IF(656&gt;$H$4,"",IF(INDEX('Fleet dates'!$B$9:$B$1008,$I664-8)="","",INDEX('Fleet dates'!$B$9:$B$1008,$I664-8)))</x:f>
      </x:c>
      <x:c r="C664" s="51" t="str">
        <x:f>IF(656&gt;$H$4,"",IF(INDEX('Fleet dates'!$C$9:$C$1008,$I664-8)="","",INDEX('Fleet dates'!$C$9:$C$1008,$I664-8)))</x:f>
      </x:c>
      <x:c r="D664" s="51" t="str">
        <x:f>IF(656&gt;$H$4,"",IF(INDEX('Fleet dates'!$D$9:$D$1008,$I664-8)="","",INDEX('Fleet dates'!$D$9:$D$1008,$I664-8)))</x:f>
      </x:c>
      <x:c r="E664" s="51" t="str">
        <x:f>IF(656&gt;$H$4,"",IF(INDEX('Fleet dates'!$E$9:$E$1008,$I664-8)="","",INDEX('Fleet dates'!$E$9:$E$1008,$I664-8)))</x:f>
      </x:c>
      <x:c r="F664" s="51" t="str">
        <x:f>IF(656&gt;$H$4,"",IF(INDEX('Fleet dates'!$F$9:$F$1008,$I664-8)="","",INDEX('Fleet dates'!$F$9:$F$1008,$I664-8)))</x:f>
      </x:c>
      <x:c r="G664" s="50" t="str">
        <x:f>IF(656&gt;$H$4,"",IF(INDEX('Fleet dates'!$G$9:$G$1008,$I664-8)="","",INDEX('Fleet dates'!$G$9:$G$1008,$I664-8)))</x:f>
      </x:c>
      <x:c r="H664" s="50" t="str">
        <x:f>IF(656&gt;$H$4,"",IF(INDEX('Fleet dates'!$I$9:$I$1008,$I664-8)="","",INDEX('Fleet dates'!$I$9:$I$1008,$I664-8)))</x:f>
      </x:c>
      <x:c r="I664" t="str">
        <x:f>IF(656&gt;$H$4,"",MATCH(656,'Fleet dates'!$L$9:$L$1008,0)+8)</x:f>
      </x:c>
    </x:row>
    <x:row r="665" ht="36" customHeight="1">
      <x:c r="A665" s="50" t="str">
        <x:f>IF(657&gt;$H$4,"",IF(INDEX('Fleet dates'!$A$9:$A$1008,$I665-8)="","",INDEX('Fleet dates'!$A$9:$A$1008,$I665-8)))</x:f>
      </x:c>
      <x:c r="B665" s="50" t="str">
        <x:f>IF(657&gt;$H$4,"",IF(INDEX('Fleet dates'!$B$9:$B$1008,$I665-8)="","",INDEX('Fleet dates'!$B$9:$B$1008,$I665-8)))</x:f>
      </x:c>
      <x:c r="C665" s="51" t="str">
        <x:f>IF(657&gt;$H$4,"",IF(INDEX('Fleet dates'!$C$9:$C$1008,$I665-8)="","",INDEX('Fleet dates'!$C$9:$C$1008,$I665-8)))</x:f>
      </x:c>
      <x:c r="D665" s="51" t="str">
        <x:f>IF(657&gt;$H$4,"",IF(INDEX('Fleet dates'!$D$9:$D$1008,$I665-8)="","",INDEX('Fleet dates'!$D$9:$D$1008,$I665-8)))</x:f>
      </x:c>
      <x:c r="E665" s="51" t="str">
        <x:f>IF(657&gt;$H$4,"",IF(INDEX('Fleet dates'!$E$9:$E$1008,$I665-8)="","",INDEX('Fleet dates'!$E$9:$E$1008,$I665-8)))</x:f>
      </x:c>
      <x:c r="F665" s="51" t="str">
        <x:f>IF(657&gt;$H$4,"",IF(INDEX('Fleet dates'!$F$9:$F$1008,$I665-8)="","",INDEX('Fleet dates'!$F$9:$F$1008,$I665-8)))</x:f>
      </x:c>
      <x:c r="G665" s="50" t="str">
        <x:f>IF(657&gt;$H$4,"",IF(INDEX('Fleet dates'!$G$9:$G$1008,$I665-8)="","",INDEX('Fleet dates'!$G$9:$G$1008,$I665-8)))</x:f>
      </x:c>
      <x:c r="H665" s="50" t="str">
        <x:f>IF(657&gt;$H$4,"",IF(INDEX('Fleet dates'!$I$9:$I$1008,$I665-8)="","",INDEX('Fleet dates'!$I$9:$I$1008,$I665-8)))</x:f>
      </x:c>
      <x:c r="I665" t="str">
        <x:f>IF(657&gt;$H$4,"",MATCH(657,'Fleet dates'!$L$9:$L$1008,0)+8)</x:f>
      </x:c>
    </x:row>
    <x:row r="666" ht="36" customHeight="1">
      <x:c r="A666" s="50" t="str">
        <x:f>IF(658&gt;$H$4,"",IF(INDEX('Fleet dates'!$A$9:$A$1008,$I666-8)="","",INDEX('Fleet dates'!$A$9:$A$1008,$I666-8)))</x:f>
      </x:c>
      <x:c r="B666" s="50" t="str">
        <x:f>IF(658&gt;$H$4,"",IF(INDEX('Fleet dates'!$B$9:$B$1008,$I666-8)="","",INDEX('Fleet dates'!$B$9:$B$1008,$I666-8)))</x:f>
      </x:c>
      <x:c r="C666" s="51" t="str">
        <x:f>IF(658&gt;$H$4,"",IF(INDEX('Fleet dates'!$C$9:$C$1008,$I666-8)="","",INDEX('Fleet dates'!$C$9:$C$1008,$I666-8)))</x:f>
      </x:c>
      <x:c r="D666" s="51" t="str">
        <x:f>IF(658&gt;$H$4,"",IF(INDEX('Fleet dates'!$D$9:$D$1008,$I666-8)="","",INDEX('Fleet dates'!$D$9:$D$1008,$I666-8)))</x:f>
      </x:c>
      <x:c r="E666" s="51" t="str">
        <x:f>IF(658&gt;$H$4,"",IF(INDEX('Fleet dates'!$E$9:$E$1008,$I666-8)="","",INDEX('Fleet dates'!$E$9:$E$1008,$I666-8)))</x:f>
      </x:c>
      <x:c r="F666" s="51" t="str">
        <x:f>IF(658&gt;$H$4,"",IF(INDEX('Fleet dates'!$F$9:$F$1008,$I666-8)="","",INDEX('Fleet dates'!$F$9:$F$1008,$I666-8)))</x:f>
      </x:c>
      <x:c r="G666" s="50" t="str">
        <x:f>IF(658&gt;$H$4,"",IF(INDEX('Fleet dates'!$G$9:$G$1008,$I666-8)="","",INDEX('Fleet dates'!$G$9:$G$1008,$I666-8)))</x:f>
      </x:c>
      <x:c r="H666" s="50" t="str">
        <x:f>IF(658&gt;$H$4,"",IF(INDEX('Fleet dates'!$I$9:$I$1008,$I666-8)="","",INDEX('Fleet dates'!$I$9:$I$1008,$I666-8)))</x:f>
      </x:c>
      <x:c r="I666" t="str">
        <x:f>IF(658&gt;$H$4,"",MATCH(658,'Fleet dates'!$L$9:$L$1008,0)+8)</x:f>
      </x:c>
    </x:row>
    <x:row r="667" ht="36" customHeight="1">
      <x:c r="A667" s="50" t="str">
        <x:f>IF(659&gt;$H$4,"",IF(INDEX('Fleet dates'!$A$9:$A$1008,$I667-8)="","",INDEX('Fleet dates'!$A$9:$A$1008,$I667-8)))</x:f>
      </x:c>
      <x:c r="B667" s="50" t="str">
        <x:f>IF(659&gt;$H$4,"",IF(INDEX('Fleet dates'!$B$9:$B$1008,$I667-8)="","",INDEX('Fleet dates'!$B$9:$B$1008,$I667-8)))</x:f>
      </x:c>
      <x:c r="C667" s="51" t="str">
        <x:f>IF(659&gt;$H$4,"",IF(INDEX('Fleet dates'!$C$9:$C$1008,$I667-8)="","",INDEX('Fleet dates'!$C$9:$C$1008,$I667-8)))</x:f>
      </x:c>
      <x:c r="D667" s="51" t="str">
        <x:f>IF(659&gt;$H$4,"",IF(INDEX('Fleet dates'!$D$9:$D$1008,$I667-8)="","",INDEX('Fleet dates'!$D$9:$D$1008,$I667-8)))</x:f>
      </x:c>
      <x:c r="E667" s="51" t="str">
        <x:f>IF(659&gt;$H$4,"",IF(INDEX('Fleet dates'!$E$9:$E$1008,$I667-8)="","",INDEX('Fleet dates'!$E$9:$E$1008,$I667-8)))</x:f>
      </x:c>
      <x:c r="F667" s="51" t="str">
        <x:f>IF(659&gt;$H$4,"",IF(INDEX('Fleet dates'!$F$9:$F$1008,$I667-8)="","",INDEX('Fleet dates'!$F$9:$F$1008,$I667-8)))</x:f>
      </x:c>
      <x:c r="G667" s="50" t="str">
        <x:f>IF(659&gt;$H$4,"",IF(INDEX('Fleet dates'!$G$9:$G$1008,$I667-8)="","",INDEX('Fleet dates'!$G$9:$G$1008,$I667-8)))</x:f>
      </x:c>
      <x:c r="H667" s="50" t="str">
        <x:f>IF(659&gt;$H$4,"",IF(INDEX('Fleet dates'!$I$9:$I$1008,$I667-8)="","",INDEX('Fleet dates'!$I$9:$I$1008,$I667-8)))</x:f>
      </x:c>
      <x:c r="I667" t="str">
        <x:f>IF(659&gt;$H$4,"",MATCH(659,'Fleet dates'!$L$9:$L$1008,0)+8)</x:f>
      </x:c>
    </x:row>
    <x:row r="668" ht="36" customHeight="1">
      <x:c r="A668" s="50" t="str">
        <x:f>IF(660&gt;$H$4,"",IF(INDEX('Fleet dates'!$A$9:$A$1008,$I668-8)="","",INDEX('Fleet dates'!$A$9:$A$1008,$I668-8)))</x:f>
      </x:c>
      <x:c r="B668" s="50" t="str">
        <x:f>IF(660&gt;$H$4,"",IF(INDEX('Fleet dates'!$B$9:$B$1008,$I668-8)="","",INDEX('Fleet dates'!$B$9:$B$1008,$I668-8)))</x:f>
      </x:c>
      <x:c r="C668" s="51" t="str">
        <x:f>IF(660&gt;$H$4,"",IF(INDEX('Fleet dates'!$C$9:$C$1008,$I668-8)="","",INDEX('Fleet dates'!$C$9:$C$1008,$I668-8)))</x:f>
      </x:c>
      <x:c r="D668" s="51" t="str">
        <x:f>IF(660&gt;$H$4,"",IF(INDEX('Fleet dates'!$D$9:$D$1008,$I668-8)="","",INDEX('Fleet dates'!$D$9:$D$1008,$I668-8)))</x:f>
      </x:c>
      <x:c r="E668" s="51" t="str">
        <x:f>IF(660&gt;$H$4,"",IF(INDEX('Fleet dates'!$E$9:$E$1008,$I668-8)="","",INDEX('Fleet dates'!$E$9:$E$1008,$I668-8)))</x:f>
      </x:c>
      <x:c r="F668" s="51" t="str">
        <x:f>IF(660&gt;$H$4,"",IF(INDEX('Fleet dates'!$F$9:$F$1008,$I668-8)="","",INDEX('Fleet dates'!$F$9:$F$1008,$I668-8)))</x:f>
      </x:c>
      <x:c r="G668" s="50" t="str">
        <x:f>IF(660&gt;$H$4,"",IF(INDEX('Fleet dates'!$G$9:$G$1008,$I668-8)="","",INDEX('Fleet dates'!$G$9:$G$1008,$I668-8)))</x:f>
      </x:c>
      <x:c r="H668" s="50" t="str">
        <x:f>IF(660&gt;$H$4,"",IF(INDEX('Fleet dates'!$I$9:$I$1008,$I668-8)="","",INDEX('Fleet dates'!$I$9:$I$1008,$I668-8)))</x:f>
      </x:c>
      <x:c r="I668" t="str">
        <x:f>IF(660&gt;$H$4,"",MATCH(660,'Fleet dates'!$L$9:$L$1008,0)+8)</x:f>
      </x:c>
    </x:row>
    <x:row r="669" ht="36" customHeight="1">
      <x:c r="A669" s="50" t="str">
        <x:f>IF(661&gt;$H$4,"",IF(INDEX('Fleet dates'!$A$9:$A$1008,$I669-8)="","",INDEX('Fleet dates'!$A$9:$A$1008,$I669-8)))</x:f>
      </x:c>
      <x:c r="B669" s="50" t="str">
        <x:f>IF(661&gt;$H$4,"",IF(INDEX('Fleet dates'!$B$9:$B$1008,$I669-8)="","",INDEX('Fleet dates'!$B$9:$B$1008,$I669-8)))</x:f>
      </x:c>
      <x:c r="C669" s="51" t="str">
        <x:f>IF(661&gt;$H$4,"",IF(INDEX('Fleet dates'!$C$9:$C$1008,$I669-8)="","",INDEX('Fleet dates'!$C$9:$C$1008,$I669-8)))</x:f>
      </x:c>
      <x:c r="D669" s="51" t="str">
        <x:f>IF(661&gt;$H$4,"",IF(INDEX('Fleet dates'!$D$9:$D$1008,$I669-8)="","",INDEX('Fleet dates'!$D$9:$D$1008,$I669-8)))</x:f>
      </x:c>
      <x:c r="E669" s="51" t="str">
        <x:f>IF(661&gt;$H$4,"",IF(INDEX('Fleet dates'!$E$9:$E$1008,$I669-8)="","",INDEX('Fleet dates'!$E$9:$E$1008,$I669-8)))</x:f>
      </x:c>
      <x:c r="F669" s="51" t="str">
        <x:f>IF(661&gt;$H$4,"",IF(INDEX('Fleet dates'!$F$9:$F$1008,$I669-8)="","",INDEX('Fleet dates'!$F$9:$F$1008,$I669-8)))</x:f>
      </x:c>
      <x:c r="G669" s="50" t="str">
        <x:f>IF(661&gt;$H$4,"",IF(INDEX('Fleet dates'!$G$9:$G$1008,$I669-8)="","",INDEX('Fleet dates'!$G$9:$G$1008,$I669-8)))</x:f>
      </x:c>
      <x:c r="H669" s="50" t="str">
        <x:f>IF(661&gt;$H$4,"",IF(INDEX('Fleet dates'!$I$9:$I$1008,$I669-8)="","",INDEX('Fleet dates'!$I$9:$I$1008,$I669-8)))</x:f>
      </x:c>
      <x:c r="I669" t="str">
        <x:f>IF(661&gt;$H$4,"",MATCH(661,'Fleet dates'!$L$9:$L$1008,0)+8)</x:f>
      </x:c>
    </x:row>
    <x:row r="670" ht="36" customHeight="1">
      <x:c r="A670" s="50" t="str">
        <x:f>IF(662&gt;$H$4,"",IF(INDEX('Fleet dates'!$A$9:$A$1008,$I670-8)="","",INDEX('Fleet dates'!$A$9:$A$1008,$I670-8)))</x:f>
      </x:c>
      <x:c r="B670" s="50" t="str">
        <x:f>IF(662&gt;$H$4,"",IF(INDEX('Fleet dates'!$B$9:$B$1008,$I670-8)="","",INDEX('Fleet dates'!$B$9:$B$1008,$I670-8)))</x:f>
      </x:c>
      <x:c r="C670" s="51" t="str">
        <x:f>IF(662&gt;$H$4,"",IF(INDEX('Fleet dates'!$C$9:$C$1008,$I670-8)="","",INDEX('Fleet dates'!$C$9:$C$1008,$I670-8)))</x:f>
      </x:c>
      <x:c r="D670" s="51" t="str">
        <x:f>IF(662&gt;$H$4,"",IF(INDEX('Fleet dates'!$D$9:$D$1008,$I670-8)="","",INDEX('Fleet dates'!$D$9:$D$1008,$I670-8)))</x:f>
      </x:c>
      <x:c r="E670" s="51" t="str">
        <x:f>IF(662&gt;$H$4,"",IF(INDEX('Fleet dates'!$E$9:$E$1008,$I670-8)="","",INDEX('Fleet dates'!$E$9:$E$1008,$I670-8)))</x:f>
      </x:c>
      <x:c r="F670" s="51" t="str">
        <x:f>IF(662&gt;$H$4,"",IF(INDEX('Fleet dates'!$F$9:$F$1008,$I670-8)="","",INDEX('Fleet dates'!$F$9:$F$1008,$I670-8)))</x:f>
      </x:c>
      <x:c r="G670" s="50" t="str">
        <x:f>IF(662&gt;$H$4,"",IF(INDEX('Fleet dates'!$G$9:$G$1008,$I670-8)="","",INDEX('Fleet dates'!$G$9:$G$1008,$I670-8)))</x:f>
      </x:c>
      <x:c r="H670" s="50" t="str">
        <x:f>IF(662&gt;$H$4,"",IF(INDEX('Fleet dates'!$I$9:$I$1008,$I670-8)="","",INDEX('Fleet dates'!$I$9:$I$1008,$I670-8)))</x:f>
      </x:c>
      <x:c r="I670" t="str">
        <x:f>IF(662&gt;$H$4,"",MATCH(662,'Fleet dates'!$L$9:$L$1008,0)+8)</x:f>
      </x:c>
    </x:row>
    <x:row r="671" ht="36" customHeight="1">
      <x:c r="A671" s="50" t="str">
        <x:f>IF(663&gt;$H$4,"",IF(INDEX('Fleet dates'!$A$9:$A$1008,$I671-8)="","",INDEX('Fleet dates'!$A$9:$A$1008,$I671-8)))</x:f>
      </x:c>
      <x:c r="B671" s="50" t="str">
        <x:f>IF(663&gt;$H$4,"",IF(INDEX('Fleet dates'!$B$9:$B$1008,$I671-8)="","",INDEX('Fleet dates'!$B$9:$B$1008,$I671-8)))</x:f>
      </x:c>
      <x:c r="C671" s="51" t="str">
        <x:f>IF(663&gt;$H$4,"",IF(INDEX('Fleet dates'!$C$9:$C$1008,$I671-8)="","",INDEX('Fleet dates'!$C$9:$C$1008,$I671-8)))</x:f>
      </x:c>
      <x:c r="D671" s="51" t="str">
        <x:f>IF(663&gt;$H$4,"",IF(INDEX('Fleet dates'!$D$9:$D$1008,$I671-8)="","",INDEX('Fleet dates'!$D$9:$D$1008,$I671-8)))</x:f>
      </x:c>
      <x:c r="E671" s="51" t="str">
        <x:f>IF(663&gt;$H$4,"",IF(INDEX('Fleet dates'!$E$9:$E$1008,$I671-8)="","",INDEX('Fleet dates'!$E$9:$E$1008,$I671-8)))</x:f>
      </x:c>
      <x:c r="F671" s="51" t="str">
        <x:f>IF(663&gt;$H$4,"",IF(INDEX('Fleet dates'!$F$9:$F$1008,$I671-8)="","",INDEX('Fleet dates'!$F$9:$F$1008,$I671-8)))</x:f>
      </x:c>
      <x:c r="G671" s="50" t="str">
        <x:f>IF(663&gt;$H$4,"",IF(INDEX('Fleet dates'!$G$9:$G$1008,$I671-8)="","",INDEX('Fleet dates'!$G$9:$G$1008,$I671-8)))</x:f>
      </x:c>
      <x:c r="H671" s="50" t="str">
        <x:f>IF(663&gt;$H$4,"",IF(INDEX('Fleet dates'!$I$9:$I$1008,$I671-8)="","",INDEX('Fleet dates'!$I$9:$I$1008,$I671-8)))</x:f>
      </x:c>
      <x:c r="I671" t="str">
        <x:f>IF(663&gt;$H$4,"",MATCH(663,'Fleet dates'!$L$9:$L$1008,0)+8)</x:f>
      </x:c>
    </x:row>
    <x:row r="672" ht="36" customHeight="1">
      <x:c r="A672" s="50" t="str">
        <x:f>IF(664&gt;$H$4,"",IF(INDEX('Fleet dates'!$A$9:$A$1008,$I672-8)="","",INDEX('Fleet dates'!$A$9:$A$1008,$I672-8)))</x:f>
      </x:c>
      <x:c r="B672" s="50" t="str">
        <x:f>IF(664&gt;$H$4,"",IF(INDEX('Fleet dates'!$B$9:$B$1008,$I672-8)="","",INDEX('Fleet dates'!$B$9:$B$1008,$I672-8)))</x:f>
      </x:c>
      <x:c r="C672" s="51" t="str">
        <x:f>IF(664&gt;$H$4,"",IF(INDEX('Fleet dates'!$C$9:$C$1008,$I672-8)="","",INDEX('Fleet dates'!$C$9:$C$1008,$I672-8)))</x:f>
      </x:c>
      <x:c r="D672" s="51" t="str">
        <x:f>IF(664&gt;$H$4,"",IF(INDEX('Fleet dates'!$D$9:$D$1008,$I672-8)="","",INDEX('Fleet dates'!$D$9:$D$1008,$I672-8)))</x:f>
      </x:c>
      <x:c r="E672" s="51" t="str">
        <x:f>IF(664&gt;$H$4,"",IF(INDEX('Fleet dates'!$E$9:$E$1008,$I672-8)="","",INDEX('Fleet dates'!$E$9:$E$1008,$I672-8)))</x:f>
      </x:c>
      <x:c r="F672" s="51" t="str">
        <x:f>IF(664&gt;$H$4,"",IF(INDEX('Fleet dates'!$F$9:$F$1008,$I672-8)="","",INDEX('Fleet dates'!$F$9:$F$1008,$I672-8)))</x:f>
      </x:c>
      <x:c r="G672" s="50" t="str">
        <x:f>IF(664&gt;$H$4,"",IF(INDEX('Fleet dates'!$G$9:$G$1008,$I672-8)="","",INDEX('Fleet dates'!$G$9:$G$1008,$I672-8)))</x:f>
      </x:c>
      <x:c r="H672" s="50" t="str">
        <x:f>IF(664&gt;$H$4,"",IF(INDEX('Fleet dates'!$I$9:$I$1008,$I672-8)="","",INDEX('Fleet dates'!$I$9:$I$1008,$I672-8)))</x:f>
      </x:c>
      <x:c r="I672" t="str">
        <x:f>IF(664&gt;$H$4,"",MATCH(664,'Fleet dates'!$L$9:$L$1008,0)+8)</x:f>
      </x:c>
    </x:row>
    <x:row r="673" ht="36" customHeight="1">
      <x:c r="A673" s="50" t="str">
        <x:f>IF(665&gt;$H$4,"",IF(INDEX('Fleet dates'!$A$9:$A$1008,$I673-8)="","",INDEX('Fleet dates'!$A$9:$A$1008,$I673-8)))</x:f>
      </x:c>
      <x:c r="B673" s="50" t="str">
        <x:f>IF(665&gt;$H$4,"",IF(INDEX('Fleet dates'!$B$9:$B$1008,$I673-8)="","",INDEX('Fleet dates'!$B$9:$B$1008,$I673-8)))</x:f>
      </x:c>
      <x:c r="C673" s="51" t="str">
        <x:f>IF(665&gt;$H$4,"",IF(INDEX('Fleet dates'!$C$9:$C$1008,$I673-8)="","",INDEX('Fleet dates'!$C$9:$C$1008,$I673-8)))</x:f>
      </x:c>
      <x:c r="D673" s="51" t="str">
        <x:f>IF(665&gt;$H$4,"",IF(INDEX('Fleet dates'!$D$9:$D$1008,$I673-8)="","",INDEX('Fleet dates'!$D$9:$D$1008,$I673-8)))</x:f>
      </x:c>
      <x:c r="E673" s="51" t="str">
        <x:f>IF(665&gt;$H$4,"",IF(INDEX('Fleet dates'!$E$9:$E$1008,$I673-8)="","",INDEX('Fleet dates'!$E$9:$E$1008,$I673-8)))</x:f>
      </x:c>
      <x:c r="F673" s="51" t="str">
        <x:f>IF(665&gt;$H$4,"",IF(INDEX('Fleet dates'!$F$9:$F$1008,$I673-8)="","",INDEX('Fleet dates'!$F$9:$F$1008,$I673-8)))</x:f>
      </x:c>
      <x:c r="G673" s="50" t="str">
        <x:f>IF(665&gt;$H$4,"",IF(INDEX('Fleet dates'!$G$9:$G$1008,$I673-8)="","",INDEX('Fleet dates'!$G$9:$G$1008,$I673-8)))</x:f>
      </x:c>
      <x:c r="H673" s="50" t="str">
        <x:f>IF(665&gt;$H$4,"",IF(INDEX('Fleet dates'!$I$9:$I$1008,$I673-8)="","",INDEX('Fleet dates'!$I$9:$I$1008,$I673-8)))</x:f>
      </x:c>
      <x:c r="I673" t="str">
        <x:f>IF(665&gt;$H$4,"",MATCH(665,'Fleet dates'!$L$9:$L$1008,0)+8)</x:f>
      </x:c>
    </x:row>
    <x:row r="674" ht="36" customHeight="1">
      <x:c r="A674" s="50" t="str">
        <x:f>IF(666&gt;$H$4,"",IF(INDEX('Fleet dates'!$A$9:$A$1008,$I674-8)="","",INDEX('Fleet dates'!$A$9:$A$1008,$I674-8)))</x:f>
      </x:c>
      <x:c r="B674" s="50" t="str">
        <x:f>IF(666&gt;$H$4,"",IF(INDEX('Fleet dates'!$B$9:$B$1008,$I674-8)="","",INDEX('Fleet dates'!$B$9:$B$1008,$I674-8)))</x:f>
      </x:c>
      <x:c r="C674" s="51" t="str">
        <x:f>IF(666&gt;$H$4,"",IF(INDEX('Fleet dates'!$C$9:$C$1008,$I674-8)="","",INDEX('Fleet dates'!$C$9:$C$1008,$I674-8)))</x:f>
      </x:c>
      <x:c r="D674" s="51" t="str">
        <x:f>IF(666&gt;$H$4,"",IF(INDEX('Fleet dates'!$D$9:$D$1008,$I674-8)="","",INDEX('Fleet dates'!$D$9:$D$1008,$I674-8)))</x:f>
      </x:c>
      <x:c r="E674" s="51" t="str">
        <x:f>IF(666&gt;$H$4,"",IF(INDEX('Fleet dates'!$E$9:$E$1008,$I674-8)="","",INDEX('Fleet dates'!$E$9:$E$1008,$I674-8)))</x:f>
      </x:c>
      <x:c r="F674" s="51" t="str">
        <x:f>IF(666&gt;$H$4,"",IF(INDEX('Fleet dates'!$F$9:$F$1008,$I674-8)="","",INDEX('Fleet dates'!$F$9:$F$1008,$I674-8)))</x:f>
      </x:c>
      <x:c r="G674" s="50" t="str">
        <x:f>IF(666&gt;$H$4,"",IF(INDEX('Fleet dates'!$G$9:$G$1008,$I674-8)="","",INDEX('Fleet dates'!$G$9:$G$1008,$I674-8)))</x:f>
      </x:c>
      <x:c r="H674" s="50" t="str">
        <x:f>IF(666&gt;$H$4,"",IF(INDEX('Fleet dates'!$I$9:$I$1008,$I674-8)="","",INDEX('Fleet dates'!$I$9:$I$1008,$I674-8)))</x:f>
      </x:c>
      <x:c r="I674" t="str">
        <x:f>IF(666&gt;$H$4,"",MATCH(666,'Fleet dates'!$L$9:$L$1008,0)+8)</x:f>
      </x:c>
    </x:row>
    <x:row r="675" ht="36" customHeight="1">
      <x:c r="A675" s="50" t="str">
        <x:f>IF(667&gt;$H$4,"",IF(INDEX('Fleet dates'!$A$9:$A$1008,$I675-8)="","",INDEX('Fleet dates'!$A$9:$A$1008,$I675-8)))</x:f>
      </x:c>
      <x:c r="B675" s="50" t="str">
        <x:f>IF(667&gt;$H$4,"",IF(INDEX('Fleet dates'!$B$9:$B$1008,$I675-8)="","",INDEX('Fleet dates'!$B$9:$B$1008,$I675-8)))</x:f>
      </x:c>
      <x:c r="C675" s="51" t="str">
        <x:f>IF(667&gt;$H$4,"",IF(INDEX('Fleet dates'!$C$9:$C$1008,$I675-8)="","",INDEX('Fleet dates'!$C$9:$C$1008,$I675-8)))</x:f>
      </x:c>
      <x:c r="D675" s="51" t="str">
        <x:f>IF(667&gt;$H$4,"",IF(INDEX('Fleet dates'!$D$9:$D$1008,$I675-8)="","",INDEX('Fleet dates'!$D$9:$D$1008,$I675-8)))</x:f>
      </x:c>
      <x:c r="E675" s="51" t="str">
        <x:f>IF(667&gt;$H$4,"",IF(INDEX('Fleet dates'!$E$9:$E$1008,$I675-8)="","",INDEX('Fleet dates'!$E$9:$E$1008,$I675-8)))</x:f>
      </x:c>
      <x:c r="F675" s="51" t="str">
        <x:f>IF(667&gt;$H$4,"",IF(INDEX('Fleet dates'!$F$9:$F$1008,$I675-8)="","",INDEX('Fleet dates'!$F$9:$F$1008,$I675-8)))</x:f>
      </x:c>
      <x:c r="G675" s="50" t="str">
        <x:f>IF(667&gt;$H$4,"",IF(INDEX('Fleet dates'!$G$9:$G$1008,$I675-8)="","",INDEX('Fleet dates'!$G$9:$G$1008,$I675-8)))</x:f>
      </x:c>
      <x:c r="H675" s="50" t="str">
        <x:f>IF(667&gt;$H$4,"",IF(INDEX('Fleet dates'!$I$9:$I$1008,$I675-8)="","",INDEX('Fleet dates'!$I$9:$I$1008,$I675-8)))</x:f>
      </x:c>
      <x:c r="I675" t="str">
        <x:f>IF(667&gt;$H$4,"",MATCH(667,'Fleet dates'!$L$9:$L$1008,0)+8)</x:f>
      </x:c>
    </x:row>
    <x:row r="676" ht="36" customHeight="1">
      <x:c r="A676" s="50" t="str">
        <x:f>IF(668&gt;$H$4,"",IF(INDEX('Fleet dates'!$A$9:$A$1008,$I676-8)="","",INDEX('Fleet dates'!$A$9:$A$1008,$I676-8)))</x:f>
      </x:c>
      <x:c r="B676" s="50" t="str">
        <x:f>IF(668&gt;$H$4,"",IF(INDEX('Fleet dates'!$B$9:$B$1008,$I676-8)="","",INDEX('Fleet dates'!$B$9:$B$1008,$I676-8)))</x:f>
      </x:c>
      <x:c r="C676" s="51" t="str">
        <x:f>IF(668&gt;$H$4,"",IF(INDEX('Fleet dates'!$C$9:$C$1008,$I676-8)="","",INDEX('Fleet dates'!$C$9:$C$1008,$I676-8)))</x:f>
      </x:c>
      <x:c r="D676" s="51" t="str">
        <x:f>IF(668&gt;$H$4,"",IF(INDEX('Fleet dates'!$D$9:$D$1008,$I676-8)="","",INDEX('Fleet dates'!$D$9:$D$1008,$I676-8)))</x:f>
      </x:c>
      <x:c r="E676" s="51" t="str">
        <x:f>IF(668&gt;$H$4,"",IF(INDEX('Fleet dates'!$E$9:$E$1008,$I676-8)="","",INDEX('Fleet dates'!$E$9:$E$1008,$I676-8)))</x:f>
      </x:c>
      <x:c r="F676" s="51" t="str">
        <x:f>IF(668&gt;$H$4,"",IF(INDEX('Fleet dates'!$F$9:$F$1008,$I676-8)="","",INDEX('Fleet dates'!$F$9:$F$1008,$I676-8)))</x:f>
      </x:c>
      <x:c r="G676" s="50" t="str">
        <x:f>IF(668&gt;$H$4,"",IF(INDEX('Fleet dates'!$G$9:$G$1008,$I676-8)="","",INDEX('Fleet dates'!$G$9:$G$1008,$I676-8)))</x:f>
      </x:c>
      <x:c r="H676" s="50" t="str">
        <x:f>IF(668&gt;$H$4,"",IF(INDEX('Fleet dates'!$I$9:$I$1008,$I676-8)="","",INDEX('Fleet dates'!$I$9:$I$1008,$I676-8)))</x:f>
      </x:c>
      <x:c r="I676" t="str">
        <x:f>IF(668&gt;$H$4,"",MATCH(668,'Fleet dates'!$L$9:$L$1008,0)+8)</x:f>
      </x:c>
    </x:row>
    <x:row r="677" ht="36" customHeight="1">
      <x:c r="A677" s="50" t="str">
        <x:f>IF(669&gt;$H$4,"",IF(INDEX('Fleet dates'!$A$9:$A$1008,$I677-8)="","",INDEX('Fleet dates'!$A$9:$A$1008,$I677-8)))</x:f>
      </x:c>
      <x:c r="B677" s="50" t="str">
        <x:f>IF(669&gt;$H$4,"",IF(INDEX('Fleet dates'!$B$9:$B$1008,$I677-8)="","",INDEX('Fleet dates'!$B$9:$B$1008,$I677-8)))</x:f>
      </x:c>
      <x:c r="C677" s="51" t="str">
        <x:f>IF(669&gt;$H$4,"",IF(INDEX('Fleet dates'!$C$9:$C$1008,$I677-8)="","",INDEX('Fleet dates'!$C$9:$C$1008,$I677-8)))</x:f>
      </x:c>
      <x:c r="D677" s="51" t="str">
        <x:f>IF(669&gt;$H$4,"",IF(INDEX('Fleet dates'!$D$9:$D$1008,$I677-8)="","",INDEX('Fleet dates'!$D$9:$D$1008,$I677-8)))</x:f>
      </x:c>
      <x:c r="E677" s="51" t="str">
        <x:f>IF(669&gt;$H$4,"",IF(INDEX('Fleet dates'!$E$9:$E$1008,$I677-8)="","",INDEX('Fleet dates'!$E$9:$E$1008,$I677-8)))</x:f>
      </x:c>
      <x:c r="F677" s="51" t="str">
        <x:f>IF(669&gt;$H$4,"",IF(INDEX('Fleet dates'!$F$9:$F$1008,$I677-8)="","",INDEX('Fleet dates'!$F$9:$F$1008,$I677-8)))</x:f>
      </x:c>
      <x:c r="G677" s="50" t="str">
        <x:f>IF(669&gt;$H$4,"",IF(INDEX('Fleet dates'!$G$9:$G$1008,$I677-8)="","",INDEX('Fleet dates'!$G$9:$G$1008,$I677-8)))</x:f>
      </x:c>
      <x:c r="H677" s="50" t="str">
        <x:f>IF(669&gt;$H$4,"",IF(INDEX('Fleet dates'!$I$9:$I$1008,$I677-8)="","",INDEX('Fleet dates'!$I$9:$I$1008,$I677-8)))</x:f>
      </x:c>
      <x:c r="I677" t="str">
        <x:f>IF(669&gt;$H$4,"",MATCH(669,'Fleet dates'!$L$9:$L$1008,0)+8)</x:f>
      </x:c>
    </x:row>
    <x:row r="678" ht="36" customHeight="1">
      <x:c r="A678" s="50" t="str">
        <x:f>IF(670&gt;$H$4,"",IF(INDEX('Fleet dates'!$A$9:$A$1008,$I678-8)="","",INDEX('Fleet dates'!$A$9:$A$1008,$I678-8)))</x:f>
      </x:c>
      <x:c r="B678" s="50" t="str">
        <x:f>IF(670&gt;$H$4,"",IF(INDEX('Fleet dates'!$B$9:$B$1008,$I678-8)="","",INDEX('Fleet dates'!$B$9:$B$1008,$I678-8)))</x:f>
      </x:c>
      <x:c r="C678" s="51" t="str">
        <x:f>IF(670&gt;$H$4,"",IF(INDEX('Fleet dates'!$C$9:$C$1008,$I678-8)="","",INDEX('Fleet dates'!$C$9:$C$1008,$I678-8)))</x:f>
      </x:c>
      <x:c r="D678" s="51" t="str">
        <x:f>IF(670&gt;$H$4,"",IF(INDEX('Fleet dates'!$D$9:$D$1008,$I678-8)="","",INDEX('Fleet dates'!$D$9:$D$1008,$I678-8)))</x:f>
      </x:c>
      <x:c r="E678" s="51" t="str">
        <x:f>IF(670&gt;$H$4,"",IF(INDEX('Fleet dates'!$E$9:$E$1008,$I678-8)="","",INDEX('Fleet dates'!$E$9:$E$1008,$I678-8)))</x:f>
      </x:c>
      <x:c r="F678" s="51" t="str">
        <x:f>IF(670&gt;$H$4,"",IF(INDEX('Fleet dates'!$F$9:$F$1008,$I678-8)="","",INDEX('Fleet dates'!$F$9:$F$1008,$I678-8)))</x:f>
      </x:c>
      <x:c r="G678" s="50" t="str">
        <x:f>IF(670&gt;$H$4,"",IF(INDEX('Fleet dates'!$G$9:$G$1008,$I678-8)="","",INDEX('Fleet dates'!$G$9:$G$1008,$I678-8)))</x:f>
      </x:c>
      <x:c r="H678" s="50" t="str">
        <x:f>IF(670&gt;$H$4,"",IF(INDEX('Fleet dates'!$I$9:$I$1008,$I678-8)="","",INDEX('Fleet dates'!$I$9:$I$1008,$I678-8)))</x:f>
      </x:c>
      <x:c r="I678" t="str">
        <x:f>IF(670&gt;$H$4,"",MATCH(670,'Fleet dates'!$L$9:$L$1008,0)+8)</x:f>
      </x:c>
    </x:row>
    <x:row r="679" ht="36" customHeight="1">
      <x:c r="A679" s="50" t="str">
        <x:f>IF(671&gt;$H$4,"",IF(INDEX('Fleet dates'!$A$9:$A$1008,$I679-8)="","",INDEX('Fleet dates'!$A$9:$A$1008,$I679-8)))</x:f>
      </x:c>
      <x:c r="B679" s="50" t="str">
        <x:f>IF(671&gt;$H$4,"",IF(INDEX('Fleet dates'!$B$9:$B$1008,$I679-8)="","",INDEX('Fleet dates'!$B$9:$B$1008,$I679-8)))</x:f>
      </x:c>
      <x:c r="C679" s="51" t="str">
        <x:f>IF(671&gt;$H$4,"",IF(INDEX('Fleet dates'!$C$9:$C$1008,$I679-8)="","",INDEX('Fleet dates'!$C$9:$C$1008,$I679-8)))</x:f>
      </x:c>
      <x:c r="D679" s="51" t="str">
        <x:f>IF(671&gt;$H$4,"",IF(INDEX('Fleet dates'!$D$9:$D$1008,$I679-8)="","",INDEX('Fleet dates'!$D$9:$D$1008,$I679-8)))</x:f>
      </x:c>
      <x:c r="E679" s="51" t="str">
        <x:f>IF(671&gt;$H$4,"",IF(INDEX('Fleet dates'!$E$9:$E$1008,$I679-8)="","",INDEX('Fleet dates'!$E$9:$E$1008,$I679-8)))</x:f>
      </x:c>
      <x:c r="F679" s="51" t="str">
        <x:f>IF(671&gt;$H$4,"",IF(INDEX('Fleet dates'!$F$9:$F$1008,$I679-8)="","",INDEX('Fleet dates'!$F$9:$F$1008,$I679-8)))</x:f>
      </x:c>
      <x:c r="G679" s="50" t="str">
        <x:f>IF(671&gt;$H$4,"",IF(INDEX('Fleet dates'!$G$9:$G$1008,$I679-8)="","",INDEX('Fleet dates'!$G$9:$G$1008,$I679-8)))</x:f>
      </x:c>
      <x:c r="H679" s="50" t="str">
        <x:f>IF(671&gt;$H$4,"",IF(INDEX('Fleet dates'!$I$9:$I$1008,$I679-8)="","",INDEX('Fleet dates'!$I$9:$I$1008,$I679-8)))</x:f>
      </x:c>
      <x:c r="I679" t="str">
        <x:f>IF(671&gt;$H$4,"",MATCH(671,'Fleet dates'!$L$9:$L$1008,0)+8)</x:f>
      </x:c>
    </x:row>
    <x:row r="680" ht="36" customHeight="1">
      <x:c r="A680" s="50" t="str">
        <x:f>IF(672&gt;$H$4,"",IF(INDEX('Fleet dates'!$A$9:$A$1008,$I680-8)="","",INDEX('Fleet dates'!$A$9:$A$1008,$I680-8)))</x:f>
      </x:c>
      <x:c r="B680" s="50" t="str">
        <x:f>IF(672&gt;$H$4,"",IF(INDEX('Fleet dates'!$B$9:$B$1008,$I680-8)="","",INDEX('Fleet dates'!$B$9:$B$1008,$I680-8)))</x:f>
      </x:c>
      <x:c r="C680" s="51" t="str">
        <x:f>IF(672&gt;$H$4,"",IF(INDEX('Fleet dates'!$C$9:$C$1008,$I680-8)="","",INDEX('Fleet dates'!$C$9:$C$1008,$I680-8)))</x:f>
      </x:c>
      <x:c r="D680" s="51" t="str">
        <x:f>IF(672&gt;$H$4,"",IF(INDEX('Fleet dates'!$D$9:$D$1008,$I680-8)="","",INDEX('Fleet dates'!$D$9:$D$1008,$I680-8)))</x:f>
      </x:c>
      <x:c r="E680" s="51" t="str">
        <x:f>IF(672&gt;$H$4,"",IF(INDEX('Fleet dates'!$E$9:$E$1008,$I680-8)="","",INDEX('Fleet dates'!$E$9:$E$1008,$I680-8)))</x:f>
      </x:c>
      <x:c r="F680" s="51" t="str">
        <x:f>IF(672&gt;$H$4,"",IF(INDEX('Fleet dates'!$F$9:$F$1008,$I680-8)="","",INDEX('Fleet dates'!$F$9:$F$1008,$I680-8)))</x:f>
      </x:c>
      <x:c r="G680" s="50" t="str">
        <x:f>IF(672&gt;$H$4,"",IF(INDEX('Fleet dates'!$G$9:$G$1008,$I680-8)="","",INDEX('Fleet dates'!$G$9:$G$1008,$I680-8)))</x:f>
      </x:c>
      <x:c r="H680" s="50" t="str">
        <x:f>IF(672&gt;$H$4,"",IF(INDEX('Fleet dates'!$I$9:$I$1008,$I680-8)="","",INDEX('Fleet dates'!$I$9:$I$1008,$I680-8)))</x:f>
      </x:c>
      <x:c r="I680" t="str">
        <x:f>IF(672&gt;$H$4,"",MATCH(672,'Fleet dates'!$L$9:$L$1008,0)+8)</x:f>
      </x:c>
    </x:row>
    <x:row r="681" ht="36" customHeight="1">
      <x:c r="A681" s="50" t="str">
        <x:f>IF(673&gt;$H$4,"",IF(INDEX('Fleet dates'!$A$9:$A$1008,$I681-8)="","",INDEX('Fleet dates'!$A$9:$A$1008,$I681-8)))</x:f>
      </x:c>
      <x:c r="B681" s="50" t="str">
        <x:f>IF(673&gt;$H$4,"",IF(INDEX('Fleet dates'!$B$9:$B$1008,$I681-8)="","",INDEX('Fleet dates'!$B$9:$B$1008,$I681-8)))</x:f>
      </x:c>
      <x:c r="C681" s="51" t="str">
        <x:f>IF(673&gt;$H$4,"",IF(INDEX('Fleet dates'!$C$9:$C$1008,$I681-8)="","",INDEX('Fleet dates'!$C$9:$C$1008,$I681-8)))</x:f>
      </x:c>
      <x:c r="D681" s="51" t="str">
        <x:f>IF(673&gt;$H$4,"",IF(INDEX('Fleet dates'!$D$9:$D$1008,$I681-8)="","",INDEX('Fleet dates'!$D$9:$D$1008,$I681-8)))</x:f>
      </x:c>
      <x:c r="E681" s="51" t="str">
        <x:f>IF(673&gt;$H$4,"",IF(INDEX('Fleet dates'!$E$9:$E$1008,$I681-8)="","",INDEX('Fleet dates'!$E$9:$E$1008,$I681-8)))</x:f>
      </x:c>
      <x:c r="F681" s="51" t="str">
        <x:f>IF(673&gt;$H$4,"",IF(INDEX('Fleet dates'!$F$9:$F$1008,$I681-8)="","",INDEX('Fleet dates'!$F$9:$F$1008,$I681-8)))</x:f>
      </x:c>
      <x:c r="G681" s="50" t="str">
        <x:f>IF(673&gt;$H$4,"",IF(INDEX('Fleet dates'!$G$9:$G$1008,$I681-8)="","",INDEX('Fleet dates'!$G$9:$G$1008,$I681-8)))</x:f>
      </x:c>
      <x:c r="H681" s="50" t="str">
        <x:f>IF(673&gt;$H$4,"",IF(INDEX('Fleet dates'!$I$9:$I$1008,$I681-8)="","",INDEX('Fleet dates'!$I$9:$I$1008,$I681-8)))</x:f>
      </x:c>
      <x:c r="I681" t="str">
        <x:f>IF(673&gt;$H$4,"",MATCH(673,'Fleet dates'!$L$9:$L$1008,0)+8)</x:f>
      </x:c>
    </x:row>
    <x:row r="682" ht="36" customHeight="1">
      <x:c r="A682" s="50" t="str">
        <x:f>IF(674&gt;$H$4,"",IF(INDEX('Fleet dates'!$A$9:$A$1008,$I682-8)="","",INDEX('Fleet dates'!$A$9:$A$1008,$I682-8)))</x:f>
      </x:c>
      <x:c r="B682" s="50" t="str">
        <x:f>IF(674&gt;$H$4,"",IF(INDEX('Fleet dates'!$B$9:$B$1008,$I682-8)="","",INDEX('Fleet dates'!$B$9:$B$1008,$I682-8)))</x:f>
      </x:c>
      <x:c r="C682" s="51" t="str">
        <x:f>IF(674&gt;$H$4,"",IF(INDEX('Fleet dates'!$C$9:$C$1008,$I682-8)="","",INDEX('Fleet dates'!$C$9:$C$1008,$I682-8)))</x:f>
      </x:c>
      <x:c r="D682" s="51" t="str">
        <x:f>IF(674&gt;$H$4,"",IF(INDEX('Fleet dates'!$D$9:$D$1008,$I682-8)="","",INDEX('Fleet dates'!$D$9:$D$1008,$I682-8)))</x:f>
      </x:c>
      <x:c r="E682" s="51" t="str">
        <x:f>IF(674&gt;$H$4,"",IF(INDEX('Fleet dates'!$E$9:$E$1008,$I682-8)="","",INDEX('Fleet dates'!$E$9:$E$1008,$I682-8)))</x:f>
      </x:c>
      <x:c r="F682" s="51" t="str">
        <x:f>IF(674&gt;$H$4,"",IF(INDEX('Fleet dates'!$F$9:$F$1008,$I682-8)="","",INDEX('Fleet dates'!$F$9:$F$1008,$I682-8)))</x:f>
      </x:c>
      <x:c r="G682" s="50" t="str">
        <x:f>IF(674&gt;$H$4,"",IF(INDEX('Fleet dates'!$G$9:$G$1008,$I682-8)="","",INDEX('Fleet dates'!$G$9:$G$1008,$I682-8)))</x:f>
      </x:c>
      <x:c r="H682" s="50" t="str">
        <x:f>IF(674&gt;$H$4,"",IF(INDEX('Fleet dates'!$I$9:$I$1008,$I682-8)="","",INDEX('Fleet dates'!$I$9:$I$1008,$I682-8)))</x:f>
      </x:c>
      <x:c r="I682" t="str">
        <x:f>IF(674&gt;$H$4,"",MATCH(674,'Fleet dates'!$L$9:$L$1008,0)+8)</x:f>
      </x:c>
    </x:row>
    <x:row r="683" ht="36" customHeight="1">
      <x:c r="A683" s="50" t="str">
        <x:f>IF(675&gt;$H$4,"",IF(INDEX('Fleet dates'!$A$9:$A$1008,$I683-8)="","",INDEX('Fleet dates'!$A$9:$A$1008,$I683-8)))</x:f>
      </x:c>
      <x:c r="B683" s="50" t="str">
        <x:f>IF(675&gt;$H$4,"",IF(INDEX('Fleet dates'!$B$9:$B$1008,$I683-8)="","",INDEX('Fleet dates'!$B$9:$B$1008,$I683-8)))</x:f>
      </x:c>
      <x:c r="C683" s="51" t="str">
        <x:f>IF(675&gt;$H$4,"",IF(INDEX('Fleet dates'!$C$9:$C$1008,$I683-8)="","",INDEX('Fleet dates'!$C$9:$C$1008,$I683-8)))</x:f>
      </x:c>
      <x:c r="D683" s="51" t="str">
        <x:f>IF(675&gt;$H$4,"",IF(INDEX('Fleet dates'!$D$9:$D$1008,$I683-8)="","",INDEX('Fleet dates'!$D$9:$D$1008,$I683-8)))</x:f>
      </x:c>
      <x:c r="E683" s="51" t="str">
        <x:f>IF(675&gt;$H$4,"",IF(INDEX('Fleet dates'!$E$9:$E$1008,$I683-8)="","",INDEX('Fleet dates'!$E$9:$E$1008,$I683-8)))</x:f>
      </x:c>
      <x:c r="F683" s="51" t="str">
        <x:f>IF(675&gt;$H$4,"",IF(INDEX('Fleet dates'!$F$9:$F$1008,$I683-8)="","",INDEX('Fleet dates'!$F$9:$F$1008,$I683-8)))</x:f>
      </x:c>
      <x:c r="G683" s="50" t="str">
        <x:f>IF(675&gt;$H$4,"",IF(INDEX('Fleet dates'!$G$9:$G$1008,$I683-8)="","",INDEX('Fleet dates'!$G$9:$G$1008,$I683-8)))</x:f>
      </x:c>
      <x:c r="H683" s="50" t="str">
        <x:f>IF(675&gt;$H$4,"",IF(INDEX('Fleet dates'!$I$9:$I$1008,$I683-8)="","",INDEX('Fleet dates'!$I$9:$I$1008,$I683-8)))</x:f>
      </x:c>
      <x:c r="I683" t="str">
        <x:f>IF(675&gt;$H$4,"",MATCH(675,'Fleet dates'!$L$9:$L$1008,0)+8)</x:f>
      </x:c>
    </x:row>
    <x:row r="684" ht="36" customHeight="1">
      <x:c r="A684" s="50" t="str">
        <x:f>IF(676&gt;$H$4,"",IF(INDEX('Fleet dates'!$A$9:$A$1008,$I684-8)="","",INDEX('Fleet dates'!$A$9:$A$1008,$I684-8)))</x:f>
      </x:c>
      <x:c r="B684" s="50" t="str">
        <x:f>IF(676&gt;$H$4,"",IF(INDEX('Fleet dates'!$B$9:$B$1008,$I684-8)="","",INDEX('Fleet dates'!$B$9:$B$1008,$I684-8)))</x:f>
      </x:c>
      <x:c r="C684" s="51" t="str">
        <x:f>IF(676&gt;$H$4,"",IF(INDEX('Fleet dates'!$C$9:$C$1008,$I684-8)="","",INDEX('Fleet dates'!$C$9:$C$1008,$I684-8)))</x:f>
      </x:c>
      <x:c r="D684" s="51" t="str">
        <x:f>IF(676&gt;$H$4,"",IF(INDEX('Fleet dates'!$D$9:$D$1008,$I684-8)="","",INDEX('Fleet dates'!$D$9:$D$1008,$I684-8)))</x:f>
      </x:c>
      <x:c r="E684" s="51" t="str">
        <x:f>IF(676&gt;$H$4,"",IF(INDEX('Fleet dates'!$E$9:$E$1008,$I684-8)="","",INDEX('Fleet dates'!$E$9:$E$1008,$I684-8)))</x:f>
      </x:c>
      <x:c r="F684" s="51" t="str">
        <x:f>IF(676&gt;$H$4,"",IF(INDEX('Fleet dates'!$F$9:$F$1008,$I684-8)="","",INDEX('Fleet dates'!$F$9:$F$1008,$I684-8)))</x:f>
      </x:c>
      <x:c r="G684" s="50" t="str">
        <x:f>IF(676&gt;$H$4,"",IF(INDEX('Fleet dates'!$G$9:$G$1008,$I684-8)="","",INDEX('Fleet dates'!$G$9:$G$1008,$I684-8)))</x:f>
      </x:c>
      <x:c r="H684" s="50" t="str">
        <x:f>IF(676&gt;$H$4,"",IF(INDEX('Fleet dates'!$I$9:$I$1008,$I684-8)="","",INDEX('Fleet dates'!$I$9:$I$1008,$I684-8)))</x:f>
      </x:c>
      <x:c r="I684" t="str">
        <x:f>IF(676&gt;$H$4,"",MATCH(676,'Fleet dates'!$L$9:$L$1008,0)+8)</x:f>
      </x:c>
    </x:row>
    <x:row r="685" ht="36" customHeight="1">
      <x:c r="A685" s="50" t="str">
        <x:f>IF(677&gt;$H$4,"",IF(INDEX('Fleet dates'!$A$9:$A$1008,$I685-8)="","",INDEX('Fleet dates'!$A$9:$A$1008,$I685-8)))</x:f>
      </x:c>
      <x:c r="B685" s="50" t="str">
        <x:f>IF(677&gt;$H$4,"",IF(INDEX('Fleet dates'!$B$9:$B$1008,$I685-8)="","",INDEX('Fleet dates'!$B$9:$B$1008,$I685-8)))</x:f>
      </x:c>
      <x:c r="C685" s="51" t="str">
        <x:f>IF(677&gt;$H$4,"",IF(INDEX('Fleet dates'!$C$9:$C$1008,$I685-8)="","",INDEX('Fleet dates'!$C$9:$C$1008,$I685-8)))</x:f>
      </x:c>
      <x:c r="D685" s="51" t="str">
        <x:f>IF(677&gt;$H$4,"",IF(INDEX('Fleet dates'!$D$9:$D$1008,$I685-8)="","",INDEX('Fleet dates'!$D$9:$D$1008,$I685-8)))</x:f>
      </x:c>
      <x:c r="E685" s="51" t="str">
        <x:f>IF(677&gt;$H$4,"",IF(INDEX('Fleet dates'!$E$9:$E$1008,$I685-8)="","",INDEX('Fleet dates'!$E$9:$E$1008,$I685-8)))</x:f>
      </x:c>
      <x:c r="F685" s="51" t="str">
        <x:f>IF(677&gt;$H$4,"",IF(INDEX('Fleet dates'!$F$9:$F$1008,$I685-8)="","",INDEX('Fleet dates'!$F$9:$F$1008,$I685-8)))</x:f>
      </x:c>
      <x:c r="G685" s="50" t="str">
        <x:f>IF(677&gt;$H$4,"",IF(INDEX('Fleet dates'!$G$9:$G$1008,$I685-8)="","",INDEX('Fleet dates'!$G$9:$G$1008,$I685-8)))</x:f>
      </x:c>
      <x:c r="H685" s="50" t="str">
        <x:f>IF(677&gt;$H$4,"",IF(INDEX('Fleet dates'!$I$9:$I$1008,$I685-8)="","",INDEX('Fleet dates'!$I$9:$I$1008,$I685-8)))</x:f>
      </x:c>
      <x:c r="I685" t="str">
        <x:f>IF(677&gt;$H$4,"",MATCH(677,'Fleet dates'!$L$9:$L$1008,0)+8)</x:f>
      </x:c>
    </x:row>
    <x:row r="686" ht="36" customHeight="1">
      <x:c r="A686" s="50" t="str">
        <x:f>IF(678&gt;$H$4,"",IF(INDEX('Fleet dates'!$A$9:$A$1008,$I686-8)="","",INDEX('Fleet dates'!$A$9:$A$1008,$I686-8)))</x:f>
      </x:c>
      <x:c r="B686" s="50" t="str">
        <x:f>IF(678&gt;$H$4,"",IF(INDEX('Fleet dates'!$B$9:$B$1008,$I686-8)="","",INDEX('Fleet dates'!$B$9:$B$1008,$I686-8)))</x:f>
      </x:c>
      <x:c r="C686" s="51" t="str">
        <x:f>IF(678&gt;$H$4,"",IF(INDEX('Fleet dates'!$C$9:$C$1008,$I686-8)="","",INDEX('Fleet dates'!$C$9:$C$1008,$I686-8)))</x:f>
      </x:c>
      <x:c r="D686" s="51" t="str">
        <x:f>IF(678&gt;$H$4,"",IF(INDEX('Fleet dates'!$D$9:$D$1008,$I686-8)="","",INDEX('Fleet dates'!$D$9:$D$1008,$I686-8)))</x:f>
      </x:c>
      <x:c r="E686" s="51" t="str">
        <x:f>IF(678&gt;$H$4,"",IF(INDEX('Fleet dates'!$E$9:$E$1008,$I686-8)="","",INDEX('Fleet dates'!$E$9:$E$1008,$I686-8)))</x:f>
      </x:c>
      <x:c r="F686" s="51" t="str">
        <x:f>IF(678&gt;$H$4,"",IF(INDEX('Fleet dates'!$F$9:$F$1008,$I686-8)="","",INDEX('Fleet dates'!$F$9:$F$1008,$I686-8)))</x:f>
      </x:c>
      <x:c r="G686" s="50" t="str">
        <x:f>IF(678&gt;$H$4,"",IF(INDEX('Fleet dates'!$G$9:$G$1008,$I686-8)="","",INDEX('Fleet dates'!$G$9:$G$1008,$I686-8)))</x:f>
      </x:c>
      <x:c r="H686" s="50" t="str">
        <x:f>IF(678&gt;$H$4,"",IF(INDEX('Fleet dates'!$I$9:$I$1008,$I686-8)="","",INDEX('Fleet dates'!$I$9:$I$1008,$I686-8)))</x:f>
      </x:c>
      <x:c r="I686" t="str">
        <x:f>IF(678&gt;$H$4,"",MATCH(678,'Fleet dates'!$L$9:$L$1008,0)+8)</x:f>
      </x:c>
    </x:row>
    <x:row r="687" ht="36" customHeight="1">
      <x:c r="A687" s="50" t="str">
        <x:f>IF(679&gt;$H$4,"",IF(INDEX('Fleet dates'!$A$9:$A$1008,$I687-8)="","",INDEX('Fleet dates'!$A$9:$A$1008,$I687-8)))</x:f>
      </x:c>
      <x:c r="B687" s="50" t="str">
        <x:f>IF(679&gt;$H$4,"",IF(INDEX('Fleet dates'!$B$9:$B$1008,$I687-8)="","",INDEX('Fleet dates'!$B$9:$B$1008,$I687-8)))</x:f>
      </x:c>
      <x:c r="C687" s="51" t="str">
        <x:f>IF(679&gt;$H$4,"",IF(INDEX('Fleet dates'!$C$9:$C$1008,$I687-8)="","",INDEX('Fleet dates'!$C$9:$C$1008,$I687-8)))</x:f>
      </x:c>
      <x:c r="D687" s="51" t="str">
        <x:f>IF(679&gt;$H$4,"",IF(INDEX('Fleet dates'!$D$9:$D$1008,$I687-8)="","",INDEX('Fleet dates'!$D$9:$D$1008,$I687-8)))</x:f>
      </x:c>
      <x:c r="E687" s="51" t="str">
        <x:f>IF(679&gt;$H$4,"",IF(INDEX('Fleet dates'!$E$9:$E$1008,$I687-8)="","",INDEX('Fleet dates'!$E$9:$E$1008,$I687-8)))</x:f>
      </x:c>
      <x:c r="F687" s="51" t="str">
        <x:f>IF(679&gt;$H$4,"",IF(INDEX('Fleet dates'!$F$9:$F$1008,$I687-8)="","",INDEX('Fleet dates'!$F$9:$F$1008,$I687-8)))</x:f>
      </x:c>
      <x:c r="G687" s="50" t="str">
        <x:f>IF(679&gt;$H$4,"",IF(INDEX('Fleet dates'!$G$9:$G$1008,$I687-8)="","",INDEX('Fleet dates'!$G$9:$G$1008,$I687-8)))</x:f>
      </x:c>
      <x:c r="H687" s="50" t="str">
        <x:f>IF(679&gt;$H$4,"",IF(INDEX('Fleet dates'!$I$9:$I$1008,$I687-8)="","",INDEX('Fleet dates'!$I$9:$I$1008,$I687-8)))</x:f>
      </x:c>
      <x:c r="I687" t="str">
        <x:f>IF(679&gt;$H$4,"",MATCH(679,'Fleet dates'!$L$9:$L$1008,0)+8)</x:f>
      </x:c>
    </x:row>
    <x:row r="688" ht="36" customHeight="1">
      <x:c r="A688" s="50" t="str">
        <x:f>IF(680&gt;$H$4,"",IF(INDEX('Fleet dates'!$A$9:$A$1008,$I688-8)="","",INDEX('Fleet dates'!$A$9:$A$1008,$I688-8)))</x:f>
      </x:c>
      <x:c r="B688" s="50" t="str">
        <x:f>IF(680&gt;$H$4,"",IF(INDEX('Fleet dates'!$B$9:$B$1008,$I688-8)="","",INDEX('Fleet dates'!$B$9:$B$1008,$I688-8)))</x:f>
      </x:c>
      <x:c r="C688" s="51" t="str">
        <x:f>IF(680&gt;$H$4,"",IF(INDEX('Fleet dates'!$C$9:$C$1008,$I688-8)="","",INDEX('Fleet dates'!$C$9:$C$1008,$I688-8)))</x:f>
      </x:c>
      <x:c r="D688" s="51" t="str">
        <x:f>IF(680&gt;$H$4,"",IF(INDEX('Fleet dates'!$D$9:$D$1008,$I688-8)="","",INDEX('Fleet dates'!$D$9:$D$1008,$I688-8)))</x:f>
      </x:c>
      <x:c r="E688" s="51" t="str">
        <x:f>IF(680&gt;$H$4,"",IF(INDEX('Fleet dates'!$E$9:$E$1008,$I688-8)="","",INDEX('Fleet dates'!$E$9:$E$1008,$I688-8)))</x:f>
      </x:c>
      <x:c r="F688" s="51" t="str">
        <x:f>IF(680&gt;$H$4,"",IF(INDEX('Fleet dates'!$F$9:$F$1008,$I688-8)="","",INDEX('Fleet dates'!$F$9:$F$1008,$I688-8)))</x:f>
      </x:c>
      <x:c r="G688" s="50" t="str">
        <x:f>IF(680&gt;$H$4,"",IF(INDEX('Fleet dates'!$G$9:$G$1008,$I688-8)="","",INDEX('Fleet dates'!$G$9:$G$1008,$I688-8)))</x:f>
      </x:c>
      <x:c r="H688" s="50" t="str">
        <x:f>IF(680&gt;$H$4,"",IF(INDEX('Fleet dates'!$I$9:$I$1008,$I688-8)="","",INDEX('Fleet dates'!$I$9:$I$1008,$I688-8)))</x:f>
      </x:c>
      <x:c r="I688" t="str">
        <x:f>IF(680&gt;$H$4,"",MATCH(680,'Fleet dates'!$L$9:$L$1008,0)+8)</x:f>
      </x:c>
    </x:row>
    <x:row r="689" ht="36" customHeight="1">
      <x:c r="A689" s="50" t="str">
        <x:f>IF(681&gt;$H$4,"",IF(INDEX('Fleet dates'!$A$9:$A$1008,$I689-8)="","",INDEX('Fleet dates'!$A$9:$A$1008,$I689-8)))</x:f>
      </x:c>
      <x:c r="B689" s="50" t="str">
        <x:f>IF(681&gt;$H$4,"",IF(INDEX('Fleet dates'!$B$9:$B$1008,$I689-8)="","",INDEX('Fleet dates'!$B$9:$B$1008,$I689-8)))</x:f>
      </x:c>
      <x:c r="C689" s="51" t="str">
        <x:f>IF(681&gt;$H$4,"",IF(INDEX('Fleet dates'!$C$9:$C$1008,$I689-8)="","",INDEX('Fleet dates'!$C$9:$C$1008,$I689-8)))</x:f>
      </x:c>
      <x:c r="D689" s="51" t="str">
        <x:f>IF(681&gt;$H$4,"",IF(INDEX('Fleet dates'!$D$9:$D$1008,$I689-8)="","",INDEX('Fleet dates'!$D$9:$D$1008,$I689-8)))</x:f>
      </x:c>
      <x:c r="E689" s="51" t="str">
        <x:f>IF(681&gt;$H$4,"",IF(INDEX('Fleet dates'!$E$9:$E$1008,$I689-8)="","",INDEX('Fleet dates'!$E$9:$E$1008,$I689-8)))</x:f>
      </x:c>
      <x:c r="F689" s="51" t="str">
        <x:f>IF(681&gt;$H$4,"",IF(INDEX('Fleet dates'!$F$9:$F$1008,$I689-8)="","",INDEX('Fleet dates'!$F$9:$F$1008,$I689-8)))</x:f>
      </x:c>
      <x:c r="G689" s="50" t="str">
        <x:f>IF(681&gt;$H$4,"",IF(INDEX('Fleet dates'!$G$9:$G$1008,$I689-8)="","",INDEX('Fleet dates'!$G$9:$G$1008,$I689-8)))</x:f>
      </x:c>
      <x:c r="H689" s="50" t="str">
        <x:f>IF(681&gt;$H$4,"",IF(INDEX('Fleet dates'!$I$9:$I$1008,$I689-8)="","",INDEX('Fleet dates'!$I$9:$I$1008,$I689-8)))</x:f>
      </x:c>
      <x:c r="I689" t="str">
        <x:f>IF(681&gt;$H$4,"",MATCH(681,'Fleet dates'!$L$9:$L$1008,0)+8)</x:f>
      </x:c>
    </x:row>
    <x:row r="690" ht="36" customHeight="1">
      <x:c r="A690" s="50" t="str">
        <x:f>IF(682&gt;$H$4,"",IF(INDEX('Fleet dates'!$A$9:$A$1008,$I690-8)="","",INDEX('Fleet dates'!$A$9:$A$1008,$I690-8)))</x:f>
      </x:c>
      <x:c r="B690" s="50" t="str">
        <x:f>IF(682&gt;$H$4,"",IF(INDEX('Fleet dates'!$B$9:$B$1008,$I690-8)="","",INDEX('Fleet dates'!$B$9:$B$1008,$I690-8)))</x:f>
      </x:c>
      <x:c r="C690" s="51" t="str">
        <x:f>IF(682&gt;$H$4,"",IF(INDEX('Fleet dates'!$C$9:$C$1008,$I690-8)="","",INDEX('Fleet dates'!$C$9:$C$1008,$I690-8)))</x:f>
      </x:c>
      <x:c r="D690" s="51" t="str">
        <x:f>IF(682&gt;$H$4,"",IF(INDEX('Fleet dates'!$D$9:$D$1008,$I690-8)="","",INDEX('Fleet dates'!$D$9:$D$1008,$I690-8)))</x:f>
      </x:c>
      <x:c r="E690" s="51" t="str">
        <x:f>IF(682&gt;$H$4,"",IF(INDEX('Fleet dates'!$E$9:$E$1008,$I690-8)="","",INDEX('Fleet dates'!$E$9:$E$1008,$I690-8)))</x:f>
      </x:c>
      <x:c r="F690" s="51" t="str">
        <x:f>IF(682&gt;$H$4,"",IF(INDEX('Fleet dates'!$F$9:$F$1008,$I690-8)="","",INDEX('Fleet dates'!$F$9:$F$1008,$I690-8)))</x:f>
      </x:c>
      <x:c r="G690" s="50" t="str">
        <x:f>IF(682&gt;$H$4,"",IF(INDEX('Fleet dates'!$G$9:$G$1008,$I690-8)="","",INDEX('Fleet dates'!$G$9:$G$1008,$I690-8)))</x:f>
      </x:c>
      <x:c r="H690" s="50" t="str">
        <x:f>IF(682&gt;$H$4,"",IF(INDEX('Fleet dates'!$I$9:$I$1008,$I690-8)="","",INDEX('Fleet dates'!$I$9:$I$1008,$I690-8)))</x:f>
      </x:c>
      <x:c r="I690" t="str">
        <x:f>IF(682&gt;$H$4,"",MATCH(682,'Fleet dates'!$L$9:$L$1008,0)+8)</x:f>
      </x:c>
    </x:row>
    <x:row r="691" ht="36" customHeight="1">
      <x:c r="A691" s="50" t="str">
        <x:f>IF(683&gt;$H$4,"",IF(INDEX('Fleet dates'!$A$9:$A$1008,$I691-8)="","",INDEX('Fleet dates'!$A$9:$A$1008,$I691-8)))</x:f>
      </x:c>
      <x:c r="B691" s="50" t="str">
        <x:f>IF(683&gt;$H$4,"",IF(INDEX('Fleet dates'!$B$9:$B$1008,$I691-8)="","",INDEX('Fleet dates'!$B$9:$B$1008,$I691-8)))</x:f>
      </x:c>
      <x:c r="C691" s="51" t="str">
        <x:f>IF(683&gt;$H$4,"",IF(INDEX('Fleet dates'!$C$9:$C$1008,$I691-8)="","",INDEX('Fleet dates'!$C$9:$C$1008,$I691-8)))</x:f>
      </x:c>
      <x:c r="D691" s="51" t="str">
        <x:f>IF(683&gt;$H$4,"",IF(INDEX('Fleet dates'!$D$9:$D$1008,$I691-8)="","",INDEX('Fleet dates'!$D$9:$D$1008,$I691-8)))</x:f>
      </x:c>
      <x:c r="E691" s="51" t="str">
        <x:f>IF(683&gt;$H$4,"",IF(INDEX('Fleet dates'!$E$9:$E$1008,$I691-8)="","",INDEX('Fleet dates'!$E$9:$E$1008,$I691-8)))</x:f>
      </x:c>
      <x:c r="F691" s="51" t="str">
        <x:f>IF(683&gt;$H$4,"",IF(INDEX('Fleet dates'!$F$9:$F$1008,$I691-8)="","",INDEX('Fleet dates'!$F$9:$F$1008,$I691-8)))</x:f>
      </x:c>
      <x:c r="G691" s="50" t="str">
        <x:f>IF(683&gt;$H$4,"",IF(INDEX('Fleet dates'!$G$9:$G$1008,$I691-8)="","",INDEX('Fleet dates'!$G$9:$G$1008,$I691-8)))</x:f>
      </x:c>
      <x:c r="H691" s="50" t="str">
        <x:f>IF(683&gt;$H$4,"",IF(INDEX('Fleet dates'!$I$9:$I$1008,$I691-8)="","",INDEX('Fleet dates'!$I$9:$I$1008,$I691-8)))</x:f>
      </x:c>
      <x:c r="I691" t="str">
        <x:f>IF(683&gt;$H$4,"",MATCH(683,'Fleet dates'!$L$9:$L$1008,0)+8)</x:f>
      </x:c>
    </x:row>
    <x:row r="692" ht="36" customHeight="1">
      <x:c r="A692" s="50" t="str">
        <x:f>IF(684&gt;$H$4,"",IF(INDEX('Fleet dates'!$A$9:$A$1008,$I692-8)="","",INDEX('Fleet dates'!$A$9:$A$1008,$I692-8)))</x:f>
      </x:c>
      <x:c r="B692" s="50" t="str">
        <x:f>IF(684&gt;$H$4,"",IF(INDEX('Fleet dates'!$B$9:$B$1008,$I692-8)="","",INDEX('Fleet dates'!$B$9:$B$1008,$I692-8)))</x:f>
      </x:c>
      <x:c r="C692" s="51" t="str">
        <x:f>IF(684&gt;$H$4,"",IF(INDEX('Fleet dates'!$C$9:$C$1008,$I692-8)="","",INDEX('Fleet dates'!$C$9:$C$1008,$I692-8)))</x:f>
      </x:c>
      <x:c r="D692" s="51" t="str">
        <x:f>IF(684&gt;$H$4,"",IF(INDEX('Fleet dates'!$D$9:$D$1008,$I692-8)="","",INDEX('Fleet dates'!$D$9:$D$1008,$I692-8)))</x:f>
      </x:c>
      <x:c r="E692" s="51" t="str">
        <x:f>IF(684&gt;$H$4,"",IF(INDEX('Fleet dates'!$E$9:$E$1008,$I692-8)="","",INDEX('Fleet dates'!$E$9:$E$1008,$I692-8)))</x:f>
      </x:c>
      <x:c r="F692" s="51" t="str">
        <x:f>IF(684&gt;$H$4,"",IF(INDEX('Fleet dates'!$F$9:$F$1008,$I692-8)="","",INDEX('Fleet dates'!$F$9:$F$1008,$I692-8)))</x:f>
      </x:c>
      <x:c r="G692" s="50" t="str">
        <x:f>IF(684&gt;$H$4,"",IF(INDEX('Fleet dates'!$G$9:$G$1008,$I692-8)="","",INDEX('Fleet dates'!$G$9:$G$1008,$I692-8)))</x:f>
      </x:c>
      <x:c r="H692" s="50" t="str">
        <x:f>IF(684&gt;$H$4,"",IF(INDEX('Fleet dates'!$I$9:$I$1008,$I692-8)="","",INDEX('Fleet dates'!$I$9:$I$1008,$I692-8)))</x:f>
      </x:c>
      <x:c r="I692" t="str">
        <x:f>IF(684&gt;$H$4,"",MATCH(684,'Fleet dates'!$L$9:$L$1008,0)+8)</x:f>
      </x:c>
    </x:row>
    <x:row r="693" ht="36" customHeight="1">
      <x:c r="A693" s="50" t="str">
        <x:f>IF(685&gt;$H$4,"",IF(INDEX('Fleet dates'!$A$9:$A$1008,$I693-8)="","",INDEX('Fleet dates'!$A$9:$A$1008,$I693-8)))</x:f>
      </x:c>
      <x:c r="B693" s="50" t="str">
        <x:f>IF(685&gt;$H$4,"",IF(INDEX('Fleet dates'!$B$9:$B$1008,$I693-8)="","",INDEX('Fleet dates'!$B$9:$B$1008,$I693-8)))</x:f>
      </x:c>
      <x:c r="C693" s="51" t="str">
        <x:f>IF(685&gt;$H$4,"",IF(INDEX('Fleet dates'!$C$9:$C$1008,$I693-8)="","",INDEX('Fleet dates'!$C$9:$C$1008,$I693-8)))</x:f>
      </x:c>
      <x:c r="D693" s="51" t="str">
        <x:f>IF(685&gt;$H$4,"",IF(INDEX('Fleet dates'!$D$9:$D$1008,$I693-8)="","",INDEX('Fleet dates'!$D$9:$D$1008,$I693-8)))</x:f>
      </x:c>
      <x:c r="E693" s="51" t="str">
        <x:f>IF(685&gt;$H$4,"",IF(INDEX('Fleet dates'!$E$9:$E$1008,$I693-8)="","",INDEX('Fleet dates'!$E$9:$E$1008,$I693-8)))</x:f>
      </x:c>
      <x:c r="F693" s="51" t="str">
        <x:f>IF(685&gt;$H$4,"",IF(INDEX('Fleet dates'!$F$9:$F$1008,$I693-8)="","",INDEX('Fleet dates'!$F$9:$F$1008,$I693-8)))</x:f>
      </x:c>
      <x:c r="G693" s="50" t="str">
        <x:f>IF(685&gt;$H$4,"",IF(INDEX('Fleet dates'!$G$9:$G$1008,$I693-8)="","",INDEX('Fleet dates'!$G$9:$G$1008,$I693-8)))</x:f>
      </x:c>
      <x:c r="H693" s="50" t="str">
        <x:f>IF(685&gt;$H$4,"",IF(INDEX('Fleet dates'!$I$9:$I$1008,$I693-8)="","",INDEX('Fleet dates'!$I$9:$I$1008,$I693-8)))</x:f>
      </x:c>
      <x:c r="I693" t="str">
        <x:f>IF(685&gt;$H$4,"",MATCH(685,'Fleet dates'!$L$9:$L$1008,0)+8)</x:f>
      </x:c>
    </x:row>
    <x:row r="694" ht="36" customHeight="1">
      <x:c r="A694" s="50" t="str">
        <x:f>IF(686&gt;$H$4,"",IF(INDEX('Fleet dates'!$A$9:$A$1008,$I694-8)="","",INDEX('Fleet dates'!$A$9:$A$1008,$I694-8)))</x:f>
      </x:c>
      <x:c r="B694" s="50" t="str">
        <x:f>IF(686&gt;$H$4,"",IF(INDEX('Fleet dates'!$B$9:$B$1008,$I694-8)="","",INDEX('Fleet dates'!$B$9:$B$1008,$I694-8)))</x:f>
      </x:c>
      <x:c r="C694" s="51" t="str">
        <x:f>IF(686&gt;$H$4,"",IF(INDEX('Fleet dates'!$C$9:$C$1008,$I694-8)="","",INDEX('Fleet dates'!$C$9:$C$1008,$I694-8)))</x:f>
      </x:c>
      <x:c r="D694" s="51" t="str">
        <x:f>IF(686&gt;$H$4,"",IF(INDEX('Fleet dates'!$D$9:$D$1008,$I694-8)="","",INDEX('Fleet dates'!$D$9:$D$1008,$I694-8)))</x:f>
      </x:c>
      <x:c r="E694" s="51" t="str">
        <x:f>IF(686&gt;$H$4,"",IF(INDEX('Fleet dates'!$E$9:$E$1008,$I694-8)="","",INDEX('Fleet dates'!$E$9:$E$1008,$I694-8)))</x:f>
      </x:c>
      <x:c r="F694" s="51" t="str">
        <x:f>IF(686&gt;$H$4,"",IF(INDEX('Fleet dates'!$F$9:$F$1008,$I694-8)="","",INDEX('Fleet dates'!$F$9:$F$1008,$I694-8)))</x:f>
      </x:c>
      <x:c r="G694" s="50" t="str">
        <x:f>IF(686&gt;$H$4,"",IF(INDEX('Fleet dates'!$G$9:$G$1008,$I694-8)="","",INDEX('Fleet dates'!$G$9:$G$1008,$I694-8)))</x:f>
      </x:c>
      <x:c r="H694" s="50" t="str">
        <x:f>IF(686&gt;$H$4,"",IF(INDEX('Fleet dates'!$I$9:$I$1008,$I694-8)="","",INDEX('Fleet dates'!$I$9:$I$1008,$I694-8)))</x:f>
      </x:c>
      <x:c r="I694" t="str">
        <x:f>IF(686&gt;$H$4,"",MATCH(686,'Fleet dates'!$L$9:$L$1008,0)+8)</x:f>
      </x:c>
    </x:row>
    <x:row r="695" ht="36" customHeight="1">
      <x:c r="A695" s="50" t="str">
        <x:f>IF(687&gt;$H$4,"",IF(INDEX('Fleet dates'!$A$9:$A$1008,$I695-8)="","",INDEX('Fleet dates'!$A$9:$A$1008,$I695-8)))</x:f>
      </x:c>
      <x:c r="B695" s="50" t="str">
        <x:f>IF(687&gt;$H$4,"",IF(INDEX('Fleet dates'!$B$9:$B$1008,$I695-8)="","",INDEX('Fleet dates'!$B$9:$B$1008,$I695-8)))</x:f>
      </x:c>
      <x:c r="C695" s="51" t="str">
        <x:f>IF(687&gt;$H$4,"",IF(INDEX('Fleet dates'!$C$9:$C$1008,$I695-8)="","",INDEX('Fleet dates'!$C$9:$C$1008,$I695-8)))</x:f>
      </x:c>
      <x:c r="D695" s="51" t="str">
        <x:f>IF(687&gt;$H$4,"",IF(INDEX('Fleet dates'!$D$9:$D$1008,$I695-8)="","",INDEX('Fleet dates'!$D$9:$D$1008,$I695-8)))</x:f>
      </x:c>
      <x:c r="E695" s="51" t="str">
        <x:f>IF(687&gt;$H$4,"",IF(INDEX('Fleet dates'!$E$9:$E$1008,$I695-8)="","",INDEX('Fleet dates'!$E$9:$E$1008,$I695-8)))</x:f>
      </x:c>
      <x:c r="F695" s="51" t="str">
        <x:f>IF(687&gt;$H$4,"",IF(INDEX('Fleet dates'!$F$9:$F$1008,$I695-8)="","",INDEX('Fleet dates'!$F$9:$F$1008,$I695-8)))</x:f>
      </x:c>
      <x:c r="G695" s="50" t="str">
        <x:f>IF(687&gt;$H$4,"",IF(INDEX('Fleet dates'!$G$9:$G$1008,$I695-8)="","",INDEX('Fleet dates'!$G$9:$G$1008,$I695-8)))</x:f>
      </x:c>
      <x:c r="H695" s="50" t="str">
        <x:f>IF(687&gt;$H$4,"",IF(INDEX('Fleet dates'!$I$9:$I$1008,$I695-8)="","",INDEX('Fleet dates'!$I$9:$I$1008,$I695-8)))</x:f>
      </x:c>
      <x:c r="I695" t="str">
        <x:f>IF(687&gt;$H$4,"",MATCH(687,'Fleet dates'!$L$9:$L$1008,0)+8)</x:f>
      </x:c>
    </x:row>
    <x:row r="696" ht="36" customHeight="1">
      <x:c r="A696" s="50" t="str">
        <x:f>IF(688&gt;$H$4,"",IF(INDEX('Fleet dates'!$A$9:$A$1008,$I696-8)="","",INDEX('Fleet dates'!$A$9:$A$1008,$I696-8)))</x:f>
      </x:c>
      <x:c r="B696" s="50" t="str">
        <x:f>IF(688&gt;$H$4,"",IF(INDEX('Fleet dates'!$B$9:$B$1008,$I696-8)="","",INDEX('Fleet dates'!$B$9:$B$1008,$I696-8)))</x:f>
      </x:c>
      <x:c r="C696" s="51" t="str">
        <x:f>IF(688&gt;$H$4,"",IF(INDEX('Fleet dates'!$C$9:$C$1008,$I696-8)="","",INDEX('Fleet dates'!$C$9:$C$1008,$I696-8)))</x:f>
      </x:c>
      <x:c r="D696" s="51" t="str">
        <x:f>IF(688&gt;$H$4,"",IF(INDEX('Fleet dates'!$D$9:$D$1008,$I696-8)="","",INDEX('Fleet dates'!$D$9:$D$1008,$I696-8)))</x:f>
      </x:c>
      <x:c r="E696" s="51" t="str">
        <x:f>IF(688&gt;$H$4,"",IF(INDEX('Fleet dates'!$E$9:$E$1008,$I696-8)="","",INDEX('Fleet dates'!$E$9:$E$1008,$I696-8)))</x:f>
      </x:c>
      <x:c r="F696" s="51" t="str">
        <x:f>IF(688&gt;$H$4,"",IF(INDEX('Fleet dates'!$F$9:$F$1008,$I696-8)="","",INDEX('Fleet dates'!$F$9:$F$1008,$I696-8)))</x:f>
      </x:c>
      <x:c r="G696" s="50" t="str">
        <x:f>IF(688&gt;$H$4,"",IF(INDEX('Fleet dates'!$G$9:$G$1008,$I696-8)="","",INDEX('Fleet dates'!$G$9:$G$1008,$I696-8)))</x:f>
      </x:c>
      <x:c r="H696" s="50" t="str">
        <x:f>IF(688&gt;$H$4,"",IF(INDEX('Fleet dates'!$I$9:$I$1008,$I696-8)="","",INDEX('Fleet dates'!$I$9:$I$1008,$I696-8)))</x:f>
      </x:c>
      <x:c r="I696" t="str">
        <x:f>IF(688&gt;$H$4,"",MATCH(688,'Fleet dates'!$L$9:$L$1008,0)+8)</x:f>
      </x:c>
    </x:row>
    <x:row r="697" ht="36" customHeight="1">
      <x:c r="A697" s="50" t="str">
        <x:f>IF(689&gt;$H$4,"",IF(INDEX('Fleet dates'!$A$9:$A$1008,$I697-8)="","",INDEX('Fleet dates'!$A$9:$A$1008,$I697-8)))</x:f>
      </x:c>
      <x:c r="B697" s="50" t="str">
        <x:f>IF(689&gt;$H$4,"",IF(INDEX('Fleet dates'!$B$9:$B$1008,$I697-8)="","",INDEX('Fleet dates'!$B$9:$B$1008,$I697-8)))</x:f>
      </x:c>
      <x:c r="C697" s="51" t="str">
        <x:f>IF(689&gt;$H$4,"",IF(INDEX('Fleet dates'!$C$9:$C$1008,$I697-8)="","",INDEX('Fleet dates'!$C$9:$C$1008,$I697-8)))</x:f>
      </x:c>
      <x:c r="D697" s="51" t="str">
        <x:f>IF(689&gt;$H$4,"",IF(INDEX('Fleet dates'!$D$9:$D$1008,$I697-8)="","",INDEX('Fleet dates'!$D$9:$D$1008,$I697-8)))</x:f>
      </x:c>
      <x:c r="E697" s="51" t="str">
        <x:f>IF(689&gt;$H$4,"",IF(INDEX('Fleet dates'!$E$9:$E$1008,$I697-8)="","",INDEX('Fleet dates'!$E$9:$E$1008,$I697-8)))</x:f>
      </x:c>
      <x:c r="F697" s="51" t="str">
        <x:f>IF(689&gt;$H$4,"",IF(INDEX('Fleet dates'!$F$9:$F$1008,$I697-8)="","",INDEX('Fleet dates'!$F$9:$F$1008,$I697-8)))</x:f>
      </x:c>
      <x:c r="G697" s="50" t="str">
        <x:f>IF(689&gt;$H$4,"",IF(INDEX('Fleet dates'!$G$9:$G$1008,$I697-8)="","",INDEX('Fleet dates'!$G$9:$G$1008,$I697-8)))</x:f>
      </x:c>
      <x:c r="H697" s="50" t="str">
        <x:f>IF(689&gt;$H$4,"",IF(INDEX('Fleet dates'!$I$9:$I$1008,$I697-8)="","",INDEX('Fleet dates'!$I$9:$I$1008,$I697-8)))</x:f>
      </x:c>
      <x:c r="I697" t="str">
        <x:f>IF(689&gt;$H$4,"",MATCH(689,'Fleet dates'!$L$9:$L$1008,0)+8)</x:f>
      </x:c>
    </x:row>
    <x:row r="698" ht="36" customHeight="1">
      <x:c r="A698" s="50" t="str">
        <x:f>IF(690&gt;$H$4,"",IF(INDEX('Fleet dates'!$A$9:$A$1008,$I698-8)="","",INDEX('Fleet dates'!$A$9:$A$1008,$I698-8)))</x:f>
      </x:c>
      <x:c r="B698" s="50" t="str">
        <x:f>IF(690&gt;$H$4,"",IF(INDEX('Fleet dates'!$B$9:$B$1008,$I698-8)="","",INDEX('Fleet dates'!$B$9:$B$1008,$I698-8)))</x:f>
      </x:c>
      <x:c r="C698" s="51" t="str">
        <x:f>IF(690&gt;$H$4,"",IF(INDEX('Fleet dates'!$C$9:$C$1008,$I698-8)="","",INDEX('Fleet dates'!$C$9:$C$1008,$I698-8)))</x:f>
      </x:c>
      <x:c r="D698" s="51" t="str">
        <x:f>IF(690&gt;$H$4,"",IF(INDEX('Fleet dates'!$D$9:$D$1008,$I698-8)="","",INDEX('Fleet dates'!$D$9:$D$1008,$I698-8)))</x:f>
      </x:c>
      <x:c r="E698" s="51" t="str">
        <x:f>IF(690&gt;$H$4,"",IF(INDEX('Fleet dates'!$E$9:$E$1008,$I698-8)="","",INDEX('Fleet dates'!$E$9:$E$1008,$I698-8)))</x:f>
      </x:c>
      <x:c r="F698" s="51" t="str">
        <x:f>IF(690&gt;$H$4,"",IF(INDEX('Fleet dates'!$F$9:$F$1008,$I698-8)="","",INDEX('Fleet dates'!$F$9:$F$1008,$I698-8)))</x:f>
      </x:c>
      <x:c r="G698" s="50" t="str">
        <x:f>IF(690&gt;$H$4,"",IF(INDEX('Fleet dates'!$G$9:$G$1008,$I698-8)="","",INDEX('Fleet dates'!$G$9:$G$1008,$I698-8)))</x:f>
      </x:c>
      <x:c r="H698" s="50" t="str">
        <x:f>IF(690&gt;$H$4,"",IF(INDEX('Fleet dates'!$I$9:$I$1008,$I698-8)="","",INDEX('Fleet dates'!$I$9:$I$1008,$I698-8)))</x:f>
      </x:c>
      <x:c r="I698" t="str">
        <x:f>IF(690&gt;$H$4,"",MATCH(690,'Fleet dates'!$L$9:$L$1008,0)+8)</x:f>
      </x:c>
    </x:row>
    <x:row r="699" ht="36" customHeight="1">
      <x:c r="A699" s="50" t="str">
        <x:f>IF(691&gt;$H$4,"",IF(INDEX('Fleet dates'!$A$9:$A$1008,$I699-8)="","",INDEX('Fleet dates'!$A$9:$A$1008,$I699-8)))</x:f>
      </x:c>
      <x:c r="B699" s="50" t="str">
        <x:f>IF(691&gt;$H$4,"",IF(INDEX('Fleet dates'!$B$9:$B$1008,$I699-8)="","",INDEX('Fleet dates'!$B$9:$B$1008,$I699-8)))</x:f>
      </x:c>
      <x:c r="C699" s="51" t="str">
        <x:f>IF(691&gt;$H$4,"",IF(INDEX('Fleet dates'!$C$9:$C$1008,$I699-8)="","",INDEX('Fleet dates'!$C$9:$C$1008,$I699-8)))</x:f>
      </x:c>
      <x:c r="D699" s="51" t="str">
        <x:f>IF(691&gt;$H$4,"",IF(INDEX('Fleet dates'!$D$9:$D$1008,$I699-8)="","",INDEX('Fleet dates'!$D$9:$D$1008,$I699-8)))</x:f>
      </x:c>
      <x:c r="E699" s="51" t="str">
        <x:f>IF(691&gt;$H$4,"",IF(INDEX('Fleet dates'!$E$9:$E$1008,$I699-8)="","",INDEX('Fleet dates'!$E$9:$E$1008,$I699-8)))</x:f>
      </x:c>
      <x:c r="F699" s="51" t="str">
        <x:f>IF(691&gt;$H$4,"",IF(INDEX('Fleet dates'!$F$9:$F$1008,$I699-8)="","",INDEX('Fleet dates'!$F$9:$F$1008,$I699-8)))</x:f>
      </x:c>
      <x:c r="G699" s="50" t="str">
        <x:f>IF(691&gt;$H$4,"",IF(INDEX('Fleet dates'!$G$9:$G$1008,$I699-8)="","",INDEX('Fleet dates'!$G$9:$G$1008,$I699-8)))</x:f>
      </x:c>
      <x:c r="H699" s="50" t="str">
        <x:f>IF(691&gt;$H$4,"",IF(INDEX('Fleet dates'!$I$9:$I$1008,$I699-8)="","",INDEX('Fleet dates'!$I$9:$I$1008,$I699-8)))</x:f>
      </x:c>
      <x:c r="I699" t="str">
        <x:f>IF(691&gt;$H$4,"",MATCH(691,'Fleet dates'!$L$9:$L$1008,0)+8)</x:f>
      </x:c>
    </x:row>
    <x:row r="700" ht="36" customHeight="1">
      <x:c r="A700" s="50" t="str">
        <x:f>IF(692&gt;$H$4,"",IF(INDEX('Fleet dates'!$A$9:$A$1008,$I700-8)="","",INDEX('Fleet dates'!$A$9:$A$1008,$I700-8)))</x:f>
      </x:c>
      <x:c r="B700" s="50" t="str">
        <x:f>IF(692&gt;$H$4,"",IF(INDEX('Fleet dates'!$B$9:$B$1008,$I700-8)="","",INDEX('Fleet dates'!$B$9:$B$1008,$I700-8)))</x:f>
      </x:c>
      <x:c r="C700" s="51" t="str">
        <x:f>IF(692&gt;$H$4,"",IF(INDEX('Fleet dates'!$C$9:$C$1008,$I700-8)="","",INDEX('Fleet dates'!$C$9:$C$1008,$I700-8)))</x:f>
      </x:c>
      <x:c r="D700" s="51" t="str">
        <x:f>IF(692&gt;$H$4,"",IF(INDEX('Fleet dates'!$D$9:$D$1008,$I700-8)="","",INDEX('Fleet dates'!$D$9:$D$1008,$I700-8)))</x:f>
      </x:c>
      <x:c r="E700" s="51" t="str">
        <x:f>IF(692&gt;$H$4,"",IF(INDEX('Fleet dates'!$E$9:$E$1008,$I700-8)="","",INDEX('Fleet dates'!$E$9:$E$1008,$I700-8)))</x:f>
      </x:c>
      <x:c r="F700" s="51" t="str">
        <x:f>IF(692&gt;$H$4,"",IF(INDEX('Fleet dates'!$F$9:$F$1008,$I700-8)="","",INDEX('Fleet dates'!$F$9:$F$1008,$I700-8)))</x:f>
      </x:c>
      <x:c r="G700" s="50" t="str">
        <x:f>IF(692&gt;$H$4,"",IF(INDEX('Fleet dates'!$G$9:$G$1008,$I700-8)="","",INDEX('Fleet dates'!$G$9:$G$1008,$I700-8)))</x:f>
      </x:c>
      <x:c r="H700" s="50" t="str">
        <x:f>IF(692&gt;$H$4,"",IF(INDEX('Fleet dates'!$I$9:$I$1008,$I700-8)="","",INDEX('Fleet dates'!$I$9:$I$1008,$I700-8)))</x:f>
      </x:c>
      <x:c r="I700" t="str">
        <x:f>IF(692&gt;$H$4,"",MATCH(692,'Fleet dates'!$L$9:$L$1008,0)+8)</x:f>
      </x:c>
    </x:row>
    <x:row r="701" ht="36" customHeight="1">
      <x:c r="A701" s="50" t="str">
        <x:f>IF(693&gt;$H$4,"",IF(INDEX('Fleet dates'!$A$9:$A$1008,$I701-8)="","",INDEX('Fleet dates'!$A$9:$A$1008,$I701-8)))</x:f>
      </x:c>
      <x:c r="B701" s="50" t="str">
        <x:f>IF(693&gt;$H$4,"",IF(INDEX('Fleet dates'!$B$9:$B$1008,$I701-8)="","",INDEX('Fleet dates'!$B$9:$B$1008,$I701-8)))</x:f>
      </x:c>
      <x:c r="C701" s="51" t="str">
        <x:f>IF(693&gt;$H$4,"",IF(INDEX('Fleet dates'!$C$9:$C$1008,$I701-8)="","",INDEX('Fleet dates'!$C$9:$C$1008,$I701-8)))</x:f>
      </x:c>
      <x:c r="D701" s="51" t="str">
        <x:f>IF(693&gt;$H$4,"",IF(INDEX('Fleet dates'!$D$9:$D$1008,$I701-8)="","",INDEX('Fleet dates'!$D$9:$D$1008,$I701-8)))</x:f>
      </x:c>
      <x:c r="E701" s="51" t="str">
        <x:f>IF(693&gt;$H$4,"",IF(INDEX('Fleet dates'!$E$9:$E$1008,$I701-8)="","",INDEX('Fleet dates'!$E$9:$E$1008,$I701-8)))</x:f>
      </x:c>
      <x:c r="F701" s="51" t="str">
        <x:f>IF(693&gt;$H$4,"",IF(INDEX('Fleet dates'!$F$9:$F$1008,$I701-8)="","",INDEX('Fleet dates'!$F$9:$F$1008,$I701-8)))</x:f>
      </x:c>
      <x:c r="G701" s="50" t="str">
        <x:f>IF(693&gt;$H$4,"",IF(INDEX('Fleet dates'!$G$9:$G$1008,$I701-8)="","",INDEX('Fleet dates'!$G$9:$G$1008,$I701-8)))</x:f>
      </x:c>
      <x:c r="H701" s="50" t="str">
        <x:f>IF(693&gt;$H$4,"",IF(INDEX('Fleet dates'!$I$9:$I$1008,$I701-8)="","",INDEX('Fleet dates'!$I$9:$I$1008,$I701-8)))</x:f>
      </x:c>
      <x:c r="I701" t="str">
        <x:f>IF(693&gt;$H$4,"",MATCH(693,'Fleet dates'!$L$9:$L$1008,0)+8)</x:f>
      </x:c>
    </x:row>
    <x:row r="702" ht="36" customHeight="1">
      <x:c r="A702" s="50" t="str">
        <x:f>IF(694&gt;$H$4,"",IF(INDEX('Fleet dates'!$A$9:$A$1008,$I702-8)="","",INDEX('Fleet dates'!$A$9:$A$1008,$I702-8)))</x:f>
      </x:c>
      <x:c r="B702" s="50" t="str">
        <x:f>IF(694&gt;$H$4,"",IF(INDEX('Fleet dates'!$B$9:$B$1008,$I702-8)="","",INDEX('Fleet dates'!$B$9:$B$1008,$I702-8)))</x:f>
      </x:c>
      <x:c r="C702" s="51" t="str">
        <x:f>IF(694&gt;$H$4,"",IF(INDEX('Fleet dates'!$C$9:$C$1008,$I702-8)="","",INDEX('Fleet dates'!$C$9:$C$1008,$I702-8)))</x:f>
      </x:c>
      <x:c r="D702" s="51" t="str">
        <x:f>IF(694&gt;$H$4,"",IF(INDEX('Fleet dates'!$D$9:$D$1008,$I702-8)="","",INDEX('Fleet dates'!$D$9:$D$1008,$I702-8)))</x:f>
      </x:c>
      <x:c r="E702" s="51" t="str">
        <x:f>IF(694&gt;$H$4,"",IF(INDEX('Fleet dates'!$E$9:$E$1008,$I702-8)="","",INDEX('Fleet dates'!$E$9:$E$1008,$I702-8)))</x:f>
      </x:c>
      <x:c r="F702" s="51" t="str">
        <x:f>IF(694&gt;$H$4,"",IF(INDEX('Fleet dates'!$F$9:$F$1008,$I702-8)="","",INDEX('Fleet dates'!$F$9:$F$1008,$I702-8)))</x:f>
      </x:c>
      <x:c r="G702" s="50" t="str">
        <x:f>IF(694&gt;$H$4,"",IF(INDEX('Fleet dates'!$G$9:$G$1008,$I702-8)="","",INDEX('Fleet dates'!$G$9:$G$1008,$I702-8)))</x:f>
      </x:c>
      <x:c r="H702" s="50" t="str">
        <x:f>IF(694&gt;$H$4,"",IF(INDEX('Fleet dates'!$I$9:$I$1008,$I702-8)="","",INDEX('Fleet dates'!$I$9:$I$1008,$I702-8)))</x:f>
      </x:c>
      <x:c r="I702" t="str">
        <x:f>IF(694&gt;$H$4,"",MATCH(694,'Fleet dates'!$L$9:$L$1008,0)+8)</x:f>
      </x:c>
    </x:row>
    <x:row r="703" ht="36" customHeight="1">
      <x:c r="A703" s="50" t="str">
        <x:f>IF(695&gt;$H$4,"",IF(INDEX('Fleet dates'!$A$9:$A$1008,$I703-8)="","",INDEX('Fleet dates'!$A$9:$A$1008,$I703-8)))</x:f>
      </x:c>
      <x:c r="B703" s="50" t="str">
        <x:f>IF(695&gt;$H$4,"",IF(INDEX('Fleet dates'!$B$9:$B$1008,$I703-8)="","",INDEX('Fleet dates'!$B$9:$B$1008,$I703-8)))</x:f>
      </x:c>
      <x:c r="C703" s="51" t="str">
        <x:f>IF(695&gt;$H$4,"",IF(INDEX('Fleet dates'!$C$9:$C$1008,$I703-8)="","",INDEX('Fleet dates'!$C$9:$C$1008,$I703-8)))</x:f>
      </x:c>
      <x:c r="D703" s="51" t="str">
        <x:f>IF(695&gt;$H$4,"",IF(INDEX('Fleet dates'!$D$9:$D$1008,$I703-8)="","",INDEX('Fleet dates'!$D$9:$D$1008,$I703-8)))</x:f>
      </x:c>
      <x:c r="E703" s="51" t="str">
        <x:f>IF(695&gt;$H$4,"",IF(INDEX('Fleet dates'!$E$9:$E$1008,$I703-8)="","",INDEX('Fleet dates'!$E$9:$E$1008,$I703-8)))</x:f>
      </x:c>
      <x:c r="F703" s="51" t="str">
        <x:f>IF(695&gt;$H$4,"",IF(INDEX('Fleet dates'!$F$9:$F$1008,$I703-8)="","",INDEX('Fleet dates'!$F$9:$F$1008,$I703-8)))</x:f>
      </x:c>
      <x:c r="G703" s="50" t="str">
        <x:f>IF(695&gt;$H$4,"",IF(INDEX('Fleet dates'!$G$9:$G$1008,$I703-8)="","",INDEX('Fleet dates'!$G$9:$G$1008,$I703-8)))</x:f>
      </x:c>
      <x:c r="H703" s="50" t="str">
        <x:f>IF(695&gt;$H$4,"",IF(INDEX('Fleet dates'!$I$9:$I$1008,$I703-8)="","",INDEX('Fleet dates'!$I$9:$I$1008,$I703-8)))</x:f>
      </x:c>
      <x:c r="I703" t="str">
        <x:f>IF(695&gt;$H$4,"",MATCH(695,'Fleet dates'!$L$9:$L$1008,0)+8)</x:f>
      </x:c>
    </x:row>
    <x:row r="704" ht="36" customHeight="1">
      <x:c r="A704" s="50" t="str">
        <x:f>IF(696&gt;$H$4,"",IF(INDEX('Fleet dates'!$A$9:$A$1008,$I704-8)="","",INDEX('Fleet dates'!$A$9:$A$1008,$I704-8)))</x:f>
      </x:c>
      <x:c r="B704" s="50" t="str">
        <x:f>IF(696&gt;$H$4,"",IF(INDEX('Fleet dates'!$B$9:$B$1008,$I704-8)="","",INDEX('Fleet dates'!$B$9:$B$1008,$I704-8)))</x:f>
      </x:c>
      <x:c r="C704" s="51" t="str">
        <x:f>IF(696&gt;$H$4,"",IF(INDEX('Fleet dates'!$C$9:$C$1008,$I704-8)="","",INDEX('Fleet dates'!$C$9:$C$1008,$I704-8)))</x:f>
      </x:c>
      <x:c r="D704" s="51" t="str">
        <x:f>IF(696&gt;$H$4,"",IF(INDEX('Fleet dates'!$D$9:$D$1008,$I704-8)="","",INDEX('Fleet dates'!$D$9:$D$1008,$I704-8)))</x:f>
      </x:c>
      <x:c r="E704" s="51" t="str">
        <x:f>IF(696&gt;$H$4,"",IF(INDEX('Fleet dates'!$E$9:$E$1008,$I704-8)="","",INDEX('Fleet dates'!$E$9:$E$1008,$I704-8)))</x:f>
      </x:c>
      <x:c r="F704" s="51" t="str">
        <x:f>IF(696&gt;$H$4,"",IF(INDEX('Fleet dates'!$F$9:$F$1008,$I704-8)="","",INDEX('Fleet dates'!$F$9:$F$1008,$I704-8)))</x:f>
      </x:c>
      <x:c r="G704" s="50" t="str">
        <x:f>IF(696&gt;$H$4,"",IF(INDEX('Fleet dates'!$G$9:$G$1008,$I704-8)="","",INDEX('Fleet dates'!$G$9:$G$1008,$I704-8)))</x:f>
      </x:c>
      <x:c r="H704" s="50" t="str">
        <x:f>IF(696&gt;$H$4,"",IF(INDEX('Fleet dates'!$I$9:$I$1008,$I704-8)="","",INDEX('Fleet dates'!$I$9:$I$1008,$I704-8)))</x:f>
      </x:c>
      <x:c r="I704" t="str">
        <x:f>IF(696&gt;$H$4,"",MATCH(696,'Fleet dates'!$L$9:$L$1008,0)+8)</x:f>
      </x:c>
    </x:row>
    <x:row r="705" ht="36" customHeight="1">
      <x:c r="A705" s="50" t="str">
        <x:f>IF(697&gt;$H$4,"",IF(INDEX('Fleet dates'!$A$9:$A$1008,$I705-8)="","",INDEX('Fleet dates'!$A$9:$A$1008,$I705-8)))</x:f>
      </x:c>
      <x:c r="B705" s="50" t="str">
        <x:f>IF(697&gt;$H$4,"",IF(INDEX('Fleet dates'!$B$9:$B$1008,$I705-8)="","",INDEX('Fleet dates'!$B$9:$B$1008,$I705-8)))</x:f>
      </x:c>
      <x:c r="C705" s="51" t="str">
        <x:f>IF(697&gt;$H$4,"",IF(INDEX('Fleet dates'!$C$9:$C$1008,$I705-8)="","",INDEX('Fleet dates'!$C$9:$C$1008,$I705-8)))</x:f>
      </x:c>
      <x:c r="D705" s="51" t="str">
        <x:f>IF(697&gt;$H$4,"",IF(INDEX('Fleet dates'!$D$9:$D$1008,$I705-8)="","",INDEX('Fleet dates'!$D$9:$D$1008,$I705-8)))</x:f>
      </x:c>
      <x:c r="E705" s="51" t="str">
        <x:f>IF(697&gt;$H$4,"",IF(INDEX('Fleet dates'!$E$9:$E$1008,$I705-8)="","",INDEX('Fleet dates'!$E$9:$E$1008,$I705-8)))</x:f>
      </x:c>
      <x:c r="F705" s="51" t="str">
        <x:f>IF(697&gt;$H$4,"",IF(INDEX('Fleet dates'!$F$9:$F$1008,$I705-8)="","",INDEX('Fleet dates'!$F$9:$F$1008,$I705-8)))</x:f>
      </x:c>
      <x:c r="G705" s="50" t="str">
        <x:f>IF(697&gt;$H$4,"",IF(INDEX('Fleet dates'!$G$9:$G$1008,$I705-8)="","",INDEX('Fleet dates'!$G$9:$G$1008,$I705-8)))</x:f>
      </x:c>
      <x:c r="H705" s="50" t="str">
        <x:f>IF(697&gt;$H$4,"",IF(INDEX('Fleet dates'!$I$9:$I$1008,$I705-8)="","",INDEX('Fleet dates'!$I$9:$I$1008,$I705-8)))</x:f>
      </x:c>
      <x:c r="I705" t="str">
        <x:f>IF(697&gt;$H$4,"",MATCH(697,'Fleet dates'!$L$9:$L$1008,0)+8)</x:f>
      </x:c>
    </x:row>
    <x:row r="706" ht="36" customHeight="1">
      <x:c r="A706" s="50" t="str">
        <x:f>IF(698&gt;$H$4,"",IF(INDEX('Fleet dates'!$A$9:$A$1008,$I706-8)="","",INDEX('Fleet dates'!$A$9:$A$1008,$I706-8)))</x:f>
      </x:c>
      <x:c r="B706" s="50" t="str">
        <x:f>IF(698&gt;$H$4,"",IF(INDEX('Fleet dates'!$B$9:$B$1008,$I706-8)="","",INDEX('Fleet dates'!$B$9:$B$1008,$I706-8)))</x:f>
      </x:c>
      <x:c r="C706" s="51" t="str">
        <x:f>IF(698&gt;$H$4,"",IF(INDEX('Fleet dates'!$C$9:$C$1008,$I706-8)="","",INDEX('Fleet dates'!$C$9:$C$1008,$I706-8)))</x:f>
      </x:c>
      <x:c r="D706" s="51" t="str">
        <x:f>IF(698&gt;$H$4,"",IF(INDEX('Fleet dates'!$D$9:$D$1008,$I706-8)="","",INDEX('Fleet dates'!$D$9:$D$1008,$I706-8)))</x:f>
      </x:c>
      <x:c r="E706" s="51" t="str">
        <x:f>IF(698&gt;$H$4,"",IF(INDEX('Fleet dates'!$E$9:$E$1008,$I706-8)="","",INDEX('Fleet dates'!$E$9:$E$1008,$I706-8)))</x:f>
      </x:c>
      <x:c r="F706" s="51" t="str">
        <x:f>IF(698&gt;$H$4,"",IF(INDEX('Fleet dates'!$F$9:$F$1008,$I706-8)="","",INDEX('Fleet dates'!$F$9:$F$1008,$I706-8)))</x:f>
      </x:c>
      <x:c r="G706" s="50" t="str">
        <x:f>IF(698&gt;$H$4,"",IF(INDEX('Fleet dates'!$G$9:$G$1008,$I706-8)="","",INDEX('Fleet dates'!$G$9:$G$1008,$I706-8)))</x:f>
      </x:c>
      <x:c r="H706" s="50" t="str">
        <x:f>IF(698&gt;$H$4,"",IF(INDEX('Fleet dates'!$I$9:$I$1008,$I706-8)="","",INDEX('Fleet dates'!$I$9:$I$1008,$I706-8)))</x:f>
      </x:c>
      <x:c r="I706" t="str">
        <x:f>IF(698&gt;$H$4,"",MATCH(698,'Fleet dates'!$L$9:$L$1008,0)+8)</x:f>
      </x:c>
    </x:row>
    <x:row r="707" ht="36" customHeight="1">
      <x:c r="A707" s="50" t="str">
        <x:f>IF(699&gt;$H$4,"",IF(INDEX('Fleet dates'!$A$9:$A$1008,$I707-8)="","",INDEX('Fleet dates'!$A$9:$A$1008,$I707-8)))</x:f>
      </x:c>
      <x:c r="B707" s="50" t="str">
        <x:f>IF(699&gt;$H$4,"",IF(INDEX('Fleet dates'!$B$9:$B$1008,$I707-8)="","",INDEX('Fleet dates'!$B$9:$B$1008,$I707-8)))</x:f>
      </x:c>
      <x:c r="C707" s="51" t="str">
        <x:f>IF(699&gt;$H$4,"",IF(INDEX('Fleet dates'!$C$9:$C$1008,$I707-8)="","",INDEX('Fleet dates'!$C$9:$C$1008,$I707-8)))</x:f>
      </x:c>
      <x:c r="D707" s="51" t="str">
        <x:f>IF(699&gt;$H$4,"",IF(INDEX('Fleet dates'!$D$9:$D$1008,$I707-8)="","",INDEX('Fleet dates'!$D$9:$D$1008,$I707-8)))</x:f>
      </x:c>
      <x:c r="E707" s="51" t="str">
        <x:f>IF(699&gt;$H$4,"",IF(INDEX('Fleet dates'!$E$9:$E$1008,$I707-8)="","",INDEX('Fleet dates'!$E$9:$E$1008,$I707-8)))</x:f>
      </x:c>
      <x:c r="F707" s="51" t="str">
        <x:f>IF(699&gt;$H$4,"",IF(INDEX('Fleet dates'!$F$9:$F$1008,$I707-8)="","",INDEX('Fleet dates'!$F$9:$F$1008,$I707-8)))</x:f>
      </x:c>
      <x:c r="G707" s="50" t="str">
        <x:f>IF(699&gt;$H$4,"",IF(INDEX('Fleet dates'!$G$9:$G$1008,$I707-8)="","",INDEX('Fleet dates'!$G$9:$G$1008,$I707-8)))</x:f>
      </x:c>
      <x:c r="H707" s="50" t="str">
        <x:f>IF(699&gt;$H$4,"",IF(INDEX('Fleet dates'!$I$9:$I$1008,$I707-8)="","",INDEX('Fleet dates'!$I$9:$I$1008,$I707-8)))</x:f>
      </x:c>
      <x:c r="I707" t="str">
        <x:f>IF(699&gt;$H$4,"",MATCH(699,'Fleet dates'!$L$9:$L$1008,0)+8)</x:f>
      </x:c>
    </x:row>
    <x:row r="708" ht="36" customHeight="1">
      <x:c r="A708" s="50" t="str">
        <x:f>IF(700&gt;$H$4,"",IF(INDEX('Fleet dates'!$A$9:$A$1008,$I708-8)="","",INDEX('Fleet dates'!$A$9:$A$1008,$I708-8)))</x:f>
      </x:c>
      <x:c r="B708" s="50" t="str">
        <x:f>IF(700&gt;$H$4,"",IF(INDEX('Fleet dates'!$B$9:$B$1008,$I708-8)="","",INDEX('Fleet dates'!$B$9:$B$1008,$I708-8)))</x:f>
      </x:c>
      <x:c r="C708" s="51" t="str">
        <x:f>IF(700&gt;$H$4,"",IF(INDEX('Fleet dates'!$C$9:$C$1008,$I708-8)="","",INDEX('Fleet dates'!$C$9:$C$1008,$I708-8)))</x:f>
      </x:c>
      <x:c r="D708" s="51" t="str">
        <x:f>IF(700&gt;$H$4,"",IF(INDEX('Fleet dates'!$D$9:$D$1008,$I708-8)="","",INDEX('Fleet dates'!$D$9:$D$1008,$I708-8)))</x:f>
      </x:c>
      <x:c r="E708" s="51" t="str">
        <x:f>IF(700&gt;$H$4,"",IF(INDEX('Fleet dates'!$E$9:$E$1008,$I708-8)="","",INDEX('Fleet dates'!$E$9:$E$1008,$I708-8)))</x:f>
      </x:c>
      <x:c r="F708" s="51" t="str">
        <x:f>IF(700&gt;$H$4,"",IF(INDEX('Fleet dates'!$F$9:$F$1008,$I708-8)="","",INDEX('Fleet dates'!$F$9:$F$1008,$I708-8)))</x:f>
      </x:c>
      <x:c r="G708" s="50" t="str">
        <x:f>IF(700&gt;$H$4,"",IF(INDEX('Fleet dates'!$G$9:$G$1008,$I708-8)="","",INDEX('Fleet dates'!$G$9:$G$1008,$I708-8)))</x:f>
      </x:c>
      <x:c r="H708" s="50" t="str">
        <x:f>IF(700&gt;$H$4,"",IF(INDEX('Fleet dates'!$I$9:$I$1008,$I708-8)="","",INDEX('Fleet dates'!$I$9:$I$1008,$I708-8)))</x:f>
      </x:c>
      <x:c r="I708" t="str">
        <x:f>IF(700&gt;$H$4,"",MATCH(700,'Fleet dates'!$L$9:$L$1008,0)+8)</x:f>
      </x:c>
    </x:row>
    <x:row r="709" ht="36" customHeight="1">
      <x:c r="A709" s="50" t="str">
        <x:f>IF(701&gt;$H$4,"",IF(INDEX('Fleet dates'!$A$9:$A$1008,$I709-8)="","",INDEX('Fleet dates'!$A$9:$A$1008,$I709-8)))</x:f>
      </x:c>
      <x:c r="B709" s="50" t="str">
        <x:f>IF(701&gt;$H$4,"",IF(INDEX('Fleet dates'!$B$9:$B$1008,$I709-8)="","",INDEX('Fleet dates'!$B$9:$B$1008,$I709-8)))</x:f>
      </x:c>
      <x:c r="C709" s="51" t="str">
        <x:f>IF(701&gt;$H$4,"",IF(INDEX('Fleet dates'!$C$9:$C$1008,$I709-8)="","",INDEX('Fleet dates'!$C$9:$C$1008,$I709-8)))</x:f>
      </x:c>
      <x:c r="D709" s="51" t="str">
        <x:f>IF(701&gt;$H$4,"",IF(INDEX('Fleet dates'!$D$9:$D$1008,$I709-8)="","",INDEX('Fleet dates'!$D$9:$D$1008,$I709-8)))</x:f>
      </x:c>
      <x:c r="E709" s="51" t="str">
        <x:f>IF(701&gt;$H$4,"",IF(INDEX('Fleet dates'!$E$9:$E$1008,$I709-8)="","",INDEX('Fleet dates'!$E$9:$E$1008,$I709-8)))</x:f>
      </x:c>
      <x:c r="F709" s="51" t="str">
        <x:f>IF(701&gt;$H$4,"",IF(INDEX('Fleet dates'!$F$9:$F$1008,$I709-8)="","",INDEX('Fleet dates'!$F$9:$F$1008,$I709-8)))</x:f>
      </x:c>
      <x:c r="G709" s="50" t="str">
        <x:f>IF(701&gt;$H$4,"",IF(INDEX('Fleet dates'!$G$9:$G$1008,$I709-8)="","",INDEX('Fleet dates'!$G$9:$G$1008,$I709-8)))</x:f>
      </x:c>
      <x:c r="H709" s="50" t="str">
        <x:f>IF(701&gt;$H$4,"",IF(INDEX('Fleet dates'!$I$9:$I$1008,$I709-8)="","",INDEX('Fleet dates'!$I$9:$I$1008,$I709-8)))</x:f>
      </x:c>
      <x:c r="I709" t="str">
        <x:f>IF(701&gt;$H$4,"",MATCH(701,'Fleet dates'!$L$9:$L$1008,0)+8)</x:f>
      </x:c>
    </x:row>
    <x:row r="710" ht="36" customHeight="1">
      <x:c r="A710" s="50" t="str">
        <x:f>IF(702&gt;$H$4,"",IF(INDEX('Fleet dates'!$A$9:$A$1008,$I710-8)="","",INDEX('Fleet dates'!$A$9:$A$1008,$I710-8)))</x:f>
      </x:c>
      <x:c r="B710" s="50" t="str">
        <x:f>IF(702&gt;$H$4,"",IF(INDEX('Fleet dates'!$B$9:$B$1008,$I710-8)="","",INDEX('Fleet dates'!$B$9:$B$1008,$I710-8)))</x:f>
      </x:c>
      <x:c r="C710" s="51" t="str">
        <x:f>IF(702&gt;$H$4,"",IF(INDEX('Fleet dates'!$C$9:$C$1008,$I710-8)="","",INDEX('Fleet dates'!$C$9:$C$1008,$I710-8)))</x:f>
      </x:c>
      <x:c r="D710" s="51" t="str">
        <x:f>IF(702&gt;$H$4,"",IF(INDEX('Fleet dates'!$D$9:$D$1008,$I710-8)="","",INDEX('Fleet dates'!$D$9:$D$1008,$I710-8)))</x:f>
      </x:c>
      <x:c r="E710" s="51" t="str">
        <x:f>IF(702&gt;$H$4,"",IF(INDEX('Fleet dates'!$E$9:$E$1008,$I710-8)="","",INDEX('Fleet dates'!$E$9:$E$1008,$I710-8)))</x:f>
      </x:c>
      <x:c r="F710" s="51" t="str">
        <x:f>IF(702&gt;$H$4,"",IF(INDEX('Fleet dates'!$F$9:$F$1008,$I710-8)="","",INDEX('Fleet dates'!$F$9:$F$1008,$I710-8)))</x:f>
      </x:c>
      <x:c r="G710" s="50" t="str">
        <x:f>IF(702&gt;$H$4,"",IF(INDEX('Fleet dates'!$G$9:$G$1008,$I710-8)="","",INDEX('Fleet dates'!$G$9:$G$1008,$I710-8)))</x:f>
      </x:c>
      <x:c r="H710" s="50" t="str">
        <x:f>IF(702&gt;$H$4,"",IF(INDEX('Fleet dates'!$I$9:$I$1008,$I710-8)="","",INDEX('Fleet dates'!$I$9:$I$1008,$I710-8)))</x:f>
      </x:c>
      <x:c r="I710" t="str">
        <x:f>IF(702&gt;$H$4,"",MATCH(702,'Fleet dates'!$L$9:$L$1008,0)+8)</x:f>
      </x:c>
    </x:row>
    <x:row r="711" ht="36" customHeight="1">
      <x:c r="A711" s="50" t="str">
        <x:f>IF(703&gt;$H$4,"",IF(INDEX('Fleet dates'!$A$9:$A$1008,$I711-8)="","",INDEX('Fleet dates'!$A$9:$A$1008,$I711-8)))</x:f>
      </x:c>
      <x:c r="B711" s="50" t="str">
        <x:f>IF(703&gt;$H$4,"",IF(INDEX('Fleet dates'!$B$9:$B$1008,$I711-8)="","",INDEX('Fleet dates'!$B$9:$B$1008,$I711-8)))</x:f>
      </x:c>
      <x:c r="C711" s="51" t="str">
        <x:f>IF(703&gt;$H$4,"",IF(INDEX('Fleet dates'!$C$9:$C$1008,$I711-8)="","",INDEX('Fleet dates'!$C$9:$C$1008,$I711-8)))</x:f>
      </x:c>
      <x:c r="D711" s="51" t="str">
        <x:f>IF(703&gt;$H$4,"",IF(INDEX('Fleet dates'!$D$9:$D$1008,$I711-8)="","",INDEX('Fleet dates'!$D$9:$D$1008,$I711-8)))</x:f>
      </x:c>
      <x:c r="E711" s="51" t="str">
        <x:f>IF(703&gt;$H$4,"",IF(INDEX('Fleet dates'!$E$9:$E$1008,$I711-8)="","",INDEX('Fleet dates'!$E$9:$E$1008,$I711-8)))</x:f>
      </x:c>
      <x:c r="F711" s="51" t="str">
        <x:f>IF(703&gt;$H$4,"",IF(INDEX('Fleet dates'!$F$9:$F$1008,$I711-8)="","",INDEX('Fleet dates'!$F$9:$F$1008,$I711-8)))</x:f>
      </x:c>
      <x:c r="G711" s="50" t="str">
        <x:f>IF(703&gt;$H$4,"",IF(INDEX('Fleet dates'!$G$9:$G$1008,$I711-8)="","",INDEX('Fleet dates'!$G$9:$G$1008,$I711-8)))</x:f>
      </x:c>
      <x:c r="H711" s="50" t="str">
        <x:f>IF(703&gt;$H$4,"",IF(INDEX('Fleet dates'!$I$9:$I$1008,$I711-8)="","",INDEX('Fleet dates'!$I$9:$I$1008,$I711-8)))</x:f>
      </x:c>
      <x:c r="I711" t="str">
        <x:f>IF(703&gt;$H$4,"",MATCH(703,'Fleet dates'!$L$9:$L$1008,0)+8)</x:f>
      </x:c>
    </x:row>
    <x:row r="712" ht="36" customHeight="1">
      <x:c r="A712" s="50" t="str">
        <x:f>IF(704&gt;$H$4,"",IF(INDEX('Fleet dates'!$A$9:$A$1008,$I712-8)="","",INDEX('Fleet dates'!$A$9:$A$1008,$I712-8)))</x:f>
      </x:c>
      <x:c r="B712" s="50" t="str">
        <x:f>IF(704&gt;$H$4,"",IF(INDEX('Fleet dates'!$B$9:$B$1008,$I712-8)="","",INDEX('Fleet dates'!$B$9:$B$1008,$I712-8)))</x:f>
      </x:c>
      <x:c r="C712" s="51" t="str">
        <x:f>IF(704&gt;$H$4,"",IF(INDEX('Fleet dates'!$C$9:$C$1008,$I712-8)="","",INDEX('Fleet dates'!$C$9:$C$1008,$I712-8)))</x:f>
      </x:c>
      <x:c r="D712" s="51" t="str">
        <x:f>IF(704&gt;$H$4,"",IF(INDEX('Fleet dates'!$D$9:$D$1008,$I712-8)="","",INDEX('Fleet dates'!$D$9:$D$1008,$I712-8)))</x:f>
      </x:c>
      <x:c r="E712" s="51" t="str">
        <x:f>IF(704&gt;$H$4,"",IF(INDEX('Fleet dates'!$E$9:$E$1008,$I712-8)="","",INDEX('Fleet dates'!$E$9:$E$1008,$I712-8)))</x:f>
      </x:c>
      <x:c r="F712" s="51" t="str">
        <x:f>IF(704&gt;$H$4,"",IF(INDEX('Fleet dates'!$F$9:$F$1008,$I712-8)="","",INDEX('Fleet dates'!$F$9:$F$1008,$I712-8)))</x:f>
      </x:c>
      <x:c r="G712" s="50" t="str">
        <x:f>IF(704&gt;$H$4,"",IF(INDEX('Fleet dates'!$G$9:$G$1008,$I712-8)="","",INDEX('Fleet dates'!$G$9:$G$1008,$I712-8)))</x:f>
      </x:c>
      <x:c r="H712" s="50" t="str">
        <x:f>IF(704&gt;$H$4,"",IF(INDEX('Fleet dates'!$I$9:$I$1008,$I712-8)="","",INDEX('Fleet dates'!$I$9:$I$1008,$I712-8)))</x:f>
      </x:c>
      <x:c r="I712" t="str">
        <x:f>IF(704&gt;$H$4,"",MATCH(704,'Fleet dates'!$L$9:$L$1008,0)+8)</x:f>
      </x:c>
    </x:row>
    <x:row r="713" ht="36" customHeight="1">
      <x:c r="A713" s="50" t="str">
        <x:f>IF(705&gt;$H$4,"",IF(INDEX('Fleet dates'!$A$9:$A$1008,$I713-8)="","",INDEX('Fleet dates'!$A$9:$A$1008,$I713-8)))</x:f>
      </x:c>
      <x:c r="B713" s="50" t="str">
        <x:f>IF(705&gt;$H$4,"",IF(INDEX('Fleet dates'!$B$9:$B$1008,$I713-8)="","",INDEX('Fleet dates'!$B$9:$B$1008,$I713-8)))</x:f>
      </x:c>
      <x:c r="C713" s="51" t="str">
        <x:f>IF(705&gt;$H$4,"",IF(INDEX('Fleet dates'!$C$9:$C$1008,$I713-8)="","",INDEX('Fleet dates'!$C$9:$C$1008,$I713-8)))</x:f>
      </x:c>
      <x:c r="D713" s="51" t="str">
        <x:f>IF(705&gt;$H$4,"",IF(INDEX('Fleet dates'!$D$9:$D$1008,$I713-8)="","",INDEX('Fleet dates'!$D$9:$D$1008,$I713-8)))</x:f>
      </x:c>
      <x:c r="E713" s="51" t="str">
        <x:f>IF(705&gt;$H$4,"",IF(INDEX('Fleet dates'!$E$9:$E$1008,$I713-8)="","",INDEX('Fleet dates'!$E$9:$E$1008,$I713-8)))</x:f>
      </x:c>
      <x:c r="F713" s="51" t="str">
        <x:f>IF(705&gt;$H$4,"",IF(INDEX('Fleet dates'!$F$9:$F$1008,$I713-8)="","",INDEX('Fleet dates'!$F$9:$F$1008,$I713-8)))</x:f>
      </x:c>
      <x:c r="G713" s="50" t="str">
        <x:f>IF(705&gt;$H$4,"",IF(INDEX('Fleet dates'!$G$9:$G$1008,$I713-8)="","",INDEX('Fleet dates'!$G$9:$G$1008,$I713-8)))</x:f>
      </x:c>
      <x:c r="H713" s="50" t="str">
        <x:f>IF(705&gt;$H$4,"",IF(INDEX('Fleet dates'!$I$9:$I$1008,$I713-8)="","",INDEX('Fleet dates'!$I$9:$I$1008,$I713-8)))</x:f>
      </x:c>
      <x:c r="I713" t="str">
        <x:f>IF(705&gt;$H$4,"",MATCH(705,'Fleet dates'!$L$9:$L$1008,0)+8)</x:f>
      </x:c>
    </x:row>
    <x:row r="714" ht="36" customHeight="1">
      <x:c r="A714" s="50" t="str">
        <x:f>IF(706&gt;$H$4,"",IF(INDEX('Fleet dates'!$A$9:$A$1008,$I714-8)="","",INDEX('Fleet dates'!$A$9:$A$1008,$I714-8)))</x:f>
      </x:c>
      <x:c r="B714" s="50" t="str">
        <x:f>IF(706&gt;$H$4,"",IF(INDEX('Fleet dates'!$B$9:$B$1008,$I714-8)="","",INDEX('Fleet dates'!$B$9:$B$1008,$I714-8)))</x:f>
      </x:c>
      <x:c r="C714" s="51" t="str">
        <x:f>IF(706&gt;$H$4,"",IF(INDEX('Fleet dates'!$C$9:$C$1008,$I714-8)="","",INDEX('Fleet dates'!$C$9:$C$1008,$I714-8)))</x:f>
      </x:c>
      <x:c r="D714" s="51" t="str">
        <x:f>IF(706&gt;$H$4,"",IF(INDEX('Fleet dates'!$D$9:$D$1008,$I714-8)="","",INDEX('Fleet dates'!$D$9:$D$1008,$I714-8)))</x:f>
      </x:c>
      <x:c r="E714" s="51" t="str">
        <x:f>IF(706&gt;$H$4,"",IF(INDEX('Fleet dates'!$E$9:$E$1008,$I714-8)="","",INDEX('Fleet dates'!$E$9:$E$1008,$I714-8)))</x:f>
      </x:c>
      <x:c r="F714" s="51" t="str">
        <x:f>IF(706&gt;$H$4,"",IF(INDEX('Fleet dates'!$F$9:$F$1008,$I714-8)="","",INDEX('Fleet dates'!$F$9:$F$1008,$I714-8)))</x:f>
      </x:c>
      <x:c r="G714" s="50" t="str">
        <x:f>IF(706&gt;$H$4,"",IF(INDEX('Fleet dates'!$G$9:$G$1008,$I714-8)="","",INDEX('Fleet dates'!$G$9:$G$1008,$I714-8)))</x:f>
      </x:c>
      <x:c r="H714" s="50" t="str">
        <x:f>IF(706&gt;$H$4,"",IF(INDEX('Fleet dates'!$I$9:$I$1008,$I714-8)="","",INDEX('Fleet dates'!$I$9:$I$1008,$I714-8)))</x:f>
      </x:c>
      <x:c r="I714" t="str">
        <x:f>IF(706&gt;$H$4,"",MATCH(706,'Fleet dates'!$L$9:$L$1008,0)+8)</x:f>
      </x:c>
    </x:row>
    <x:row r="715" ht="36" customHeight="1">
      <x:c r="A715" s="50" t="str">
        <x:f>IF(707&gt;$H$4,"",IF(INDEX('Fleet dates'!$A$9:$A$1008,$I715-8)="","",INDEX('Fleet dates'!$A$9:$A$1008,$I715-8)))</x:f>
      </x:c>
      <x:c r="B715" s="50" t="str">
        <x:f>IF(707&gt;$H$4,"",IF(INDEX('Fleet dates'!$B$9:$B$1008,$I715-8)="","",INDEX('Fleet dates'!$B$9:$B$1008,$I715-8)))</x:f>
      </x:c>
      <x:c r="C715" s="51" t="str">
        <x:f>IF(707&gt;$H$4,"",IF(INDEX('Fleet dates'!$C$9:$C$1008,$I715-8)="","",INDEX('Fleet dates'!$C$9:$C$1008,$I715-8)))</x:f>
      </x:c>
      <x:c r="D715" s="51" t="str">
        <x:f>IF(707&gt;$H$4,"",IF(INDEX('Fleet dates'!$D$9:$D$1008,$I715-8)="","",INDEX('Fleet dates'!$D$9:$D$1008,$I715-8)))</x:f>
      </x:c>
      <x:c r="E715" s="51" t="str">
        <x:f>IF(707&gt;$H$4,"",IF(INDEX('Fleet dates'!$E$9:$E$1008,$I715-8)="","",INDEX('Fleet dates'!$E$9:$E$1008,$I715-8)))</x:f>
      </x:c>
      <x:c r="F715" s="51" t="str">
        <x:f>IF(707&gt;$H$4,"",IF(INDEX('Fleet dates'!$F$9:$F$1008,$I715-8)="","",INDEX('Fleet dates'!$F$9:$F$1008,$I715-8)))</x:f>
      </x:c>
      <x:c r="G715" s="50" t="str">
        <x:f>IF(707&gt;$H$4,"",IF(INDEX('Fleet dates'!$G$9:$G$1008,$I715-8)="","",INDEX('Fleet dates'!$G$9:$G$1008,$I715-8)))</x:f>
      </x:c>
      <x:c r="H715" s="50" t="str">
        <x:f>IF(707&gt;$H$4,"",IF(INDEX('Fleet dates'!$I$9:$I$1008,$I715-8)="","",INDEX('Fleet dates'!$I$9:$I$1008,$I715-8)))</x:f>
      </x:c>
      <x:c r="I715" t="str">
        <x:f>IF(707&gt;$H$4,"",MATCH(707,'Fleet dates'!$L$9:$L$1008,0)+8)</x:f>
      </x:c>
    </x:row>
    <x:row r="716" ht="36" customHeight="1">
      <x:c r="A716" s="50" t="str">
        <x:f>IF(708&gt;$H$4,"",IF(INDEX('Fleet dates'!$A$9:$A$1008,$I716-8)="","",INDEX('Fleet dates'!$A$9:$A$1008,$I716-8)))</x:f>
      </x:c>
      <x:c r="B716" s="50" t="str">
        <x:f>IF(708&gt;$H$4,"",IF(INDEX('Fleet dates'!$B$9:$B$1008,$I716-8)="","",INDEX('Fleet dates'!$B$9:$B$1008,$I716-8)))</x:f>
      </x:c>
      <x:c r="C716" s="51" t="str">
        <x:f>IF(708&gt;$H$4,"",IF(INDEX('Fleet dates'!$C$9:$C$1008,$I716-8)="","",INDEX('Fleet dates'!$C$9:$C$1008,$I716-8)))</x:f>
      </x:c>
      <x:c r="D716" s="51" t="str">
        <x:f>IF(708&gt;$H$4,"",IF(INDEX('Fleet dates'!$D$9:$D$1008,$I716-8)="","",INDEX('Fleet dates'!$D$9:$D$1008,$I716-8)))</x:f>
      </x:c>
      <x:c r="E716" s="51" t="str">
        <x:f>IF(708&gt;$H$4,"",IF(INDEX('Fleet dates'!$E$9:$E$1008,$I716-8)="","",INDEX('Fleet dates'!$E$9:$E$1008,$I716-8)))</x:f>
      </x:c>
      <x:c r="F716" s="51" t="str">
        <x:f>IF(708&gt;$H$4,"",IF(INDEX('Fleet dates'!$F$9:$F$1008,$I716-8)="","",INDEX('Fleet dates'!$F$9:$F$1008,$I716-8)))</x:f>
      </x:c>
      <x:c r="G716" s="50" t="str">
        <x:f>IF(708&gt;$H$4,"",IF(INDEX('Fleet dates'!$G$9:$G$1008,$I716-8)="","",INDEX('Fleet dates'!$G$9:$G$1008,$I716-8)))</x:f>
      </x:c>
      <x:c r="H716" s="50" t="str">
        <x:f>IF(708&gt;$H$4,"",IF(INDEX('Fleet dates'!$I$9:$I$1008,$I716-8)="","",INDEX('Fleet dates'!$I$9:$I$1008,$I716-8)))</x:f>
      </x:c>
      <x:c r="I716" t="str">
        <x:f>IF(708&gt;$H$4,"",MATCH(708,'Fleet dates'!$L$9:$L$1008,0)+8)</x:f>
      </x:c>
    </x:row>
    <x:row r="717" ht="36" customHeight="1">
      <x:c r="A717" s="50" t="str">
        <x:f>IF(709&gt;$H$4,"",IF(INDEX('Fleet dates'!$A$9:$A$1008,$I717-8)="","",INDEX('Fleet dates'!$A$9:$A$1008,$I717-8)))</x:f>
      </x:c>
      <x:c r="B717" s="50" t="str">
        <x:f>IF(709&gt;$H$4,"",IF(INDEX('Fleet dates'!$B$9:$B$1008,$I717-8)="","",INDEX('Fleet dates'!$B$9:$B$1008,$I717-8)))</x:f>
      </x:c>
      <x:c r="C717" s="51" t="str">
        <x:f>IF(709&gt;$H$4,"",IF(INDEX('Fleet dates'!$C$9:$C$1008,$I717-8)="","",INDEX('Fleet dates'!$C$9:$C$1008,$I717-8)))</x:f>
      </x:c>
      <x:c r="D717" s="51" t="str">
        <x:f>IF(709&gt;$H$4,"",IF(INDEX('Fleet dates'!$D$9:$D$1008,$I717-8)="","",INDEX('Fleet dates'!$D$9:$D$1008,$I717-8)))</x:f>
      </x:c>
      <x:c r="E717" s="51" t="str">
        <x:f>IF(709&gt;$H$4,"",IF(INDEX('Fleet dates'!$E$9:$E$1008,$I717-8)="","",INDEX('Fleet dates'!$E$9:$E$1008,$I717-8)))</x:f>
      </x:c>
      <x:c r="F717" s="51" t="str">
        <x:f>IF(709&gt;$H$4,"",IF(INDEX('Fleet dates'!$F$9:$F$1008,$I717-8)="","",INDEX('Fleet dates'!$F$9:$F$1008,$I717-8)))</x:f>
      </x:c>
      <x:c r="G717" s="50" t="str">
        <x:f>IF(709&gt;$H$4,"",IF(INDEX('Fleet dates'!$G$9:$G$1008,$I717-8)="","",INDEX('Fleet dates'!$G$9:$G$1008,$I717-8)))</x:f>
      </x:c>
      <x:c r="H717" s="50" t="str">
        <x:f>IF(709&gt;$H$4,"",IF(INDEX('Fleet dates'!$I$9:$I$1008,$I717-8)="","",INDEX('Fleet dates'!$I$9:$I$1008,$I717-8)))</x:f>
      </x:c>
      <x:c r="I717" t="str">
        <x:f>IF(709&gt;$H$4,"",MATCH(709,'Fleet dates'!$L$9:$L$1008,0)+8)</x:f>
      </x:c>
    </x:row>
    <x:row r="718" ht="36" customHeight="1">
      <x:c r="A718" s="50" t="str">
        <x:f>IF(710&gt;$H$4,"",IF(INDEX('Fleet dates'!$A$9:$A$1008,$I718-8)="","",INDEX('Fleet dates'!$A$9:$A$1008,$I718-8)))</x:f>
      </x:c>
      <x:c r="B718" s="50" t="str">
        <x:f>IF(710&gt;$H$4,"",IF(INDEX('Fleet dates'!$B$9:$B$1008,$I718-8)="","",INDEX('Fleet dates'!$B$9:$B$1008,$I718-8)))</x:f>
      </x:c>
      <x:c r="C718" s="51" t="str">
        <x:f>IF(710&gt;$H$4,"",IF(INDEX('Fleet dates'!$C$9:$C$1008,$I718-8)="","",INDEX('Fleet dates'!$C$9:$C$1008,$I718-8)))</x:f>
      </x:c>
      <x:c r="D718" s="51" t="str">
        <x:f>IF(710&gt;$H$4,"",IF(INDEX('Fleet dates'!$D$9:$D$1008,$I718-8)="","",INDEX('Fleet dates'!$D$9:$D$1008,$I718-8)))</x:f>
      </x:c>
      <x:c r="E718" s="51" t="str">
        <x:f>IF(710&gt;$H$4,"",IF(INDEX('Fleet dates'!$E$9:$E$1008,$I718-8)="","",INDEX('Fleet dates'!$E$9:$E$1008,$I718-8)))</x:f>
      </x:c>
      <x:c r="F718" s="51" t="str">
        <x:f>IF(710&gt;$H$4,"",IF(INDEX('Fleet dates'!$F$9:$F$1008,$I718-8)="","",INDEX('Fleet dates'!$F$9:$F$1008,$I718-8)))</x:f>
      </x:c>
      <x:c r="G718" s="50" t="str">
        <x:f>IF(710&gt;$H$4,"",IF(INDEX('Fleet dates'!$G$9:$G$1008,$I718-8)="","",INDEX('Fleet dates'!$G$9:$G$1008,$I718-8)))</x:f>
      </x:c>
      <x:c r="H718" s="50" t="str">
        <x:f>IF(710&gt;$H$4,"",IF(INDEX('Fleet dates'!$I$9:$I$1008,$I718-8)="","",INDEX('Fleet dates'!$I$9:$I$1008,$I718-8)))</x:f>
      </x:c>
      <x:c r="I718" t="str">
        <x:f>IF(710&gt;$H$4,"",MATCH(710,'Fleet dates'!$L$9:$L$1008,0)+8)</x:f>
      </x:c>
    </x:row>
    <x:row r="719" ht="36" customHeight="1">
      <x:c r="A719" s="50" t="str">
        <x:f>IF(711&gt;$H$4,"",IF(INDEX('Fleet dates'!$A$9:$A$1008,$I719-8)="","",INDEX('Fleet dates'!$A$9:$A$1008,$I719-8)))</x:f>
      </x:c>
      <x:c r="B719" s="50" t="str">
        <x:f>IF(711&gt;$H$4,"",IF(INDEX('Fleet dates'!$B$9:$B$1008,$I719-8)="","",INDEX('Fleet dates'!$B$9:$B$1008,$I719-8)))</x:f>
      </x:c>
      <x:c r="C719" s="51" t="str">
        <x:f>IF(711&gt;$H$4,"",IF(INDEX('Fleet dates'!$C$9:$C$1008,$I719-8)="","",INDEX('Fleet dates'!$C$9:$C$1008,$I719-8)))</x:f>
      </x:c>
      <x:c r="D719" s="51" t="str">
        <x:f>IF(711&gt;$H$4,"",IF(INDEX('Fleet dates'!$D$9:$D$1008,$I719-8)="","",INDEX('Fleet dates'!$D$9:$D$1008,$I719-8)))</x:f>
      </x:c>
      <x:c r="E719" s="51" t="str">
        <x:f>IF(711&gt;$H$4,"",IF(INDEX('Fleet dates'!$E$9:$E$1008,$I719-8)="","",INDEX('Fleet dates'!$E$9:$E$1008,$I719-8)))</x:f>
      </x:c>
      <x:c r="F719" s="51" t="str">
        <x:f>IF(711&gt;$H$4,"",IF(INDEX('Fleet dates'!$F$9:$F$1008,$I719-8)="","",INDEX('Fleet dates'!$F$9:$F$1008,$I719-8)))</x:f>
      </x:c>
      <x:c r="G719" s="50" t="str">
        <x:f>IF(711&gt;$H$4,"",IF(INDEX('Fleet dates'!$G$9:$G$1008,$I719-8)="","",INDEX('Fleet dates'!$G$9:$G$1008,$I719-8)))</x:f>
      </x:c>
      <x:c r="H719" s="50" t="str">
        <x:f>IF(711&gt;$H$4,"",IF(INDEX('Fleet dates'!$I$9:$I$1008,$I719-8)="","",INDEX('Fleet dates'!$I$9:$I$1008,$I719-8)))</x:f>
      </x:c>
      <x:c r="I719" t="str">
        <x:f>IF(711&gt;$H$4,"",MATCH(711,'Fleet dates'!$L$9:$L$1008,0)+8)</x:f>
      </x:c>
    </x:row>
    <x:row r="720" ht="36" customHeight="1">
      <x:c r="A720" s="50" t="str">
        <x:f>IF(712&gt;$H$4,"",IF(INDEX('Fleet dates'!$A$9:$A$1008,$I720-8)="","",INDEX('Fleet dates'!$A$9:$A$1008,$I720-8)))</x:f>
      </x:c>
      <x:c r="B720" s="50" t="str">
        <x:f>IF(712&gt;$H$4,"",IF(INDEX('Fleet dates'!$B$9:$B$1008,$I720-8)="","",INDEX('Fleet dates'!$B$9:$B$1008,$I720-8)))</x:f>
      </x:c>
      <x:c r="C720" s="51" t="str">
        <x:f>IF(712&gt;$H$4,"",IF(INDEX('Fleet dates'!$C$9:$C$1008,$I720-8)="","",INDEX('Fleet dates'!$C$9:$C$1008,$I720-8)))</x:f>
      </x:c>
      <x:c r="D720" s="51" t="str">
        <x:f>IF(712&gt;$H$4,"",IF(INDEX('Fleet dates'!$D$9:$D$1008,$I720-8)="","",INDEX('Fleet dates'!$D$9:$D$1008,$I720-8)))</x:f>
      </x:c>
      <x:c r="E720" s="51" t="str">
        <x:f>IF(712&gt;$H$4,"",IF(INDEX('Fleet dates'!$E$9:$E$1008,$I720-8)="","",INDEX('Fleet dates'!$E$9:$E$1008,$I720-8)))</x:f>
      </x:c>
      <x:c r="F720" s="51" t="str">
        <x:f>IF(712&gt;$H$4,"",IF(INDEX('Fleet dates'!$F$9:$F$1008,$I720-8)="","",INDEX('Fleet dates'!$F$9:$F$1008,$I720-8)))</x:f>
      </x:c>
      <x:c r="G720" s="50" t="str">
        <x:f>IF(712&gt;$H$4,"",IF(INDEX('Fleet dates'!$G$9:$G$1008,$I720-8)="","",INDEX('Fleet dates'!$G$9:$G$1008,$I720-8)))</x:f>
      </x:c>
      <x:c r="H720" s="50" t="str">
        <x:f>IF(712&gt;$H$4,"",IF(INDEX('Fleet dates'!$I$9:$I$1008,$I720-8)="","",INDEX('Fleet dates'!$I$9:$I$1008,$I720-8)))</x:f>
      </x:c>
      <x:c r="I720" t="str">
        <x:f>IF(712&gt;$H$4,"",MATCH(712,'Fleet dates'!$L$9:$L$1008,0)+8)</x:f>
      </x:c>
    </x:row>
    <x:row r="721" ht="36" customHeight="1">
      <x:c r="A721" s="50" t="str">
        <x:f>IF(713&gt;$H$4,"",IF(INDEX('Fleet dates'!$A$9:$A$1008,$I721-8)="","",INDEX('Fleet dates'!$A$9:$A$1008,$I721-8)))</x:f>
      </x:c>
      <x:c r="B721" s="50" t="str">
        <x:f>IF(713&gt;$H$4,"",IF(INDEX('Fleet dates'!$B$9:$B$1008,$I721-8)="","",INDEX('Fleet dates'!$B$9:$B$1008,$I721-8)))</x:f>
      </x:c>
      <x:c r="C721" s="51" t="str">
        <x:f>IF(713&gt;$H$4,"",IF(INDEX('Fleet dates'!$C$9:$C$1008,$I721-8)="","",INDEX('Fleet dates'!$C$9:$C$1008,$I721-8)))</x:f>
      </x:c>
      <x:c r="D721" s="51" t="str">
        <x:f>IF(713&gt;$H$4,"",IF(INDEX('Fleet dates'!$D$9:$D$1008,$I721-8)="","",INDEX('Fleet dates'!$D$9:$D$1008,$I721-8)))</x:f>
      </x:c>
      <x:c r="E721" s="51" t="str">
        <x:f>IF(713&gt;$H$4,"",IF(INDEX('Fleet dates'!$E$9:$E$1008,$I721-8)="","",INDEX('Fleet dates'!$E$9:$E$1008,$I721-8)))</x:f>
      </x:c>
      <x:c r="F721" s="51" t="str">
        <x:f>IF(713&gt;$H$4,"",IF(INDEX('Fleet dates'!$F$9:$F$1008,$I721-8)="","",INDEX('Fleet dates'!$F$9:$F$1008,$I721-8)))</x:f>
      </x:c>
      <x:c r="G721" s="50" t="str">
        <x:f>IF(713&gt;$H$4,"",IF(INDEX('Fleet dates'!$G$9:$G$1008,$I721-8)="","",INDEX('Fleet dates'!$G$9:$G$1008,$I721-8)))</x:f>
      </x:c>
      <x:c r="H721" s="50" t="str">
        <x:f>IF(713&gt;$H$4,"",IF(INDEX('Fleet dates'!$I$9:$I$1008,$I721-8)="","",INDEX('Fleet dates'!$I$9:$I$1008,$I721-8)))</x:f>
      </x:c>
      <x:c r="I721" t="str">
        <x:f>IF(713&gt;$H$4,"",MATCH(713,'Fleet dates'!$L$9:$L$1008,0)+8)</x:f>
      </x:c>
    </x:row>
    <x:row r="722" ht="36" customHeight="1">
      <x:c r="A722" s="50" t="str">
        <x:f>IF(714&gt;$H$4,"",IF(INDEX('Fleet dates'!$A$9:$A$1008,$I722-8)="","",INDEX('Fleet dates'!$A$9:$A$1008,$I722-8)))</x:f>
      </x:c>
      <x:c r="B722" s="50" t="str">
        <x:f>IF(714&gt;$H$4,"",IF(INDEX('Fleet dates'!$B$9:$B$1008,$I722-8)="","",INDEX('Fleet dates'!$B$9:$B$1008,$I722-8)))</x:f>
      </x:c>
      <x:c r="C722" s="51" t="str">
        <x:f>IF(714&gt;$H$4,"",IF(INDEX('Fleet dates'!$C$9:$C$1008,$I722-8)="","",INDEX('Fleet dates'!$C$9:$C$1008,$I722-8)))</x:f>
      </x:c>
      <x:c r="D722" s="51" t="str">
        <x:f>IF(714&gt;$H$4,"",IF(INDEX('Fleet dates'!$D$9:$D$1008,$I722-8)="","",INDEX('Fleet dates'!$D$9:$D$1008,$I722-8)))</x:f>
      </x:c>
      <x:c r="E722" s="51" t="str">
        <x:f>IF(714&gt;$H$4,"",IF(INDEX('Fleet dates'!$E$9:$E$1008,$I722-8)="","",INDEX('Fleet dates'!$E$9:$E$1008,$I722-8)))</x:f>
      </x:c>
      <x:c r="F722" s="51" t="str">
        <x:f>IF(714&gt;$H$4,"",IF(INDEX('Fleet dates'!$F$9:$F$1008,$I722-8)="","",INDEX('Fleet dates'!$F$9:$F$1008,$I722-8)))</x:f>
      </x:c>
      <x:c r="G722" s="50" t="str">
        <x:f>IF(714&gt;$H$4,"",IF(INDEX('Fleet dates'!$G$9:$G$1008,$I722-8)="","",INDEX('Fleet dates'!$G$9:$G$1008,$I722-8)))</x:f>
      </x:c>
      <x:c r="H722" s="50" t="str">
        <x:f>IF(714&gt;$H$4,"",IF(INDEX('Fleet dates'!$I$9:$I$1008,$I722-8)="","",INDEX('Fleet dates'!$I$9:$I$1008,$I722-8)))</x:f>
      </x:c>
      <x:c r="I722" t="str">
        <x:f>IF(714&gt;$H$4,"",MATCH(714,'Fleet dates'!$L$9:$L$1008,0)+8)</x:f>
      </x:c>
    </x:row>
    <x:row r="723" ht="36" customHeight="1">
      <x:c r="A723" s="50" t="str">
        <x:f>IF(715&gt;$H$4,"",IF(INDEX('Fleet dates'!$A$9:$A$1008,$I723-8)="","",INDEX('Fleet dates'!$A$9:$A$1008,$I723-8)))</x:f>
      </x:c>
      <x:c r="B723" s="50" t="str">
        <x:f>IF(715&gt;$H$4,"",IF(INDEX('Fleet dates'!$B$9:$B$1008,$I723-8)="","",INDEX('Fleet dates'!$B$9:$B$1008,$I723-8)))</x:f>
      </x:c>
      <x:c r="C723" s="51" t="str">
        <x:f>IF(715&gt;$H$4,"",IF(INDEX('Fleet dates'!$C$9:$C$1008,$I723-8)="","",INDEX('Fleet dates'!$C$9:$C$1008,$I723-8)))</x:f>
      </x:c>
      <x:c r="D723" s="51" t="str">
        <x:f>IF(715&gt;$H$4,"",IF(INDEX('Fleet dates'!$D$9:$D$1008,$I723-8)="","",INDEX('Fleet dates'!$D$9:$D$1008,$I723-8)))</x:f>
      </x:c>
      <x:c r="E723" s="51" t="str">
        <x:f>IF(715&gt;$H$4,"",IF(INDEX('Fleet dates'!$E$9:$E$1008,$I723-8)="","",INDEX('Fleet dates'!$E$9:$E$1008,$I723-8)))</x:f>
      </x:c>
      <x:c r="F723" s="51" t="str">
        <x:f>IF(715&gt;$H$4,"",IF(INDEX('Fleet dates'!$F$9:$F$1008,$I723-8)="","",INDEX('Fleet dates'!$F$9:$F$1008,$I723-8)))</x:f>
      </x:c>
      <x:c r="G723" s="50" t="str">
        <x:f>IF(715&gt;$H$4,"",IF(INDEX('Fleet dates'!$G$9:$G$1008,$I723-8)="","",INDEX('Fleet dates'!$G$9:$G$1008,$I723-8)))</x:f>
      </x:c>
      <x:c r="H723" s="50" t="str">
        <x:f>IF(715&gt;$H$4,"",IF(INDEX('Fleet dates'!$I$9:$I$1008,$I723-8)="","",INDEX('Fleet dates'!$I$9:$I$1008,$I723-8)))</x:f>
      </x:c>
      <x:c r="I723" t="str">
        <x:f>IF(715&gt;$H$4,"",MATCH(715,'Fleet dates'!$L$9:$L$1008,0)+8)</x:f>
      </x:c>
    </x:row>
    <x:row r="724" ht="36" customHeight="1">
      <x:c r="A724" s="50" t="str">
        <x:f>IF(716&gt;$H$4,"",IF(INDEX('Fleet dates'!$A$9:$A$1008,$I724-8)="","",INDEX('Fleet dates'!$A$9:$A$1008,$I724-8)))</x:f>
      </x:c>
      <x:c r="B724" s="50" t="str">
        <x:f>IF(716&gt;$H$4,"",IF(INDEX('Fleet dates'!$B$9:$B$1008,$I724-8)="","",INDEX('Fleet dates'!$B$9:$B$1008,$I724-8)))</x:f>
      </x:c>
      <x:c r="C724" s="51" t="str">
        <x:f>IF(716&gt;$H$4,"",IF(INDEX('Fleet dates'!$C$9:$C$1008,$I724-8)="","",INDEX('Fleet dates'!$C$9:$C$1008,$I724-8)))</x:f>
      </x:c>
      <x:c r="D724" s="51" t="str">
        <x:f>IF(716&gt;$H$4,"",IF(INDEX('Fleet dates'!$D$9:$D$1008,$I724-8)="","",INDEX('Fleet dates'!$D$9:$D$1008,$I724-8)))</x:f>
      </x:c>
      <x:c r="E724" s="51" t="str">
        <x:f>IF(716&gt;$H$4,"",IF(INDEX('Fleet dates'!$E$9:$E$1008,$I724-8)="","",INDEX('Fleet dates'!$E$9:$E$1008,$I724-8)))</x:f>
      </x:c>
      <x:c r="F724" s="51" t="str">
        <x:f>IF(716&gt;$H$4,"",IF(INDEX('Fleet dates'!$F$9:$F$1008,$I724-8)="","",INDEX('Fleet dates'!$F$9:$F$1008,$I724-8)))</x:f>
      </x:c>
      <x:c r="G724" s="50" t="str">
        <x:f>IF(716&gt;$H$4,"",IF(INDEX('Fleet dates'!$G$9:$G$1008,$I724-8)="","",INDEX('Fleet dates'!$G$9:$G$1008,$I724-8)))</x:f>
      </x:c>
      <x:c r="H724" s="50" t="str">
        <x:f>IF(716&gt;$H$4,"",IF(INDEX('Fleet dates'!$I$9:$I$1008,$I724-8)="","",INDEX('Fleet dates'!$I$9:$I$1008,$I724-8)))</x:f>
      </x:c>
      <x:c r="I724" t="str">
        <x:f>IF(716&gt;$H$4,"",MATCH(716,'Fleet dates'!$L$9:$L$1008,0)+8)</x:f>
      </x:c>
    </x:row>
    <x:row r="725" ht="36" customHeight="1">
      <x:c r="A725" s="50" t="str">
        <x:f>IF(717&gt;$H$4,"",IF(INDEX('Fleet dates'!$A$9:$A$1008,$I725-8)="","",INDEX('Fleet dates'!$A$9:$A$1008,$I725-8)))</x:f>
      </x:c>
      <x:c r="B725" s="50" t="str">
        <x:f>IF(717&gt;$H$4,"",IF(INDEX('Fleet dates'!$B$9:$B$1008,$I725-8)="","",INDEX('Fleet dates'!$B$9:$B$1008,$I725-8)))</x:f>
      </x:c>
      <x:c r="C725" s="51" t="str">
        <x:f>IF(717&gt;$H$4,"",IF(INDEX('Fleet dates'!$C$9:$C$1008,$I725-8)="","",INDEX('Fleet dates'!$C$9:$C$1008,$I725-8)))</x:f>
      </x:c>
      <x:c r="D725" s="51" t="str">
        <x:f>IF(717&gt;$H$4,"",IF(INDEX('Fleet dates'!$D$9:$D$1008,$I725-8)="","",INDEX('Fleet dates'!$D$9:$D$1008,$I725-8)))</x:f>
      </x:c>
      <x:c r="E725" s="51" t="str">
        <x:f>IF(717&gt;$H$4,"",IF(INDEX('Fleet dates'!$E$9:$E$1008,$I725-8)="","",INDEX('Fleet dates'!$E$9:$E$1008,$I725-8)))</x:f>
      </x:c>
      <x:c r="F725" s="51" t="str">
        <x:f>IF(717&gt;$H$4,"",IF(INDEX('Fleet dates'!$F$9:$F$1008,$I725-8)="","",INDEX('Fleet dates'!$F$9:$F$1008,$I725-8)))</x:f>
      </x:c>
      <x:c r="G725" s="50" t="str">
        <x:f>IF(717&gt;$H$4,"",IF(INDEX('Fleet dates'!$G$9:$G$1008,$I725-8)="","",INDEX('Fleet dates'!$G$9:$G$1008,$I725-8)))</x:f>
      </x:c>
      <x:c r="H725" s="50" t="str">
        <x:f>IF(717&gt;$H$4,"",IF(INDEX('Fleet dates'!$I$9:$I$1008,$I725-8)="","",INDEX('Fleet dates'!$I$9:$I$1008,$I725-8)))</x:f>
      </x:c>
      <x:c r="I725" t="str">
        <x:f>IF(717&gt;$H$4,"",MATCH(717,'Fleet dates'!$L$9:$L$1008,0)+8)</x:f>
      </x:c>
    </x:row>
    <x:row r="726" ht="36" customHeight="1">
      <x:c r="A726" s="50" t="str">
        <x:f>IF(718&gt;$H$4,"",IF(INDEX('Fleet dates'!$A$9:$A$1008,$I726-8)="","",INDEX('Fleet dates'!$A$9:$A$1008,$I726-8)))</x:f>
      </x:c>
      <x:c r="B726" s="50" t="str">
        <x:f>IF(718&gt;$H$4,"",IF(INDEX('Fleet dates'!$B$9:$B$1008,$I726-8)="","",INDEX('Fleet dates'!$B$9:$B$1008,$I726-8)))</x:f>
      </x:c>
      <x:c r="C726" s="51" t="str">
        <x:f>IF(718&gt;$H$4,"",IF(INDEX('Fleet dates'!$C$9:$C$1008,$I726-8)="","",INDEX('Fleet dates'!$C$9:$C$1008,$I726-8)))</x:f>
      </x:c>
      <x:c r="D726" s="51" t="str">
        <x:f>IF(718&gt;$H$4,"",IF(INDEX('Fleet dates'!$D$9:$D$1008,$I726-8)="","",INDEX('Fleet dates'!$D$9:$D$1008,$I726-8)))</x:f>
      </x:c>
      <x:c r="E726" s="51" t="str">
        <x:f>IF(718&gt;$H$4,"",IF(INDEX('Fleet dates'!$E$9:$E$1008,$I726-8)="","",INDEX('Fleet dates'!$E$9:$E$1008,$I726-8)))</x:f>
      </x:c>
      <x:c r="F726" s="51" t="str">
        <x:f>IF(718&gt;$H$4,"",IF(INDEX('Fleet dates'!$F$9:$F$1008,$I726-8)="","",INDEX('Fleet dates'!$F$9:$F$1008,$I726-8)))</x:f>
      </x:c>
      <x:c r="G726" s="50" t="str">
        <x:f>IF(718&gt;$H$4,"",IF(INDEX('Fleet dates'!$G$9:$G$1008,$I726-8)="","",INDEX('Fleet dates'!$G$9:$G$1008,$I726-8)))</x:f>
      </x:c>
      <x:c r="H726" s="50" t="str">
        <x:f>IF(718&gt;$H$4,"",IF(INDEX('Fleet dates'!$I$9:$I$1008,$I726-8)="","",INDEX('Fleet dates'!$I$9:$I$1008,$I726-8)))</x:f>
      </x:c>
      <x:c r="I726" t="str">
        <x:f>IF(718&gt;$H$4,"",MATCH(718,'Fleet dates'!$L$9:$L$1008,0)+8)</x:f>
      </x:c>
    </x:row>
    <x:row r="727" ht="36" customHeight="1">
      <x:c r="A727" s="50" t="str">
        <x:f>IF(719&gt;$H$4,"",IF(INDEX('Fleet dates'!$A$9:$A$1008,$I727-8)="","",INDEX('Fleet dates'!$A$9:$A$1008,$I727-8)))</x:f>
      </x:c>
      <x:c r="B727" s="50" t="str">
        <x:f>IF(719&gt;$H$4,"",IF(INDEX('Fleet dates'!$B$9:$B$1008,$I727-8)="","",INDEX('Fleet dates'!$B$9:$B$1008,$I727-8)))</x:f>
      </x:c>
      <x:c r="C727" s="51" t="str">
        <x:f>IF(719&gt;$H$4,"",IF(INDEX('Fleet dates'!$C$9:$C$1008,$I727-8)="","",INDEX('Fleet dates'!$C$9:$C$1008,$I727-8)))</x:f>
      </x:c>
      <x:c r="D727" s="51" t="str">
        <x:f>IF(719&gt;$H$4,"",IF(INDEX('Fleet dates'!$D$9:$D$1008,$I727-8)="","",INDEX('Fleet dates'!$D$9:$D$1008,$I727-8)))</x:f>
      </x:c>
      <x:c r="E727" s="51" t="str">
        <x:f>IF(719&gt;$H$4,"",IF(INDEX('Fleet dates'!$E$9:$E$1008,$I727-8)="","",INDEX('Fleet dates'!$E$9:$E$1008,$I727-8)))</x:f>
      </x:c>
      <x:c r="F727" s="51" t="str">
        <x:f>IF(719&gt;$H$4,"",IF(INDEX('Fleet dates'!$F$9:$F$1008,$I727-8)="","",INDEX('Fleet dates'!$F$9:$F$1008,$I727-8)))</x:f>
      </x:c>
      <x:c r="G727" s="50" t="str">
        <x:f>IF(719&gt;$H$4,"",IF(INDEX('Fleet dates'!$G$9:$G$1008,$I727-8)="","",INDEX('Fleet dates'!$G$9:$G$1008,$I727-8)))</x:f>
      </x:c>
      <x:c r="H727" s="50" t="str">
        <x:f>IF(719&gt;$H$4,"",IF(INDEX('Fleet dates'!$I$9:$I$1008,$I727-8)="","",INDEX('Fleet dates'!$I$9:$I$1008,$I727-8)))</x:f>
      </x:c>
      <x:c r="I727" t="str">
        <x:f>IF(719&gt;$H$4,"",MATCH(719,'Fleet dates'!$L$9:$L$1008,0)+8)</x:f>
      </x:c>
    </x:row>
    <x:row r="728" ht="36" customHeight="1">
      <x:c r="A728" s="50" t="str">
        <x:f>IF(720&gt;$H$4,"",IF(INDEX('Fleet dates'!$A$9:$A$1008,$I728-8)="","",INDEX('Fleet dates'!$A$9:$A$1008,$I728-8)))</x:f>
      </x:c>
      <x:c r="B728" s="50" t="str">
        <x:f>IF(720&gt;$H$4,"",IF(INDEX('Fleet dates'!$B$9:$B$1008,$I728-8)="","",INDEX('Fleet dates'!$B$9:$B$1008,$I728-8)))</x:f>
      </x:c>
      <x:c r="C728" s="51" t="str">
        <x:f>IF(720&gt;$H$4,"",IF(INDEX('Fleet dates'!$C$9:$C$1008,$I728-8)="","",INDEX('Fleet dates'!$C$9:$C$1008,$I728-8)))</x:f>
      </x:c>
      <x:c r="D728" s="51" t="str">
        <x:f>IF(720&gt;$H$4,"",IF(INDEX('Fleet dates'!$D$9:$D$1008,$I728-8)="","",INDEX('Fleet dates'!$D$9:$D$1008,$I728-8)))</x:f>
      </x:c>
      <x:c r="E728" s="51" t="str">
        <x:f>IF(720&gt;$H$4,"",IF(INDEX('Fleet dates'!$E$9:$E$1008,$I728-8)="","",INDEX('Fleet dates'!$E$9:$E$1008,$I728-8)))</x:f>
      </x:c>
      <x:c r="F728" s="51" t="str">
        <x:f>IF(720&gt;$H$4,"",IF(INDEX('Fleet dates'!$F$9:$F$1008,$I728-8)="","",INDEX('Fleet dates'!$F$9:$F$1008,$I728-8)))</x:f>
      </x:c>
      <x:c r="G728" s="50" t="str">
        <x:f>IF(720&gt;$H$4,"",IF(INDEX('Fleet dates'!$G$9:$G$1008,$I728-8)="","",INDEX('Fleet dates'!$G$9:$G$1008,$I728-8)))</x:f>
      </x:c>
      <x:c r="H728" s="50" t="str">
        <x:f>IF(720&gt;$H$4,"",IF(INDEX('Fleet dates'!$I$9:$I$1008,$I728-8)="","",INDEX('Fleet dates'!$I$9:$I$1008,$I728-8)))</x:f>
      </x:c>
      <x:c r="I728" t="str">
        <x:f>IF(720&gt;$H$4,"",MATCH(720,'Fleet dates'!$L$9:$L$1008,0)+8)</x:f>
      </x:c>
    </x:row>
    <x:row r="729" ht="36" customHeight="1">
      <x:c r="A729" s="50" t="str">
        <x:f>IF(721&gt;$H$4,"",IF(INDEX('Fleet dates'!$A$9:$A$1008,$I729-8)="","",INDEX('Fleet dates'!$A$9:$A$1008,$I729-8)))</x:f>
      </x:c>
      <x:c r="B729" s="50" t="str">
        <x:f>IF(721&gt;$H$4,"",IF(INDEX('Fleet dates'!$B$9:$B$1008,$I729-8)="","",INDEX('Fleet dates'!$B$9:$B$1008,$I729-8)))</x:f>
      </x:c>
      <x:c r="C729" s="51" t="str">
        <x:f>IF(721&gt;$H$4,"",IF(INDEX('Fleet dates'!$C$9:$C$1008,$I729-8)="","",INDEX('Fleet dates'!$C$9:$C$1008,$I729-8)))</x:f>
      </x:c>
      <x:c r="D729" s="51" t="str">
        <x:f>IF(721&gt;$H$4,"",IF(INDEX('Fleet dates'!$D$9:$D$1008,$I729-8)="","",INDEX('Fleet dates'!$D$9:$D$1008,$I729-8)))</x:f>
      </x:c>
      <x:c r="E729" s="51" t="str">
        <x:f>IF(721&gt;$H$4,"",IF(INDEX('Fleet dates'!$E$9:$E$1008,$I729-8)="","",INDEX('Fleet dates'!$E$9:$E$1008,$I729-8)))</x:f>
      </x:c>
      <x:c r="F729" s="51" t="str">
        <x:f>IF(721&gt;$H$4,"",IF(INDEX('Fleet dates'!$F$9:$F$1008,$I729-8)="","",INDEX('Fleet dates'!$F$9:$F$1008,$I729-8)))</x:f>
      </x:c>
      <x:c r="G729" s="50" t="str">
        <x:f>IF(721&gt;$H$4,"",IF(INDEX('Fleet dates'!$G$9:$G$1008,$I729-8)="","",INDEX('Fleet dates'!$G$9:$G$1008,$I729-8)))</x:f>
      </x:c>
      <x:c r="H729" s="50" t="str">
        <x:f>IF(721&gt;$H$4,"",IF(INDEX('Fleet dates'!$I$9:$I$1008,$I729-8)="","",INDEX('Fleet dates'!$I$9:$I$1008,$I729-8)))</x:f>
      </x:c>
      <x:c r="I729" t="str">
        <x:f>IF(721&gt;$H$4,"",MATCH(721,'Fleet dates'!$L$9:$L$1008,0)+8)</x:f>
      </x:c>
    </x:row>
    <x:row r="730" ht="36" customHeight="1">
      <x:c r="A730" s="50" t="str">
        <x:f>IF(722&gt;$H$4,"",IF(INDEX('Fleet dates'!$A$9:$A$1008,$I730-8)="","",INDEX('Fleet dates'!$A$9:$A$1008,$I730-8)))</x:f>
      </x:c>
      <x:c r="B730" s="50" t="str">
        <x:f>IF(722&gt;$H$4,"",IF(INDEX('Fleet dates'!$B$9:$B$1008,$I730-8)="","",INDEX('Fleet dates'!$B$9:$B$1008,$I730-8)))</x:f>
      </x:c>
      <x:c r="C730" s="51" t="str">
        <x:f>IF(722&gt;$H$4,"",IF(INDEX('Fleet dates'!$C$9:$C$1008,$I730-8)="","",INDEX('Fleet dates'!$C$9:$C$1008,$I730-8)))</x:f>
      </x:c>
      <x:c r="D730" s="51" t="str">
        <x:f>IF(722&gt;$H$4,"",IF(INDEX('Fleet dates'!$D$9:$D$1008,$I730-8)="","",INDEX('Fleet dates'!$D$9:$D$1008,$I730-8)))</x:f>
      </x:c>
      <x:c r="E730" s="51" t="str">
        <x:f>IF(722&gt;$H$4,"",IF(INDEX('Fleet dates'!$E$9:$E$1008,$I730-8)="","",INDEX('Fleet dates'!$E$9:$E$1008,$I730-8)))</x:f>
      </x:c>
      <x:c r="F730" s="51" t="str">
        <x:f>IF(722&gt;$H$4,"",IF(INDEX('Fleet dates'!$F$9:$F$1008,$I730-8)="","",INDEX('Fleet dates'!$F$9:$F$1008,$I730-8)))</x:f>
      </x:c>
      <x:c r="G730" s="50" t="str">
        <x:f>IF(722&gt;$H$4,"",IF(INDEX('Fleet dates'!$G$9:$G$1008,$I730-8)="","",INDEX('Fleet dates'!$G$9:$G$1008,$I730-8)))</x:f>
      </x:c>
      <x:c r="H730" s="50" t="str">
        <x:f>IF(722&gt;$H$4,"",IF(INDEX('Fleet dates'!$I$9:$I$1008,$I730-8)="","",INDEX('Fleet dates'!$I$9:$I$1008,$I730-8)))</x:f>
      </x:c>
      <x:c r="I730" t="str">
        <x:f>IF(722&gt;$H$4,"",MATCH(722,'Fleet dates'!$L$9:$L$1008,0)+8)</x:f>
      </x:c>
    </x:row>
    <x:row r="731" ht="36" customHeight="1">
      <x:c r="A731" s="50" t="str">
        <x:f>IF(723&gt;$H$4,"",IF(INDEX('Fleet dates'!$A$9:$A$1008,$I731-8)="","",INDEX('Fleet dates'!$A$9:$A$1008,$I731-8)))</x:f>
      </x:c>
      <x:c r="B731" s="50" t="str">
        <x:f>IF(723&gt;$H$4,"",IF(INDEX('Fleet dates'!$B$9:$B$1008,$I731-8)="","",INDEX('Fleet dates'!$B$9:$B$1008,$I731-8)))</x:f>
      </x:c>
      <x:c r="C731" s="51" t="str">
        <x:f>IF(723&gt;$H$4,"",IF(INDEX('Fleet dates'!$C$9:$C$1008,$I731-8)="","",INDEX('Fleet dates'!$C$9:$C$1008,$I731-8)))</x:f>
      </x:c>
      <x:c r="D731" s="51" t="str">
        <x:f>IF(723&gt;$H$4,"",IF(INDEX('Fleet dates'!$D$9:$D$1008,$I731-8)="","",INDEX('Fleet dates'!$D$9:$D$1008,$I731-8)))</x:f>
      </x:c>
      <x:c r="E731" s="51" t="str">
        <x:f>IF(723&gt;$H$4,"",IF(INDEX('Fleet dates'!$E$9:$E$1008,$I731-8)="","",INDEX('Fleet dates'!$E$9:$E$1008,$I731-8)))</x:f>
      </x:c>
      <x:c r="F731" s="51" t="str">
        <x:f>IF(723&gt;$H$4,"",IF(INDEX('Fleet dates'!$F$9:$F$1008,$I731-8)="","",INDEX('Fleet dates'!$F$9:$F$1008,$I731-8)))</x:f>
      </x:c>
      <x:c r="G731" s="50" t="str">
        <x:f>IF(723&gt;$H$4,"",IF(INDEX('Fleet dates'!$G$9:$G$1008,$I731-8)="","",INDEX('Fleet dates'!$G$9:$G$1008,$I731-8)))</x:f>
      </x:c>
      <x:c r="H731" s="50" t="str">
        <x:f>IF(723&gt;$H$4,"",IF(INDEX('Fleet dates'!$I$9:$I$1008,$I731-8)="","",INDEX('Fleet dates'!$I$9:$I$1008,$I731-8)))</x:f>
      </x:c>
      <x:c r="I731" t="str">
        <x:f>IF(723&gt;$H$4,"",MATCH(723,'Fleet dates'!$L$9:$L$1008,0)+8)</x:f>
      </x:c>
    </x:row>
    <x:row r="732" ht="36" customHeight="1">
      <x:c r="A732" s="50" t="str">
        <x:f>IF(724&gt;$H$4,"",IF(INDEX('Fleet dates'!$A$9:$A$1008,$I732-8)="","",INDEX('Fleet dates'!$A$9:$A$1008,$I732-8)))</x:f>
      </x:c>
      <x:c r="B732" s="50" t="str">
        <x:f>IF(724&gt;$H$4,"",IF(INDEX('Fleet dates'!$B$9:$B$1008,$I732-8)="","",INDEX('Fleet dates'!$B$9:$B$1008,$I732-8)))</x:f>
      </x:c>
      <x:c r="C732" s="51" t="str">
        <x:f>IF(724&gt;$H$4,"",IF(INDEX('Fleet dates'!$C$9:$C$1008,$I732-8)="","",INDEX('Fleet dates'!$C$9:$C$1008,$I732-8)))</x:f>
      </x:c>
      <x:c r="D732" s="51" t="str">
        <x:f>IF(724&gt;$H$4,"",IF(INDEX('Fleet dates'!$D$9:$D$1008,$I732-8)="","",INDEX('Fleet dates'!$D$9:$D$1008,$I732-8)))</x:f>
      </x:c>
      <x:c r="E732" s="51" t="str">
        <x:f>IF(724&gt;$H$4,"",IF(INDEX('Fleet dates'!$E$9:$E$1008,$I732-8)="","",INDEX('Fleet dates'!$E$9:$E$1008,$I732-8)))</x:f>
      </x:c>
      <x:c r="F732" s="51" t="str">
        <x:f>IF(724&gt;$H$4,"",IF(INDEX('Fleet dates'!$F$9:$F$1008,$I732-8)="","",INDEX('Fleet dates'!$F$9:$F$1008,$I732-8)))</x:f>
      </x:c>
      <x:c r="G732" s="50" t="str">
        <x:f>IF(724&gt;$H$4,"",IF(INDEX('Fleet dates'!$G$9:$G$1008,$I732-8)="","",INDEX('Fleet dates'!$G$9:$G$1008,$I732-8)))</x:f>
      </x:c>
      <x:c r="H732" s="50" t="str">
        <x:f>IF(724&gt;$H$4,"",IF(INDEX('Fleet dates'!$I$9:$I$1008,$I732-8)="","",INDEX('Fleet dates'!$I$9:$I$1008,$I732-8)))</x:f>
      </x:c>
      <x:c r="I732" t="str">
        <x:f>IF(724&gt;$H$4,"",MATCH(724,'Fleet dates'!$L$9:$L$1008,0)+8)</x:f>
      </x:c>
    </x:row>
    <x:row r="733" ht="36" customHeight="1">
      <x:c r="A733" s="50" t="str">
        <x:f>IF(725&gt;$H$4,"",IF(INDEX('Fleet dates'!$A$9:$A$1008,$I733-8)="","",INDEX('Fleet dates'!$A$9:$A$1008,$I733-8)))</x:f>
      </x:c>
      <x:c r="B733" s="50" t="str">
        <x:f>IF(725&gt;$H$4,"",IF(INDEX('Fleet dates'!$B$9:$B$1008,$I733-8)="","",INDEX('Fleet dates'!$B$9:$B$1008,$I733-8)))</x:f>
      </x:c>
      <x:c r="C733" s="51" t="str">
        <x:f>IF(725&gt;$H$4,"",IF(INDEX('Fleet dates'!$C$9:$C$1008,$I733-8)="","",INDEX('Fleet dates'!$C$9:$C$1008,$I733-8)))</x:f>
      </x:c>
      <x:c r="D733" s="51" t="str">
        <x:f>IF(725&gt;$H$4,"",IF(INDEX('Fleet dates'!$D$9:$D$1008,$I733-8)="","",INDEX('Fleet dates'!$D$9:$D$1008,$I733-8)))</x:f>
      </x:c>
      <x:c r="E733" s="51" t="str">
        <x:f>IF(725&gt;$H$4,"",IF(INDEX('Fleet dates'!$E$9:$E$1008,$I733-8)="","",INDEX('Fleet dates'!$E$9:$E$1008,$I733-8)))</x:f>
      </x:c>
      <x:c r="F733" s="51" t="str">
        <x:f>IF(725&gt;$H$4,"",IF(INDEX('Fleet dates'!$F$9:$F$1008,$I733-8)="","",INDEX('Fleet dates'!$F$9:$F$1008,$I733-8)))</x:f>
      </x:c>
      <x:c r="G733" s="50" t="str">
        <x:f>IF(725&gt;$H$4,"",IF(INDEX('Fleet dates'!$G$9:$G$1008,$I733-8)="","",INDEX('Fleet dates'!$G$9:$G$1008,$I733-8)))</x:f>
      </x:c>
      <x:c r="H733" s="50" t="str">
        <x:f>IF(725&gt;$H$4,"",IF(INDEX('Fleet dates'!$I$9:$I$1008,$I733-8)="","",INDEX('Fleet dates'!$I$9:$I$1008,$I733-8)))</x:f>
      </x:c>
      <x:c r="I733" t="str">
        <x:f>IF(725&gt;$H$4,"",MATCH(725,'Fleet dates'!$L$9:$L$1008,0)+8)</x:f>
      </x:c>
    </x:row>
    <x:row r="734" ht="36" customHeight="1">
      <x:c r="A734" s="50" t="str">
        <x:f>IF(726&gt;$H$4,"",IF(INDEX('Fleet dates'!$A$9:$A$1008,$I734-8)="","",INDEX('Fleet dates'!$A$9:$A$1008,$I734-8)))</x:f>
      </x:c>
      <x:c r="B734" s="50" t="str">
        <x:f>IF(726&gt;$H$4,"",IF(INDEX('Fleet dates'!$B$9:$B$1008,$I734-8)="","",INDEX('Fleet dates'!$B$9:$B$1008,$I734-8)))</x:f>
      </x:c>
      <x:c r="C734" s="51" t="str">
        <x:f>IF(726&gt;$H$4,"",IF(INDEX('Fleet dates'!$C$9:$C$1008,$I734-8)="","",INDEX('Fleet dates'!$C$9:$C$1008,$I734-8)))</x:f>
      </x:c>
      <x:c r="D734" s="51" t="str">
        <x:f>IF(726&gt;$H$4,"",IF(INDEX('Fleet dates'!$D$9:$D$1008,$I734-8)="","",INDEX('Fleet dates'!$D$9:$D$1008,$I734-8)))</x:f>
      </x:c>
      <x:c r="E734" s="51" t="str">
        <x:f>IF(726&gt;$H$4,"",IF(INDEX('Fleet dates'!$E$9:$E$1008,$I734-8)="","",INDEX('Fleet dates'!$E$9:$E$1008,$I734-8)))</x:f>
      </x:c>
      <x:c r="F734" s="51" t="str">
        <x:f>IF(726&gt;$H$4,"",IF(INDEX('Fleet dates'!$F$9:$F$1008,$I734-8)="","",INDEX('Fleet dates'!$F$9:$F$1008,$I734-8)))</x:f>
      </x:c>
      <x:c r="G734" s="50" t="str">
        <x:f>IF(726&gt;$H$4,"",IF(INDEX('Fleet dates'!$G$9:$G$1008,$I734-8)="","",INDEX('Fleet dates'!$G$9:$G$1008,$I734-8)))</x:f>
      </x:c>
      <x:c r="H734" s="50" t="str">
        <x:f>IF(726&gt;$H$4,"",IF(INDEX('Fleet dates'!$I$9:$I$1008,$I734-8)="","",INDEX('Fleet dates'!$I$9:$I$1008,$I734-8)))</x:f>
      </x:c>
      <x:c r="I734" t="str">
        <x:f>IF(726&gt;$H$4,"",MATCH(726,'Fleet dates'!$L$9:$L$1008,0)+8)</x:f>
      </x:c>
    </x:row>
    <x:row r="735" ht="36" customHeight="1">
      <x:c r="A735" s="50" t="str">
        <x:f>IF(727&gt;$H$4,"",IF(INDEX('Fleet dates'!$A$9:$A$1008,$I735-8)="","",INDEX('Fleet dates'!$A$9:$A$1008,$I735-8)))</x:f>
      </x:c>
      <x:c r="B735" s="50" t="str">
        <x:f>IF(727&gt;$H$4,"",IF(INDEX('Fleet dates'!$B$9:$B$1008,$I735-8)="","",INDEX('Fleet dates'!$B$9:$B$1008,$I735-8)))</x:f>
      </x:c>
      <x:c r="C735" s="51" t="str">
        <x:f>IF(727&gt;$H$4,"",IF(INDEX('Fleet dates'!$C$9:$C$1008,$I735-8)="","",INDEX('Fleet dates'!$C$9:$C$1008,$I735-8)))</x:f>
      </x:c>
      <x:c r="D735" s="51" t="str">
        <x:f>IF(727&gt;$H$4,"",IF(INDEX('Fleet dates'!$D$9:$D$1008,$I735-8)="","",INDEX('Fleet dates'!$D$9:$D$1008,$I735-8)))</x:f>
      </x:c>
      <x:c r="E735" s="51" t="str">
        <x:f>IF(727&gt;$H$4,"",IF(INDEX('Fleet dates'!$E$9:$E$1008,$I735-8)="","",INDEX('Fleet dates'!$E$9:$E$1008,$I735-8)))</x:f>
      </x:c>
      <x:c r="F735" s="51" t="str">
        <x:f>IF(727&gt;$H$4,"",IF(INDEX('Fleet dates'!$F$9:$F$1008,$I735-8)="","",INDEX('Fleet dates'!$F$9:$F$1008,$I735-8)))</x:f>
      </x:c>
      <x:c r="G735" s="50" t="str">
        <x:f>IF(727&gt;$H$4,"",IF(INDEX('Fleet dates'!$G$9:$G$1008,$I735-8)="","",INDEX('Fleet dates'!$G$9:$G$1008,$I735-8)))</x:f>
      </x:c>
      <x:c r="H735" s="50" t="str">
        <x:f>IF(727&gt;$H$4,"",IF(INDEX('Fleet dates'!$I$9:$I$1008,$I735-8)="","",INDEX('Fleet dates'!$I$9:$I$1008,$I735-8)))</x:f>
      </x:c>
      <x:c r="I735" t="str">
        <x:f>IF(727&gt;$H$4,"",MATCH(727,'Fleet dates'!$L$9:$L$1008,0)+8)</x:f>
      </x:c>
    </x:row>
    <x:row r="736" ht="36" customHeight="1">
      <x:c r="A736" s="50" t="str">
        <x:f>IF(728&gt;$H$4,"",IF(INDEX('Fleet dates'!$A$9:$A$1008,$I736-8)="","",INDEX('Fleet dates'!$A$9:$A$1008,$I736-8)))</x:f>
      </x:c>
      <x:c r="B736" s="50" t="str">
        <x:f>IF(728&gt;$H$4,"",IF(INDEX('Fleet dates'!$B$9:$B$1008,$I736-8)="","",INDEX('Fleet dates'!$B$9:$B$1008,$I736-8)))</x:f>
      </x:c>
      <x:c r="C736" s="51" t="str">
        <x:f>IF(728&gt;$H$4,"",IF(INDEX('Fleet dates'!$C$9:$C$1008,$I736-8)="","",INDEX('Fleet dates'!$C$9:$C$1008,$I736-8)))</x:f>
      </x:c>
      <x:c r="D736" s="51" t="str">
        <x:f>IF(728&gt;$H$4,"",IF(INDEX('Fleet dates'!$D$9:$D$1008,$I736-8)="","",INDEX('Fleet dates'!$D$9:$D$1008,$I736-8)))</x:f>
      </x:c>
      <x:c r="E736" s="51" t="str">
        <x:f>IF(728&gt;$H$4,"",IF(INDEX('Fleet dates'!$E$9:$E$1008,$I736-8)="","",INDEX('Fleet dates'!$E$9:$E$1008,$I736-8)))</x:f>
      </x:c>
      <x:c r="F736" s="51" t="str">
        <x:f>IF(728&gt;$H$4,"",IF(INDEX('Fleet dates'!$F$9:$F$1008,$I736-8)="","",INDEX('Fleet dates'!$F$9:$F$1008,$I736-8)))</x:f>
      </x:c>
      <x:c r="G736" s="50" t="str">
        <x:f>IF(728&gt;$H$4,"",IF(INDEX('Fleet dates'!$G$9:$G$1008,$I736-8)="","",INDEX('Fleet dates'!$G$9:$G$1008,$I736-8)))</x:f>
      </x:c>
      <x:c r="H736" s="50" t="str">
        <x:f>IF(728&gt;$H$4,"",IF(INDEX('Fleet dates'!$I$9:$I$1008,$I736-8)="","",INDEX('Fleet dates'!$I$9:$I$1008,$I736-8)))</x:f>
      </x:c>
      <x:c r="I736" t="str">
        <x:f>IF(728&gt;$H$4,"",MATCH(728,'Fleet dates'!$L$9:$L$1008,0)+8)</x:f>
      </x:c>
    </x:row>
    <x:row r="737" ht="36" customHeight="1">
      <x:c r="A737" s="50" t="str">
        <x:f>IF(729&gt;$H$4,"",IF(INDEX('Fleet dates'!$A$9:$A$1008,$I737-8)="","",INDEX('Fleet dates'!$A$9:$A$1008,$I737-8)))</x:f>
      </x:c>
      <x:c r="B737" s="50" t="str">
        <x:f>IF(729&gt;$H$4,"",IF(INDEX('Fleet dates'!$B$9:$B$1008,$I737-8)="","",INDEX('Fleet dates'!$B$9:$B$1008,$I737-8)))</x:f>
      </x:c>
      <x:c r="C737" s="51" t="str">
        <x:f>IF(729&gt;$H$4,"",IF(INDEX('Fleet dates'!$C$9:$C$1008,$I737-8)="","",INDEX('Fleet dates'!$C$9:$C$1008,$I737-8)))</x:f>
      </x:c>
      <x:c r="D737" s="51" t="str">
        <x:f>IF(729&gt;$H$4,"",IF(INDEX('Fleet dates'!$D$9:$D$1008,$I737-8)="","",INDEX('Fleet dates'!$D$9:$D$1008,$I737-8)))</x:f>
      </x:c>
      <x:c r="E737" s="51" t="str">
        <x:f>IF(729&gt;$H$4,"",IF(INDEX('Fleet dates'!$E$9:$E$1008,$I737-8)="","",INDEX('Fleet dates'!$E$9:$E$1008,$I737-8)))</x:f>
      </x:c>
      <x:c r="F737" s="51" t="str">
        <x:f>IF(729&gt;$H$4,"",IF(INDEX('Fleet dates'!$F$9:$F$1008,$I737-8)="","",INDEX('Fleet dates'!$F$9:$F$1008,$I737-8)))</x:f>
      </x:c>
      <x:c r="G737" s="50" t="str">
        <x:f>IF(729&gt;$H$4,"",IF(INDEX('Fleet dates'!$G$9:$G$1008,$I737-8)="","",INDEX('Fleet dates'!$G$9:$G$1008,$I737-8)))</x:f>
      </x:c>
      <x:c r="H737" s="50" t="str">
        <x:f>IF(729&gt;$H$4,"",IF(INDEX('Fleet dates'!$I$9:$I$1008,$I737-8)="","",INDEX('Fleet dates'!$I$9:$I$1008,$I737-8)))</x:f>
      </x:c>
      <x:c r="I737" t="str">
        <x:f>IF(729&gt;$H$4,"",MATCH(729,'Fleet dates'!$L$9:$L$1008,0)+8)</x:f>
      </x:c>
    </x:row>
    <x:row r="738" ht="36" customHeight="1">
      <x:c r="A738" s="50" t="str">
        <x:f>IF(730&gt;$H$4,"",IF(INDEX('Fleet dates'!$A$9:$A$1008,$I738-8)="","",INDEX('Fleet dates'!$A$9:$A$1008,$I738-8)))</x:f>
      </x:c>
      <x:c r="B738" s="50" t="str">
        <x:f>IF(730&gt;$H$4,"",IF(INDEX('Fleet dates'!$B$9:$B$1008,$I738-8)="","",INDEX('Fleet dates'!$B$9:$B$1008,$I738-8)))</x:f>
      </x:c>
      <x:c r="C738" s="51" t="str">
        <x:f>IF(730&gt;$H$4,"",IF(INDEX('Fleet dates'!$C$9:$C$1008,$I738-8)="","",INDEX('Fleet dates'!$C$9:$C$1008,$I738-8)))</x:f>
      </x:c>
      <x:c r="D738" s="51" t="str">
        <x:f>IF(730&gt;$H$4,"",IF(INDEX('Fleet dates'!$D$9:$D$1008,$I738-8)="","",INDEX('Fleet dates'!$D$9:$D$1008,$I738-8)))</x:f>
      </x:c>
      <x:c r="E738" s="51" t="str">
        <x:f>IF(730&gt;$H$4,"",IF(INDEX('Fleet dates'!$E$9:$E$1008,$I738-8)="","",INDEX('Fleet dates'!$E$9:$E$1008,$I738-8)))</x:f>
      </x:c>
      <x:c r="F738" s="51" t="str">
        <x:f>IF(730&gt;$H$4,"",IF(INDEX('Fleet dates'!$F$9:$F$1008,$I738-8)="","",INDEX('Fleet dates'!$F$9:$F$1008,$I738-8)))</x:f>
      </x:c>
      <x:c r="G738" s="50" t="str">
        <x:f>IF(730&gt;$H$4,"",IF(INDEX('Fleet dates'!$G$9:$G$1008,$I738-8)="","",INDEX('Fleet dates'!$G$9:$G$1008,$I738-8)))</x:f>
      </x:c>
      <x:c r="H738" s="50" t="str">
        <x:f>IF(730&gt;$H$4,"",IF(INDEX('Fleet dates'!$I$9:$I$1008,$I738-8)="","",INDEX('Fleet dates'!$I$9:$I$1008,$I738-8)))</x:f>
      </x:c>
      <x:c r="I738" t="str">
        <x:f>IF(730&gt;$H$4,"",MATCH(730,'Fleet dates'!$L$9:$L$1008,0)+8)</x:f>
      </x:c>
    </x:row>
    <x:row r="739" ht="36" customHeight="1">
      <x:c r="A739" s="50" t="str">
        <x:f>IF(731&gt;$H$4,"",IF(INDEX('Fleet dates'!$A$9:$A$1008,$I739-8)="","",INDEX('Fleet dates'!$A$9:$A$1008,$I739-8)))</x:f>
      </x:c>
      <x:c r="B739" s="50" t="str">
        <x:f>IF(731&gt;$H$4,"",IF(INDEX('Fleet dates'!$B$9:$B$1008,$I739-8)="","",INDEX('Fleet dates'!$B$9:$B$1008,$I739-8)))</x:f>
      </x:c>
      <x:c r="C739" s="51" t="str">
        <x:f>IF(731&gt;$H$4,"",IF(INDEX('Fleet dates'!$C$9:$C$1008,$I739-8)="","",INDEX('Fleet dates'!$C$9:$C$1008,$I739-8)))</x:f>
      </x:c>
      <x:c r="D739" s="51" t="str">
        <x:f>IF(731&gt;$H$4,"",IF(INDEX('Fleet dates'!$D$9:$D$1008,$I739-8)="","",INDEX('Fleet dates'!$D$9:$D$1008,$I739-8)))</x:f>
      </x:c>
      <x:c r="E739" s="51" t="str">
        <x:f>IF(731&gt;$H$4,"",IF(INDEX('Fleet dates'!$E$9:$E$1008,$I739-8)="","",INDEX('Fleet dates'!$E$9:$E$1008,$I739-8)))</x:f>
      </x:c>
      <x:c r="F739" s="51" t="str">
        <x:f>IF(731&gt;$H$4,"",IF(INDEX('Fleet dates'!$F$9:$F$1008,$I739-8)="","",INDEX('Fleet dates'!$F$9:$F$1008,$I739-8)))</x:f>
      </x:c>
      <x:c r="G739" s="50" t="str">
        <x:f>IF(731&gt;$H$4,"",IF(INDEX('Fleet dates'!$G$9:$G$1008,$I739-8)="","",INDEX('Fleet dates'!$G$9:$G$1008,$I739-8)))</x:f>
      </x:c>
      <x:c r="H739" s="50" t="str">
        <x:f>IF(731&gt;$H$4,"",IF(INDEX('Fleet dates'!$I$9:$I$1008,$I739-8)="","",INDEX('Fleet dates'!$I$9:$I$1008,$I739-8)))</x:f>
      </x:c>
      <x:c r="I739" t="str">
        <x:f>IF(731&gt;$H$4,"",MATCH(731,'Fleet dates'!$L$9:$L$1008,0)+8)</x:f>
      </x:c>
    </x:row>
    <x:row r="740" ht="36" customHeight="1">
      <x:c r="A740" s="50" t="str">
        <x:f>IF(732&gt;$H$4,"",IF(INDEX('Fleet dates'!$A$9:$A$1008,$I740-8)="","",INDEX('Fleet dates'!$A$9:$A$1008,$I740-8)))</x:f>
      </x:c>
      <x:c r="B740" s="50" t="str">
        <x:f>IF(732&gt;$H$4,"",IF(INDEX('Fleet dates'!$B$9:$B$1008,$I740-8)="","",INDEX('Fleet dates'!$B$9:$B$1008,$I740-8)))</x:f>
      </x:c>
      <x:c r="C740" s="51" t="str">
        <x:f>IF(732&gt;$H$4,"",IF(INDEX('Fleet dates'!$C$9:$C$1008,$I740-8)="","",INDEX('Fleet dates'!$C$9:$C$1008,$I740-8)))</x:f>
      </x:c>
      <x:c r="D740" s="51" t="str">
        <x:f>IF(732&gt;$H$4,"",IF(INDEX('Fleet dates'!$D$9:$D$1008,$I740-8)="","",INDEX('Fleet dates'!$D$9:$D$1008,$I740-8)))</x:f>
      </x:c>
      <x:c r="E740" s="51" t="str">
        <x:f>IF(732&gt;$H$4,"",IF(INDEX('Fleet dates'!$E$9:$E$1008,$I740-8)="","",INDEX('Fleet dates'!$E$9:$E$1008,$I740-8)))</x:f>
      </x:c>
      <x:c r="F740" s="51" t="str">
        <x:f>IF(732&gt;$H$4,"",IF(INDEX('Fleet dates'!$F$9:$F$1008,$I740-8)="","",INDEX('Fleet dates'!$F$9:$F$1008,$I740-8)))</x:f>
      </x:c>
      <x:c r="G740" s="50" t="str">
        <x:f>IF(732&gt;$H$4,"",IF(INDEX('Fleet dates'!$G$9:$G$1008,$I740-8)="","",INDEX('Fleet dates'!$G$9:$G$1008,$I740-8)))</x:f>
      </x:c>
      <x:c r="H740" s="50" t="str">
        <x:f>IF(732&gt;$H$4,"",IF(INDEX('Fleet dates'!$I$9:$I$1008,$I740-8)="","",INDEX('Fleet dates'!$I$9:$I$1008,$I740-8)))</x:f>
      </x:c>
      <x:c r="I740" t="str">
        <x:f>IF(732&gt;$H$4,"",MATCH(732,'Fleet dates'!$L$9:$L$1008,0)+8)</x:f>
      </x:c>
    </x:row>
    <x:row r="741" ht="36" customHeight="1">
      <x:c r="A741" s="50" t="str">
        <x:f>IF(733&gt;$H$4,"",IF(INDEX('Fleet dates'!$A$9:$A$1008,$I741-8)="","",INDEX('Fleet dates'!$A$9:$A$1008,$I741-8)))</x:f>
      </x:c>
      <x:c r="B741" s="50" t="str">
        <x:f>IF(733&gt;$H$4,"",IF(INDEX('Fleet dates'!$B$9:$B$1008,$I741-8)="","",INDEX('Fleet dates'!$B$9:$B$1008,$I741-8)))</x:f>
      </x:c>
      <x:c r="C741" s="51" t="str">
        <x:f>IF(733&gt;$H$4,"",IF(INDEX('Fleet dates'!$C$9:$C$1008,$I741-8)="","",INDEX('Fleet dates'!$C$9:$C$1008,$I741-8)))</x:f>
      </x:c>
      <x:c r="D741" s="51" t="str">
        <x:f>IF(733&gt;$H$4,"",IF(INDEX('Fleet dates'!$D$9:$D$1008,$I741-8)="","",INDEX('Fleet dates'!$D$9:$D$1008,$I741-8)))</x:f>
      </x:c>
      <x:c r="E741" s="51" t="str">
        <x:f>IF(733&gt;$H$4,"",IF(INDEX('Fleet dates'!$E$9:$E$1008,$I741-8)="","",INDEX('Fleet dates'!$E$9:$E$1008,$I741-8)))</x:f>
      </x:c>
      <x:c r="F741" s="51" t="str">
        <x:f>IF(733&gt;$H$4,"",IF(INDEX('Fleet dates'!$F$9:$F$1008,$I741-8)="","",INDEX('Fleet dates'!$F$9:$F$1008,$I741-8)))</x:f>
      </x:c>
      <x:c r="G741" s="50" t="str">
        <x:f>IF(733&gt;$H$4,"",IF(INDEX('Fleet dates'!$G$9:$G$1008,$I741-8)="","",INDEX('Fleet dates'!$G$9:$G$1008,$I741-8)))</x:f>
      </x:c>
      <x:c r="H741" s="50" t="str">
        <x:f>IF(733&gt;$H$4,"",IF(INDEX('Fleet dates'!$I$9:$I$1008,$I741-8)="","",INDEX('Fleet dates'!$I$9:$I$1008,$I741-8)))</x:f>
      </x:c>
      <x:c r="I741" t="str">
        <x:f>IF(733&gt;$H$4,"",MATCH(733,'Fleet dates'!$L$9:$L$1008,0)+8)</x:f>
      </x:c>
    </x:row>
    <x:row r="742" ht="36" customHeight="1">
      <x:c r="A742" s="50" t="str">
        <x:f>IF(734&gt;$H$4,"",IF(INDEX('Fleet dates'!$A$9:$A$1008,$I742-8)="","",INDEX('Fleet dates'!$A$9:$A$1008,$I742-8)))</x:f>
      </x:c>
      <x:c r="B742" s="50" t="str">
        <x:f>IF(734&gt;$H$4,"",IF(INDEX('Fleet dates'!$B$9:$B$1008,$I742-8)="","",INDEX('Fleet dates'!$B$9:$B$1008,$I742-8)))</x:f>
      </x:c>
      <x:c r="C742" s="51" t="str">
        <x:f>IF(734&gt;$H$4,"",IF(INDEX('Fleet dates'!$C$9:$C$1008,$I742-8)="","",INDEX('Fleet dates'!$C$9:$C$1008,$I742-8)))</x:f>
      </x:c>
      <x:c r="D742" s="51" t="str">
        <x:f>IF(734&gt;$H$4,"",IF(INDEX('Fleet dates'!$D$9:$D$1008,$I742-8)="","",INDEX('Fleet dates'!$D$9:$D$1008,$I742-8)))</x:f>
      </x:c>
      <x:c r="E742" s="51" t="str">
        <x:f>IF(734&gt;$H$4,"",IF(INDEX('Fleet dates'!$E$9:$E$1008,$I742-8)="","",INDEX('Fleet dates'!$E$9:$E$1008,$I742-8)))</x:f>
      </x:c>
      <x:c r="F742" s="51" t="str">
        <x:f>IF(734&gt;$H$4,"",IF(INDEX('Fleet dates'!$F$9:$F$1008,$I742-8)="","",INDEX('Fleet dates'!$F$9:$F$1008,$I742-8)))</x:f>
      </x:c>
      <x:c r="G742" s="50" t="str">
        <x:f>IF(734&gt;$H$4,"",IF(INDEX('Fleet dates'!$G$9:$G$1008,$I742-8)="","",INDEX('Fleet dates'!$G$9:$G$1008,$I742-8)))</x:f>
      </x:c>
      <x:c r="H742" s="50" t="str">
        <x:f>IF(734&gt;$H$4,"",IF(INDEX('Fleet dates'!$I$9:$I$1008,$I742-8)="","",INDEX('Fleet dates'!$I$9:$I$1008,$I742-8)))</x:f>
      </x:c>
      <x:c r="I742" t="str">
        <x:f>IF(734&gt;$H$4,"",MATCH(734,'Fleet dates'!$L$9:$L$1008,0)+8)</x:f>
      </x:c>
    </x:row>
    <x:row r="743" ht="36" customHeight="1">
      <x:c r="A743" s="50" t="str">
        <x:f>IF(735&gt;$H$4,"",IF(INDEX('Fleet dates'!$A$9:$A$1008,$I743-8)="","",INDEX('Fleet dates'!$A$9:$A$1008,$I743-8)))</x:f>
      </x:c>
      <x:c r="B743" s="50" t="str">
        <x:f>IF(735&gt;$H$4,"",IF(INDEX('Fleet dates'!$B$9:$B$1008,$I743-8)="","",INDEX('Fleet dates'!$B$9:$B$1008,$I743-8)))</x:f>
      </x:c>
      <x:c r="C743" s="51" t="str">
        <x:f>IF(735&gt;$H$4,"",IF(INDEX('Fleet dates'!$C$9:$C$1008,$I743-8)="","",INDEX('Fleet dates'!$C$9:$C$1008,$I743-8)))</x:f>
      </x:c>
      <x:c r="D743" s="51" t="str">
        <x:f>IF(735&gt;$H$4,"",IF(INDEX('Fleet dates'!$D$9:$D$1008,$I743-8)="","",INDEX('Fleet dates'!$D$9:$D$1008,$I743-8)))</x:f>
      </x:c>
      <x:c r="E743" s="51" t="str">
        <x:f>IF(735&gt;$H$4,"",IF(INDEX('Fleet dates'!$E$9:$E$1008,$I743-8)="","",INDEX('Fleet dates'!$E$9:$E$1008,$I743-8)))</x:f>
      </x:c>
      <x:c r="F743" s="51" t="str">
        <x:f>IF(735&gt;$H$4,"",IF(INDEX('Fleet dates'!$F$9:$F$1008,$I743-8)="","",INDEX('Fleet dates'!$F$9:$F$1008,$I743-8)))</x:f>
      </x:c>
      <x:c r="G743" s="50" t="str">
        <x:f>IF(735&gt;$H$4,"",IF(INDEX('Fleet dates'!$G$9:$G$1008,$I743-8)="","",INDEX('Fleet dates'!$G$9:$G$1008,$I743-8)))</x:f>
      </x:c>
      <x:c r="H743" s="50" t="str">
        <x:f>IF(735&gt;$H$4,"",IF(INDEX('Fleet dates'!$I$9:$I$1008,$I743-8)="","",INDEX('Fleet dates'!$I$9:$I$1008,$I743-8)))</x:f>
      </x:c>
      <x:c r="I743" t="str">
        <x:f>IF(735&gt;$H$4,"",MATCH(735,'Fleet dates'!$L$9:$L$1008,0)+8)</x:f>
      </x:c>
    </x:row>
    <x:row r="744" ht="36" customHeight="1">
      <x:c r="A744" s="50" t="str">
        <x:f>IF(736&gt;$H$4,"",IF(INDEX('Fleet dates'!$A$9:$A$1008,$I744-8)="","",INDEX('Fleet dates'!$A$9:$A$1008,$I744-8)))</x:f>
      </x:c>
      <x:c r="B744" s="50" t="str">
        <x:f>IF(736&gt;$H$4,"",IF(INDEX('Fleet dates'!$B$9:$B$1008,$I744-8)="","",INDEX('Fleet dates'!$B$9:$B$1008,$I744-8)))</x:f>
      </x:c>
      <x:c r="C744" s="51" t="str">
        <x:f>IF(736&gt;$H$4,"",IF(INDEX('Fleet dates'!$C$9:$C$1008,$I744-8)="","",INDEX('Fleet dates'!$C$9:$C$1008,$I744-8)))</x:f>
      </x:c>
      <x:c r="D744" s="51" t="str">
        <x:f>IF(736&gt;$H$4,"",IF(INDEX('Fleet dates'!$D$9:$D$1008,$I744-8)="","",INDEX('Fleet dates'!$D$9:$D$1008,$I744-8)))</x:f>
      </x:c>
      <x:c r="E744" s="51" t="str">
        <x:f>IF(736&gt;$H$4,"",IF(INDEX('Fleet dates'!$E$9:$E$1008,$I744-8)="","",INDEX('Fleet dates'!$E$9:$E$1008,$I744-8)))</x:f>
      </x:c>
      <x:c r="F744" s="51" t="str">
        <x:f>IF(736&gt;$H$4,"",IF(INDEX('Fleet dates'!$F$9:$F$1008,$I744-8)="","",INDEX('Fleet dates'!$F$9:$F$1008,$I744-8)))</x:f>
      </x:c>
      <x:c r="G744" s="50" t="str">
        <x:f>IF(736&gt;$H$4,"",IF(INDEX('Fleet dates'!$G$9:$G$1008,$I744-8)="","",INDEX('Fleet dates'!$G$9:$G$1008,$I744-8)))</x:f>
      </x:c>
      <x:c r="H744" s="50" t="str">
        <x:f>IF(736&gt;$H$4,"",IF(INDEX('Fleet dates'!$I$9:$I$1008,$I744-8)="","",INDEX('Fleet dates'!$I$9:$I$1008,$I744-8)))</x:f>
      </x:c>
      <x:c r="I744" t="str">
        <x:f>IF(736&gt;$H$4,"",MATCH(736,'Fleet dates'!$L$9:$L$1008,0)+8)</x:f>
      </x:c>
    </x:row>
    <x:row r="745" ht="36" customHeight="1">
      <x:c r="A745" s="50" t="str">
        <x:f>IF(737&gt;$H$4,"",IF(INDEX('Fleet dates'!$A$9:$A$1008,$I745-8)="","",INDEX('Fleet dates'!$A$9:$A$1008,$I745-8)))</x:f>
      </x:c>
      <x:c r="B745" s="50" t="str">
        <x:f>IF(737&gt;$H$4,"",IF(INDEX('Fleet dates'!$B$9:$B$1008,$I745-8)="","",INDEX('Fleet dates'!$B$9:$B$1008,$I745-8)))</x:f>
      </x:c>
      <x:c r="C745" s="51" t="str">
        <x:f>IF(737&gt;$H$4,"",IF(INDEX('Fleet dates'!$C$9:$C$1008,$I745-8)="","",INDEX('Fleet dates'!$C$9:$C$1008,$I745-8)))</x:f>
      </x:c>
      <x:c r="D745" s="51" t="str">
        <x:f>IF(737&gt;$H$4,"",IF(INDEX('Fleet dates'!$D$9:$D$1008,$I745-8)="","",INDEX('Fleet dates'!$D$9:$D$1008,$I745-8)))</x:f>
      </x:c>
      <x:c r="E745" s="51" t="str">
        <x:f>IF(737&gt;$H$4,"",IF(INDEX('Fleet dates'!$E$9:$E$1008,$I745-8)="","",INDEX('Fleet dates'!$E$9:$E$1008,$I745-8)))</x:f>
      </x:c>
      <x:c r="F745" s="51" t="str">
        <x:f>IF(737&gt;$H$4,"",IF(INDEX('Fleet dates'!$F$9:$F$1008,$I745-8)="","",INDEX('Fleet dates'!$F$9:$F$1008,$I745-8)))</x:f>
      </x:c>
      <x:c r="G745" s="50" t="str">
        <x:f>IF(737&gt;$H$4,"",IF(INDEX('Fleet dates'!$G$9:$G$1008,$I745-8)="","",INDEX('Fleet dates'!$G$9:$G$1008,$I745-8)))</x:f>
      </x:c>
      <x:c r="H745" s="50" t="str">
        <x:f>IF(737&gt;$H$4,"",IF(INDEX('Fleet dates'!$I$9:$I$1008,$I745-8)="","",INDEX('Fleet dates'!$I$9:$I$1008,$I745-8)))</x:f>
      </x:c>
      <x:c r="I745" t="str">
        <x:f>IF(737&gt;$H$4,"",MATCH(737,'Fleet dates'!$L$9:$L$1008,0)+8)</x:f>
      </x:c>
    </x:row>
    <x:row r="746" ht="36" customHeight="1">
      <x:c r="A746" s="50" t="str">
        <x:f>IF(738&gt;$H$4,"",IF(INDEX('Fleet dates'!$A$9:$A$1008,$I746-8)="","",INDEX('Fleet dates'!$A$9:$A$1008,$I746-8)))</x:f>
      </x:c>
      <x:c r="B746" s="50" t="str">
        <x:f>IF(738&gt;$H$4,"",IF(INDEX('Fleet dates'!$B$9:$B$1008,$I746-8)="","",INDEX('Fleet dates'!$B$9:$B$1008,$I746-8)))</x:f>
      </x:c>
      <x:c r="C746" s="51" t="str">
        <x:f>IF(738&gt;$H$4,"",IF(INDEX('Fleet dates'!$C$9:$C$1008,$I746-8)="","",INDEX('Fleet dates'!$C$9:$C$1008,$I746-8)))</x:f>
      </x:c>
      <x:c r="D746" s="51" t="str">
        <x:f>IF(738&gt;$H$4,"",IF(INDEX('Fleet dates'!$D$9:$D$1008,$I746-8)="","",INDEX('Fleet dates'!$D$9:$D$1008,$I746-8)))</x:f>
      </x:c>
      <x:c r="E746" s="51" t="str">
        <x:f>IF(738&gt;$H$4,"",IF(INDEX('Fleet dates'!$E$9:$E$1008,$I746-8)="","",INDEX('Fleet dates'!$E$9:$E$1008,$I746-8)))</x:f>
      </x:c>
      <x:c r="F746" s="51" t="str">
        <x:f>IF(738&gt;$H$4,"",IF(INDEX('Fleet dates'!$F$9:$F$1008,$I746-8)="","",INDEX('Fleet dates'!$F$9:$F$1008,$I746-8)))</x:f>
      </x:c>
      <x:c r="G746" s="50" t="str">
        <x:f>IF(738&gt;$H$4,"",IF(INDEX('Fleet dates'!$G$9:$G$1008,$I746-8)="","",INDEX('Fleet dates'!$G$9:$G$1008,$I746-8)))</x:f>
      </x:c>
      <x:c r="H746" s="50" t="str">
        <x:f>IF(738&gt;$H$4,"",IF(INDEX('Fleet dates'!$I$9:$I$1008,$I746-8)="","",INDEX('Fleet dates'!$I$9:$I$1008,$I746-8)))</x:f>
      </x:c>
      <x:c r="I746" t="str">
        <x:f>IF(738&gt;$H$4,"",MATCH(738,'Fleet dates'!$L$9:$L$1008,0)+8)</x:f>
      </x:c>
    </x:row>
    <x:row r="747" ht="36" customHeight="1">
      <x:c r="A747" s="50" t="str">
        <x:f>IF(739&gt;$H$4,"",IF(INDEX('Fleet dates'!$A$9:$A$1008,$I747-8)="","",INDEX('Fleet dates'!$A$9:$A$1008,$I747-8)))</x:f>
      </x:c>
      <x:c r="B747" s="50" t="str">
        <x:f>IF(739&gt;$H$4,"",IF(INDEX('Fleet dates'!$B$9:$B$1008,$I747-8)="","",INDEX('Fleet dates'!$B$9:$B$1008,$I747-8)))</x:f>
      </x:c>
      <x:c r="C747" s="51" t="str">
        <x:f>IF(739&gt;$H$4,"",IF(INDEX('Fleet dates'!$C$9:$C$1008,$I747-8)="","",INDEX('Fleet dates'!$C$9:$C$1008,$I747-8)))</x:f>
      </x:c>
      <x:c r="D747" s="51" t="str">
        <x:f>IF(739&gt;$H$4,"",IF(INDEX('Fleet dates'!$D$9:$D$1008,$I747-8)="","",INDEX('Fleet dates'!$D$9:$D$1008,$I747-8)))</x:f>
      </x:c>
      <x:c r="E747" s="51" t="str">
        <x:f>IF(739&gt;$H$4,"",IF(INDEX('Fleet dates'!$E$9:$E$1008,$I747-8)="","",INDEX('Fleet dates'!$E$9:$E$1008,$I747-8)))</x:f>
      </x:c>
      <x:c r="F747" s="51" t="str">
        <x:f>IF(739&gt;$H$4,"",IF(INDEX('Fleet dates'!$F$9:$F$1008,$I747-8)="","",INDEX('Fleet dates'!$F$9:$F$1008,$I747-8)))</x:f>
      </x:c>
      <x:c r="G747" s="50" t="str">
        <x:f>IF(739&gt;$H$4,"",IF(INDEX('Fleet dates'!$G$9:$G$1008,$I747-8)="","",INDEX('Fleet dates'!$G$9:$G$1008,$I747-8)))</x:f>
      </x:c>
      <x:c r="H747" s="50" t="str">
        <x:f>IF(739&gt;$H$4,"",IF(INDEX('Fleet dates'!$I$9:$I$1008,$I747-8)="","",INDEX('Fleet dates'!$I$9:$I$1008,$I747-8)))</x:f>
      </x:c>
      <x:c r="I747" t="str">
        <x:f>IF(739&gt;$H$4,"",MATCH(739,'Fleet dates'!$L$9:$L$1008,0)+8)</x:f>
      </x:c>
    </x:row>
    <x:row r="748" ht="36" customHeight="1">
      <x:c r="A748" s="50" t="str">
        <x:f>IF(740&gt;$H$4,"",IF(INDEX('Fleet dates'!$A$9:$A$1008,$I748-8)="","",INDEX('Fleet dates'!$A$9:$A$1008,$I748-8)))</x:f>
      </x:c>
      <x:c r="B748" s="50" t="str">
        <x:f>IF(740&gt;$H$4,"",IF(INDEX('Fleet dates'!$B$9:$B$1008,$I748-8)="","",INDEX('Fleet dates'!$B$9:$B$1008,$I748-8)))</x:f>
      </x:c>
      <x:c r="C748" s="51" t="str">
        <x:f>IF(740&gt;$H$4,"",IF(INDEX('Fleet dates'!$C$9:$C$1008,$I748-8)="","",INDEX('Fleet dates'!$C$9:$C$1008,$I748-8)))</x:f>
      </x:c>
      <x:c r="D748" s="51" t="str">
        <x:f>IF(740&gt;$H$4,"",IF(INDEX('Fleet dates'!$D$9:$D$1008,$I748-8)="","",INDEX('Fleet dates'!$D$9:$D$1008,$I748-8)))</x:f>
      </x:c>
      <x:c r="E748" s="51" t="str">
        <x:f>IF(740&gt;$H$4,"",IF(INDEX('Fleet dates'!$E$9:$E$1008,$I748-8)="","",INDEX('Fleet dates'!$E$9:$E$1008,$I748-8)))</x:f>
      </x:c>
      <x:c r="F748" s="51" t="str">
        <x:f>IF(740&gt;$H$4,"",IF(INDEX('Fleet dates'!$F$9:$F$1008,$I748-8)="","",INDEX('Fleet dates'!$F$9:$F$1008,$I748-8)))</x:f>
      </x:c>
      <x:c r="G748" s="50" t="str">
        <x:f>IF(740&gt;$H$4,"",IF(INDEX('Fleet dates'!$G$9:$G$1008,$I748-8)="","",INDEX('Fleet dates'!$G$9:$G$1008,$I748-8)))</x:f>
      </x:c>
      <x:c r="H748" s="50" t="str">
        <x:f>IF(740&gt;$H$4,"",IF(INDEX('Fleet dates'!$I$9:$I$1008,$I748-8)="","",INDEX('Fleet dates'!$I$9:$I$1008,$I748-8)))</x:f>
      </x:c>
      <x:c r="I748" t="str">
        <x:f>IF(740&gt;$H$4,"",MATCH(740,'Fleet dates'!$L$9:$L$1008,0)+8)</x:f>
      </x:c>
    </x:row>
    <x:row r="749" ht="36" customHeight="1">
      <x:c r="A749" s="50" t="str">
        <x:f>IF(741&gt;$H$4,"",IF(INDEX('Fleet dates'!$A$9:$A$1008,$I749-8)="","",INDEX('Fleet dates'!$A$9:$A$1008,$I749-8)))</x:f>
      </x:c>
      <x:c r="B749" s="50" t="str">
        <x:f>IF(741&gt;$H$4,"",IF(INDEX('Fleet dates'!$B$9:$B$1008,$I749-8)="","",INDEX('Fleet dates'!$B$9:$B$1008,$I749-8)))</x:f>
      </x:c>
      <x:c r="C749" s="51" t="str">
        <x:f>IF(741&gt;$H$4,"",IF(INDEX('Fleet dates'!$C$9:$C$1008,$I749-8)="","",INDEX('Fleet dates'!$C$9:$C$1008,$I749-8)))</x:f>
      </x:c>
      <x:c r="D749" s="51" t="str">
        <x:f>IF(741&gt;$H$4,"",IF(INDEX('Fleet dates'!$D$9:$D$1008,$I749-8)="","",INDEX('Fleet dates'!$D$9:$D$1008,$I749-8)))</x:f>
      </x:c>
      <x:c r="E749" s="51" t="str">
        <x:f>IF(741&gt;$H$4,"",IF(INDEX('Fleet dates'!$E$9:$E$1008,$I749-8)="","",INDEX('Fleet dates'!$E$9:$E$1008,$I749-8)))</x:f>
      </x:c>
      <x:c r="F749" s="51" t="str">
        <x:f>IF(741&gt;$H$4,"",IF(INDEX('Fleet dates'!$F$9:$F$1008,$I749-8)="","",INDEX('Fleet dates'!$F$9:$F$1008,$I749-8)))</x:f>
      </x:c>
      <x:c r="G749" s="50" t="str">
        <x:f>IF(741&gt;$H$4,"",IF(INDEX('Fleet dates'!$G$9:$G$1008,$I749-8)="","",INDEX('Fleet dates'!$G$9:$G$1008,$I749-8)))</x:f>
      </x:c>
      <x:c r="H749" s="50" t="str">
        <x:f>IF(741&gt;$H$4,"",IF(INDEX('Fleet dates'!$I$9:$I$1008,$I749-8)="","",INDEX('Fleet dates'!$I$9:$I$1008,$I749-8)))</x:f>
      </x:c>
      <x:c r="I749" t="str">
        <x:f>IF(741&gt;$H$4,"",MATCH(741,'Fleet dates'!$L$9:$L$1008,0)+8)</x:f>
      </x:c>
    </x:row>
    <x:row r="750" ht="36" customHeight="1">
      <x:c r="A750" s="50" t="str">
        <x:f>IF(742&gt;$H$4,"",IF(INDEX('Fleet dates'!$A$9:$A$1008,$I750-8)="","",INDEX('Fleet dates'!$A$9:$A$1008,$I750-8)))</x:f>
      </x:c>
      <x:c r="B750" s="50" t="str">
        <x:f>IF(742&gt;$H$4,"",IF(INDEX('Fleet dates'!$B$9:$B$1008,$I750-8)="","",INDEX('Fleet dates'!$B$9:$B$1008,$I750-8)))</x:f>
      </x:c>
      <x:c r="C750" s="51" t="str">
        <x:f>IF(742&gt;$H$4,"",IF(INDEX('Fleet dates'!$C$9:$C$1008,$I750-8)="","",INDEX('Fleet dates'!$C$9:$C$1008,$I750-8)))</x:f>
      </x:c>
      <x:c r="D750" s="51" t="str">
        <x:f>IF(742&gt;$H$4,"",IF(INDEX('Fleet dates'!$D$9:$D$1008,$I750-8)="","",INDEX('Fleet dates'!$D$9:$D$1008,$I750-8)))</x:f>
      </x:c>
      <x:c r="E750" s="51" t="str">
        <x:f>IF(742&gt;$H$4,"",IF(INDEX('Fleet dates'!$E$9:$E$1008,$I750-8)="","",INDEX('Fleet dates'!$E$9:$E$1008,$I750-8)))</x:f>
      </x:c>
      <x:c r="F750" s="51" t="str">
        <x:f>IF(742&gt;$H$4,"",IF(INDEX('Fleet dates'!$F$9:$F$1008,$I750-8)="","",INDEX('Fleet dates'!$F$9:$F$1008,$I750-8)))</x:f>
      </x:c>
      <x:c r="G750" s="50" t="str">
        <x:f>IF(742&gt;$H$4,"",IF(INDEX('Fleet dates'!$G$9:$G$1008,$I750-8)="","",INDEX('Fleet dates'!$G$9:$G$1008,$I750-8)))</x:f>
      </x:c>
      <x:c r="H750" s="50" t="str">
        <x:f>IF(742&gt;$H$4,"",IF(INDEX('Fleet dates'!$I$9:$I$1008,$I750-8)="","",INDEX('Fleet dates'!$I$9:$I$1008,$I750-8)))</x:f>
      </x:c>
      <x:c r="I750" t="str">
        <x:f>IF(742&gt;$H$4,"",MATCH(742,'Fleet dates'!$L$9:$L$1008,0)+8)</x:f>
      </x:c>
    </x:row>
    <x:row r="751" ht="36" customHeight="1">
      <x:c r="A751" s="50" t="str">
        <x:f>IF(743&gt;$H$4,"",IF(INDEX('Fleet dates'!$A$9:$A$1008,$I751-8)="","",INDEX('Fleet dates'!$A$9:$A$1008,$I751-8)))</x:f>
      </x:c>
      <x:c r="B751" s="50" t="str">
        <x:f>IF(743&gt;$H$4,"",IF(INDEX('Fleet dates'!$B$9:$B$1008,$I751-8)="","",INDEX('Fleet dates'!$B$9:$B$1008,$I751-8)))</x:f>
      </x:c>
      <x:c r="C751" s="51" t="str">
        <x:f>IF(743&gt;$H$4,"",IF(INDEX('Fleet dates'!$C$9:$C$1008,$I751-8)="","",INDEX('Fleet dates'!$C$9:$C$1008,$I751-8)))</x:f>
      </x:c>
      <x:c r="D751" s="51" t="str">
        <x:f>IF(743&gt;$H$4,"",IF(INDEX('Fleet dates'!$D$9:$D$1008,$I751-8)="","",INDEX('Fleet dates'!$D$9:$D$1008,$I751-8)))</x:f>
      </x:c>
      <x:c r="E751" s="51" t="str">
        <x:f>IF(743&gt;$H$4,"",IF(INDEX('Fleet dates'!$E$9:$E$1008,$I751-8)="","",INDEX('Fleet dates'!$E$9:$E$1008,$I751-8)))</x:f>
      </x:c>
      <x:c r="F751" s="51" t="str">
        <x:f>IF(743&gt;$H$4,"",IF(INDEX('Fleet dates'!$F$9:$F$1008,$I751-8)="","",INDEX('Fleet dates'!$F$9:$F$1008,$I751-8)))</x:f>
      </x:c>
      <x:c r="G751" s="50" t="str">
        <x:f>IF(743&gt;$H$4,"",IF(INDEX('Fleet dates'!$G$9:$G$1008,$I751-8)="","",INDEX('Fleet dates'!$G$9:$G$1008,$I751-8)))</x:f>
      </x:c>
      <x:c r="H751" s="50" t="str">
        <x:f>IF(743&gt;$H$4,"",IF(INDEX('Fleet dates'!$I$9:$I$1008,$I751-8)="","",INDEX('Fleet dates'!$I$9:$I$1008,$I751-8)))</x:f>
      </x:c>
      <x:c r="I751" t="str">
        <x:f>IF(743&gt;$H$4,"",MATCH(743,'Fleet dates'!$L$9:$L$1008,0)+8)</x:f>
      </x:c>
    </x:row>
    <x:row r="752" ht="36" customHeight="1">
      <x:c r="A752" s="50" t="str">
        <x:f>IF(744&gt;$H$4,"",IF(INDEX('Fleet dates'!$A$9:$A$1008,$I752-8)="","",INDEX('Fleet dates'!$A$9:$A$1008,$I752-8)))</x:f>
      </x:c>
      <x:c r="B752" s="50" t="str">
        <x:f>IF(744&gt;$H$4,"",IF(INDEX('Fleet dates'!$B$9:$B$1008,$I752-8)="","",INDEX('Fleet dates'!$B$9:$B$1008,$I752-8)))</x:f>
      </x:c>
      <x:c r="C752" s="51" t="str">
        <x:f>IF(744&gt;$H$4,"",IF(INDEX('Fleet dates'!$C$9:$C$1008,$I752-8)="","",INDEX('Fleet dates'!$C$9:$C$1008,$I752-8)))</x:f>
      </x:c>
      <x:c r="D752" s="51" t="str">
        <x:f>IF(744&gt;$H$4,"",IF(INDEX('Fleet dates'!$D$9:$D$1008,$I752-8)="","",INDEX('Fleet dates'!$D$9:$D$1008,$I752-8)))</x:f>
      </x:c>
      <x:c r="E752" s="51" t="str">
        <x:f>IF(744&gt;$H$4,"",IF(INDEX('Fleet dates'!$E$9:$E$1008,$I752-8)="","",INDEX('Fleet dates'!$E$9:$E$1008,$I752-8)))</x:f>
      </x:c>
      <x:c r="F752" s="51" t="str">
        <x:f>IF(744&gt;$H$4,"",IF(INDEX('Fleet dates'!$F$9:$F$1008,$I752-8)="","",INDEX('Fleet dates'!$F$9:$F$1008,$I752-8)))</x:f>
      </x:c>
      <x:c r="G752" s="50" t="str">
        <x:f>IF(744&gt;$H$4,"",IF(INDEX('Fleet dates'!$G$9:$G$1008,$I752-8)="","",INDEX('Fleet dates'!$G$9:$G$1008,$I752-8)))</x:f>
      </x:c>
      <x:c r="H752" s="50" t="str">
        <x:f>IF(744&gt;$H$4,"",IF(INDEX('Fleet dates'!$I$9:$I$1008,$I752-8)="","",INDEX('Fleet dates'!$I$9:$I$1008,$I752-8)))</x:f>
      </x:c>
      <x:c r="I752" t="str">
        <x:f>IF(744&gt;$H$4,"",MATCH(744,'Fleet dates'!$L$9:$L$1008,0)+8)</x:f>
      </x:c>
    </x:row>
    <x:row r="753" ht="36" customHeight="1">
      <x:c r="A753" s="50" t="str">
        <x:f>IF(745&gt;$H$4,"",IF(INDEX('Fleet dates'!$A$9:$A$1008,$I753-8)="","",INDEX('Fleet dates'!$A$9:$A$1008,$I753-8)))</x:f>
      </x:c>
      <x:c r="B753" s="50" t="str">
        <x:f>IF(745&gt;$H$4,"",IF(INDEX('Fleet dates'!$B$9:$B$1008,$I753-8)="","",INDEX('Fleet dates'!$B$9:$B$1008,$I753-8)))</x:f>
      </x:c>
      <x:c r="C753" s="51" t="str">
        <x:f>IF(745&gt;$H$4,"",IF(INDEX('Fleet dates'!$C$9:$C$1008,$I753-8)="","",INDEX('Fleet dates'!$C$9:$C$1008,$I753-8)))</x:f>
      </x:c>
      <x:c r="D753" s="51" t="str">
        <x:f>IF(745&gt;$H$4,"",IF(INDEX('Fleet dates'!$D$9:$D$1008,$I753-8)="","",INDEX('Fleet dates'!$D$9:$D$1008,$I753-8)))</x:f>
      </x:c>
      <x:c r="E753" s="51" t="str">
        <x:f>IF(745&gt;$H$4,"",IF(INDEX('Fleet dates'!$E$9:$E$1008,$I753-8)="","",INDEX('Fleet dates'!$E$9:$E$1008,$I753-8)))</x:f>
      </x:c>
      <x:c r="F753" s="51" t="str">
        <x:f>IF(745&gt;$H$4,"",IF(INDEX('Fleet dates'!$F$9:$F$1008,$I753-8)="","",INDEX('Fleet dates'!$F$9:$F$1008,$I753-8)))</x:f>
      </x:c>
      <x:c r="G753" s="50" t="str">
        <x:f>IF(745&gt;$H$4,"",IF(INDEX('Fleet dates'!$G$9:$G$1008,$I753-8)="","",INDEX('Fleet dates'!$G$9:$G$1008,$I753-8)))</x:f>
      </x:c>
      <x:c r="H753" s="50" t="str">
        <x:f>IF(745&gt;$H$4,"",IF(INDEX('Fleet dates'!$I$9:$I$1008,$I753-8)="","",INDEX('Fleet dates'!$I$9:$I$1008,$I753-8)))</x:f>
      </x:c>
      <x:c r="I753" t="str">
        <x:f>IF(745&gt;$H$4,"",MATCH(745,'Fleet dates'!$L$9:$L$1008,0)+8)</x:f>
      </x:c>
    </x:row>
    <x:row r="754" ht="36" customHeight="1">
      <x:c r="A754" s="50" t="str">
        <x:f>IF(746&gt;$H$4,"",IF(INDEX('Fleet dates'!$A$9:$A$1008,$I754-8)="","",INDEX('Fleet dates'!$A$9:$A$1008,$I754-8)))</x:f>
      </x:c>
      <x:c r="B754" s="50" t="str">
        <x:f>IF(746&gt;$H$4,"",IF(INDEX('Fleet dates'!$B$9:$B$1008,$I754-8)="","",INDEX('Fleet dates'!$B$9:$B$1008,$I754-8)))</x:f>
      </x:c>
      <x:c r="C754" s="51" t="str">
        <x:f>IF(746&gt;$H$4,"",IF(INDEX('Fleet dates'!$C$9:$C$1008,$I754-8)="","",INDEX('Fleet dates'!$C$9:$C$1008,$I754-8)))</x:f>
      </x:c>
      <x:c r="D754" s="51" t="str">
        <x:f>IF(746&gt;$H$4,"",IF(INDEX('Fleet dates'!$D$9:$D$1008,$I754-8)="","",INDEX('Fleet dates'!$D$9:$D$1008,$I754-8)))</x:f>
      </x:c>
      <x:c r="E754" s="51" t="str">
        <x:f>IF(746&gt;$H$4,"",IF(INDEX('Fleet dates'!$E$9:$E$1008,$I754-8)="","",INDEX('Fleet dates'!$E$9:$E$1008,$I754-8)))</x:f>
      </x:c>
      <x:c r="F754" s="51" t="str">
        <x:f>IF(746&gt;$H$4,"",IF(INDEX('Fleet dates'!$F$9:$F$1008,$I754-8)="","",INDEX('Fleet dates'!$F$9:$F$1008,$I754-8)))</x:f>
      </x:c>
      <x:c r="G754" s="50" t="str">
        <x:f>IF(746&gt;$H$4,"",IF(INDEX('Fleet dates'!$G$9:$G$1008,$I754-8)="","",INDEX('Fleet dates'!$G$9:$G$1008,$I754-8)))</x:f>
      </x:c>
      <x:c r="H754" s="50" t="str">
        <x:f>IF(746&gt;$H$4,"",IF(INDEX('Fleet dates'!$I$9:$I$1008,$I754-8)="","",INDEX('Fleet dates'!$I$9:$I$1008,$I754-8)))</x:f>
      </x:c>
      <x:c r="I754" t="str">
        <x:f>IF(746&gt;$H$4,"",MATCH(746,'Fleet dates'!$L$9:$L$1008,0)+8)</x:f>
      </x:c>
    </x:row>
    <x:row r="755" ht="36" customHeight="1">
      <x:c r="A755" s="50" t="str">
        <x:f>IF(747&gt;$H$4,"",IF(INDEX('Fleet dates'!$A$9:$A$1008,$I755-8)="","",INDEX('Fleet dates'!$A$9:$A$1008,$I755-8)))</x:f>
      </x:c>
      <x:c r="B755" s="50" t="str">
        <x:f>IF(747&gt;$H$4,"",IF(INDEX('Fleet dates'!$B$9:$B$1008,$I755-8)="","",INDEX('Fleet dates'!$B$9:$B$1008,$I755-8)))</x:f>
      </x:c>
      <x:c r="C755" s="51" t="str">
        <x:f>IF(747&gt;$H$4,"",IF(INDEX('Fleet dates'!$C$9:$C$1008,$I755-8)="","",INDEX('Fleet dates'!$C$9:$C$1008,$I755-8)))</x:f>
      </x:c>
      <x:c r="D755" s="51" t="str">
        <x:f>IF(747&gt;$H$4,"",IF(INDEX('Fleet dates'!$D$9:$D$1008,$I755-8)="","",INDEX('Fleet dates'!$D$9:$D$1008,$I755-8)))</x:f>
      </x:c>
      <x:c r="E755" s="51" t="str">
        <x:f>IF(747&gt;$H$4,"",IF(INDEX('Fleet dates'!$E$9:$E$1008,$I755-8)="","",INDEX('Fleet dates'!$E$9:$E$1008,$I755-8)))</x:f>
      </x:c>
      <x:c r="F755" s="51" t="str">
        <x:f>IF(747&gt;$H$4,"",IF(INDEX('Fleet dates'!$F$9:$F$1008,$I755-8)="","",INDEX('Fleet dates'!$F$9:$F$1008,$I755-8)))</x:f>
      </x:c>
      <x:c r="G755" s="50" t="str">
        <x:f>IF(747&gt;$H$4,"",IF(INDEX('Fleet dates'!$G$9:$G$1008,$I755-8)="","",INDEX('Fleet dates'!$G$9:$G$1008,$I755-8)))</x:f>
      </x:c>
      <x:c r="H755" s="50" t="str">
        <x:f>IF(747&gt;$H$4,"",IF(INDEX('Fleet dates'!$I$9:$I$1008,$I755-8)="","",INDEX('Fleet dates'!$I$9:$I$1008,$I755-8)))</x:f>
      </x:c>
      <x:c r="I755" t="str">
        <x:f>IF(747&gt;$H$4,"",MATCH(747,'Fleet dates'!$L$9:$L$1008,0)+8)</x:f>
      </x:c>
    </x:row>
    <x:row r="756" ht="36" customHeight="1">
      <x:c r="A756" s="50" t="str">
        <x:f>IF(748&gt;$H$4,"",IF(INDEX('Fleet dates'!$A$9:$A$1008,$I756-8)="","",INDEX('Fleet dates'!$A$9:$A$1008,$I756-8)))</x:f>
      </x:c>
      <x:c r="B756" s="50" t="str">
        <x:f>IF(748&gt;$H$4,"",IF(INDEX('Fleet dates'!$B$9:$B$1008,$I756-8)="","",INDEX('Fleet dates'!$B$9:$B$1008,$I756-8)))</x:f>
      </x:c>
      <x:c r="C756" s="51" t="str">
        <x:f>IF(748&gt;$H$4,"",IF(INDEX('Fleet dates'!$C$9:$C$1008,$I756-8)="","",INDEX('Fleet dates'!$C$9:$C$1008,$I756-8)))</x:f>
      </x:c>
      <x:c r="D756" s="51" t="str">
        <x:f>IF(748&gt;$H$4,"",IF(INDEX('Fleet dates'!$D$9:$D$1008,$I756-8)="","",INDEX('Fleet dates'!$D$9:$D$1008,$I756-8)))</x:f>
      </x:c>
      <x:c r="E756" s="51" t="str">
        <x:f>IF(748&gt;$H$4,"",IF(INDEX('Fleet dates'!$E$9:$E$1008,$I756-8)="","",INDEX('Fleet dates'!$E$9:$E$1008,$I756-8)))</x:f>
      </x:c>
      <x:c r="F756" s="51" t="str">
        <x:f>IF(748&gt;$H$4,"",IF(INDEX('Fleet dates'!$F$9:$F$1008,$I756-8)="","",INDEX('Fleet dates'!$F$9:$F$1008,$I756-8)))</x:f>
      </x:c>
      <x:c r="G756" s="50" t="str">
        <x:f>IF(748&gt;$H$4,"",IF(INDEX('Fleet dates'!$G$9:$G$1008,$I756-8)="","",INDEX('Fleet dates'!$G$9:$G$1008,$I756-8)))</x:f>
      </x:c>
      <x:c r="H756" s="50" t="str">
        <x:f>IF(748&gt;$H$4,"",IF(INDEX('Fleet dates'!$I$9:$I$1008,$I756-8)="","",INDEX('Fleet dates'!$I$9:$I$1008,$I756-8)))</x:f>
      </x:c>
      <x:c r="I756" t="str">
        <x:f>IF(748&gt;$H$4,"",MATCH(748,'Fleet dates'!$L$9:$L$1008,0)+8)</x:f>
      </x:c>
    </x:row>
    <x:row r="757" ht="36" customHeight="1">
      <x:c r="A757" s="50" t="str">
        <x:f>IF(749&gt;$H$4,"",IF(INDEX('Fleet dates'!$A$9:$A$1008,$I757-8)="","",INDEX('Fleet dates'!$A$9:$A$1008,$I757-8)))</x:f>
      </x:c>
      <x:c r="B757" s="50" t="str">
        <x:f>IF(749&gt;$H$4,"",IF(INDEX('Fleet dates'!$B$9:$B$1008,$I757-8)="","",INDEX('Fleet dates'!$B$9:$B$1008,$I757-8)))</x:f>
      </x:c>
      <x:c r="C757" s="51" t="str">
        <x:f>IF(749&gt;$H$4,"",IF(INDEX('Fleet dates'!$C$9:$C$1008,$I757-8)="","",INDEX('Fleet dates'!$C$9:$C$1008,$I757-8)))</x:f>
      </x:c>
      <x:c r="D757" s="51" t="str">
        <x:f>IF(749&gt;$H$4,"",IF(INDEX('Fleet dates'!$D$9:$D$1008,$I757-8)="","",INDEX('Fleet dates'!$D$9:$D$1008,$I757-8)))</x:f>
      </x:c>
      <x:c r="E757" s="51" t="str">
        <x:f>IF(749&gt;$H$4,"",IF(INDEX('Fleet dates'!$E$9:$E$1008,$I757-8)="","",INDEX('Fleet dates'!$E$9:$E$1008,$I757-8)))</x:f>
      </x:c>
      <x:c r="F757" s="51" t="str">
        <x:f>IF(749&gt;$H$4,"",IF(INDEX('Fleet dates'!$F$9:$F$1008,$I757-8)="","",INDEX('Fleet dates'!$F$9:$F$1008,$I757-8)))</x:f>
      </x:c>
      <x:c r="G757" s="50" t="str">
        <x:f>IF(749&gt;$H$4,"",IF(INDEX('Fleet dates'!$G$9:$G$1008,$I757-8)="","",INDEX('Fleet dates'!$G$9:$G$1008,$I757-8)))</x:f>
      </x:c>
      <x:c r="H757" s="50" t="str">
        <x:f>IF(749&gt;$H$4,"",IF(INDEX('Fleet dates'!$I$9:$I$1008,$I757-8)="","",INDEX('Fleet dates'!$I$9:$I$1008,$I757-8)))</x:f>
      </x:c>
      <x:c r="I757" t="str">
        <x:f>IF(749&gt;$H$4,"",MATCH(749,'Fleet dates'!$L$9:$L$1008,0)+8)</x:f>
      </x:c>
    </x:row>
    <x:row r="758" ht="36" customHeight="1">
      <x:c r="A758" s="50" t="str">
        <x:f>IF(750&gt;$H$4,"",IF(INDEX('Fleet dates'!$A$9:$A$1008,$I758-8)="","",INDEX('Fleet dates'!$A$9:$A$1008,$I758-8)))</x:f>
      </x:c>
      <x:c r="B758" s="50" t="str">
        <x:f>IF(750&gt;$H$4,"",IF(INDEX('Fleet dates'!$B$9:$B$1008,$I758-8)="","",INDEX('Fleet dates'!$B$9:$B$1008,$I758-8)))</x:f>
      </x:c>
      <x:c r="C758" s="51" t="str">
        <x:f>IF(750&gt;$H$4,"",IF(INDEX('Fleet dates'!$C$9:$C$1008,$I758-8)="","",INDEX('Fleet dates'!$C$9:$C$1008,$I758-8)))</x:f>
      </x:c>
      <x:c r="D758" s="51" t="str">
        <x:f>IF(750&gt;$H$4,"",IF(INDEX('Fleet dates'!$D$9:$D$1008,$I758-8)="","",INDEX('Fleet dates'!$D$9:$D$1008,$I758-8)))</x:f>
      </x:c>
      <x:c r="E758" s="51" t="str">
        <x:f>IF(750&gt;$H$4,"",IF(INDEX('Fleet dates'!$E$9:$E$1008,$I758-8)="","",INDEX('Fleet dates'!$E$9:$E$1008,$I758-8)))</x:f>
      </x:c>
      <x:c r="F758" s="51" t="str">
        <x:f>IF(750&gt;$H$4,"",IF(INDEX('Fleet dates'!$F$9:$F$1008,$I758-8)="","",INDEX('Fleet dates'!$F$9:$F$1008,$I758-8)))</x:f>
      </x:c>
      <x:c r="G758" s="50" t="str">
        <x:f>IF(750&gt;$H$4,"",IF(INDEX('Fleet dates'!$G$9:$G$1008,$I758-8)="","",INDEX('Fleet dates'!$G$9:$G$1008,$I758-8)))</x:f>
      </x:c>
      <x:c r="H758" s="50" t="str">
        <x:f>IF(750&gt;$H$4,"",IF(INDEX('Fleet dates'!$I$9:$I$1008,$I758-8)="","",INDEX('Fleet dates'!$I$9:$I$1008,$I758-8)))</x:f>
      </x:c>
      <x:c r="I758" t="str">
        <x:f>IF(750&gt;$H$4,"",MATCH(750,'Fleet dates'!$L$9:$L$1008,0)+8)</x:f>
      </x:c>
    </x:row>
    <x:row r="759" ht="36" customHeight="1">
      <x:c r="A759" s="50" t="str">
        <x:f>IF(751&gt;$H$4,"",IF(INDEX('Fleet dates'!$A$9:$A$1008,$I759-8)="","",INDEX('Fleet dates'!$A$9:$A$1008,$I759-8)))</x:f>
      </x:c>
      <x:c r="B759" s="50" t="str">
        <x:f>IF(751&gt;$H$4,"",IF(INDEX('Fleet dates'!$B$9:$B$1008,$I759-8)="","",INDEX('Fleet dates'!$B$9:$B$1008,$I759-8)))</x:f>
      </x:c>
      <x:c r="C759" s="51" t="str">
        <x:f>IF(751&gt;$H$4,"",IF(INDEX('Fleet dates'!$C$9:$C$1008,$I759-8)="","",INDEX('Fleet dates'!$C$9:$C$1008,$I759-8)))</x:f>
      </x:c>
      <x:c r="D759" s="51" t="str">
        <x:f>IF(751&gt;$H$4,"",IF(INDEX('Fleet dates'!$D$9:$D$1008,$I759-8)="","",INDEX('Fleet dates'!$D$9:$D$1008,$I759-8)))</x:f>
      </x:c>
      <x:c r="E759" s="51" t="str">
        <x:f>IF(751&gt;$H$4,"",IF(INDEX('Fleet dates'!$E$9:$E$1008,$I759-8)="","",INDEX('Fleet dates'!$E$9:$E$1008,$I759-8)))</x:f>
      </x:c>
      <x:c r="F759" s="51" t="str">
        <x:f>IF(751&gt;$H$4,"",IF(INDEX('Fleet dates'!$F$9:$F$1008,$I759-8)="","",INDEX('Fleet dates'!$F$9:$F$1008,$I759-8)))</x:f>
      </x:c>
      <x:c r="G759" s="50" t="str">
        <x:f>IF(751&gt;$H$4,"",IF(INDEX('Fleet dates'!$G$9:$G$1008,$I759-8)="","",INDEX('Fleet dates'!$G$9:$G$1008,$I759-8)))</x:f>
      </x:c>
      <x:c r="H759" s="50" t="str">
        <x:f>IF(751&gt;$H$4,"",IF(INDEX('Fleet dates'!$I$9:$I$1008,$I759-8)="","",INDEX('Fleet dates'!$I$9:$I$1008,$I759-8)))</x:f>
      </x:c>
      <x:c r="I759" t="str">
        <x:f>IF(751&gt;$H$4,"",MATCH(751,'Fleet dates'!$L$9:$L$1008,0)+8)</x:f>
      </x:c>
    </x:row>
    <x:row r="760" ht="36" customHeight="1">
      <x:c r="A760" s="50" t="str">
        <x:f>IF(752&gt;$H$4,"",IF(INDEX('Fleet dates'!$A$9:$A$1008,$I760-8)="","",INDEX('Fleet dates'!$A$9:$A$1008,$I760-8)))</x:f>
      </x:c>
      <x:c r="B760" s="50" t="str">
        <x:f>IF(752&gt;$H$4,"",IF(INDEX('Fleet dates'!$B$9:$B$1008,$I760-8)="","",INDEX('Fleet dates'!$B$9:$B$1008,$I760-8)))</x:f>
      </x:c>
      <x:c r="C760" s="51" t="str">
        <x:f>IF(752&gt;$H$4,"",IF(INDEX('Fleet dates'!$C$9:$C$1008,$I760-8)="","",INDEX('Fleet dates'!$C$9:$C$1008,$I760-8)))</x:f>
      </x:c>
      <x:c r="D760" s="51" t="str">
        <x:f>IF(752&gt;$H$4,"",IF(INDEX('Fleet dates'!$D$9:$D$1008,$I760-8)="","",INDEX('Fleet dates'!$D$9:$D$1008,$I760-8)))</x:f>
      </x:c>
      <x:c r="E760" s="51" t="str">
        <x:f>IF(752&gt;$H$4,"",IF(INDEX('Fleet dates'!$E$9:$E$1008,$I760-8)="","",INDEX('Fleet dates'!$E$9:$E$1008,$I760-8)))</x:f>
      </x:c>
      <x:c r="F760" s="51" t="str">
        <x:f>IF(752&gt;$H$4,"",IF(INDEX('Fleet dates'!$F$9:$F$1008,$I760-8)="","",INDEX('Fleet dates'!$F$9:$F$1008,$I760-8)))</x:f>
      </x:c>
      <x:c r="G760" s="50" t="str">
        <x:f>IF(752&gt;$H$4,"",IF(INDEX('Fleet dates'!$G$9:$G$1008,$I760-8)="","",INDEX('Fleet dates'!$G$9:$G$1008,$I760-8)))</x:f>
      </x:c>
      <x:c r="H760" s="50" t="str">
        <x:f>IF(752&gt;$H$4,"",IF(INDEX('Fleet dates'!$I$9:$I$1008,$I760-8)="","",INDEX('Fleet dates'!$I$9:$I$1008,$I760-8)))</x:f>
      </x:c>
      <x:c r="I760" t="str">
        <x:f>IF(752&gt;$H$4,"",MATCH(752,'Fleet dates'!$L$9:$L$1008,0)+8)</x:f>
      </x:c>
    </x:row>
    <x:row r="761" ht="36" customHeight="1">
      <x:c r="A761" s="50" t="str">
        <x:f>IF(753&gt;$H$4,"",IF(INDEX('Fleet dates'!$A$9:$A$1008,$I761-8)="","",INDEX('Fleet dates'!$A$9:$A$1008,$I761-8)))</x:f>
      </x:c>
      <x:c r="B761" s="50" t="str">
        <x:f>IF(753&gt;$H$4,"",IF(INDEX('Fleet dates'!$B$9:$B$1008,$I761-8)="","",INDEX('Fleet dates'!$B$9:$B$1008,$I761-8)))</x:f>
      </x:c>
      <x:c r="C761" s="51" t="str">
        <x:f>IF(753&gt;$H$4,"",IF(INDEX('Fleet dates'!$C$9:$C$1008,$I761-8)="","",INDEX('Fleet dates'!$C$9:$C$1008,$I761-8)))</x:f>
      </x:c>
      <x:c r="D761" s="51" t="str">
        <x:f>IF(753&gt;$H$4,"",IF(INDEX('Fleet dates'!$D$9:$D$1008,$I761-8)="","",INDEX('Fleet dates'!$D$9:$D$1008,$I761-8)))</x:f>
      </x:c>
      <x:c r="E761" s="51" t="str">
        <x:f>IF(753&gt;$H$4,"",IF(INDEX('Fleet dates'!$E$9:$E$1008,$I761-8)="","",INDEX('Fleet dates'!$E$9:$E$1008,$I761-8)))</x:f>
      </x:c>
      <x:c r="F761" s="51" t="str">
        <x:f>IF(753&gt;$H$4,"",IF(INDEX('Fleet dates'!$F$9:$F$1008,$I761-8)="","",INDEX('Fleet dates'!$F$9:$F$1008,$I761-8)))</x:f>
      </x:c>
      <x:c r="G761" s="50" t="str">
        <x:f>IF(753&gt;$H$4,"",IF(INDEX('Fleet dates'!$G$9:$G$1008,$I761-8)="","",INDEX('Fleet dates'!$G$9:$G$1008,$I761-8)))</x:f>
      </x:c>
      <x:c r="H761" s="50" t="str">
        <x:f>IF(753&gt;$H$4,"",IF(INDEX('Fleet dates'!$I$9:$I$1008,$I761-8)="","",INDEX('Fleet dates'!$I$9:$I$1008,$I761-8)))</x:f>
      </x:c>
      <x:c r="I761" t="str">
        <x:f>IF(753&gt;$H$4,"",MATCH(753,'Fleet dates'!$L$9:$L$1008,0)+8)</x:f>
      </x:c>
    </x:row>
    <x:row r="762" ht="36" customHeight="1">
      <x:c r="A762" s="50" t="str">
        <x:f>IF(754&gt;$H$4,"",IF(INDEX('Fleet dates'!$A$9:$A$1008,$I762-8)="","",INDEX('Fleet dates'!$A$9:$A$1008,$I762-8)))</x:f>
      </x:c>
      <x:c r="B762" s="50" t="str">
        <x:f>IF(754&gt;$H$4,"",IF(INDEX('Fleet dates'!$B$9:$B$1008,$I762-8)="","",INDEX('Fleet dates'!$B$9:$B$1008,$I762-8)))</x:f>
      </x:c>
      <x:c r="C762" s="51" t="str">
        <x:f>IF(754&gt;$H$4,"",IF(INDEX('Fleet dates'!$C$9:$C$1008,$I762-8)="","",INDEX('Fleet dates'!$C$9:$C$1008,$I762-8)))</x:f>
      </x:c>
      <x:c r="D762" s="51" t="str">
        <x:f>IF(754&gt;$H$4,"",IF(INDEX('Fleet dates'!$D$9:$D$1008,$I762-8)="","",INDEX('Fleet dates'!$D$9:$D$1008,$I762-8)))</x:f>
      </x:c>
      <x:c r="E762" s="51" t="str">
        <x:f>IF(754&gt;$H$4,"",IF(INDEX('Fleet dates'!$E$9:$E$1008,$I762-8)="","",INDEX('Fleet dates'!$E$9:$E$1008,$I762-8)))</x:f>
      </x:c>
      <x:c r="F762" s="51" t="str">
        <x:f>IF(754&gt;$H$4,"",IF(INDEX('Fleet dates'!$F$9:$F$1008,$I762-8)="","",INDEX('Fleet dates'!$F$9:$F$1008,$I762-8)))</x:f>
      </x:c>
      <x:c r="G762" s="50" t="str">
        <x:f>IF(754&gt;$H$4,"",IF(INDEX('Fleet dates'!$G$9:$G$1008,$I762-8)="","",INDEX('Fleet dates'!$G$9:$G$1008,$I762-8)))</x:f>
      </x:c>
      <x:c r="H762" s="50" t="str">
        <x:f>IF(754&gt;$H$4,"",IF(INDEX('Fleet dates'!$I$9:$I$1008,$I762-8)="","",INDEX('Fleet dates'!$I$9:$I$1008,$I762-8)))</x:f>
      </x:c>
      <x:c r="I762" t="str">
        <x:f>IF(754&gt;$H$4,"",MATCH(754,'Fleet dates'!$L$9:$L$1008,0)+8)</x:f>
      </x:c>
    </x:row>
    <x:row r="763" ht="36" customHeight="1">
      <x:c r="A763" s="50" t="str">
        <x:f>IF(755&gt;$H$4,"",IF(INDEX('Fleet dates'!$A$9:$A$1008,$I763-8)="","",INDEX('Fleet dates'!$A$9:$A$1008,$I763-8)))</x:f>
      </x:c>
      <x:c r="B763" s="50" t="str">
        <x:f>IF(755&gt;$H$4,"",IF(INDEX('Fleet dates'!$B$9:$B$1008,$I763-8)="","",INDEX('Fleet dates'!$B$9:$B$1008,$I763-8)))</x:f>
      </x:c>
      <x:c r="C763" s="51" t="str">
        <x:f>IF(755&gt;$H$4,"",IF(INDEX('Fleet dates'!$C$9:$C$1008,$I763-8)="","",INDEX('Fleet dates'!$C$9:$C$1008,$I763-8)))</x:f>
      </x:c>
      <x:c r="D763" s="51" t="str">
        <x:f>IF(755&gt;$H$4,"",IF(INDEX('Fleet dates'!$D$9:$D$1008,$I763-8)="","",INDEX('Fleet dates'!$D$9:$D$1008,$I763-8)))</x:f>
      </x:c>
      <x:c r="E763" s="51" t="str">
        <x:f>IF(755&gt;$H$4,"",IF(INDEX('Fleet dates'!$E$9:$E$1008,$I763-8)="","",INDEX('Fleet dates'!$E$9:$E$1008,$I763-8)))</x:f>
      </x:c>
      <x:c r="F763" s="51" t="str">
        <x:f>IF(755&gt;$H$4,"",IF(INDEX('Fleet dates'!$F$9:$F$1008,$I763-8)="","",INDEX('Fleet dates'!$F$9:$F$1008,$I763-8)))</x:f>
      </x:c>
      <x:c r="G763" s="50" t="str">
        <x:f>IF(755&gt;$H$4,"",IF(INDEX('Fleet dates'!$G$9:$G$1008,$I763-8)="","",INDEX('Fleet dates'!$G$9:$G$1008,$I763-8)))</x:f>
      </x:c>
      <x:c r="H763" s="50" t="str">
        <x:f>IF(755&gt;$H$4,"",IF(INDEX('Fleet dates'!$I$9:$I$1008,$I763-8)="","",INDEX('Fleet dates'!$I$9:$I$1008,$I763-8)))</x:f>
      </x:c>
      <x:c r="I763" t="str">
        <x:f>IF(755&gt;$H$4,"",MATCH(755,'Fleet dates'!$L$9:$L$1008,0)+8)</x:f>
      </x:c>
    </x:row>
    <x:row r="764" ht="36" customHeight="1">
      <x:c r="A764" s="50" t="str">
        <x:f>IF(756&gt;$H$4,"",IF(INDEX('Fleet dates'!$A$9:$A$1008,$I764-8)="","",INDEX('Fleet dates'!$A$9:$A$1008,$I764-8)))</x:f>
      </x:c>
      <x:c r="B764" s="50" t="str">
        <x:f>IF(756&gt;$H$4,"",IF(INDEX('Fleet dates'!$B$9:$B$1008,$I764-8)="","",INDEX('Fleet dates'!$B$9:$B$1008,$I764-8)))</x:f>
      </x:c>
      <x:c r="C764" s="51" t="str">
        <x:f>IF(756&gt;$H$4,"",IF(INDEX('Fleet dates'!$C$9:$C$1008,$I764-8)="","",INDEX('Fleet dates'!$C$9:$C$1008,$I764-8)))</x:f>
      </x:c>
      <x:c r="D764" s="51" t="str">
        <x:f>IF(756&gt;$H$4,"",IF(INDEX('Fleet dates'!$D$9:$D$1008,$I764-8)="","",INDEX('Fleet dates'!$D$9:$D$1008,$I764-8)))</x:f>
      </x:c>
      <x:c r="E764" s="51" t="str">
        <x:f>IF(756&gt;$H$4,"",IF(INDEX('Fleet dates'!$E$9:$E$1008,$I764-8)="","",INDEX('Fleet dates'!$E$9:$E$1008,$I764-8)))</x:f>
      </x:c>
      <x:c r="F764" s="51" t="str">
        <x:f>IF(756&gt;$H$4,"",IF(INDEX('Fleet dates'!$F$9:$F$1008,$I764-8)="","",INDEX('Fleet dates'!$F$9:$F$1008,$I764-8)))</x:f>
      </x:c>
      <x:c r="G764" s="50" t="str">
        <x:f>IF(756&gt;$H$4,"",IF(INDEX('Fleet dates'!$G$9:$G$1008,$I764-8)="","",INDEX('Fleet dates'!$G$9:$G$1008,$I764-8)))</x:f>
      </x:c>
      <x:c r="H764" s="50" t="str">
        <x:f>IF(756&gt;$H$4,"",IF(INDEX('Fleet dates'!$I$9:$I$1008,$I764-8)="","",INDEX('Fleet dates'!$I$9:$I$1008,$I764-8)))</x:f>
      </x:c>
      <x:c r="I764" t="str">
        <x:f>IF(756&gt;$H$4,"",MATCH(756,'Fleet dates'!$L$9:$L$1008,0)+8)</x:f>
      </x:c>
    </x:row>
    <x:row r="765" ht="36" customHeight="1">
      <x:c r="A765" s="50" t="str">
        <x:f>IF(757&gt;$H$4,"",IF(INDEX('Fleet dates'!$A$9:$A$1008,$I765-8)="","",INDEX('Fleet dates'!$A$9:$A$1008,$I765-8)))</x:f>
      </x:c>
      <x:c r="B765" s="50" t="str">
        <x:f>IF(757&gt;$H$4,"",IF(INDEX('Fleet dates'!$B$9:$B$1008,$I765-8)="","",INDEX('Fleet dates'!$B$9:$B$1008,$I765-8)))</x:f>
      </x:c>
      <x:c r="C765" s="51" t="str">
        <x:f>IF(757&gt;$H$4,"",IF(INDEX('Fleet dates'!$C$9:$C$1008,$I765-8)="","",INDEX('Fleet dates'!$C$9:$C$1008,$I765-8)))</x:f>
      </x:c>
      <x:c r="D765" s="51" t="str">
        <x:f>IF(757&gt;$H$4,"",IF(INDEX('Fleet dates'!$D$9:$D$1008,$I765-8)="","",INDEX('Fleet dates'!$D$9:$D$1008,$I765-8)))</x:f>
      </x:c>
      <x:c r="E765" s="51" t="str">
        <x:f>IF(757&gt;$H$4,"",IF(INDEX('Fleet dates'!$E$9:$E$1008,$I765-8)="","",INDEX('Fleet dates'!$E$9:$E$1008,$I765-8)))</x:f>
      </x:c>
      <x:c r="F765" s="51" t="str">
        <x:f>IF(757&gt;$H$4,"",IF(INDEX('Fleet dates'!$F$9:$F$1008,$I765-8)="","",INDEX('Fleet dates'!$F$9:$F$1008,$I765-8)))</x:f>
      </x:c>
      <x:c r="G765" s="50" t="str">
        <x:f>IF(757&gt;$H$4,"",IF(INDEX('Fleet dates'!$G$9:$G$1008,$I765-8)="","",INDEX('Fleet dates'!$G$9:$G$1008,$I765-8)))</x:f>
      </x:c>
      <x:c r="H765" s="50" t="str">
        <x:f>IF(757&gt;$H$4,"",IF(INDEX('Fleet dates'!$I$9:$I$1008,$I765-8)="","",INDEX('Fleet dates'!$I$9:$I$1008,$I765-8)))</x:f>
      </x:c>
      <x:c r="I765" t="str">
        <x:f>IF(757&gt;$H$4,"",MATCH(757,'Fleet dates'!$L$9:$L$1008,0)+8)</x:f>
      </x:c>
    </x:row>
    <x:row r="766" ht="36" customHeight="1">
      <x:c r="A766" s="50" t="str">
        <x:f>IF(758&gt;$H$4,"",IF(INDEX('Fleet dates'!$A$9:$A$1008,$I766-8)="","",INDEX('Fleet dates'!$A$9:$A$1008,$I766-8)))</x:f>
      </x:c>
      <x:c r="B766" s="50" t="str">
        <x:f>IF(758&gt;$H$4,"",IF(INDEX('Fleet dates'!$B$9:$B$1008,$I766-8)="","",INDEX('Fleet dates'!$B$9:$B$1008,$I766-8)))</x:f>
      </x:c>
      <x:c r="C766" s="51" t="str">
        <x:f>IF(758&gt;$H$4,"",IF(INDEX('Fleet dates'!$C$9:$C$1008,$I766-8)="","",INDEX('Fleet dates'!$C$9:$C$1008,$I766-8)))</x:f>
      </x:c>
      <x:c r="D766" s="51" t="str">
        <x:f>IF(758&gt;$H$4,"",IF(INDEX('Fleet dates'!$D$9:$D$1008,$I766-8)="","",INDEX('Fleet dates'!$D$9:$D$1008,$I766-8)))</x:f>
      </x:c>
      <x:c r="E766" s="51" t="str">
        <x:f>IF(758&gt;$H$4,"",IF(INDEX('Fleet dates'!$E$9:$E$1008,$I766-8)="","",INDEX('Fleet dates'!$E$9:$E$1008,$I766-8)))</x:f>
      </x:c>
      <x:c r="F766" s="51" t="str">
        <x:f>IF(758&gt;$H$4,"",IF(INDEX('Fleet dates'!$F$9:$F$1008,$I766-8)="","",INDEX('Fleet dates'!$F$9:$F$1008,$I766-8)))</x:f>
      </x:c>
      <x:c r="G766" s="50" t="str">
        <x:f>IF(758&gt;$H$4,"",IF(INDEX('Fleet dates'!$G$9:$G$1008,$I766-8)="","",INDEX('Fleet dates'!$G$9:$G$1008,$I766-8)))</x:f>
      </x:c>
      <x:c r="H766" s="50" t="str">
        <x:f>IF(758&gt;$H$4,"",IF(INDEX('Fleet dates'!$I$9:$I$1008,$I766-8)="","",INDEX('Fleet dates'!$I$9:$I$1008,$I766-8)))</x:f>
      </x:c>
      <x:c r="I766" t="str">
        <x:f>IF(758&gt;$H$4,"",MATCH(758,'Fleet dates'!$L$9:$L$1008,0)+8)</x:f>
      </x:c>
    </x:row>
    <x:row r="767" ht="36" customHeight="1">
      <x:c r="A767" s="50" t="str">
        <x:f>IF(759&gt;$H$4,"",IF(INDEX('Fleet dates'!$A$9:$A$1008,$I767-8)="","",INDEX('Fleet dates'!$A$9:$A$1008,$I767-8)))</x:f>
      </x:c>
      <x:c r="B767" s="50" t="str">
        <x:f>IF(759&gt;$H$4,"",IF(INDEX('Fleet dates'!$B$9:$B$1008,$I767-8)="","",INDEX('Fleet dates'!$B$9:$B$1008,$I767-8)))</x:f>
      </x:c>
      <x:c r="C767" s="51" t="str">
        <x:f>IF(759&gt;$H$4,"",IF(INDEX('Fleet dates'!$C$9:$C$1008,$I767-8)="","",INDEX('Fleet dates'!$C$9:$C$1008,$I767-8)))</x:f>
      </x:c>
      <x:c r="D767" s="51" t="str">
        <x:f>IF(759&gt;$H$4,"",IF(INDEX('Fleet dates'!$D$9:$D$1008,$I767-8)="","",INDEX('Fleet dates'!$D$9:$D$1008,$I767-8)))</x:f>
      </x:c>
      <x:c r="E767" s="51" t="str">
        <x:f>IF(759&gt;$H$4,"",IF(INDEX('Fleet dates'!$E$9:$E$1008,$I767-8)="","",INDEX('Fleet dates'!$E$9:$E$1008,$I767-8)))</x:f>
      </x:c>
      <x:c r="F767" s="51" t="str">
        <x:f>IF(759&gt;$H$4,"",IF(INDEX('Fleet dates'!$F$9:$F$1008,$I767-8)="","",INDEX('Fleet dates'!$F$9:$F$1008,$I767-8)))</x:f>
      </x:c>
      <x:c r="G767" s="50" t="str">
        <x:f>IF(759&gt;$H$4,"",IF(INDEX('Fleet dates'!$G$9:$G$1008,$I767-8)="","",INDEX('Fleet dates'!$G$9:$G$1008,$I767-8)))</x:f>
      </x:c>
      <x:c r="H767" s="50" t="str">
        <x:f>IF(759&gt;$H$4,"",IF(INDEX('Fleet dates'!$I$9:$I$1008,$I767-8)="","",INDEX('Fleet dates'!$I$9:$I$1008,$I767-8)))</x:f>
      </x:c>
      <x:c r="I767" t="str">
        <x:f>IF(759&gt;$H$4,"",MATCH(759,'Fleet dates'!$L$9:$L$1008,0)+8)</x:f>
      </x:c>
    </x:row>
    <x:row r="768" ht="36" customHeight="1">
      <x:c r="A768" s="50" t="str">
        <x:f>IF(760&gt;$H$4,"",IF(INDEX('Fleet dates'!$A$9:$A$1008,$I768-8)="","",INDEX('Fleet dates'!$A$9:$A$1008,$I768-8)))</x:f>
      </x:c>
      <x:c r="B768" s="50" t="str">
        <x:f>IF(760&gt;$H$4,"",IF(INDEX('Fleet dates'!$B$9:$B$1008,$I768-8)="","",INDEX('Fleet dates'!$B$9:$B$1008,$I768-8)))</x:f>
      </x:c>
      <x:c r="C768" s="51" t="str">
        <x:f>IF(760&gt;$H$4,"",IF(INDEX('Fleet dates'!$C$9:$C$1008,$I768-8)="","",INDEX('Fleet dates'!$C$9:$C$1008,$I768-8)))</x:f>
      </x:c>
      <x:c r="D768" s="51" t="str">
        <x:f>IF(760&gt;$H$4,"",IF(INDEX('Fleet dates'!$D$9:$D$1008,$I768-8)="","",INDEX('Fleet dates'!$D$9:$D$1008,$I768-8)))</x:f>
      </x:c>
      <x:c r="E768" s="51" t="str">
        <x:f>IF(760&gt;$H$4,"",IF(INDEX('Fleet dates'!$E$9:$E$1008,$I768-8)="","",INDEX('Fleet dates'!$E$9:$E$1008,$I768-8)))</x:f>
      </x:c>
      <x:c r="F768" s="51" t="str">
        <x:f>IF(760&gt;$H$4,"",IF(INDEX('Fleet dates'!$F$9:$F$1008,$I768-8)="","",INDEX('Fleet dates'!$F$9:$F$1008,$I768-8)))</x:f>
      </x:c>
      <x:c r="G768" s="50" t="str">
        <x:f>IF(760&gt;$H$4,"",IF(INDEX('Fleet dates'!$G$9:$G$1008,$I768-8)="","",INDEX('Fleet dates'!$G$9:$G$1008,$I768-8)))</x:f>
      </x:c>
      <x:c r="H768" s="50" t="str">
        <x:f>IF(760&gt;$H$4,"",IF(INDEX('Fleet dates'!$I$9:$I$1008,$I768-8)="","",INDEX('Fleet dates'!$I$9:$I$1008,$I768-8)))</x:f>
      </x:c>
      <x:c r="I768" t="str">
        <x:f>IF(760&gt;$H$4,"",MATCH(760,'Fleet dates'!$L$9:$L$1008,0)+8)</x:f>
      </x:c>
    </x:row>
    <x:row r="769" ht="36" customHeight="1">
      <x:c r="A769" s="50" t="str">
        <x:f>IF(761&gt;$H$4,"",IF(INDEX('Fleet dates'!$A$9:$A$1008,$I769-8)="","",INDEX('Fleet dates'!$A$9:$A$1008,$I769-8)))</x:f>
      </x:c>
      <x:c r="B769" s="50" t="str">
        <x:f>IF(761&gt;$H$4,"",IF(INDEX('Fleet dates'!$B$9:$B$1008,$I769-8)="","",INDEX('Fleet dates'!$B$9:$B$1008,$I769-8)))</x:f>
      </x:c>
      <x:c r="C769" s="51" t="str">
        <x:f>IF(761&gt;$H$4,"",IF(INDEX('Fleet dates'!$C$9:$C$1008,$I769-8)="","",INDEX('Fleet dates'!$C$9:$C$1008,$I769-8)))</x:f>
      </x:c>
      <x:c r="D769" s="51" t="str">
        <x:f>IF(761&gt;$H$4,"",IF(INDEX('Fleet dates'!$D$9:$D$1008,$I769-8)="","",INDEX('Fleet dates'!$D$9:$D$1008,$I769-8)))</x:f>
      </x:c>
      <x:c r="E769" s="51" t="str">
        <x:f>IF(761&gt;$H$4,"",IF(INDEX('Fleet dates'!$E$9:$E$1008,$I769-8)="","",INDEX('Fleet dates'!$E$9:$E$1008,$I769-8)))</x:f>
      </x:c>
      <x:c r="F769" s="51" t="str">
        <x:f>IF(761&gt;$H$4,"",IF(INDEX('Fleet dates'!$F$9:$F$1008,$I769-8)="","",INDEX('Fleet dates'!$F$9:$F$1008,$I769-8)))</x:f>
      </x:c>
      <x:c r="G769" s="50" t="str">
        <x:f>IF(761&gt;$H$4,"",IF(INDEX('Fleet dates'!$G$9:$G$1008,$I769-8)="","",INDEX('Fleet dates'!$G$9:$G$1008,$I769-8)))</x:f>
      </x:c>
      <x:c r="H769" s="50" t="str">
        <x:f>IF(761&gt;$H$4,"",IF(INDEX('Fleet dates'!$I$9:$I$1008,$I769-8)="","",INDEX('Fleet dates'!$I$9:$I$1008,$I769-8)))</x:f>
      </x:c>
      <x:c r="I769" t="str">
        <x:f>IF(761&gt;$H$4,"",MATCH(761,'Fleet dates'!$L$9:$L$1008,0)+8)</x:f>
      </x:c>
    </x:row>
    <x:row r="770" ht="36" customHeight="1">
      <x:c r="A770" s="50" t="str">
        <x:f>IF(762&gt;$H$4,"",IF(INDEX('Fleet dates'!$A$9:$A$1008,$I770-8)="","",INDEX('Fleet dates'!$A$9:$A$1008,$I770-8)))</x:f>
      </x:c>
      <x:c r="B770" s="50" t="str">
        <x:f>IF(762&gt;$H$4,"",IF(INDEX('Fleet dates'!$B$9:$B$1008,$I770-8)="","",INDEX('Fleet dates'!$B$9:$B$1008,$I770-8)))</x:f>
      </x:c>
      <x:c r="C770" s="51" t="str">
        <x:f>IF(762&gt;$H$4,"",IF(INDEX('Fleet dates'!$C$9:$C$1008,$I770-8)="","",INDEX('Fleet dates'!$C$9:$C$1008,$I770-8)))</x:f>
      </x:c>
      <x:c r="D770" s="51" t="str">
        <x:f>IF(762&gt;$H$4,"",IF(INDEX('Fleet dates'!$D$9:$D$1008,$I770-8)="","",INDEX('Fleet dates'!$D$9:$D$1008,$I770-8)))</x:f>
      </x:c>
      <x:c r="E770" s="51" t="str">
        <x:f>IF(762&gt;$H$4,"",IF(INDEX('Fleet dates'!$E$9:$E$1008,$I770-8)="","",INDEX('Fleet dates'!$E$9:$E$1008,$I770-8)))</x:f>
      </x:c>
      <x:c r="F770" s="51" t="str">
        <x:f>IF(762&gt;$H$4,"",IF(INDEX('Fleet dates'!$F$9:$F$1008,$I770-8)="","",INDEX('Fleet dates'!$F$9:$F$1008,$I770-8)))</x:f>
      </x:c>
      <x:c r="G770" s="50" t="str">
        <x:f>IF(762&gt;$H$4,"",IF(INDEX('Fleet dates'!$G$9:$G$1008,$I770-8)="","",INDEX('Fleet dates'!$G$9:$G$1008,$I770-8)))</x:f>
      </x:c>
      <x:c r="H770" s="50" t="str">
        <x:f>IF(762&gt;$H$4,"",IF(INDEX('Fleet dates'!$I$9:$I$1008,$I770-8)="","",INDEX('Fleet dates'!$I$9:$I$1008,$I770-8)))</x:f>
      </x:c>
      <x:c r="I770" t="str">
        <x:f>IF(762&gt;$H$4,"",MATCH(762,'Fleet dates'!$L$9:$L$1008,0)+8)</x:f>
      </x:c>
    </x:row>
    <x:row r="771" ht="36" customHeight="1">
      <x:c r="A771" s="50" t="str">
        <x:f>IF(763&gt;$H$4,"",IF(INDEX('Fleet dates'!$A$9:$A$1008,$I771-8)="","",INDEX('Fleet dates'!$A$9:$A$1008,$I771-8)))</x:f>
      </x:c>
      <x:c r="B771" s="50" t="str">
        <x:f>IF(763&gt;$H$4,"",IF(INDEX('Fleet dates'!$B$9:$B$1008,$I771-8)="","",INDEX('Fleet dates'!$B$9:$B$1008,$I771-8)))</x:f>
      </x:c>
      <x:c r="C771" s="51" t="str">
        <x:f>IF(763&gt;$H$4,"",IF(INDEX('Fleet dates'!$C$9:$C$1008,$I771-8)="","",INDEX('Fleet dates'!$C$9:$C$1008,$I771-8)))</x:f>
      </x:c>
      <x:c r="D771" s="51" t="str">
        <x:f>IF(763&gt;$H$4,"",IF(INDEX('Fleet dates'!$D$9:$D$1008,$I771-8)="","",INDEX('Fleet dates'!$D$9:$D$1008,$I771-8)))</x:f>
      </x:c>
      <x:c r="E771" s="51" t="str">
        <x:f>IF(763&gt;$H$4,"",IF(INDEX('Fleet dates'!$E$9:$E$1008,$I771-8)="","",INDEX('Fleet dates'!$E$9:$E$1008,$I771-8)))</x:f>
      </x:c>
      <x:c r="F771" s="51" t="str">
        <x:f>IF(763&gt;$H$4,"",IF(INDEX('Fleet dates'!$F$9:$F$1008,$I771-8)="","",INDEX('Fleet dates'!$F$9:$F$1008,$I771-8)))</x:f>
      </x:c>
      <x:c r="G771" s="50" t="str">
        <x:f>IF(763&gt;$H$4,"",IF(INDEX('Fleet dates'!$G$9:$G$1008,$I771-8)="","",INDEX('Fleet dates'!$G$9:$G$1008,$I771-8)))</x:f>
      </x:c>
      <x:c r="H771" s="50" t="str">
        <x:f>IF(763&gt;$H$4,"",IF(INDEX('Fleet dates'!$I$9:$I$1008,$I771-8)="","",INDEX('Fleet dates'!$I$9:$I$1008,$I771-8)))</x:f>
      </x:c>
      <x:c r="I771" t="str">
        <x:f>IF(763&gt;$H$4,"",MATCH(763,'Fleet dates'!$L$9:$L$1008,0)+8)</x:f>
      </x:c>
    </x:row>
    <x:row r="772" ht="36" customHeight="1">
      <x:c r="A772" s="50" t="str">
        <x:f>IF(764&gt;$H$4,"",IF(INDEX('Fleet dates'!$A$9:$A$1008,$I772-8)="","",INDEX('Fleet dates'!$A$9:$A$1008,$I772-8)))</x:f>
      </x:c>
      <x:c r="B772" s="50" t="str">
        <x:f>IF(764&gt;$H$4,"",IF(INDEX('Fleet dates'!$B$9:$B$1008,$I772-8)="","",INDEX('Fleet dates'!$B$9:$B$1008,$I772-8)))</x:f>
      </x:c>
      <x:c r="C772" s="51" t="str">
        <x:f>IF(764&gt;$H$4,"",IF(INDEX('Fleet dates'!$C$9:$C$1008,$I772-8)="","",INDEX('Fleet dates'!$C$9:$C$1008,$I772-8)))</x:f>
      </x:c>
      <x:c r="D772" s="51" t="str">
        <x:f>IF(764&gt;$H$4,"",IF(INDEX('Fleet dates'!$D$9:$D$1008,$I772-8)="","",INDEX('Fleet dates'!$D$9:$D$1008,$I772-8)))</x:f>
      </x:c>
      <x:c r="E772" s="51" t="str">
        <x:f>IF(764&gt;$H$4,"",IF(INDEX('Fleet dates'!$E$9:$E$1008,$I772-8)="","",INDEX('Fleet dates'!$E$9:$E$1008,$I772-8)))</x:f>
      </x:c>
      <x:c r="F772" s="51" t="str">
        <x:f>IF(764&gt;$H$4,"",IF(INDEX('Fleet dates'!$F$9:$F$1008,$I772-8)="","",INDEX('Fleet dates'!$F$9:$F$1008,$I772-8)))</x:f>
      </x:c>
      <x:c r="G772" s="50" t="str">
        <x:f>IF(764&gt;$H$4,"",IF(INDEX('Fleet dates'!$G$9:$G$1008,$I772-8)="","",INDEX('Fleet dates'!$G$9:$G$1008,$I772-8)))</x:f>
      </x:c>
      <x:c r="H772" s="50" t="str">
        <x:f>IF(764&gt;$H$4,"",IF(INDEX('Fleet dates'!$I$9:$I$1008,$I772-8)="","",INDEX('Fleet dates'!$I$9:$I$1008,$I772-8)))</x:f>
      </x:c>
      <x:c r="I772" t="str">
        <x:f>IF(764&gt;$H$4,"",MATCH(764,'Fleet dates'!$L$9:$L$1008,0)+8)</x:f>
      </x:c>
    </x:row>
    <x:row r="773" ht="36" customHeight="1">
      <x:c r="A773" s="50" t="str">
        <x:f>IF(765&gt;$H$4,"",IF(INDEX('Fleet dates'!$A$9:$A$1008,$I773-8)="","",INDEX('Fleet dates'!$A$9:$A$1008,$I773-8)))</x:f>
      </x:c>
      <x:c r="B773" s="50" t="str">
        <x:f>IF(765&gt;$H$4,"",IF(INDEX('Fleet dates'!$B$9:$B$1008,$I773-8)="","",INDEX('Fleet dates'!$B$9:$B$1008,$I773-8)))</x:f>
      </x:c>
      <x:c r="C773" s="51" t="str">
        <x:f>IF(765&gt;$H$4,"",IF(INDEX('Fleet dates'!$C$9:$C$1008,$I773-8)="","",INDEX('Fleet dates'!$C$9:$C$1008,$I773-8)))</x:f>
      </x:c>
      <x:c r="D773" s="51" t="str">
        <x:f>IF(765&gt;$H$4,"",IF(INDEX('Fleet dates'!$D$9:$D$1008,$I773-8)="","",INDEX('Fleet dates'!$D$9:$D$1008,$I773-8)))</x:f>
      </x:c>
      <x:c r="E773" s="51" t="str">
        <x:f>IF(765&gt;$H$4,"",IF(INDEX('Fleet dates'!$E$9:$E$1008,$I773-8)="","",INDEX('Fleet dates'!$E$9:$E$1008,$I773-8)))</x:f>
      </x:c>
      <x:c r="F773" s="51" t="str">
        <x:f>IF(765&gt;$H$4,"",IF(INDEX('Fleet dates'!$F$9:$F$1008,$I773-8)="","",INDEX('Fleet dates'!$F$9:$F$1008,$I773-8)))</x:f>
      </x:c>
      <x:c r="G773" s="50" t="str">
        <x:f>IF(765&gt;$H$4,"",IF(INDEX('Fleet dates'!$G$9:$G$1008,$I773-8)="","",INDEX('Fleet dates'!$G$9:$G$1008,$I773-8)))</x:f>
      </x:c>
      <x:c r="H773" s="50" t="str">
        <x:f>IF(765&gt;$H$4,"",IF(INDEX('Fleet dates'!$I$9:$I$1008,$I773-8)="","",INDEX('Fleet dates'!$I$9:$I$1008,$I773-8)))</x:f>
      </x:c>
      <x:c r="I773" t="str">
        <x:f>IF(765&gt;$H$4,"",MATCH(765,'Fleet dates'!$L$9:$L$1008,0)+8)</x:f>
      </x:c>
    </x:row>
    <x:row r="774" ht="36" customHeight="1">
      <x:c r="A774" s="50" t="str">
        <x:f>IF(766&gt;$H$4,"",IF(INDEX('Fleet dates'!$A$9:$A$1008,$I774-8)="","",INDEX('Fleet dates'!$A$9:$A$1008,$I774-8)))</x:f>
      </x:c>
      <x:c r="B774" s="50" t="str">
        <x:f>IF(766&gt;$H$4,"",IF(INDEX('Fleet dates'!$B$9:$B$1008,$I774-8)="","",INDEX('Fleet dates'!$B$9:$B$1008,$I774-8)))</x:f>
      </x:c>
      <x:c r="C774" s="51" t="str">
        <x:f>IF(766&gt;$H$4,"",IF(INDEX('Fleet dates'!$C$9:$C$1008,$I774-8)="","",INDEX('Fleet dates'!$C$9:$C$1008,$I774-8)))</x:f>
      </x:c>
      <x:c r="D774" s="51" t="str">
        <x:f>IF(766&gt;$H$4,"",IF(INDEX('Fleet dates'!$D$9:$D$1008,$I774-8)="","",INDEX('Fleet dates'!$D$9:$D$1008,$I774-8)))</x:f>
      </x:c>
      <x:c r="E774" s="51" t="str">
        <x:f>IF(766&gt;$H$4,"",IF(INDEX('Fleet dates'!$E$9:$E$1008,$I774-8)="","",INDEX('Fleet dates'!$E$9:$E$1008,$I774-8)))</x:f>
      </x:c>
      <x:c r="F774" s="51" t="str">
        <x:f>IF(766&gt;$H$4,"",IF(INDEX('Fleet dates'!$F$9:$F$1008,$I774-8)="","",INDEX('Fleet dates'!$F$9:$F$1008,$I774-8)))</x:f>
      </x:c>
      <x:c r="G774" s="50" t="str">
        <x:f>IF(766&gt;$H$4,"",IF(INDEX('Fleet dates'!$G$9:$G$1008,$I774-8)="","",INDEX('Fleet dates'!$G$9:$G$1008,$I774-8)))</x:f>
      </x:c>
      <x:c r="H774" s="50" t="str">
        <x:f>IF(766&gt;$H$4,"",IF(INDEX('Fleet dates'!$I$9:$I$1008,$I774-8)="","",INDEX('Fleet dates'!$I$9:$I$1008,$I774-8)))</x:f>
      </x:c>
      <x:c r="I774" t="str">
        <x:f>IF(766&gt;$H$4,"",MATCH(766,'Fleet dates'!$L$9:$L$1008,0)+8)</x:f>
      </x:c>
    </x:row>
    <x:row r="775" ht="36" customHeight="1">
      <x:c r="A775" s="50" t="str">
        <x:f>IF(767&gt;$H$4,"",IF(INDEX('Fleet dates'!$A$9:$A$1008,$I775-8)="","",INDEX('Fleet dates'!$A$9:$A$1008,$I775-8)))</x:f>
      </x:c>
      <x:c r="B775" s="50" t="str">
        <x:f>IF(767&gt;$H$4,"",IF(INDEX('Fleet dates'!$B$9:$B$1008,$I775-8)="","",INDEX('Fleet dates'!$B$9:$B$1008,$I775-8)))</x:f>
      </x:c>
      <x:c r="C775" s="51" t="str">
        <x:f>IF(767&gt;$H$4,"",IF(INDEX('Fleet dates'!$C$9:$C$1008,$I775-8)="","",INDEX('Fleet dates'!$C$9:$C$1008,$I775-8)))</x:f>
      </x:c>
      <x:c r="D775" s="51" t="str">
        <x:f>IF(767&gt;$H$4,"",IF(INDEX('Fleet dates'!$D$9:$D$1008,$I775-8)="","",INDEX('Fleet dates'!$D$9:$D$1008,$I775-8)))</x:f>
      </x:c>
      <x:c r="E775" s="51" t="str">
        <x:f>IF(767&gt;$H$4,"",IF(INDEX('Fleet dates'!$E$9:$E$1008,$I775-8)="","",INDEX('Fleet dates'!$E$9:$E$1008,$I775-8)))</x:f>
      </x:c>
      <x:c r="F775" s="51" t="str">
        <x:f>IF(767&gt;$H$4,"",IF(INDEX('Fleet dates'!$F$9:$F$1008,$I775-8)="","",INDEX('Fleet dates'!$F$9:$F$1008,$I775-8)))</x:f>
      </x:c>
      <x:c r="G775" s="50" t="str">
        <x:f>IF(767&gt;$H$4,"",IF(INDEX('Fleet dates'!$G$9:$G$1008,$I775-8)="","",INDEX('Fleet dates'!$G$9:$G$1008,$I775-8)))</x:f>
      </x:c>
      <x:c r="H775" s="50" t="str">
        <x:f>IF(767&gt;$H$4,"",IF(INDEX('Fleet dates'!$I$9:$I$1008,$I775-8)="","",INDEX('Fleet dates'!$I$9:$I$1008,$I775-8)))</x:f>
      </x:c>
      <x:c r="I775" t="str">
        <x:f>IF(767&gt;$H$4,"",MATCH(767,'Fleet dates'!$L$9:$L$1008,0)+8)</x:f>
      </x:c>
    </x:row>
    <x:row r="776" ht="36" customHeight="1">
      <x:c r="A776" s="50" t="str">
        <x:f>IF(768&gt;$H$4,"",IF(INDEX('Fleet dates'!$A$9:$A$1008,$I776-8)="","",INDEX('Fleet dates'!$A$9:$A$1008,$I776-8)))</x:f>
      </x:c>
      <x:c r="B776" s="50" t="str">
        <x:f>IF(768&gt;$H$4,"",IF(INDEX('Fleet dates'!$B$9:$B$1008,$I776-8)="","",INDEX('Fleet dates'!$B$9:$B$1008,$I776-8)))</x:f>
      </x:c>
      <x:c r="C776" s="51" t="str">
        <x:f>IF(768&gt;$H$4,"",IF(INDEX('Fleet dates'!$C$9:$C$1008,$I776-8)="","",INDEX('Fleet dates'!$C$9:$C$1008,$I776-8)))</x:f>
      </x:c>
      <x:c r="D776" s="51" t="str">
        <x:f>IF(768&gt;$H$4,"",IF(INDEX('Fleet dates'!$D$9:$D$1008,$I776-8)="","",INDEX('Fleet dates'!$D$9:$D$1008,$I776-8)))</x:f>
      </x:c>
      <x:c r="E776" s="51" t="str">
        <x:f>IF(768&gt;$H$4,"",IF(INDEX('Fleet dates'!$E$9:$E$1008,$I776-8)="","",INDEX('Fleet dates'!$E$9:$E$1008,$I776-8)))</x:f>
      </x:c>
      <x:c r="F776" s="51" t="str">
        <x:f>IF(768&gt;$H$4,"",IF(INDEX('Fleet dates'!$F$9:$F$1008,$I776-8)="","",INDEX('Fleet dates'!$F$9:$F$1008,$I776-8)))</x:f>
      </x:c>
      <x:c r="G776" s="50" t="str">
        <x:f>IF(768&gt;$H$4,"",IF(INDEX('Fleet dates'!$G$9:$G$1008,$I776-8)="","",INDEX('Fleet dates'!$G$9:$G$1008,$I776-8)))</x:f>
      </x:c>
      <x:c r="H776" s="50" t="str">
        <x:f>IF(768&gt;$H$4,"",IF(INDEX('Fleet dates'!$I$9:$I$1008,$I776-8)="","",INDEX('Fleet dates'!$I$9:$I$1008,$I776-8)))</x:f>
      </x:c>
      <x:c r="I776" t="str">
        <x:f>IF(768&gt;$H$4,"",MATCH(768,'Fleet dates'!$L$9:$L$1008,0)+8)</x:f>
      </x:c>
    </x:row>
    <x:row r="777" ht="36" customHeight="1">
      <x:c r="A777" s="50" t="str">
        <x:f>IF(769&gt;$H$4,"",IF(INDEX('Fleet dates'!$A$9:$A$1008,$I777-8)="","",INDEX('Fleet dates'!$A$9:$A$1008,$I777-8)))</x:f>
      </x:c>
      <x:c r="B777" s="50" t="str">
        <x:f>IF(769&gt;$H$4,"",IF(INDEX('Fleet dates'!$B$9:$B$1008,$I777-8)="","",INDEX('Fleet dates'!$B$9:$B$1008,$I777-8)))</x:f>
      </x:c>
      <x:c r="C777" s="51" t="str">
        <x:f>IF(769&gt;$H$4,"",IF(INDEX('Fleet dates'!$C$9:$C$1008,$I777-8)="","",INDEX('Fleet dates'!$C$9:$C$1008,$I777-8)))</x:f>
      </x:c>
      <x:c r="D777" s="51" t="str">
        <x:f>IF(769&gt;$H$4,"",IF(INDEX('Fleet dates'!$D$9:$D$1008,$I777-8)="","",INDEX('Fleet dates'!$D$9:$D$1008,$I777-8)))</x:f>
      </x:c>
      <x:c r="E777" s="51" t="str">
        <x:f>IF(769&gt;$H$4,"",IF(INDEX('Fleet dates'!$E$9:$E$1008,$I777-8)="","",INDEX('Fleet dates'!$E$9:$E$1008,$I777-8)))</x:f>
      </x:c>
      <x:c r="F777" s="51" t="str">
        <x:f>IF(769&gt;$H$4,"",IF(INDEX('Fleet dates'!$F$9:$F$1008,$I777-8)="","",INDEX('Fleet dates'!$F$9:$F$1008,$I777-8)))</x:f>
      </x:c>
      <x:c r="G777" s="50" t="str">
        <x:f>IF(769&gt;$H$4,"",IF(INDEX('Fleet dates'!$G$9:$G$1008,$I777-8)="","",INDEX('Fleet dates'!$G$9:$G$1008,$I777-8)))</x:f>
      </x:c>
      <x:c r="H777" s="50" t="str">
        <x:f>IF(769&gt;$H$4,"",IF(INDEX('Fleet dates'!$I$9:$I$1008,$I777-8)="","",INDEX('Fleet dates'!$I$9:$I$1008,$I777-8)))</x:f>
      </x:c>
      <x:c r="I777" t="str">
        <x:f>IF(769&gt;$H$4,"",MATCH(769,'Fleet dates'!$L$9:$L$1008,0)+8)</x:f>
      </x:c>
    </x:row>
    <x:row r="778" ht="36" customHeight="1">
      <x:c r="A778" s="50" t="str">
        <x:f>IF(770&gt;$H$4,"",IF(INDEX('Fleet dates'!$A$9:$A$1008,$I778-8)="","",INDEX('Fleet dates'!$A$9:$A$1008,$I778-8)))</x:f>
      </x:c>
      <x:c r="B778" s="50" t="str">
        <x:f>IF(770&gt;$H$4,"",IF(INDEX('Fleet dates'!$B$9:$B$1008,$I778-8)="","",INDEX('Fleet dates'!$B$9:$B$1008,$I778-8)))</x:f>
      </x:c>
      <x:c r="C778" s="51" t="str">
        <x:f>IF(770&gt;$H$4,"",IF(INDEX('Fleet dates'!$C$9:$C$1008,$I778-8)="","",INDEX('Fleet dates'!$C$9:$C$1008,$I778-8)))</x:f>
      </x:c>
      <x:c r="D778" s="51" t="str">
        <x:f>IF(770&gt;$H$4,"",IF(INDEX('Fleet dates'!$D$9:$D$1008,$I778-8)="","",INDEX('Fleet dates'!$D$9:$D$1008,$I778-8)))</x:f>
      </x:c>
      <x:c r="E778" s="51" t="str">
        <x:f>IF(770&gt;$H$4,"",IF(INDEX('Fleet dates'!$E$9:$E$1008,$I778-8)="","",INDEX('Fleet dates'!$E$9:$E$1008,$I778-8)))</x:f>
      </x:c>
      <x:c r="F778" s="51" t="str">
        <x:f>IF(770&gt;$H$4,"",IF(INDEX('Fleet dates'!$F$9:$F$1008,$I778-8)="","",INDEX('Fleet dates'!$F$9:$F$1008,$I778-8)))</x:f>
      </x:c>
      <x:c r="G778" s="50" t="str">
        <x:f>IF(770&gt;$H$4,"",IF(INDEX('Fleet dates'!$G$9:$G$1008,$I778-8)="","",INDEX('Fleet dates'!$G$9:$G$1008,$I778-8)))</x:f>
      </x:c>
      <x:c r="H778" s="50" t="str">
        <x:f>IF(770&gt;$H$4,"",IF(INDEX('Fleet dates'!$I$9:$I$1008,$I778-8)="","",INDEX('Fleet dates'!$I$9:$I$1008,$I778-8)))</x:f>
      </x:c>
      <x:c r="I778" t="str">
        <x:f>IF(770&gt;$H$4,"",MATCH(770,'Fleet dates'!$L$9:$L$1008,0)+8)</x:f>
      </x:c>
    </x:row>
    <x:row r="779" ht="36" customHeight="1">
      <x:c r="A779" s="50" t="str">
        <x:f>IF(771&gt;$H$4,"",IF(INDEX('Fleet dates'!$A$9:$A$1008,$I779-8)="","",INDEX('Fleet dates'!$A$9:$A$1008,$I779-8)))</x:f>
      </x:c>
      <x:c r="B779" s="50" t="str">
        <x:f>IF(771&gt;$H$4,"",IF(INDEX('Fleet dates'!$B$9:$B$1008,$I779-8)="","",INDEX('Fleet dates'!$B$9:$B$1008,$I779-8)))</x:f>
      </x:c>
      <x:c r="C779" s="51" t="str">
        <x:f>IF(771&gt;$H$4,"",IF(INDEX('Fleet dates'!$C$9:$C$1008,$I779-8)="","",INDEX('Fleet dates'!$C$9:$C$1008,$I779-8)))</x:f>
      </x:c>
      <x:c r="D779" s="51" t="str">
        <x:f>IF(771&gt;$H$4,"",IF(INDEX('Fleet dates'!$D$9:$D$1008,$I779-8)="","",INDEX('Fleet dates'!$D$9:$D$1008,$I779-8)))</x:f>
      </x:c>
      <x:c r="E779" s="51" t="str">
        <x:f>IF(771&gt;$H$4,"",IF(INDEX('Fleet dates'!$E$9:$E$1008,$I779-8)="","",INDEX('Fleet dates'!$E$9:$E$1008,$I779-8)))</x:f>
      </x:c>
      <x:c r="F779" s="51" t="str">
        <x:f>IF(771&gt;$H$4,"",IF(INDEX('Fleet dates'!$F$9:$F$1008,$I779-8)="","",INDEX('Fleet dates'!$F$9:$F$1008,$I779-8)))</x:f>
      </x:c>
      <x:c r="G779" s="50" t="str">
        <x:f>IF(771&gt;$H$4,"",IF(INDEX('Fleet dates'!$G$9:$G$1008,$I779-8)="","",INDEX('Fleet dates'!$G$9:$G$1008,$I779-8)))</x:f>
      </x:c>
      <x:c r="H779" s="50" t="str">
        <x:f>IF(771&gt;$H$4,"",IF(INDEX('Fleet dates'!$I$9:$I$1008,$I779-8)="","",INDEX('Fleet dates'!$I$9:$I$1008,$I779-8)))</x:f>
      </x:c>
      <x:c r="I779" t="str">
        <x:f>IF(771&gt;$H$4,"",MATCH(771,'Fleet dates'!$L$9:$L$1008,0)+8)</x:f>
      </x:c>
    </x:row>
    <x:row r="780" ht="36" customHeight="1">
      <x:c r="A780" s="50" t="str">
        <x:f>IF(772&gt;$H$4,"",IF(INDEX('Fleet dates'!$A$9:$A$1008,$I780-8)="","",INDEX('Fleet dates'!$A$9:$A$1008,$I780-8)))</x:f>
      </x:c>
      <x:c r="B780" s="50" t="str">
        <x:f>IF(772&gt;$H$4,"",IF(INDEX('Fleet dates'!$B$9:$B$1008,$I780-8)="","",INDEX('Fleet dates'!$B$9:$B$1008,$I780-8)))</x:f>
      </x:c>
      <x:c r="C780" s="51" t="str">
        <x:f>IF(772&gt;$H$4,"",IF(INDEX('Fleet dates'!$C$9:$C$1008,$I780-8)="","",INDEX('Fleet dates'!$C$9:$C$1008,$I780-8)))</x:f>
      </x:c>
      <x:c r="D780" s="51" t="str">
        <x:f>IF(772&gt;$H$4,"",IF(INDEX('Fleet dates'!$D$9:$D$1008,$I780-8)="","",INDEX('Fleet dates'!$D$9:$D$1008,$I780-8)))</x:f>
      </x:c>
      <x:c r="E780" s="51" t="str">
        <x:f>IF(772&gt;$H$4,"",IF(INDEX('Fleet dates'!$E$9:$E$1008,$I780-8)="","",INDEX('Fleet dates'!$E$9:$E$1008,$I780-8)))</x:f>
      </x:c>
      <x:c r="F780" s="51" t="str">
        <x:f>IF(772&gt;$H$4,"",IF(INDEX('Fleet dates'!$F$9:$F$1008,$I780-8)="","",INDEX('Fleet dates'!$F$9:$F$1008,$I780-8)))</x:f>
      </x:c>
      <x:c r="G780" s="50" t="str">
        <x:f>IF(772&gt;$H$4,"",IF(INDEX('Fleet dates'!$G$9:$G$1008,$I780-8)="","",INDEX('Fleet dates'!$G$9:$G$1008,$I780-8)))</x:f>
      </x:c>
      <x:c r="H780" s="50" t="str">
        <x:f>IF(772&gt;$H$4,"",IF(INDEX('Fleet dates'!$I$9:$I$1008,$I780-8)="","",INDEX('Fleet dates'!$I$9:$I$1008,$I780-8)))</x:f>
      </x:c>
      <x:c r="I780" t="str">
        <x:f>IF(772&gt;$H$4,"",MATCH(772,'Fleet dates'!$L$9:$L$1008,0)+8)</x:f>
      </x:c>
    </x:row>
    <x:row r="781" ht="36" customHeight="1">
      <x:c r="A781" s="50" t="str">
        <x:f>IF(773&gt;$H$4,"",IF(INDEX('Fleet dates'!$A$9:$A$1008,$I781-8)="","",INDEX('Fleet dates'!$A$9:$A$1008,$I781-8)))</x:f>
      </x:c>
      <x:c r="B781" s="50" t="str">
        <x:f>IF(773&gt;$H$4,"",IF(INDEX('Fleet dates'!$B$9:$B$1008,$I781-8)="","",INDEX('Fleet dates'!$B$9:$B$1008,$I781-8)))</x:f>
      </x:c>
      <x:c r="C781" s="51" t="str">
        <x:f>IF(773&gt;$H$4,"",IF(INDEX('Fleet dates'!$C$9:$C$1008,$I781-8)="","",INDEX('Fleet dates'!$C$9:$C$1008,$I781-8)))</x:f>
      </x:c>
      <x:c r="D781" s="51" t="str">
        <x:f>IF(773&gt;$H$4,"",IF(INDEX('Fleet dates'!$D$9:$D$1008,$I781-8)="","",INDEX('Fleet dates'!$D$9:$D$1008,$I781-8)))</x:f>
      </x:c>
      <x:c r="E781" s="51" t="str">
        <x:f>IF(773&gt;$H$4,"",IF(INDEX('Fleet dates'!$E$9:$E$1008,$I781-8)="","",INDEX('Fleet dates'!$E$9:$E$1008,$I781-8)))</x:f>
      </x:c>
      <x:c r="F781" s="51" t="str">
        <x:f>IF(773&gt;$H$4,"",IF(INDEX('Fleet dates'!$F$9:$F$1008,$I781-8)="","",INDEX('Fleet dates'!$F$9:$F$1008,$I781-8)))</x:f>
      </x:c>
      <x:c r="G781" s="50" t="str">
        <x:f>IF(773&gt;$H$4,"",IF(INDEX('Fleet dates'!$G$9:$G$1008,$I781-8)="","",INDEX('Fleet dates'!$G$9:$G$1008,$I781-8)))</x:f>
      </x:c>
      <x:c r="H781" s="50" t="str">
        <x:f>IF(773&gt;$H$4,"",IF(INDEX('Fleet dates'!$I$9:$I$1008,$I781-8)="","",INDEX('Fleet dates'!$I$9:$I$1008,$I781-8)))</x:f>
      </x:c>
      <x:c r="I781" t="str">
        <x:f>IF(773&gt;$H$4,"",MATCH(773,'Fleet dates'!$L$9:$L$1008,0)+8)</x:f>
      </x:c>
    </x:row>
    <x:row r="782" ht="36" customHeight="1">
      <x:c r="A782" s="50" t="str">
        <x:f>IF(774&gt;$H$4,"",IF(INDEX('Fleet dates'!$A$9:$A$1008,$I782-8)="","",INDEX('Fleet dates'!$A$9:$A$1008,$I782-8)))</x:f>
      </x:c>
      <x:c r="B782" s="50" t="str">
        <x:f>IF(774&gt;$H$4,"",IF(INDEX('Fleet dates'!$B$9:$B$1008,$I782-8)="","",INDEX('Fleet dates'!$B$9:$B$1008,$I782-8)))</x:f>
      </x:c>
      <x:c r="C782" s="51" t="str">
        <x:f>IF(774&gt;$H$4,"",IF(INDEX('Fleet dates'!$C$9:$C$1008,$I782-8)="","",INDEX('Fleet dates'!$C$9:$C$1008,$I782-8)))</x:f>
      </x:c>
      <x:c r="D782" s="51" t="str">
        <x:f>IF(774&gt;$H$4,"",IF(INDEX('Fleet dates'!$D$9:$D$1008,$I782-8)="","",INDEX('Fleet dates'!$D$9:$D$1008,$I782-8)))</x:f>
      </x:c>
      <x:c r="E782" s="51" t="str">
        <x:f>IF(774&gt;$H$4,"",IF(INDEX('Fleet dates'!$E$9:$E$1008,$I782-8)="","",INDEX('Fleet dates'!$E$9:$E$1008,$I782-8)))</x:f>
      </x:c>
      <x:c r="F782" s="51" t="str">
        <x:f>IF(774&gt;$H$4,"",IF(INDEX('Fleet dates'!$F$9:$F$1008,$I782-8)="","",INDEX('Fleet dates'!$F$9:$F$1008,$I782-8)))</x:f>
      </x:c>
      <x:c r="G782" s="50" t="str">
        <x:f>IF(774&gt;$H$4,"",IF(INDEX('Fleet dates'!$G$9:$G$1008,$I782-8)="","",INDEX('Fleet dates'!$G$9:$G$1008,$I782-8)))</x:f>
      </x:c>
      <x:c r="H782" s="50" t="str">
        <x:f>IF(774&gt;$H$4,"",IF(INDEX('Fleet dates'!$I$9:$I$1008,$I782-8)="","",INDEX('Fleet dates'!$I$9:$I$1008,$I782-8)))</x:f>
      </x:c>
      <x:c r="I782" t="str">
        <x:f>IF(774&gt;$H$4,"",MATCH(774,'Fleet dates'!$L$9:$L$1008,0)+8)</x:f>
      </x:c>
    </x:row>
    <x:row r="783" ht="36" customHeight="1">
      <x:c r="A783" s="50" t="str">
        <x:f>IF(775&gt;$H$4,"",IF(INDEX('Fleet dates'!$A$9:$A$1008,$I783-8)="","",INDEX('Fleet dates'!$A$9:$A$1008,$I783-8)))</x:f>
      </x:c>
      <x:c r="B783" s="50" t="str">
        <x:f>IF(775&gt;$H$4,"",IF(INDEX('Fleet dates'!$B$9:$B$1008,$I783-8)="","",INDEX('Fleet dates'!$B$9:$B$1008,$I783-8)))</x:f>
      </x:c>
      <x:c r="C783" s="51" t="str">
        <x:f>IF(775&gt;$H$4,"",IF(INDEX('Fleet dates'!$C$9:$C$1008,$I783-8)="","",INDEX('Fleet dates'!$C$9:$C$1008,$I783-8)))</x:f>
      </x:c>
      <x:c r="D783" s="51" t="str">
        <x:f>IF(775&gt;$H$4,"",IF(INDEX('Fleet dates'!$D$9:$D$1008,$I783-8)="","",INDEX('Fleet dates'!$D$9:$D$1008,$I783-8)))</x:f>
      </x:c>
      <x:c r="E783" s="51" t="str">
        <x:f>IF(775&gt;$H$4,"",IF(INDEX('Fleet dates'!$E$9:$E$1008,$I783-8)="","",INDEX('Fleet dates'!$E$9:$E$1008,$I783-8)))</x:f>
      </x:c>
      <x:c r="F783" s="51" t="str">
        <x:f>IF(775&gt;$H$4,"",IF(INDEX('Fleet dates'!$F$9:$F$1008,$I783-8)="","",INDEX('Fleet dates'!$F$9:$F$1008,$I783-8)))</x:f>
      </x:c>
      <x:c r="G783" s="50" t="str">
        <x:f>IF(775&gt;$H$4,"",IF(INDEX('Fleet dates'!$G$9:$G$1008,$I783-8)="","",INDEX('Fleet dates'!$G$9:$G$1008,$I783-8)))</x:f>
      </x:c>
      <x:c r="H783" s="50" t="str">
        <x:f>IF(775&gt;$H$4,"",IF(INDEX('Fleet dates'!$I$9:$I$1008,$I783-8)="","",INDEX('Fleet dates'!$I$9:$I$1008,$I783-8)))</x:f>
      </x:c>
      <x:c r="I783" t="str">
        <x:f>IF(775&gt;$H$4,"",MATCH(775,'Fleet dates'!$L$9:$L$1008,0)+8)</x:f>
      </x:c>
    </x:row>
    <x:row r="784" ht="36" customHeight="1">
      <x:c r="A784" s="50" t="str">
        <x:f>IF(776&gt;$H$4,"",IF(INDEX('Fleet dates'!$A$9:$A$1008,$I784-8)="","",INDEX('Fleet dates'!$A$9:$A$1008,$I784-8)))</x:f>
      </x:c>
      <x:c r="B784" s="50" t="str">
        <x:f>IF(776&gt;$H$4,"",IF(INDEX('Fleet dates'!$B$9:$B$1008,$I784-8)="","",INDEX('Fleet dates'!$B$9:$B$1008,$I784-8)))</x:f>
      </x:c>
      <x:c r="C784" s="51" t="str">
        <x:f>IF(776&gt;$H$4,"",IF(INDEX('Fleet dates'!$C$9:$C$1008,$I784-8)="","",INDEX('Fleet dates'!$C$9:$C$1008,$I784-8)))</x:f>
      </x:c>
      <x:c r="D784" s="51" t="str">
        <x:f>IF(776&gt;$H$4,"",IF(INDEX('Fleet dates'!$D$9:$D$1008,$I784-8)="","",INDEX('Fleet dates'!$D$9:$D$1008,$I784-8)))</x:f>
      </x:c>
      <x:c r="E784" s="51" t="str">
        <x:f>IF(776&gt;$H$4,"",IF(INDEX('Fleet dates'!$E$9:$E$1008,$I784-8)="","",INDEX('Fleet dates'!$E$9:$E$1008,$I784-8)))</x:f>
      </x:c>
      <x:c r="F784" s="51" t="str">
        <x:f>IF(776&gt;$H$4,"",IF(INDEX('Fleet dates'!$F$9:$F$1008,$I784-8)="","",INDEX('Fleet dates'!$F$9:$F$1008,$I784-8)))</x:f>
      </x:c>
      <x:c r="G784" s="50" t="str">
        <x:f>IF(776&gt;$H$4,"",IF(INDEX('Fleet dates'!$G$9:$G$1008,$I784-8)="","",INDEX('Fleet dates'!$G$9:$G$1008,$I784-8)))</x:f>
      </x:c>
      <x:c r="H784" s="50" t="str">
        <x:f>IF(776&gt;$H$4,"",IF(INDEX('Fleet dates'!$I$9:$I$1008,$I784-8)="","",INDEX('Fleet dates'!$I$9:$I$1008,$I784-8)))</x:f>
      </x:c>
      <x:c r="I784" t="str">
        <x:f>IF(776&gt;$H$4,"",MATCH(776,'Fleet dates'!$L$9:$L$1008,0)+8)</x:f>
      </x:c>
    </x:row>
    <x:row r="785" ht="36" customHeight="1">
      <x:c r="A785" s="50" t="str">
        <x:f>IF(777&gt;$H$4,"",IF(INDEX('Fleet dates'!$A$9:$A$1008,$I785-8)="","",INDEX('Fleet dates'!$A$9:$A$1008,$I785-8)))</x:f>
      </x:c>
      <x:c r="B785" s="50" t="str">
        <x:f>IF(777&gt;$H$4,"",IF(INDEX('Fleet dates'!$B$9:$B$1008,$I785-8)="","",INDEX('Fleet dates'!$B$9:$B$1008,$I785-8)))</x:f>
      </x:c>
      <x:c r="C785" s="51" t="str">
        <x:f>IF(777&gt;$H$4,"",IF(INDEX('Fleet dates'!$C$9:$C$1008,$I785-8)="","",INDEX('Fleet dates'!$C$9:$C$1008,$I785-8)))</x:f>
      </x:c>
      <x:c r="D785" s="51" t="str">
        <x:f>IF(777&gt;$H$4,"",IF(INDEX('Fleet dates'!$D$9:$D$1008,$I785-8)="","",INDEX('Fleet dates'!$D$9:$D$1008,$I785-8)))</x:f>
      </x:c>
      <x:c r="E785" s="51" t="str">
        <x:f>IF(777&gt;$H$4,"",IF(INDEX('Fleet dates'!$E$9:$E$1008,$I785-8)="","",INDEX('Fleet dates'!$E$9:$E$1008,$I785-8)))</x:f>
      </x:c>
      <x:c r="F785" s="51" t="str">
        <x:f>IF(777&gt;$H$4,"",IF(INDEX('Fleet dates'!$F$9:$F$1008,$I785-8)="","",INDEX('Fleet dates'!$F$9:$F$1008,$I785-8)))</x:f>
      </x:c>
      <x:c r="G785" s="50" t="str">
        <x:f>IF(777&gt;$H$4,"",IF(INDEX('Fleet dates'!$G$9:$G$1008,$I785-8)="","",INDEX('Fleet dates'!$G$9:$G$1008,$I785-8)))</x:f>
      </x:c>
      <x:c r="H785" s="50" t="str">
        <x:f>IF(777&gt;$H$4,"",IF(INDEX('Fleet dates'!$I$9:$I$1008,$I785-8)="","",INDEX('Fleet dates'!$I$9:$I$1008,$I785-8)))</x:f>
      </x:c>
      <x:c r="I785" t="str">
        <x:f>IF(777&gt;$H$4,"",MATCH(777,'Fleet dates'!$L$9:$L$1008,0)+8)</x:f>
      </x:c>
    </x:row>
    <x:row r="786" ht="36" customHeight="1">
      <x:c r="A786" s="50" t="str">
        <x:f>IF(778&gt;$H$4,"",IF(INDEX('Fleet dates'!$A$9:$A$1008,$I786-8)="","",INDEX('Fleet dates'!$A$9:$A$1008,$I786-8)))</x:f>
      </x:c>
      <x:c r="B786" s="50" t="str">
        <x:f>IF(778&gt;$H$4,"",IF(INDEX('Fleet dates'!$B$9:$B$1008,$I786-8)="","",INDEX('Fleet dates'!$B$9:$B$1008,$I786-8)))</x:f>
      </x:c>
      <x:c r="C786" s="51" t="str">
        <x:f>IF(778&gt;$H$4,"",IF(INDEX('Fleet dates'!$C$9:$C$1008,$I786-8)="","",INDEX('Fleet dates'!$C$9:$C$1008,$I786-8)))</x:f>
      </x:c>
      <x:c r="D786" s="51" t="str">
        <x:f>IF(778&gt;$H$4,"",IF(INDEX('Fleet dates'!$D$9:$D$1008,$I786-8)="","",INDEX('Fleet dates'!$D$9:$D$1008,$I786-8)))</x:f>
      </x:c>
      <x:c r="E786" s="51" t="str">
        <x:f>IF(778&gt;$H$4,"",IF(INDEX('Fleet dates'!$E$9:$E$1008,$I786-8)="","",INDEX('Fleet dates'!$E$9:$E$1008,$I786-8)))</x:f>
      </x:c>
      <x:c r="F786" s="51" t="str">
        <x:f>IF(778&gt;$H$4,"",IF(INDEX('Fleet dates'!$F$9:$F$1008,$I786-8)="","",INDEX('Fleet dates'!$F$9:$F$1008,$I786-8)))</x:f>
      </x:c>
      <x:c r="G786" s="50" t="str">
        <x:f>IF(778&gt;$H$4,"",IF(INDEX('Fleet dates'!$G$9:$G$1008,$I786-8)="","",INDEX('Fleet dates'!$G$9:$G$1008,$I786-8)))</x:f>
      </x:c>
      <x:c r="H786" s="50" t="str">
        <x:f>IF(778&gt;$H$4,"",IF(INDEX('Fleet dates'!$I$9:$I$1008,$I786-8)="","",INDEX('Fleet dates'!$I$9:$I$1008,$I786-8)))</x:f>
      </x:c>
      <x:c r="I786" t="str">
        <x:f>IF(778&gt;$H$4,"",MATCH(778,'Fleet dates'!$L$9:$L$1008,0)+8)</x:f>
      </x:c>
    </x:row>
    <x:row r="787" ht="36" customHeight="1">
      <x:c r="A787" s="50" t="str">
        <x:f>IF(779&gt;$H$4,"",IF(INDEX('Fleet dates'!$A$9:$A$1008,$I787-8)="","",INDEX('Fleet dates'!$A$9:$A$1008,$I787-8)))</x:f>
      </x:c>
      <x:c r="B787" s="50" t="str">
        <x:f>IF(779&gt;$H$4,"",IF(INDEX('Fleet dates'!$B$9:$B$1008,$I787-8)="","",INDEX('Fleet dates'!$B$9:$B$1008,$I787-8)))</x:f>
      </x:c>
      <x:c r="C787" s="51" t="str">
        <x:f>IF(779&gt;$H$4,"",IF(INDEX('Fleet dates'!$C$9:$C$1008,$I787-8)="","",INDEX('Fleet dates'!$C$9:$C$1008,$I787-8)))</x:f>
      </x:c>
      <x:c r="D787" s="51" t="str">
        <x:f>IF(779&gt;$H$4,"",IF(INDEX('Fleet dates'!$D$9:$D$1008,$I787-8)="","",INDEX('Fleet dates'!$D$9:$D$1008,$I787-8)))</x:f>
      </x:c>
      <x:c r="E787" s="51" t="str">
        <x:f>IF(779&gt;$H$4,"",IF(INDEX('Fleet dates'!$E$9:$E$1008,$I787-8)="","",INDEX('Fleet dates'!$E$9:$E$1008,$I787-8)))</x:f>
      </x:c>
      <x:c r="F787" s="51" t="str">
        <x:f>IF(779&gt;$H$4,"",IF(INDEX('Fleet dates'!$F$9:$F$1008,$I787-8)="","",INDEX('Fleet dates'!$F$9:$F$1008,$I787-8)))</x:f>
      </x:c>
      <x:c r="G787" s="50" t="str">
        <x:f>IF(779&gt;$H$4,"",IF(INDEX('Fleet dates'!$G$9:$G$1008,$I787-8)="","",INDEX('Fleet dates'!$G$9:$G$1008,$I787-8)))</x:f>
      </x:c>
      <x:c r="H787" s="50" t="str">
        <x:f>IF(779&gt;$H$4,"",IF(INDEX('Fleet dates'!$I$9:$I$1008,$I787-8)="","",INDEX('Fleet dates'!$I$9:$I$1008,$I787-8)))</x:f>
      </x:c>
      <x:c r="I787" t="str">
        <x:f>IF(779&gt;$H$4,"",MATCH(779,'Fleet dates'!$L$9:$L$1008,0)+8)</x:f>
      </x:c>
    </x:row>
    <x:row r="788" ht="36" customHeight="1">
      <x:c r="A788" s="50" t="str">
        <x:f>IF(780&gt;$H$4,"",IF(INDEX('Fleet dates'!$A$9:$A$1008,$I788-8)="","",INDEX('Fleet dates'!$A$9:$A$1008,$I788-8)))</x:f>
      </x:c>
      <x:c r="B788" s="50" t="str">
        <x:f>IF(780&gt;$H$4,"",IF(INDEX('Fleet dates'!$B$9:$B$1008,$I788-8)="","",INDEX('Fleet dates'!$B$9:$B$1008,$I788-8)))</x:f>
      </x:c>
      <x:c r="C788" s="51" t="str">
        <x:f>IF(780&gt;$H$4,"",IF(INDEX('Fleet dates'!$C$9:$C$1008,$I788-8)="","",INDEX('Fleet dates'!$C$9:$C$1008,$I788-8)))</x:f>
      </x:c>
      <x:c r="D788" s="51" t="str">
        <x:f>IF(780&gt;$H$4,"",IF(INDEX('Fleet dates'!$D$9:$D$1008,$I788-8)="","",INDEX('Fleet dates'!$D$9:$D$1008,$I788-8)))</x:f>
      </x:c>
      <x:c r="E788" s="51" t="str">
        <x:f>IF(780&gt;$H$4,"",IF(INDEX('Fleet dates'!$E$9:$E$1008,$I788-8)="","",INDEX('Fleet dates'!$E$9:$E$1008,$I788-8)))</x:f>
      </x:c>
      <x:c r="F788" s="51" t="str">
        <x:f>IF(780&gt;$H$4,"",IF(INDEX('Fleet dates'!$F$9:$F$1008,$I788-8)="","",INDEX('Fleet dates'!$F$9:$F$1008,$I788-8)))</x:f>
      </x:c>
      <x:c r="G788" s="50" t="str">
        <x:f>IF(780&gt;$H$4,"",IF(INDEX('Fleet dates'!$G$9:$G$1008,$I788-8)="","",INDEX('Fleet dates'!$G$9:$G$1008,$I788-8)))</x:f>
      </x:c>
      <x:c r="H788" s="50" t="str">
        <x:f>IF(780&gt;$H$4,"",IF(INDEX('Fleet dates'!$I$9:$I$1008,$I788-8)="","",INDEX('Fleet dates'!$I$9:$I$1008,$I788-8)))</x:f>
      </x:c>
      <x:c r="I788" t="str">
        <x:f>IF(780&gt;$H$4,"",MATCH(780,'Fleet dates'!$L$9:$L$1008,0)+8)</x:f>
      </x:c>
    </x:row>
    <x:row r="789" ht="36" customHeight="1">
      <x:c r="A789" s="50" t="str">
        <x:f>IF(781&gt;$H$4,"",IF(INDEX('Fleet dates'!$A$9:$A$1008,$I789-8)="","",INDEX('Fleet dates'!$A$9:$A$1008,$I789-8)))</x:f>
      </x:c>
      <x:c r="B789" s="50" t="str">
        <x:f>IF(781&gt;$H$4,"",IF(INDEX('Fleet dates'!$B$9:$B$1008,$I789-8)="","",INDEX('Fleet dates'!$B$9:$B$1008,$I789-8)))</x:f>
      </x:c>
      <x:c r="C789" s="51" t="str">
        <x:f>IF(781&gt;$H$4,"",IF(INDEX('Fleet dates'!$C$9:$C$1008,$I789-8)="","",INDEX('Fleet dates'!$C$9:$C$1008,$I789-8)))</x:f>
      </x:c>
      <x:c r="D789" s="51" t="str">
        <x:f>IF(781&gt;$H$4,"",IF(INDEX('Fleet dates'!$D$9:$D$1008,$I789-8)="","",INDEX('Fleet dates'!$D$9:$D$1008,$I789-8)))</x:f>
      </x:c>
      <x:c r="E789" s="51" t="str">
        <x:f>IF(781&gt;$H$4,"",IF(INDEX('Fleet dates'!$E$9:$E$1008,$I789-8)="","",INDEX('Fleet dates'!$E$9:$E$1008,$I789-8)))</x:f>
      </x:c>
      <x:c r="F789" s="51" t="str">
        <x:f>IF(781&gt;$H$4,"",IF(INDEX('Fleet dates'!$F$9:$F$1008,$I789-8)="","",INDEX('Fleet dates'!$F$9:$F$1008,$I789-8)))</x:f>
      </x:c>
      <x:c r="G789" s="50" t="str">
        <x:f>IF(781&gt;$H$4,"",IF(INDEX('Fleet dates'!$G$9:$G$1008,$I789-8)="","",INDEX('Fleet dates'!$G$9:$G$1008,$I789-8)))</x:f>
      </x:c>
      <x:c r="H789" s="50" t="str">
        <x:f>IF(781&gt;$H$4,"",IF(INDEX('Fleet dates'!$I$9:$I$1008,$I789-8)="","",INDEX('Fleet dates'!$I$9:$I$1008,$I789-8)))</x:f>
      </x:c>
      <x:c r="I789" t="str">
        <x:f>IF(781&gt;$H$4,"",MATCH(781,'Fleet dates'!$L$9:$L$1008,0)+8)</x:f>
      </x:c>
    </x:row>
    <x:row r="790" ht="36" customHeight="1">
      <x:c r="A790" s="50" t="str">
        <x:f>IF(782&gt;$H$4,"",IF(INDEX('Fleet dates'!$A$9:$A$1008,$I790-8)="","",INDEX('Fleet dates'!$A$9:$A$1008,$I790-8)))</x:f>
      </x:c>
      <x:c r="B790" s="50" t="str">
        <x:f>IF(782&gt;$H$4,"",IF(INDEX('Fleet dates'!$B$9:$B$1008,$I790-8)="","",INDEX('Fleet dates'!$B$9:$B$1008,$I790-8)))</x:f>
      </x:c>
      <x:c r="C790" s="51" t="str">
        <x:f>IF(782&gt;$H$4,"",IF(INDEX('Fleet dates'!$C$9:$C$1008,$I790-8)="","",INDEX('Fleet dates'!$C$9:$C$1008,$I790-8)))</x:f>
      </x:c>
      <x:c r="D790" s="51" t="str">
        <x:f>IF(782&gt;$H$4,"",IF(INDEX('Fleet dates'!$D$9:$D$1008,$I790-8)="","",INDEX('Fleet dates'!$D$9:$D$1008,$I790-8)))</x:f>
      </x:c>
      <x:c r="E790" s="51" t="str">
        <x:f>IF(782&gt;$H$4,"",IF(INDEX('Fleet dates'!$E$9:$E$1008,$I790-8)="","",INDEX('Fleet dates'!$E$9:$E$1008,$I790-8)))</x:f>
      </x:c>
      <x:c r="F790" s="51" t="str">
        <x:f>IF(782&gt;$H$4,"",IF(INDEX('Fleet dates'!$F$9:$F$1008,$I790-8)="","",INDEX('Fleet dates'!$F$9:$F$1008,$I790-8)))</x:f>
      </x:c>
      <x:c r="G790" s="50" t="str">
        <x:f>IF(782&gt;$H$4,"",IF(INDEX('Fleet dates'!$G$9:$G$1008,$I790-8)="","",INDEX('Fleet dates'!$G$9:$G$1008,$I790-8)))</x:f>
      </x:c>
      <x:c r="H790" s="50" t="str">
        <x:f>IF(782&gt;$H$4,"",IF(INDEX('Fleet dates'!$I$9:$I$1008,$I790-8)="","",INDEX('Fleet dates'!$I$9:$I$1008,$I790-8)))</x:f>
      </x:c>
      <x:c r="I790" t="str">
        <x:f>IF(782&gt;$H$4,"",MATCH(782,'Fleet dates'!$L$9:$L$1008,0)+8)</x:f>
      </x:c>
    </x:row>
    <x:row r="791" ht="36" customHeight="1">
      <x:c r="A791" s="50" t="str">
        <x:f>IF(783&gt;$H$4,"",IF(INDEX('Fleet dates'!$A$9:$A$1008,$I791-8)="","",INDEX('Fleet dates'!$A$9:$A$1008,$I791-8)))</x:f>
      </x:c>
      <x:c r="B791" s="50" t="str">
        <x:f>IF(783&gt;$H$4,"",IF(INDEX('Fleet dates'!$B$9:$B$1008,$I791-8)="","",INDEX('Fleet dates'!$B$9:$B$1008,$I791-8)))</x:f>
      </x:c>
      <x:c r="C791" s="51" t="str">
        <x:f>IF(783&gt;$H$4,"",IF(INDEX('Fleet dates'!$C$9:$C$1008,$I791-8)="","",INDEX('Fleet dates'!$C$9:$C$1008,$I791-8)))</x:f>
      </x:c>
      <x:c r="D791" s="51" t="str">
        <x:f>IF(783&gt;$H$4,"",IF(INDEX('Fleet dates'!$D$9:$D$1008,$I791-8)="","",INDEX('Fleet dates'!$D$9:$D$1008,$I791-8)))</x:f>
      </x:c>
      <x:c r="E791" s="51" t="str">
        <x:f>IF(783&gt;$H$4,"",IF(INDEX('Fleet dates'!$E$9:$E$1008,$I791-8)="","",INDEX('Fleet dates'!$E$9:$E$1008,$I791-8)))</x:f>
      </x:c>
      <x:c r="F791" s="51" t="str">
        <x:f>IF(783&gt;$H$4,"",IF(INDEX('Fleet dates'!$F$9:$F$1008,$I791-8)="","",INDEX('Fleet dates'!$F$9:$F$1008,$I791-8)))</x:f>
      </x:c>
      <x:c r="G791" s="50" t="str">
        <x:f>IF(783&gt;$H$4,"",IF(INDEX('Fleet dates'!$G$9:$G$1008,$I791-8)="","",INDEX('Fleet dates'!$G$9:$G$1008,$I791-8)))</x:f>
      </x:c>
      <x:c r="H791" s="50" t="str">
        <x:f>IF(783&gt;$H$4,"",IF(INDEX('Fleet dates'!$I$9:$I$1008,$I791-8)="","",INDEX('Fleet dates'!$I$9:$I$1008,$I791-8)))</x:f>
      </x:c>
      <x:c r="I791" t="str">
        <x:f>IF(783&gt;$H$4,"",MATCH(783,'Fleet dates'!$L$9:$L$1008,0)+8)</x:f>
      </x:c>
    </x:row>
    <x:row r="792" ht="36" customHeight="1">
      <x:c r="A792" s="50" t="str">
        <x:f>IF(784&gt;$H$4,"",IF(INDEX('Fleet dates'!$A$9:$A$1008,$I792-8)="","",INDEX('Fleet dates'!$A$9:$A$1008,$I792-8)))</x:f>
      </x:c>
      <x:c r="B792" s="50" t="str">
        <x:f>IF(784&gt;$H$4,"",IF(INDEX('Fleet dates'!$B$9:$B$1008,$I792-8)="","",INDEX('Fleet dates'!$B$9:$B$1008,$I792-8)))</x:f>
      </x:c>
      <x:c r="C792" s="51" t="str">
        <x:f>IF(784&gt;$H$4,"",IF(INDEX('Fleet dates'!$C$9:$C$1008,$I792-8)="","",INDEX('Fleet dates'!$C$9:$C$1008,$I792-8)))</x:f>
      </x:c>
      <x:c r="D792" s="51" t="str">
        <x:f>IF(784&gt;$H$4,"",IF(INDEX('Fleet dates'!$D$9:$D$1008,$I792-8)="","",INDEX('Fleet dates'!$D$9:$D$1008,$I792-8)))</x:f>
      </x:c>
      <x:c r="E792" s="51" t="str">
        <x:f>IF(784&gt;$H$4,"",IF(INDEX('Fleet dates'!$E$9:$E$1008,$I792-8)="","",INDEX('Fleet dates'!$E$9:$E$1008,$I792-8)))</x:f>
      </x:c>
      <x:c r="F792" s="51" t="str">
        <x:f>IF(784&gt;$H$4,"",IF(INDEX('Fleet dates'!$F$9:$F$1008,$I792-8)="","",INDEX('Fleet dates'!$F$9:$F$1008,$I792-8)))</x:f>
      </x:c>
      <x:c r="G792" s="50" t="str">
        <x:f>IF(784&gt;$H$4,"",IF(INDEX('Fleet dates'!$G$9:$G$1008,$I792-8)="","",INDEX('Fleet dates'!$G$9:$G$1008,$I792-8)))</x:f>
      </x:c>
      <x:c r="H792" s="50" t="str">
        <x:f>IF(784&gt;$H$4,"",IF(INDEX('Fleet dates'!$I$9:$I$1008,$I792-8)="","",INDEX('Fleet dates'!$I$9:$I$1008,$I792-8)))</x:f>
      </x:c>
      <x:c r="I792" t="str">
        <x:f>IF(784&gt;$H$4,"",MATCH(784,'Fleet dates'!$L$9:$L$1008,0)+8)</x:f>
      </x:c>
    </x:row>
    <x:row r="793" ht="36" customHeight="1">
      <x:c r="A793" s="50" t="str">
        <x:f>IF(785&gt;$H$4,"",IF(INDEX('Fleet dates'!$A$9:$A$1008,$I793-8)="","",INDEX('Fleet dates'!$A$9:$A$1008,$I793-8)))</x:f>
      </x:c>
      <x:c r="B793" s="50" t="str">
        <x:f>IF(785&gt;$H$4,"",IF(INDEX('Fleet dates'!$B$9:$B$1008,$I793-8)="","",INDEX('Fleet dates'!$B$9:$B$1008,$I793-8)))</x:f>
      </x:c>
      <x:c r="C793" s="51" t="str">
        <x:f>IF(785&gt;$H$4,"",IF(INDEX('Fleet dates'!$C$9:$C$1008,$I793-8)="","",INDEX('Fleet dates'!$C$9:$C$1008,$I793-8)))</x:f>
      </x:c>
      <x:c r="D793" s="51" t="str">
        <x:f>IF(785&gt;$H$4,"",IF(INDEX('Fleet dates'!$D$9:$D$1008,$I793-8)="","",INDEX('Fleet dates'!$D$9:$D$1008,$I793-8)))</x:f>
      </x:c>
      <x:c r="E793" s="51" t="str">
        <x:f>IF(785&gt;$H$4,"",IF(INDEX('Fleet dates'!$E$9:$E$1008,$I793-8)="","",INDEX('Fleet dates'!$E$9:$E$1008,$I793-8)))</x:f>
      </x:c>
      <x:c r="F793" s="51" t="str">
        <x:f>IF(785&gt;$H$4,"",IF(INDEX('Fleet dates'!$F$9:$F$1008,$I793-8)="","",INDEX('Fleet dates'!$F$9:$F$1008,$I793-8)))</x:f>
      </x:c>
      <x:c r="G793" s="50" t="str">
        <x:f>IF(785&gt;$H$4,"",IF(INDEX('Fleet dates'!$G$9:$G$1008,$I793-8)="","",INDEX('Fleet dates'!$G$9:$G$1008,$I793-8)))</x:f>
      </x:c>
      <x:c r="H793" s="50" t="str">
        <x:f>IF(785&gt;$H$4,"",IF(INDEX('Fleet dates'!$I$9:$I$1008,$I793-8)="","",INDEX('Fleet dates'!$I$9:$I$1008,$I793-8)))</x:f>
      </x:c>
      <x:c r="I793" t="str">
        <x:f>IF(785&gt;$H$4,"",MATCH(785,'Fleet dates'!$L$9:$L$1008,0)+8)</x:f>
      </x:c>
    </x:row>
    <x:row r="794" ht="36" customHeight="1">
      <x:c r="A794" s="50" t="str">
        <x:f>IF(786&gt;$H$4,"",IF(INDEX('Fleet dates'!$A$9:$A$1008,$I794-8)="","",INDEX('Fleet dates'!$A$9:$A$1008,$I794-8)))</x:f>
      </x:c>
      <x:c r="B794" s="50" t="str">
        <x:f>IF(786&gt;$H$4,"",IF(INDEX('Fleet dates'!$B$9:$B$1008,$I794-8)="","",INDEX('Fleet dates'!$B$9:$B$1008,$I794-8)))</x:f>
      </x:c>
      <x:c r="C794" s="51" t="str">
        <x:f>IF(786&gt;$H$4,"",IF(INDEX('Fleet dates'!$C$9:$C$1008,$I794-8)="","",INDEX('Fleet dates'!$C$9:$C$1008,$I794-8)))</x:f>
      </x:c>
      <x:c r="D794" s="51" t="str">
        <x:f>IF(786&gt;$H$4,"",IF(INDEX('Fleet dates'!$D$9:$D$1008,$I794-8)="","",INDEX('Fleet dates'!$D$9:$D$1008,$I794-8)))</x:f>
      </x:c>
      <x:c r="E794" s="51" t="str">
        <x:f>IF(786&gt;$H$4,"",IF(INDEX('Fleet dates'!$E$9:$E$1008,$I794-8)="","",INDEX('Fleet dates'!$E$9:$E$1008,$I794-8)))</x:f>
      </x:c>
      <x:c r="F794" s="51" t="str">
        <x:f>IF(786&gt;$H$4,"",IF(INDEX('Fleet dates'!$F$9:$F$1008,$I794-8)="","",INDEX('Fleet dates'!$F$9:$F$1008,$I794-8)))</x:f>
      </x:c>
      <x:c r="G794" s="50" t="str">
        <x:f>IF(786&gt;$H$4,"",IF(INDEX('Fleet dates'!$G$9:$G$1008,$I794-8)="","",INDEX('Fleet dates'!$G$9:$G$1008,$I794-8)))</x:f>
      </x:c>
      <x:c r="H794" s="50" t="str">
        <x:f>IF(786&gt;$H$4,"",IF(INDEX('Fleet dates'!$I$9:$I$1008,$I794-8)="","",INDEX('Fleet dates'!$I$9:$I$1008,$I794-8)))</x:f>
      </x:c>
      <x:c r="I794" t="str">
        <x:f>IF(786&gt;$H$4,"",MATCH(786,'Fleet dates'!$L$9:$L$1008,0)+8)</x:f>
      </x:c>
    </x:row>
    <x:row r="795" ht="36" customHeight="1">
      <x:c r="A795" s="50" t="str">
        <x:f>IF(787&gt;$H$4,"",IF(INDEX('Fleet dates'!$A$9:$A$1008,$I795-8)="","",INDEX('Fleet dates'!$A$9:$A$1008,$I795-8)))</x:f>
      </x:c>
      <x:c r="B795" s="50" t="str">
        <x:f>IF(787&gt;$H$4,"",IF(INDEX('Fleet dates'!$B$9:$B$1008,$I795-8)="","",INDEX('Fleet dates'!$B$9:$B$1008,$I795-8)))</x:f>
      </x:c>
      <x:c r="C795" s="51" t="str">
        <x:f>IF(787&gt;$H$4,"",IF(INDEX('Fleet dates'!$C$9:$C$1008,$I795-8)="","",INDEX('Fleet dates'!$C$9:$C$1008,$I795-8)))</x:f>
      </x:c>
      <x:c r="D795" s="51" t="str">
        <x:f>IF(787&gt;$H$4,"",IF(INDEX('Fleet dates'!$D$9:$D$1008,$I795-8)="","",INDEX('Fleet dates'!$D$9:$D$1008,$I795-8)))</x:f>
      </x:c>
      <x:c r="E795" s="51" t="str">
        <x:f>IF(787&gt;$H$4,"",IF(INDEX('Fleet dates'!$E$9:$E$1008,$I795-8)="","",INDEX('Fleet dates'!$E$9:$E$1008,$I795-8)))</x:f>
      </x:c>
      <x:c r="F795" s="51" t="str">
        <x:f>IF(787&gt;$H$4,"",IF(INDEX('Fleet dates'!$F$9:$F$1008,$I795-8)="","",INDEX('Fleet dates'!$F$9:$F$1008,$I795-8)))</x:f>
      </x:c>
      <x:c r="G795" s="50" t="str">
        <x:f>IF(787&gt;$H$4,"",IF(INDEX('Fleet dates'!$G$9:$G$1008,$I795-8)="","",INDEX('Fleet dates'!$G$9:$G$1008,$I795-8)))</x:f>
      </x:c>
      <x:c r="H795" s="50" t="str">
        <x:f>IF(787&gt;$H$4,"",IF(INDEX('Fleet dates'!$I$9:$I$1008,$I795-8)="","",INDEX('Fleet dates'!$I$9:$I$1008,$I795-8)))</x:f>
      </x:c>
      <x:c r="I795" t="str">
        <x:f>IF(787&gt;$H$4,"",MATCH(787,'Fleet dates'!$L$9:$L$1008,0)+8)</x:f>
      </x:c>
    </x:row>
    <x:row r="796" ht="36" customHeight="1">
      <x:c r="A796" s="50" t="str">
        <x:f>IF(788&gt;$H$4,"",IF(INDEX('Fleet dates'!$A$9:$A$1008,$I796-8)="","",INDEX('Fleet dates'!$A$9:$A$1008,$I796-8)))</x:f>
      </x:c>
      <x:c r="B796" s="50" t="str">
        <x:f>IF(788&gt;$H$4,"",IF(INDEX('Fleet dates'!$B$9:$B$1008,$I796-8)="","",INDEX('Fleet dates'!$B$9:$B$1008,$I796-8)))</x:f>
      </x:c>
      <x:c r="C796" s="51" t="str">
        <x:f>IF(788&gt;$H$4,"",IF(INDEX('Fleet dates'!$C$9:$C$1008,$I796-8)="","",INDEX('Fleet dates'!$C$9:$C$1008,$I796-8)))</x:f>
      </x:c>
      <x:c r="D796" s="51" t="str">
        <x:f>IF(788&gt;$H$4,"",IF(INDEX('Fleet dates'!$D$9:$D$1008,$I796-8)="","",INDEX('Fleet dates'!$D$9:$D$1008,$I796-8)))</x:f>
      </x:c>
      <x:c r="E796" s="51" t="str">
        <x:f>IF(788&gt;$H$4,"",IF(INDEX('Fleet dates'!$E$9:$E$1008,$I796-8)="","",INDEX('Fleet dates'!$E$9:$E$1008,$I796-8)))</x:f>
      </x:c>
      <x:c r="F796" s="51" t="str">
        <x:f>IF(788&gt;$H$4,"",IF(INDEX('Fleet dates'!$F$9:$F$1008,$I796-8)="","",INDEX('Fleet dates'!$F$9:$F$1008,$I796-8)))</x:f>
      </x:c>
      <x:c r="G796" s="50" t="str">
        <x:f>IF(788&gt;$H$4,"",IF(INDEX('Fleet dates'!$G$9:$G$1008,$I796-8)="","",INDEX('Fleet dates'!$G$9:$G$1008,$I796-8)))</x:f>
      </x:c>
      <x:c r="H796" s="50" t="str">
        <x:f>IF(788&gt;$H$4,"",IF(INDEX('Fleet dates'!$I$9:$I$1008,$I796-8)="","",INDEX('Fleet dates'!$I$9:$I$1008,$I796-8)))</x:f>
      </x:c>
      <x:c r="I796" t="str">
        <x:f>IF(788&gt;$H$4,"",MATCH(788,'Fleet dates'!$L$9:$L$1008,0)+8)</x:f>
      </x:c>
    </x:row>
    <x:row r="797" ht="36" customHeight="1">
      <x:c r="A797" s="50" t="str">
        <x:f>IF(789&gt;$H$4,"",IF(INDEX('Fleet dates'!$A$9:$A$1008,$I797-8)="","",INDEX('Fleet dates'!$A$9:$A$1008,$I797-8)))</x:f>
      </x:c>
      <x:c r="B797" s="50" t="str">
        <x:f>IF(789&gt;$H$4,"",IF(INDEX('Fleet dates'!$B$9:$B$1008,$I797-8)="","",INDEX('Fleet dates'!$B$9:$B$1008,$I797-8)))</x:f>
      </x:c>
      <x:c r="C797" s="51" t="str">
        <x:f>IF(789&gt;$H$4,"",IF(INDEX('Fleet dates'!$C$9:$C$1008,$I797-8)="","",INDEX('Fleet dates'!$C$9:$C$1008,$I797-8)))</x:f>
      </x:c>
      <x:c r="D797" s="51" t="str">
        <x:f>IF(789&gt;$H$4,"",IF(INDEX('Fleet dates'!$D$9:$D$1008,$I797-8)="","",INDEX('Fleet dates'!$D$9:$D$1008,$I797-8)))</x:f>
      </x:c>
      <x:c r="E797" s="51" t="str">
        <x:f>IF(789&gt;$H$4,"",IF(INDEX('Fleet dates'!$E$9:$E$1008,$I797-8)="","",INDEX('Fleet dates'!$E$9:$E$1008,$I797-8)))</x:f>
      </x:c>
      <x:c r="F797" s="51" t="str">
        <x:f>IF(789&gt;$H$4,"",IF(INDEX('Fleet dates'!$F$9:$F$1008,$I797-8)="","",INDEX('Fleet dates'!$F$9:$F$1008,$I797-8)))</x:f>
      </x:c>
      <x:c r="G797" s="50" t="str">
        <x:f>IF(789&gt;$H$4,"",IF(INDEX('Fleet dates'!$G$9:$G$1008,$I797-8)="","",INDEX('Fleet dates'!$G$9:$G$1008,$I797-8)))</x:f>
      </x:c>
      <x:c r="H797" s="50" t="str">
        <x:f>IF(789&gt;$H$4,"",IF(INDEX('Fleet dates'!$I$9:$I$1008,$I797-8)="","",INDEX('Fleet dates'!$I$9:$I$1008,$I797-8)))</x:f>
      </x:c>
      <x:c r="I797" t="str">
        <x:f>IF(789&gt;$H$4,"",MATCH(789,'Fleet dates'!$L$9:$L$1008,0)+8)</x:f>
      </x:c>
    </x:row>
    <x:row r="798" ht="36" customHeight="1">
      <x:c r="A798" s="50" t="str">
        <x:f>IF(790&gt;$H$4,"",IF(INDEX('Fleet dates'!$A$9:$A$1008,$I798-8)="","",INDEX('Fleet dates'!$A$9:$A$1008,$I798-8)))</x:f>
      </x:c>
      <x:c r="B798" s="50" t="str">
        <x:f>IF(790&gt;$H$4,"",IF(INDEX('Fleet dates'!$B$9:$B$1008,$I798-8)="","",INDEX('Fleet dates'!$B$9:$B$1008,$I798-8)))</x:f>
      </x:c>
      <x:c r="C798" s="51" t="str">
        <x:f>IF(790&gt;$H$4,"",IF(INDEX('Fleet dates'!$C$9:$C$1008,$I798-8)="","",INDEX('Fleet dates'!$C$9:$C$1008,$I798-8)))</x:f>
      </x:c>
      <x:c r="D798" s="51" t="str">
        <x:f>IF(790&gt;$H$4,"",IF(INDEX('Fleet dates'!$D$9:$D$1008,$I798-8)="","",INDEX('Fleet dates'!$D$9:$D$1008,$I798-8)))</x:f>
      </x:c>
      <x:c r="E798" s="51" t="str">
        <x:f>IF(790&gt;$H$4,"",IF(INDEX('Fleet dates'!$E$9:$E$1008,$I798-8)="","",INDEX('Fleet dates'!$E$9:$E$1008,$I798-8)))</x:f>
      </x:c>
      <x:c r="F798" s="51" t="str">
        <x:f>IF(790&gt;$H$4,"",IF(INDEX('Fleet dates'!$F$9:$F$1008,$I798-8)="","",INDEX('Fleet dates'!$F$9:$F$1008,$I798-8)))</x:f>
      </x:c>
      <x:c r="G798" s="50" t="str">
        <x:f>IF(790&gt;$H$4,"",IF(INDEX('Fleet dates'!$G$9:$G$1008,$I798-8)="","",INDEX('Fleet dates'!$G$9:$G$1008,$I798-8)))</x:f>
      </x:c>
      <x:c r="H798" s="50" t="str">
        <x:f>IF(790&gt;$H$4,"",IF(INDEX('Fleet dates'!$I$9:$I$1008,$I798-8)="","",INDEX('Fleet dates'!$I$9:$I$1008,$I798-8)))</x:f>
      </x:c>
      <x:c r="I798" t="str">
        <x:f>IF(790&gt;$H$4,"",MATCH(790,'Fleet dates'!$L$9:$L$1008,0)+8)</x:f>
      </x:c>
    </x:row>
    <x:row r="799" ht="36" customHeight="1">
      <x:c r="A799" s="50" t="str">
        <x:f>IF(791&gt;$H$4,"",IF(INDEX('Fleet dates'!$A$9:$A$1008,$I799-8)="","",INDEX('Fleet dates'!$A$9:$A$1008,$I799-8)))</x:f>
      </x:c>
      <x:c r="B799" s="50" t="str">
        <x:f>IF(791&gt;$H$4,"",IF(INDEX('Fleet dates'!$B$9:$B$1008,$I799-8)="","",INDEX('Fleet dates'!$B$9:$B$1008,$I799-8)))</x:f>
      </x:c>
      <x:c r="C799" s="51" t="str">
        <x:f>IF(791&gt;$H$4,"",IF(INDEX('Fleet dates'!$C$9:$C$1008,$I799-8)="","",INDEX('Fleet dates'!$C$9:$C$1008,$I799-8)))</x:f>
      </x:c>
      <x:c r="D799" s="51" t="str">
        <x:f>IF(791&gt;$H$4,"",IF(INDEX('Fleet dates'!$D$9:$D$1008,$I799-8)="","",INDEX('Fleet dates'!$D$9:$D$1008,$I799-8)))</x:f>
      </x:c>
      <x:c r="E799" s="51" t="str">
        <x:f>IF(791&gt;$H$4,"",IF(INDEX('Fleet dates'!$E$9:$E$1008,$I799-8)="","",INDEX('Fleet dates'!$E$9:$E$1008,$I799-8)))</x:f>
      </x:c>
      <x:c r="F799" s="51" t="str">
        <x:f>IF(791&gt;$H$4,"",IF(INDEX('Fleet dates'!$F$9:$F$1008,$I799-8)="","",INDEX('Fleet dates'!$F$9:$F$1008,$I799-8)))</x:f>
      </x:c>
      <x:c r="G799" s="50" t="str">
        <x:f>IF(791&gt;$H$4,"",IF(INDEX('Fleet dates'!$G$9:$G$1008,$I799-8)="","",INDEX('Fleet dates'!$G$9:$G$1008,$I799-8)))</x:f>
      </x:c>
      <x:c r="H799" s="50" t="str">
        <x:f>IF(791&gt;$H$4,"",IF(INDEX('Fleet dates'!$I$9:$I$1008,$I799-8)="","",INDEX('Fleet dates'!$I$9:$I$1008,$I799-8)))</x:f>
      </x:c>
      <x:c r="I799" t="str">
        <x:f>IF(791&gt;$H$4,"",MATCH(791,'Fleet dates'!$L$9:$L$1008,0)+8)</x:f>
      </x:c>
    </x:row>
    <x:row r="800" ht="36" customHeight="1">
      <x:c r="A800" s="50" t="str">
        <x:f>IF(792&gt;$H$4,"",IF(INDEX('Fleet dates'!$A$9:$A$1008,$I800-8)="","",INDEX('Fleet dates'!$A$9:$A$1008,$I800-8)))</x:f>
      </x:c>
      <x:c r="B800" s="50" t="str">
        <x:f>IF(792&gt;$H$4,"",IF(INDEX('Fleet dates'!$B$9:$B$1008,$I800-8)="","",INDEX('Fleet dates'!$B$9:$B$1008,$I800-8)))</x:f>
      </x:c>
      <x:c r="C800" s="51" t="str">
        <x:f>IF(792&gt;$H$4,"",IF(INDEX('Fleet dates'!$C$9:$C$1008,$I800-8)="","",INDEX('Fleet dates'!$C$9:$C$1008,$I800-8)))</x:f>
      </x:c>
      <x:c r="D800" s="51" t="str">
        <x:f>IF(792&gt;$H$4,"",IF(INDEX('Fleet dates'!$D$9:$D$1008,$I800-8)="","",INDEX('Fleet dates'!$D$9:$D$1008,$I800-8)))</x:f>
      </x:c>
      <x:c r="E800" s="51" t="str">
        <x:f>IF(792&gt;$H$4,"",IF(INDEX('Fleet dates'!$E$9:$E$1008,$I800-8)="","",INDEX('Fleet dates'!$E$9:$E$1008,$I800-8)))</x:f>
      </x:c>
      <x:c r="F800" s="51" t="str">
        <x:f>IF(792&gt;$H$4,"",IF(INDEX('Fleet dates'!$F$9:$F$1008,$I800-8)="","",INDEX('Fleet dates'!$F$9:$F$1008,$I800-8)))</x:f>
      </x:c>
      <x:c r="G800" s="50" t="str">
        <x:f>IF(792&gt;$H$4,"",IF(INDEX('Fleet dates'!$G$9:$G$1008,$I800-8)="","",INDEX('Fleet dates'!$G$9:$G$1008,$I800-8)))</x:f>
      </x:c>
      <x:c r="H800" s="50" t="str">
        <x:f>IF(792&gt;$H$4,"",IF(INDEX('Fleet dates'!$I$9:$I$1008,$I800-8)="","",INDEX('Fleet dates'!$I$9:$I$1008,$I800-8)))</x:f>
      </x:c>
      <x:c r="I800" t="str">
        <x:f>IF(792&gt;$H$4,"",MATCH(792,'Fleet dates'!$L$9:$L$1008,0)+8)</x:f>
      </x:c>
    </x:row>
    <x:row r="801" ht="36" customHeight="1">
      <x:c r="A801" s="50" t="str">
        <x:f>IF(793&gt;$H$4,"",IF(INDEX('Fleet dates'!$A$9:$A$1008,$I801-8)="","",INDEX('Fleet dates'!$A$9:$A$1008,$I801-8)))</x:f>
      </x:c>
      <x:c r="B801" s="50" t="str">
        <x:f>IF(793&gt;$H$4,"",IF(INDEX('Fleet dates'!$B$9:$B$1008,$I801-8)="","",INDEX('Fleet dates'!$B$9:$B$1008,$I801-8)))</x:f>
      </x:c>
      <x:c r="C801" s="51" t="str">
        <x:f>IF(793&gt;$H$4,"",IF(INDEX('Fleet dates'!$C$9:$C$1008,$I801-8)="","",INDEX('Fleet dates'!$C$9:$C$1008,$I801-8)))</x:f>
      </x:c>
      <x:c r="D801" s="51" t="str">
        <x:f>IF(793&gt;$H$4,"",IF(INDEX('Fleet dates'!$D$9:$D$1008,$I801-8)="","",INDEX('Fleet dates'!$D$9:$D$1008,$I801-8)))</x:f>
      </x:c>
      <x:c r="E801" s="51" t="str">
        <x:f>IF(793&gt;$H$4,"",IF(INDEX('Fleet dates'!$E$9:$E$1008,$I801-8)="","",INDEX('Fleet dates'!$E$9:$E$1008,$I801-8)))</x:f>
      </x:c>
      <x:c r="F801" s="51" t="str">
        <x:f>IF(793&gt;$H$4,"",IF(INDEX('Fleet dates'!$F$9:$F$1008,$I801-8)="","",INDEX('Fleet dates'!$F$9:$F$1008,$I801-8)))</x:f>
      </x:c>
      <x:c r="G801" s="50" t="str">
        <x:f>IF(793&gt;$H$4,"",IF(INDEX('Fleet dates'!$G$9:$G$1008,$I801-8)="","",INDEX('Fleet dates'!$G$9:$G$1008,$I801-8)))</x:f>
      </x:c>
      <x:c r="H801" s="50" t="str">
        <x:f>IF(793&gt;$H$4,"",IF(INDEX('Fleet dates'!$I$9:$I$1008,$I801-8)="","",INDEX('Fleet dates'!$I$9:$I$1008,$I801-8)))</x:f>
      </x:c>
      <x:c r="I801" t="str">
        <x:f>IF(793&gt;$H$4,"",MATCH(793,'Fleet dates'!$L$9:$L$1008,0)+8)</x:f>
      </x:c>
    </x:row>
    <x:row r="802" ht="36" customHeight="1">
      <x:c r="A802" s="50" t="str">
        <x:f>IF(794&gt;$H$4,"",IF(INDEX('Fleet dates'!$A$9:$A$1008,$I802-8)="","",INDEX('Fleet dates'!$A$9:$A$1008,$I802-8)))</x:f>
      </x:c>
      <x:c r="B802" s="50" t="str">
        <x:f>IF(794&gt;$H$4,"",IF(INDEX('Fleet dates'!$B$9:$B$1008,$I802-8)="","",INDEX('Fleet dates'!$B$9:$B$1008,$I802-8)))</x:f>
      </x:c>
      <x:c r="C802" s="51" t="str">
        <x:f>IF(794&gt;$H$4,"",IF(INDEX('Fleet dates'!$C$9:$C$1008,$I802-8)="","",INDEX('Fleet dates'!$C$9:$C$1008,$I802-8)))</x:f>
      </x:c>
      <x:c r="D802" s="51" t="str">
        <x:f>IF(794&gt;$H$4,"",IF(INDEX('Fleet dates'!$D$9:$D$1008,$I802-8)="","",INDEX('Fleet dates'!$D$9:$D$1008,$I802-8)))</x:f>
      </x:c>
      <x:c r="E802" s="51" t="str">
        <x:f>IF(794&gt;$H$4,"",IF(INDEX('Fleet dates'!$E$9:$E$1008,$I802-8)="","",INDEX('Fleet dates'!$E$9:$E$1008,$I802-8)))</x:f>
      </x:c>
      <x:c r="F802" s="51" t="str">
        <x:f>IF(794&gt;$H$4,"",IF(INDEX('Fleet dates'!$F$9:$F$1008,$I802-8)="","",INDEX('Fleet dates'!$F$9:$F$1008,$I802-8)))</x:f>
      </x:c>
      <x:c r="G802" s="50" t="str">
        <x:f>IF(794&gt;$H$4,"",IF(INDEX('Fleet dates'!$G$9:$G$1008,$I802-8)="","",INDEX('Fleet dates'!$G$9:$G$1008,$I802-8)))</x:f>
      </x:c>
      <x:c r="H802" s="50" t="str">
        <x:f>IF(794&gt;$H$4,"",IF(INDEX('Fleet dates'!$I$9:$I$1008,$I802-8)="","",INDEX('Fleet dates'!$I$9:$I$1008,$I802-8)))</x:f>
      </x:c>
      <x:c r="I802" t="str">
        <x:f>IF(794&gt;$H$4,"",MATCH(794,'Fleet dates'!$L$9:$L$1008,0)+8)</x:f>
      </x:c>
    </x:row>
    <x:row r="803" ht="36" customHeight="1">
      <x:c r="A803" s="50" t="str">
        <x:f>IF(795&gt;$H$4,"",IF(INDEX('Fleet dates'!$A$9:$A$1008,$I803-8)="","",INDEX('Fleet dates'!$A$9:$A$1008,$I803-8)))</x:f>
      </x:c>
      <x:c r="B803" s="50" t="str">
        <x:f>IF(795&gt;$H$4,"",IF(INDEX('Fleet dates'!$B$9:$B$1008,$I803-8)="","",INDEX('Fleet dates'!$B$9:$B$1008,$I803-8)))</x:f>
      </x:c>
      <x:c r="C803" s="51" t="str">
        <x:f>IF(795&gt;$H$4,"",IF(INDEX('Fleet dates'!$C$9:$C$1008,$I803-8)="","",INDEX('Fleet dates'!$C$9:$C$1008,$I803-8)))</x:f>
      </x:c>
      <x:c r="D803" s="51" t="str">
        <x:f>IF(795&gt;$H$4,"",IF(INDEX('Fleet dates'!$D$9:$D$1008,$I803-8)="","",INDEX('Fleet dates'!$D$9:$D$1008,$I803-8)))</x:f>
      </x:c>
      <x:c r="E803" s="51" t="str">
        <x:f>IF(795&gt;$H$4,"",IF(INDEX('Fleet dates'!$E$9:$E$1008,$I803-8)="","",INDEX('Fleet dates'!$E$9:$E$1008,$I803-8)))</x:f>
      </x:c>
      <x:c r="F803" s="51" t="str">
        <x:f>IF(795&gt;$H$4,"",IF(INDEX('Fleet dates'!$F$9:$F$1008,$I803-8)="","",INDEX('Fleet dates'!$F$9:$F$1008,$I803-8)))</x:f>
      </x:c>
      <x:c r="G803" s="50" t="str">
        <x:f>IF(795&gt;$H$4,"",IF(INDEX('Fleet dates'!$G$9:$G$1008,$I803-8)="","",INDEX('Fleet dates'!$G$9:$G$1008,$I803-8)))</x:f>
      </x:c>
      <x:c r="H803" s="50" t="str">
        <x:f>IF(795&gt;$H$4,"",IF(INDEX('Fleet dates'!$I$9:$I$1008,$I803-8)="","",INDEX('Fleet dates'!$I$9:$I$1008,$I803-8)))</x:f>
      </x:c>
      <x:c r="I803" t="str">
        <x:f>IF(795&gt;$H$4,"",MATCH(795,'Fleet dates'!$L$9:$L$1008,0)+8)</x:f>
      </x:c>
    </x:row>
    <x:row r="804" ht="36" customHeight="1">
      <x:c r="A804" s="50" t="str">
        <x:f>IF(796&gt;$H$4,"",IF(INDEX('Fleet dates'!$A$9:$A$1008,$I804-8)="","",INDEX('Fleet dates'!$A$9:$A$1008,$I804-8)))</x:f>
      </x:c>
      <x:c r="B804" s="50" t="str">
        <x:f>IF(796&gt;$H$4,"",IF(INDEX('Fleet dates'!$B$9:$B$1008,$I804-8)="","",INDEX('Fleet dates'!$B$9:$B$1008,$I804-8)))</x:f>
      </x:c>
      <x:c r="C804" s="51" t="str">
        <x:f>IF(796&gt;$H$4,"",IF(INDEX('Fleet dates'!$C$9:$C$1008,$I804-8)="","",INDEX('Fleet dates'!$C$9:$C$1008,$I804-8)))</x:f>
      </x:c>
      <x:c r="D804" s="51" t="str">
        <x:f>IF(796&gt;$H$4,"",IF(INDEX('Fleet dates'!$D$9:$D$1008,$I804-8)="","",INDEX('Fleet dates'!$D$9:$D$1008,$I804-8)))</x:f>
      </x:c>
      <x:c r="E804" s="51" t="str">
        <x:f>IF(796&gt;$H$4,"",IF(INDEX('Fleet dates'!$E$9:$E$1008,$I804-8)="","",INDEX('Fleet dates'!$E$9:$E$1008,$I804-8)))</x:f>
      </x:c>
      <x:c r="F804" s="51" t="str">
        <x:f>IF(796&gt;$H$4,"",IF(INDEX('Fleet dates'!$F$9:$F$1008,$I804-8)="","",INDEX('Fleet dates'!$F$9:$F$1008,$I804-8)))</x:f>
      </x:c>
      <x:c r="G804" s="50" t="str">
        <x:f>IF(796&gt;$H$4,"",IF(INDEX('Fleet dates'!$G$9:$G$1008,$I804-8)="","",INDEX('Fleet dates'!$G$9:$G$1008,$I804-8)))</x:f>
      </x:c>
      <x:c r="H804" s="50" t="str">
        <x:f>IF(796&gt;$H$4,"",IF(INDEX('Fleet dates'!$I$9:$I$1008,$I804-8)="","",INDEX('Fleet dates'!$I$9:$I$1008,$I804-8)))</x:f>
      </x:c>
      <x:c r="I804" t="str">
        <x:f>IF(796&gt;$H$4,"",MATCH(796,'Fleet dates'!$L$9:$L$1008,0)+8)</x:f>
      </x:c>
    </x:row>
    <x:row r="805" ht="36" customHeight="1">
      <x:c r="A805" s="50" t="str">
        <x:f>IF(797&gt;$H$4,"",IF(INDEX('Fleet dates'!$A$9:$A$1008,$I805-8)="","",INDEX('Fleet dates'!$A$9:$A$1008,$I805-8)))</x:f>
      </x:c>
      <x:c r="B805" s="50" t="str">
        <x:f>IF(797&gt;$H$4,"",IF(INDEX('Fleet dates'!$B$9:$B$1008,$I805-8)="","",INDEX('Fleet dates'!$B$9:$B$1008,$I805-8)))</x:f>
      </x:c>
      <x:c r="C805" s="51" t="str">
        <x:f>IF(797&gt;$H$4,"",IF(INDEX('Fleet dates'!$C$9:$C$1008,$I805-8)="","",INDEX('Fleet dates'!$C$9:$C$1008,$I805-8)))</x:f>
      </x:c>
      <x:c r="D805" s="51" t="str">
        <x:f>IF(797&gt;$H$4,"",IF(INDEX('Fleet dates'!$D$9:$D$1008,$I805-8)="","",INDEX('Fleet dates'!$D$9:$D$1008,$I805-8)))</x:f>
      </x:c>
      <x:c r="E805" s="51" t="str">
        <x:f>IF(797&gt;$H$4,"",IF(INDEX('Fleet dates'!$E$9:$E$1008,$I805-8)="","",INDEX('Fleet dates'!$E$9:$E$1008,$I805-8)))</x:f>
      </x:c>
      <x:c r="F805" s="51" t="str">
        <x:f>IF(797&gt;$H$4,"",IF(INDEX('Fleet dates'!$F$9:$F$1008,$I805-8)="","",INDEX('Fleet dates'!$F$9:$F$1008,$I805-8)))</x:f>
      </x:c>
      <x:c r="G805" s="50" t="str">
        <x:f>IF(797&gt;$H$4,"",IF(INDEX('Fleet dates'!$G$9:$G$1008,$I805-8)="","",INDEX('Fleet dates'!$G$9:$G$1008,$I805-8)))</x:f>
      </x:c>
      <x:c r="H805" s="50" t="str">
        <x:f>IF(797&gt;$H$4,"",IF(INDEX('Fleet dates'!$I$9:$I$1008,$I805-8)="","",INDEX('Fleet dates'!$I$9:$I$1008,$I805-8)))</x:f>
      </x:c>
      <x:c r="I805" t="str">
        <x:f>IF(797&gt;$H$4,"",MATCH(797,'Fleet dates'!$L$9:$L$1008,0)+8)</x:f>
      </x:c>
    </x:row>
    <x:row r="806" ht="36" customHeight="1">
      <x:c r="A806" s="50" t="str">
        <x:f>IF(798&gt;$H$4,"",IF(INDEX('Fleet dates'!$A$9:$A$1008,$I806-8)="","",INDEX('Fleet dates'!$A$9:$A$1008,$I806-8)))</x:f>
      </x:c>
      <x:c r="B806" s="50" t="str">
        <x:f>IF(798&gt;$H$4,"",IF(INDEX('Fleet dates'!$B$9:$B$1008,$I806-8)="","",INDEX('Fleet dates'!$B$9:$B$1008,$I806-8)))</x:f>
      </x:c>
      <x:c r="C806" s="51" t="str">
        <x:f>IF(798&gt;$H$4,"",IF(INDEX('Fleet dates'!$C$9:$C$1008,$I806-8)="","",INDEX('Fleet dates'!$C$9:$C$1008,$I806-8)))</x:f>
      </x:c>
      <x:c r="D806" s="51" t="str">
        <x:f>IF(798&gt;$H$4,"",IF(INDEX('Fleet dates'!$D$9:$D$1008,$I806-8)="","",INDEX('Fleet dates'!$D$9:$D$1008,$I806-8)))</x:f>
      </x:c>
      <x:c r="E806" s="51" t="str">
        <x:f>IF(798&gt;$H$4,"",IF(INDEX('Fleet dates'!$E$9:$E$1008,$I806-8)="","",INDEX('Fleet dates'!$E$9:$E$1008,$I806-8)))</x:f>
      </x:c>
      <x:c r="F806" s="51" t="str">
        <x:f>IF(798&gt;$H$4,"",IF(INDEX('Fleet dates'!$F$9:$F$1008,$I806-8)="","",INDEX('Fleet dates'!$F$9:$F$1008,$I806-8)))</x:f>
      </x:c>
      <x:c r="G806" s="50" t="str">
        <x:f>IF(798&gt;$H$4,"",IF(INDEX('Fleet dates'!$G$9:$G$1008,$I806-8)="","",INDEX('Fleet dates'!$G$9:$G$1008,$I806-8)))</x:f>
      </x:c>
      <x:c r="H806" s="50" t="str">
        <x:f>IF(798&gt;$H$4,"",IF(INDEX('Fleet dates'!$I$9:$I$1008,$I806-8)="","",INDEX('Fleet dates'!$I$9:$I$1008,$I806-8)))</x:f>
      </x:c>
      <x:c r="I806" t="str">
        <x:f>IF(798&gt;$H$4,"",MATCH(798,'Fleet dates'!$L$9:$L$1008,0)+8)</x:f>
      </x:c>
    </x:row>
    <x:row r="807" ht="36" customHeight="1">
      <x:c r="A807" s="50" t="str">
        <x:f>IF(799&gt;$H$4,"",IF(INDEX('Fleet dates'!$A$9:$A$1008,$I807-8)="","",INDEX('Fleet dates'!$A$9:$A$1008,$I807-8)))</x:f>
      </x:c>
      <x:c r="B807" s="50" t="str">
        <x:f>IF(799&gt;$H$4,"",IF(INDEX('Fleet dates'!$B$9:$B$1008,$I807-8)="","",INDEX('Fleet dates'!$B$9:$B$1008,$I807-8)))</x:f>
      </x:c>
      <x:c r="C807" s="51" t="str">
        <x:f>IF(799&gt;$H$4,"",IF(INDEX('Fleet dates'!$C$9:$C$1008,$I807-8)="","",INDEX('Fleet dates'!$C$9:$C$1008,$I807-8)))</x:f>
      </x:c>
      <x:c r="D807" s="51" t="str">
        <x:f>IF(799&gt;$H$4,"",IF(INDEX('Fleet dates'!$D$9:$D$1008,$I807-8)="","",INDEX('Fleet dates'!$D$9:$D$1008,$I807-8)))</x:f>
      </x:c>
      <x:c r="E807" s="51" t="str">
        <x:f>IF(799&gt;$H$4,"",IF(INDEX('Fleet dates'!$E$9:$E$1008,$I807-8)="","",INDEX('Fleet dates'!$E$9:$E$1008,$I807-8)))</x:f>
      </x:c>
      <x:c r="F807" s="51" t="str">
        <x:f>IF(799&gt;$H$4,"",IF(INDEX('Fleet dates'!$F$9:$F$1008,$I807-8)="","",INDEX('Fleet dates'!$F$9:$F$1008,$I807-8)))</x:f>
      </x:c>
      <x:c r="G807" s="50" t="str">
        <x:f>IF(799&gt;$H$4,"",IF(INDEX('Fleet dates'!$G$9:$G$1008,$I807-8)="","",INDEX('Fleet dates'!$G$9:$G$1008,$I807-8)))</x:f>
      </x:c>
      <x:c r="H807" s="50" t="str">
        <x:f>IF(799&gt;$H$4,"",IF(INDEX('Fleet dates'!$I$9:$I$1008,$I807-8)="","",INDEX('Fleet dates'!$I$9:$I$1008,$I807-8)))</x:f>
      </x:c>
      <x:c r="I807" t="str">
        <x:f>IF(799&gt;$H$4,"",MATCH(799,'Fleet dates'!$L$9:$L$1008,0)+8)</x:f>
      </x:c>
    </x:row>
    <x:row r="808" ht="36" customHeight="1">
      <x:c r="A808" s="50" t="str">
        <x:f>IF(800&gt;$H$4,"",IF(INDEX('Fleet dates'!$A$9:$A$1008,$I808-8)="","",INDEX('Fleet dates'!$A$9:$A$1008,$I808-8)))</x:f>
      </x:c>
      <x:c r="B808" s="50" t="str">
        <x:f>IF(800&gt;$H$4,"",IF(INDEX('Fleet dates'!$B$9:$B$1008,$I808-8)="","",INDEX('Fleet dates'!$B$9:$B$1008,$I808-8)))</x:f>
      </x:c>
      <x:c r="C808" s="51" t="str">
        <x:f>IF(800&gt;$H$4,"",IF(INDEX('Fleet dates'!$C$9:$C$1008,$I808-8)="","",INDEX('Fleet dates'!$C$9:$C$1008,$I808-8)))</x:f>
      </x:c>
      <x:c r="D808" s="51" t="str">
        <x:f>IF(800&gt;$H$4,"",IF(INDEX('Fleet dates'!$D$9:$D$1008,$I808-8)="","",INDEX('Fleet dates'!$D$9:$D$1008,$I808-8)))</x:f>
      </x:c>
      <x:c r="E808" s="51" t="str">
        <x:f>IF(800&gt;$H$4,"",IF(INDEX('Fleet dates'!$E$9:$E$1008,$I808-8)="","",INDEX('Fleet dates'!$E$9:$E$1008,$I808-8)))</x:f>
      </x:c>
      <x:c r="F808" s="51" t="str">
        <x:f>IF(800&gt;$H$4,"",IF(INDEX('Fleet dates'!$F$9:$F$1008,$I808-8)="","",INDEX('Fleet dates'!$F$9:$F$1008,$I808-8)))</x:f>
      </x:c>
      <x:c r="G808" s="50" t="str">
        <x:f>IF(800&gt;$H$4,"",IF(INDEX('Fleet dates'!$G$9:$G$1008,$I808-8)="","",INDEX('Fleet dates'!$G$9:$G$1008,$I808-8)))</x:f>
      </x:c>
      <x:c r="H808" s="50" t="str">
        <x:f>IF(800&gt;$H$4,"",IF(INDEX('Fleet dates'!$I$9:$I$1008,$I808-8)="","",INDEX('Fleet dates'!$I$9:$I$1008,$I808-8)))</x:f>
      </x:c>
      <x:c r="I808" t="str">
        <x:f>IF(800&gt;$H$4,"",MATCH(800,'Fleet dates'!$L$9:$L$1008,0)+8)</x:f>
      </x:c>
    </x:row>
    <x:row r="809" ht="36" customHeight="1">
      <x:c r="A809" s="50" t="str">
        <x:f>IF(801&gt;$H$4,"",IF(INDEX('Fleet dates'!$A$9:$A$1008,$I809-8)="","",INDEX('Fleet dates'!$A$9:$A$1008,$I809-8)))</x:f>
      </x:c>
      <x:c r="B809" s="50" t="str">
        <x:f>IF(801&gt;$H$4,"",IF(INDEX('Fleet dates'!$B$9:$B$1008,$I809-8)="","",INDEX('Fleet dates'!$B$9:$B$1008,$I809-8)))</x:f>
      </x:c>
      <x:c r="C809" s="51" t="str">
        <x:f>IF(801&gt;$H$4,"",IF(INDEX('Fleet dates'!$C$9:$C$1008,$I809-8)="","",INDEX('Fleet dates'!$C$9:$C$1008,$I809-8)))</x:f>
      </x:c>
      <x:c r="D809" s="51" t="str">
        <x:f>IF(801&gt;$H$4,"",IF(INDEX('Fleet dates'!$D$9:$D$1008,$I809-8)="","",INDEX('Fleet dates'!$D$9:$D$1008,$I809-8)))</x:f>
      </x:c>
      <x:c r="E809" s="51" t="str">
        <x:f>IF(801&gt;$H$4,"",IF(INDEX('Fleet dates'!$E$9:$E$1008,$I809-8)="","",INDEX('Fleet dates'!$E$9:$E$1008,$I809-8)))</x:f>
      </x:c>
      <x:c r="F809" s="51" t="str">
        <x:f>IF(801&gt;$H$4,"",IF(INDEX('Fleet dates'!$F$9:$F$1008,$I809-8)="","",INDEX('Fleet dates'!$F$9:$F$1008,$I809-8)))</x:f>
      </x:c>
      <x:c r="G809" s="50" t="str">
        <x:f>IF(801&gt;$H$4,"",IF(INDEX('Fleet dates'!$G$9:$G$1008,$I809-8)="","",INDEX('Fleet dates'!$G$9:$G$1008,$I809-8)))</x:f>
      </x:c>
      <x:c r="H809" s="50" t="str">
        <x:f>IF(801&gt;$H$4,"",IF(INDEX('Fleet dates'!$I$9:$I$1008,$I809-8)="","",INDEX('Fleet dates'!$I$9:$I$1008,$I809-8)))</x:f>
      </x:c>
      <x:c r="I809" t="str">
        <x:f>IF(801&gt;$H$4,"",MATCH(801,'Fleet dates'!$L$9:$L$1008,0)+8)</x:f>
      </x:c>
    </x:row>
    <x:row r="810" ht="36" customHeight="1">
      <x:c r="A810" s="50" t="str">
        <x:f>IF(802&gt;$H$4,"",IF(INDEX('Fleet dates'!$A$9:$A$1008,$I810-8)="","",INDEX('Fleet dates'!$A$9:$A$1008,$I810-8)))</x:f>
      </x:c>
      <x:c r="B810" s="50" t="str">
        <x:f>IF(802&gt;$H$4,"",IF(INDEX('Fleet dates'!$B$9:$B$1008,$I810-8)="","",INDEX('Fleet dates'!$B$9:$B$1008,$I810-8)))</x:f>
      </x:c>
      <x:c r="C810" s="51" t="str">
        <x:f>IF(802&gt;$H$4,"",IF(INDEX('Fleet dates'!$C$9:$C$1008,$I810-8)="","",INDEX('Fleet dates'!$C$9:$C$1008,$I810-8)))</x:f>
      </x:c>
      <x:c r="D810" s="51" t="str">
        <x:f>IF(802&gt;$H$4,"",IF(INDEX('Fleet dates'!$D$9:$D$1008,$I810-8)="","",INDEX('Fleet dates'!$D$9:$D$1008,$I810-8)))</x:f>
      </x:c>
      <x:c r="E810" s="51" t="str">
        <x:f>IF(802&gt;$H$4,"",IF(INDEX('Fleet dates'!$E$9:$E$1008,$I810-8)="","",INDEX('Fleet dates'!$E$9:$E$1008,$I810-8)))</x:f>
      </x:c>
      <x:c r="F810" s="51" t="str">
        <x:f>IF(802&gt;$H$4,"",IF(INDEX('Fleet dates'!$F$9:$F$1008,$I810-8)="","",INDEX('Fleet dates'!$F$9:$F$1008,$I810-8)))</x:f>
      </x:c>
      <x:c r="G810" s="50" t="str">
        <x:f>IF(802&gt;$H$4,"",IF(INDEX('Fleet dates'!$G$9:$G$1008,$I810-8)="","",INDEX('Fleet dates'!$G$9:$G$1008,$I810-8)))</x:f>
      </x:c>
      <x:c r="H810" s="50" t="str">
        <x:f>IF(802&gt;$H$4,"",IF(INDEX('Fleet dates'!$I$9:$I$1008,$I810-8)="","",INDEX('Fleet dates'!$I$9:$I$1008,$I810-8)))</x:f>
      </x:c>
      <x:c r="I810" t="str">
        <x:f>IF(802&gt;$H$4,"",MATCH(802,'Fleet dates'!$L$9:$L$1008,0)+8)</x:f>
      </x:c>
    </x:row>
    <x:row r="811" ht="36" customHeight="1">
      <x:c r="A811" s="50" t="str">
        <x:f>IF(803&gt;$H$4,"",IF(INDEX('Fleet dates'!$A$9:$A$1008,$I811-8)="","",INDEX('Fleet dates'!$A$9:$A$1008,$I811-8)))</x:f>
      </x:c>
      <x:c r="B811" s="50" t="str">
        <x:f>IF(803&gt;$H$4,"",IF(INDEX('Fleet dates'!$B$9:$B$1008,$I811-8)="","",INDEX('Fleet dates'!$B$9:$B$1008,$I811-8)))</x:f>
      </x:c>
      <x:c r="C811" s="51" t="str">
        <x:f>IF(803&gt;$H$4,"",IF(INDEX('Fleet dates'!$C$9:$C$1008,$I811-8)="","",INDEX('Fleet dates'!$C$9:$C$1008,$I811-8)))</x:f>
      </x:c>
      <x:c r="D811" s="51" t="str">
        <x:f>IF(803&gt;$H$4,"",IF(INDEX('Fleet dates'!$D$9:$D$1008,$I811-8)="","",INDEX('Fleet dates'!$D$9:$D$1008,$I811-8)))</x:f>
      </x:c>
      <x:c r="E811" s="51" t="str">
        <x:f>IF(803&gt;$H$4,"",IF(INDEX('Fleet dates'!$E$9:$E$1008,$I811-8)="","",INDEX('Fleet dates'!$E$9:$E$1008,$I811-8)))</x:f>
      </x:c>
      <x:c r="F811" s="51" t="str">
        <x:f>IF(803&gt;$H$4,"",IF(INDEX('Fleet dates'!$F$9:$F$1008,$I811-8)="","",INDEX('Fleet dates'!$F$9:$F$1008,$I811-8)))</x:f>
      </x:c>
      <x:c r="G811" s="50" t="str">
        <x:f>IF(803&gt;$H$4,"",IF(INDEX('Fleet dates'!$G$9:$G$1008,$I811-8)="","",INDEX('Fleet dates'!$G$9:$G$1008,$I811-8)))</x:f>
      </x:c>
      <x:c r="H811" s="50" t="str">
        <x:f>IF(803&gt;$H$4,"",IF(INDEX('Fleet dates'!$I$9:$I$1008,$I811-8)="","",INDEX('Fleet dates'!$I$9:$I$1008,$I811-8)))</x:f>
      </x:c>
      <x:c r="I811" t="str">
        <x:f>IF(803&gt;$H$4,"",MATCH(803,'Fleet dates'!$L$9:$L$1008,0)+8)</x:f>
      </x:c>
    </x:row>
    <x:row r="812" ht="36" customHeight="1">
      <x:c r="A812" s="50" t="str">
        <x:f>IF(804&gt;$H$4,"",IF(INDEX('Fleet dates'!$A$9:$A$1008,$I812-8)="","",INDEX('Fleet dates'!$A$9:$A$1008,$I812-8)))</x:f>
      </x:c>
      <x:c r="B812" s="50" t="str">
        <x:f>IF(804&gt;$H$4,"",IF(INDEX('Fleet dates'!$B$9:$B$1008,$I812-8)="","",INDEX('Fleet dates'!$B$9:$B$1008,$I812-8)))</x:f>
      </x:c>
      <x:c r="C812" s="51" t="str">
        <x:f>IF(804&gt;$H$4,"",IF(INDEX('Fleet dates'!$C$9:$C$1008,$I812-8)="","",INDEX('Fleet dates'!$C$9:$C$1008,$I812-8)))</x:f>
      </x:c>
      <x:c r="D812" s="51" t="str">
        <x:f>IF(804&gt;$H$4,"",IF(INDEX('Fleet dates'!$D$9:$D$1008,$I812-8)="","",INDEX('Fleet dates'!$D$9:$D$1008,$I812-8)))</x:f>
      </x:c>
      <x:c r="E812" s="51" t="str">
        <x:f>IF(804&gt;$H$4,"",IF(INDEX('Fleet dates'!$E$9:$E$1008,$I812-8)="","",INDEX('Fleet dates'!$E$9:$E$1008,$I812-8)))</x:f>
      </x:c>
      <x:c r="F812" s="51" t="str">
        <x:f>IF(804&gt;$H$4,"",IF(INDEX('Fleet dates'!$F$9:$F$1008,$I812-8)="","",INDEX('Fleet dates'!$F$9:$F$1008,$I812-8)))</x:f>
      </x:c>
      <x:c r="G812" s="50" t="str">
        <x:f>IF(804&gt;$H$4,"",IF(INDEX('Fleet dates'!$G$9:$G$1008,$I812-8)="","",INDEX('Fleet dates'!$G$9:$G$1008,$I812-8)))</x:f>
      </x:c>
      <x:c r="H812" s="50" t="str">
        <x:f>IF(804&gt;$H$4,"",IF(INDEX('Fleet dates'!$I$9:$I$1008,$I812-8)="","",INDEX('Fleet dates'!$I$9:$I$1008,$I812-8)))</x:f>
      </x:c>
      <x:c r="I812" t="str">
        <x:f>IF(804&gt;$H$4,"",MATCH(804,'Fleet dates'!$L$9:$L$1008,0)+8)</x:f>
      </x:c>
    </x:row>
    <x:row r="813" ht="36" customHeight="1">
      <x:c r="A813" s="50" t="str">
        <x:f>IF(805&gt;$H$4,"",IF(INDEX('Fleet dates'!$A$9:$A$1008,$I813-8)="","",INDEX('Fleet dates'!$A$9:$A$1008,$I813-8)))</x:f>
      </x:c>
      <x:c r="B813" s="50" t="str">
        <x:f>IF(805&gt;$H$4,"",IF(INDEX('Fleet dates'!$B$9:$B$1008,$I813-8)="","",INDEX('Fleet dates'!$B$9:$B$1008,$I813-8)))</x:f>
      </x:c>
      <x:c r="C813" s="51" t="str">
        <x:f>IF(805&gt;$H$4,"",IF(INDEX('Fleet dates'!$C$9:$C$1008,$I813-8)="","",INDEX('Fleet dates'!$C$9:$C$1008,$I813-8)))</x:f>
      </x:c>
      <x:c r="D813" s="51" t="str">
        <x:f>IF(805&gt;$H$4,"",IF(INDEX('Fleet dates'!$D$9:$D$1008,$I813-8)="","",INDEX('Fleet dates'!$D$9:$D$1008,$I813-8)))</x:f>
      </x:c>
      <x:c r="E813" s="51" t="str">
        <x:f>IF(805&gt;$H$4,"",IF(INDEX('Fleet dates'!$E$9:$E$1008,$I813-8)="","",INDEX('Fleet dates'!$E$9:$E$1008,$I813-8)))</x:f>
      </x:c>
      <x:c r="F813" s="51" t="str">
        <x:f>IF(805&gt;$H$4,"",IF(INDEX('Fleet dates'!$F$9:$F$1008,$I813-8)="","",INDEX('Fleet dates'!$F$9:$F$1008,$I813-8)))</x:f>
      </x:c>
      <x:c r="G813" s="50" t="str">
        <x:f>IF(805&gt;$H$4,"",IF(INDEX('Fleet dates'!$G$9:$G$1008,$I813-8)="","",INDEX('Fleet dates'!$G$9:$G$1008,$I813-8)))</x:f>
      </x:c>
      <x:c r="H813" s="50" t="str">
        <x:f>IF(805&gt;$H$4,"",IF(INDEX('Fleet dates'!$I$9:$I$1008,$I813-8)="","",INDEX('Fleet dates'!$I$9:$I$1008,$I813-8)))</x:f>
      </x:c>
      <x:c r="I813" t="str">
        <x:f>IF(805&gt;$H$4,"",MATCH(805,'Fleet dates'!$L$9:$L$1008,0)+8)</x:f>
      </x:c>
    </x:row>
    <x:row r="814" ht="36" customHeight="1">
      <x:c r="A814" s="50" t="str">
        <x:f>IF(806&gt;$H$4,"",IF(INDEX('Fleet dates'!$A$9:$A$1008,$I814-8)="","",INDEX('Fleet dates'!$A$9:$A$1008,$I814-8)))</x:f>
      </x:c>
      <x:c r="B814" s="50" t="str">
        <x:f>IF(806&gt;$H$4,"",IF(INDEX('Fleet dates'!$B$9:$B$1008,$I814-8)="","",INDEX('Fleet dates'!$B$9:$B$1008,$I814-8)))</x:f>
      </x:c>
      <x:c r="C814" s="51" t="str">
        <x:f>IF(806&gt;$H$4,"",IF(INDEX('Fleet dates'!$C$9:$C$1008,$I814-8)="","",INDEX('Fleet dates'!$C$9:$C$1008,$I814-8)))</x:f>
      </x:c>
      <x:c r="D814" s="51" t="str">
        <x:f>IF(806&gt;$H$4,"",IF(INDEX('Fleet dates'!$D$9:$D$1008,$I814-8)="","",INDEX('Fleet dates'!$D$9:$D$1008,$I814-8)))</x:f>
      </x:c>
      <x:c r="E814" s="51" t="str">
        <x:f>IF(806&gt;$H$4,"",IF(INDEX('Fleet dates'!$E$9:$E$1008,$I814-8)="","",INDEX('Fleet dates'!$E$9:$E$1008,$I814-8)))</x:f>
      </x:c>
      <x:c r="F814" s="51" t="str">
        <x:f>IF(806&gt;$H$4,"",IF(INDEX('Fleet dates'!$F$9:$F$1008,$I814-8)="","",INDEX('Fleet dates'!$F$9:$F$1008,$I814-8)))</x:f>
      </x:c>
      <x:c r="G814" s="50" t="str">
        <x:f>IF(806&gt;$H$4,"",IF(INDEX('Fleet dates'!$G$9:$G$1008,$I814-8)="","",INDEX('Fleet dates'!$G$9:$G$1008,$I814-8)))</x:f>
      </x:c>
      <x:c r="H814" s="50" t="str">
        <x:f>IF(806&gt;$H$4,"",IF(INDEX('Fleet dates'!$I$9:$I$1008,$I814-8)="","",INDEX('Fleet dates'!$I$9:$I$1008,$I814-8)))</x:f>
      </x:c>
      <x:c r="I814" t="str">
        <x:f>IF(806&gt;$H$4,"",MATCH(806,'Fleet dates'!$L$9:$L$1008,0)+8)</x:f>
      </x:c>
    </x:row>
    <x:row r="815" ht="36" customHeight="1">
      <x:c r="A815" s="50" t="str">
        <x:f>IF(807&gt;$H$4,"",IF(INDEX('Fleet dates'!$A$9:$A$1008,$I815-8)="","",INDEX('Fleet dates'!$A$9:$A$1008,$I815-8)))</x:f>
      </x:c>
      <x:c r="B815" s="50" t="str">
        <x:f>IF(807&gt;$H$4,"",IF(INDEX('Fleet dates'!$B$9:$B$1008,$I815-8)="","",INDEX('Fleet dates'!$B$9:$B$1008,$I815-8)))</x:f>
      </x:c>
      <x:c r="C815" s="51" t="str">
        <x:f>IF(807&gt;$H$4,"",IF(INDEX('Fleet dates'!$C$9:$C$1008,$I815-8)="","",INDEX('Fleet dates'!$C$9:$C$1008,$I815-8)))</x:f>
      </x:c>
      <x:c r="D815" s="51" t="str">
        <x:f>IF(807&gt;$H$4,"",IF(INDEX('Fleet dates'!$D$9:$D$1008,$I815-8)="","",INDEX('Fleet dates'!$D$9:$D$1008,$I815-8)))</x:f>
      </x:c>
      <x:c r="E815" s="51" t="str">
        <x:f>IF(807&gt;$H$4,"",IF(INDEX('Fleet dates'!$E$9:$E$1008,$I815-8)="","",INDEX('Fleet dates'!$E$9:$E$1008,$I815-8)))</x:f>
      </x:c>
      <x:c r="F815" s="51" t="str">
        <x:f>IF(807&gt;$H$4,"",IF(INDEX('Fleet dates'!$F$9:$F$1008,$I815-8)="","",INDEX('Fleet dates'!$F$9:$F$1008,$I815-8)))</x:f>
      </x:c>
      <x:c r="G815" s="50" t="str">
        <x:f>IF(807&gt;$H$4,"",IF(INDEX('Fleet dates'!$G$9:$G$1008,$I815-8)="","",INDEX('Fleet dates'!$G$9:$G$1008,$I815-8)))</x:f>
      </x:c>
      <x:c r="H815" s="50" t="str">
        <x:f>IF(807&gt;$H$4,"",IF(INDEX('Fleet dates'!$I$9:$I$1008,$I815-8)="","",INDEX('Fleet dates'!$I$9:$I$1008,$I815-8)))</x:f>
      </x:c>
      <x:c r="I815" t="str">
        <x:f>IF(807&gt;$H$4,"",MATCH(807,'Fleet dates'!$L$9:$L$1008,0)+8)</x:f>
      </x:c>
    </x:row>
    <x:row r="816" ht="36" customHeight="1">
      <x:c r="A816" s="50" t="str">
        <x:f>IF(808&gt;$H$4,"",IF(INDEX('Fleet dates'!$A$9:$A$1008,$I816-8)="","",INDEX('Fleet dates'!$A$9:$A$1008,$I816-8)))</x:f>
      </x:c>
      <x:c r="B816" s="50" t="str">
        <x:f>IF(808&gt;$H$4,"",IF(INDEX('Fleet dates'!$B$9:$B$1008,$I816-8)="","",INDEX('Fleet dates'!$B$9:$B$1008,$I816-8)))</x:f>
      </x:c>
      <x:c r="C816" s="51" t="str">
        <x:f>IF(808&gt;$H$4,"",IF(INDEX('Fleet dates'!$C$9:$C$1008,$I816-8)="","",INDEX('Fleet dates'!$C$9:$C$1008,$I816-8)))</x:f>
      </x:c>
      <x:c r="D816" s="51" t="str">
        <x:f>IF(808&gt;$H$4,"",IF(INDEX('Fleet dates'!$D$9:$D$1008,$I816-8)="","",INDEX('Fleet dates'!$D$9:$D$1008,$I816-8)))</x:f>
      </x:c>
      <x:c r="E816" s="51" t="str">
        <x:f>IF(808&gt;$H$4,"",IF(INDEX('Fleet dates'!$E$9:$E$1008,$I816-8)="","",INDEX('Fleet dates'!$E$9:$E$1008,$I816-8)))</x:f>
      </x:c>
      <x:c r="F816" s="51" t="str">
        <x:f>IF(808&gt;$H$4,"",IF(INDEX('Fleet dates'!$F$9:$F$1008,$I816-8)="","",INDEX('Fleet dates'!$F$9:$F$1008,$I816-8)))</x:f>
      </x:c>
      <x:c r="G816" s="50" t="str">
        <x:f>IF(808&gt;$H$4,"",IF(INDEX('Fleet dates'!$G$9:$G$1008,$I816-8)="","",INDEX('Fleet dates'!$G$9:$G$1008,$I816-8)))</x:f>
      </x:c>
      <x:c r="H816" s="50" t="str">
        <x:f>IF(808&gt;$H$4,"",IF(INDEX('Fleet dates'!$I$9:$I$1008,$I816-8)="","",INDEX('Fleet dates'!$I$9:$I$1008,$I816-8)))</x:f>
      </x:c>
      <x:c r="I816" t="str">
        <x:f>IF(808&gt;$H$4,"",MATCH(808,'Fleet dates'!$L$9:$L$1008,0)+8)</x:f>
      </x:c>
    </x:row>
    <x:row r="817" ht="36" customHeight="1">
      <x:c r="A817" s="50" t="str">
        <x:f>IF(809&gt;$H$4,"",IF(INDEX('Fleet dates'!$A$9:$A$1008,$I817-8)="","",INDEX('Fleet dates'!$A$9:$A$1008,$I817-8)))</x:f>
      </x:c>
      <x:c r="B817" s="50" t="str">
        <x:f>IF(809&gt;$H$4,"",IF(INDEX('Fleet dates'!$B$9:$B$1008,$I817-8)="","",INDEX('Fleet dates'!$B$9:$B$1008,$I817-8)))</x:f>
      </x:c>
      <x:c r="C817" s="51" t="str">
        <x:f>IF(809&gt;$H$4,"",IF(INDEX('Fleet dates'!$C$9:$C$1008,$I817-8)="","",INDEX('Fleet dates'!$C$9:$C$1008,$I817-8)))</x:f>
      </x:c>
      <x:c r="D817" s="51" t="str">
        <x:f>IF(809&gt;$H$4,"",IF(INDEX('Fleet dates'!$D$9:$D$1008,$I817-8)="","",INDEX('Fleet dates'!$D$9:$D$1008,$I817-8)))</x:f>
      </x:c>
      <x:c r="E817" s="51" t="str">
        <x:f>IF(809&gt;$H$4,"",IF(INDEX('Fleet dates'!$E$9:$E$1008,$I817-8)="","",INDEX('Fleet dates'!$E$9:$E$1008,$I817-8)))</x:f>
      </x:c>
      <x:c r="F817" s="51" t="str">
        <x:f>IF(809&gt;$H$4,"",IF(INDEX('Fleet dates'!$F$9:$F$1008,$I817-8)="","",INDEX('Fleet dates'!$F$9:$F$1008,$I817-8)))</x:f>
      </x:c>
      <x:c r="G817" s="50" t="str">
        <x:f>IF(809&gt;$H$4,"",IF(INDEX('Fleet dates'!$G$9:$G$1008,$I817-8)="","",INDEX('Fleet dates'!$G$9:$G$1008,$I817-8)))</x:f>
      </x:c>
      <x:c r="H817" s="50" t="str">
        <x:f>IF(809&gt;$H$4,"",IF(INDEX('Fleet dates'!$I$9:$I$1008,$I817-8)="","",INDEX('Fleet dates'!$I$9:$I$1008,$I817-8)))</x:f>
      </x:c>
      <x:c r="I817" t="str">
        <x:f>IF(809&gt;$H$4,"",MATCH(809,'Fleet dates'!$L$9:$L$1008,0)+8)</x:f>
      </x:c>
    </x:row>
    <x:row r="818" ht="36" customHeight="1">
      <x:c r="A818" s="50" t="str">
        <x:f>IF(810&gt;$H$4,"",IF(INDEX('Fleet dates'!$A$9:$A$1008,$I818-8)="","",INDEX('Fleet dates'!$A$9:$A$1008,$I818-8)))</x:f>
      </x:c>
      <x:c r="B818" s="50" t="str">
        <x:f>IF(810&gt;$H$4,"",IF(INDEX('Fleet dates'!$B$9:$B$1008,$I818-8)="","",INDEX('Fleet dates'!$B$9:$B$1008,$I818-8)))</x:f>
      </x:c>
      <x:c r="C818" s="51" t="str">
        <x:f>IF(810&gt;$H$4,"",IF(INDEX('Fleet dates'!$C$9:$C$1008,$I818-8)="","",INDEX('Fleet dates'!$C$9:$C$1008,$I818-8)))</x:f>
      </x:c>
      <x:c r="D818" s="51" t="str">
        <x:f>IF(810&gt;$H$4,"",IF(INDEX('Fleet dates'!$D$9:$D$1008,$I818-8)="","",INDEX('Fleet dates'!$D$9:$D$1008,$I818-8)))</x:f>
      </x:c>
      <x:c r="E818" s="51" t="str">
        <x:f>IF(810&gt;$H$4,"",IF(INDEX('Fleet dates'!$E$9:$E$1008,$I818-8)="","",INDEX('Fleet dates'!$E$9:$E$1008,$I818-8)))</x:f>
      </x:c>
      <x:c r="F818" s="51" t="str">
        <x:f>IF(810&gt;$H$4,"",IF(INDEX('Fleet dates'!$F$9:$F$1008,$I818-8)="","",INDEX('Fleet dates'!$F$9:$F$1008,$I818-8)))</x:f>
      </x:c>
      <x:c r="G818" s="50" t="str">
        <x:f>IF(810&gt;$H$4,"",IF(INDEX('Fleet dates'!$G$9:$G$1008,$I818-8)="","",INDEX('Fleet dates'!$G$9:$G$1008,$I818-8)))</x:f>
      </x:c>
      <x:c r="H818" s="50" t="str">
        <x:f>IF(810&gt;$H$4,"",IF(INDEX('Fleet dates'!$I$9:$I$1008,$I818-8)="","",INDEX('Fleet dates'!$I$9:$I$1008,$I818-8)))</x:f>
      </x:c>
      <x:c r="I818" t="str">
        <x:f>IF(810&gt;$H$4,"",MATCH(810,'Fleet dates'!$L$9:$L$1008,0)+8)</x:f>
      </x:c>
    </x:row>
    <x:row r="819" ht="36" customHeight="1">
      <x:c r="A819" s="50" t="str">
        <x:f>IF(811&gt;$H$4,"",IF(INDEX('Fleet dates'!$A$9:$A$1008,$I819-8)="","",INDEX('Fleet dates'!$A$9:$A$1008,$I819-8)))</x:f>
      </x:c>
      <x:c r="B819" s="50" t="str">
        <x:f>IF(811&gt;$H$4,"",IF(INDEX('Fleet dates'!$B$9:$B$1008,$I819-8)="","",INDEX('Fleet dates'!$B$9:$B$1008,$I819-8)))</x:f>
      </x:c>
      <x:c r="C819" s="51" t="str">
        <x:f>IF(811&gt;$H$4,"",IF(INDEX('Fleet dates'!$C$9:$C$1008,$I819-8)="","",INDEX('Fleet dates'!$C$9:$C$1008,$I819-8)))</x:f>
      </x:c>
      <x:c r="D819" s="51" t="str">
        <x:f>IF(811&gt;$H$4,"",IF(INDEX('Fleet dates'!$D$9:$D$1008,$I819-8)="","",INDEX('Fleet dates'!$D$9:$D$1008,$I819-8)))</x:f>
      </x:c>
      <x:c r="E819" s="51" t="str">
        <x:f>IF(811&gt;$H$4,"",IF(INDEX('Fleet dates'!$E$9:$E$1008,$I819-8)="","",INDEX('Fleet dates'!$E$9:$E$1008,$I819-8)))</x:f>
      </x:c>
      <x:c r="F819" s="51" t="str">
        <x:f>IF(811&gt;$H$4,"",IF(INDEX('Fleet dates'!$F$9:$F$1008,$I819-8)="","",INDEX('Fleet dates'!$F$9:$F$1008,$I819-8)))</x:f>
      </x:c>
      <x:c r="G819" s="50" t="str">
        <x:f>IF(811&gt;$H$4,"",IF(INDEX('Fleet dates'!$G$9:$G$1008,$I819-8)="","",INDEX('Fleet dates'!$G$9:$G$1008,$I819-8)))</x:f>
      </x:c>
      <x:c r="H819" s="50" t="str">
        <x:f>IF(811&gt;$H$4,"",IF(INDEX('Fleet dates'!$I$9:$I$1008,$I819-8)="","",INDEX('Fleet dates'!$I$9:$I$1008,$I819-8)))</x:f>
      </x:c>
      <x:c r="I819" t="str">
        <x:f>IF(811&gt;$H$4,"",MATCH(811,'Fleet dates'!$L$9:$L$1008,0)+8)</x:f>
      </x:c>
    </x:row>
    <x:row r="820" ht="36" customHeight="1">
      <x:c r="A820" s="50" t="str">
        <x:f>IF(812&gt;$H$4,"",IF(INDEX('Fleet dates'!$A$9:$A$1008,$I820-8)="","",INDEX('Fleet dates'!$A$9:$A$1008,$I820-8)))</x:f>
      </x:c>
      <x:c r="B820" s="50" t="str">
        <x:f>IF(812&gt;$H$4,"",IF(INDEX('Fleet dates'!$B$9:$B$1008,$I820-8)="","",INDEX('Fleet dates'!$B$9:$B$1008,$I820-8)))</x:f>
      </x:c>
      <x:c r="C820" s="51" t="str">
        <x:f>IF(812&gt;$H$4,"",IF(INDEX('Fleet dates'!$C$9:$C$1008,$I820-8)="","",INDEX('Fleet dates'!$C$9:$C$1008,$I820-8)))</x:f>
      </x:c>
      <x:c r="D820" s="51" t="str">
        <x:f>IF(812&gt;$H$4,"",IF(INDEX('Fleet dates'!$D$9:$D$1008,$I820-8)="","",INDEX('Fleet dates'!$D$9:$D$1008,$I820-8)))</x:f>
      </x:c>
      <x:c r="E820" s="51" t="str">
        <x:f>IF(812&gt;$H$4,"",IF(INDEX('Fleet dates'!$E$9:$E$1008,$I820-8)="","",INDEX('Fleet dates'!$E$9:$E$1008,$I820-8)))</x:f>
      </x:c>
      <x:c r="F820" s="51" t="str">
        <x:f>IF(812&gt;$H$4,"",IF(INDEX('Fleet dates'!$F$9:$F$1008,$I820-8)="","",INDEX('Fleet dates'!$F$9:$F$1008,$I820-8)))</x:f>
      </x:c>
      <x:c r="G820" s="50" t="str">
        <x:f>IF(812&gt;$H$4,"",IF(INDEX('Fleet dates'!$G$9:$G$1008,$I820-8)="","",INDEX('Fleet dates'!$G$9:$G$1008,$I820-8)))</x:f>
      </x:c>
      <x:c r="H820" s="50" t="str">
        <x:f>IF(812&gt;$H$4,"",IF(INDEX('Fleet dates'!$I$9:$I$1008,$I820-8)="","",INDEX('Fleet dates'!$I$9:$I$1008,$I820-8)))</x:f>
      </x:c>
      <x:c r="I820" t="str">
        <x:f>IF(812&gt;$H$4,"",MATCH(812,'Fleet dates'!$L$9:$L$1008,0)+8)</x:f>
      </x:c>
    </x:row>
    <x:row r="821" ht="36" customHeight="1">
      <x:c r="A821" s="50" t="str">
        <x:f>IF(813&gt;$H$4,"",IF(INDEX('Fleet dates'!$A$9:$A$1008,$I821-8)="","",INDEX('Fleet dates'!$A$9:$A$1008,$I821-8)))</x:f>
      </x:c>
      <x:c r="B821" s="50" t="str">
        <x:f>IF(813&gt;$H$4,"",IF(INDEX('Fleet dates'!$B$9:$B$1008,$I821-8)="","",INDEX('Fleet dates'!$B$9:$B$1008,$I821-8)))</x:f>
      </x:c>
      <x:c r="C821" s="51" t="str">
        <x:f>IF(813&gt;$H$4,"",IF(INDEX('Fleet dates'!$C$9:$C$1008,$I821-8)="","",INDEX('Fleet dates'!$C$9:$C$1008,$I821-8)))</x:f>
      </x:c>
      <x:c r="D821" s="51" t="str">
        <x:f>IF(813&gt;$H$4,"",IF(INDEX('Fleet dates'!$D$9:$D$1008,$I821-8)="","",INDEX('Fleet dates'!$D$9:$D$1008,$I821-8)))</x:f>
      </x:c>
      <x:c r="E821" s="51" t="str">
        <x:f>IF(813&gt;$H$4,"",IF(INDEX('Fleet dates'!$E$9:$E$1008,$I821-8)="","",INDEX('Fleet dates'!$E$9:$E$1008,$I821-8)))</x:f>
      </x:c>
      <x:c r="F821" s="51" t="str">
        <x:f>IF(813&gt;$H$4,"",IF(INDEX('Fleet dates'!$F$9:$F$1008,$I821-8)="","",INDEX('Fleet dates'!$F$9:$F$1008,$I821-8)))</x:f>
      </x:c>
      <x:c r="G821" s="50" t="str">
        <x:f>IF(813&gt;$H$4,"",IF(INDEX('Fleet dates'!$G$9:$G$1008,$I821-8)="","",INDEX('Fleet dates'!$G$9:$G$1008,$I821-8)))</x:f>
      </x:c>
      <x:c r="H821" s="50" t="str">
        <x:f>IF(813&gt;$H$4,"",IF(INDEX('Fleet dates'!$I$9:$I$1008,$I821-8)="","",INDEX('Fleet dates'!$I$9:$I$1008,$I821-8)))</x:f>
      </x:c>
      <x:c r="I821" t="str">
        <x:f>IF(813&gt;$H$4,"",MATCH(813,'Fleet dates'!$L$9:$L$1008,0)+8)</x:f>
      </x:c>
    </x:row>
    <x:row r="822" ht="36" customHeight="1">
      <x:c r="A822" s="50" t="str">
        <x:f>IF(814&gt;$H$4,"",IF(INDEX('Fleet dates'!$A$9:$A$1008,$I822-8)="","",INDEX('Fleet dates'!$A$9:$A$1008,$I822-8)))</x:f>
      </x:c>
      <x:c r="B822" s="50" t="str">
        <x:f>IF(814&gt;$H$4,"",IF(INDEX('Fleet dates'!$B$9:$B$1008,$I822-8)="","",INDEX('Fleet dates'!$B$9:$B$1008,$I822-8)))</x:f>
      </x:c>
      <x:c r="C822" s="51" t="str">
        <x:f>IF(814&gt;$H$4,"",IF(INDEX('Fleet dates'!$C$9:$C$1008,$I822-8)="","",INDEX('Fleet dates'!$C$9:$C$1008,$I822-8)))</x:f>
      </x:c>
      <x:c r="D822" s="51" t="str">
        <x:f>IF(814&gt;$H$4,"",IF(INDEX('Fleet dates'!$D$9:$D$1008,$I822-8)="","",INDEX('Fleet dates'!$D$9:$D$1008,$I822-8)))</x:f>
      </x:c>
      <x:c r="E822" s="51" t="str">
        <x:f>IF(814&gt;$H$4,"",IF(INDEX('Fleet dates'!$E$9:$E$1008,$I822-8)="","",INDEX('Fleet dates'!$E$9:$E$1008,$I822-8)))</x:f>
      </x:c>
      <x:c r="F822" s="51" t="str">
        <x:f>IF(814&gt;$H$4,"",IF(INDEX('Fleet dates'!$F$9:$F$1008,$I822-8)="","",INDEX('Fleet dates'!$F$9:$F$1008,$I822-8)))</x:f>
      </x:c>
      <x:c r="G822" s="50" t="str">
        <x:f>IF(814&gt;$H$4,"",IF(INDEX('Fleet dates'!$G$9:$G$1008,$I822-8)="","",INDEX('Fleet dates'!$G$9:$G$1008,$I822-8)))</x:f>
      </x:c>
      <x:c r="H822" s="50" t="str">
        <x:f>IF(814&gt;$H$4,"",IF(INDEX('Fleet dates'!$I$9:$I$1008,$I822-8)="","",INDEX('Fleet dates'!$I$9:$I$1008,$I822-8)))</x:f>
      </x:c>
      <x:c r="I822" t="str">
        <x:f>IF(814&gt;$H$4,"",MATCH(814,'Fleet dates'!$L$9:$L$1008,0)+8)</x:f>
      </x:c>
    </x:row>
    <x:row r="823" ht="36" customHeight="1">
      <x:c r="A823" s="50" t="str">
        <x:f>IF(815&gt;$H$4,"",IF(INDEX('Fleet dates'!$A$9:$A$1008,$I823-8)="","",INDEX('Fleet dates'!$A$9:$A$1008,$I823-8)))</x:f>
      </x:c>
      <x:c r="B823" s="50" t="str">
        <x:f>IF(815&gt;$H$4,"",IF(INDEX('Fleet dates'!$B$9:$B$1008,$I823-8)="","",INDEX('Fleet dates'!$B$9:$B$1008,$I823-8)))</x:f>
      </x:c>
      <x:c r="C823" s="51" t="str">
        <x:f>IF(815&gt;$H$4,"",IF(INDEX('Fleet dates'!$C$9:$C$1008,$I823-8)="","",INDEX('Fleet dates'!$C$9:$C$1008,$I823-8)))</x:f>
      </x:c>
      <x:c r="D823" s="51" t="str">
        <x:f>IF(815&gt;$H$4,"",IF(INDEX('Fleet dates'!$D$9:$D$1008,$I823-8)="","",INDEX('Fleet dates'!$D$9:$D$1008,$I823-8)))</x:f>
      </x:c>
      <x:c r="E823" s="51" t="str">
        <x:f>IF(815&gt;$H$4,"",IF(INDEX('Fleet dates'!$E$9:$E$1008,$I823-8)="","",INDEX('Fleet dates'!$E$9:$E$1008,$I823-8)))</x:f>
      </x:c>
      <x:c r="F823" s="51" t="str">
        <x:f>IF(815&gt;$H$4,"",IF(INDEX('Fleet dates'!$F$9:$F$1008,$I823-8)="","",INDEX('Fleet dates'!$F$9:$F$1008,$I823-8)))</x:f>
      </x:c>
      <x:c r="G823" s="50" t="str">
        <x:f>IF(815&gt;$H$4,"",IF(INDEX('Fleet dates'!$G$9:$G$1008,$I823-8)="","",INDEX('Fleet dates'!$G$9:$G$1008,$I823-8)))</x:f>
      </x:c>
      <x:c r="H823" s="50" t="str">
        <x:f>IF(815&gt;$H$4,"",IF(INDEX('Fleet dates'!$I$9:$I$1008,$I823-8)="","",INDEX('Fleet dates'!$I$9:$I$1008,$I823-8)))</x:f>
      </x:c>
      <x:c r="I823" t="str">
        <x:f>IF(815&gt;$H$4,"",MATCH(815,'Fleet dates'!$L$9:$L$1008,0)+8)</x:f>
      </x:c>
    </x:row>
    <x:row r="824" ht="36" customHeight="1">
      <x:c r="A824" s="50" t="str">
        <x:f>IF(816&gt;$H$4,"",IF(INDEX('Fleet dates'!$A$9:$A$1008,$I824-8)="","",INDEX('Fleet dates'!$A$9:$A$1008,$I824-8)))</x:f>
      </x:c>
      <x:c r="B824" s="50" t="str">
        <x:f>IF(816&gt;$H$4,"",IF(INDEX('Fleet dates'!$B$9:$B$1008,$I824-8)="","",INDEX('Fleet dates'!$B$9:$B$1008,$I824-8)))</x:f>
      </x:c>
      <x:c r="C824" s="51" t="str">
        <x:f>IF(816&gt;$H$4,"",IF(INDEX('Fleet dates'!$C$9:$C$1008,$I824-8)="","",INDEX('Fleet dates'!$C$9:$C$1008,$I824-8)))</x:f>
      </x:c>
      <x:c r="D824" s="51" t="str">
        <x:f>IF(816&gt;$H$4,"",IF(INDEX('Fleet dates'!$D$9:$D$1008,$I824-8)="","",INDEX('Fleet dates'!$D$9:$D$1008,$I824-8)))</x:f>
      </x:c>
      <x:c r="E824" s="51" t="str">
        <x:f>IF(816&gt;$H$4,"",IF(INDEX('Fleet dates'!$E$9:$E$1008,$I824-8)="","",INDEX('Fleet dates'!$E$9:$E$1008,$I824-8)))</x:f>
      </x:c>
      <x:c r="F824" s="51" t="str">
        <x:f>IF(816&gt;$H$4,"",IF(INDEX('Fleet dates'!$F$9:$F$1008,$I824-8)="","",INDEX('Fleet dates'!$F$9:$F$1008,$I824-8)))</x:f>
      </x:c>
      <x:c r="G824" s="50" t="str">
        <x:f>IF(816&gt;$H$4,"",IF(INDEX('Fleet dates'!$G$9:$G$1008,$I824-8)="","",INDEX('Fleet dates'!$G$9:$G$1008,$I824-8)))</x:f>
      </x:c>
      <x:c r="H824" s="50" t="str">
        <x:f>IF(816&gt;$H$4,"",IF(INDEX('Fleet dates'!$I$9:$I$1008,$I824-8)="","",INDEX('Fleet dates'!$I$9:$I$1008,$I824-8)))</x:f>
      </x:c>
      <x:c r="I824" t="str">
        <x:f>IF(816&gt;$H$4,"",MATCH(816,'Fleet dates'!$L$9:$L$1008,0)+8)</x:f>
      </x:c>
    </x:row>
    <x:row r="825" ht="36" customHeight="1">
      <x:c r="A825" s="50" t="str">
        <x:f>IF(817&gt;$H$4,"",IF(INDEX('Fleet dates'!$A$9:$A$1008,$I825-8)="","",INDEX('Fleet dates'!$A$9:$A$1008,$I825-8)))</x:f>
      </x:c>
      <x:c r="B825" s="50" t="str">
        <x:f>IF(817&gt;$H$4,"",IF(INDEX('Fleet dates'!$B$9:$B$1008,$I825-8)="","",INDEX('Fleet dates'!$B$9:$B$1008,$I825-8)))</x:f>
      </x:c>
      <x:c r="C825" s="51" t="str">
        <x:f>IF(817&gt;$H$4,"",IF(INDEX('Fleet dates'!$C$9:$C$1008,$I825-8)="","",INDEX('Fleet dates'!$C$9:$C$1008,$I825-8)))</x:f>
      </x:c>
      <x:c r="D825" s="51" t="str">
        <x:f>IF(817&gt;$H$4,"",IF(INDEX('Fleet dates'!$D$9:$D$1008,$I825-8)="","",INDEX('Fleet dates'!$D$9:$D$1008,$I825-8)))</x:f>
      </x:c>
      <x:c r="E825" s="51" t="str">
        <x:f>IF(817&gt;$H$4,"",IF(INDEX('Fleet dates'!$E$9:$E$1008,$I825-8)="","",INDEX('Fleet dates'!$E$9:$E$1008,$I825-8)))</x:f>
      </x:c>
      <x:c r="F825" s="51" t="str">
        <x:f>IF(817&gt;$H$4,"",IF(INDEX('Fleet dates'!$F$9:$F$1008,$I825-8)="","",INDEX('Fleet dates'!$F$9:$F$1008,$I825-8)))</x:f>
      </x:c>
      <x:c r="G825" s="50" t="str">
        <x:f>IF(817&gt;$H$4,"",IF(INDEX('Fleet dates'!$G$9:$G$1008,$I825-8)="","",INDEX('Fleet dates'!$G$9:$G$1008,$I825-8)))</x:f>
      </x:c>
      <x:c r="H825" s="50" t="str">
        <x:f>IF(817&gt;$H$4,"",IF(INDEX('Fleet dates'!$I$9:$I$1008,$I825-8)="","",INDEX('Fleet dates'!$I$9:$I$1008,$I825-8)))</x:f>
      </x:c>
      <x:c r="I825" t="str">
        <x:f>IF(817&gt;$H$4,"",MATCH(817,'Fleet dates'!$L$9:$L$1008,0)+8)</x:f>
      </x:c>
    </x:row>
    <x:row r="826" ht="36" customHeight="1">
      <x:c r="A826" s="50" t="str">
        <x:f>IF(818&gt;$H$4,"",IF(INDEX('Fleet dates'!$A$9:$A$1008,$I826-8)="","",INDEX('Fleet dates'!$A$9:$A$1008,$I826-8)))</x:f>
      </x:c>
      <x:c r="B826" s="50" t="str">
        <x:f>IF(818&gt;$H$4,"",IF(INDEX('Fleet dates'!$B$9:$B$1008,$I826-8)="","",INDEX('Fleet dates'!$B$9:$B$1008,$I826-8)))</x:f>
      </x:c>
      <x:c r="C826" s="51" t="str">
        <x:f>IF(818&gt;$H$4,"",IF(INDEX('Fleet dates'!$C$9:$C$1008,$I826-8)="","",INDEX('Fleet dates'!$C$9:$C$1008,$I826-8)))</x:f>
      </x:c>
      <x:c r="D826" s="51" t="str">
        <x:f>IF(818&gt;$H$4,"",IF(INDEX('Fleet dates'!$D$9:$D$1008,$I826-8)="","",INDEX('Fleet dates'!$D$9:$D$1008,$I826-8)))</x:f>
      </x:c>
      <x:c r="E826" s="51" t="str">
        <x:f>IF(818&gt;$H$4,"",IF(INDEX('Fleet dates'!$E$9:$E$1008,$I826-8)="","",INDEX('Fleet dates'!$E$9:$E$1008,$I826-8)))</x:f>
      </x:c>
      <x:c r="F826" s="51" t="str">
        <x:f>IF(818&gt;$H$4,"",IF(INDEX('Fleet dates'!$F$9:$F$1008,$I826-8)="","",INDEX('Fleet dates'!$F$9:$F$1008,$I826-8)))</x:f>
      </x:c>
      <x:c r="G826" s="50" t="str">
        <x:f>IF(818&gt;$H$4,"",IF(INDEX('Fleet dates'!$G$9:$G$1008,$I826-8)="","",INDEX('Fleet dates'!$G$9:$G$1008,$I826-8)))</x:f>
      </x:c>
      <x:c r="H826" s="50" t="str">
        <x:f>IF(818&gt;$H$4,"",IF(INDEX('Fleet dates'!$I$9:$I$1008,$I826-8)="","",INDEX('Fleet dates'!$I$9:$I$1008,$I826-8)))</x:f>
      </x:c>
      <x:c r="I826" t="str">
        <x:f>IF(818&gt;$H$4,"",MATCH(818,'Fleet dates'!$L$9:$L$1008,0)+8)</x:f>
      </x:c>
    </x:row>
    <x:row r="827" ht="36" customHeight="1">
      <x:c r="A827" s="50" t="str">
        <x:f>IF(819&gt;$H$4,"",IF(INDEX('Fleet dates'!$A$9:$A$1008,$I827-8)="","",INDEX('Fleet dates'!$A$9:$A$1008,$I827-8)))</x:f>
      </x:c>
      <x:c r="B827" s="50" t="str">
        <x:f>IF(819&gt;$H$4,"",IF(INDEX('Fleet dates'!$B$9:$B$1008,$I827-8)="","",INDEX('Fleet dates'!$B$9:$B$1008,$I827-8)))</x:f>
      </x:c>
      <x:c r="C827" s="51" t="str">
        <x:f>IF(819&gt;$H$4,"",IF(INDEX('Fleet dates'!$C$9:$C$1008,$I827-8)="","",INDEX('Fleet dates'!$C$9:$C$1008,$I827-8)))</x:f>
      </x:c>
      <x:c r="D827" s="51" t="str">
        <x:f>IF(819&gt;$H$4,"",IF(INDEX('Fleet dates'!$D$9:$D$1008,$I827-8)="","",INDEX('Fleet dates'!$D$9:$D$1008,$I827-8)))</x:f>
      </x:c>
      <x:c r="E827" s="51" t="str">
        <x:f>IF(819&gt;$H$4,"",IF(INDEX('Fleet dates'!$E$9:$E$1008,$I827-8)="","",INDEX('Fleet dates'!$E$9:$E$1008,$I827-8)))</x:f>
      </x:c>
      <x:c r="F827" s="51" t="str">
        <x:f>IF(819&gt;$H$4,"",IF(INDEX('Fleet dates'!$F$9:$F$1008,$I827-8)="","",INDEX('Fleet dates'!$F$9:$F$1008,$I827-8)))</x:f>
      </x:c>
      <x:c r="G827" s="50" t="str">
        <x:f>IF(819&gt;$H$4,"",IF(INDEX('Fleet dates'!$G$9:$G$1008,$I827-8)="","",INDEX('Fleet dates'!$G$9:$G$1008,$I827-8)))</x:f>
      </x:c>
      <x:c r="H827" s="50" t="str">
        <x:f>IF(819&gt;$H$4,"",IF(INDEX('Fleet dates'!$I$9:$I$1008,$I827-8)="","",INDEX('Fleet dates'!$I$9:$I$1008,$I827-8)))</x:f>
      </x:c>
      <x:c r="I827" t="str">
        <x:f>IF(819&gt;$H$4,"",MATCH(819,'Fleet dates'!$L$9:$L$1008,0)+8)</x:f>
      </x:c>
    </x:row>
    <x:row r="828" ht="36" customHeight="1">
      <x:c r="A828" s="50" t="str">
        <x:f>IF(820&gt;$H$4,"",IF(INDEX('Fleet dates'!$A$9:$A$1008,$I828-8)="","",INDEX('Fleet dates'!$A$9:$A$1008,$I828-8)))</x:f>
      </x:c>
      <x:c r="B828" s="50" t="str">
        <x:f>IF(820&gt;$H$4,"",IF(INDEX('Fleet dates'!$B$9:$B$1008,$I828-8)="","",INDEX('Fleet dates'!$B$9:$B$1008,$I828-8)))</x:f>
      </x:c>
      <x:c r="C828" s="51" t="str">
        <x:f>IF(820&gt;$H$4,"",IF(INDEX('Fleet dates'!$C$9:$C$1008,$I828-8)="","",INDEX('Fleet dates'!$C$9:$C$1008,$I828-8)))</x:f>
      </x:c>
      <x:c r="D828" s="51" t="str">
        <x:f>IF(820&gt;$H$4,"",IF(INDEX('Fleet dates'!$D$9:$D$1008,$I828-8)="","",INDEX('Fleet dates'!$D$9:$D$1008,$I828-8)))</x:f>
      </x:c>
      <x:c r="E828" s="51" t="str">
        <x:f>IF(820&gt;$H$4,"",IF(INDEX('Fleet dates'!$E$9:$E$1008,$I828-8)="","",INDEX('Fleet dates'!$E$9:$E$1008,$I828-8)))</x:f>
      </x:c>
      <x:c r="F828" s="51" t="str">
        <x:f>IF(820&gt;$H$4,"",IF(INDEX('Fleet dates'!$F$9:$F$1008,$I828-8)="","",INDEX('Fleet dates'!$F$9:$F$1008,$I828-8)))</x:f>
      </x:c>
      <x:c r="G828" s="50" t="str">
        <x:f>IF(820&gt;$H$4,"",IF(INDEX('Fleet dates'!$G$9:$G$1008,$I828-8)="","",INDEX('Fleet dates'!$G$9:$G$1008,$I828-8)))</x:f>
      </x:c>
      <x:c r="H828" s="50" t="str">
        <x:f>IF(820&gt;$H$4,"",IF(INDEX('Fleet dates'!$I$9:$I$1008,$I828-8)="","",INDEX('Fleet dates'!$I$9:$I$1008,$I828-8)))</x:f>
      </x:c>
      <x:c r="I828" t="str">
        <x:f>IF(820&gt;$H$4,"",MATCH(820,'Fleet dates'!$L$9:$L$1008,0)+8)</x:f>
      </x:c>
    </x:row>
    <x:row r="829" ht="36" customHeight="1">
      <x:c r="A829" s="50" t="str">
        <x:f>IF(821&gt;$H$4,"",IF(INDEX('Fleet dates'!$A$9:$A$1008,$I829-8)="","",INDEX('Fleet dates'!$A$9:$A$1008,$I829-8)))</x:f>
      </x:c>
      <x:c r="B829" s="50" t="str">
        <x:f>IF(821&gt;$H$4,"",IF(INDEX('Fleet dates'!$B$9:$B$1008,$I829-8)="","",INDEX('Fleet dates'!$B$9:$B$1008,$I829-8)))</x:f>
      </x:c>
      <x:c r="C829" s="51" t="str">
        <x:f>IF(821&gt;$H$4,"",IF(INDEX('Fleet dates'!$C$9:$C$1008,$I829-8)="","",INDEX('Fleet dates'!$C$9:$C$1008,$I829-8)))</x:f>
      </x:c>
      <x:c r="D829" s="51" t="str">
        <x:f>IF(821&gt;$H$4,"",IF(INDEX('Fleet dates'!$D$9:$D$1008,$I829-8)="","",INDEX('Fleet dates'!$D$9:$D$1008,$I829-8)))</x:f>
      </x:c>
      <x:c r="E829" s="51" t="str">
        <x:f>IF(821&gt;$H$4,"",IF(INDEX('Fleet dates'!$E$9:$E$1008,$I829-8)="","",INDEX('Fleet dates'!$E$9:$E$1008,$I829-8)))</x:f>
      </x:c>
      <x:c r="F829" s="51" t="str">
        <x:f>IF(821&gt;$H$4,"",IF(INDEX('Fleet dates'!$F$9:$F$1008,$I829-8)="","",INDEX('Fleet dates'!$F$9:$F$1008,$I829-8)))</x:f>
      </x:c>
      <x:c r="G829" s="50" t="str">
        <x:f>IF(821&gt;$H$4,"",IF(INDEX('Fleet dates'!$G$9:$G$1008,$I829-8)="","",INDEX('Fleet dates'!$G$9:$G$1008,$I829-8)))</x:f>
      </x:c>
      <x:c r="H829" s="50" t="str">
        <x:f>IF(821&gt;$H$4,"",IF(INDEX('Fleet dates'!$I$9:$I$1008,$I829-8)="","",INDEX('Fleet dates'!$I$9:$I$1008,$I829-8)))</x:f>
      </x:c>
      <x:c r="I829" t="str">
        <x:f>IF(821&gt;$H$4,"",MATCH(821,'Fleet dates'!$L$9:$L$1008,0)+8)</x:f>
      </x:c>
    </x:row>
    <x:row r="830" ht="36" customHeight="1">
      <x:c r="A830" s="50" t="str">
        <x:f>IF(822&gt;$H$4,"",IF(INDEX('Fleet dates'!$A$9:$A$1008,$I830-8)="","",INDEX('Fleet dates'!$A$9:$A$1008,$I830-8)))</x:f>
      </x:c>
      <x:c r="B830" s="50" t="str">
        <x:f>IF(822&gt;$H$4,"",IF(INDEX('Fleet dates'!$B$9:$B$1008,$I830-8)="","",INDEX('Fleet dates'!$B$9:$B$1008,$I830-8)))</x:f>
      </x:c>
      <x:c r="C830" s="51" t="str">
        <x:f>IF(822&gt;$H$4,"",IF(INDEX('Fleet dates'!$C$9:$C$1008,$I830-8)="","",INDEX('Fleet dates'!$C$9:$C$1008,$I830-8)))</x:f>
      </x:c>
      <x:c r="D830" s="51" t="str">
        <x:f>IF(822&gt;$H$4,"",IF(INDEX('Fleet dates'!$D$9:$D$1008,$I830-8)="","",INDEX('Fleet dates'!$D$9:$D$1008,$I830-8)))</x:f>
      </x:c>
      <x:c r="E830" s="51" t="str">
        <x:f>IF(822&gt;$H$4,"",IF(INDEX('Fleet dates'!$E$9:$E$1008,$I830-8)="","",INDEX('Fleet dates'!$E$9:$E$1008,$I830-8)))</x:f>
      </x:c>
      <x:c r="F830" s="51" t="str">
        <x:f>IF(822&gt;$H$4,"",IF(INDEX('Fleet dates'!$F$9:$F$1008,$I830-8)="","",INDEX('Fleet dates'!$F$9:$F$1008,$I830-8)))</x:f>
      </x:c>
      <x:c r="G830" s="50" t="str">
        <x:f>IF(822&gt;$H$4,"",IF(INDEX('Fleet dates'!$G$9:$G$1008,$I830-8)="","",INDEX('Fleet dates'!$G$9:$G$1008,$I830-8)))</x:f>
      </x:c>
      <x:c r="H830" s="50" t="str">
        <x:f>IF(822&gt;$H$4,"",IF(INDEX('Fleet dates'!$I$9:$I$1008,$I830-8)="","",INDEX('Fleet dates'!$I$9:$I$1008,$I830-8)))</x:f>
      </x:c>
      <x:c r="I830" t="str">
        <x:f>IF(822&gt;$H$4,"",MATCH(822,'Fleet dates'!$L$9:$L$1008,0)+8)</x:f>
      </x:c>
    </x:row>
    <x:row r="831" ht="36" customHeight="1">
      <x:c r="A831" s="50" t="str">
        <x:f>IF(823&gt;$H$4,"",IF(INDEX('Fleet dates'!$A$9:$A$1008,$I831-8)="","",INDEX('Fleet dates'!$A$9:$A$1008,$I831-8)))</x:f>
      </x:c>
      <x:c r="B831" s="50" t="str">
        <x:f>IF(823&gt;$H$4,"",IF(INDEX('Fleet dates'!$B$9:$B$1008,$I831-8)="","",INDEX('Fleet dates'!$B$9:$B$1008,$I831-8)))</x:f>
      </x:c>
      <x:c r="C831" s="51" t="str">
        <x:f>IF(823&gt;$H$4,"",IF(INDEX('Fleet dates'!$C$9:$C$1008,$I831-8)="","",INDEX('Fleet dates'!$C$9:$C$1008,$I831-8)))</x:f>
      </x:c>
      <x:c r="D831" s="51" t="str">
        <x:f>IF(823&gt;$H$4,"",IF(INDEX('Fleet dates'!$D$9:$D$1008,$I831-8)="","",INDEX('Fleet dates'!$D$9:$D$1008,$I831-8)))</x:f>
      </x:c>
      <x:c r="E831" s="51" t="str">
        <x:f>IF(823&gt;$H$4,"",IF(INDEX('Fleet dates'!$E$9:$E$1008,$I831-8)="","",INDEX('Fleet dates'!$E$9:$E$1008,$I831-8)))</x:f>
      </x:c>
      <x:c r="F831" s="51" t="str">
        <x:f>IF(823&gt;$H$4,"",IF(INDEX('Fleet dates'!$F$9:$F$1008,$I831-8)="","",INDEX('Fleet dates'!$F$9:$F$1008,$I831-8)))</x:f>
      </x:c>
      <x:c r="G831" s="50" t="str">
        <x:f>IF(823&gt;$H$4,"",IF(INDEX('Fleet dates'!$G$9:$G$1008,$I831-8)="","",INDEX('Fleet dates'!$G$9:$G$1008,$I831-8)))</x:f>
      </x:c>
      <x:c r="H831" s="50" t="str">
        <x:f>IF(823&gt;$H$4,"",IF(INDEX('Fleet dates'!$I$9:$I$1008,$I831-8)="","",INDEX('Fleet dates'!$I$9:$I$1008,$I831-8)))</x:f>
      </x:c>
      <x:c r="I831" t="str">
        <x:f>IF(823&gt;$H$4,"",MATCH(823,'Fleet dates'!$L$9:$L$1008,0)+8)</x:f>
      </x:c>
    </x:row>
    <x:row r="832" ht="36" customHeight="1">
      <x:c r="A832" s="50" t="str">
        <x:f>IF(824&gt;$H$4,"",IF(INDEX('Fleet dates'!$A$9:$A$1008,$I832-8)="","",INDEX('Fleet dates'!$A$9:$A$1008,$I832-8)))</x:f>
      </x:c>
      <x:c r="B832" s="50" t="str">
        <x:f>IF(824&gt;$H$4,"",IF(INDEX('Fleet dates'!$B$9:$B$1008,$I832-8)="","",INDEX('Fleet dates'!$B$9:$B$1008,$I832-8)))</x:f>
      </x:c>
      <x:c r="C832" s="51" t="str">
        <x:f>IF(824&gt;$H$4,"",IF(INDEX('Fleet dates'!$C$9:$C$1008,$I832-8)="","",INDEX('Fleet dates'!$C$9:$C$1008,$I832-8)))</x:f>
      </x:c>
      <x:c r="D832" s="51" t="str">
        <x:f>IF(824&gt;$H$4,"",IF(INDEX('Fleet dates'!$D$9:$D$1008,$I832-8)="","",INDEX('Fleet dates'!$D$9:$D$1008,$I832-8)))</x:f>
      </x:c>
      <x:c r="E832" s="51" t="str">
        <x:f>IF(824&gt;$H$4,"",IF(INDEX('Fleet dates'!$E$9:$E$1008,$I832-8)="","",INDEX('Fleet dates'!$E$9:$E$1008,$I832-8)))</x:f>
      </x:c>
      <x:c r="F832" s="51" t="str">
        <x:f>IF(824&gt;$H$4,"",IF(INDEX('Fleet dates'!$F$9:$F$1008,$I832-8)="","",INDEX('Fleet dates'!$F$9:$F$1008,$I832-8)))</x:f>
      </x:c>
      <x:c r="G832" s="50" t="str">
        <x:f>IF(824&gt;$H$4,"",IF(INDEX('Fleet dates'!$G$9:$G$1008,$I832-8)="","",INDEX('Fleet dates'!$G$9:$G$1008,$I832-8)))</x:f>
      </x:c>
      <x:c r="H832" s="50" t="str">
        <x:f>IF(824&gt;$H$4,"",IF(INDEX('Fleet dates'!$I$9:$I$1008,$I832-8)="","",INDEX('Fleet dates'!$I$9:$I$1008,$I832-8)))</x:f>
      </x:c>
      <x:c r="I832" t="str">
        <x:f>IF(824&gt;$H$4,"",MATCH(824,'Fleet dates'!$L$9:$L$1008,0)+8)</x:f>
      </x:c>
    </x:row>
    <x:row r="833" ht="36" customHeight="1">
      <x:c r="A833" s="50" t="str">
        <x:f>IF(825&gt;$H$4,"",IF(INDEX('Fleet dates'!$A$9:$A$1008,$I833-8)="","",INDEX('Fleet dates'!$A$9:$A$1008,$I833-8)))</x:f>
      </x:c>
      <x:c r="B833" s="50" t="str">
        <x:f>IF(825&gt;$H$4,"",IF(INDEX('Fleet dates'!$B$9:$B$1008,$I833-8)="","",INDEX('Fleet dates'!$B$9:$B$1008,$I833-8)))</x:f>
      </x:c>
      <x:c r="C833" s="51" t="str">
        <x:f>IF(825&gt;$H$4,"",IF(INDEX('Fleet dates'!$C$9:$C$1008,$I833-8)="","",INDEX('Fleet dates'!$C$9:$C$1008,$I833-8)))</x:f>
      </x:c>
      <x:c r="D833" s="51" t="str">
        <x:f>IF(825&gt;$H$4,"",IF(INDEX('Fleet dates'!$D$9:$D$1008,$I833-8)="","",INDEX('Fleet dates'!$D$9:$D$1008,$I833-8)))</x:f>
      </x:c>
      <x:c r="E833" s="51" t="str">
        <x:f>IF(825&gt;$H$4,"",IF(INDEX('Fleet dates'!$E$9:$E$1008,$I833-8)="","",INDEX('Fleet dates'!$E$9:$E$1008,$I833-8)))</x:f>
      </x:c>
      <x:c r="F833" s="51" t="str">
        <x:f>IF(825&gt;$H$4,"",IF(INDEX('Fleet dates'!$F$9:$F$1008,$I833-8)="","",INDEX('Fleet dates'!$F$9:$F$1008,$I833-8)))</x:f>
      </x:c>
      <x:c r="G833" s="50" t="str">
        <x:f>IF(825&gt;$H$4,"",IF(INDEX('Fleet dates'!$G$9:$G$1008,$I833-8)="","",INDEX('Fleet dates'!$G$9:$G$1008,$I833-8)))</x:f>
      </x:c>
      <x:c r="H833" s="50" t="str">
        <x:f>IF(825&gt;$H$4,"",IF(INDEX('Fleet dates'!$I$9:$I$1008,$I833-8)="","",INDEX('Fleet dates'!$I$9:$I$1008,$I833-8)))</x:f>
      </x:c>
      <x:c r="I833" t="str">
        <x:f>IF(825&gt;$H$4,"",MATCH(825,'Fleet dates'!$L$9:$L$1008,0)+8)</x:f>
      </x:c>
    </x:row>
    <x:row r="834" ht="36" customHeight="1">
      <x:c r="A834" s="50" t="str">
        <x:f>IF(826&gt;$H$4,"",IF(INDEX('Fleet dates'!$A$9:$A$1008,$I834-8)="","",INDEX('Fleet dates'!$A$9:$A$1008,$I834-8)))</x:f>
      </x:c>
      <x:c r="B834" s="50" t="str">
        <x:f>IF(826&gt;$H$4,"",IF(INDEX('Fleet dates'!$B$9:$B$1008,$I834-8)="","",INDEX('Fleet dates'!$B$9:$B$1008,$I834-8)))</x:f>
      </x:c>
      <x:c r="C834" s="51" t="str">
        <x:f>IF(826&gt;$H$4,"",IF(INDEX('Fleet dates'!$C$9:$C$1008,$I834-8)="","",INDEX('Fleet dates'!$C$9:$C$1008,$I834-8)))</x:f>
      </x:c>
      <x:c r="D834" s="51" t="str">
        <x:f>IF(826&gt;$H$4,"",IF(INDEX('Fleet dates'!$D$9:$D$1008,$I834-8)="","",INDEX('Fleet dates'!$D$9:$D$1008,$I834-8)))</x:f>
      </x:c>
      <x:c r="E834" s="51" t="str">
        <x:f>IF(826&gt;$H$4,"",IF(INDEX('Fleet dates'!$E$9:$E$1008,$I834-8)="","",INDEX('Fleet dates'!$E$9:$E$1008,$I834-8)))</x:f>
      </x:c>
      <x:c r="F834" s="51" t="str">
        <x:f>IF(826&gt;$H$4,"",IF(INDEX('Fleet dates'!$F$9:$F$1008,$I834-8)="","",INDEX('Fleet dates'!$F$9:$F$1008,$I834-8)))</x:f>
      </x:c>
      <x:c r="G834" s="50" t="str">
        <x:f>IF(826&gt;$H$4,"",IF(INDEX('Fleet dates'!$G$9:$G$1008,$I834-8)="","",INDEX('Fleet dates'!$G$9:$G$1008,$I834-8)))</x:f>
      </x:c>
      <x:c r="H834" s="50" t="str">
        <x:f>IF(826&gt;$H$4,"",IF(INDEX('Fleet dates'!$I$9:$I$1008,$I834-8)="","",INDEX('Fleet dates'!$I$9:$I$1008,$I834-8)))</x:f>
      </x:c>
      <x:c r="I834" t="str">
        <x:f>IF(826&gt;$H$4,"",MATCH(826,'Fleet dates'!$L$9:$L$1008,0)+8)</x:f>
      </x:c>
    </x:row>
    <x:row r="835" ht="36" customHeight="1">
      <x:c r="A835" s="50" t="str">
        <x:f>IF(827&gt;$H$4,"",IF(INDEX('Fleet dates'!$A$9:$A$1008,$I835-8)="","",INDEX('Fleet dates'!$A$9:$A$1008,$I835-8)))</x:f>
      </x:c>
      <x:c r="B835" s="50" t="str">
        <x:f>IF(827&gt;$H$4,"",IF(INDEX('Fleet dates'!$B$9:$B$1008,$I835-8)="","",INDEX('Fleet dates'!$B$9:$B$1008,$I835-8)))</x:f>
      </x:c>
      <x:c r="C835" s="51" t="str">
        <x:f>IF(827&gt;$H$4,"",IF(INDEX('Fleet dates'!$C$9:$C$1008,$I835-8)="","",INDEX('Fleet dates'!$C$9:$C$1008,$I835-8)))</x:f>
      </x:c>
      <x:c r="D835" s="51" t="str">
        <x:f>IF(827&gt;$H$4,"",IF(INDEX('Fleet dates'!$D$9:$D$1008,$I835-8)="","",INDEX('Fleet dates'!$D$9:$D$1008,$I835-8)))</x:f>
      </x:c>
      <x:c r="E835" s="51" t="str">
        <x:f>IF(827&gt;$H$4,"",IF(INDEX('Fleet dates'!$E$9:$E$1008,$I835-8)="","",INDEX('Fleet dates'!$E$9:$E$1008,$I835-8)))</x:f>
      </x:c>
      <x:c r="F835" s="51" t="str">
        <x:f>IF(827&gt;$H$4,"",IF(INDEX('Fleet dates'!$F$9:$F$1008,$I835-8)="","",INDEX('Fleet dates'!$F$9:$F$1008,$I835-8)))</x:f>
      </x:c>
      <x:c r="G835" s="50" t="str">
        <x:f>IF(827&gt;$H$4,"",IF(INDEX('Fleet dates'!$G$9:$G$1008,$I835-8)="","",INDEX('Fleet dates'!$G$9:$G$1008,$I835-8)))</x:f>
      </x:c>
      <x:c r="H835" s="50" t="str">
        <x:f>IF(827&gt;$H$4,"",IF(INDEX('Fleet dates'!$I$9:$I$1008,$I835-8)="","",INDEX('Fleet dates'!$I$9:$I$1008,$I835-8)))</x:f>
      </x:c>
      <x:c r="I835" t="str">
        <x:f>IF(827&gt;$H$4,"",MATCH(827,'Fleet dates'!$L$9:$L$1008,0)+8)</x:f>
      </x:c>
    </x:row>
    <x:row r="836" ht="36" customHeight="1">
      <x:c r="A836" s="50" t="str">
        <x:f>IF(828&gt;$H$4,"",IF(INDEX('Fleet dates'!$A$9:$A$1008,$I836-8)="","",INDEX('Fleet dates'!$A$9:$A$1008,$I836-8)))</x:f>
      </x:c>
      <x:c r="B836" s="50" t="str">
        <x:f>IF(828&gt;$H$4,"",IF(INDEX('Fleet dates'!$B$9:$B$1008,$I836-8)="","",INDEX('Fleet dates'!$B$9:$B$1008,$I836-8)))</x:f>
      </x:c>
      <x:c r="C836" s="51" t="str">
        <x:f>IF(828&gt;$H$4,"",IF(INDEX('Fleet dates'!$C$9:$C$1008,$I836-8)="","",INDEX('Fleet dates'!$C$9:$C$1008,$I836-8)))</x:f>
      </x:c>
      <x:c r="D836" s="51" t="str">
        <x:f>IF(828&gt;$H$4,"",IF(INDEX('Fleet dates'!$D$9:$D$1008,$I836-8)="","",INDEX('Fleet dates'!$D$9:$D$1008,$I836-8)))</x:f>
      </x:c>
      <x:c r="E836" s="51" t="str">
        <x:f>IF(828&gt;$H$4,"",IF(INDEX('Fleet dates'!$E$9:$E$1008,$I836-8)="","",INDEX('Fleet dates'!$E$9:$E$1008,$I836-8)))</x:f>
      </x:c>
      <x:c r="F836" s="51" t="str">
        <x:f>IF(828&gt;$H$4,"",IF(INDEX('Fleet dates'!$F$9:$F$1008,$I836-8)="","",INDEX('Fleet dates'!$F$9:$F$1008,$I836-8)))</x:f>
      </x:c>
      <x:c r="G836" s="50" t="str">
        <x:f>IF(828&gt;$H$4,"",IF(INDEX('Fleet dates'!$G$9:$G$1008,$I836-8)="","",INDEX('Fleet dates'!$G$9:$G$1008,$I836-8)))</x:f>
      </x:c>
      <x:c r="H836" s="50" t="str">
        <x:f>IF(828&gt;$H$4,"",IF(INDEX('Fleet dates'!$I$9:$I$1008,$I836-8)="","",INDEX('Fleet dates'!$I$9:$I$1008,$I836-8)))</x:f>
      </x:c>
      <x:c r="I836" t="str">
        <x:f>IF(828&gt;$H$4,"",MATCH(828,'Fleet dates'!$L$9:$L$1008,0)+8)</x:f>
      </x:c>
    </x:row>
    <x:row r="837" ht="36" customHeight="1">
      <x:c r="A837" s="50" t="str">
        <x:f>IF(829&gt;$H$4,"",IF(INDEX('Fleet dates'!$A$9:$A$1008,$I837-8)="","",INDEX('Fleet dates'!$A$9:$A$1008,$I837-8)))</x:f>
      </x:c>
      <x:c r="B837" s="50" t="str">
        <x:f>IF(829&gt;$H$4,"",IF(INDEX('Fleet dates'!$B$9:$B$1008,$I837-8)="","",INDEX('Fleet dates'!$B$9:$B$1008,$I837-8)))</x:f>
      </x:c>
      <x:c r="C837" s="51" t="str">
        <x:f>IF(829&gt;$H$4,"",IF(INDEX('Fleet dates'!$C$9:$C$1008,$I837-8)="","",INDEX('Fleet dates'!$C$9:$C$1008,$I837-8)))</x:f>
      </x:c>
      <x:c r="D837" s="51" t="str">
        <x:f>IF(829&gt;$H$4,"",IF(INDEX('Fleet dates'!$D$9:$D$1008,$I837-8)="","",INDEX('Fleet dates'!$D$9:$D$1008,$I837-8)))</x:f>
      </x:c>
      <x:c r="E837" s="51" t="str">
        <x:f>IF(829&gt;$H$4,"",IF(INDEX('Fleet dates'!$E$9:$E$1008,$I837-8)="","",INDEX('Fleet dates'!$E$9:$E$1008,$I837-8)))</x:f>
      </x:c>
      <x:c r="F837" s="51" t="str">
        <x:f>IF(829&gt;$H$4,"",IF(INDEX('Fleet dates'!$F$9:$F$1008,$I837-8)="","",INDEX('Fleet dates'!$F$9:$F$1008,$I837-8)))</x:f>
      </x:c>
      <x:c r="G837" s="50" t="str">
        <x:f>IF(829&gt;$H$4,"",IF(INDEX('Fleet dates'!$G$9:$G$1008,$I837-8)="","",INDEX('Fleet dates'!$G$9:$G$1008,$I837-8)))</x:f>
      </x:c>
      <x:c r="H837" s="50" t="str">
        <x:f>IF(829&gt;$H$4,"",IF(INDEX('Fleet dates'!$I$9:$I$1008,$I837-8)="","",INDEX('Fleet dates'!$I$9:$I$1008,$I837-8)))</x:f>
      </x:c>
      <x:c r="I837" t="str">
        <x:f>IF(829&gt;$H$4,"",MATCH(829,'Fleet dates'!$L$9:$L$1008,0)+8)</x:f>
      </x:c>
    </x:row>
    <x:row r="838" ht="36" customHeight="1">
      <x:c r="A838" s="50" t="str">
        <x:f>IF(830&gt;$H$4,"",IF(INDEX('Fleet dates'!$A$9:$A$1008,$I838-8)="","",INDEX('Fleet dates'!$A$9:$A$1008,$I838-8)))</x:f>
      </x:c>
      <x:c r="B838" s="50" t="str">
        <x:f>IF(830&gt;$H$4,"",IF(INDEX('Fleet dates'!$B$9:$B$1008,$I838-8)="","",INDEX('Fleet dates'!$B$9:$B$1008,$I838-8)))</x:f>
      </x:c>
      <x:c r="C838" s="51" t="str">
        <x:f>IF(830&gt;$H$4,"",IF(INDEX('Fleet dates'!$C$9:$C$1008,$I838-8)="","",INDEX('Fleet dates'!$C$9:$C$1008,$I838-8)))</x:f>
      </x:c>
      <x:c r="D838" s="51" t="str">
        <x:f>IF(830&gt;$H$4,"",IF(INDEX('Fleet dates'!$D$9:$D$1008,$I838-8)="","",INDEX('Fleet dates'!$D$9:$D$1008,$I838-8)))</x:f>
      </x:c>
      <x:c r="E838" s="51" t="str">
        <x:f>IF(830&gt;$H$4,"",IF(INDEX('Fleet dates'!$E$9:$E$1008,$I838-8)="","",INDEX('Fleet dates'!$E$9:$E$1008,$I838-8)))</x:f>
      </x:c>
      <x:c r="F838" s="51" t="str">
        <x:f>IF(830&gt;$H$4,"",IF(INDEX('Fleet dates'!$F$9:$F$1008,$I838-8)="","",INDEX('Fleet dates'!$F$9:$F$1008,$I838-8)))</x:f>
      </x:c>
      <x:c r="G838" s="50" t="str">
        <x:f>IF(830&gt;$H$4,"",IF(INDEX('Fleet dates'!$G$9:$G$1008,$I838-8)="","",INDEX('Fleet dates'!$G$9:$G$1008,$I838-8)))</x:f>
      </x:c>
      <x:c r="H838" s="50" t="str">
        <x:f>IF(830&gt;$H$4,"",IF(INDEX('Fleet dates'!$I$9:$I$1008,$I838-8)="","",INDEX('Fleet dates'!$I$9:$I$1008,$I838-8)))</x:f>
      </x:c>
      <x:c r="I838" t="str">
        <x:f>IF(830&gt;$H$4,"",MATCH(830,'Fleet dates'!$L$9:$L$1008,0)+8)</x:f>
      </x:c>
    </x:row>
    <x:row r="839" ht="36" customHeight="1">
      <x:c r="A839" s="50" t="str">
        <x:f>IF(831&gt;$H$4,"",IF(INDEX('Fleet dates'!$A$9:$A$1008,$I839-8)="","",INDEX('Fleet dates'!$A$9:$A$1008,$I839-8)))</x:f>
      </x:c>
      <x:c r="B839" s="50" t="str">
        <x:f>IF(831&gt;$H$4,"",IF(INDEX('Fleet dates'!$B$9:$B$1008,$I839-8)="","",INDEX('Fleet dates'!$B$9:$B$1008,$I839-8)))</x:f>
      </x:c>
      <x:c r="C839" s="51" t="str">
        <x:f>IF(831&gt;$H$4,"",IF(INDEX('Fleet dates'!$C$9:$C$1008,$I839-8)="","",INDEX('Fleet dates'!$C$9:$C$1008,$I839-8)))</x:f>
      </x:c>
      <x:c r="D839" s="51" t="str">
        <x:f>IF(831&gt;$H$4,"",IF(INDEX('Fleet dates'!$D$9:$D$1008,$I839-8)="","",INDEX('Fleet dates'!$D$9:$D$1008,$I839-8)))</x:f>
      </x:c>
      <x:c r="E839" s="51" t="str">
        <x:f>IF(831&gt;$H$4,"",IF(INDEX('Fleet dates'!$E$9:$E$1008,$I839-8)="","",INDEX('Fleet dates'!$E$9:$E$1008,$I839-8)))</x:f>
      </x:c>
      <x:c r="F839" s="51" t="str">
        <x:f>IF(831&gt;$H$4,"",IF(INDEX('Fleet dates'!$F$9:$F$1008,$I839-8)="","",INDEX('Fleet dates'!$F$9:$F$1008,$I839-8)))</x:f>
      </x:c>
      <x:c r="G839" s="50" t="str">
        <x:f>IF(831&gt;$H$4,"",IF(INDEX('Fleet dates'!$G$9:$G$1008,$I839-8)="","",INDEX('Fleet dates'!$G$9:$G$1008,$I839-8)))</x:f>
      </x:c>
      <x:c r="H839" s="50" t="str">
        <x:f>IF(831&gt;$H$4,"",IF(INDEX('Fleet dates'!$I$9:$I$1008,$I839-8)="","",INDEX('Fleet dates'!$I$9:$I$1008,$I839-8)))</x:f>
      </x:c>
      <x:c r="I839" t="str">
        <x:f>IF(831&gt;$H$4,"",MATCH(831,'Fleet dates'!$L$9:$L$1008,0)+8)</x:f>
      </x:c>
    </x:row>
    <x:row r="840" ht="36" customHeight="1">
      <x:c r="A840" s="50" t="str">
        <x:f>IF(832&gt;$H$4,"",IF(INDEX('Fleet dates'!$A$9:$A$1008,$I840-8)="","",INDEX('Fleet dates'!$A$9:$A$1008,$I840-8)))</x:f>
      </x:c>
      <x:c r="B840" s="50" t="str">
        <x:f>IF(832&gt;$H$4,"",IF(INDEX('Fleet dates'!$B$9:$B$1008,$I840-8)="","",INDEX('Fleet dates'!$B$9:$B$1008,$I840-8)))</x:f>
      </x:c>
      <x:c r="C840" s="51" t="str">
        <x:f>IF(832&gt;$H$4,"",IF(INDEX('Fleet dates'!$C$9:$C$1008,$I840-8)="","",INDEX('Fleet dates'!$C$9:$C$1008,$I840-8)))</x:f>
      </x:c>
      <x:c r="D840" s="51" t="str">
        <x:f>IF(832&gt;$H$4,"",IF(INDEX('Fleet dates'!$D$9:$D$1008,$I840-8)="","",INDEX('Fleet dates'!$D$9:$D$1008,$I840-8)))</x:f>
      </x:c>
      <x:c r="E840" s="51" t="str">
        <x:f>IF(832&gt;$H$4,"",IF(INDEX('Fleet dates'!$E$9:$E$1008,$I840-8)="","",INDEX('Fleet dates'!$E$9:$E$1008,$I840-8)))</x:f>
      </x:c>
      <x:c r="F840" s="51" t="str">
        <x:f>IF(832&gt;$H$4,"",IF(INDEX('Fleet dates'!$F$9:$F$1008,$I840-8)="","",INDEX('Fleet dates'!$F$9:$F$1008,$I840-8)))</x:f>
      </x:c>
      <x:c r="G840" s="50" t="str">
        <x:f>IF(832&gt;$H$4,"",IF(INDEX('Fleet dates'!$G$9:$G$1008,$I840-8)="","",INDEX('Fleet dates'!$G$9:$G$1008,$I840-8)))</x:f>
      </x:c>
      <x:c r="H840" s="50" t="str">
        <x:f>IF(832&gt;$H$4,"",IF(INDEX('Fleet dates'!$I$9:$I$1008,$I840-8)="","",INDEX('Fleet dates'!$I$9:$I$1008,$I840-8)))</x:f>
      </x:c>
      <x:c r="I840" t="str">
        <x:f>IF(832&gt;$H$4,"",MATCH(832,'Fleet dates'!$L$9:$L$1008,0)+8)</x:f>
      </x:c>
    </x:row>
    <x:row r="841" ht="36" customHeight="1">
      <x:c r="A841" s="50" t="str">
        <x:f>IF(833&gt;$H$4,"",IF(INDEX('Fleet dates'!$A$9:$A$1008,$I841-8)="","",INDEX('Fleet dates'!$A$9:$A$1008,$I841-8)))</x:f>
      </x:c>
      <x:c r="B841" s="50" t="str">
        <x:f>IF(833&gt;$H$4,"",IF(INDEX('Fleet dates'!$B$9:$B$1008,$I841-8)="","",INDEX('Fleet dates'!$B$9:$B$1008,$I841-8)))</x:f>
      </x:c>
      <x:c r="C841" s="51" t="str">
        <x:f>IF(833&gt;$H$4,"",IF(INDEX('Fleet dates'!$C$9:$C$1008,$I841-8)="","",INDEX('Fleet dates'!$C$9:$C$1008,$I841-8)))</x:f>
      </x:c>
      <x:c r="D841" s="51" t="str">
        <x:f>IF(833&gt;$H$4,"",IF(INDEX('Fleet dates'!$D$9:$D$1008,$I841-8)="","",INDEX('Fleet dates'!$D$9:$D$1008,$I841-8)))</x:f>
      </x:c>
      <x:c r="E841" s="51" t="str">
        <x:f>IF(833&gt;$H$4,"",IF(INDEX('Fleet dates'!$E$9:$E$1008,$I841-8)="","",INDEX('Fleet dates'!$E$9:$E$1008,$I841-8)))</x:f>
      </x:c>
      <x:c r="F841" s="51" t="str">
        <x:f>IF(833&gt;$H$4,"",IF(INDEX('Fleet dates'!$F$9:$F$1008,$I841-8)="","",INDEX('Fleet dates'!$F$9:$F$1008,$I841-8)))</x:f>
      </x:c>
      <x:c r="G841" s="50" t="str">
        <x:f>IF(833&gt;$H$4,"",IF(INDEX('Fleet dates'!$G$9:$G$1008,$I841-8)="","",INDEX('Fleet dates'!$G$9:$G$1008,$I841-8)))</x:f>
      </x:c>
      <x:c r="H841" s="50" t="str">
        <x:f>IF(833&gt;$H$4,"",IF(INDEX('Fleet dates'!$I$9:$I$1008,$I841-8)="","",INDEX('Fleet dates'!$I$9:$I$1008,$I841-8)))</x:f>
      </x:c>
      <x:c r="I841" t="str">
        <x:f>IF(833&gt;$H$4,"",MATCH(833,'Fleet dates'!$L$9:$L$1008,0)+8)</x:f>
      </x:c>
    </x:row>
    <x:row r="842" ht="36" customHeight="1">
      <x:c r="A842" s="50" t="str">
        <x:f>IF(834&gt;$H$4,"",IF(INDEX('Fleet dates'!$A$9:$A$1008,$I842-8)="","",INDEX('Fleet dates'!$A$9:$A$1008,$I842-8)))</x:f>
      </x:c>
      <x:c r="B842" s="50" t="str">
        <x:f>IF(834&gt;$H$4,"",IF(INDEX('Fleet dates'!$B$9:$B$1008,$I842-8)="","",INDEX('Fleet dates'!$B$9:$B$1008,$I842-8)))</x:f>
      </x:c>
      <x:c r="C842" s="51" t="str">
        <x:f>IF(834&gt;$H$4,"",IF(INDEX('Fleet dates'!$C$9:$C$1008,$I842-8)="","",INDEX('Fleet dates'!$C$9:$C$1008,$I842-8)))</x:f>
      </x:c>
      <x:c r="D842" s="51" t="str">
        <x:f>IF(834&gt;$H$4,"",IF(INDEX('Fleet dates'!$D$9:$D$1008,$I842-8)="","",INDEX('Fleet dates'!$D$9:$D$1008,$I842-8)))</x:f>
      </x:c>
      <x:c r="E842" s="51" t="str">
        <x:f>IF(834&gt;$H$4,"",IF(INDEX('Fleet dates'!$E$9:$E$1008,$I842-8)="","",INDEX('Fleet dates'!$E$9:$E$1008,$I842-8)))</x:f>
      </x:c>
      <x:c r="F842" s="51" t="str">
        <x:f>IF(834&gt;$H$4,"",IF(INDEX('Fleet dates'!$F$9:$F$1008,$I842-8)="","",INDEX('Fleet dates'!$F$9:$F$1008,$I842-8)))</x:f>
      </x:c>
      <x:c r="G842" s="50" t="str">
        <x:f>IF(834&gt;$H$4,"",IF(INDEX('Fleet dates'!$G$9:$G$1008,$I842-8)="","",INDEX('Fleet dates'!$G$9:$G$1008,$I842-8)))</x:f>
      </x:c>
      <x:c r="H842" s="50" t="str">
        <x:f>IF(834&gt;$H$4,"",IF(INDEX('Fleet dates'!$I$9:$I$1008,$I842-8)="","",INDEX('Fleet dates'!$I$9:$I$1008,$I842-8)))</x:f>
      </x:c>
      <x:c r="I842" t="str">
        <x:f>IF(834&gt;$H$4,"",MATCH(834,'Fleet dates'!$L$9:$L$1008,0)+8)</x:f>
      </x:c>
    </x:row>
    <x:row r="843" ht="36" customHeight="1">
      <x:c r="A843" s="50" t="str">
        <x:f>IF(835&gt;$H$4,"",IF(INDEX('Fleet dates'!$A$9:$A$1008,$I843-8)="","",INDEX('Fleet dates'!$A$9:$A$1008,$I843-8)))</x:f>
      </x:c>
      <x:c r="B843" s="50" t="str">
        <x:f>IF(835&gt;$H$4,"",IF(INDEX('Fleet dates'!$B$9:$B$1008,$I843-8)="","",INDEX('Fleet dates'!$B$9:$B$1008,$I843-8)))</x:f>
      </x:c>
      <x:c r="C843" s="51" t="str">
        <x:f>IF(835&gt;$H$4,"",IF(INDEX('Fleet dates'!$C$9:$C$1008,$I843-8)="","",INDEX('Fleet dates'!$C$9:$C$1008,$I843-8)))</x:f>
      </x:c>
      <x:c r="D843" s="51" t="str">
        <x:f>IF(835&gt;$H$4,"",IF(INDEX('Fleet dates'!$D$9:$D$1008,$I843-8)="","",INDEX('Fleet dates'!$D$9:$D$1008,$I843-8)))</x:f>
      </x:c>
      <x:c r="E843" s="51" t="str">
        <x:f>IF(835&gt;$H$4,"",IF(INDEX('Fleet dates'!$E$9:$E$1008,$I843-8)="","",INDEX('Fleet dates'!$E$9:$E$1008,$I843-8)))</x:f>
      </x:c>
      <x:c r="F843" s="51" t="str">
        <x:f>IF(835&gt;$H$4,"",IF(INDEX('Fleet dates'!$F$9:$F$1008,$I843-8)="","",INDEX('Fleet dates'!$F$9:$F$1008,$I843-8)))</x:f>
      </x:c>
      <x:c r="G843" s="50" t="str">
        <x:f>IF(835&gt;$H$4,"",IF(INDEX('Fleet dates'!$G$9:$G$1008,$I843-8)="","",INDEX('Fleet dates'!$G$9:$G$1008,$I843-8)))</x:f>
      </x:c>
      <x:c r="H843" s="50" t="str">
        <x:f>IF(835&gt;$H$4,"",IF(INDEX('Fleet dates'!$I$9:$I$1008,$I843-8)="","",INDEX('Fleet dates'!$I$9:$I$1008,$I843-8)))</x:f>
      </x:c>
      <x:c r="I843" t="str">
        <x:f>IF(835&gt;$H$4,"",MATCH(835,'Fleet dates'!$L$9:$L$1008,0)+8)</x:f>
      </x:c>
    </x:row>
    <x:row r="844" ht="36" customHeight="1">
      <x:c r="A844" s="50" t="str">
        <x:f>IF(836&gt;$H$4,"",IF(INDEX('Fleet dates'!$A$9:$A$1008,$I844-8)="","",INDEX('Fleet dates'!$A$9:$A$1008,$I844-8)))</x:f>
      </x:c>
      <x:c r="B844" s="50" t="str">
        <x:f>IF(836&gt;$H$4,"",IF(INDEX('Fleet dates'!$B$9:$B$1008,$I844-8)="","",INDEX('Fleet dates'!$B$9:$B$1008,$I844-8)))</x:f>
      </x:c>
      <x:c r="C844" s="51" t="str">
        <x:f>IF(836&gt;$H$4,"",IF(INDEX('Fleet dates'!$C$9:$C$1008,$I844-8)="","",INDEX('Fleet dates'!$C$9:$C$1008,$I844-8)))</x:f>
      </x:c>
      <x:c r="D844" s="51" t="str">
        <x:f>IF(836&gt;$H$4,"",IF(INDEX('Fleet dates'!$D$9:$D$1008,$I844-8)="","",INDEX('Fleet dates'!$D$9:$D$1008,$I844-8)))</x:f>
      </x:c>
      <x:c r="E844" s="51" t="str">
        <x:f>IF(836&gt;$H$4,"",IF(INDEX('Fleet dates'!$E$9:$E$1008,$I844-8)="","",INDEX('Fleet dates'!$E$9:$E$1008,$I844-8)))</x:f>
      </x:c>
      <x:c r="F844" s="51" t="str">
        <x:f>IF(836&gt;$H$4,"",IF(INDEX('Fleet dates'!$F$9:$F$1008,$I844-8)="","",INDEX('Fleet dates'!$F$9:$F$1008,$I844-8)))</x:f>
      </x:c>
      <x:c r="G844" s="50" t="str">
        <x:f>IF(836&gt;$H$4,"",IF(INDEX('Fleet dates'!$G$9:$G$1008,$I844-8)="","",INDEX('Fleet dates'!$G$9:$G$1008,$I844-8)))</x:f>
      </x:c>
      <x:c r="H844" s="50" t="str">
        <x:f>IF(836&gt;$H$4,"",IF(INDEX('Fleet dates'!$I$9:$I$1008,$I844-8)="","",INDEX('Fleet dates'!$I$9:$I$1008,$I844-8)))</x:f>
      </x:c>
      <x:c r="I844" t="str">
        <x:f>IF(836&gt;$H$4,"",MATCH(836,'Fleet dates'!$L$9:$L$1008,0)+8)</x:f>
      </x:c>
    </x:row>
    <x:row r="845" ht="36" customHeight="1">
      <x:c r="A845" s="50" t="str">
        <x:f>IF(837&gt;$H$4,"",IF(INDEX('Fleet dates'!$A$9:$A$1008,$I845-8)="","",INDEX('Fleet dates'!$A$9:$A$1008,$I845-8)))</x:f>
      </x:c>
      <x:c r="B845" s="50" t="str">
        <x:f>IF(837&gt;$H$4,"",IF(INDEX('Fleet dates'!$B$9:$B$1008,$I845-8)="","",INDEX('Fleet dates'!$B$9:$B$1008,$I845-8)))</x:f>
      </x:c>
      <x:c r="C845" s="51" t="str">
        <x:f>IF(837&gt;$H$4,"",IF(INDEX('Fleet dates'!$C$9:$C$1008,$I845-8)="","",INDEX('Fleet dates'!$C$9:$C$1008,$I845-8)))</x:f>
      </x:c>
      <x:c r="D845" s="51" t="str">
        <x:f>IF(837&gt;$H$4,"",IF(INDEX('Fleet dates'!$D$9:$D$1008,$I845-8)="","",INDEX('Fleet dates'!$D$9:$D$1008,$I845-8)))</x:f>
      </x:c>
      <x:c r="E845" s="51" t="str">
        <x:f>IF(837&gt;$H$4,"",IF(INDEX('Fleet dates'!$E$9:$E$1008,$I845-8)="","",INDEX('Fleet dates'!$E$9:$E$1008,$I845-8)))</x:f>
      </x:c>
      <x:c r="F845" s="51" t="str">
        <x:f>IF(837&gt;$H$4,"",IF(INDEX('Fleet dates'!$F$9:$F$1008,$I845-8)="","",INDEX('Fleet dates'!$F$9:$F$1008,$I845-8)))</x:f>
      </x:c>
      <x:c r="G845" s="50" t="str">
        <x:f>IF(837&gt;$H$4,"",IF(INDEX('Fleet dates'!$G$9:$G$1008,$I845-8)="","",INDEX('Fleet dates'!$G$9:$G$1008,$I845-8)))</x:f>
      </x:c>
      <x:c r="H845" s="50" t="str">
        <x:f>IF(837&gt;$H$4,"",IF(INDEX('Fleet dates'!$I$9:$I$1008,$I845-8)="","",INDEX('Fleet dates'!$I$9:$I$1008,$I845-8)))</x:f>
      </x:c>
      <x:c r="I845" t="str">
        <x:f>IF(837&gt;$H$4,"",MATCH(837,'Fleet dates'!$L$9:$L$1008,0)+8)</x:f>
      </x:c>
    </x:row>
    <x:row r="846" ht="36" customHeight="1">
      <x:c r="A846" s="50" t="str">
        <x:f>IF(838&gt;$H$4,"",IF(INDEX('Fleet dates'!$A$9:$A$1008,$I846-8)="","",INDEX('Fleet dates'!$A$9:$A$1008,$I846-8)))</x:f>
      </x:c>
      <x:c r="B846" s="50" t="str">
        <x:f>IF(838&gt;$H$4,"",IF(INDEX('Fleet dates'!$B$9:$B$1008,$I846-8)="","",INDEX('Fleet dates'!$B$9:$B$1008,$I846-8)))</x:f>
      </x:c>
      <x:c r="C846" s="51" t="str">
        <x:f>IF(838&gt;$H$4,"",IF(INDEX('Fleet dates'!$C$9:$C$1008,$I846-8)="","",INDEX('Fleet dates'!$C$9:$C$1008,$I846-8)))</x:f>
      </x:c>
      <x:c r="D846" s="51" t="str">
        <x:f>IF(838&gt;$H$4,"",IF(INDEX('Fleet dates'!$D$9:$D$1008,$I846-8)="","",INDEX('Fleet dates'!$D$9:$D$1008,$I846-8)))</x:f>
      </x:c>
      <x:c r="E846" s="51" t="str">
        <x:f>IF(838&gt;$H$4,"",IF(INDEX('Fleet dates'!$E$9:$E$1008,$I846-8)="","",INDEX('Fleet dates'!$E$9:$E$1008,$I846-8)))</x:f>
      </x:c>
      <x:c r="F846" s="51" t="str">
        <x:f>IF(838&gt;$H$4,"",IF(INDEX('Fleet dates'!$F$9:$F$1008,$I846-8)="","",INDEX('Fleet dates'!$F$9:$F$1008,$I846-8)))</x:f>
      </x:c>
      <x:c r="G846" s="50" t="str">
        <x:f>IF(838&gt;$H$4,"",IF(INDEX('Fleet dates'!$G$9:$G$1008,$I846-8)="","",INDEX('Fleet dates'!$G$9:$G$1008,$I846-8)))</x:f>
      </x:c>
      <x:c r="H846" s="50" t="str">
        <x:f>IF(838&gt;$H$4,"",IF(INDEX('Fleet dates'!$I$9:$I$1008,$I846-8)="","",INDEX('Fleet dates'!$I$9:$I$1008,$I846-8)))</x:f>
      </x:c>
      <x:c r="I846" t="str">
        <x:f>IF(838&gt;$H$4,"",MATCH(838,'Fleet dates'!$L$9:$L$1008,0)+8)</x:f>
      </x:c>
    </x:row>
    <x:row r="847" ht="36" customHeight="1">
      <x:c r="A847" s="50" t="str">
        <x:f>IF(839&gt;$H$4,"",IF(INDEX('Fleet dates'!$A$9:$A$1008,$I847-8)="","",INDEX('Fleet dates'!$A$9:$A$1008,$I847-8)))</x:f>
      </x:c>
      <x:c r="B847" s="50" t="str">
        <x:f>IF(839&gt;$H$4,"",IF(INDEX('Fleet dates'!$B$9:$B$1008,$I847-8)="","",INDEX('Fleet dates'!$B$9:$B$1008,$I847-8)))</x:f>
      </x:c>
      <x:c r="C847" s="51" t="str">
        <x:f>IF(839&gt;$H$4,"",IF(INDEX('Fleet dates'!$C$9:$C$1008,$I847-8)="","",INDEX('Fleet dates'!$C$9:$C$1008,$I847-8)))</x:f>
      </x:c>
      <x:c r="D847" s="51" t="str">
        <x:f>IF(839&gt;$H$4,"",IF(INDEX('Fleet dates'!$D$9:$D$1008,$I847-8)="","",INDEX('Fleet dates'!$D$9:$D$1008,$I847-8)))</x:f>
      </x:c>
      <x:c r="E847" s="51" t="str">
        <x:f>IF(839&gt;$H$4,"",IF(INDEX('Fleet dates'!$E$9:$E$1008,$I847-8)="","",INDEX('Fleet dates'!$E$9:$E$1008,$I847-8)))</x:f>
      </x:c>
      <x:c r="F847" s="51" t="str">
        <x:f>IF(839&gt;$H$4,"",IF(INDEX('Fleet dates'!$F$9:$F$1008,$I847-8)="","",INDEX('Fleet dates'!$F$9:$F$1008,$I847-8)))</x:f>
      </x:c>
      <x:c r="G847" s="50" t="str">
        <x:f>IF(839&gt;$H$4,"",IF(INDEX('Fleet dates'!$G$9:$G$1008,$I847-8)="","",INDEX('Fleet dates'!$G$9:$G$1008,$I847-8)))</x:f>
      </x:c>
      <x:c r="H847" s="50" t="str">
        <x:f>IF(839&gt;$H$4,"",IF(INDEX('Fleet dates'!$I$9:$I$1008,$I847-8)="","",INDEX('Fleet dates'!$I$9:$I$1008,$I847-8)))</x:f>
      </x:c>
      <x:c r="I847" t="str">
        <x:f>IF(839&gt;$H$4,"",MATCH(839,'Fleet dates'!$L$9:$L$1008,0)+8)</x:f>
      </x:c>
    </x:row>
    <x:row r="848" ht="36" customHeight="1">
      <x:c r="A848" s="50" t="str">
        <x:f>IF(840&gt;$H$4,"",IF(INDEX('Fleet dates'!$A$9:$A$1008,$I848-8)="","",INDEX('Fleet dates'!$A$9:$A$1008,$I848-8)))</x:f>
      </x:c>
      <x:c r="B848" s="50" t="str">
        <x:f>IF(840&gt;$H$4,"",IF(INDEX('Fleet dates'!$B$9:$B$1008,$I848-8)="","",INDEX('Fleet dates'!$B$9:$B$1008,$I848-8)))</x:f>
      </x:c>
      <x:c r="C848" s="51" t="str">
        <x:f>IF(840&gt;$H$4,"",IF(INDEX('Fleet dates'!$C$9:$C$1008,$I848-8)="","",INDEX('Fleet dates'!$C$9:$C$1008,$I848-8)))</x:f>
      </x:c>
      <x:c r="D848" s="51" t="str">
        <x:f>IF(840&gt;$H$4,"",IF(INDEX('Fleet dates'!$D$9:$D$1008,$I848-8)="","",INDEX('Fleet dates'!$D$9:$D$1008,$I848-8)))</x:f>
      </x:c>
      <x:c r="E848" s="51" t="str">
        <x:f>IF(840&gt;$H$4,"",IF(INDEX('Fleet dates'!$E$9:$E$1008,$I848-8)="","",INDEX('Fleet dates'!$E$9:$E$1008,$I848-8)))</x:f>
      </x:c>
      <x:c r="F848" s="51" t="str">
        <x:f>IF(840&gt;$H$4,"",IF(INDEX('Fleet dates'!$F$9:$F$1008,$I848-8)="","",INDEX('Fleet dates'!$F$9:$F$1008,$I848-8)))</x:f>
      </x:c>
      <x:c r="G848" s="50" t="str">
        <x:f>IF(840&gt;$H$4,"",IF(INDEX('Fleet dates'!$G$9:$G$1008,$I848-8)="","",INDEX('Fleet dates'!$G$9:$G$1008,$I848-8)))</x:f>
      </x:c>
      <x:c r="H848" s="50" t="str">
        <x:f>IF(840&gt;$H$4,"",IF(INDEX('Fleet dates'!$I$9:$I$1008,$I848-8)="","",INDEX('Fleet dates'!$I$9:$I$1008,$I848-8)))</x:f>
      </x:c>
      <x:c r="I848" t="str">
        <x:f>IF(840&gt;$H$4,"",MATCH(840,'Fleet dates'!$L$9:$L$1008,0)+8)</x:f>
      </x:c>
    </x:row>
    <x:row r="849" ht="36" customHeight="1">
      <x:c r="A849" s="50" t="str">
        <x:f>IF(841&gt;$H$4,"",IF(INDEX('Fleet dates'!$A$9:$A$1008,$I849-8)="","",INDEX('Fleet dates'!$A$9:$A$1008,$I849-8)))</x:f>
      </x:c>
      <x:c r="B849" s="50" t="str">
        <x:f>IF(841&gt;$H$4,"",IF(INDEX('Fleet dates'!$B$9:$B$1008,$I849-8)="","",INDEX('Fleet dates'!$B$9:$B$1008,$I849-8)))</x:f>
      </x:c>
      <x:c r="C849" s="51" t="str">
        <x:f>IF(841&gt;$H$4,"",IF(INDEX('Fleet dates'!$C$9:$C$1008,$I849-8)="","",INDEX('Fleet dates'!$C$9:$C$1008,$I849-8)))</x:f>
      </x:c>
      <x:c r="D849" s="51" t="str">
        <x:f>IF(841&gt;$H$4,"",IF(INDEX('Fleet dates'!$D$9:$D$1008,$I849-8)="","",INDEX('Fleet dates'!$D$9:$D$1008,$I849-8)))</x:f>
      </x:c>
      <x:c r="E849" s="51" t="str">
        <x:f>IF(841&gt;$H$4,"",IF(INDEX('Fleet dates'!$E$9:$E$1008,$I849-8)="","",INDEX('Fleet dates'!$E$9:$E$1008,$I849-8)))</x:f>
      </x:c>
      <x:c r="F849" s="51" t="str">
        <x:f>IF(841&gt;$H$4,"",IF(INDEX('Fleet dates'!$F$9:$F$1008,$I849-8)="","",INDEX('Fleet dates'!$F$9:$F$1008,$I849-8)))</x:f>
      </x:c>
      <x:c r="G849" s="50" t="str">
        <x:f>IF(841&gt;$H$4,"",IF(INDEX('Fleet dates'!$G$9:$G$1008,$I849-8)="","",INDEX('Fleet dates'!$G$9:$G$1008,$I849-8)))</x:f>
      </x:c>
      <x:c r="H849" s="50" t="str">
        <x:f>IF(841&gt;$H$4,"",IF(INDEX('Fleet dates'!$I$9:$I$1008,$I849-8)="","",INDEX('Fleet dates'!$I$9:$I$1008,$I849-8)))</x:f>
      </x:c>
      <x:c r="I849" t="str">
        <x:f>IF(841&gt;$H$4,"",MATCH(841,'Fleet dates'!$L$9:$L$1008,0)+8)</x:f>
      </x:c>
    </x:row>
    <x:row r="850" ht="36" customHeight="1">
      <x:c r="A850" s="50" t="str">
        <x:f>IF(842&gt;$H$4,"",IF(INDEX('Fleet dates'!$A$9:$A$1008,$I850-8)="","",INDEX('Fleet dates'!$A$9:$A$1008,$I850-8)))</x:f>
      </x:c>
      <x:c r="B850" s="50" t="str">
        <x:f>IF(842&gt;$H$4,"",IF(INDEX('Fleet dates'!$B$9:$B$1008,$I850-8)="","",INDEX('Fleet dates'!$B$9:$B$1008,$I850-8)))</x:f>
      </x:c>
      <x:c r="C850" s="51" t="str">
        <x:f>IF(842&gt;$H$4,"",IF(INDEX('Fleet dates'!$C$9:$C$1008,$I850-8)="","",INDEX('Fleet dates'!$C$9:$C$1008,$I850-8)))</x:f>
      </x:c>
      <x:c r="D850" s="51" t="str">
        <x:f>IF(842&gt;$H$4,"",IF(INDEX('Fleet dates'!$D$9:$D$1008,$I850-8)="","",INDEX('Fleet dates'!$D$9:$D$1008,$I850-8)))</x:f>
      </x:c>
      <x:c r="E850" s="51" t="str">
        <x:f>IF(842&gt;$H$4,"",IF(INDEX('Fleet dates'!$E$9:$E$1008,$I850-8)="","",INDEX('Fleet dates'!$E$9:$E$1008,$I850-8)))</x:f>
      </x:c>
      <x:c r="F850" s="51" t="str">
        <x:f>IF(842&gt;$H$4,"",IF(INDEX('Fleet dates'!$F$9:$F$1008,$I850-8)="","",INDEX('Fleet dates'!$F$9:$F$1008,$I850-8)))</x:f>
      </x:c>
      <x:c r="G850" s="50" t="str">
        <x:f>IF(842&gt;$H$4,"",IF(INDEX('Fleet dates'!$G$9:$G$1008,$I850-8)="","",INDEX('Fleet dates'!$G$9:$G$1008,$I850-8)))</x:f>
      </x:c>
      <x:c r="H850" s="50" t="str">
        <x:f>IF(842&gt;$H$4,"",IF(INDEX('Fleet dates'!$I$9:$I$1008,$I850-8)="","",INDEX('Fleet dates'!$I$9:$I$1008,$I850-8)))</x:f>
      </x:c>
      <x:c r="I850" t="str">
        <x:f>IF(842&gt;$H$4,"",MATCH(842,'Fleet dates'!$L$9:$L$1008,0)+8)</x:f>
      </x:c>
    </x:row>
    <x:row r="851" ht="36" customHeight="1">
      <x:c r="A851" s="50" t="str">
        <x:f>IF(843&gt;$H$4,"",IF(INDEX('Fleet dates'!$A$9:$A$1008,$I851-8)="","",INDEX('Fleet dates'!$A$9:$A$1008,$I851-8)))</x:f>
      </x:c>
      <x:c r="B851" s="50" t="str">
        <x:f>IF(843&gt;$H$4,"",IF(INDEX('Fleet dates'!$B$9:$B$1008,$I851-8)="","",INDEX('Fleet dates'!$B$9:$B$1008,$I851-8)))</x:f>
      </x:c>
      <x:c r="C851" s="51" t="str">
        <x:f>IF(843&gt;$H$4,"",IF(INDEX('Fleet dates'!$C$9:$C$1008,$I851-8)="","",INDEX('Fleet dates'!$C$9:$C$1008,$I851-8)))</x:f>
      </x:c>
      <x:c r="D851" s="51" t="str">
        <x:f>IF(843&gt;$H$4,"",IF(INDEX('Fleet dates'!$D$9:$D$1008,$I851-8)="","",INDEX('Fleet dates'!$D$9:$D$1008,$I851-8)))</x:f>
      </x:c>
      <x:c r="E851" s="51" t="str">
        <x:f>IF(843&gt;$H$4,"",IF(INDEX('Fleet dates'!$E$9:$E$1008,$I851-8)="","",INDEX('Fleet dates'!$E$9:$E$1008,$I851-8)))</x:f>
      </x:c>
      <x:c r="F851" s="51" t="str">
        <x:f>IF(843&gt;$H$4,"",IF(INDEX('Fleet dates'!$F$9:$F$1008,$I851-8)="","",INDEX('Fleet dates'!$F$9:$F$1008,$I851-8)))</x:f>
      </x:c>
      <x:c r="G851" s="50" t="str">
        <x:f>IF(843&gt;$H$4,"",IF(INDEX('Fleet dates'!$G$9:$G$1008,$I851-8)="","",INDEX('Fleet dates'!$G$9:$G$1008,$I851-8)))</x:f>
      </x:c>
      <x:c r="H851" s="50" t="str">
        <x:f>IF(843&gt;$H$4,"",IF(INDEX('Fleet dates'!$I$9:$I$1008,$I851-8)="","",INDEX('Fleet dates'!$I$9:$I$1008,$I851-8)))</x:f>
      </x:c>
      <x:c r="I851" t="str">
        <x:f>IF(843&gt;$H$4,"",MATCH(843,'Fleet dates'!$L$9:$L$1008,0)+8)</x:f>
      </x:c>
    </x:row>
    <x:row r="852" ht="36" customHeight="1">
      <x:c r="A852" s="50" t="str">
        <x:f>IF(844&gt;$H$4,"",IF(INDEX('Fleet dates'!$A$9:$A$1008,$I852-8)="","",INDEX('Fleet dates'!$A$9:$A$1008,$I852-8)))</x:f>
      </x:c>
      <x:c r="B852" s="50" t="str">
        <x:f>IF(844&gt;$H$4,"",IF(INDEX('Fleet dates'!$B$9:$B$1008,$I852-8)="","",INDEX('Fleet dates'!$B$9:$B$1008,$I852-8)))</x:f>
      </x:c>
      <x:c r="C852" s="51" t="str">
        <x:f>IF(844&gt;$H$4,"",IF(INDEX('Fleet dates'!$C$9:$C$1008,$I852-8)="","",INDEX('Fleet dates'!$C$9:$C$1008,$I852-8)))</x:f>
      </x:c>
      <x:c r="D852" s="51" t="str">
        <x:f>IF(844&gt;$H$4,"",IF(INDEX('Fleet dates'!$D$9:$D$1008,$I852-8)="","",INDEX('Fleet dates'!$D$9:$D$1008,$I852-8)))</x:f>
      </x:c>
      <x:c r="E852" s="51" t="str">
        <x:f>IF(844&gt;$H$4,"",IF(INDEX('Fleet dates'!$E$9:$E$1008,$I852-8)="","",INDEX('Fleet dates'!$E$9:$E$1008,$I852-8)))</x:f>
      </x:c>
      <x:c r="F852" s="51" t="str">
        <x:f>IF(844&gt;$H$4,"",IF(INDEX('Fleet dates'!$F$9:$F$1008,$I852-8)="","",INDEX('Fleet dates'!$F$9:$F$1008,$I852-8)))</x:f>
      </x:c>
      <x:c r="G852" s="50" t="str">
        <x:f>IF(844&gt;$H$4,"",IF(INDEX('Fleet dates'!$G$9:$G$1008,$I852-8)="","",INDEX('Fleet dates'!$G$9:$G$1008,$I852-8)))</x:f>
      </x:c>
      <x:c r="H852" s="50" t="str">
        <x:f>IF(844&gt;$H$4,"",IF(INDEX('Fleet dates'!$I$9:$I$1008,$I852-8)="","",INDEX('Fleet dates'!$I$9:$I$1008,$I852-8)))</x:f>
      </x:c>
      <x:c r="I852" t="str">
        <x:f>IF(844&gt;$H$4,"",MATCH(844,'Fleet dates'!$L$9:$L$1008,0)+8)</x:f>
      </x:c>
    </x:row>
    <x:row r="853" ht="36" customHeight="1">
      <x:c r="A853" s="50" t="str">
        <x:f>IF(845&gt;$H$4,"",IF(INDEX('Fleet dates'!$A$9:$A$1008,$I853-8)="","",INDEX('Fleet dates'!$A$9:$A$1008,$I853-8)))</x:f>
      </x:c>
      <x:c r="B853" s="50" t="str">
        <x:f>IF(845&gt;$H$4,"",IF(INDEX('Fleet dates'!$B$9:$B$1008,$I853-8)="","",INDEX('Fleet dates'!$B$9:$B$1008,$I853-8)))</x:f>
      </x:c>
      <x:c r="C853" s="51" t="str">
        <x:f>IF(845&gt;$H$4,"",IF(INDEX('Fleet dates'!$C$9:$C$1008,$I853-8)="","",INDEX('Fleet dates'!$C$9:$C$1008,$I853-8)))</x:f>
      </x:c>
      <x:c r="D853" s="51" t="str">
        <x:f>IF(845&gt;$H$4,"",IF(INDEX('Fleet dates'!$D$9:$D$1008,$I853-8)="","",INDEX('Fleet dates'!$D$9:$D$1008,$I853-8)))</x:f>
      </x:c>
      <x:c r="E853" s="51" t="str">
        <x:f>IF(845&gt;$H$4,"",IF(INDEX('Fleet dates'!$E$9:$E$1008,$I853-8)="","",INDEX('Fleet dates'!$E$9:$E$1008,$I853-8)))</x:f>
      </x:c>
      <x:c r="F853" s="51" t="str">
        <x:f>IF(845&gt;$H$4,"",IF(INDEX('Fleet dates'!$F$9:$F$1008,$I853-8)="","",INDEX('Fleet dates'!$F$9:$F$1008,$I853-8)))</x:f>
      </x:c>
      <x:c r="G853" s="50" t="str">
        <x:f>IF(845&gt;$H$4,"",IF(INDEX('Fleet dates'!$G$9:$G$1008,$I853-8)="","",INDEX('Fleet dates'!$G$9:$G$1008,$I853-8)))</x:f>
      </x:c>
      <x:c r="H853" s="50" t="str">
        <x:f>IF(845&gt;$H$4,"",IF(INDEX('Fleet dates'!$I$9:$I$1008,$I853-8)="","",INDEX('Fleet dates'!$I$9:$I$1008,$I853-8)))</x:f>
      </x:c>
      <x:c r="I853" t="str">
        <x:f>IF(845&gt;$H$4,"",MATCH(845,'Fleet dates'!$L$9:$L$1008,0)+8)</x:f>
      </x:c>
    </x:row>
    <x:row r="854" ht="36" customHeight="1">
      <x:c r="A854" s="50" t="str">
        <x:f>IF(846&gt;$H$4,"",IF(INDEX('Fleet dates'!$A$9:$A$1008,$I854-8)="","",INDEX('Fleet dates'!$A$9:$A$1008,$I854-8)))</x:f>
      </x:c>
      <x:c r="B854" s="50" t="str">
        <x:f>IF(846&gt;$H$4,"",IF(INDEX('Fleet dates'!$B$9:$B$1008,$I854-8)="","",INDEX('Fleet dates'!$B$9:$B$1008,$I854-8)))</x:f>
      </x:c>
      <x:c r="C854" s="51" t="str">
        <x:f>IF(846&gt;$H$4,"",IF(INDEX('Fleet dates'!$C$9:$C$1008,$I854-8)="","",INDEX('Fleet dates'!$C$9:$C$1008,$I854-8)))</x:f>
      </x:c>
      <x:c r="D854" s="51" t="str">
        <x:f>IF(846&gt;$H$4,"",IF(INDEX('Fleet dates'!$D$9:$D$1008,$I854-8)="","",INDEX('Fleet dates'!$D$9:$D$1008,$I854-8)))</x:f>
      </x:c>
      <x:c r="E854" s="51" t="str">
        <x:f>IF(846&gt;$H$4,"",IF(INDEX('Fleet dates'!$E$9:$E$1008,$I854-8)="","",INDEX('Fleet dates'!$E$9:$E$1008,$I854-8)))</x:f>
      </x:c>
      <x:c r="F854" s="51" t="str">
        <x:f>IF(846&gt;$H$4,"",IF(INDEX('Fleet dates'!$F$9:$F$1008,$I854-8)="","",INDEX('Fleet dates'!$F$9:$F$1008,$I854-8)))</x:f>
      </x:c>
      <x:c r="G854" s="50" t="str">
        <x:f>IF(846&gt;$H$4,"",IF(INDEX('Fleet dates'!$G$9:$G$1008,$I854-8)="","",INDEX('Fleet dates'!$G$9:$G$1008,$I854-8)))</x:f>
      </x:c>
      <x:c r="H854" s="50" t="str">
        <x:f>IF(846&gt;$H$4,"",IF(INDEX('Fleet dates'!$I$9:$I$1008,$I854-8)="","",INDEX('Fleet dates'!$I$9:$I$1008,$I854-8)))</x:f>
      </x:c>
      <x:c r="I854" t="str">
        <x:f>IF(846&gt;$H$4,"",MATCH(846,'Fleet dates'!$L$9:$L$1008,0)+8)</x:f>
      </x:c>
    </x:row>
    <x:row r="855" ht="36" customHeight="1">
      <x:c r="A855" s="50" t="str">
        <x:f>IF(847&gt;$H$4,"",IF(INDEX('Fleet dates'!$A$9:$A$1008,$I855-8)="","",INDEX('Fleet dates'!$A$9:$A$1008,$I855-8)))</x:f>
      </x:c>
      <x:c r="B855" s="50" t="str">
        <x:f>IF(847&gt;$H$4,"",IF(INDEX('Fleet dates'!$B$9:$B$1008,$I855-8)="","",INDEX('Fleet dates'!$B$9:$B$1008,$I855-8)))</x:f>
      </x:c>
      <x:c r="C855" s="51" t="str">
        <x:f>IF(847&gt;$H$4,"",IF(INDEX('Fleet dates'!$C$9:$C$1008,$I855-8)="","",INDEX('Fleet dates'!$C$9:$C$1008,$I855-8)))</x:f>
      </x:c>
      <x:c r="D855" s="51" t="str">
        <x:f>IF(847&gt;$H$4,"",IF(INDEX('Fleet dates'!$D$9:$D$1008,$I855-8)="","",INDEX('Fleet dates'!$D$9:$D$1008,$I855-8)))</x:f>
      </x:c>
      <x:c r="E855" s="51" t="str">
        <x:f>IF(847&gt;$H$4,"",IF(INDEX('Fleet dates'!$E$9:$E$1008,$I855-8)="","",INDEX('Fleet dates'!$E$9:$E$1008,$I855-8)))</x:f>
      </x:c>
      <x:c r="F855" s="51" t="str">
        <x:f>IF(847&gt;$H$4,"",IF(INDEX('Fleet dates'!$F$9:$F$1008,$I855-8)="","",INDEX('Fleet dates'!$F$9:$F$1008,$I855-8)))</x:f>
      </x:c>
      <x:c r="G855" s="50" t="str">
        <x:f>IF(847&gt;$H$4,"",IF(INDEX('Fleet dates'!$G$9:$G$1008,$I855-8)="","",INDEX('Fleet dates'!$G$9:$G$1008,$I855-8)))</x:f>
      </x:c>
      <x:c r="H855" s="50" t="str">
        <x:f>IF(847&gt;$H$4,"",IF(INDEX('Fleet dates'!$I$9:$I$1008,$I855-8)="","",INDEX('Fleet dates'!$I$9:$I$1008,$I855-8)))</x:f>
      </x:c>
      <x:c r="I855" t="str">
        <x:f>IF(847&gt;$H$4,"",MATCH(847,'Fleet dates'!$L$9:$L$1008,0)+8)</x:f>
      </x:c>
    </x:row>
    <x:row r="856" ht="36" customHeight="1">
      <x:c r="A856" s="50" t="str">
        <x:f>IF(848&gt;$H$4,"",IF(INDEX('Fleet dates'!$A$9:$A$1008,$I856-8)="","",INDEX('Fleet dates'!$A$9:$A$1008,$I856-8)))</x:f>
      </x:c>
      <x:c r="B856" s="50" t="str">
        <x:f>IF(848&gt;$H$4,"",IF(INDEX('Fleet dates'!$B$9:$B$1008,$I856-8)="","",INDEX('Fleet dates'!$B$9:$B$1008,$I856-8)))</x:f>
      </x:c>
      <x:c r="C856" s="51" t="str">
        <x:f>IF(848&gt;$H$4,"",IF(INDEX('Fleet dates'!$C$9:$C$1008,$I856-8)="","",INDEX('Fleet dates'!$C$9:$C$1008,$I856-8)))</x:f>
      </x:c>
      <x:c r="D856" s="51" t="str">
        <x:f>IF(848&gt;$H$4,"",IF(INDEX('Fleet dates'!$D$9:$D$1008,$I856-8)="","",INDEX('Fleet dates'!$D$9:$D$1008,$I856-8)))</x:f>
      </x:c>
      <x:c r="E856" s="51" t="str">
        <x:f>IF(848&gt;$H$4,"",IF(INDEX('Fleet dates'!$E$9:$E$1008,$I856-8)="","",INDEX('Fleet dates'!$E$9:$E$1008,$I856-8)))</x:f>
      </x:c>
      <x:c r="F856" s="51" t="str">
        <x:f>IF(848&gt;$H$4,"",IF(INDEX('Fleet dates'!$F$9:$F$1008,$I856-8)="","",INDEX('Fleet dates'!$F$9:$F$1008,$I856-8)))</x:f>
      </x:c>
      <x:c r="G856" s="50" t="str">
        <x:f>IF(848&gt;$H$4,"",IF(INDEX('Fleet dates'!$G$9:$G$1008,$I856-8)="","",INDEX('Fleet dates'!$G$9:$G$1008,$I856-8)))</x:f>
      </x:c>
      <x:c r="H856" s="50" t="str">
        <x:f>IF(848&gt;$H$4,"",IF(INDEX('Fleet dates'!$I$9:$I$1008,$I856-8)="","",INDEX('Fleet dates'!$I$9:$I$1008,$I856-8)))</x:f>
      </x:c>
      <x:c r="I856" t="str">
        <x:f>IF(848&gt;$H$4,"",MATCH(848,'Fleet dates'!$L$9:$L$1008,0)+8)</x:f>
      </x:c>
    </x:row>
    <x:row r="857" ht="36" customHeight="1">
      <x:c r="A857" s="50" t="str">
        <x:f>IF(849&gt;$H$4,"",IF(INDEX('Fleet dates'!$A$9:$A$1008,$I857-8)="","",INDEX('Fleet dates'!$A$9:$A$1008,$I857-8)))</x:f>
      </x:c>
      <x:c r="B857" s="50" t="str">
        <x:f>IF(849&gt;$H$4,"",IF(INDEX('Fleet dates'!$B$9:$B$1008,$I857-8)="","",INDEX('Fleet dates'!$B$9:$B$1008,$I857-8)))</x:f>
      </x:c>
      <x:c r="C857" s="51" t="str">
        <x:f>IF(849&gt;$H$4,"",IF(INDEX('Fleet dates'!$C$9:$C$1008,$I857-8)="","",INDEX('Fleet dates'!$C$9:$C$1008,$I857-8)))</x:f>
      </x:c>
      <x:c r="D857" s="51" t="str">
        <x:f>IF(849&gt;$H$4,"",IF(INDEX('Fleet dates'!$D$9:$D$1008,$I857-8)="","",INDEX('Fleet dates'!$D$9:$D$1008,$I857-8)))</x:f>
      </x:c>
      <x:c r="E857" s="51" t="str">
        <x:f>IF(849&gt;$H$4,"",IF(INDEX('Fleet dates'!$E$9:$E$1008,$I857-8)="","",INDEX('Fleet dates'!$E$9:$E$1008,$I857-8)))</x:f>
      </x:c>
      <x:c r="F857" s="51" t="str">
        <x:f>IF(849&gt;$H$4,"",IF(INDEX('Fleet dates'!$F$9:$F$1008,$I857-8)="","",INDEX('Fleet dates'!$F$9:$F$1008,$I857-8)))</x:f>
      </x:c>
      <x:c r="G857" s="50" t="str">
        <x:f>IF(849&gt;$H$4,"",IF(INDEX('Fleet dates'!$G$9:$G$1008,$I857-8)="","",INDEX('Fleet dates'!$G$9:$G$1008,$I857-8)))</x:f>
      </x:c>
      <x:c r="H857" s="50" t="str">
        <x:f>IF(849&gt;$H$4,"",IF(INDEX('Fleet dates'!$I$9:$I$1008,$I857-8)="","",INDEX('Fleet dates'!$I$9:$I$1008,$I857-8)))</x:f>
      </x:c>
      <x:c r="I857" t="str">
        <x:f>IF(849&gt;$H$4,"",MATCH(849,'Fleet dates'!$L$9:$L$1008,0)+8)</x:f>
      </x:c>
    </x:row>
    <x:row r="858" ht="36" customHeight="1">
      <x:c r="A858" s="50" t="str">
        <x:f>IF(850&gt;$H$4,"",IF(INDEX('Fleet dates'!$A$9:$A$1008,$I858-8)="","",INDEX('Fleet dates'!$A$9:$A$1008,$I858-8)))</x:f>
      </x:c>
      <x:c r="B858" s="50" t="str">
        <x:f>IF(850&gt;$H$4,"",IF(INDEX('Fleet dates'!$B$9:$B$1008,$I858-8)="","",INDEX('Fleet dates'!$B$9:$B$1008,$I858-8)))</x:f>
      </x:c>
      <x:c r="C858" s="51" t="str">
        <x:f>IF(850&gt;$H$4,"",IF(INDEX('Fleet dates'!$C$9:$C$1008,$I858-8)="","",INDEX('Fleet dates'!$C$9:$C$1008,$I858-8)))</x:f>
      </x:c>
      <x:c r="D858" s="51" t="str">
        <x:f>IF(850&gt;$H$4,"",IF(INDEX('Fleet dates'!$D$9:$D$1008,$I858-8)="","",INDEX('Fleet dates'!$D$9:$D$1008,$I858-8)))</x:f>
      </x:c>
      <x:c r="E858" s="51" t="str">
        <x:f>IF(850&gt;$H$4,"",IF(INDEX('Fleet dates'!$E$9:$E$1008,$I858-8)="","",INDEX('Fleet dates'!$E$9:$E$1008,$I858-8)))</x:f>
      </x:c>
      <x:c r="F858" s="51" t="str">
        <x:f>IF(850&gt;$H$4,"",IF(INDEX('Fleet dates'!$F$9:$F$1008,$I858-8)="","",INDEX('Fleet dates'!$F$9:$F$1008,$I858-8)))</x:f>
      </x:c>
      <x:c r="G858" s="50" t="str">
        <x:f>IF(850&gt;$H$4,"",IF(INDEX('Fleet dates'!$G$9:$G$1008,$I858-8)="","",INDEX('Fleet dates'!$G$9:$G$1008,$I858-8)))</x:f>
      </x:c>
      <x:c r="H858" s="50" t="str">
        <x:f>IF(850&gt;$H$4,"",IF(INDEX('Fleet dates'!$I$9:$I$1008,$I858-8)="","",INDEX('Fleet dates'!$I$9:$I$1008,$I858-8)))</x:f>
      </x:c>
      <x:c r="I858" t="str">
        <x:f>IF(850&gt;$H$4,"",MATCH(850,'Fleet dates'!$L$9:$L$1008,0)+8)</x:f>
      </x:c>
    </x:row>
    <x:row r="859" ht="36" customHeight="1">
      <x:c r="A859" s="50" t="str">
        <x:f>IF(851&gt;$H$4,"",IF(INDEX('Fleet dates'!$A$9:$A$1008,$I859-8)="","",INDEX('Fleet dates'!$A$9:$A$1008,$I859-8)))</x:f>
      </x:c>
      <x:c r="B859" s="50" t="str">
        <x:f>IF(851&gt;$H$4,"",IF(INDEX('Fleet dates'!$B$9:$B$1008,$I859-8)="","",INDEX('Fleet dates'!$B$9:$B$1008,$I859-8)))</x:f>
      </x:c>
      <x:c r="C859" s="51" t="str">
        <x:f>IF(851&gt;$H$4,"",IF(INDEX('Fleet dates'!$C$9:$C$1008,$I859-8)="","",INDEX('Fleet dates'!$C$9:$C$1008,$I859-8)))</x:f>
      </x:c>
      <x:c r="D859" s="51" t="str">
        <x:f>IF(851&gt;$H$4,"",IF(INDEX('Fleet dates'!$D$9:$D$1008,$I859-8)="","",INDEX('Fleet dates'!$D$9:$D$1008,$I859-8)))</x:f>
      </x:c>
      <x:c r="E859" s="51" t="str">
        <x:f>IF(851&gt;$H$4,"",IF(INDEX('Fleet dates'!$E$9:$E$1008,$I859-8)="","",INDEX('Fleet dates'!$E$9:$E$1008,$I859-8)))</x:f>
      </x:c>
      <x:c r="F859" s="51" t="str">
        <x:f>IF(851&gt;$H$4,"",IF(INDEX('Fleet dates'!$F$9:$F$1008,$I859-8)="","",INDEX('Fleet dates'!$F$9:$F$1008,$I859-8)))</x:f>
      </x:c>
      <x:c r="G859" s="50" t="str">
        <x:f>IF(851&gt;$H$4,"",IF(INDEX('Fleet dates'!$G$9:$G$1008,$I859-8)="","",INDEX('Fleet dates'!$G$9:$G$1008,$I859-8)))</x:f>
      </x:c>
      <x:c r="H859" s="50" t="str">
        <x:f>IF(851&gt;$H$4,"",IF(INDEX('Fleet dates'!$I$9:$I$1008,$I859-8)="","",INDEX('Fleet dates'!$I$9:$I$1008,$I859-8)))</x:f>
      </x:c>
      <x:c r="I859" t="str">
        <x:f>IF(851&gt;$H$4,"",MATCH(851,'Fleet dates'!$L$9:$L$1008,0)+8)</x:f>
      </x:c>
    </x:row>
    <x:row r="860" ht="36" customHeight="1">
      <x:c r="A860" s="50" t="str">
        <x:f>IF(852&gt;$H$4,"",IF(INDEX('Fleet dates'!$A$9:$A$1008,$I860-8)="","",INDEX('Fleet dates'!$A$9:$A$1008,$I860-8)))</x:f>
      </x:c>
      <x:c r="B860" s="50" t="str">
        <x:f>IF(852&gt;$H$4,"",IF(INDEX('Fleet dates'!$B$9:$B$1008,$I860-8)="","",INDEX('Fleet dates'!$B$9:$B$1008,$I860-8)))</x:f>
      </x:c>
      <x:c r="C860" s="51" t="str">
        <x:f>IF(852&gt;$H$4,"",IF(INDEX('Fleet dates'!$C$9:$C$1008,$I860-8)="","",INDEX('Fleet dates'!$C$9:$C$1008,$I860-8)))</x:f>
      </x:c>
      <x:c r="D860" s="51" t="str">
        <x:f>IF(852&gt;$H$4,"",IF(INDEX('Fleet dates'!$D$9:$D$1008,$I860-8)="","",INDEX('Fleet dates'!$D$9:$D$1008,$I860-8)))</x:f>
      </x:c>
      <x:c r="E860" s="51" t="str">
        <x:f>IF(852&gt;$H$4,"",IF(INDEX('Fleet dates'!$E$9:$E$1008,$I860-8)="","",INDEX('Fleet dates'!$E$9:$E$1008,$I860-8)))</x:f>
      </x:c>
      <x:c r="F860" s="51" t="str">
        <x:f>IF(852&gt;$H$4,"",IF(INDEX('Fleet dates'!$F$9:$F$1008,$I860-8)="","",INDEX('Fleet dates'!$F$9:$F$1008,$I860-8)))</x:f>
      </x:c>
      <x:c r="G860" s="50" t="str">
        <x:f>IF(852&gt;$H$4,"",IF(INDEX('Fleet dates'!$G$9:$G$1008,$I860-8)="","",INDEX('Fleet dates'!$G$9:$G$1008,$I860-8)))</x:f>
      </x:c>
      <x:c r="H860" s="50" t="str">
        <x:f>IF(852&gt;$H$4,"",IF(INDEX('Fleet dates'!$I$9:$I$1008,$I860-8)="","",INDEX('Fleet dates'!$I$9:$I$1008,$I860-8)))</x:f>
      </x:c>
      <x:c r="I860" t="str">
        <x:f>IF(852&gt;$H$4,"",MATCH(852,'Fleet dates'!$L$9:$L$1008,0)+8)</x:f>
      </x:c>
    </x:row>
    <x:row r="861" ht="36" customHeight="1">
      <x:c r="A861" s="50" t="str">
        <x:f>IF(853&gt;$H$4,"",IF(INDEX('Fleet dates'!$A$9:$A$1008,$I861-8)="","",INDEX('Fleet dates'!$A$9:$A$1008,$I861-8)))</x:f>
      </x:c>
      <x:c r="B861" s="50" t="str">
        <x:f>IF(853&gt;$H$4,"",IF(INDEX('Fleet dates'!$B$9:$B$1008,$I861-8)="","",INDEX('Fleet dates'!$B$9:$B$1008,$I861-8)))</x:f>
      </x:c>
      <x:c r="C861" s="51" t="str">
        <x:f>IF(853&gt;$H$4,"",IF(INDEX('Fleet dates'!$C$9:$C$1008,$I861-8)="","",INDEX('Fleet dates'!$C$9:$C$1008,$I861-8)))</x:f>
      </x:c>
      <x:c r="D861" s="51" t="str">
        <x:f>IF(853&gt;$H$4,"",IF(INDEX('Fleet dates'!$D$9:$D$1008,$I861-8)="","",INDEX('Fleet dates'!$D$9:$D$1008,$I861-8)))</x:f>
      </x:c>
      <x:c r="E861" s="51" t="str">
        <x:f>IF(853&gt;$H$4,"",IF(INDEX('Fleet dates'!$E$9:$E$1008,$I861-8)="","",INDEX('Fleet dates'!$E$9:$E$1008,$I861-8)))</x:f>
      </x:c>
      <x:c r="F861" s="51" t="str">
        <x:f>IF(853&gt;$H$4,"",IF(INDEX('Fleet dates'!$F$9:$F$1008,$I861-8)="","",INDEX('Fleet dates'!$F$9:$F$1008,$I861-8)))</x:f>
      </x:c>
      <x:c r="G861" s="50" t="str">
        <x:f>IF(853&gt;$H$4,"",IF(INDEX('Fleet dates'!$G$9:$G$1008,$I861-8)="","",INDEX('Fleet dates'!$G$9:$G$1008,$I861-8)))</x:f>
      </x:c>
      <x:c r="H861" s="50" t="str">
        <x:f>IF(853&gt;$H$4,"",IF(INDEX('Fleet dates'!$I$9:$I$1008,$I861-8)="","",INDEX('Fleet dates'!$I$9:$I$1008,$I861-8)))</x:f>
      </x:c>
      <x:c r="I861" t="str">
        <x:f>IF(853&gt;$H$4,"",MATCH(853,'Fleet dates'!$L$9:$L$1008,0)+8)</x:f>
      </x:c>
    </x:row>
    <x:row r="862" ht="36" customHeight="1">
      <x:c r="A862" s="50" t="str">
        <x:f>IF(854&gt;$H$4,"",IF(INDEX('Fleet dates'!$A$9:$A$1008,$I862-8)="","",INDEX('Fleet dates'!$A$9:$A$1008,$I862-8)))</x:f>
      </x:c>
      <x:c r="B862" s="50" t="str">
        <x:f>IF(854&gt;$H$4,"",IF(INDEX('Fleet dates'!$B$9:$B$1008,$I862-8)="","",INDEX('Fleet dates'!$B$9:$B$1008,$I862-8)))</x:f>
      </x:c>
      <x:c r="C862" s="51" t="str">
        <x:f>IF(854&gt;$H$4,"",IF(INDEX('Fleet dates'!$C$9:$C$1008,$I862-8)="","",INDEX('Fleet dates'!$C$9:$C$1008,$I862-8)))</x:f>
      </x:c>
      <x:c r="D862" s="51" t="str">
        <x:f>IF(854&gt;$H$4,"",IF(INDEX('Fleet dates'!$D$9:$D$1008,$I862-8)="","",INDEX('Fleet dates'!$D$9:$D$1008,$I862-8)))</x:f>
      </x:c>
      <x:c r="E862" s="51" t="str">
        <x:f>IF(854&gt;$H$4,"",IF(INDEX('Fleet dates'!$E$9:$E$1008,$I862-8)="","",INDEX('Fleet dates'!$E$9:$E$1008,$I862-8)))</x:f>
      </x:c>
      <x:c r="F862" s="51" t="str">
        <x:f>IF(854&gt;$H$4,"",IF(INDEX('Fleet dates'!$F$9:$F$1008,$I862-8)="","",INDEX('Fleet dates'!$F$9:$F$1008,$I862-8)))</x:f>
      </x:c>
      <x:c r="G862" s="50" t="str">
        <x:f>IF(854&gt;$H$4,"",IF(INDEX('Fleet dates'!$G$9:$G$1008,$I862-8)="","",INDEX('Fleet dates'!$G$9:$G$1008,$I862-8)))</x:f>
      </x:c>
      <x:c r="H862" s="50" t="str">
        <x:f>IF(854&gt;$H$4,"",IF(INDEX('Fleet dates'!$I$9:$I$1008,$I862-8)="","",INDEX('Fleet dates'!$I$9:$I$1008,$I862-8)))</x:f>
      </x:c>
      <x:c r="I862" t="str">
        <x:f>IF(854&gt;$H$4,"",MATCH(854,'Fleet dates'!$L$9:$L$1008,0)+8)</x:f>
      </x:c>
    </x:row>
    <x:row r="863" ht="36" customHeight="1">
      <x:c r="A863" s="50" t="str">
        <x:f>IF(855&gt;$H$4,"",IF(INDEX('Fleet dates'!$A$9:$A$1008,$I863-8)="","",INDEX('Fleet dates'!$A$9:$A$1008,$I863-8)))</x:f>
      </x:c>
      <x:c r="B863" s="50" t="str">
        <x:f>IF(855&gt;$H$4,"",IF(INDEX('Fleet dates'!$B$9:$B$1008,$I863-8)="","",INDEX('Fleet dates'!$B$9:$B$1008,$I863-8)))</x:f>
      </x:c>
      <x:c r="C863" s="51" t="str">
        <x:f>IF(855&gt;$H$4,"",IF(INDEX('Fleet dates'!$C$9:$C$1008,$I863-8)="","",INDEX('Fleet dates'!$C$9:$C$1008,$I863-8)))</x:f>
      </x:c>
      <x:c r="D863" s="51" t="str">
        <x:f>IF(855&gt;$H$4,"",IF(INDEX('Fleet dates'!$D$9:$D$1008,$I863-8)="","",INDEX('Fleet dates'!$D$9:$D$1008,$I863-8)))</x:f>
      </x:c>
      <x:c r="E863" s="51" t="str">
        <x:f>IF(855&gt;$H$4,"",IF(INDEX('Fleet dates'!$E$9:$E$1008,$I863-8)="","",INDEX('Fleet dates'!$E$9:$E$1008,$I863-8)))</x:f>
      </x:c>
      <x:c r="F863" s="51" t="str">
        <x:f>IF(855&gt;$H$4,"",IF(INDEX('Fleet dates'!$F$9:$F$1008,$I863-8)="","",INDEX('Fleet dates'!$F$9:$F$1008,$I863-8)))</x:f>
      </x:c>
      <x:c r="G863" s="50" t="str">
        <x:f>IF(855&gt;$H$4,"",IF(INDEX('Fleet dates'!$G$9:$G$1008,$I863-8)="","",INDEX('Fleet dates'!$G$9:$G$1008,$I863-8)))</x:f>
      </x:c>
      <x:c r="H863" s="50" t="str">
        <x:f>IF(855&gt;$H$4,"",IF(INDEX('Fleet dates'!$I$9:$I$1008,$I863-8)="","",INDEX('Fleet dates'!$I$9:$I$1008,$I863-8)))</x:f>
      </x:c>
      <x:c r="I863" t="str">
        <x:f>IF(855&gt;$H$4,"",MATCH(855,'Fleet dates'!$L$9:$L$1008,0)+8)</x:f>
      </x:c>
    </x:row>
    <x:row r="864" ht="36" customHeight="1">
      <x:c r="A864" s="50" t="str">
        <x:f>IF(856&gt;$H$4,"",IF(INDEX('Fleet dates'!$A$9:$A$1008,$I864-8)="","",INDEX('Fleet dates'!$A$9:$A$1008,$I864-8)))</x:f>
      </x:c>
      <x:c r="B864" s="50" t="str">
        <x:f>IF(856&gt;$H$4,"",IF(INDEX('Fleet dates'!$B$9:$B$1008,$I864-8)="","",INDEX('Fleet dates'!$B$9:$B$1008,$I864-8)))</x:f>
      </x:c>
      <x:c r="C864" s="51" t="str">
        <x:f>IF(856&gt;$H$4,"",IF(INDEX('Fleet dates'!$C$9:$C$1008,$I864-8)="","",INDEX('Fleet dates'!$C$9:$C$1008,$I864-8)))</x:f>
      </x:c>
      <x:c r="D864" s="51" t="str">
        <x:f>IF(856&gt;$H$4,"",IF(INDEX('Fleet dates'!$D$9:$D$1008,$I864-8)="","",INDEX('Fleet dates'!$D$9:$D$1008,$I864-8)))</x:f>
      </x:c>
      <x:c r="E864" s="51" t="str">
        <x:f>IF(856&gt;$H$4,"",IF(INDEX('Fleet dates'!$E$9:$E$1008,$I864-8)="","",INDEX('Fleet dates'!$E$9:$E$1008,$I864-8)))</x:f>
      </x:c>
      <x:c r="F864" s="51" t="str">
        <x:f>IF(856&gt;$H$4,"",IF(INDEX('Fleet dates'!$F$9:$F$1008,$I864-8)="","",INDEX('Fleet dates'!$F$9:$F$1008,$I864-8)))</x:f>
      </x:c>
      <x:c r="G864" s="50" t="str">
        <x:f>IF(856&gt;$H$4,"",IF(INDEX('Fleet dates'!$G$9:$G$1008,$I864-8)="","",INDEX('Fleet dates'!$G$9:$G$1008,$I864-8)))</x:f>
      </x:c>
      <x:c r="H864" s="50" t="str">
        <x:f>IF(856&gt;$H$4,"",IF(INDEX('Fleet dates'!$I$9:$I$1008,$I864-8)="","",INDEX('Fleet dates'!$I$9:$I$1008,$I864-8)))</x:f>
      </x:c>
      <x:c r="I864" t="str">
        <x:f>IF(856&gt;$H$4,"",MATCH(856,'Fleet dates'!$L$9:$L$1008,0)+8)</x:f>
      </x:c>
    </x:row>
    <x:row r="865" ht="36" customHeight="1">
      <x:c r="A865" s="50" t="str">
        <x:f>IF(857&gt;$H$4,"",IF(INDEX('Fleet dates'!$A$9:$A$1008,$I865-8)="","",INDEX('Fleet dates'!$A$9:$A$1008,$I865-8)))</x:f>
      </x:c>
      <x:c r="B865" s="50" t="str">
        <x:f>IF(857&gt;$H$4,"",IF(INDEX('Fleet dates'!$B$9:$B$1008,$I865-8)="","",INDEX('Fleet dates'!$B$9:$B$1008,$I865-8)))</x:f>
      </x:c>
      <x:c r="C865" s="51" t="str">
        <x:f>IF(857&gt;$H$4,"",IF(INDEX('Fleet dates'!$C$9:$C$1008,$I865-8)="","",INDEX('Fleet dates'!$C$9:$C$1008,$I865-8)))</x:f>
      </x:c>
      <x:c r="D865" s="51" t="str">
        <x:f>IF(857&gt;$H$4,"",IF(INDEX('Fleet dates'!$D$9:$D$1008,$I865-8)="","",INDEX('Fleet dates'!$D$9:$D$1008,$I865-8)))</x:f>
      </x:c>
      <x:c r="E865" s="51" t="str">
        <x:f>IF(857&gt;$H$4,"",IF(INDEX('Fleet dates'!$E$9:$E$1008,$I865-8)="","",INDEX('Fleet dates'!$E$9:$E$1008,$I865-8)))</x:f>
      </x:c>
      <x:c r="F865" s="51" t="str">
        <x:f>IF(857&gt;$H$4,"",IF(INDEX('Fleet dates'!$F$9:$F$1008,$I865-8)="","",INDEX('Fleet dates'!$F$9:$F$1008,$I865-8)))</x:f>
      </x:c>
      <x:c r="G865" s="50" t="str">
        <x:f>IF(857&gt;$H$4,"",IF(INDEX('Fleet dates'!$G$9:$G$1008,$I865-8)="","",INDEX('Fleet dates'!$G$9:$G$1008,$I865-8)))</x:f>
      </x:c>
      <x:c r="H865" s="50" t="str">
        <x:f>IF(857&gt;$H$4,"",IF(INDEX('Fleet dates'!$I$9:$I$1008,$I865-8)="","",INDEX('Fleet dates'!$I$9:$I$1008,$I865-8)))</x:f>
      </x:c>
      <x:c r="I865" t="str">
        <x:f>IF(857&gt;$H$4,"",MATCH(857,'Fleet dates'!$L$9:$L$1008,0)+8)</x:f>
      </x:c>
    </x:row>
    <x:row r="866" ht="36" customHeight="1">
      <x:c r="A866" s="50" t="str">
        <x:f>IF(858&gt;$H$4,"",IF(INDEX('Fleet dates'!$A$9:$A$1008,$I866-8)="","",INDEX('Fleet dates'!$A$9:$A$1008,$I866-8)))</x:f>
      </x:c>
      <x:c r="B866" s="50" t="str">
        <x:f>IF(858&gt;$H$4,"",IF(INDEX('Fleet dates'!$B$9:$B$1008,$I866-8)="","",INDEX('Fleet dates'!$B$9:$B$1008,$I866-8)))</x:f>
      </x:c>
      <x:c r="C866" s="51" t="str">
        <x:f>IF(858&gt;$H$4,"",IF(INDEX('Fleet dates'!$C$9:$C$1008,$I866-8)="","",INDEX('Fleet dates'!$C$9:$C$1008,$I866-8)))</x:f>
      </x:c>
      <x:c r="D866" s="51" t="str">
        <x:f>IF(858&gt;$H$4,"",IF(INDEX('Fleet dates'!$D$9:$D$1008,$I866-8)="","",INDEX('Fleet dates'!$D$9:$D$1008,$I866-8)))</x:f>
      </x:c>
      <x:c r="E866" s="51" t="str">
        <x:f>IF(858&gt;$H$4,"",IF(INDEX('Fleet dates'!$E$9:$E$1008,$I866-8)="","",INDEX('Fleet dates'!$E$9:$E$1008,$I866-8)))</x:f>
      </x:c>
      <x:c r="F866" s="51" t="str">
        <x:f>IF(858&gt;$H$4,"",IF(INDEX('Fleet dates'!$F$9:$F$1008,$I866-8)="","",INDEX('Fleet dates'!$F$9:$F$1008,$I866-8)))</x:f>
      </x:c>
      <x:c r="G866" s="50" t="str">
        <x:f>IF(858&gt;$H$4,"",IF(INDEX('Fleet dates'!$G$9:$G$1008,$I866-8)="","",INDEX('Fleet dates'!$G$9:$G$1008,$I866-8)))</x:f>
      </x:c>
      <x:c r="H866" s="50" t="str">
        <x:f>IF(858&gt;$H$4,"",IF(INDEX('Fleet dates'!$I$9:$I$1008,$I866-8)="","",INDEX('Fleet dates'!$I$9:$I$1008,$I866-8)))</x:f>
      </x:c>
      <x:c r="I866" t="str">
        <x:f>IF(858&gt;$H$4,"",MATCH(858,'Fleet dates'!$L$9:$L$1008,0)+8)</x:f>
      </x:c>
    </x:row>
    <x:row r="867" ht="36" customHeight="1">
      <x:c r="A867" s="50" t="str">
        <x:f>IF(859&gt;$H$4,"",IF(INDEX('Fleet dates'!$A$9:$A$1008,$I867-8)="","",INDEX('Fleet dates'!$A$9:$A$1008,$I867-8)))</x:f>
      </x:c>
      <x:c r="B867" s="50" t="str">
        <x:f>IF(859&gt;$H$4,"",IF(INDEX('Fleet dates'!$B$9:$B$1008,$I867-8)="","",INDEX('Fleet dates'!$B$9:$B$1008,$I867-8)))</x:f>
      </x:c>
      <x:c r="C867" s="51" t="str">
        <x:f>IF(859&gt;$H$4,"",IF(INDEX('Fleet dates'!$C$9:$C$1008,$I867-8)="","",INDEX('Fleet dates'!$C$9:$C$1008,$I867-8)))</x:f>
      </x:c>
      <x:c r="D867" s="51" t="str">
        <x:f>IF(859&gt;$H$4,"",IF(INDEX('Fleet dates'!$D$9:$D$1008,$I867-8)="","",INDEX('Fleet dates'!$D$9:$D$1008,$I867-8)))</x:f>
      </x:c>
      <x:c r="E867" s="51" t="str">
        <x:f>IF(859&gt;$H$4,"",IF(INDEX('Fleet dates'!$E$9:$E$1008,$I867-8)="","",INDEX('Fleet dates'!$E$9:$E$1008,$I867-8)))</x:f>
      </x:c>
      <x:c r="F867" s="51" t="str">
        <x:f>IF(859&gt;$H$4,"",IF(INDEX('Fleet dates'!$F$9:$F$1008,$I867-8)="","",INDEX('Fleet dates'!$F$9:$F$1008,$I867-8)))</x:f>
      </x:c>
      <x:c r="G867" s="50" t="str">
        <x:f>IF(859&gt;$H$4,"",IF(INDEX('Fleet dates'!$G$9:$G$1008,$I867-8)="","",INDEX('Fleet dates'!$G$9:$G$1008,$I867-8)))</x:f>
      </x:c>
      <x:c r="H867" s="50" t="str">
        <x:f>IF(859&gt;$H$4,"",IF(INDEX('Fleet dates'!$I$9:$I$1008,$I867-8)="","",INDEX('Fleet dates'!$I$9:$I$1008,$I867-8)))</x:f>
      </x:c>
      <x:c r="I867" t="str">
        <x:f>IF(859&gt;$H$4,"",MATCH(859,'Fleet dates'!$L$9:$L$1008,0)+8)</x:f>
      </x:c>
    </x:row>
    <x:row r="868" ht="36" customHeight="1">
      <x:c r="A868" s="50" t="str">
        <x:f>IF(860&gt;$H$4,"",IF(INDEX('Fleet dates'!$A$9:$A$1008,$I868-8)="","",INDEX('Fleet dates'!$A$9:$A$1008,$I868-8)))</x:f>
      </x:c>
      <x:c r="B868" s="50" t="str">
        <x:f>IF(860&gt;$H$4,"",IF(INDEX('Fleet dates'!$B$9:$B$1008,$I868-8)="","",INDEX('Fleet dates'!$B$9:$B$1008,$I868-8)))</x:f>
      </x:c>
      <x:c r="C868" s="51" t="str">
        <x:f>IF(860&gt;$H$4,"",IF(INDEX('Fleet dates'!$C$9:$C$1008,$I868-8)="","",INDEX('Fleet dates'!$C$9:$C$1008,$I868-8)))</x:f>
      </x:c>
      <x:c r="D868" s="51" t="str">
        <x:f>IF(860&gt;$H$4,"",IF(INDEX('Fleet dates'!$D$9:$D$1008,$I868-8)="","",INDEX('Fleet dates'!$D$9:$D$1008,$I868-8)))</x:f>
      </x:c>
      <x:c r="E868" s="51" t="str">
        <x:f>IF(860&gt;$H$4,"",IF(INDEX('Fleet dates'!$E$9:$E$1008,$I868-8)="","",INDEX('Fleet dates'!$E$9:$E$1008,$I868-8)))</x:f>
      </x:c>
      <x:c r="F868" s="51" t="str">
        <x:f>IF(860&gt;$H$4,"",IF(INDEX('Fleet dates'!$F$9:$F$1008,$I868-8)="","",INDEX('Fleet dates'!$F$9:$F$1008,$I868-8)))</x:f>
      </x:c>
      <x:c r="G868" s="50" t="str">
        <x:f>IF(860&gt;$H$4,"",IF(INDEX('Fleet dates'!$G$9:$G$1008,$I868-8)="","",INDEX('Fleet dates'!$G$9:$G$1008,$I868-8)))</x:f>
      </x:c>
      <x:c r="H868" s="50" t="str">
        <x:f>IF(860&gt;$H$4,"",IF(INDEX('Fleet dates'!$I$9:$I$1008,$I868-8)="","",INDEX('Fleet dates'!$I$9:$I$1008,$I868-8)))</x:f>
      </x:c>
      <x:c r="I868" t="str">
        <x:f>IF(860&gt;$H$4,"",MATCH(860,'Fleet dates'!$L$9:$L$1008,0)+8)</x:f>
      </x:c>
    </x:row>
    <x:row r="869" ht="36" customHeight="1">
      <x:c r="A869" s="50" t="str">
        <x:f>IF(861&gt;$H$4,"",IF(INDEX('Fleet dates'!$A$9:$A$1008,$I869-8)="","",INDEX('Fleet dates'!$A$9:$A$1008,$I869-8)))</x:f>
      </x:c>
      <x:c r="B869" s="50" t="str">
        <x:f>IF(861&gt;$H$4,"",IF(INDEX('Fleet dates'!$B$9:$B$1008,$I869-8)="","",INDEX('Fleet dates'!$B$9:$B$1008,$I869-8)))</x:f>
      </x:c>
      <x:c r="C869" s="51" t="str">
        <x:f>IF(861&gt;$H$4,"",IF(INDEX('Fleet dates'!$C$9:$C$1008,$I869-8)="","",INDEX('Fleet dates'!$C$9:$C$1008,$I869-8)))</x:f>
      </x:c>
      <x:c r="D869" s="51" t="str">
        <x:f>IF(861&gt;$H$4,"",IF(INDEX('Fleet dates'!$D$9:$D$1008,$I869-8)="","",INDEX('Fleet dates'!$D$9:$D$1008,$I869-8)))</x:f>
      </x:c>
      <x:c r="E869" s="51" t="str">
        <x:f>IF(861&gt;$H$4,"",IF(INDEX('Fleet dates'!$E$9:$E$1008,$I869-8)="","",INDEX('Fleet dates'!$E$9:$E$1008,$I869-8)))</x:f>
      </x:c>
      <x:c r="F869" s="51" t="str">
        <x:f>IF(861&gt;$H$4,"",IF(INDEX('Fleet dates'!$F$9:$F$1008,$I869-8)="","",INDEX('Fleet dates'!$F$9:$F$1008,$I869-8)))</x:f>
      </x:c>
      <x:c r="G869" s="50" t="str">
        <x:f>IF(861&gt;$H$4,"",IF(INDEX('Fleet dates'!$G$9:$G$1008,$I869-8)="","",INDEX('Fleet dates'!$G$9:$G$1008,$I869-8)))</x:f>
      </x:c>
      <x:c r="H869" s="50" t="str">
        <x:f>IF(861&gt;$H$4,"",IF(INDEX('Fleet dates'!$I$9:$I$1008,$I869-8)="","",INDEX('Fleet dates'!$I$9:$I$1008,$I869-8)))</x:f>
      </x:c>
      <x:c r="I869" t="str">
        <x:f>IF(861&gt;$H$4,"",MATCH(861,'Fleet dates'!$L$9:$L$1008,0)+8)</x:f>
      </x:c>
    </x:row>
    <x:row r="870" ht="36" customHeight="1">
      <x:c r="A870" s="50" t="str">
        <x:f>IF(862&gt;$H$4,"",IF(INDEX('Fleet dates'!$A$9:$A$1008,$I870-8)="","",INDEX('Fleet dates'!$A$9:$A$1008,$I870-8)))</x:f>
      </x:c>
      <x:c r="B870" s="50" t="str">
        <x:f>IF(862&gt;$H$4,"",IF(INDEX('Fleet dates'!$B$9:$B$1008,$I870-8)="","",INDEX('Fleet dates'!$B$9:$B$1008,$I870-8)))</x:f>
      </x:c>
      <x:c r="C870" s="51" t="str">
        <x:f>IF(862&gt;$H$4,"",IF(INDEX('Fleet dates'!$C$9:$C$1008,$I870-8)="","",INDEX('Fleet dates'!$C$9:$C$1008,$I870-8)))</x:f>
      </x:c>
      <x:c r="D870" s="51" t="str">
        <x:f>IF(862&gt;$H$4,"",IF(INDEX('Fleet dates'!$D$9:$D$1008,$I870-8)="","",INDEX('Fleet dates'!$D$9:$D$1008,$I870-8)))</x:f>
      </x:c>
      <x:c r="E870" s="51" t="str">
        <x:f>IF(862&gt;$H$4,"",IF(INDEX('Fleet dates'!$E$9:$E$1008,$I870-8)="","",INDEX('Fleet dates'!$E$9:$E$1008,$I870-8)))</x:f>
      </x:c>
      <x:c r="F870" s="51" t="str">
        <x:f>IF(862&gt;$H$4,"",IF(INDEX('Fleet dates'!$F$9:$F$1008,$I870-8)="","",INDEX('Fleet dates'!$F$9:$F$1008,$I870-8)))</x:f>
      </x:c>
      <x:c r="G870" s="50" t="str">
        <x:f>IF(862&gt;$H$4,"",IF(INDEX('Fleet dates'!$G$9:$G$1008,$I870-8)="","",INDEX('Fleet dates'!$G$9:$G$1008,$I870-8)))</x:f>
      </x:c>
      <x:c r="H870" s="50" t="str">
        <x:f>IF(862&gt;$H$4,"",IF(INDEX('Fleet dates'!$I$9:$I$1008,$I870-8)="","",INDEX('Fleet dates'!$I$9:$I$1008,$I870-8)))</x:f>
      </x:c>
      <x:c r="I870" t="str">
        <x:f>IF(862&gt;$H$4,"",MATCH(862,'Fleet dates'!$L$9:$L$1008,0)+8)</x:f>
      </x:c>
    </x:row>
    <x:row r="871" ht="36" customHeight="1">
      <x:c r="A871" s="50" t="str">
        <x:f>IF(863&gt;$H$4,"",IF(INDEX('Fleet dates'!$A$9:$A$1008,$I871-8)="","",INDEX('Fleet dates'!$A$9:$A$1008,$I871-8)))</x:f>
      </x:c>
      <x:c r="B871" s="50" t="str">
        <x:f>IF(863&gt;$H$4,"",IF(INDEX('Fleet dates'!$B$9:$B$1008,$I871-8)="","",INDEX('Fleet dates'!$B$9:$B$1008,$I871-8)))</x:f>
      </x:c>
      <x:c r="C871" s="51" t="str">
        <x:f>IF(863&gt;$H$4,"",IF(INDEX('Fleet dates'!$C$9:$C$1008,$I871-8)="","",INDEX('Fleet dates'!$C$9:$C$1008,$I871-8)))</x:f>
      </x:c>
      <x:c r="D871" s="51" t="str">
        <x:f>IF(863&gt;$H$4,"",IF(INDEX('Fleet dates'!$D$9:$D$1008,$I871-8)="","",INDEX('Fleet dates'!$D$9:$D$1008,$I871-8)))</x:f>
      </x:c>
      <x:c r="E871" s="51" t="str">
        <x:f>IF(863&gt;$H$4,"",IF(INDEX('Fleet dates'!$E$9:$E$1008,$I871-8)="","",INDEX('Fleet dates'!$E$9:$E$1008,$I871-8)))</x:f>
      </x:c>
      <x:c r="F871" s="51" t="str">
        <x:f>IF(863&gt;$H$4,"",IF(INDEX('Fleet dates'!$F$9:$F$1008,$I871-8)="","",INDEX('Fleet dates'!$F$9:$F$1008,$I871-8)))</x:f>
      </x:c>
      <x:c r="G871" s="50" t="str">
        <x:f>IF(863&gt;$H$4,"",IF(INDEX('Fleet dates'!$G$9:$G$1008,$I871-8)="","",INDEX('Fleet dates'!$G$9:$G$1008,$I871-8)))</x:f>
      </x:c>
      <x:c r="H871" s="50" t="str">
        <x:f>IF(863&gt;$H$4,"",IF(INDEX('Fleet dates'!$I$9:$I$1008,$I871-8)="","",INDEX('Fleet dates'!$I$9:$I$1008,$I871-8)))</x:f>
      </x:c>
      <x:c r="I871" t="str">
        <x:f>IF(863&gt;$H$4,"",MATCH(863,'Fleet dates'!$L$9:$L$1008,0)+8)</x:f>
      </x:c>
    </x:row>
    <x:row r="872" ht="36" customHeight="1">
      <x:c r="A872" s="50" t="str">
        <x:f>IF(864&gt;$H$4,"",IF(INDEX('Fleet dates'!$A$9:$A$1008,$I872-8)="","",INDEX('Fleet dates'!$A$9:$A$1008,$I872-8)))</x:f>
      </x:c>
      <x:c r="B872" s="50" t="str">
        <x:f>IF(864&gt;$H$4,"",IF(INDEX('Fleet dates'!$B$9:$B$1008,$I872-8)="","",INDEX('Fleet dates'!$B$9:$B$1008,$I872-8)))</x:f>
      </x:c>
      <x:c r="C872" s="51" t="str">
        <x:f>IF(864&gt;$H$4,"",IF(INDEX('Fleet dates'!$C$9:$C$1008,$I872-8)="","",INDEX('Fleet dates'!$C$9:$C$1008,$I872-8)))</x:f>
      </x:c>
      <x:c r="D872" s="51" t="str">
        <x:f>IF(864&gt;$H$4,"",IF(INDEX('Fleet dates'!$D$9:$D$1008,$I872-8)="","",INDEX('Fleet dates'!$D$9:$D$1008,$I872-8)))</x:f>
      </x:c>
      <x:c r="E872" s="51" t="str">
        <x:f>IF(864&gt;$H$4,"",IF(INDEX('Fleet dates'!$E$9:$E$1008,$I872-8)="","",INDEX('Fleet dates'!$E$9:$E$1008,$I872-8)))</x:f>
      </x:c>
      <x:c r="F872" s="51" t="str">
        <x:f>IF(864&gt;$H$4,"",IF(INDEX('Fleet dates'!$F$9:$F$1008,$I872-8)="","",INDEX('Fleet dates'!$F$9:$F$1008,$I872-8)))</x:f>
      </x:c>
      <x:c r="G872" s="50" t="str">
        <x:f>IF(864&gt;$H$4,"",IF(INDEX('Fleet dates'!$G$9:$G$1008,$I872-8)="","",INDEX('Fleet dates'!$G$9:$G$1008,$I872-8)))</x:f>
      </x:c>
      <x:c r="H872" s="50" t="str">
        <x:f>IF(864&gt;$H$4,"",IF(INDEX('Fleet dates'!$I$9:$I$1008,$I872-8)="","",INDEX('Fleet dates'!$I$9:$I$1008,$I872-8)))</x:f>
      </x:c>
      <x:c r="I872" t="str">
        <x:f>IF(864&gt;$H$4,"",MATCH(864,'Fleet dates'!$L$9:$L$1008,0)+8)</x:f>
      </x:c>
    </x:row>
    <x:row r="873" ht="36" customHeight="1">
      <x:c r="A873" s="50" t="str">
        <x:f>IF(865&gt;$H$4,"",IF(INDEX('Fleet dates'!$A$9:$A$1008,$I873-8)="","",INDEX('Fleet dates'!$A$9:$A$1008,$I873-8)))</x:f>
      </x:c>
      <x:c r="B873" s="50" t="str">
        <x:f>IF(865&gt;$H$4,"",IF(INDEX('Fleet dates'!$B$9:$B$1008,$I873-8)="","",INDEX('Fleet dates'!$B$9:$B$1008,$I873-8)))</x:f>
      </x:c>
      <x:c r="C873" s="51" t="str">
        <x:f>IF(865&gt;$H$4,"",IF(INDEX('Fleet dates'!$C$9:$C$1008,$I873-8)="","",INDEX('Fleet dates'!$C$9:$C$1008,$I873-8)))</x:f>
      </x:c>
      <x:c r="D873" s="51" t="str">
        <x:f>IF(865&gt;$H$4,"",IF(INDEX('Fleet dates'!$D$9:$D$1008,$I873-8)="","",INDEX('Fleet dates'!$D$9:$D$1008,$I873-8)))</x:f>
      </x:c>
      <x:c r="E873" s="51" t="str">
        <x:f>IF(865&gt;$H$4,"",IF(INDEX('Fleet dates'!$E$9:$E$1008,$I873-8)="","",INDEX('Fleet dates'!$E$9:$E$1008,$I873-8)))</x:f>
      </x:c>
      <x:c r="F873" s="51" t="str">
        <x:f>IF(865&gt;$H$4,"",IF(INDEX('Fleet dates'!$F$9:$F$1008,$I873-8)="","",INDEX('Fleet dates'!$F$9:$F$1008,$I873-8)))</x:f>
      </x:c>
      <x:c r="G873" s="50" t="str">
        <x:f>IF(865&gt;$H$4,"",IF(INDEX('Fleet dates'!$G$9:$G$1008,$I873-8)="","",INDEX('Fleet dates'!$G$9:$G$1008,$I873-8)))</x:f>
      </x:c>
      <x:c r="H873" s="50" t="str">
        <x:f>IF(865&gt;$H$4,"",IF(INDEX('Fleet dates'!$I$9:$I$1008,$I873-8)="","",INDEX('Fleet dates'!$I$9:$I$1008,$I873-8)))</x:f>
      </x:c>
      <x:c r="I873" t="str">
        <x:f>IF(865&gt;$H$4,"",MATCH(865,'Fleet dates'!$L$9:$L$1008,0)+8)</x:f>
      </x:c>
    </x:row>
    <x:row r="874" ht="36" customHeight="1">
      <x:c r="A874" s="50" t="str">
        <x:f>IF(866&gt;$H$4,"",IF(INDEX('Fleet dates'!$A$9:$A$1008,$I874-8)="","",INDEX('Fleet dates'!$A$9:$A$1008,$I874-8)))</x:f>
      </x:c>
      <x:c r="B874" s="50" t="str">
        <x:f>IF(866&gt;$H$4,"",IF(INDEX('Fleet dates'!$B$9:$B$1008,$I874-8)="","",INDEX('Fleet dates'!$B$9:$B$1008,$I874-8)))</x:f>
      </x:c>
      <x:c r="C874" s="51" t="str">
        <x:f>IF(866&gt;$H$4,"",IF(INDEX('Fleet dates'!$C$9:$C$1008,$I874-8)="","",INDEX('Fleet dates'!$C$9:$C$1008,$I874-8)))</x:f>
      </x:c>
      <x:c r="D874" s="51" t="str">
        <x:f>IF(866&gt;$H$4,"",IF(INDEX('Fleet dates'!$D$9:$D$1008,$I874-8)="","",INDEX('Fleet dates'!$D$9:$D$1008,$I874-8)))</x:f>
      </x:c>
      <x:c r="E874" s="51" t="str">
        <x:f>IF(866&gt;$H$4,"",IF(INDEX('Fleet dates'!$E$9:$E$1008,$I874-8)="","",INDEX('Fleet dates'!$E$9:$E$1008,$I874-8)))</x:f>
      </x:c>
      <x:c r="F874" s="51" t="str">
        <x:f>IF(866&gt;$H$4,"",IF(INDEX('Fleet dates'!$F$9:$F$1008,$I874-8)="","",INDEX('Fleet dates'!$F$9:$F$1008,$I874-8)))</x:f>
      </x:c>
      <x:c r="G874" s="50" t="str">
        <x:f>IF(866&gt;$H$4,"",IF(INDEX('Fleet dates'!$G$9:$G$1008,$I874-8)="","",INDEX('Fleet dates'!$G$9:$G$1008,$I874-8)))</x:f>
      </x:c>
      <x:c r="H874" s="50" t="str">
        <x:f>IF(866&gt;$H$4,"",IF(INDEX('Fleet dates'!$I$9:$I$1008,$I874-8)="","",INDEX('Fleet dates'!$I$9:$I$1008,$I874-8)))</x:f>
      </x:c>
      <x:c r="I874" t="str">
        <x:f>IF(866&gt;$H$4,"",MATCH(866,'Fleet dates'!$L$9:$L$1008,0)+8)</x:f>
      </x:c>
    </x:row>
    <x:row r="875" ht="36" customHeight="1">
      <x:c r="A875" s="50" t="str">
        <x:f>IF(867&gt;$H$4,"",IF(INDEX('Fleet dates'!$A$9:$A$1008,$I875-8)="","",INDEX('Fleet dates'!$A$9:$A$1008,$I875-8)))</x:f>
      </x:c>
      <x:c r="B875" s="50" t="str">
        <x:f>IF(867&gt;$H$4,"",IF(INDEX('Fleet dates'!$B$9:$B$1008,$I875-8)="","",INDEX('Fleet dates'!$B$9:$B$1008,$I875-8)))</x:f>
      </x:c>
      <x:c r="C875" s="51" t="str">
        <x:f>IF(867&gt;$H$4,"",IF(INDEX('Fleet dates'!$C$9:$C$1008,$I875-8)="","",INDEX('Fleet dates'!$C$9:$C$1008,$I875-8)))</x:f>
      </x:c>
      <x:c r="D875" s="51" t="str">
        <x:f>IF(867&gt;$H$4,"",IF(INDEX('Fleet dates'!$D$9:$D$1008,$I875-8)="","",INDEX('Fleet dates'!$D$9:$D$1008,$I875-8)))</x:f>
      </x:c>
      <x:c r="E875" s="51" t="str">
        <x:f>IF(867&gt;$H$4,"",IF(INDEX('Fleet dates'!$E$9:$E$1008,$I875-8)="","",INDEX('Fleet dates'!$E$9:$E$1008,$I875-8)))</x:f>
      </x:c>
      <x:c r="F875" s="51" t="str">
        <x:f>IF(867&gt;$H$4,"",IF(INDEX('Fleet dates'!$F$9:$F$1008,$I875-8)="","",INDEX('Fleet dates'!$F$9:$F$1008,$I875-8)))</x:f>
      </x:c>
      <x:c r="G875" s="50" t="str">
        <x:f>IF(867&gt;$H$4,"",IF(INDEX('Fleet dates'!$G$9:$G$1008,$I875-8)="","",INDEX('Fleet dates'!$G$9:$G$1008,$I875-8)))</x:f>
      </x:c>
      <x:c r="H875" s="50" t="str">
        <x:f>IF(867&gt;$H$4,"",IF(INDEX('Fleet dates'!$I$9:$I$1008,$I875-8)="","",INDEX('Fleet dates'!$I$9:$I$1008,$I875-8)))</x:f>
      </x:c>
      <x:c r="I875" t="str">
        <x:f>IF(867&gt;$H$4,"",MATCH(867,'Fleet dates'!$L$9:$L$1008,0)+8)</x:f>
      </x:c>
    </x:row>
    <x:row r="876" ht="36" customHeight="1">
      <x:c r="A876" s="50" t="str">
        <x:f>IF(868&gt;$H$4,"",IF(INDEX('Fleet dates'!$A$9:$A$1008,$I876-8)="","",INDEX('Fleet dates'!$A$9:$A$1008,$I876-8)))</x:f>
      </x:c>
      <x:c r="B876" s="50" t="str">
        <x:f>IF(868&gt;$H$4,"",IF(INDEX('Fleet dates'!$B$9:$B$1008,$I876-8)="","",INDEX('Fleet dates'!$B$9:$B$1008,$I876-8)))</x:f>
      </x:c>
      <x:c r="C876" s="51" t="str">
        <x:f>IF(868&gt;$H$4,"",IF(INDEX('Fleet dates'!$C$9:$C$1008,$I876-8)="","",INDEX('Fleet dates'!$C$9:$C$1008,$I876-8)))</x:f>
      </x:c>
      <x:c r="D876" s="51" t="str">
        <x:f>IF(868&gt;$H$4,"",IF(INDEX('Fleet dates'!$D$9:$D$1008,$I876-8)="","",INDEX('Fleet dates'!$D$9:$D$1008,$I876-8)))</x:f>
      </x:c>
      <x:c r="E876" s="51" t="str">
        <x:f>IF(868&gt;$H$4,"",IF(INDEX('Fleet dates'!$E$9:$E$1008,$I876-8)="","",INDEX('Fleet dates'!$E$9:$E$1008,$I876-8)))</x:f>
      </x:c>
      <x:c r="F876" s="51" t="str">
        <x:f>IF(868&gt;$H$4,"",IF(INDEX('Fleet dates'!$F$9:$F$1008,$I876-8)="","",INDEX('Fleet dates'!$F$9:$F$1008,$I876-8)))</x:f>
      </x:c>
      <x:c r="G876" s="50" t="str">
        <x:f>IF(868&gt;$H$4,"",IF(INDEX('Fleet dates'!$G$9:$G$1008,$I876-8)="","",INDEX('Fleet dates'!$G$9:$G$1008,$I876-8)))</x:f>
      </x:c>
      <x:c r="H876" s="50" t="str">
        <x:f>IF(868&gt;$H$4,"",IF(INDEX('Fleet dates'!$I$9:$I$1008,$I876-8)="","",INDEX('Fleet dates'!$I$9:$I$1008,$I876-8)))</x:f>
      </x:c>
      <x:c r="I876" t="str">
        <x:f>IF(868&gt;$H$4,"",MATCH(868,'Fleet dates'!$L$9:$L$1008,0)+8)</x:f>
      </x:c>
    </x:row>
    <x:row r="877" ht="36" customHeight="1">
      <x:c r="A877" s="50" t="str">
        <x:f>IF(869&gt;$H$4,"",IF(INDEX('Fleet dates'!$A$9:$A$1008,$I877-8)="","",INDEX('Fleet dates'!$A$9:$A$1008,$I877-8)))</x:f>
      </x:c>
      <x:c r="B877" s="50" t="str">
        <x:f>IF(869&gt;$H$4,"",IF(INDEX('Fleet dates'!$B$9:$B$1008,$I877-8)="","",INDEX('Fleet dates'!$B$9:$B$1008,$I877-8)))</x:f>
      </x:c>
      <x:c r="C877" s="51" t="str">
        <x:f>IF(869&gt;$H$4,"",IF(INDEX('Fleet dates'!$C$9:$C$1008,$I877-8)="","",INDEX('Fleet dates'!$C$9:$C$1008,$I877-8)))</x:f>
      </x:c>
      <x:c r="D877" s="51" t="str">
        <x:f>IF(869&gt;$H$4,"",IF(INDEX('Fleet dates'!$D$9:$D$1008,$I877-8)="","",INDEX('Fleet dates'!$D$9:$D$1008,$I877-8)))</x:f>
      </x:c>
      <x:c r="E877" s="51" t="str">
        <x:f>IF(869&gt;$H$4,"",IF(INDEX('Fleet dates'!$E$9:$E$1008,$I877-8)="","",INDEX('Fleet dates'!$E$9:$E$1008,$I877-8)))</x:f>
      </x:c>
      <x:c r="F877" s="51" t="str">
        <x:f>IF(869&gt;$H$4,"",IF(INDEX('Fleet dates'!$F$9:$F$1008,$I877-8)="","",INDEX('Fleet dates'!$F$9:$F$1008,$I877-8)))</x:f>
      </x:c>
      <x:c r="G877" s="50" t="str">
        <x:f>IF(869&gt;$H$4,"",IF(INDEX('Fleet dates'!$G$9:$G$1008,$I877-8)="","",INDEX('Fleet dates'!$G$9:$G$1008,$I877-8)))</x:f>
      </x:c>
      <x:c r="H877" s="50" t="str">
        <x:f>IF(869&gt;$H$4,"",IF(INDEX('Fleet dates'!$I$9:$I$1008,$I877-8)="","",INDEX('Fleet dates'!$I$9:$I$1008,$I877-8)))</x:f>
      </x:c>
      <x:c r="I877" t="str">
        <x:f>IF(869&gt;$H$4,"",MATCH(869,'Fleet dates'!$L$9:$L$1008,0)+8)</x:f>
      </x:c>
    </x:row>
    <x:row r="878" ht="36" customHeight="1">
      <x:c r="A878" s="50" t="str">
        <x:f>IF(870&gt;$H$4,"",IF(INDEX('Fleet dates'!$A$9:$A$1008,$I878-8)="","",INDEX('Fleet dates'!$A$9:$A$1008,$I878-8)))</x:f>
      </x:c>
      <x:c r="B878" s="50" t="str">
        <x:f>IF(870&gt;$H$4,"",IF(INDEX('Fleet dates'!$B$9:$B$1008,$I878-8)="","",INDEX('Fleet dates'!$B$9:$B$1008,$I878-8)))</x:f>
      </x:c>
      <x:c r="C878" s="51" t="str">
        <x:f>IF(870&gt;$H$4,"",IF(INDEX('Fleet dates'!$C$9:$C$1008,$I878-8)="","",INDEX('Fleet dates'!$C$9:$C$1008,$I878-8)))</x:f>
      </x:c>
      <x:c r="D878" s="51" t="str">
        <x:f>IF(870&gt;$H$4,"",IF(INDEX('Fleet dates'!$D$9:$D$1008,$I878-8)="","",INDEX('Fleet dates'!$D$9:$D$1008,$I878-8)))</x:f>
      </x:c>
      <x:c r="E878" s="51" t="str">
        <x:f>IF(870&gt;$H$4,"",IF(INDEX('Fleet dates'!$E$9:$E$1008,$I878-8)="","",INDEX('Fleet dates'!$E$9:$E$1008,$I878-8)))</x:f>
      </x:c>
      <x:c r="F878" s="51" t="str">
        <x:f>IF(870&gt;$H$4,"",IF(INDEX('Fleet dates'!$F$9:$F$1008,$I878-8)="","",INDEX('Fleet dates'!$F$9:$F$1008,$I878-8)))</x:f>
      </x:c>
      <x:c r="G878" s="50" t="str">
        <x:f>IF(870&gt;$H$4,"",IF(INDEX('Fleet dates'!$G$9:$G$1008,$I878-8)="","",INDEX('Fleet dates'!$G$9:$G$1008,$I878-8)))</x:f>
      </x:c>
      <x:c r="H878" s="50" t="str">
        <x:f>IF(870&gt;$H$4,"",IF(INDEX('Fleet dates'!$I$9:$I$1008,$I878-8)="","",INDEX('Fleet dates'!$I$9:$I$1008,$I878-8)))</x:f>
      </x:c>
      <x:c r="I878" t="str">
        <x:f>IF(870&gt;$H$4,"",MATCH(870,'Fleet dates'!$L$9:$L$1008,0)+8)</x:f>
      </x:c>
    </x:row>
    <x:row r="879" ht="36" customHeight="1">
      <x:c r="A879" s="50" t="str">
        <x:f>IF(871&gt;$H$4,"",IF(INDEX('Fleet dates'!$A$9:$A$1008,$I879-8)="","",INDEX('Fleet dates'!$A$9:$A$1008,$I879-8)))</x:f>
      </x:c>
      <x:c r="B879" s="50" t="str">
        <x:f>IF(871&gt;$H$4,"",IF(INDEX('Fleet dates'!$B$9:$B$1008,$I879-8)="","",INDEX('Fleet dates'!$B$9:$B$1008,$I879-8)))</x:f>
      </x:c>
      <x:c r="C879" s="51" t="str">
        <x:f>IF(871&gt;$H$4,"",IF(INDEX('Fleet dates'!$C$9:$C$1008,$I879-8)="","",INDEX('Fleet dates'!$C$9:$C$1008,$I879-8)))</x:f>
      </x:c>
      <x:c r="D879" s="51" t="str">
        <x:f>IF(871&gt;$H$4,"",IF(INDEX('Fleet dates'!$D$9:$D$1008,$I879-8)="","",INDEX('Fleet dates'!$D$9:$D$1008,$I879-8)))</x:f>
      </x:c>
      <x:c r="E879" s="51" t="str">
        <x:f>IF(871&gt;$H$4,"",IF(INDEX('Fleet dates'!$E$9:$E$1008,$I879-8)="","",INDEX('Fleet dates'!$E$9:$E$1008,$I879-8)))</x:f>
      </x:c>
      <x:c r="F879" s="51" t="str">
        <x:f>IF(871&gt;$H$4,"",IF(INDEX('Fleet dates'!$F$9:$F$1008,$I879-8)="","",INDEX('Fleet dates'!$F$9:$F$1008,$I879-8)))</x:f>
      </x:c>
      <x:c r="G879" s="50" t="str">
        <x:f>IF(871&gt;$H$4,"",IF(INDEX('Fleet dates'!$G$9:$G$1008,$I879-8)="","",INDEX('Fleet dates'!$G$9:$G$1008,$I879-8)))</x:f>
      </x:c>
      <x:c r="H879" s="50" t="str">
        <x:f>IF(871&gt;$H$4,"",IF(INDEX('Fleet dates'!$I$9:$I$1008,$I879-8)="","",INDEX('Fleet dates'!$I$9:$I$1008,$I879-8)))</x:f>
      </x:c>
      <x:c r="I879" t="str">
        <x:f>IF(871&gt;$H$4,"",MATCH(871,'Fleet dates'!$L$9:$L$1008,0)+8)</x:f>
      </x:c>
    </x:row>
    <x:row r="880" ht="36" customHeight="1">
      <x:c r="A880" s="50" t="str">
        <x:f>IF(872&gt;$H$4,"",IF(INDEX('Fleet dates'!$A$9:$A$1008,$I880-8)="","",INDEX('Fleet dates'!$A$9:$A$1008,$I880-8)))</x:f>
      </x:c>
      <x:c r="B880" s="50" t="str">
        <x:f>IF(872&gt;$H$4,"",IF(INDEX('Fleet dates'!$B$9:$B$1008,$I880-8)="","",INDEX('Fleet dates'!$B$9:$B$1008,$I880-8)))</x:f>
      </x:c>
      <x:c r="C880" s="51" t="str">
        <x:f>IF(872&gt;$H$4,"",IF(INDEX('Fleet dates'!$C$9:$C$1008,$I880-8)="","",INDEX('Fleet dates'!$C$9:$C$1008,$I880-8)))</x:f>
      </x:c>
      <x:c r="D880" s="51" t="str">
        <x:f>IF(872&gt;$H$4,"",IF(INDEX('Fleet dates'!$D$9:$D$1008,$I880-8)="","",INDEX('Fleet dates'!$D$9:$D$1008,$I880-8)))</x:f>
      </x:c>
      <x:c r="E880" s="51" t="str">
        <x:f>IF(872&gt;$H$4,"",IF(INDEX('Fleet dates'!$E$9:$E$1008,$I880-8)="","",INDEX('Fleet dates'!$E$9:$E$1008,$I880-8)))</x:f>
      </x:c>
      <x:c r="F880" s="51" t="str">
        <x:f>IF(872&gt;$H$4,"",IF(INDEX('Fleet dates'!$F$9:$F$1008,$I880-8)="","",INDEX('Fleet dates'!$F$9:$F$1008,$I880-8)))</x:f>
      </x:c>
      <x:c r="G880" s="50" t="str">
        <x:f>IF(872&gt;$H$4,"",IF(INDEX('Fleet dates'!$G$9:$G$1008,$I880-8)="","",INDEX('Fleet dates'!$G$9:$G$1008,$I880-8)))</x:f>
      </x:c>
      <x:c r="H880" s="50" t="str">
        <x:f>IF(872&gt;$H$4,"",IF(INDEX('Fleet dates'!$I$9:$I$1008,$I880-8)="","",INDEX('Fleet dates'!$I$9:$I$1008,$I880-8)))</x:f>
      </x:c>
      <x:c r="I880" t="str">
        <x:f>IF(872&gt;$H$4,"",MATCH(872,'Fleet dates'!$L$9:$L$1008,0)+8)</x:f>
      </x:c>
    </x:row>
    <x:row r="881" ht="36" customHeight="1">
      <x:c r="A881" s="50" t="str">
        <x:f>IF(873&gt;$H$4,"",IF(INDEX('Fleet dates'!$A$9:$A$1008,$I881-8)="","",INDEX('Fleet dates'!$A$9:$A$1008,$I881-8)))</x:f>
      </x:c>
      <x:c r="B881" s="50" t="str">
        <x:f>IF(873&gt;$H$4,"",IF(INDEX('Fleet dates'!$B$9:$B$1008,$I881-8)="","",INDEX('Fleet dates'!$B$9:$B$1008,$I881-8)))</x:f>
      </x:c>
      <x:c r="C881" s="51" t="str">
        <x:f>IF(873&gt;$H$4,"",IF(INDEX('Fleet dates'!$C$9:$C$1008,$I881-8)="","",INDEX('Fleet dates'!$C$9:$C$1008,$I881-8)))</x:f>
      </x:c>
      <x:c r="D881" s="51" t="str">
        <x:f>IF(873&gt;$H$4,"",IF(INDEX('Fleet dates'!$D$9:$D$1008,$I881-8)="","",INDEX('Fleet dates'!$D$9:$D$1008,$I881-8)))</x:f>
      </x:c>
      <x:c r="E881" s="51" t="str">
        <x:f>IF(873&gt;$H$4,"",IF(INDEX('Fleet dates'!$E$9:$E$1008,$I881-8)="","",INDEX('Fleet dates'!$E$9:$E$1008,$I881-8)))</x:f>
      </x:c>
      <x:c r="F881" s="51" t="str">
        <x:f>IF(873&gt;$H$4,"",IF(INDEX('Fleet dates'!$F$9:$F$1008,$I881-8)="","",INDEX('Fleet dates'!$F$9:$F$1008,$I881-8)))</x:f>
      </x:c>
      <x:c r="G881" s="50" t="str">
        <x:f>IF(873&gt;$H$4,"",IF(INDEX('Fleet dates'!$G$9:$G$1008,$I881-8)="","",INDEX('Fleet dates'!$G$9:$G$1008,$I881-8)))</x:f>
      </x:c>
      <x:c r="H881" s="50" t="str">
        <x:f>IF(873&gt;$H$4,"",IF(INDEX('Fleet dates'!$I$9:$I$1008,$I881-8)="","",INDEX('Fleet dates'!$I$9:$I$1008,$I881-8)))</x:f>
      </x:c>
      <x:c r="I881" t="str">
        <x:f>IF(873&gt;$H$4,"",MATCH(873,'Fleet dates'!$L$9:$L$1008,0)+8)</x:f>
      </x:c>
    </x:row>
    <x:row r="882" ht="36" customHeight="1">
      <x:c r="A882" s="50" t="str">
        <x:f>IF(874&gt;$H$4,"",IF(INDEX('Fleet dates'!$A$9:$A$1008,$I882-8)="","",INDEX('Fleet dates'!$A$9:$A$1008,$I882-8)))</x:f>
      </x:c>
      <x:c r="B882" s="50" t="str">
        <x:f>IF(874&gt;$H$4,"",IF(INDEX('Fleet dates'!$B$9:$B$1008,$I882-8)="","",INDEX('Fleet dates'!$B$9:$B$1008,$I882-8)))</x:f>
      </x:c>
      <x:c r="C882" s="51" t="str">
        <x:f>IF(874&gt;$H$4,"",IF(INDEX('Fleet dates'!$C$9:$C$1008,$I882-8)="","",INDEX('Fleet dates'!$C$9:$C$1008,$I882-8)))</x:f>
      </x:c>
      <x:c r="D882" s="51" t="str">
        <x:f>IF(874&gt;$H$4,"",IF(INDEX('Fleet dates'!$D$9:$D$1008,$I882-8)="","",INDEX('Fleet dates'!$D$9:$D$1008,$I882-8)))</x:f>
      </x:c>
      <x:c r="E882" s="51" t="str">
        <x:f>IF(874&gt;$H$4,"",IF(INDEX('Fleet dates'!$E$9:$E$1008,$I882-8)="","",INDEX('Fleet dates'!$E$9:$E$1008,$I882-8)))</x:f>
      </x:c>
      <x:c r="F882" s="51" t="str">
        <x:f>IF(874&gt;$H$4,"",IF(INDEX('Fleet dates'!$F$9:$F$1008,$I882-8)="","",INDEX('Fleet dates'!$F$9:$F$1008,$I882-8)))</x:f>
      </x:c>
      <x:c r="G882" s="50" t="str">
        <x:f>IF(874&gt;$H$4,"",IF(INDEX('Fleet dates'!$G$9:$G$1008,$I882-8)="","",INDEX('Fleet dates'!$G$9:$G$1008,$I882-8)))</x:f>
      </x:c>
      <x:c r="H882" s="50" t="str">
        <x:f>IF(874&gt;$H$4,"",IF(INDEX('Fleet dates'!$I$9:$I$1008,$I882-8)="","",INDEX('Fleet dates'!$I$9:$I$1008,$I882-8)))</x:f>
      </x:c>
      <x:c r="I882" t="str">
        <x:f>IF(874&gt;$H$4,"",MATCH(874,'Fleet dates'!$L$9:$L$1008,0)+8)</x:f>
      </x:c>
    </x:row>
    <x:row r="883" ht="36" customHeight="1">
      <x:c r="A883" s="50" t="str">
        <x:f>IF(875&gt;$H$4,"",IF(INDEX('Fleet dates'!$A$9:$A$1008,$I883-8)="","",INDEX('Fleet dates'!$A$9:$A$1008,$I883-8)))</x:f>
      </x:c>
      <x:c r="B883" s="50" t="str">
        <x:f>IF(875&gt;$H$4,"",IF(INDEX('Fleet dates'!$B$9:$B$1008,$I883-8)="","",INDEX('Fleet dates'!$B$9:$B$1008,$I883-8)))</x:f>
      </x:c>
      <x:c r="C883" s="51" t="str">
        <x:f>IF(875&gt;$H$4,"",IF(INDEX('Fleet dates'!$C$9:$C$1008,$I883-8)="","",INDEX('Fleet dates'!$C$9:$C$1008,$I883-8)))</x:f>
      </x:c>
      <x:c r="D883" s="51" t="str">
        <x:f>IF(875&gt;$H$4,"",IF(INDEX('Fleet dates'!$D$9:$D$1008,$I883-8)="","",INDEX('Fleet dates'!$D$9:$D$1008,$I883-8)))</x:f>
      </x:c>
      <x:c r="E883" s="51" t="str">
        <x:f>IF(875&gt;$H$4,"",IF(INDEX('Fleet dates'!$E$9:$E$1008,$I883-8)="","",INDEX('Fleet dates'!$E$9:$E$1008,$I883-8)))</x:f>
      </x:c>
      <x:c r="F883" s="51" t="str">
        <x:f>IF(875&gt;$H$4,"",IF(INDEX('Fleet dates'!$F$9:$F$1008,$I883-8)="","",INDEX('Fleet dates'!$F$9:$F$1008,$I883-8)))</x:f>
      </x:c>
      <x:c r="G883" s="50" t="str">
        <x:f>IF(875&gt;$H$4,"",IF(INDEX('Fleet dates'!$G$9:$G$1008,$I883-8)="","",INDEX('Fleet dates'!$G$9:$G$1008,$I883-8)))</x:f>
      </x:c>
      <x:c r="H883" s="50" t="str">
        <x:f>IF(875&gt;$H$4,"",IF(INDEX('Fleet dates'!$I$9:$I$1008,$I883-8)="","",INDEX('Fleet dates'!$I$9:$I$1008,$I883-8)))</x:f>
      </x:c>
      <x:c r="I883" t="str">
        <x:f>IF(875&gt;$H$4,"",MATCH(875,'Fleet dates'!$L$9:$L$1008,0)+8)</x:f>
      </x:c>
    </x:row>
    <x:row r="884" ht="36" customHeight="1">
      <x:c r="A884" s="50" t="str">
        <x:f>IF(876&gt;$H$4,"",IF(INDEX('Fleet dates'!$A$9:$A$1008,$I884-8)="","",INDEX('Fleet dates'!$A$9:$A$1008,$I884-8)))</x:f>
      </x:c>
      <x:c r="B884" s="50" t="str">
        <x:f>IF(876&gt;$H$4,"",IF(INDEX('Fleet dates'!$B$9:$B$1008,$I884-8)="","",INDEX('Fleet dates'!$B$9:$B$1008,$I884-8)))</x:f>
      </x:c>
      <x:c r="C884" s="51" t="str">
        <x:f>IF(876&gt;$H$4,"",IF(INDEX('Fleet dates'!$C$9:$C$1008,$I884-8)="","",INDEX('Fleet dates'!$C$9:$C$1008,$I884-8)))</x:f>
      </x:c>
      <x:c r="D884" s="51" t="str">
        <x:f>IF(876&gt;$H$4,"",IF(INDEX('Fleet dates'!$D$9:$D$1008,$I884-8)="","",INDEX('Fleet dates'!$D$9:$D$1008,$I884-8)))</x:f>
      </x:c>
      <x:c r="E884" s="51" t="str">
        <x:f>IF(876&gt;$H$4,"",IF(INDEX('Fleet dates'!$E$9:$E$1008,$I884-8)="","",INDEX('Fleet dates'!$E$9:$E$1008,$I884-8)))</x:f>
      </x:c>
      <x:c r="F884" s="51" t="str">
        <x:f>IF(876&gt;$H$4,"",IF(INDEX('Fleet dates'!$F$9:$F$1008,$I884-8)="","",INDEX('Fleet dates'!$F$9:$F$1008,$I884-8)))</x:f>
      </x:c>
      <x:c r="G884" s="50" t="str">
        <x:f>IF(876&gt;$H$4,"",IF(INDEX('Fleet dates'!$G$9:$G$1008,$I884-8)="","",INDEX('Fleet dates'!$G$9:$G$1008,$I884-8)))</x:f>
      </x:c>
      <x:c r="H884" s="50" t="str">
        <x:f>IF(876&gt;$H$4,"",IF(INDEX('Fleet dates'!$I$9:$I$1008,$I884-8)="","",INDEX('Fleet dates'!$I$9:$I$1008,$I884-8)))</x:f>
      </x:c>
      <x:c r="I884" t="str">
        <x:f>IF(876&gt;$H$4,"",MATCH(876,'Fleet dates'!$L$9:$L$1008,0)+8)</x:f>
      </x:c>
    </x:row>
    <x:row r="885" ht="36" customHeight="1">
      <x:c r="A885" s="50" t="str">
        <x:f>IF(877&gt;$H$4,"",IF(INDEX('Fleet dates'!$A$9:$A$1008,$I885-8)="","",INDEX('Fleet dates'!$A$9:$A$1008,$I885-8)))</x:f>
      </x:c>
      <x:c r="B885" s="50" t="str">
        <x:f>IF(877&gt;$H$4,"",IF(INDEX('Fleet dates'!$B$9:$B$1008,$I885-8)="","",INDEX('Fleet dates'!$B$9:$B$1008,$I885-8)))</x:f>
      </x:c>
      <x:c r="C885" s="51" t="str">
        <x:f>IF(877&gt;$H$4,"",IF(INDEX('Fleet dates'!$C$9:$C$1008,$I885-8)="","",INDEX('Fleet dates'!$C$9:$C$1008,$I885-8)))</x:f>
      </x:c>
      <x:c r="D885" s="51" t="str">
        <x:f>IF(877&gt;$H$4,"",IF(INDEX('Fleet dates'!$D$9:$D$1008,$I885-8)="","",INDEX('Fleet dates'!$D$9:$D$1008,$I885-8)))</x:f>
      </x:c>
      <x:c r="E885" s="51" t="str">
        <x:f>IF(877&gt;$H$4,"",IF(INDEX('Fleet dates'!$E$9:$E$1008,$I885-8)="","",INDEX('Fleet dates'!$E$9:$E$1008,$I885-8)))</x:f>
      </x:c>
      <x:c r="F885" s="51" t="str">
        <x:f>IF(877&gt;$H$4,"",IF(INDEX('Fleet dates'!$F$9:$F$1008,$I885-8)="","",INDEX('Fleet dates'!$F$9:$F$1008,$I885-8)))</x:f>
      </x:c>
      <x:c r="G885" s="50" t="str">
        <x:f>IF(877&gt;$H$4,"",IF(INDEX('Fleet dates'!$G$9:$G$1008,$I885-8)="","",INDEX('Fleet dates'!$G$9:$G$1008,$I885-8)))</x:f>
      </x:c>
      <x:c r="H885" s="50" t="str">
        <x:f>IF(877&gt;$H$4,"",IF(INDEX('Fleet dates'!$I$9:$I$1008,$I885-8)="","",INDEX('Fleet dates'!$I$9:$I$1008,$I885-8)))</x:f>
      </x:c>
      <x:c r="I885" t="str">
        <x:f>IF(877&gt;$H$4,"",MATCH(877,'Fleet dates'!$L$9:$L$1008,0)+8)</x:f>
      </x:c>
    </x:row>
    <x:row r="886" ht="36" customHeight="1">
      <x:c r="A886" s="50" t="str">
        <x:f>IF(878&gt;$H$4,"",IF(INDEX('Fleet dates'!$A$9:$A$1008,$I886-8)="","",INDEX('Fleet dates'!$A$9:$A$1008,$I886-8)))</x:f>
      </x:c>
      <x:c r="B886" s="50" t="str">
        <x:f>IF(878&gt;$H$4,"",IF(INDEX('Fleet dates'!$B$9:$B$1008,$I886-8)="","",INDEX('Fleet dates'!$B$9:$B$1008,$I886-8)))</x:f>
      </x:c>
      <x:c r="C886" s="51" t="str">
        <x:f>IF(878&gt;$H$4,"",IF(INDEX('Fleet dates'!$C$9:$C$1008,$I886-8)="","",INDEX('Fleet dates'!$C$9:$C$1008,$I886-8)))</x:f>
      </x:c>
      <x:c r="D886" s="51" t="str">
        <x:f>IF(878&gt;$H$4,"",IF(INDEX('Fleet dates'!$D$9:$D$1008,$I886-8)="","",INDEX('Fleet dates'!$D$9:$D$1008,$I886-8)))</x:f>
      </x:c>
      <x:c r="E886" s="51" t="str">
        <x:f>IF(878&gt;$H$4,"",IF(INDEX('Fleet dates'!$E$9:$E$1008,$I886-8)="","",INDEX('Fleet dates'!$E$9:$E$1008,$I886-8)))</x:f>
      </x:c>
      <x:c r="F886" s="51" t="str">
        <x:f>IF(878&gt;$H$4,"",IF(INDEX('Fleet dates'!$F$9:$F$1008,$I886-8)="","",INDEX('Fleet dates'!$F$9:$F$1008,$I886-8)))</x:f>
      </x:c>
      <x:c r="G886" s="50" t="str">
        <x:f>IF(878&gt;$H$4,"",IF(INDEX('Fleet dates'!$G$9:$G$1008,$I886-8)="","",INDEX('Fleet dates'!$G$9:$G$1008,$I886-8)))</x:f>
      </x:c>
      <x:c r="H886" s="50" t="str">
        <x:f>IF(878&gt;$H$4,"",IF(INDEX('Fleet dates'!$I$9:$I$1008,$I886-8)="","",INDEX('Fleet dates'!$I$9:$I$1008,$I886-8)))</x:f>
      </x:c>
      <x:c r="I886" t="str">
        <x:f>IF(878&gt;$H$4,"",MATCH(878,'Fleet dates'!$L$9:$L$1008,0)+8)</x:f>
      </x:c>
    </x:row>
    <x:row r="887" ht="36" customHeight="1">
      <x:c r="A887" s="50" t="str">
        <x:f>IF(879&gt;$H$4,"",IF(INDEX('Fleet dates'!$A$9:$A$1008,$I887-8)="","",INDEX('Fleet dates'!$A$9:$A$1008,$I887-8)))</x:f>
      </x:c>
      <x:c r="B887" s="50" t="str">
        <x:f>IF(879&gt;$H$4,"",IF(INDEX('Fleet dates'!$B$9:$B$1008,$I887-8)="","",INDEX('Fleet dates'!$B$9:$B$1008,$I887-8)))</x:f>
      </x:c>
      <x:c r="C887" s="51" t="str">
        <x:f>IF(879&gt;$H$4,"",IF(INDEX('Fleet dates'!$C$9:$C$1008,$I887-8)="","",INDEX('Fleet dates'!$C$9:$C$1008,$I887-8)))</x:f>
      </x:c>
      <x:c r="D887" s="51" t="str">
        <x:f>IF(879&gt;$H$4,"",IF(INDEX('Fleet dates'!$D$9:$D$1008,$I887-8)="","",INDEX('Fleet dates'!$D$9:$D$1008,$I887-8)))</x:f>
      </x:c>
      <x:c r="E887" s="51" t="str">
        <x:f>IF(879&gt;$H$4,"",IF(INDEX('Fleet dates'!$E$9:$E$1008,$I887-8)="","",INDEX('Fleet dates'!$E$9:$E$1008,$I887-8)))</x:f>
      </x:c>
      <x:c r="F887" s="51" t="str">
        <x:f>IF(879&gt;$H$4,"",IF(INDEX('Fleet dates'!$F$9:$F$1008,$I887-8)="","",INDEX('Fleet dates'!$F$9:$F$1008,$I887-8)))</x:f>
      </x:c>
      <x:c r="G887" s="50" t="str">
        <x:f>IF(879&gt;$H$4,"",IF(INDEX('Fleet dates'!$G$9:$G$1008,$I887-8)="","",INDEX('Fleet dates'!$G$9:$G$1008,$I887-8)))</x:f>
      </x:c>
      <x:c r="H887" s="50" t="str">
        <x:f>IF(879&gt;$H$4,"",IF(INDEX('Fleet dates'!$I$9:$I$1008,$I887-8)="","",INDEX('Fleet dates'!$I$9:$I$1008,$I887-8)))</x:f>
      </x:c>
      <x:c r="I887" t="str">
        <x:f>IF(879&gt;$H$4,"",MATCH(879,'Fleet dates'!$L$9:$L$1008,0)+8)</x:f>
      </x:c>
    </x:row>
    <x:row r="888" ht="36" customHeight="1">
      <x:c r="A888" s="50" t="str">
        <x:f>IF(880&gt;$H$4,"",IF(INDEX('Fleet dates'!$A$9:$A$1008,$I888-8)="","",INDEX('Fleet dates'!$A$9:$A$1008,$I888-8)))</x:f>
      </x:c>
      <x:c r="B888" s="50" t="str">
        <x:f>IF(880&gt;$H$4,"",IF(INDEX('Fleet dates'!$B$9:$B$1008,$I888-8)="","",INDEX('Fleet dates'!$B$9:$B$1008,$I888-8)))</x:f>
      </x:c>
      <x:c r="C888" s="51" t="str">
        <x:f>IF(880&gt;$H$4,"",IF(INDEX('Fleet dates'!$C$9:$C$1008,$I888-8)="","",INDEX('Fleet dates'!$C$9:$C$1008,$I888-8)))</x:f>
      </x:c>
      <x:c r="D888" s="51" t="str">
        <x:f>IF(880&gt;$H$4,"",IF(INDEX('Fleet dates'!$D$9:$D$1008,$I888-8)="","",INDEX('Fleet dates'!$D$9:$D$1008,$I888-8)))</x:f>
      </x:c>
      <x:c r="E888" s="51" t="str">
        <x:f>IF(880&gt;$H$4,"",IF(INDEX('Fleet dates'!$E$9:$E$1008,$I888-8)="","",INDEX('Fleet dates'!$E$9:$E$1008,$I888-8)))</x:f>
      </x:c>
      <x:c r="F888" s="51" t="str">
        <x:f>IF(880&gt;$H$4,"",IF(INDEX('Fleet dates'!$F$9:$F$1008,$I888-8)="","",INDEX('Fleet dates'!$F$9:$F$1008,$I888-8)))</x:f>
      </x:c>
      <x:c r="G888" s="50" t="str">
        <x:f>IF(880&gt;$H$4,"",IF(INDEX('Fleet dates'!$G$9:$G$1008,$I888-8)="","",INDEX('Fleet dates'!$G$9:$G$1008,$I888-8)))</x:f>
      </x:c>
      <x:c r="H888" s="50" t="str">
        <x:f>IF(880&gt;$H$4,"",IF(INDEX('Fleet dates'!$I$9:$I$1008,$I888-8)="","",INDEX('Fleet dates'!$I$9:$I$1008,$I888-8)))</x:f>
      </x:c>
      <x:c r="I888" t="str">
        <x:f>IF(880&gt;$H$4,"",MATCH(880,'Fleet dates'!$L$9:$L$1008,0)+8)</x:f>
      </x:c>
    </x:row>
    <x:row r="889" ht="36" customHeight="1">
      <x:c r="A889" s="50" t="str">
        <x:f>IF(881&gt;$H$4,"",IF(INDEX('Fleet dates'!$A$9:$A$1008,$I889-8)="","",INDEX('Fleet dates'!$A$9:$A$1008,$I889-8)))</x:f>
      </x:c>
      <x:c r="B889" s="50" t="str">
        <x:f>IF(881&gt;$H$4,"",IF(INDEX('Fleet dates'!$B$9:$B$1008,$I889-8)="","",INDEX('Fleet dates'!$B$9:$B$1008,$I889-8)))</x:f>
      </x:c>
      <x:c r="C889" s="51" t="str">
        <x:f>IF(881&gt;$H$4,"",IF(INDEX('Fleet dates'!$C$9:$C$1008,$I889-8)="","",INDEX('Fleet dates'!$C$9:$C$1008,$I889-8)))</x:f>
      </x:c>
      <x:c r="D889" s="51" t="str">
        <x:f>IF(881&gt;$H$4,"",IF(INDEX('Fleet dates'!$D$9:$D$1008,$I889-8)="","",INDEX('Fleet dates'!$D$9:$D$1008,$I889-8)))</x:f>
      </x:c>
      <x:c r="E889" s="51" t="str">
        <x:f>IF(881&gt;$H$4,"",IF(INDEX('Fleet dates'!$E$9:$E$1008,$I889-8)="","",INDEX('Fleet dates'!$E$9:$E$1008,$I889-8)))</x:f>
      </x:c>
      <x:c r="F889" s="51" t="str">
        <x:f>IF(881&gt;$H$4,"",IF(INDEX('Fleet dates'!$F$9:$F$1008,$I889-8)="","",INDEX('Fleet dates'!$F$9:$F$1008,$I889-8)))</x:f>
      </x:c>
      <x:c r="G889" s="50" t="str">
        <x:f>IF(881&gt;$H$4,"",IF(INDEX('Fleet dates'!$G$9:$G$1008,$I889-8)="","",INDEX('Fleet dates'!$G$9:$G$1008,$I889-8)))</x:f>
      </x:c>
      <x:c r="H889" s="50" t="str">
        <x:f>IF(881&gt;$H$4,"",IF(INDEX('Fleet dates'!$I$9:$I$1008,$I889-8)="","",INDEX('Fleet dates'!$I$9:$I$1008,$I889-8)))</x:f>
      </x:c>
      <x:c r="I889" t="str">
        <x:f>IF(881&gt;$H$4,"",MATCH(881,'Fleet dates'!$L$9:$L$1008,0)+8)</x:f>
      </x:c>
    </x:row>
    <x:row r="890" ht="36" customHeight="1">
      <x:c r="A890" s="50" t="str">
        <x:f>IF(882&gt;$H$4,"",IF(INDEX('Fleet dates'!$A$9:$A$1008,$I890-8)="","",INDEX('Fleet dates'!$A$9:$A$1008,$I890-8)))</x:f>
      </x:c>
      <x:c r="B890" s="50" t="str">
        <x:f>IF(882&gt;$H$4,"",IF(INDEX('Fleet dates'!$B$9:$B$1008,$I890-8)="","",INDEX('Fleet dates'!$B$9:$B$1008,$I890-8)))</x:f>
      </x:c>
      <x:c r="C890" s="51" t="str">
        <x:f>IF(882&gt;$H$4,"",IF(INDEX('Fleet dates'!$C$9:$C$1008,$I890-8)="","",INDEX('Fleet dates'!$C$9:$C$1008,$I890-8)))</x:f>
      </x:c>
      <x:c r="D890" s="51" t="str">
        <x:f>IF(882&gt;$H$4,"",IF(INDEX('Fleet dates'!$D$9:$D$1008,$I890-8)="","",INDEX('Fleet dates'!$D$9:$D$1008,$I890-8)))</x:f>
      </x:c>
      <x:c r="E890" s="51" t="str">
        <x:f>IF(882&gt;$H$4,"",IF(INDEX('Fleet dates'!$E$9:$E$1008,$I890-8)="","",INDEX('Fleet dates'!$E$9:$E$1008,$I890-8)))</x:f>
      </x:c>
      <x:c r="F890" s="51" t="str">
        <x:f>IF(882&gt;$H$4,"",IF(INDEX('Fleet dates'!$F$9:$F$1008,$I890-8)="","",INDEX('Fleet dates'!$F$9:$F$1008,$I890-8)))</x:f>
      </x:c>
      <x:c r="G890" s="50" t="str">
        <x:f>IF(882&gt;$H$4,"",IF(INDEX('Fleet dates'!$G$9:$G$1008,$I890-8)="","",INDEX('Fleet dates'!$G$9:$G$1008,$I890-8)))</x:f>
      </x:c>
      <x:c r="H890" s="50" t="str">
        <x:f>IF(882&gt;$H$4,"",IF(INDEX('Fleet dates'!$I$9:$I$1008,$I890-8)="","",INDEX('Fleet dates'!$I$9:$I$1008,$I890-8)))</x:f>
      </x:c>
      <x:c r="I890" t="str">
        <x:f>IF(882&gt;$H$4,"",MATCH(882,'Fleet dates'!$L$9:$L$1008,0)+8)</x:f>
      </x:c>
    </x:row>
    <x:row r="891" ht="36" customHeight="1">
      <x:c r="A891" s="50" t="str">
        <x:f>IF(883&gt;$H$4,"",IF(INDEX('Fleet dates'!$A$9:$A$1008,$I891-8)="","",INDEX('Fleet dates'!$A$9:$A$1008,$I891-8)))</x:f>
      </x:c>
      <x:c r="B891" s="50" t="str">
        <x:f>IF(883&gt;$H$4,"",IF(INDEX('Fleet dates'!$B$9:$B$1008,$I891-8)="","",INDEX('Fleet dates'!$B$9:$B$1008,$I891-8)))</x:f>
      </x:c>
      <x:c r="C891" s="51" t="str">
        <x:f>IF(883&gt;$H$4,"",IF(INDEX('Fleet dates'!$C$9:$C$1008,$I891-8)="","",INDEX('Fleet dates'!$C$9:$C$1008,$I891-8)))</x:f>
      </x:c>
      <x:c r="D891" s="51" t="str">
        <x:f>IF(883&gt;$H$4,"",IF(INDEX('Fleet dates'!$D$9:$D$1008,$I891-8)="","",INDEX('Fleet dates'!$D$9:$D$1008,$I891-8)))</x:f>
      </x:c>
      <x:c r="E891" s="51" t="str">
        <x:f>IF(883&gt;$H$4,"",IF(INDEX('Fleet dates'!$E$9:$E$1008,$I891-8)="","",INDEX('Fleet dates'!$E$9:$E$1008,$I891-8)))</x:f>
      </x:c>
      <x:c r="F891" s="51" t="str">
        <x:f>IF(883&gt;$H$4,"",IF(INDEX('Fleet dates'!$F$9:$F$1008,$I891-8)="","",INDEX('Fleet dates'!$F$9:$F$1008,$I891-8)))</x:f>
      </x:c>
      <x:c r="G891" s="50" t="str">
        <x:f>IF(883&gt;$H$4,"",IF(INDEX('Fleet dates'!$G$9:$G$1008,$I891-8)="","",INDEX('Fleet dates'!$G$9:$G$1008,$I891-8)))</x:f>
      </x:c>
      <x:c r="H891" s="50" t="str">
        <x:f>IF(883&gt;$H$4,"",IF(INDEX('Fleet dates'!$I$9:$I$1008,$I891-8)="","",INDEX('Fleet dates'!$I$9:$I$1008,$I891-8)))</x:f>
      </x:c>
      <x:c r="I891" t="str">
        <x:f>IF(883&gt;$H$4,"",MATCH(883,'Fleet dates'!$L$9:$L$1008,0)+8)</x:f>
      </x:c>
    </x:row>
    <x:row r="892" ht="36" customHeight="1">
      <x:c r="A892" s="50" t="str">
        <x:f>IF(884&gt;$H$4,"",IF(INDEX('Fleet dates'!$A$9:$A$1008,$I892-8)="","",INDEX('Fleet dates'!$A$9:$A$1008,$I892-8)))</x:f>
      </x:c>
      <x:c r="B892" s="50" t="str">
        <x:f>IF(884&gt;$H$4,"",IF(INDEX('Fleet dates'!$B$9:$B$1008,$I892-8)="","",INDEX('Fleet dates'!$B$9:$B$1008,$I892-8)))</x:f>
      </x:c>
      <x:c r="C892" s="51" t="str">
        <x:f>IF(884&gt;$H$4,"",IF(INDEX('Fleet dates'!$C$9:$C$1008,$I892-8)="","",INDEX('Fleet dates'!$C$9:$C$1008,$I892-8)))</x:f>
      </x:c>
      <x:c r="D892" s="51" t="str">
        <x:f>IF(884&gt;$H$4,"",IF(INDEX('Fleet dates'!$D$9:$D$1008,$I892-8)="","",INDEX('Fleet dates'!$D$9:$D$1008,$I892-8)))</x:f>
      </x:c>
      <x:c r="E892" s="51" t="str">
        <x:f>IF(884&gt;$H$4,"",IF(INDEX('Fleet dates'!$E$9:$E$1008,$I892-8)="","",INDEX('Fleet dates'!$E$9:$E$1008,$I892-8)))</x:f>
      </x:c>
      <x:c r="F892" s="51" t="str">
        <x:f>IF(884&gt;$H$4,"",IF(INDEX('Fleet dates'!$F$9:$F$1008,$I892-8)="","",INDEX('Fleet dates'!$F$9:$F$1008,$I892-8)))</x:f>
      </x:c>
      <x:c r="G892" s="50" t="str">
        <x:f>IF(884&gt;$H$4,"",IF(INDEX('Fleet dates'!$G$9:$G$1008,$I892-8)="","",INDEX('Fleet dates'!$G$9:$G$1008,$I892-8)))</x:f>
      </x:c>
      <x:c r="H892" s="50" t="str">
        <x:f>IF(884&gt;$H$4,"",IF(INDEX('Fleet dates'!$I$9:$I$1008,$I892-8)="","",INDEX('Fleet dates'!$I$9:$I$1008,$I892-8)))</x:f>
      </x:c>
      <x:c r="I892" t="str">
        <x:f>IF(884&gt;$H$4,"",MATCH(884,'Fleet dates'!$L$9:$L$1008,0)+8)</x:f>
      </x:c>
    </x:row>
    <x:row r="893" ht="36" customHeight="1">
      <x:c r="A893" s="50" t="str">
        <x:f>IF(885&gt;$H$4,"",IF(INDEX('Fleet dates'!$A$9:$A$1008,$I893-8)="","",INDEX('Fleet dates'!$A$9:$A$1008,$I893-8)))</x:f>
      </x:c>
      <x:c r="B893" s="50" t="str">
        <x:f>IF(885&gt;$H$4,"",IF(INDEX('Fleet dates'!$B$9:$B$1008,$I893-8)="","",INDEX('Fleet dates'!$B$9:$B$1008,$I893-8)))</x:f>
      </x:c>
      <x:c r="C893" s="51" t="str">
        <x:f>IF(885&gt;$H$4,"",IF(INDEX('Fleet dates'!$C$9:$C$1008,$I893-8)="","",INDEX('Fleet dates'!$C$9:$C$1008,$I893-8)))</x:f>
      </x:c>
      <x:c r="D893" s="51" t="str">
        <x:f>IF(885&gt;$H$4,"",IF(INDEX('Fleet dates'!$D$9:$D$1008,$I893-8)="","",INDEX('Fleet dates'!$D$9:$D$1008,$I893-8)))</x:f>
      </x:c>
      <x:c r="E893" s="51" t="str">
        <x:f>IF(885&gt;$H$4,"",IF(INDEX('Fleet dates'!$E$9:$E$1008,$I893-8)="","",INDEX('Fleet dates'!$E$9:$E$1008,$I893-8)))</x:f>
      </x:c>
      <x:c r="F893" s="51" t="str">
        <x:f>IF(885&gt;$H$4,"",IF(INDEX('Fleet dates'!$F$9:$F$1008,$I893-8)="","",INDEX('Fleet dates'!$F$9:$F$1008,$I893-8)))</x:f>
      </x:c>
      <x:c r="G893" s="50" t="str">
        <x:f>IF(885&gt;$H$4,"",IF(INDEX('Fleet dates'!$G$9:$G$1008,$I893-8)="","",INDEX('Fleet dates'!$G$9:$G$1008,$I893-8)))</x:f>
      </x:c>
      <x:c r="H893" s="50" t="str">
        <x:f>IF(885&gt;$H$4,"",IF(INDEX('Fleet dates'!$I$9:$I$1008,$I893-8)="","",INDEX('Fleet dates'!$I$9:$I$1008,$I893-8)))</x:f>
      </x:c>
      <x:c r="I893" t="str">
        <x:f>IF(885&gt;$H$4,"",MATCH(885,'Fleet dates'!$L$9:$L$1008,0)+8)</x:f>
      </x:c>
    </x:row>
    <x:row r="894" ht="36" customHeight="1">
      <x:c r="A894" s="50" t="str">
        <x:f>IF(886&gt;$H$4,"",IF(INDEX('Fleet dates'!$A$9:$A$1008,$I894-8)="","",INDEX('Fleet dates'!$A$9:$A$1008,$I894-8)))</x:f>
      </x:c>
      <x:c r="B894" s="50" t="str">
        <x:f>IF(886&gt;$H$4,"",IF(INDEX('Fleet dates'!$B$9:$B$1008,$I894-8)="","",INDEX('Fleet dates'!$B$9:$B$1008,$I894-8)))</x:f>
      </x:c>
      <x:c r="C894" s="51" t="str">
        <x:f>IF(886&gt;$H$4,"",IF(INDEX('Fleet dates'!$C$9:$C$1008,$I894-8)="","",INDEX('Fleet dates'!$C$9:$C$1008,$I894-8)))</x:f>
      </x:c>
      <x:c r="D894" s="51" t="str">
        <x:f>IF(886&gt;$H$4,"",IF(INDEX('Fleet dates'!$D$9:$D$1008,$I894-8)="","",INDEX('Fleet dates'!$D$9:$D$1008,$I894-8)))</x:f>
      </x:c>
      <x:c r="E894" s="51" t="str">
        <x:f>IF(886&gt;$H$4,"",IF(INDEX('Fleet dates'!$E$9:$E$1008,$I894-8)="","",INDEX('Fleet dates'!$E$9:$E$1008,$I894-8)))</x:f>
      </x:c>
      <x:c r="F894" s="51" t="str">
        <x:f>IF(886&gt;$H$4,"",IF(INDEX('Fleet dates'!$F$9:$F$1008,$I894-8)="","",INDEX('Fleet dates'!$F$9:$F$1008,$I894-8)))</x:f>
      </x:c>
      <x:c r="G894" s="50" t="str">
        <x:f>IF(886&gt;$H$4,"",IF(INDEX('Fleet dates'!$G$9:$G$1008,$I894-8)="","",INDEX('Fleet dates'!$G$9:$G$1008,$I894-8)))</x:f>
      </x:c>
      <x:c r="H894" s="50" t="str">
        <x:f>IF(886&gt;$H$4,"",IF(INDEX('Fleet dates'!$I$9:$I$1008,$I894-8)="","",INDEX('Fleet dates'!$I$9:$I$1008,$I894-8)))</x:f>
      </x:c>
      <x:c r="I894" t="str">
        <x:f>IF(886&gt;$H$4,"",MATCH(886,'Fleet dates'!$L$9:$L$1008,0)+8)</x:f>
      </x:c>
    </x:row>
    <x:row r="895" ht="36" customHeight="1">
      <x:c r="A895" s="50" t="str">
        <x:f>IF(887&gt;$H$4,"",IF(INDEX('Fleet dates'!$A$9:$A$1008,$I895-8)="","",INDEX('Fleet dates'!$A$9:$A$1008,$I895-8)))</x:f>
      </x:c>
      <x:c r="B895" s="50" t="str">
        <x:f>IF(887&gt;$H$4,"",IF(INDEX('Fleet dates'!$B$9:$B$1008,$I895-8)="","",INDEX('Fleet dates'!$B$9:$B$1008,$I895-8)))</x:f>
      </x:c>
      <x:c r="C895" s="51" t="str">
        <x:f>IF(887&gt;$H$4,"",IF(INDEX('Fleet dates'!$C$9:$C$1008,$I895-8)="","",INDEX('Fleet dates'!$C$9:$C$1008,$I895-8)))</x:f>
      </x:c>
      <x:c r="D895" s="51" t="str">
        <x:f>IF(887&gt;$H$4,"",IF(INDEX('Fleet dates'!$D$9:$D$1008,$I895-8)="","",INDEX('Fleet dates'!$D$9:$D$1008,$I895-8)))</x:f>
      </x:c>
      <x:c r="E895" s="51" t="str">
        <x:f>IF(887&gt;$H$4,"",IF(INDEX('Fleet dates'!$E$9:$E$1008,$I895-8)="","",INDEX('Fleet dates'!$E$9:$E$1008,$I895-8)))</x:f>
      </x:c>
      <x:c r="F895" s="51" t="str">
        <x:f>IF(887&gt;$H$4,"",IF(INDEX('Fleet dates'!$F$9:$F$1008,$I895-8)="","",INDEX('Fleet dates'!$F$9:$F$1008,$I895-8)))</x:f>
      </x:c>
      <x:c r="G895" s="50" t="str">
        <x:f>IF(887&gt;$H$4,"",IF(INDEX('Fleet dates'!$G$9:$G$1008,$I895-8)="","",INDEX('Fleet dates'!$G$9:$G$1008,$I895-8)))</x:f>
      </x:c>
      <x:c r="H895" s="50" t="str">
        <x:f>IF(887&gt;$H$4,"",IF(INDEX('Fleet dates'!$I$9:$I$1008,$I895-8)="","",INDEX('Fleet dates'!$I$9:$I$1008,$I895-8)))</x:f>
      </x:c>
      <x:c r="I895" t="str">
        <x:f>IF(887&gt;$H$4,"",MATCH(887,'Fleet dates'!$L$9:$L$1008,0)+8)</x:f>
      </x:c>
    </x:row>
    <x:row r="896" ht="36" customHeight="1">
      <x:c r="A896" s="50" t="str">
        <x:f>IF(888&gt;$H$4,"",IF(INDEX('Fleet dates'!$A$9:$A$1008,$I896-8)="","",INDEX('Fleet dates'!$A$9:$A$1008,$I896-8)))</x:f>
      </x:c>
      <x:c r="B896" s="50" t="str">
        <x:f>IF(888&gt;$H$4,"",IF(INDEX('Fleet dates'!$B$9:$B$1008,$I896-8)="","",INDEX('Fleet dates'!$B$9:$B$1008,$I896-8)))</x:f>
      </x:c>
      <x:c r="C896" s="51" t="str">
        <x:f>IF(888&gt;$H$4,"",IF(INDEX('Fleet dates'!$C$9:$C$1008,$I896-8)="","",INDEX('Fleet dates'!$C$9:$C$1008,$I896-8)))</x:f>
      </x:c>
      <x:c r="D896" s="51" t="str">
        <x:f>IF(888&gt;$H$4,"",IF(INDEX('Fleet dates'!$D$9:$D$1008,$I896-8)="","",INDEX('Fleet dates'!$D$9:$D$1008,$I896-8)))</x:f>
      </x:c>
      <x:c r="E896" s="51" t="str">
        <x:f>IF(888&gt;$H$4,"",IF(INDEX('Fleet dates'!$E$9:$E$1008,$I896-8)="","",INDEX('Fleet dates'!$E$9:$E$1008,$I896-8)))</x:f>
      </x:c>
      <x:c r="F896" s="51" t="str">
        <x:f>IF(888&gt;$H$4,"",IF(INDEX('Fleet dates'!$F$9:$F$1008,$I896-8)="","",INDEX('Fleet dates'!$F$9:$F$1008,$I896-8)))</x:f>
      </x:c>
      <x:c r="G896" s="50" t="str">
        <x:f>IF(888&gt;$H$4,"",IF(INDEX('Fleet dates'!$G$9:$G$1008,$I896-8)="","",INDEX('Fleet dates'!$G$9:$G$1008,$I896-8)))</x:f>
      </x:c>
      <x:c r="H896" s="50" t="str">
        <x:f>IF(888&gt;$H$4,"",IF(INDEX('Fleet dates'!$I$9:$I$1008,$I896-8)="","",INDEX('Fleet dates'!$I$9:$I$1008,$I896-8)))</x:f>
      </x:c>
      <x:c r="I896" t="str">
        <x:f>IF(888&gt;$H$4,"",MATCH(888,'Fleet dates'!$L$9:$L$1008,0)+8)</x:f>
      </x:c>
    </x:row>
    <x:row r="897" ht="36" customHeight="1">
      <x:c r="A897" s="50" t="str">
        <x:f>IF(889&gt;$H$4,"",IF(INDEX('Fleet dates'!$A$9:$A$1008,$I897-8)="","",INDEX('Fleet dates'!$A$9:$A$1008,$I897-8)))</x:f>
      </x:c>
      <x:c r="B897" s="50" t="str">
        <x:f>IF(889&gt;$H$4,"",IF(INDEX('Fleet dates'!$B$9:$B$1008,$I897-8)="","",INDEX('Fleet dates'!$B$9:$B$1008,$I897-8)))</x:f>
      </x:c>
      <x:c r="C897" s="51" t="str">
        <x:f>IF(889&gt;$H$4,"",IF(INDEX('Fleet dates'!$C$9:$C$1008,$I897-8)="","",INDEX('Fleet dates'!$C$9:$C$1008,$I897-8)))</x:f>
      </x:c>
      <x:c r="D897" s="51" t="str">
        <x:f>IF(889&gt;$H$4,"",IF(INDEX('Fleet dates'!$D$9:$D$1008,$I897-8)="","",INDEX('Fleet dates'!$D$9:$D$1008,$I897-8)))</x:f>
      </x:c>
      <x:c r="E897" s="51" t="str">
        <x:f>IF(889&gt;$H$4,"",IF(INDEX('Fleet dates'!$E$9:$E$1008,$I897-8)="","",INDEX('Fleet dates'!$E$9:$E$1008,$I897-8)))</x:f>
      </x:c>
      <x:c r="F897" s="51" t="str">
        <x:f>IF(889&gt;$H$4,"",IF(INDEX('Fleet dates'!$F$9:$F$1008,$I897-8)="","",INDEX('Fleet dates'!$F$9:$F$1008,$I897-8)))</x:f>
      </x:c>
      <x:c r="G897" s="50" t="str">
        <x:f>IF(889&gt;$H$4,"",IF(INDEX('Fleet dates'!$G$9:$G$1008,$I897-8)="","",INDEX('Fleet dates'!$G$9:$G$1008,$I897-8)))</x:f>
      </x:c>
      <x:c r="H897" s="50" t="str">
        <x:f>IF(889&gt;$H$4,"",IF(INDEX('Fleet dates'!$I$9:$I$1008,$I897-8)="","",INDEX('Fleet dates'!$I$9:$I$1008,$I897-8)))</x:f>
      </x:c>
      <x:c r="I897" t="str">
        <x:f>IF(889&gt;$H$4,"",MATCH(889,'Fleet dates'!$L$9:$L$1008,0)+8)</x:f>
      </x:c>
    </x:row>
    <x:row r="898" ht="36" customHeight="1">
      <x:c r="A898" s="50" t="str">
        <x:f>IF(890&gt;$H$4,"",IF(INDEX('Fleet dates'!$A$9:$A$1008,$I898-8)="","",INDEX('Fleet dates'!$A$9:$A$1008,$I898-8)))</x:f>
      </x:c>
      <x:c r="B898" s="50" t="str">
        <x:f>IF(890&gt;$H$4,"",IF(INDEX('Fleet dates'!$B$9:$B$1008,$I898-8)="","",INDEX('Fleet dates'!$B$9:$B$1008,$I898-8)))</x:f>
      </x:c>
      <x:c r="C898" s="51" t="str">
        <x:f>IF(890&gt;$H$4,"",IF(INDEX('Fleet dates'!$C$9:$C$1008,$I898-8)="","",INDEX('Fleet dates'!$C$9:$C$1008,$I898-8)))</x:f>
      </x:c>
      <x:c r="D898" s="51" t="str">
        <x:f>IF(890&gt;$H$4,"",IF(INDEX('Fleet dates'!$D$9:$D$1008,$I898-8)="","",INDEX('Fleet dates'!$D$9:$D$1008,$I898-8)))</x:f>
      </x:c>
      <x:c r="E898" s="51" t="str">
        <x:f>IF(890&gt;$H$4,"",IF(INDEX('Fleet dates'!$E$9:$E$1008,$I898-8)="","",INDEX('Fleet dates'!$E$9:$E$1008,$I898-8)))</x:f>
      </x:c>
      <x:c r="F898" s="51" t="str">
        <x:f>IF(890&gt;$H$4,"",IF(INDEX('Fleet dates'!$F$9:$F$1008,$I898-8)="","",INDEX('Fleet dates'!$F$9:$F$1008,$I898-8)))</x:f>
      </x:c>
      <x:c r="G898" s="50" t="str">
        <x:f>IF(890&gt;$H$4,"",IF(INDEX('Fleet dates'!$G$9:$G$1008,$I898-8)="","",INDEX('Fleet dates'!$G$9:$G$1008,$I898-8)))</x:f>
      </x:c>
      <x:c r="H898" s="50" t="str">
        <x:f>IF(890&gt;$H$4,"",IF(INDEX('Fleet dates'!$I$9:$I$1008,$I898-8)="","",INDEX('Fleet dates'!$I$9:$I$1008,$I898-8)))</x:f>
      </x:c>
      <x:c r="I898" t="str">
        <x:f>IF(890&gt;$H$4,"",MATCH(890,'Fleet dates'!$L$9:$L$1008,0)+8)</x:f>
      </x:c>
    </x:row>
    <x:row r="899" ht="36" customHeight="1">
      <x:c r="A899" s="50" t="str">
        <x:f>IF(891&gt;$H$4,"",IF(INDEX('Fleet dates'!$A$9:$A$1008,$I899-8)="","",INDEX('Fleet dates'!$A$9:$A$1008,$I899-8)))</x:f>
      </x:c>
      <x:c r="B899" s="50" t="str">
        <x:f>IF(891&gt;$H$4,"",IF(INDEX('Fleet dates'!$B$9:$B$1008,$I899-8)="","",INDEX('Fleet dates'!$B$9:$B$1008,$I899-8)))</x:f>
      </x:c>
      <x:c r="C899" s="51" t="str">
        <x:f>IF(891&gt;$H$4,"",IF(INDEX('Fleet dates'!$C$9:$C$1008,$I899-8)="","",INDEX('Fleet dates'!$C$9:$C$1008,$I899-8)))</x:f>
      </x:c>
      <x:c r="D899" s="51" t="str">
        <x:f>IF(891&gt;$H$4,"",IF(INDEX('Fleet dates'!$D$9:$D$1008,$I899-8)="","",INDEX('Fleet dates'!$D$9:$D$1008,$I899-8)))</x:f>
      </x:c>
      <x:c r="E899" s="51" t="str">
        <x:f>IF(891&gt;$H$4,"",IF(INDEX('Fleet dates'!$E$9:$E$1008,$I899-8)="","",INDEX('Fleet dates'!$E$9:$E$1008,$I899-8)))</x:f>
      </x:c>
      <x:c r="F899" s="51" t="str">
        <x:f>IF(891&gt;$H$4,"",IF(INDEX('Fleet dates'!$F$9:$F$1008,$I899-8)="","",INDEX('Fleet dates'!$F$9:$F$1008,$I899-8)))</x:f>
      </x:c>
      <x:c r="G899" s="50" t="str">
        <x:f>IF(891&gt;$H$4,"",IF(INDEX('Fleet dates'!$G$9:$G$1008,$I899-8)="","",INDEX('Fleet dates'!$G$9:$G$1008,$I899-8)))</x:f>
      </x:c>
      <x:c r="H899" s="50" t="str">
        <x:f>IF(891&gt;$H$4,"",IF(INDEX('Fleet dates'!$I$9:$I$1008,$I899-8)="","",INDEX('Fleet dates'!$I$9:$I$1008,$I899-8)))</x:f>
      </x:c>
      <x:c r="I899" t="str">
        <x:f>IF(891&gt;$H$4,"",MATCH(891,'Fleet dates'!$L$9:$L$1008,0)+8)</x:f>
      </x:c>
    </x:row>
    <x:row r="900" ht="36" customHeight="1">
      <x:c r="A900" s="50" t="str">
        <x:f>IF(892&gt;$H$4,"",IF(INDEX('Fleet dates'!$A$9:$A$1008,$I900-8)="","",INDEX('Fleet dates'!$A$9:$A$1008,$I900-8)))</x:f>
      </x:c>
      <x:c r="B900" s="50" t="str">
        <x:f>IF(892&gt;$H$4,"",IF(INDEX('Fleet dates'!$B$9:$B$1008,$I900-8)="","",INDEX('Fleet dates'!$B$9:$B$1008,$I900-8)))</x:f>
      </x:c>
      <x:c r="C900" s="51" t="str">
        <x:f>IF(892&gt;$H$4,"",IF(INDEX('Fleet dates'!$C$9:$C$1008,$I900-8)="","",INDEX('Fleet dates'!$C$9:$C$1008,$I900-8)))</x:f>
      </x:c>
      <x:c r="D900" s="51" t="str">
        <x:f>IF(892&gt;$H$4,"",IF(INDEX('Fleet dates'!$D$9:$D$1008,$I900-8)="","",INDEX('Fleet dates'!$D$9:$D$1008,$I900-8)))</x:f>
      </x:c>
      <x:c r="E900" s="51" t="str">
        <x:f>IF(892&gt;$H$4,"",IF(INDEX('Fleet dates'!$E$9:$E$1008,$I900-8)="","",INDEX('Fleet dates'!$E$9:$E$1008,$I900-8)))</x:f>
      </x:c>
      <x:c r="F900" s="51" t="str">
        <x:f>IF(892&gt;$H$4,"",IF(INDEX('Fleet dates'!$F$9:$F$1008,$I900-8)="","",INDEX('Fleet dates'!$F$9:$F$1008,$I900-8)))</x:f>
      </x:c>
      <x:c r="G900" s="50" t="str">
        <x:f>IF(892&gt;$H$4,"",IF(INDEX('Fleet dates'!$G$9:$G$1008,$I900-8)="","",INDEX('Fleet dates'!$G$9:$G$1008,$I900-8)))</x:f>
      </x:c>
      <x:c r="H900" s="50" t="str">
        <x:f>IF(892&gt;$H$4,"",IF(INDEX('Fleet dates'!$I$9:$I$1008,$I900-8)="","",INDEX('Fleet dates'!$I$9:$I$1008,$I900-8)))</x:f>
      </x:c>
      <x:c r="I900" t="str">
        <x:f>IF(892&gt;$H$4,"",MATCH(892,'Fleet dates'!$L$9:$L$1008,0)+8)</x:f>
      </x:c>
    </x:row>
    <x:row r="901" ht="36" customHeight="1">
      <x:c r="A901" s="50" t="str">
        <x:f>IF(893&gt;$H$4,"",IF(INDEX('Fleet dates'!$A$9:$A$1008,$I901-8)="","",INDEX('Fleet dates'!$A$9:$A$1008,$I901-8)))</x:f>
      </x:c>
      <x:c r="B901" s="50" t="str">
        <x:f>IF(893&gt;$H$4,"",IF(INDEX('Fleet dates'!$B$9:$B$1008,$I901-8)="","",INDEX('Fleet dates'!$B$9:$B$1008,$I901-8)))</x:f>
      </x:c>
      <x:c r="C901" s="51" t="str">
        <x:f>IF(893&gt;$H$4,"",IF(INDEX('Fleet dates'!$C$9:$C$1008,$I901-8)="","",INDEX('Fleet dates'!$C$9:$C$1008,$I901-8)))</x:f>
      </x:c>
      <x:c r="D901" s="51" t="str">
        <x:f>IF(893&gt;$H$4,"",IF(INDEX('Fleet dates'!$D$9:$D$1008,$I901-8)="","",INDEX('Fleet dates'!$D$9:$D$1008,$I901-8)))</x:f>
      </x:c>
      <x:c r="E901" s="51" t="str">
        <x:f>IF(893&gt;$H$4,"",IF(INDEX('Fleet dates'!$E$9:$E$1008,$I901-8)="","",INDEX('Fleet dates'!$E$9:$E$1008,$I901-8)))</x:f>
      </x:c>
      <x:c r="F901" s="51" t="str">
        <x:f>IF(893&gt;$H$4,"",IF(INDEX('Fleet dates'!$F$9:$F$1008,$I901-8)="","",INDEX('Fleet dates'!$F$9:$F$1008,$I901-8)))</x:f>
      </x:c>
      <x:c r="G901" s="50" t="str">
        <x:f>IF(893&gt;$H$4,"",IF(INDEX('Fleet dates'!$G$9:$G$1008,$I901-8)="","",INDEX('Fleet dates'!$G$9:$G$1008,$I901-8)))</x:f>
      </x:c>
      <x:c r="H901" s="50" t="str">
        <x:f>IF(893&gt;$H$4,"",IF(INDEX('Fleet dates'!$I$9:$I$1008,$I901-8)="","",INDEX('Fleet dates'!$I$9:$I$1008,$I901-8)))</x:f>
      </x:c>
      <x:c r="I901" t="str">
        <x:f>IF(893&gt;$H$4,"",MATCH(893,'Fleet dates'!$L$9:$L$1008,0)+8)</x:f>
      </x:c>
    </x:row>
    <x:row r="902" ht="36" customHeight="1">
      <x:c r="A902" s="50" t="str">
        <x:f>IF(894&gt;$H$4,"",IF(INDEX('Fleet dates'!$A$9:$A$1008,$I902-8)="","",INDEX('Fleet dates'!$A$9:$A$1008,$I902-8)))</x:f>
      </x:c>
      <x:c r="B902" s="50" t="str">
        <x:f>IF(894&gt;$H$4,"",IF(INDEX('Fleet dates'!$B$9:$B$1008,$I902-8)="","",INDEX('Fleet dates'!$B$9:$B$1008,$I902-8)))</x:f>
      </x:c>
      <x:c r="C902" s="51" t="str">
        <x:f>IF(894&gt;$H$4,"",IF(INDEX('Fleet dates'!$C$9:$C$1008,$I902-8)="","",INDEX('Fleet dates'!$C$9:$C$1008,$I902-8)))</x:f>
      </x:c>
      <x:c r="D902" s="51" t="str">
        <x:f>IF(894&gt;$H$4,"",IF(INDEX('Fleet dates'!$D$9:$D$1008,$I902-8)="","",INDEX('Fleet dates'!$D$9:$D$1008,$I902-8)))</x:f>
      </x:c>
      <x:c r="E902" s="51" t="str">
        <x:f>IF(894&gt;$H$4,"",IF(INDEX('Fleet dates'!$E$9:$E$1008,$I902-8)="","",INDEX('Fleet dates'!$E$9:$E$1008,$I902-8)))</x:f>
      </x:c>
      <x:c r="F902" s="51" t="str">
        <x:f>IF(894&gt;$H$4,"",IF(INDEX('Fleet dates'!$F$9:$F$1008,$I902-8)="","",INDEX('Fleet dates'!$F$9:$F$1008,$I902-8)))</x:f>
      </x:c>
      <x:c r="G902" s="50" t="str">
        <x:f>IF(894&gt;$H$4,"",IF(INDEX('Fleet dates'!$G$9:$G$1008,$I902-8)="","",INDEX('Fleet dates'!$G$9:$G$1008,$I902-8)))</x:f>
      </x:c>
      <x:c r="H902" s="50" t="str">
        <x:f>IF(894&gt;$H$4,"",IF(INDEX('Fleet dates'!$I$9:$I$1008,$I902-8)="","",INDEX('Fleet dates'!$I$9:$I$1008,$I902-8)))</x:f>
      </x:c>
      <x:c r="I902" t="str">
        <x:f>IF(894&gt;$H$4,"",MATCH(894,'Fleet dates'!$L$9:$L$1008,0)+8)</x:f>
      </x:c>
    </x:row>
    <x:row r="903" ht="36" customHeight="1">
      <x:c r="A903" s="50" t="str">
        <x:f>IF(895&gt;$H$4,"",IF(INDEX('Fleet dates'!$A$9:$A$1008,$I903-8)="","",INDEX('Fleet dates'!$A$9:$A$1008,$I903-8)))</x:f>
      </x:c>
      <x:c r="B903" s="50" t="str">
        <x:f>IF(895&gt;$H$4,"",IF(INDEX('Fleet dates'!$B$9:$B$1008,$I903-8)="","",INDEX('Fleet dates'!$B$9:$B$1008,$I903-8)))</x:f>
      </x:c>
      <x:c r="C903" s="51" t="str">
        <x:f>IF(895&gt;$H$4,"",IF(INDEX('Fleet dates'!$C$9:$C$1008,$I903-8)="","",INDEX('Fleet dates'!$C$9:$C$1008,$I903-8)))</x:f>
      </x:c>
      <x:c r="D903" s="51" t="str">
        <x:f>IF(895&gt;$H$4,"",IF(INDEX('Fleet dates'!$D$9:$D$1008,$I903-8)="","",INDEX('Fleet dates'!$D$9:$D$1008,$I903-8)))</x:f>
      </x:c>
      <x:c r="E903" s="51" t="str">
        <x:f>IF(895&gt;$H$4,"",IF(INDEX('Fleet dates'!$E$9:$E$1008,$I903-8)="","",INDEX('Fleet dates'!$E$9:$E$1008,$I903-8)))</x:f>
      </x:c>
      <x:c r="F903" s="51" t="str">
        <x:f>IF(895&gt;$H$4,"",IF(INDEX('Fleet dates'!$F$9:$F$1008,$I903-8)="","",INDEX('Fleet dates'!$F$9:$F$1008,$I903-8)))</x:f>
      </x:c>
      <x:c r="G903" s="50" t="str">
        <x:f>IF(895&gt;$H$4,"",IF(INDEX('Fleet dates'!$G$9:$G$1008,$I903-8)="","",INDEX('Fleet dates'!$G$9:$G$1008,$I903-8)))</x:f>
      </x:c>
      <x:c r="H903" s="50" t="str">
        <x:f>IF(895&gt;$H$4,"",IF(INDEX('Fleet dates'!$I$9:$I$1008,$I903-8)="","",INDEX('Fleet dates'!$I$9:$I$1008,$I903-8)))</x:f>
      </x:c>
      <x:c r="I903" t="str">
        <x:f>IF(895&gt;$H$4,"",MATCH(895,'Fleet dates'!$L$9:$L$1008,0)+8)</x:f>
      </x:c>
    </x:row>
    <x:row r="904" ht="36" customHeight="1">
      <x:c r="A904" s="50" t="str">
        <x:f>IF(896&gt;$H$4,"",IF(INDEX('Fleet dates'!$A$9:$A$1008,$I904-8)="","",INDEX('Fleet dates'!$A$9:$A$1008,$I904-8)))</x:f>
      </x:c>
      <x:c r="B904" s="50" t="str">
        <x:f>IF(896&gt;$H$4,"",IF(INDEX('Fleet dates'!$B$9:$B$1008,$I904-8)="","",INDEX('Fleet dates'!$B$9:$B$1008,$I904-8)))</x:f>
      </x:c>
      <x:c r="C904" s="51" t="str">
        <x:f>IF(896&gt;$H$4,"",IF(INDEX('Fleet dates'!$C$9:$C$1008,$I904-8)="","",INDEX('Fleet dates'!$C$9:$C$1008,$I904-8)))</x:f>
      </x:c>
      <x:c r="D904" s="51" t="str">
        <x:f>IF(896&gt;$H$4,"",IF(INDEX('Fleet dates'!$D$9:$D$1008,$I904-8)="","",INDEX('Fleet dates'!$D$9:$D$1008,$I904-8)))</x:f>
      </x:c>
      <x:c r="E904" s="51" t="str">
        <x:f>IF(896&gt;$H$4,"",IF(INDEX('Fleet dates'!$E$9:$E$1008,$I904-8)="","",INDEX('Fleet dates'!$E$9:$E$1008,$I904-8)))</x:f>
      </x:c>
      <x:c r="F904" s="51" t="str">
        <x:f>IF(896&gt;$H$4,"",IF(INDEX('Fleet dates'!$F$9:$F$1008,$I904-8)="","",INDEX('Fleet dates'!$F$9:$F$1008,$I904-8)))</x:f>
      </x:c>
      <x:c r="G904" s="50" t="str">
        <x:f>IF(896&gt;$H$4,"",IF(INDEX('Fleet dates'!$G$9:$G$1008,$I904-8)="","",INDEX('Fleet dates'!$G$9:$G$1008,$I904-8)))</x:f>
      </x:c>
      <x:c r="H904" s="50" t="str">
        <x:f>IF(896&gt;$H$4,"",IF(INDEX('Fleet dates'!$I$9:$I$1008,$I904-8)="","",INDEX('Fleet dates'!$I$9:$I$1008,$I904-8)))</x:f>
      </x:c>
      <x:c r="I904" t="str">
        <x:f>IF(896&gt;$H$4,"",MATCH(896,'Fleet dates'!$L$9:$L$1008,0)+8)</x:f>
      </x:c>
    </x:row>
    <x:row r="905" ht="36" customHeight="1">
      <x:c r="A905" s="50" t="str">
        <x:f>IF(897&gt;$H$4,"",IF(INDEX('Fleet dates'!$A$9:$A$1008,$I905-8)="","",INDEX('Fleet dates'!$A$9:$A$1008,$I905-8)))</x:f>
      </x:c>
      <x:c r="B905" s="50" t="str">
        <x:f>IF(897&gt;$H$4,"",IF(INDEX('Fleet dates'!$B$9:$B$1008,$I905-8)="","",INDEX('Fleet dates'!$B$9:$B$1008,$I905-8)))</x:f>
      </x:c>
      <x:c r="C905" s="51" t="str">
        <x:f>IF(897&gt;$H$4,"",IF(INDEX('Fleet dates'!$C$9:$C$1008,$I905-8)="","",INDEX('Fleet dates'!$C$9:$C$1008,$I905-8)))</x:f>
      </x:c>
      <x:c r="D905" s="51" t="str">
        <x:f>IF(897&gt;$H$4,"",IF(INDEX('Fleet dates'!$D$9:$D$1008,$I905-8)="","",INDEX('Fleet dates'!$D$9:$D$1008,$I905-8)))</x:f>
      </x:c>
      <x:c r="E905" s="51" t="str">
        <x:f>IF(897&gt;$H$4,"",IF(INDEX('Fleet dates'!$E$9:$E$1008,$I905-8)="","",INDEX('Fleet dates'!$E$9:$E$1008,$I905-8)))</x:f>
      </x:c>
      <x:c r="F905" s="51" t="str">
        <x:f>IF(897&gt;$H$4,"",IF(INDEX('Fleet dates'!$F$9:$F$1008,$I905-8)="","",INDEX('Fleet dates'!$F$9:$F$1008,$I905-8)))</x:f>
      </x:c>
      <x:c r="G905" s="50" t="str">
        <x:f>IF(897&gt;$H$4,"",IF(INDEX('Fleet dates'!$G$9:$G$1008,$I905-8)="","",INDEX('Fleet dates'!$G$9:$G$1008,$I905-8)))</x:f>
      </x:c>
      <x:c r="H905" s="50" t="str">
        <x:f>IF(897&gt;$H$4,"",IF(INDEX('Fleet dates'!$I$9:$I$1008,$I905-8)="","",INDEX('Fleet dates'!$I$9:$I$1008,$I905-8)))</x:f>
      </x:c>
      <x:c r="I905" t="str">
        <x:f>IF(897&gt;$H$4,"",MATCH(897,'Fleet dates'!$L$9:$L$1008,0)+8)</x:f>
      </x:c>
    </x:row>
    <x:row r="906" ht="36" customHeight="1">
      <x:c r="A906" s="50" t="str">
        <x:f>IF(898&gt;$H$4,"",IF(INDEX('Fleet dates'!$A$9:$A$1008,$I906-8)="","",INDEX('Fleet dates'!$A$9:$A$1008,$I906-8)))</x:f>
      </x:c>
      <x:c r="B906" s="50" t="str">
        <x:f>IF(898&gt;$H$4,"",IF(INDEX('Fleet dates'!$B$9:$B$1008,$I906-8)="","",INDEX('Fleet dates'!$B$9:$B$1008,$I906-8)))</x:f>
      </x:c>
      <x:c r="C906" s="51" t="str">
        <x:f>IF(898&gt;$H$4,"",IF(INDEX('Fleet dates'!$C$9:$C$1008,$I906-8)="","",INDEX('Fleet dates'!$C$9:$C$1008,$I906-8)))</x:f>
      </x:c>
      <x:c r="D906" s="51" t="str">
        <x:f>IF(898&gt;$H$4,"",IF(INDEX('Fleet dates'!$D$9:$D$1008,$I906-8)="","",INDEX('Fleet dates'!$D$9:$D$1008,$I906-8)))</x:f>
      </x:c>
      <x:c r="E906" s="51" t="str">
        <x:f>IF(898&gt;$H$4,"",IF(INDEX('Fleet dates'!$E$9:$E$1008,$I906-8)="","",INDEX('Fleet dates'!$E$9:$E$1008,$I906-8)))</x:f>
      </x:c>
      <x:c r="F906" s="51" t="str">
        <x:f>IF(898&gt;$H$4,"",IF(INDEX('Fleet dates'!$F$9:$F$1008,$I906-8)="","",INDEX('Fleet dates'!$F$9:$F$1008,$I906-8)))</x:f>
      </x:c>
      <x:c r="G906" s="50" t="str">
        <x:f>IF(898&gt;$H$4,"",IF(INDEX('Fleet dates'!$G$9:$G$1008,$I906-8)="","",INDEX('Fleet dates'!$G$9:$G$1008,$I906-8)))</x:f>
      </x:c>
      <x:c r="H906" s="50" t="str">
        <x:f>IF(898&gt;$H$4,"",IF(INDEX('Fleet dates'!$I$9:$I$1008,$I906-8)="","",INDEX('Fleet dates'!$I$9:$I$1008,$I906-8)))</x:f>
      </x:c>
      <x:c r="I906" t="str">
        <x:f>IF(898&gt;$H$4,"",MATCH(898,'Fleet dates'!$L$9:$L$1008,0)+8)</x:f>
      </x:c>
    </x:row>
    <x:row r="907" ht="36" customHeight="1">
      <x:c r="A907" s="50" t="str">
        <x:f>IF(899&gt;$H$4,"",IF(INDEX('Fleet dates'!$A$9:$A$1008,$I907-8)="","",INDEX('Fleet dates'!$A$9:$A$1008,$I907-8)))</x:f>
      </x:c>
      <x:c r="B907" s="50" t="str">
        <x:f>IF(899&gt;$H$4,"",IF(INDEX('Fleet dates'!$B$9:$B$1008,$I907-8)="","",INDEX('Fleet dates'!$B$9:$B$1008,$I907-8)))</x:f>
      </x:c>
      <x:c r="C907" s="51" t="str">
        <x:f>IF(899&gt;$H$4,"",IF(INDEX('Fleet dates'!$C$9:$C$1008,$I907-8)="","",INDEX('Fleet dates'!$C$9:$C$1008,$I907-8)))</x:f>
      </x:c>
      <x:c r="D907" s="51" t="str">
        <x:f>IF(899&gt;$H$4,"",IF(INDEX('Fleet dates'!$D$9:$D$1008,$I907-8)="","",INDEX('Fleet dates'!$D$9:$D$1008,$I907-8)))</x:f>
      </x:c>
      <x:c r="E907" s="51" t="str">
        <x:f>IF(899&gt;$H$4,"",IF(INDEX('Fleet dates'!$E$9:$E$1008,$I907-8)="","",INDEX('Fleet dates'!$E$9:$E$1008,$I907-8)))</x:f>
      </x:c>
      <x:c r="F907" s="51" t="str">
        <x:f>IF(899&gt;$H$4,"",IF(INDEX('Fleet dates'!$F$9:$F$1008,$I907-8)="","",INDEX('Fleet dates'!$F$9:$F$1008,$I907-8)))</x:f>
      </x:c>
      <x:c r="G907" s="50" t="str">
        <x:f>IF(899&gt;$H$4,"",IF(INDEX('Fleet dates'!$G$9:$G$1008,$I907-8)="","",INDEX('Fleet dates'!$G$9:$G$1008,$I907-8)))</x:f>
      </x:c>
      <x:c r="H907" s="50" t="str">
        <x:f>IF(899&gt;$H$4,"",IF(INDEX('Fleet dates'!$I$9:$I$1008,$I907-8)="","",INDEX('Fleet dates'!$I$9:$I$1008,$I907-8)))</x:f>
      </x:c>
      <x:c r="I907" t="str">
        <x:f>IF(899&gt;$H$4,"",MATCH(899,'Fleet dates'!$L$9:$L$1008,0)+8)</x:f>
      </x:c>
    </x:row>
    <x:row r="908" ht="36" customHeight="1">
      <x:c r="A908" s="50" t="str">
        <x:f>IF(900&gt;$H$4,"",IF(INDEX('Fleet dates'!$A$9:$A$1008,$I908-8)="","",INDEX('Fleet dates'!$A$9:$A$1008,$I908-8)))</x:f>
      </x:c>
      <x:c r="B908" s="50" t="str">
        <x:f>IF(900&gt;$H$4,"",IF(INDEX('Fleet dates'!$B$9:$B$1008,$I908-8)="","",INDEX('Fleet dates'!$B$9:$B$1008,$I908-8)))</x:f>
      </x:c>
      <x:c r="C908" s="51" t="str">
        <x:f>IF(900&gt;$H$4,"",IF(INDEX('Fleet dates'!$C$9:$C$1008,$I908-8)="","",INDEX('Fleet dates'!$C$9:$C$1008,$I908-8)))</x:f>
      </x:c>
      <x:c r="D908" s="51" t="str">
        <x:f>IF(900&gt;$H$4,"",IF(INDEX('Fleet dates'!$D$9:$D$1008,$I908-8)="","",INDEX('Fleet dates'!$D$9:$D$1008,$I908-8)))</x:f>
      </x:c>
      <x:c r="E908" s="51" t="str">
        <x:f>IF(900&gt;$H$4,"",IF(INDEX('Fleet dates'!$E$9:$E$1008,$I908-8)="","",INDEX('Fleet dates'!$E$9:$E$1008,$I908-8)))</x:f>
      </x:c>
      <x:c r="F908" s="51" t="str">
        <x:f>IF(900&gt;$H$4,"",IF(INDEX('Fleet dates'!$F$9:$F$1008,$I908-8)="","",INDEX('Fleet dates'!$F$9:$F$1008,$I908-8)))</x:f>
      </x:c>
      <x:c r="G908" s="50" t="str">
        <x:f>IF(900&gt;$H$4,"",IF(INDEX('Fleet dates'!$G$9:$G$1008,$I908-8)="","",INDEX('Fleet dates'!$G$9:$G$1008,$I908-8)))</x:f>
      </x:c>
      <x:c r="H908" s="50" t="str">
        <x:f>IF(900&gt;$H$4,"",IF(INDEX('Fleet dates'!$I$9:$I$1008,$I908-8)="","",INDEX('Fleet dates'!$I$9:$I$1008,$I908-8)))</x:f>
      </x:c>
      <x:c r="I908" t="str">
        <x:f>IF(900&gt;$H$4,"",MATCH(900,'Fleet dates'!$L$9:$L$1008,0)+8)</x:f>
      </x:c>
    </x:row>
    <x:row r="909" ht="36" customHeight="1">
      <x:c r="A909" s="50" t="str">
        <x:f>IF(901&gt;$H$4,"",IF(INDEX('Fleet dates'!$A$9:$A$1008,$I909-8)="","",INDEX('Fleet dates'!$A$9:$A$1008,$I909-8)))</x:f>
      </x:c>
      <x:c r="B909" s="50" t="str">
        <x:f>IF(901&gt;$H$4,"",IF(INDEX('Fleet dates'!$B$9:$B$1008,$I909-8)="","",INDEX('Fleet dates'!$B$9:$B$1008,$I909-8)))</x:f>
      </x:c>
      <x:c r="C909" s="51" t="str">
        <x:f>IF(901&gt;$H$4,"",IF(INDEX('Fleet dates'!$C$9:$C$1008,$I909-8)="","",INDEX('Fleet dates'!$C$9:$C$1008,$I909-8)))</x:f>
      </x:c>
      <x:c r="D909" s="51" t="str">
        <x:f>IF(901&gt;$H$4,"",IF(INDEX('Fleet dates'!$D$9:$D$1008,$I909-8)="","",INDEX('Fleet dates'!$D$9:$D$1008,$I909-8)))</x:f>
      </x:c>
      <x:c r="E909" s="51" t="str">
        <x:f>IF(901&gt;$H$4,"",IF(INDEX('Fleet dates'!$E$9:$E$1008,$I909-8)="","",INDEX('Fleet dates'!$E$9:$E$1008,$I909-8)))</x:f>
      </x:c>
      <x:c r="F909" s="51" t="str">
        <x:f>IF(901&gt;$H$4,"",IF(INDEX('Fleet dates'!$F$9:$F$1008,$I909-8)="","",INDEX('Fleet dates'!$F$9:$F$1008,$I909-8)))</x:f>
      </x:c>
      <x:c r="G909" s="50" t="str">
        <x:f>IF(901&gt;$H$4,"",IF(INDEX('Fleet dates'!$G$9:$G$1008,$I909-8)="","",INDEX('Fleet dates'!$G$9:$G$1008,$I909-8)))</x:f>
      </x:c>
      <x:c r="H909" s="50" t="str">
        <x:f>IF(901&gt;$H$4,"",IF(INDEX('Fleet dates'!$I$9:$I$1008,$I909-8)="","",INDEX('Fleet dates'!$I$9:$I$1008,$I909-8)))</x:f>
      </x:c>
      <x:c r="I909" t="str">
        <x:f>IF(901&gt;$H$4,"",MATCH(901,'Fleet dates'!$L$9:$L$1008,0)+8)</x:f>
      </x:c>
    </x:row>
    <x:row r="910" ht="36" customHeight="1">
      <x:c r="A910" s="50" t="str">
        <x:f>IF(902&gt;$H$4,"",IF(INDEX('Fleet dates'!$A$9:$A$1008,$I910-8)="","",INDEX('Fleet dates'!$A$9:$A$1008,$I910-8)))</x:f>
      </x:c>
      <x:c r="B910" s="50" t="str">
        <x:f>IF(902&gt;$H$4,"",IF(INDEX('Fleet dates'!$B$9:$B$1008,$I910-8)="","",INDEX('Fleet dates'!$B$9:$B$1008,$I910-8)))</x:f>
      </x:c>
      <x:c r="C910" s="51" t="str">
        <x:f>IF(902&gt;$H$4,"",IF(INDEX('Fleet dates'!$C$9:$C$1008,$I910-8)="","",INDEX('Fleet dates'!$C$9:$C$1008,$I910-8)))</x:f>
      </x:c>
      <x:c r="D910" s="51" t="str">
        <x:f>IF(902&gt;$H$4,"",IF(INDEX('Fleet dates'!$D$9:$D$1008,$I910-8)="","",INDEX('Fleet dates'!$D$9:$D$1008,$I910-8)))</x:f>
      </x:c>
      <x:c r="E910" s="51" t="str">
        <x:f>IF(902&gt;$H$4,"",IF(INDEX('Fleet dates'!$E$9:$E$1008,$I910-8)="","",INDEX('Fleet dates'!$E$9:$E$1008,$I910-8)))</x:f>
      </x:c>
      <x:c r="F910" s="51" t="str">
        <x:f>IF(902&gt;$H$4,"",IF(INDEX('Fleet dates'!$F$9:$F$1008,$I910-8)="","",INDEX('Fleet dates'!$F$9:$F$1008,$I910-8)))</x:f>
      </x:c>
      <x:c r="G910" s="50" t="str">
        <x:f>IF(902&gt;$H$4,"",IF(INDEX('Fleet dates'!$G$9:$G$1008,$I910-8)="","",INDEX('Fleet dates'!$G$9:$G$1008,$I910-8)))</x:f>
      </x:c>
      <x:c r="H910" s="50" t="str">
        <x:f>IF(902&gt;$H$4,"",IF(INDEX('Fleet dates'!$I$9:$I$1008,$I910-8)="","",INDEX('Fleet dates'!$I$9:$I$1008,$I910-8)))</x:f>
      </x:c>
      <x:c r="I910" t="str">
        <x:f>IF(902&gt;$H$4,"",MATCH(902,'Fleet dates'!$L$9:$L$1008,0)+8)</x:f>
      </x:c>
    </x:row>
    <x:row r="911" ht="36" customHeight="1">
      <x:c r="A911" s="50" t="str">
        <x:f>IF(903&gt;$H$4,"",IF(INDEX('Fleet dates'!$A$9:$A$1008,$I911-8)="","",INDEX('Fleet dates'!$A$9:$A$1008,$I911-8)))</x:f>
      </x:c>
      <x:c r="B911" s="50" t="str">
        <x:f>IF(903&gt;$H$4,"",IF(INDEX('Fleet dates'!$B$9:$B$1008,$I911-8)="","",INDEX('Fleet dates'!$B$9:$B$1008,$I911-8)))</x:f>
      </x:c>
      <x:c r="C911" s="51" t="str">
        <x:f>IF(903&gt;$H$4,"",IF(INDEX('Fleet dates'!$C$9:$C$1008,$I911-8)="","",INDEX('Fleet dates'!$C$9:$C$1008,$I911-8)))</x:f>
      </x:c>
      <x:c r="D911" s="51" t="str">
        <x:f>IF(903&gt;$H$4,"",IF(INDEX('Fleet dates'!$D$9:$D$1008,$I911-8)="","",INDEX('Fleet dates'!$D$9:$D$1008,$I911-8)))</x:f>
      </x:c>
      <x:c r="E911" s="51" t="str">
        <x:f>IF(903&gt;$H$4,"",IF(INDEX('Fleet dates'!$E$9:$E$1008,$I911-8)="","",INDEX('Fleet dates'!$E$9:$E$1008,$I911-8)))</x:f>
      </x:c>
      <x:c r="F911" s="51" t="str">
        <x:f>IF(903&gt;$H$4,"",IF(INDEX('Fleet dates'!$F$9:$F$1008,$I911-8)="","",INDEX('Fleet dates'!$F$9:$F$1008,$I911-8)))</x:f>
      </x:c>
      <x:c r="G911" s="50" t="str">
        <x:f>IF(903&gt;$H$4,"",IF(INDEX('Fleet dates'!$G$9:$G$1008,$I911-8)="","",INDEX('Fleet dates'!$G$9:$G$1008,$I911-8)))</x:f>
      </x:c>
      <x:c r="H911" s="50" t="str">
        <x:f>IF(903&gt;$H$4,"",IF(INDEX('Fleet dates'!$I$9:$I$1008,$I911-8)="","",INDEX('Fleet dates'!$I$9:$I$1008,$I911-8)))</x:f>
      </x:c>
      <x:c r="I911" t="str">
        <x:f>IF(903&gt;$H$4,"",MATCH(903,'Fleet dates'!$L$9:$L$1008,0)+8)</x:f>
      </x:c>
    </x:row>
    <x:row r="912" ht="36" customHeight="1">
      <x:c r="A912" s="50" t="str">
        <x:f>IF(904&gt;$H$4,"",IF(INDEX('Fleet dates'!$A$9:$A$1008,$I912-8)="","",INDEX('Fleet dates'!$A$9:$A$1008,$I912-8)))</x:f>
      </x:c>
      <x:c r="B912" s="50" t="str">
        <x:f>IF(904&gt;$H$4,"",IF(INDEX('Fleet dates'!$B$9:$B$1008,$I912-8)="","",INDEX('Fleet dates'!$B$9:$B$1008,$I912-8)))</x:f>
      </x:c>
      <x:c r="C912" s="51" t="str">
        <x:f>IF(904&gt;$H$4,"",IF(INDEX('Fleet dates'!$C$9:$C$1008,$I912-8)="","",INDEX('Fleet dates'!$C$9:$C$1008,$I912-8)))</x:f>
      </x:c>
      <x:c r="D912" s="51" t="str">
        <x:f>IF(904&gt;$H$4,"",IF(INDEX('Fleet dates'!$D$9:$D$1008,$I912-8)="","",INDEX('Fleet dates'!$D$9:$D$1008,$I912-8)))</x:f>
      </x:c>
      <x:c r="E912" s="51" t="str">
        <x:f>IF(904&gt;$H$4,"",IF(INDEX('Fleet dates'!$E$9:$E$1008,$I912-8)="","",INDEX('Fleet dates'!$E$9:$E$1008,$I912-8)))</x:f>
      </x:c>
      <x:c r="F912" s="51" t="str">
        <x:f>IF(904&gt;$H$4,"",IF(INDEX('Fleet dates'!$F$9:$F$1008,$I912-8)="","",INDEX('Fleet dates'!$F$9:$F$1008,$I912-8)))</x:f>
      </x:c>
      <x:c r="G912" s="50" t="str">
        <x:f>IF(904&gt;$H$4,"",IF(INDEX('Fleet dates'!$G$9:$G$1008,$I912-8)="","",INDEX('Fleet dates'!$G$9:$G$1008,$I912-8)))</x:f>
      </x:c>
      <x:c r="H912" s="50" t="str">
        <x:f>IF(904&gt;$H$4,"",IF(INDEX('Fleet dates'!$I$9:$I$1008,$I912-8)="","",INDEX('Fleet dates'!$I$9:$I$1008,$I912-8)))</x:f>
      </x:c>
      <x:c r="I912" t="str">
        <x:f>IF(904&gt;$H$4,"",MATCH(904,'Fleet dates'!$L$9:$L$1008,0)+8)</x:f>
      </x:c>
    </x:row>
    <x:row r="913" ht="36" customHeight="1">
      <x:c r="A913" s="50" t="str">
        <x:f>IF(905&gt;$H$4,"",IF(INDEX('Fleet dates'!$A$9:$A$1008,$I913-8)="","",INDEX('Fleet dates'!$A$9:$A$1008,$I913-8)))</x:f>
      </x:c>
      <x:c r="B913" s="50" t="str">
        <x:f>IF(905&gt;$H$4,"",IF(INDEX('Fleet dates'!$B$9:$B$1008,$I913-8)="","",INDEX('Fleet dates'!$B$9:$B$1008,$I913-8)))</x:f>
      </x:c>
      <x:c r="C913" s="51" t="str">
        <x:f>IF(905&gt;$H$4,"",IF(INDEX('Fleet dates'!$C$9:$C$1008,$I913-8)="","",INDEX('Fleet dates'!$C$9:$C$1008,$I913-8)))</x:f>
      </x:c>
      <x:c r="D913" s="51" t="str">
        <x:f>IF(905&gt;$H$4,"",IF(INDEX('Fleet dates'!$D$9:$D$1008,$I913-8)="","",INDEX('Fleet dates'!$D$9:$D$1008,$I913-8)))</x:f>
      </x:c>
      <x:c r="E913" s="51" t="str">
        <x:f>IF(905&gt;$H$4,"",IF(INDEX('Fleet dates'!$E$9:$E$1008,$I913-8)="","",INDEX('Fleet dates'!$E$9:$E$1008,$I913-8)))</x:f>
      </x:c>
      <x:c r="F913" s="51" t="str">
        <x:f>IF(905&gt;$H$4,"",IF(INDEX('Fleet dates'!$F$9:$F$1008,$I913-8)="","",INDEX('Fleet dates'!$F$9:$F$1008,$I913-8)))</x:f>
      </x:c>
      <x:c r="G913" s="50" t="str">
        <x:f>IF(905&gt;$H$4,"",IF(INDEX('Fleet dates'!$G$9:$G$1008,$I913-8)="","",INDEX('Fleet dates'!$G$9:$G$1008,$I913-8)))</x:f>
      </x:c>
      <x:c r="H913" s="50" t="str">
        <x:f>IF(905&gt;$H$4,"",IF(INDEX('Fleet dates'!$I$9:$I$1008,$I913-8)="","",INDEX('Fleet dates'!$I$9:$I$1008,$I913-8)))</x:f>
      </x:c>
      <x:c r="I913" t="str">
        <x:f>IF(905&gt;$H$4,"",MATCH(905,'Fleet dates'!$L$9:$L$1008,0)+8)</x:f>
      </x:c>
    </x:row>
    <x:row r="914" ht="36" customHeight="1">
      <x:c r="A914" s="50" t="str">
        <x:f>IF(906&gt;$H$4,"",IF(INDEX('Fleet dates'!$A$9:$A$1008,$I914-8)="","",INDEX('Fleet dates'!$A$9:$A$1008,$I914-8)))</x:f>
      </x:c>
      <x:c r="B914" s="50" t="str">
        <x:f>IF(906&gt;$H$4,"",IF(INDEX('Fleet dates'!$B$9:$B$1008,$I914-8)="","",INDEX('Fleet dates'!$B$9:$B$1008,$I914-8)))</x:f>
      </x:c>
      <x:c r="C914" s="51" t="str">
        <x:f>IF(906&gt;$H$4,"",IF(INDEX('Fleet dates'!$C$9:$C$1008,$I914-8)="","",INDEX('Fleet dates'!$C$9:$C$1008,$I914-8)))</x:f>
      </x:c>
      <x:c r="D914" s="51" t="str">
        <x:f>IF(906&gt;$H$4,"",IF(INDEX('Fleet dates'!$D$9:$D$1008,$I914-8)="","",INDEX('Fleet dates'!$D$9:$D$1008,$I914-8)))</x:f>
      </x:c>
      <x:c r="E914" s="51" t="str">
        <x:f>IF(906&gt;$H$4,"",IF(INDEX('Fleet dates'!$E$9:$E$1008,$I914-8)="","",INDEX('Fleet dates'!$E$9:$E$1008,$I914-8)))</x:f>
      </x:c>
      <x:c r="F914" s="51" t="str">
        <x:f>IF(906&gt;$H$4,"",IF(INDEX('Fleet dates'!$F$9:$F$1008,$I914-8)="","",INDEX('Fleet dates'!$F$9:$F$1008,$I914-8)))</x:f>
      </x:c>
      <x:c r="G914" s="50" t="str">
        <x:f>IF(906&gt;$H$4,"",IF(INDEX('Fleet dates'!$G$9:$G$1008,$I914-8)="","",INDEX('Fleet dates'!$G$9:$G$1008,$I914-8)))</x:f>
      </x:c>
      <x:c r="H914" s="50" t="str">
        <x:f>IF(906&gt;$H$4,"",IF(INDEX('Fleet dates'!$I$9:$I$1008,$I914-8)="","",INDEX('Fleet dates'!$I$9:$I$1008,$I914-8)))</x:f>
      </x:c>
      <x:c r="I914" t="str">
        <x:f>IF(906&gt;$H$4,"",MATCH(906,'Fleet dates'!$L$9:$L$1008,0)+8)</x:f>
      </x:c>
    </x:row>
    <x:row r="915" ht="36" customHeight="1">
      <x:c r="A915" s="50" t="str">
        <x:f>IF(907&gt;$H$4,"",IF(INDEX('Fleet dates'!$A$9:$A$1008,$I915-8)="","",INDEX('Fleet dates'!$A$9:$A$1008,$I915-8)))</x:f>
      </x:c>
      <x:c r="B915" s="50" t="str">
        <x:f>IF(907&gt;$H$4,"",IF(INDEX('Fleet dates'!$B$9:$B$1008,$I915-8)="","",INDEX('Fleet dates'!$B$9:$B$1008,$I915-8)))</x:f>
      </x:c>
      <x:c r="C915" s="51" t="str">
        <x:f>IF(907&gt;$H$4,"",IF(INDEX('Fleet dates'!$C$9:$C$1008,$I915-8)="","",INDEX('Fleet dates'!$C$9:$C$1008,$I915-8)))</x:f>
      </x:c>
      <x:c r="D915" s="51" t="str">
        <x:f>IF(907&gt;$H$4,"",IF(INDEX('Fleet dates'!$D$9:$D$1008,$I915-8)="","",INDEX('Fleet dates'!$D$9:$D$1008,$I915-8)))</x:f>
      </x:c>
      <x:c r="E915" s="51" t="str">
        <x:f>IF(907&gt;$H$4,"",IF(INDEX('Fleet dates'!$E$9:$E$1008,$I915-8)="","",INDEX('Fleet dates'!$E$9:$E$1008,$I915-8)))</x:f>
      </x:c>
      <x:c r="F915" s="51" t="str">
        <x:f>IF(907&gt;$H$4,"",IF(INDEX('Fleet dates'!$F$9:$F$1008,$I915-8)="","",INDEX('Fleet dates'!$F$9:$F$1008,$I915-8)))</x:f>
      </x:c>
      <x:c r="G915" s="50" t="str">
        <x:f>IF(907&gt;$H$4,"",IF(INDEX('Fleet dates'!$G$9:$G$1008,$I915-8)="","",INDEX('Fleet dates'!$G$9:$G$1008,$I915-8)))</x:f>
      </x:c>
      <x:c r="H915" s="50" t="str">
        <x:f>IF(907&gt;$H$4,"",IF(INDEX('Fleet dates'!$I$9:$I$1008,$I915-8)="","",INDEX('Fleet dates'!$I$9:$I$1008,$I915-8)))</x:f>
      </x:c>
      <x:c r="I915" t="str">
        <x:f>IF(907&gt;$H$4,"",MATCH(907,'Fleet dates'!$L$9:$L$1008,0)+8)</x:f>
      </x:c>
    </x:row>
    <x:row r="916" ht="36" customHeight="1">
      <x:c r="A916" s="50" t="str">
        <x:f>IF(908&gt;$H$4,"",IF(INDEX('Fleet dates'!$A$9:$A$1008,$I916-8)="","",INDEX('Fleet dates'!$A$9:$A$1008,$I916-8)))</x:f>
      </x:c>
      <x:c r="B916" s="50" t="str">
        <x:f>IF(908&gt;$H$4,"",IF(INDEX('Fleet dates'!$B$9:$B$1008,$I916-8)="","",INDEX('Fleet dates'!$B$9:$B$1008,$I916-8)))</x:f>
      </x:c>
      <x:c r="C916" s="51" t="str">
        <x:f>IF(908&gt;$H$4,"",IF(INDEX('Fleet dates'!$C$9:$C$1008,$I916-8)="","",INDEX('Fleet dates'!$C$9:$C$1008,$I916-8)))</x:f>
      </x:c>
      <x:c r="D916" s="51" t="str">
        <x:f>IF(908&gt;$H$4,"",IF(INDEX('Fleet dates'!$D$9:$D$1008,$I916-8)="","",INDEX('Fleet dates'!$D$9:$D$1008,$I916-8)))</x:f>
      </x:c>
      <x:c r="E916" s="51" t="str">
        <x:f>IF(908&gt;$H$4,"",IF(INDEX('Fleet dates'!$E$9:$E$1008,$I916-8)="","",INDEX('Fleet dates'!$E$9:$E$1008,$I916-8)))</x:f>
      </x:c>
      <x:c r="F916" s="51" t="str">
        <x:f>IF(908&gt;$H$4,"",IF(INDEX('Fleet dates'!$F$9:$F$1008,$I916-8)="","",INDEX('Fleet dates'!$F$9:$F$1008,$I916-8)))</x:f>
      </x:c>
      <x:c r="G916" s="50" t="str">
        <x:f>IF(908&gt;$H$4,"",IF(INDEX('Fleet dates'!$G$9:$G$1008,$I916-8)="","",INDEX('Fleet dates'!$G$9:$G$1008,$I916-8)))</x:f>
      </x:c>
      <x:c r="H916" s="50" t="str">
        <x:f>IF(908&gt;$H$4,"",IF(INDEX('Fleet dates'!$I$9:$I$1008,$I916-8)="","",INDEX('Fleet dates'!$I$9:$I$1008,$I916-8)))</x:f>
      </x:c>
      <x:c r="I916" t="str">
        <x:f>IF(908&gt;$H$4,"",MATCH(908,'Fleet dates'!$L$9:$L$1008,0)+8)</x:f>
      </x:c>
    </x:row>
    <x:row r="917" ht="36" customHeight="1">
      <x:c r="A917" s="50" t="str">
        <x:f>IF(909&gt;$H$4,"",IF(INDEX('Fleet dates'!$A$9:$A$1008,$I917-8)="","",INDEX('Fleet dates'!$A$9:$A$1008,$I917-8)))</x:f>
      </x:c>
      <x:c r="B917" s="50" t="str">
        <x:f>IF(909&gt;$H$4,"",IF(INDEX('Fleet dates'!$B$9:$B$1008,$I917-8)="","",INDEX('Fleet dates'!$B$9:$B$1008,$I917-8)))</x:f>
      </x:c>
      <x:c r="C917" s="51" t="str">
        <x:f>IF(909&gt;$H$4,"",IF(INDEX('Fleet dates'!$C$9:$C$1008,$I917-8)="","",INDEX('Fleet dates'!$C$9:$C$1008,$I917-8)))</x:f>
      </x:c>
      <x:c r="D917" s="51" t="str">
        <x:f>IF(909&gt;$H$4,"",IF(INDEX('Fleet dates'!$D$9:$D$1008,$I917-8)="","",INDEX('Fleet dates'!$D$9:$D$1008,$I917-8)))</x:f>
      </x:c>
      <x:c r="E917" s="51" t="str">
        <x:f>IF(909&gt;$H$4,"",IF(INDEX('Fleet dates'!$E$9:$E$1008,$I917-8)="","",INDEX('Fleet dates'!$E$9:$E$1008,$I917-8)))</x:f>
      </x:c>
      <x:c r="F917" s="51" t="str">
        <x:f>IF(909&gt;$H$4,"",IF(INDEX('Fleet dates'!$F$9:$F$1008,$I917-8)="","",INDEX('Fleet dates'!$F$9:$F$1008,$I917-8)))</x:f>
      </x:c>
      <x:c r="G917" s="50" t="str">
        <x:f>IF(909&gt;$H$4,"",IF(INDEX('Fleet dates'!$G$9:$G$1008,$I917-8)="","",INDEX('Fleet dates'!$G$9:$G$1008,$I917-8)))</x:f>
      </x:c>
      <x:c r="H917" s="50" t="str">
        <x:f>IF(909&gt;$H$4,"",IF(INDEX('Fleet dates'!$I$9:$I$1008,$I917-8)="","",INDEX('Fleet dates'!$I$9:$I$1008,$I917-8)))</x:f>
      </x:c>
      <x:c r="I917" t="str">
        <x:f>IF(909&gt;$H$4,"",MATCH(909,'Fleet dates'!$L$9:$L$1008,0)+8)</x:f>
      </x:c>
    </x:row>
    <x:row r="918" ht="36" customHeight="1">
      <x:c r="A918" s="50" t="str">
        <x:f>IF(910&gt;$H$4,"",IF(INDEX('Fleet dates'!$A$9:$A$1008,$I918-8)="","",INDEX('Fleet dates'!$A$9:$A$1008,$I918-8)))</x:f>
      </x:c>
      <x:c r="B918" s="50" t="str">
        <x:f>IF(910&gt;$H$4,"",IF(INDEX('Fleet dates'!$B$9:$B$1008,$I918-8)="","",INDEX('Fleet dates'!$B$9:$B$1008,$I918-8)))</x:f>
      </x:c>
      <x:c r="C918" s="51" t="str">
        <x:f>IF(910&gt;$H$4,"",IF(INDEX('Fleet dates'!$C$9:$C$1008,$I918-8)="","",INDEX('Fleet dates'!$C$9:$C$1008,$I918-8)))</x:f>
      </x:c>
      <x:c r="D918" s="51" t="str">
        <x:f>IF(910&gt;$H$4,"",IF(INDEX('Fleet dates'!$D$9:$D$1008,$I918-8)="","",INDEX('Fleet dates'!$D$9:$D$1008,$I918-8)))</x:f>
      </x:c>
      <x:c r="E918" s="51" t="str">
        <x:f>IF(910&gt;$H$4,"",IF(INDEX('Fleet dates'!$E$9:$E$1008,$I918-8)="","",INDEX('Fleet dates'!$E$9:$E$1008,$I918-8)))</x:f>
      </x:c>
      <x:c r="F918" s="51" t="str">
        <x:f>IF(910&gt;$H$4,"",IF(INDEX('Fleet dates'!$F$9:$F$1008,$I918-8)="","",INDEX('Fleet dates'!$F$9:$F$1008,$I918-8)))</x:f>
      </x:c>
      <x:c r="G918" s="50" t="str">
        <x:f>IF(910&gt;$H$4,"",IF(INDEX('Fleet dates'!$G$9:$G$1008,$I918-8)="","",INDEX('Fleet dates'!$G$9:$G$1008,$I918-8)))</x:f>
      </x:c>
      <x:c r="H918" s="50" t="str">
        <x:f>IF(910&gt;$H$4,"",IF(INDEX('Fleet dates'!$I$9:$I$1008,$I918-8)="","",INDEX('Fleet dates'!$I$9:$I$1008,$I918-8)))</x:f>
      </x:c>
      <x:c r="I918" t="str">
        <x:f>IF(910&gt;$H$4,"",MATCH(910,'Fleet dates'!$L$9:$L$1008,0)+8)</x:f>
      </x:c>
    </x:row>
    <x:row r="919" ht="36" customHeight="1">
      <x:c r="A919" s="50" t="str">
        <x:f>IF(911&gt;$H$4,"",IF(INDEX('Fleet dates'!$A$9:$A$1008,$I919-8)="","",INDEX('Fleet dates'!$A$9:$A$1008,$I919-8)))</x:f>
      </x:c>
      <x:c r="B919" s="50" t="str">
        <x:f>IF(911&gt;$H$4,"",IF(INDEX('Fleet dates'!$B$9:$B$1008,$I919-8)="","",INDEX('Fleet dates'!$B$9:$B$1008,$I919-8)))</x:f>
      </x:c>
      <x:c r="C919" s="51" t="str">
        <x:f>IF(911&gt;$H$4,"",IF(INDEX('Fleet dates'!$C$9:$C$1008,$I919-8)="","",INDEX('Fleet dates'!$C$9:$C$1008,$I919-8)))</x:f>
      </x:c>
      <x:c r="D919" s="51" t="str">
        <x:f>IF(911&gt;$H$4,"",IF(INDEX('Fleet dates'!$D$9:$D$1008,$I919-8)="","",INDEX('Fleet dates'!$D$9:$D$1008,$I919-8)))</x:f>
      </x:c>
      <x:c r="E919" s="51" t="str">
        <x:f>IF(911&gt;$H$4,"",IF(INDEX('Fleet dates'!$E$9:$E$1008,$I919-8)="","",INDEX('Fleet dates'!$E$9:$E$1008,$I919-8)))</x:f>
      </x:c>
      <x:c r="F919" s="51" t="str">
        <x:f>IF(911&gt;$H$4,"",IF(INDEX('Fleet dates'!$F$9:$F$1008,$I919-8)="","",INDEX('Fleet dates'!$F$9:$F$1008,$I919-8)))</x:f>
      </x:c>
      <x:c r="G919" s="50" t="str">
        <x:f>IF(911&gt;$H$4,"",IF(INDEX('Fleet dates'!$G$9:$G$1008,$I919-8)="","",INDEX('Fleet dates'!$G$9:$G$1008,$I919-8)))</x:f>
      </x:c>
      <x:c r="H919" s="50" t="str">
        <x:f>IF(911&gt;$H$4,"",IF(INDEX('Fleet dates'!$I$9:$I$1008,$I919-8)="","",INDEX('Fleet dates'!$I$9:$I$1008,$I919-8)))</x:f>
      </x:c>
      <x:c r="I919" t="str">
        <x:f>IF(911&gt;$H$4,"",MATCH(911,'Fleet dates'!$L$9:$L$1008,0)+8)</x:f>
      </x:c>
    </x:row>
    <x:row r="920" ht="36" customHeight="1">
      <x:c r="A920" s="50" t="str">
        <x:f>IF(912&gt;$H$4,"",IF(INDEX('Fleet dates'!$A$9:$A$1008,$I920-8)="","",INDEX('Fleet dates'!$A$9:$A$1008,$I920-8)))</x:f>
      </x:c>
      <x:c r="B920" s="50" t="str">
        <x:f>IF(912&gt;$H$4,"",IF(INDEX('Fleet dates'!$B$9:$B$1008,$I920-8)="","",INDEX('Fleet dates'!$B$9:$B$1008,$I920-8)))</x:f>
      </x:c>
      <x:c r="C920" s="51" t="str">
        <x:f>IF(912&gt;$H$4,"",IF(INDEX('Fleet dates'!$C$9:$C$1008,$I920-8)="","",INDEX('Fleet dates'!$C$9:$C$1008,$I920-8)))</x:f>
      </x:c>
      <x:c r="D920" s="51" t="str">
        <x:f>IF(912&gt;$H$4,"",IF(INDEX('Fleet dates'!$D$9:$D$1008,$I920-8)="","",INDEX('Fleet dates'!$D$9:$D$1008,$I920-8)))</x:f>
      </x:c>
      <x:c r="E920" s="51" t="str">
        <x:f>IF(912&gt;$H$4,"",IF(INDEX('Fleet dates'!$E$9:$E$1008,$I920-8)="","",INDEX('Fleet dates'!$E$9:$E$1008,$I920-8)))</x:f>
      </x:c>
      <x:c r="F920" s="51" t="str">
        <x:f>IF(912&gt;$H$4,"",IF(INDEX('Fleet dates'!$F$9:$F$1008,$I920-8)="","",INDEX('Fleet dates'!$F$9:$F$1008,$I920-8)))</x:f>
      </x:c>
      <x:c r="G920" s="50" t="str">
        <x:f>IF(912&gt;$H$4,"",IF(INDEX('Fleet dates'!$G$9:$G$1008,$I920-8)="","",INDEX('Fleet dates'!$G$9:$G$1008,$I920-8)))</x:f>
      </x:c>
      <x:c r="H920" s="50" t="str">
        <x:f>IF(912&gt;$H$4,"",IF(INDEX('Fleet dates'!$I$9:$I$1008,$I920-8)="","",INDEX('Fleet dates'!$I$9:$I$1008,$I920-8)))</x:f>
      </x:c>
      <x:c r="I920" t="str">
        <x:f>IF(912&gt;$H$4,"",MATCH(912,'Fleet dates'!$L$9:$L$1008,0)+8)</x:f>
      </x:c>
    </x:row>
    <x:row r="921" ht="36" customHeight="1">
      <x:c r="A921" s="50" t="str">
        <x:f>IF(913&gt;$H$4,"",IF(INDEX('Fleet dates'!$A$9:$A$1008,$I921-8)="","",INDEX('Fleet dates'!$A$9:$A$1008,$I921-8)))</x:f>
      </x:c>
      <x:c r="B921" s="50" t="str">
        <x:f>IF(913&gt;$H$4,"",IF(INDEX('Fleet dates'!$B$9:$B$1008,$I921-8)="","",INDEX('Fleet dates'!$B$9:$B$1008,$I921-8)))</x:f>
      </x:c>
      <x:c r="C921" s="51" t="str">
        <x:f>IF(913&gt;$H$4,"",IF(INDEX('Fleet dates'!$C$9:$C$1008,$I921-8)="","",INDEX('Fleet dates'!$C$9:$C$1008,$I921-8)))</x:f>
      </x:c>
      <x:c r="D921" s="51" t="str">
        <x:f>IF(913&gt;$H$4,"",IF(INDEX('Fleet dates'!$D$9:$D$1008,$I921-8)="","",INDEX('Fleet dates'!$D$9:$D$1008,$I921-8)))</x:f>
      </x:c>
      <x:c r="E921" s="51" t="str">
        <x:f>IF(913&gt;$H$4,"",IF(INDEX('Fleet dates'!$E$9:$E$1008,$I921-8)="","",INDEX('Fleet dates'!$E$9:$E$1008,$I921-8)))</x:f>
      </x:c>
      <x:c r="F921" s="51" t="str">
        <x:f>IF(913&gt;$H$4,"",IF(INDEX('Fleet dates'!$F$9:$F$1008,$I921-8)="","",INDEX('Fleet dates'!$F$9:$F$1008,$I921-8)))</x:f>
      </x:c>
      <x:c r="G921" s="50" t="str">
        <x:f>IF(913&gt;$H$4,"",IF(INDEX('Fleet dates'!$G$9:$G$1008,$I921-8)="","",INDEX('Fleet dates'!$G$9:$G$1008,$I921-8)))</x:f>
      </x:c>
      <x:c r="H921" s="50" t="str">
        <x:f>IF(913&gt;$H$4,"",IF(INDEX('Fleet dates'!$I$9:$I$1008,$I921-8)="","",INDEX('Fleet dates'!$I$9:$I$1008,$I921-8)))</x:f>
      </x:c>
      <x:c r="I921" t="str">
        <x:f>IF(913&gt;$H$4,"",MATCH(913,'Fleet dates'!$L$9:$L$1008,0)+8)</x:f>
      </x:c>
    </x:row>
    <x:row r="922" ht="36" customHeight="1">
      <x:c r="A922" s="50" t="str">
        <x:f>IF(914&gt;$H$4,"",IF(INDEX('Fleet dates'!$A$9:$A$1008,$I922-8)="","",INDEX('Fleet dates'!$A$9:$A$1008,$I922-8)))</x:f>
      </x:c>
      <x:c r="B922" s="50" t="str">
        <x:f>IF(914&gt;$H$4,"",IF(INDEX('Fleet dates'!$B$9:$B$1008,$I922-8)="","",INDEX('Fleet dates'!$B$9:$B$1008,$I922-8)))</x:f>
      </x:c>
      <x:c r="C922" s="51" t="str">
        <x:f>IF(914&gt;$H$4,"",IF(INDEX('Fleet dates'!$C$9:$C$1008,$I922-8)="","",INDEX('Fleet dates'!$C$9:$C$1008,$I922-8)))</x:f>
      </x:c>
      <x:c r="D922" s="51" t="str">
        <x:f>IF(914&gt;$H$4,"",IF(INDEX('Fleet dates'!$D$9:$D$1008,$I922-8)="","",INDEX('Fleet dates'!$D$9:$D$1008,$I922-8)))</x:f>
      </x:c>
      <x:c r="E922" s="51" t="str">
        <x:f>IF(914&gt;$H$4,"",IF(INDEX('Fleet dates'!$E$9:$E$1008,$I922-8)="","",INDEX('Fleet dates'!$E$9:$E$1008,$I922-8)))</x:f>
      </x:c>
      <x:c r="F922" s="51" t="str">
        <x:f>IF(914&gt;$H$4,"",IF(INDEX('Fleet dates'!$F$9:$F$1008,$I922-8)="","",INDEX('Fleet dates'!$F$9:$F$1008,$I922-8)))</x:f>
      </x:c>
      <x:c r="G922" s="50" t="str">
        <x:f>IF(914&gt;$H$4,"",IF(INDEX('Fleet dates'!$G$9:$G$1008,$I922-8)="","",INDEX('Fleet dates'!$G$9:$G$1008,$I922-8)))</x:f>
      </x:c>
      <x:c r="H922" s="50" t="str">
        <x:f>IF(914&gt;$H$4,"",IF(INDEX('Fleet dates'!$I$9:$I$1008,$I922-8)="","",INDEX('Fleet dates'!$I$9:$I$1008,$I922-8)))</x:f>
      </x:c>
      <x:c r="I922" t="str">
        <x:f>IF(914&gt;$H$4,"",MATCH(914,'Fleet dates'!$L$9:$L$1008,0)+8)</x:f>
      </x:c>
    </x:row>
    <x:row r="923" ht="36" customHeight="1">
      <x:c r="A923" s="50" t="str">
        <x:f>IF(915&gt;$H$4,"",IF(INDEX('Fleet dates'!$A$9:$A$1008,$I923-8)="","",INDEX('Fleet dates'!$A$9:$A$1008,$I923-8)))</x:f>
      </x:c>
      <x:c r="B923" s="50" t="str">
        <x:f>IF(915&gt;$H$4,"",IF(INDEX('Fleet dates'!$B$9:$B$1008,$I923-8)="","",INDEX('Fleet dates'!$B$9:$B$1008,$I923-8)))</x:f>
      </x:c>
      <x:c r="C923" s="51" t="str">
        <x:f>IF(915&gt;$H$4,"",IF(INDEX('Fleet dates'!$C$9:$C$1008,$I923-8)="","",INDEX('Fleet dates'!$C$9:$C$1008,$I923-8)))</x:f>
      </x:c>
      <x:c r="D923" s="51" t="str">
        <x:f>IF(915&gt;$H$4,"",IF(INDEX('Fleet dates'!$D$9:$D$1008,$I923-8)="","",INDEX('Fleet dates'!$D$9:$D$1008,$I923-8)))</x:f>
      </x:c>
      <x:c r="E923" s="51" t="str">
        <x:f>IF(915&gt;$H$4,"",IF(INDEX('Fleet dates'!$E$9:$E$1008,$I923-8)="","",INDEX('Fleet dates'!$E$9:$E$1008,$I923-8)))</x:f>
      </x:c>
      <x:c r="F923" s="51" t="str">
        <x:f>IF(915&gt;$H$4,"",IF(INDEX('Fleet dates'!$F$9:$F$1008,$I923-8)="","",INDEX('Fleet dates'!$F$9:$F$1008,$I923-8)))</x:f>
      </x:c>
      <x:c r="G923" s="50" t="str">
        <x:f>IF(915&gt;$H$4,"",IF(INDEX('Fleet dates'!$G$9:$G$1008,$I923-8)="","",INDEX('Fleet dates'!$G$9:$G$1008,$I923-8)))</x:f>
      </x:c>
      <x:c r="H923" s="50" t="str">
        <x:f>IF(915&gt;$H$4,"",IF(INDEX('Fleet dates'!$I$9:$I$1008,$I923-8)="","",INDEX('Fleet dates'!$I$9:$I$1008,$I923-8)))</x:f>
      </x:c>
      <x:c r="I923" t="str">
        <x:f>IF(915&gt;$H$4,"",MATCH(915,'Fleet dates'!$L$9:$L$1008,0)+8)</x:f>
      </x:c>
    </x:row>
    <x:row r="924" ht="36" customHeight="1">
      <x:c r="A924" s="50" t="str">
        <x:f>IF(916&gt;$H$4,"",IF(INDEX('Fleet dates'!$A$9:$A$1008,$I924-8)="","",INDEX('Fleet dates'!$A$9:$A$1008,$I924-8)))</x:f>
      </x:c>
      <x:c r="B924" s="50" t="str">
        <x:f>IF(916&gt;$H$4,"",IF(INDEX('Fleet dates'!$B$9:$B$1008,$I924-8)="","",INDEX('Fleet dates'!$B$9:$B$1008,$I924-8)))</x:f>
      </x:c>
      <x:c r="C924" s="51" t="str">
        <x:f>IF(916&gt;$H$4,"",IF(INDEX('Fleet dates'!$C$9:$C$1008,$I924-8)="","",INDEX('Fleet dates'!$C$9:$C$1008,$I924-8)))</x:f>
      </x:c>
      <x:c r="D924" s="51" t="str">
        <x:f>IF(916&gt;$H$4,"",IF(INDEX('Fleet dates'!$D$9:$D$1008,$I924-8)="","",INDEX('Fleet dates'!$D$9:$D$1008,$I924-8)))</x:f>
      </x:c>
      <x:c r="E924" s="51" t="str">
        <x:f>IF(916&gt;$H$4,"",IF(INDEX('Fleet dates'!$E$9:$E$1008,$I924-8)="","",INDEX('Fleet dates'!$E$9:$E$1008,$I924-8)))</x:f>
      </x:c>
      <x:c r="F924" s="51" t="str">
        <x:f>IF(916&gt;$H$4,"",IF(INDEX('Fleet dates'!$F$9:$F$1008,$I924-8)="","",INDEX('Fleet dates'!$F$9:$F$1008,$I924-8)))</x:f>
      </x:c>
      <x:c r="G924" s="50" t="str">
        <x:f>IF(916&gt;$H$4,"",IF(INDEX('Fleet dates'!$G$9:$G$1008,$I924-8)="","",INDEX('Fleet dates'!$G$9:$G$1008,$I924-8)))</x:f>
      </x:c>
      <x:c r="H924" s="50" t="str">
        <x:f>IF(916&gt;$H$4,"",IF(INDEX('Fleet dates'!$I$9:$I$1008,$I924-8)="","",INDEX('Fleet dates'!$I$9:$I$1008,$I924-8)))</x:f>
      </x:c>
      <x:c r="I924" t="str">
        <x:f>IF(916&gt;$H$4,"",MATCH(916,'Fleet dates'!$L$9:$L$1008,0)+8)</x:f>
      </x:c>
    </x:row>
    <x:row r="925" ht="36" customHeight="1">
      <x:c r="A925" s="50" t="str">
        <x:f>IF(917&gt;$H$4,"",IF(INDEX('Fleet dates'!$A$9:$A$1008,$I925-8)="","",INDEX('Fleet dates'!$A$9:$A$1008,$I925-8)))</x:f>
      </x:c>
      <x:c r="B925" s="50" t="str">
        <x:f>IF(917&gt;$H$4,"",IF(INDEX('Fleet dates'!$B$9:$B$1008,$I925-8)="","",INDEX('Fleet dates'!$B$9:$B$1008,$I925-8)))</x:f>
      </x:c>
      <x:c r="C925" s="51" t="str">
        <x:f>IF(917&gt;$H$4,"",IF(INDEX('Fleet dates'!$C$9:$C$1008,$I925-8)="","",INDEX('Fleet dates'!$C$9:$C$1008,$I925-8)))</x:f>
      </x:c>
      <x:c r="D925" s="51" t="str">
        <x:f>IF(917&gt;$H$4,"",IF(INDEX('Fleet dates'!$D$9:$D$1008,$I925-8)="","",INDEX('Fleet dates'!$D$9:$D$1008,$I925-8)))</x:f>
      </x:c>
      <x:c r="E925" s="51" t="str">
        <x:f>IF(917&gt;$H$4,"",IF(INDEX('Fleet dates'!$E$9:$E$1008,$I925-8)="","",INDEX('Fleet dates'!$E$9:$E$1008,$I925-8)))</x:f>
      </x:c>
      <x:c r="F925" s="51" t="str">
        <x:f>IF(917&gt;$H$4,"",IF(INDEX('Fleet dates'!$F$9:$F$1008,$I925-8)="","",INDEX('Fleet dates'!$F$9:$F$1008,$I925-8)))</x:f>
      </x:c>
      <x:c r="G925" s="50" t="str">
        <x:f>IF(917&gt;$H$4,"",IF(INDEX('Fleet dates'!$G$9:$G$1008,$I925-8)="","",INDEX('Fleet dates'!$G$9:$G$1008,$I925-8)))</x:f>
      </x:c>
      <x:c r="H925" s="50" t="str">
        <x:f>IF(917&gt;$H$4,"",IF(INDEX('Fleet dates'!$I$9:$I$1008,$I925-8)="","",INDEX('Fleet dates'!$I$9:$I$1008,$I925-8)))</x:f>
      </x:c>
      <x:c r="I925" t="str">
        <x:f>IF(917&gt;$H$4,"",MATCH(917,'Fleet dates'!$L$9:$L$1008,0)+8)</x:f>
      </x:c>
    </x:row>
    <x:row r="926" ht="36" customHeight="1">
      <x:c r="A926" s="50" t="str">
        <x:f>IF(918&gt;$H$4,"",IF(INDEX('Fleet dates'!$A$9:$A$1008,$I926-8)="","",INDEX('Fleet dates'!$A$9:$A$1008,$I926-8)))</x:f>
      </x:c>
      <x:c r="B926" s="50" t="str">
        <x:f>IF(918&gt;$H$4,"",IF(INDEX('Fleet dates'!$B$9:$B$1008,$I926-8)="","",INDEX('Fleet dates'!$B$9:$B$1008,$I926-8)))</x:f>
      </x:c>
      <x:c r="C926" s="51" t="str">
        <x:f>IF(918&gt;$H$4,"",IF(INDEX('Fleet dates'!$C$9:$C$1008,$I926-8)="","",INDEX('Fleet dates'!$C$9:$C$1008,$I926-8)))</x:f>
      </x:c>
      <x:c r="D926" s="51" t="str">
        <x:f>IF(918&gt;$H$4,"",IF(INDEX('Fleet dates'!$D$9:$D$1008,$I926-8)="","",INDEX('Fleet dates'!$D$9:$D$1008,$I926-8)))</x:f>
      </x:c>
      <x:c r="E926" s="51" t="str">
        <x:f>IF(918&gt;$H$4,"",IF(INDEX('Fleet dates'!$E$9:$E$1008,$I926-8)="","",INDEX('Fleet dates'!$E$9:$E$1008,$I926-8)))</x:f>
      </x:c>
      <x:c r="F926" s="51" t="str">
        <x:f>IF(918&gt;$H$4,"",IF(INDEX('Fleet dates'!$F$9:$F$1008,$I926-8)="","",INDEX('Fleet dates'!$F$9:$F$1008,$I926-8)))</x:f>
      </x:c>
      <x:c r="G926" s="50" t="str">
        <x:f>IF(918&gt;$H$4,"",IF(INDEX('Fleet dates'!$G$9:$G$1008,$I926-8)="","",INDEX('Fleet dates'!$G$9:$G$1008,$I926-8)))</x:f>
      </x:c>
      <x:c r="H926" s="50" t="str">
        <x:f>IF(918&gt;$H$4,"",IF(INDEX('Fleet dates'!$I$9:$I$1008,$I926-8)="","",INDEX('Fleet dates'!$I$9:$I$1008,$I926-8)))</x:f>
      </x:c>
      <x:c r="I926" t="str">
        <x:f>IF(918&gt;$H$4,"",MATCH(918,'Fleet dates'!$L$9:$L$1008,0)+8)</x:f>
      </x:c>
    </x:row>
    <x:row r="927" ht="36" customHeight="1">
      <x:c r="A927" s="50" t="str">
        <x:f>IF(919&gt;$H$4,"",IF(INDEX('Fleet dates'!$A$9:$A$1008,$I927-8)="","",INDEX('Fleet dates'!$A$9:$A$1008,$I927-8)))</x:f>
      </x:c>
      <x:c r="B927" s="50" t="str">
        <x:f>IF(919&gt;$H$4,"",IF(INDEX('Fleet dates'!$B$9:$B$1008,$I927-8)="","",INDEX('Fleet dates'!$B$9:$B$1008,$I927-8)))</x:f>
      </x:c>
      <x:c r="C927" s="51" t="str">
        <x:f>IF(919&gt;$H$4,"",IF(INDEX('Fleet dates'!$C$9:$C$1008,$I927-8)="","",INDEX('Fleet dates'!$C$9:$C$1008,$I927-8)))</x:f>
      </x:c>
      <x:c r="D927" s="51" t="str">
        <x:f>IF(919&gt;$H$4,"",IF(INDEX('Fleet dates'!$D$9:$D$1008,$I927-8)="","",INDEX('Fleet dates'!$D$9:$D$1008,$I927-8)))</x:f>
      </x:c>
      <x:c r="E927" s="51" t="str">
        <x:f>IF(919&gt;$H$4,"",IF(INDEX('Fleet dates'!$E$9:$E$1008,$I927-8)="","",INDEX('Fleet dates'!$E$9:$E$1008,$I927-8)))</x:f>
      </x:c>
      <x:c r="F927" s="51" t="str">
        <x:f>IF(919&gt;$H$4,"",IF(INDEX('Fleet dates'!$F$9:$F$1008,$I927-8)="","",INDEX('Fleet dates'!$F$9:$F$1008,$I927-8)))</x:f>
      </x:c>
      <x:c r="G927" s="50" t="str">
        <x:f>IF(919&gt;$H$4,"",IF(INDEX('Fleet dates'!$G$9:$G$1008,$I927-8)="","",INDEX('Fleet dates'!$G$9:$G$1008,$I927-8)))</x:f>
      </x:c>
      <x:c r="H927" s="50" t="str">
        <x:f>IF(919&gt;$H$4,"",IF(INDEX('Fleet dates'!$I$9:$I$1008,$I927-8)="","",INDEX('Fleet dates'!$I$9:$I$1008,$I927-8)))</x:f>
      </x:c>
      <x:c r="I927" t="str">
        <x:f>IF(919&gt;$H$4,"",MATCH(919,'Fleet dates'!$L$9:$L$1008,0)+8)</x:f>
      </x:c>
    </x:row>
    <x:row r="928" ht="36" customHeight="1">
      <x:c r="A928" s="50" t="str">
        <x:f>IF(920&gt;$H$4,"",IF(INDEX('Fleet dates'!$A$9:$A$1008,$I928-8)="","",INDEX('Fleet dates'!$A$9:$A$1008,$I928-8)))</x:f>
      </x:c>
      <x:c r="B928" s="50" t="str">
        <x:f>IF(920&gt;$H$4,"",IF(INDEX('Fleet dates'!$B$9:$B$1008,$I928-8)="","",INDEX('Fleet dates'!$B$9:$B$1008,$I928-8)))</x:f>
      </x:c>
      <x:c r="C928" s="51" t="str">
        <x:f>IF(920&gt;$H$4,"",IF(INDEX('Fleet dates'!$C$9:$C$1008,$I928-8)="","",INDEX('Fleet dates'!$C$9:$C$1008,$I928-8)))</x:f>
      </x:c>
      <x:c r="D928" s="51" t="str">
        <x:f>IF(920&gt;$H$4,"",IF(INDEX('Fleet dates'!$D$9:$D$1008,$I928-8)="","",INDEX('Fleet dates'!$D$9:$D$1008,$I928-8)))</x:f>
      </x:c>
      <x:c r="E928" s="51" t="str">
        <x:f>IF(920&gt;$H$4,"",IF(INDEX('Fleet dates'!$E$9:$E$1008,$I928-8)="","",INDEX('Fleet dates'!$E$9:$E$1008,$I928-8)))</x:f>
      </x:c>
      <x:c r="F928" s="51" t="str">
        <x:f>IF(920&gt;$H$4,"",IF(INDEX('Fleet dates'!$F$9:$F$1008,$I928-8)="","",INDEX('Fleet dates'!$F$9:$F$1008,$I928-8)))</x:f>
      </x:c>
      <x:c r="G928" s="50" t="str">
        <x:f>IF(920&gt;$H$4,"",IF(INDEX('Fleet dates'!$G$9:$G$1008,$I928-8)="","",INDEX('Fleet dates'!$G$9:$G$1008,$I928-8)))</x:f>
      </x:c>
      <x:c r="H928" s="50" t="str">
        <x:f>IF(920&gt;$H$4,"",IF(INDEX('Fleet dates'!$I$9:$I$1008,$I928-8)="","",INDEX('Fleet dates'!$I$9:$I$1008,$I928-8)))</x:f>
      </x:c>
      <x:c r="I928" t="str">
        <x:f>IF(920&gt;$H$4,"",MATCH(920,'Fleet dates'!$L$9:$L$1008,0)+8)</x:f>
      </x:c>
    </x:row>
    <x:row r="929" ht="36" customHeight="1">
      <x:c r="A929" s="50" t="str">
        <x:f>IF(921&gt;$H$4,"",IF(INDEX('Fleet dates'!$A$9:$A$1008,$I929-8)="","",INDEX('Fleet dates'!$A$9:$A$1008,$I929-8)))</x:f>
      </x:c>
      <x:c r="B929" s="50" t="str">
        <x:f>IF(921&gt;$H$4,"",IF(INDEX('Fleet dates'!$B$9:$B$1008,$I929-8)="","",INDEX('Fleet dates'!$B$9:$B$1008,$I929-8)))</x:f>
      </x:c>
      <x:c r="C929" s="51" t="str">
        <x:f>IF(921&gt;$H$4,"",IF(INDEX('Fleet dates'!$C$9:$C$1008,$I929-8)="","",INDEX('Fleet dates'!$C$9:$C$1008,$I929-8)))</x:f>
      </x:c>
      <x:c r="D929" s="51" t="str">
        <x:f>IF(921&gt;$H$4,"",IF(INDEX('Fleet dates'!$D$9:$D$1008,$I929-8)="","",INDEX('Fleet dates'!$D$9:$D$1008,$I929-8)))</x:f>
      </x:c>
      <x:c r="E929" s="51" t="str">
        <x:f>IF(921&gt;$H$4,"",IF(INDEX('Fleet dates'!$E$9:$E$1008,$I929-8)="","",INDEX('Fleet dates'!$E$9:$E$1008,$I929-8)))</x:f>
      </x:c>
      <x:c r="F929" s="51" t="str">
        <x:f>IF(921&gt;$H$4,"",IF(INDEX('Fleet dates'!$F$9:$F$1008,$I929-8)="","",INDEX('Fleet dates'!$F$9:$F$1008,$I929-8)))</x:f>
      </x:c>
      <x:c r="G929" s="50" t="str">
        <x:f>IF(921&gt;$H$4,"",IF(INDEX('Fleet dates'!$G$9:$G$1008,$I929-8)="","",INDEX('Fleet dates'!$G$9:$G$1008,$I929-8)))</x:f>
      </x:c>
      <x:c r="H929" s="50" t="str">
        <x:f>IF(921&gt;$H$4,"",IF(INDEX('Fleet dates'!$I$9:$I$1008,$I929-8)="","",INDEX('Fleet dates'!$I$9:$I$1008,$I929-8)))</x:f>
      </x:c>
      <x:c r="I929" t="str">
        <x:f>IF(921&gt;$H$4,"",MATCH(921,'Fleet dates'!$L$9:$L$1008,0)+8)</x:f>
      </x:c>
    </x:row>
    <x:row r="930" ht="36" customHeight="1">
      <x:c r="A930" s="50" t="str">
        <x:f>IF(922&gt;$H$4,"",IF(INDEX('Fleet dates'!$A$9:$A$1008,$I930-8)="","",INDEX('Fleet dates'!$A$9:$A$1008,$I930-8)))</x:f>
      </x:c>
      <x:c r="B930" s="50" t="str">
        <x:f>IF(922&gt;$H$4,"",IF(INDEX('Fleet dates'!$B$9:$B$1008,$I930-8)="","",INDEX('Fleet dates'!$B$9:$B$1008,$I930-8)))</x:f>
      </x:c>
      <x:c r="C930" s="51" t="str">
        <x:f>IF(922&gt;$H$4,"",IF(INDEX('Fleet dates'!$C$9:$C$1008,$I930-8)="","",INDEX('Fleet dates'!$C$9:$C$1008,$I930-8)))</x:f>
      </x:c>
      <x:c r="D930" s="51" t="str">
        <x:f>IF(922&gt;$H$4,"",IF(INDEX('Fleet dates'!$D$9:$D$1008,$I930-8)="","",INDEX('Fleet dates'!$D$9:$D$1008,$I930-8)))</x:f>
      </x:c>
      <x:c r="E930" s="51" t="str">
        <x:f>IF(922&gt;$H$4,"",IF(INDEX('Fleet dates'!$E$9:$E$1008,$I930-8)="","",INDEX('Fleet dates'!$E$9:$E$1008,$I930-8)))</x:f>
      </x:c>
      <x:c r="F930" s="51" t="str">
        <x:f>IF(922&gt;$H$4,"",IF(INDEX('Fleet dates'!$F$9:$F$1008,$I930-8)="","",INDEX('Fleet dates'!$F$9:$F$1008,$I930-8)))</x:f>
      </x:c>
      <x:c r="G930" s="50" t="str">
        <x:f>IF(922&gt;$H$4,"",IF(INDEX('Fleet dates'!$G$9:$G$1008,$I930-8)="","",INDEX('Fleet dates'!$G$9:$G$1008,$I930-8)))</x:f>
      </x:c>
      <x:c r="H930" s="50" t="str">
        <x:f>IF(922&gt;$H$4,"",IF(INDEX('Fleet dates'!$I$9:$I$1008,$I930-8)="","",INDEX('Fleet dates'!$I$9:$I$1008,$I930-8)))</x:f>
      </x:c>
      <x:c r="I930" t="str">
        <x:f>IF(922&gt;$H$4,"",MATCH(922,'Fleet dates'!$L$9:$L$1008,0)+8)</x:f>
      </x:c>
    </x:row>
    <x:row r="931" ht="36" customHeight="1">
      <x:c r="A931" s="50" t="str">
        <x:f>IF(923&gt;$H$4,"",IF(INDEX('Fleet dates'!$A$9:$A$1008,$I931-8)="","",INDEX('Fleet dates'!$A$9:$A$1008,$I931-8)))</x:f>
      </x:c>
      <x:c r="B931" s="50" t="str">
        <x:f>IF(923&gt;$H$4,"",IF(INDEX('Fleet dates'!$B$9:$B$1008,$I931-8)="","",INDEX('Fleet dates'!$B$9:$B$1008,$I931-8)))</x:f>
      </x:c>
      <x:c r="C931" s="51" t="str">
        <x:f>IF(923&gt;$H$4,"",IF(INDEX('Fleet dates'!$C$9:$C$1008,$I931-8)="","",INDEX('Fleet dates'!$C$9:$C$1008,$I931-8)))</x:f>
      </x:c>
      <x:c r="D931" s="51" t="str">
        <x:f>IF(923&gt;$H$4,"",IF(INDEX('Fleet dates'!$D$9:$D$1008,$I931-8)="","",INDEX('Fleet dates'!$D$9:$D$1008,$I931-8)))</x:f>
      </x:c>
      <x:c r="E931" s="51" t="str">
        <x:f>IF(923&gt;$H$4,"",IF(INDEX('Fleet dates'!$E$9:$E$1008,$I931-8)="","",INDEX('Fleet dates'!$E$9:$E$1008,$I931-8)))</x:f>
      </x:c>
      <x:c r="F931" s="51" t="str">
        <x:f>IF(923&gt;$H$4,"",IF(INDEX('Fleet dates'!$F$9:$F$1008,$I931-8)="","",INDEX('Fleet dates'!$F$9:$F$1008,$I931-8)))</x:f>
      </x:c>
      <x:c r="G931" s="50" t="str">
        <x:f>IF(923&gt;$H$4,"",IF(INDEX('Fleet dates'!$G$9:$G$1008,$I931-8)="","",INDEX('Fleet dates'!$G$9:$G$1008,$I931-8)))</x:f>
      </x:c>
      <x:c r="H931" s="50" t="str">
        <x:f>IF(923&gt;$H$4,"",IF(INDEX('Fleet dates'!$I$9:$I$1008,$I931-8)="","",INDEX('Fleet dates'!$I$9:$I$1008,$I931-8)))</x:f>
      </x:c>
      <x:c r="I931" t="str">
        <x:f>IF(923&gt;$H$4,"",MATCH(923,'Fleet dates'!$L$9:$L$1008,0)+8)</x:f>
      </x:c>
    </x:row>
    <x:row r="932" ht="36" customHeight="1">
      <x:c r="A932" s="50" t="str">
        <x:f>IF(924&gt;$H$4,"",IF(INDEX('Fleet dates'!$A$9:$A$1008,$I932-8)="","",INDEX('Fleet dates'!$A$9:$A$1008,$I932-8)))</x:f>
      </x:c>
      <x:c r="B932" s="50" t="str">
        <x:f>IF(924&gt;$H$4,"",IF(INDEX('Fleet dates'!$B$9:$B$1008,$I932-8)="","",INDEX('Fleet dates'!$B$9:$B$1008,$I932-8)))</x:f>
      </x:c>
      <x:c r="C932" s="51" t="str">
        <x:f>IF(924&gt;$H$4,"",IF(INDEX('Fleet dates'!$C$9:$C$1008,$I932-8)="","",INDEX('Fleet dates'!$C$9:$C$1008,$I932-8)))</x:f>
      </x:c>
      <x:c r="D932" s="51" t="str">
        <x:f>IF(924&gt;$H$4,"",IF(INDEX('Fleet dates'!$D$9:$D$1008,$I932-8)="","",INDEX('Fleet dates'!$D$9:$D$1008,$I932-8)))</x:f>
      </x:c>
      <x:c r="E932" s="51" t="str">
        <x:f>IF(924&gt;$H$4,"",IF(INDEX('Fleet dates'!$E$9:$E$1008,$I932-8)="","",INDEX('Fleet dates'!$E$9:$E$1008,$I932-8)))</x:f>
      </x:c>
      <x:c r="F932" s="51" t="str">
        <x:f>IF(924&gt;$H$4,"",IF(INDEX('Fleet dates'!$F$9:$F$1008,$I932-8)="","",INDEX('Fleet dates'!$F$9:$F$1008,$I932-8)))</x:f>
      </x:c>
      <x:c r="G932" s="50" t="str">
        <x:f>IF(924&gt;$H$4,"",IF(INDEX('Fleet dates'!$G$9:$G$1008,$I932-8)="","",INDEX('Fleet dates'!$G$9:$G$1008,$I932-8)))</x:f>
      </x:c>
      <x:c r="H932" s="50" t="str">
        <x:f>IF(924&gt;$H$4,"",IF(INDEX('Fleet dates'!$I$9:$I$1008,$I932-8)="","",INDEX('Fleet dates'!$I$9:$I$1008,$I932-8)))</x:f>
      </x:c>
      <x:c r="I932" t="str">
        <x:f>IF(924&gt;$H$4,"",MATCH(924,'Fleet dates'!$L$9:$L$1008,0)+8)</x:f>
      </x:c>
    </x:row>
    <x:row r="933" ht="36" customHeight="1">
      <x:c r="A933" s="50" t="str">
        <x:f>IF(925&gt;$H$4,"",IF(INDEX('Fleet dates'!$A$9:$A$1008,$I933-8)="","",INDEX('Fleet dates'!$A$9:$A$1008,$I933-8)))</x:f>
      </x:c>
      <x:c r="B933" s="50" t="str">
        <x:f>IF(925&gt;$H$4,"",IF(INDEX('Fleet dates'!$B$9:$B$1008,$I933-8)="","",INDEX('Fleet dates'!$B$9:$B$1008,$I933-8)))</x:f>
      </x:c>
      <x:c r="C933" s="51" t="str">
        <x:f>IF(925&gt;$H$4,"",IF(INDEX('Fleet dates'!$C$9:$C$1008,$I933-8)="","",INDEX('Fleet dates'!$C$9:$C$1008,$I933-8)))</x:f>
      </x:c>
      <x:c r="D933" s="51" t="str">
        <x:f>IF(925&gt;$H$4,"",IF(INDEX('Fleet dates'!$D$9:$D$1008,$I933-8)="","",INDEX('Fleet dates'!$D$9:$D$1008,$I933-8)))</x:f>
      </x:c>
      <x:c r="E933" s="51" t="str">
        <x:f>IF(925&gt;$H$4,"",IF(INDEX('Fleet dates'!$E$9:$E$1008,$I933-8)="","",INDEX('Fleet dates'!$E$9:$E$1008,$I933-8)))</x:f>
      </x:c>
      <x:c r="F933" s="51" t="str">
        <x:f>IF(925&gt;$H$4,"",IF(INDEX('Fleet dates'!$F$9:$F$1008,$I933-8)="","",INDEX('Fleet dates'!$F$9:$F$1008,$I933-8)))</x:f>
      </x:c>
      <x:c r="G933" s="50" t="str">
        <x:f>IF(925&gt;$H$4,"",IF(INDEX('Fleet dates'!$G$9:$G$1008,$I933-8)="","",INDEX('Fleet dates'!$G$9:$G$1008,$I933-8)))</x:f>
      </x:c>
      <x:c r="H933" s="50" t="str">
        <x:f>IF(925&gt;$H$4,"",IF(INDEX('Fleet dates'!$I$9:$I$1008,$I933-8)="","",INDEX('Fleet dates'!$I$9:$I$1008,$I933-8)))</x:f>
      </x:c>
      <x:c r="I933" t="str">
        <x:f>IF(925&gt;$H$4,"",MATCH(925,'Fleet dates'!$L$9:$L$1008,0)+8)</x:f>
      </x:c>
    </x:row>
    <x:row r="934" ht="36" customHeight="1">
      <x:c r="A934" s="50" t="str">
        <x:f>IF(926&gt;$H$4,"",IF(INDEX('Fleet dates'!$A$9:$A$1008,$I934-8)="","",INDEX('Fleet dates'!$A$9:$A$1008,$I934-8)))</x:f>
      </x:c>
      <x:c r="B934" s="50" t="str">
        <x:f>IF(926&gt;$H$4,"",IF(INDEX('Fleet dates'!$B$9:$B$1008,$I934-8)="","",INDEX('Fleet dates'!$B$9:$B$1008,$I934-8)))</x:f>
      </x:c>
      <x:c r="C934" s="51" t="str">
        <x:f>IF(926&gt;$H$4,"",IF(INDEX('Fleet dates'!$C$9:$C$1008,$I934-8)="","",INDEX('Fleet dates'!$C$9:$C$1008,$I934-8)))</x:f>
      </x:c>
      <x:c r="D934" s="51" t="str">
        <x:f>IF(926&gt;$H$4,"",IF(INDEX('Fleet dates'!$D$9:$D$1008,$I934-8)="","",INDEX('Fleet dates'!$D$9:$D$1008,$I934-8)))</x:f>
      </x:c>
      <x:c r="E934" s="51" t="str">
        <x:f>IF(926&gt;$H$4,"",IF(INDEX('Fleet dates'!$E$9:$E$1008,$I934-8)="","",INDEX('Fleet dates'!$E$9:$E$1008,$I934-8)))</x:f>
      </x:c>
      <x:c r="F934" s="51" t="str">
        <x:f>IF(926&gt;$H$4,"",IF(INDEX('Fleet dates'!$F$9:$F$1008,$I934-8)="","",INDEX('Fleet dates'!$F$9:$F$1008,$I934-8)))</x:f>
      </x:c>
      <x:c r="G934" s="50" t="str">
        <x:f>IF(926&gt;$H$4,"",IF(INDEX('Fleet dates'!$G$9:$G$1008,$I934-8)="","",INDEX('Fleet dates'!$G$9:$G$1008,$I934-8)))</x:f>
      </x:c>
      <x:c r="H934" s="50" t="str">
        <x:f>IF(926&gt;$H$4,"",IF(INDEX('Fleet dates'!$I$9:$I$1008,$I934-8)="","",INDEX('Fleet dates'!$I$9:$I$1008,$I934-8)))</x:f>
      </x:c>
      <x:c r="I934" t="str">
        <x:f>IF(926&gt;$H$4,"",MATCH(926,'Fleet dates'!$L$9:$L$1008,0)+8)</x:f>
      </x:c>
    </x:row>
    <x:row r="935" ht="36" customHeight="1">
      <x:c r="A935" s="50" t="str">
        <x:f>IF(927&gt;$H$4,"",IF(INDEX('Fleet dates'!$A$9:$A$1008,$I935-8)="","",INDEX('Fleet dates'!$A$9:$A$1008,$I935-8)))</x:f>
      </x:c>
      <x:c r="B935" s="50" t="str">
        <x:f>IF(927&gt;$H$4,"",IF(INDEX('Fleet dates'!$B$9:$B$1008,$I935-8)="","",INDEX('Fleet dates'!$B$9:$B$1008,$I935-8)))</x:f>
      </x:c>
      <x:c r="C935" s="51" t="str">
        <x:f>IF(927&gt;$H$4,"",IF(INDEX('Fleet dates'!$C$9:$C$1008,$I935-8)="","",INDEX('Fleet dates'!$C$9:$C$1008,$I935-8)))</x:f>
      </x:c>
      <x:c r="D935" s="51" t="str">
        <x:f>IF(927&gt;$H$4,"",IF(INDEX('Fleet dates'!$D$9:$D$1008,$I935-8)="","",INDEX('Fleet dates'!$D$9:$D$1008,$I935-8)))</x:f>
      </x:c>
      <x:c r="E935" s="51" t="str">
        <x:f>IF(927&gt;$H$4,"",IF(INDEX('Fleet dates'!$E$9:$E$1008,$I935-8)="","",INDEX('Fleet dates'!$E$9:$E$1008,$I935-8)))</x:f>
      </x:c>
      <x:c r="F935" s="51" t="str">
        <x:f>IF(927&gt;$H$4,"",IF(INDEX('Fleet dates'!$F$9:$F$1008,$I935-8)="","",INDEX('Fleet dates'!$F$9:$F$1008,$I935-8)))</x:f>
      </x:c>
      <x:c r="G935" s="50" t="str">
        <x:f>IF(927&gt;$H$4,"",IF(INDEX('Fleet dates'!$G$9:$G$1008,$I935-8)="","",INDEX('Fleet dates'!$G$9:$G$1008,$I935-8)))</x:f>
      </x:c>
      <x:c r="H935" s="50" t="str">
        <x:f>IF(927&gt;$H$4,"",IF(INDEX('Fleet dates'!$I$9:$I$1008,$I935-8)="","",INDEX('Fleet dates'!$I$9:$I$1008,$I935-8)))</x:f>
      </x:c>
      <x:c r="I935" t="str">
        <x:f>IF(927&gt;$H$4,"",MATCH(927,'Fleet dates'!$L$9:$L$1008,0)+8)</x:f>
      </x:c>
    </x:row>
    <x:row r="936" ht="36" customHeight="1">
      <x:c r="A936" s="50" t="str">
        <x:f>IF(928&gt;$H$4,"",IF(INDEX('Fleet dates'!$A$9:$A$1008,$I936-8)="","",INDEX('Fleet dates'!$A$9:$A$1008,$I936-8)))</x:f>
      </x:c>
      <x:c r="B936" s="50" t="str">
        <x:f>IF(928&gt;$H$4,"",IF(INDEX('Fleet dates'!$B$9:$B$1008,$I936-8)="","",INDEX('Fleet dates'!$B$9:$B$1008,$I936-8)))</x:f>
      </x:c>
      <x:c r="C936" s="51" t="str">
        <x:f>IF(928&gt;$H$4,"",IF(INDEX('Fleet dates'!$C$9:$C$1008,$I936-8)="","",INDEX('Fleet dates'!$C$9:$C$1008,$I936-8)))</x:f>
      </x:c>
      <x:c r="D936" s="51" t="str">
        <x:f>IF(928&gt;$H$4,"",IF(INDEX('Fleet dates'!$D$9:$D$1008,$I936-8)="","",INDEX('Fleet dates'!$D$9:$D$1008,$I936-8)))</x:f>
      </x:c>
      <x:c r="E936" s="51" t="str">
        <x:f>IF(928&gt;$H$4,"",IF(INDEX('Fleet dates'!$E$9:$E$1008,$I936-8)="","",INDEX('Fleet dates'!$E$9:$E$1008,$I936-8)))</x:f>
      </x:c>
      <x:c r="F936" s="51" t="str">
        <x:f>IF(928&gt;$H$4,"",IF(INDEX('Fleet dates'!$F$9:$F$1008,$I936-8)="","",INDEX('Fleet dates'!$F$9:$F$1008,$I936-8)))</x:f>
      </x:c>
      <x:c r="G936" s="50" t="str">
        <x:f>IF(928&gt;$H$4,"",IF(INDEX('Fleet dates'!$G$9:$G$1008,$I936-8)="","",INDEX('Fleet dates'!$G$9:$G$1008,$I936-8)))</x:f>
      </x:c>
      <x:c r="H936" s="50" t="str">
        <x:f>IF(928&gt;$H$4,"",IF(INDEX('Fleet dates'!$I$9:$I$1008,$I936-8)="","",INDEX('Fleet dates'!$I$9:$I$1008,$I936-8)))</x:f>
      </x:c>
      <x:c r="I936" t="str">
        <x:f>IF(928&gt;$H$4,"",MATCH(928,'Fleet dates'!$L$9:$L$1008,0)+8)</x:f>
      </x:c>
    </x:row>
    <x:row r="937" ht="36" customHeight="1">
      <x:c r="A937" s="50" t="str">
        <x:f>IF(929&gt;$H$4,"",IF(INDEX('Fleet dates'!$A$9:$A$1008,$I937-8)="","",INDEX('Fleet dates'!$A$9:$A$1008,$I937-8)))</x:f>
      </x:c>
      <x:c r="B937" s="50" t="str">
        <x:f>IF(929&gt;$H$4,"",IF(INDEX('Fleet dates'!$B$9:$B$1008,$I937-8)="","",INDEX('Fleet dates'!$B$9:$B$1008,$I937-8)))</x:f>
      </x:c>
      <x:c r="C937" s="51" t="str">
        <x:f>IF(929&gt;$H$4,"",IF(INDEX('Fleet dates'!$C$9:$C$1008,$I937-8)="","",INDEX('Fleet dates'!$C$9:$C$1008,$I937-8)))</x:f>
      </x:c>
      <x:c r="D937" s="51" t="str">
        <x:f>IF(929&gt;$H$4,"",IF(INDEX('Fleet dates'!$D$9:$D$1008,$I937-8)="","",INDEX('Fleet dates'!$D$9:$D$1008,$I937-8)))</x:f>
      </x:c>
      <x:c r="E937" s="51" t="str">
        <x:f>IF(929&gt;$H$4,"",IF(INDEX('Fleet dates'!$E$9:$E$1008,$I937-8)="","",INDEX('Fleet dates'!$E$9:$E$1008,$I937-8)))</x:f>
      </x:c>
      <x:c r="F937" s="51" t="str">
        <x:f>IF(929&gt;$H$4,"",IF(INDEX('Fleet dates'!$F$9:$F$1008,$I937-8)="","",INDEX('Fleet dates'!$F$9:$F$1008,$I937-8)))</x:f>
      </x:c>
      <x:c r="G937" s="50" t="str">
        <x:f>IF(929&gt;$H$4,"",IF(INDEX('Fleet dates'!$G$9:$G$1008,$I937-8)="","",INDEX('Fleet dates'!$G$9:$G$1008,$I937-8)))</x:f>
      </x:c>
      <x:c r="H937" s="50" t="str">
        <x:f>IF(929&gt;$H$4,"",IF(INDEX('Fleet dates'!$I$9:$I$1008,$I937-8)="","",INDEX('Fleet dates'!$I$9:$I$1008,$I937-8)))</x:f>
      </x:c>
      <x:c r="I937" t="str">
        <x:f>IF(929&gt;$H$4,"",MATCH(929,'Fleet dates'!$L$9:$L$1008,0)+8)</x:f>
      </x:c>
    </x:row>
    <x:row r="938" ht="36" customHeight="1">
      <x:c r="A938" s="50" t="str">
        <x:f>IF(930&gt;$H$4,"",IF(INDEX('Fleet dates'!$A$9:$A$1008,$I938-8)="","",INDEX('Fleet dates'!$A$9:$A$1008,$I938-8)))</x:f>
      </x:c>
      <x:c r="B938" s="50" t="str">
        <x:f>IF(930&gt;$H$4,"",IF(INDEX('Fleet dates'!$B$9:$B$1008,$I938-8)="","",INDEX('Fleet dates'!$B$9:$B$1008,$I938-8)))</x:f>
      </x:c>
      <x:c r="C938" s="51" t="str">
        <x:f>IF(930&gt;$H$4,"",IF(INDEX('Fleet dates'!$C$9:$C$1008,$I938-8)="","",INDEX('Fleet dates'!$C$9:$C$1008,$I938-8)))</x:f>
      </x:c>
      <x:c r="D938" s="51" t="str">
        <x:f>IF(930&gt;$H$4,"",IF(INDEX('Fleet dates'!$D$9:$D$1008,$I938-8)="","",INDEX('Fleet dates'!$D$9:$D$1008,$I938-8)))</x:f>
      </x:c>
      <x:c r="E938" s="51" t="str">
        <x:f>IF(930&gt;$H$4,"",IF(INDEX('Fleet dates'!$E$9:$E$1008,$I938-8)="","",INDEX('Fleet dates'!$E$9:$E$1008,$I938-8)))</x:f>
      </x:c>
      <x:c r="F938" s="51" t="str">
        <x:f>IF(930&gt;$H$4,"",IF(INDEX('Fleet dates'!$F$9:$F$1008,$I938-8)="","",INDEX('Fleet dates'!$F$9:$F$1008,$I938-8)))</x:f>
      </x:c>
      <x:c r="G938" s="50" t="str">
        <x:f>IF(930&gt;$H$4,"",IF(INDEX('Fleet dates'!$G$9:$G$1008,$I938-8)="","",INDEX('Fleet dates'!$G$9:$G$1008,$I938-8)))</x:f>
      </x:c>
      <x:c r="H938" s="50" t="str">
        <x:f>IF(930&gt;$H$4,"",IF(INDEX('Fleet dates'!$I$9:$I$1008,$I938-8)="","",INDEX('Fleet dates'!$I$9:$I$1008,$I938-8)))</x:f>
      </x:c>
      <x:c r="I938" t="str">
        <x:f>IF(930&gt;$H$4,"",MATCH(930,'Fleet dates'!$L$9:$L$1008,0)+8)</x:f>
      </x:c>
    </x:row>
    <x:row r="939" ht="36" customHeight="1">
      <x:c r="A939" s="50" t="str">
        <x:f>IF(931&gt;$H$4,"",IF(INDEX('Fleet dates'!$A$9:$A$1008,$I939-8)="","",INDEX('Fleet dates'!$A$9:$A$1008,$I939-8)))</x:f>
      </x:c>
      <x:c r="B939" s="50" t="str">
        <x:f>IF(931&gt;$H$4,"",IF(INDEX('Fleet dates'!$B$9:$B$1008,$I939-8)="","",INDEX('Fleet dates'!$B$9:$B$1008,$I939-8)))</x:f>
      </x:c>
      <x:c r="C939" s="51" t="str">
        <x:f>IF(931&gt;$H$4,"",IF(INDEX('Fleet dates'!$C$9:$C$1008,$I939-8)="","",INDEX('Fleet dates'!$C$9:$C$1008,$I939-8)))</x:f>
      </x:c>
      <x:c r="D939" s="51" t="str">
        <x:f>IF(931&gt;$H$4,"",IF(INDEX('Fleet dates'!$D$9:$D$1008,$I939-8)="","",INDEX('Fleet dates'!$D$9:$D$1008,$I939-8)))</x:f>
      </x:c>
      <x:c r="E939" s="51" t="str">
        <x:f>IF(931&gt;$H$4,"",IF(INDEX('Fleet dates'!$E$9:$E$1008,$I939-8)="","",INDEX('Fleet dates'!$E$9:$E$1008,$I939-8)))</x:f>
      </x:c>
      <x:c r="F939" s="51" t="str">
        <x:f>IF(931&gt;$H$4,"",IF(INDEX('Fleet dates'!$F$9:$F$1008,$I939-8)="","",INDEX('Fleet dates'!$F$9:$F$1008,$I939-8)))</x:f>
      </x:c>
      <x:c r="G939" s="50" t="str">
        <x:f>IF(931&gt;$H$4,"",IF(INDEX('Fleet dates'!$G$9:$G$1008,$I939-8)="","",INDEX('Fleet dates'!$G$9:$G$1008,$I939-8)))</x:f>
      </x:c>
      <x:c r="H939" s="50" t="str">
        <x:f>IF(931&gt;$H$4,"",IF(INDEX('Fleet dates'!$I$9:$I$1008,$I939-8)="","",INDEX('Fleet dates'!$I$9:$I$1008,$I939-8)))</x:f>
      </x:c>
      <x:c r="I939" t="str">
        <x:f>IF(931&gt;$H$4,"",MATCH(931,'Fleet dates'!$L$9:$L$1008,0)+8)</x:f>
      </x:c>
    </x:row>
    <x:row r="940" ht="36" customHeight="1">
      <x:c r="A940" s="50" t="str">
        <x:f>IF(932&gt;$H$4,"",IF(INDEX('Fleet dates'!$A$9:$A$1008,$I940-8)="","",INDEX('Fleet dates'!$A$9:$A$1008,$I940-8)))</x:f>
      </x:c>
      <x:c r="B940" s="50" t="str">
        <x:f>IF(932&gt;$H$4,"",IF(INDEX('Fleet dates'!$B$9:$B$1008,$I940-8)="","",INDEX('Fleet dates'!$B$9:$B$1008,$I940-8)))</x:f>
      </x:c>
      <x:c r="C940" s="51" t="str">
        <x:f>IF(932&gt;$H$4,"",IF(INDEX('Fleet dates'!$C$9:$C$1008,$I940-8)="","",INDEX('Fleet dates'!$C$9:$C$1008,$I940-8)))</x:f>
      </x:c>
      <x:c r="D940" s="51" t="str">
        <x:f>IF(932&gt;$H$4,"",IF(INDEX('Fleet dates'!$D$9:$D$1008,$I940-8)="","",INDEX('Fleet dates'!$D$9:$D$1008,$I940-8)))</x:f>
      </x:c>
      <x:c r="E940" s="51" t="str">
        <x:f>IF(932&gt;$H$4,"",IF(INDEX('Fleet dates'!$E$9:$E$1008,$I940-8)="","",INDEX('Fleet dates'!$E$9:$E$1008,$I940-8)))</x:f>
      </x:c>
      <x:c r="F940" s="51" t="str">
        <x:f>IF(932&gt;$H$4,"",IF(INDEX('Fleet dates'!$F$9:$F$1008,$I940-8)="","",INDEX('Fleet dates'!$F$9:$F$1008,$I940-8)))</x:f>
      </x:c>
      <x:c r="G940" s="50" t="str">
        <x:f>IF(932&gt;$H$4,"",IF(INDEX('Fleet dates'!$G$9:$G$1008,$I940-8)="","",INDEX('Fleet dates'!$G$9:$G$1008,$I940-8)))</x:f>
      </x:c>
      <x:c r="H940" s="50" t="str">
        <x:f>IF(932&gt;$H$4,"",IF(INDEX('Fleet dates'!$I$9:$I$1008,$I940-8)="","",INDEX('Fleet dates'!$I$9:$I$1008,$I940-8)))</x:f>
      </x:c>
      <x:c r="I940" t="str">
        <x:f>IF(932&gt;$H$4,"",MATCH(932,'Fleet dates'!$L$9:$L$1008,0)+8)</x:f>
      </x:c>
    </x:row>
    <x:row r="941" ht="36" customHeight="1">
      <x:c r="A941" s="50" t="str">
        <x:f>IF(933&gt;$H$4,"",IF(INDEX('Fleet dates'!$A$9:$A$1008,$I941-8)="","",INDEX('Fleet dates'!$A$9:$A$1008,$I941-8)))</x:f>
      </x:c>
      <x:c r="B941" s="50" t="str">
        <x:f>IF(933&gt;$H$4,"",IF(INDEX('Fleet dates'!$B$9:$B$1008,$I941-8)="","",INDEX('Fleet dates'!$B$9:$B$1008,$I941-8)))</x:f>
      </x:c>
      <x:c r="C941" s="51" t="str">
        <x:f>IF(933&gt;$H$4,"",IF(INDEX('Fleet dates'!$C$9:$C$1008,$I941-8)="","",INDEX('Fleet dates'!$C$9:$C$1008,$I941-8)))</x:f>
      </x:c>
      <x:c r="D941" s="51" t="str">
        <x:f>IF(933&gt;$H$4,"",IF(INDEX('Fleet dates'!$D$9:$D$1008,$I941-8)="","",INDEX('Fleet dates'!$D$9:$D$1008,$I941-8)))</x:f>
      </x:c>
      <x:c r="E941" s="51" t="str">
        <x:f>IF(933&gt;$H$4,"",IF(INDEX('Fleet dates'!$E$9:$E$1008,$I941-8)="","",INDEX('Fleet dates'!$E$9:$E$1008,$I941-8)))</x:f>
      </x:c>
      <x:c r="F941" s="51" t="str">
        <x:f>IF(933&gt;$H$4,"",IF(INDEX('Fleet dates'!$F$9:$F$1008,$I941-8)="","",INDEX('Fleet dates'!$F$9:$F$1008,$I941-8)))</x:f>
      </x:c>
      <x:c r="G941" s="50" t="str">
        <x:f>IF(933&gt;$H$4,"",IF(INDEX('Fleet dates'!$G$9:$G$1008,$I941-8)="","",INDEX('Fleet dates'!$G$9:$G$1008,$I941-8)))</x:f>
      </x:c>
      <x:c r="H941" s="50" t="str">
        <x:f>IF(933&gt;$H$4,"",IF(INDEX('Fleet dates'!$I$9:$I$1008,$I941-8)="","",INDEX('Fleet dates'!$I$9:$I$1008,$I941-8)))</x:f>
      </x:c>
      <x:c r="I941" t="str">
        <x:f>IF(933&gt;$H$4,"",MATCH(933,'Fleet dates'!$L$9:$L$1008,0)+8)</x:f>
      </x:c>
    </x:row>
    <x:row r="942" ht="36" customHeight="1">
      <x:c r="A942" s="50" t="str">
        <x:f>IF(934&gt;$H$4,"",IF(INDEX('Fleet dates'!$A$9:$A$1008,$I942-8)="","",INDEX('Fleet dates'!$A$9:$A$1008,$I942-8)))</x:f>
      </x:c>
      <x:c r="B942" s="50" t="str">
        <x:f>IF(934&gt;$H$4,"",IF(INDEX('Fleet dates'!$B$9:$B$1008,$I942-8)="","",INDEX('Fleet dates'!$B$9:$B$1008,$I942-8)))</x:f>
      </x:c>
      <x:c r="C942" s="51" t="str">
        <x:f>IF(934&gt;$H$4,"",IF(INDEX('Fleet dates'!$C$9:$C$1008,$I942-8)="","",INDEX('Fleet dates'!$C$9:$C$1008,$I942-8)))</x:f>
      </x:c>
      <x:c r="D942" s="51" t="str">
        <x:f>IF(934&gt;$H$4,"",IF(INDEX('Fleet dates'!$D$9:$D$1008,$I942-8)="","",INDEX('Fleet dates'!$D$9:$D$1008,$I942-8)))</x:f>
      </x:c>
      <x:c r="E942" s="51" t="str">
        <x:f>IF(934&gt;$H$4,"",IF(INDEX('Fleet dates'!$E$9:$E$1008,$I942-8)="","",INDEX('Fleet dates'!$E$9:$E$1008,$I942-8)))</x:f>
      </x:c>
      <x:c r="F942" s="51" t="str">
        <x:f>IF(934&gt;$H$4,"",IF(INDEX('Fleet dates'!$F$9:$F$1008,$I942-8)="","",INDEX('Fleet dates'!$F$9:$F$1008,$I942-8)))</x:f>
      </x:c>
      <x:c r="G942" s="50" t="str">
        <x:f>IF(934&gt;$H$4,"",IF(INDEX('Fleet dates'!$G$9:$G$1008,$I942-8)="","",INDEX('Fleet dates'!$G$9:$G$1008,$I942-8)))</x:f>
      </x:c>
      <x:c r="H942" s="50" t="str">
        <x:f>IF(934&gt;$H$4,"",IF(INDEX('Fleet dates'!$I$9:$I$1008,$I942-8)="","",INDEX('Fleet dates'!$I$9:$I$1008,$I942-8)))</x:f>
      </x:c>
      <x:c r="I942" t="str">
        <x:f>IF(934&gt;$H$4,"",MATCH(934,'Fleet dates'!$L$9:$L$1008,0)+8)</x:f>
      </x:c>
    </x:row>
    <x:row r="943" ht="36" customHeight="1">
      <x:c r="A943" s="50" t="str">
        <x:f>IF(935&gt;$H$4,"",IF(INDEX('Fleet dates'!$A$9:$A$1008,$I943-8)="","",INDEX('Fleet dates'!$A$9:$A$1008,$I943-8)))</x:f>
      </x:c>
      <x:c r="B943" s="50" t="str">
        <x:f>IF(935&gt;$H$4,"",IF(INDEX('Fleet dates'!$B$9:$B$1008,$I943-8)="","",INDEX('Fleet dates'!$B$9:$B$1008,$I943-8)))</x:f>
      </x:c>
      <x:c r="C943" s="51" t="str">
        <x:f>IF(935&gt;$H$4,"",IF(INDEX('Fleet dates'!$C$9:$C$1008,$I943-8)="","",INDEX('Fleet dates'!$C$9:$C$1008,$I943-8)))</x:f>
      </x:c>
      <x:c r="D943" s="51" t="str">
        <x:f>IF(935&gt;$H$4,"",IF(INDEX('Fleet dates'!$D$9:$D$1008,$I943-8)="","",INDEX('Fleet dates'!$D$9:$D$1008,$I943-8)))</x:f>
      </x:c>
      <x:c r="E943" s="51" t="str">
        <x:f>IF(935&gt;$H$4,"",IF(INDEX('Fleet dates'!$E$9:$E$1008,$I943-8)="","",INDEX('Fleet dates'!$E$9:$E$1008,$I943-8)))</x:f>
      </x:c>
      <x:c r="F943" s="51" t="str">
        <x:f>IF(935&gt;$H$4,"",IF(INDEX('Fleet dates'!$F$9:$F$1008,$I943-8)="","",INDEX('Fleet dates'!$F$9:$F$1008,$I943-8)))</x:f>
      </x:c>
      <x:c r="G943" s="50" t="str">
        <x:f>IF(935&gt;$H$4,"",IF(INDEX('Fleet dates'!$G$9:$G$1008,$I943-8)="","",INDEX('Fleet dates'!$G$9:$G$1008,$I943-8)))</x:f>
      </x:c>
      <x:c r="H943" s="50" t="str">
        <x:f>IF(935&gt;$H$4,"",IF(INDEX('Fleet dates'!$I$9:$I$1008,$I943-8)="","",INDEX('Fleet dates'!$I$9:$I$1008,$I943-8)))</x:f>
      </x:c>
      <x:c r="I943" t="str">
        <x:f>IF(935&gt;$H$4,"",MATCH(935,'Fleet dates'!$L$9:$L$1008,0)+8)</x:f>
      </x:c>
    </x:row>
    <x:row r="944" ht="36" customHeight="1">
      <x:c r="A944" s="50" t="str">
        <x:f>IF(936&gt;$H$4,"",IF(INDEX('Fleet dates'!$A$9:$A$1008,$I944-8)="","",INDEX('Fleet dates'!$A$9:$A$1008,$I944-8)))</x:f>
      </x:c>
      <x:c r="B944" s="50" t="str">
        <x:f>IF(936&gt;$H$4,"",IF(INDEX('Fleet dates'!$B$9:$B$1008,$I944-8)="","",INDEX('Fleet dates'!$B$9:$B$1008,$I944-8)))</x:f>
      </x:c>
      <x:c r="C944" s="51" t="str">
        <x:f>IF(936&gt;$H$4,"",IF(INDEX('Fleet dates'!$C$9:$C$1008,$I944-8)="","",INDEX('Fleet dates'!$C$9:$C$1008,$I944-8)))</x:f>
      </x:c>
      <x:c r="D944" s="51" t="str">
        <x:f>IF(936&gt;$H$4,"",IF(INDEX('Fleet dates'!$D$9:$D$1008,$I944-8)="","",INDEX('Fleet dates'!$D$9:$D$1008,$I944-8)))</x:f>
      </x:c>
      <x:c r="E944" s="51" t="str">
        <x:f>IF(936&gt;$H$4,"",IF(INDEX('Fleet dates'!$E$9:$E$1008,$I944-8)="","",INDEX('Fleet dates'!$E$9:$E$1008,$I944-8)))</x:f>
      </x:c>
      <x:c r="F944" s="51" t="str">
        <x:f>IF(936&gt;$H$4,"",IF(INDEX('Fleet dates'!$F$9:$F$1008,$I944-8)="","",INDEX('Fleet dates'!$F$9:$F$1008,$I944-8)))</x:f>
      </x:c>
      <x:c r="G944" s="50" t="str">
        <x:f>IF(936&gt;$H$4,"",IF(INDEX('Fleet dates'!$G$9:$G$1008,$I944-8)="","",INDEX('Fleet dates'!$G$9:$G$1008,$I944-8)))</x:f>
      </x:c>
      <x:c r="H944" s="50" t="str">
        <x:f>IF(936&gt;$H$4,"",IF(INDEX('Fleet dates'!$I$9:$I$1008,$I944-8)="","",INDEX('Fleet dates'!$I$9:$I$1008,$I944-8)))</x:f>
      </x:c>
      <x:c r="I944" t="str">
        <x:f>IF(936&gt;$H$4,"",MATCH(936,'Fleet dates'!$L$9:$L$1008,0)+8)</x:f>
      </x:c>
    </x:row>
    <x:row r="945" ht="36" customHeight="1">
      <x:c r="A945" s="50" t="str">
        <x:f>IF(937&gt;$H$4,"",IF(INDEX('Fleet dates'!$A$9:$A$1008,$I945-8)="","",INDEX('Fleet dates'!$A$9:$A$1008,$I945-8)))</x:f>
      </x:c>
      <x:c r="B945" s="50" t="str">
        <x:f>IF(937&gt;$H$4,"",IF(INDEX('Fleet dates'!$B$9:$B$1008,$I945-8)="","",INDEX('Fleet dates'!$B$9:$B$1008,$I945-8)))</x:f>
      </x:c>
      <x:c r="C945" s="51" t="str">
        <x:f>IF(937&gt;$H$4,"",IF(INDEX('Fleet dates'!$C$9:$C$1008,$I945-8)="","",INDEX('Fleet dates'!$C$9:$C$1008,$I945-8)))</x:f>
      </x:c>
      <x:c r="D945" s="51" t="str">
        <x:f>IF(937&gt;$H$4,"",IF(INDEX('Fleet dates'!$D$9:$D$1008,$I945-8)="","",INDEX('Fleet dates'!$D$9:$D$1008,$I945-8)))</x:f>
      </x:c>
      <x:c r="E945" s="51" t="str">
        <x:f>IF(937&gt;$H$4,"",IF(INDEX('Fleet dates'!$E$9:$E$1008,$I945-8)="","",INDEX('Fleet dates'!$E$9:$E$1008,$I945-8)))</x:f>
      </x:c>
      <x:c r="F945" s="51" t="str">
        <x:f>IF(937&gt;$H$4,"",IF(INDEX('Fleet dates'!$F$9:$F$1008,$I945-8)="","",INDEX('Fleet dates'!$F$9:$F$1008,$I945-8)))</x:f>
      </x:c>
      <x:c r="G945" s="50" t="str">
        <x:f>IF(937&gt;$H$4,"",IF(INDEX('Fleet dates'!$G$9:$G$1008,$I945-8)="","",INDEX('Fleet dates'!$G$9:$G$1008,$I945-8)))</x:f>
      </x:c>
      <x:c r="H945" s="50" t="str">
        <x:f>IF(937&gt;$H$4,"",IF(INDEX('Fleet dates'!$I$9:$I$1008,$I945-8)="","",INDEX('Fleet dates'!$I$9:$I$1008,$I945-8)))</x:f>
      </x:c>
      <x:c r="I945" t="str">
        <x:f>IF(937&gt;$H$4,"",MATCH(937,'Fleet dates'!$L$9:$L$1008,0)+8)</x:f>
      </x:c>
    </x:row>
    <x:row r="946" ht="36" customHeight="1">
      <x:c r="A946" s="50" t="str">
        <x:f>IF(938&gt;$H$4,"",IF(INDEX('Fleet dates'!$A$9:$A$1008,$I946-8)="","",INDEX('Fleet dates'!$A$9:$A$1008,$I946-8)))</x:f>
      </x:c>
      <x:c r="B946" s="50" t="str">
        <x:f>IF(938&gt;$H$4,"",IF(INDEX('Fleet dates'!$B$9:$B$1008,$I946-8)="","",INDEX('Fleet dates'!$B$9:$B$1008,$I946-8)))</x:f>
      </x:c>
      <x:c r="C946" s="51" t="str">
        <x:f>IF(938&gt;$H$4,"",IF(INDEX('Fleet dates'!$C$9:$C$1008,$I946-8)="","",INDEX('Fleet dates'!$C$9:$C$1008,$I946-8)))</x:f>
      </x:c>
      <x:c r="D946" s="51" t="str">
        <x:f>IF(938&gt;$H$4,"",IF(INDEX('Fleet dates'!$D$9:$D$1008,$I946-8)="","",INDEX('Fleet dates'!$D$9:$D$1008,$I946-8)))</x:f>
      </x:c>
      <x:c r="E946" s="51" t="str">
        <x:f>IF(938&gt;$H$4,"",IF(INDEX('Fleet dates'!$E$9:$E$1008,$I946-8)="","",INDEX('Fleet dates'!$E$9:$E$1008,$I946-8)))</x:f>
      </x:c>
      <x:c r="F946" s="51" t="str">
        <x:f>IF(938&gt;$H$4,"",IF(INDEX('Fleet dates'!$F$9:$F$1008,$I946-8)="","",INDEX('Fleet dates'!$F$9:$F$1008,$I946-8)))</x:f>
      </x:c>
      <x:c r="G946" s="50" t="str">
        <x:f>IF(938&gt;$H$4,"",IF(INDEX('Fleet dates'!$G$9:$G$1008,$I946-8)="","",INDEX('Fleet dates'!$G$9:$G$1008,$I946-8)))</x:f>
      </x:c>
      <x:c r="H946" s="50" t="str">
        <x:f>IF(938&gt;$H$4,"",IF(INDEX('Fleet dates'!$I$9:$I$1008,$I946-8)="","",INDEX('Fleet dates'!$I$9:$I$1008,$I946-8)))</x:f>
      </x:c>
      <x:c r="I946" t="str">
        <x:f>IF(938&gt;$H$4,"",MATCH(938,'Fleet dates'!$L$9:$L$1008,0)+8)</x:f>
      </x:c>
    </x:row>
    <x:row r="947" ht="36" customHeight="1">
      <x:c r="A947" s="50" t="str">
        <x:f>IF(939&gt;$H$4,"",IF(INDEX('Fleet dates'!$A$9:$A$1008,$I947-8)="","",INDEX('Fleet dates'!$A$9:$A$1008,$I947-8)))</x:f>
      </x:c>
      <x:c r="B947" s="50" t="str">
        <x:f>IF(939&gt;$H$4,"",IF(INDEX('Fleet dates'!$B$9:$B$1008,$I947-8)="","",INDEX('Fleet dates'!$B$9:$B$1008,$I947-8)))</x:f>
      </x:c>
      <x:c r="C947" s="51" t="str">
        <x:f>IF(939&gt;$H$4,"",IF(INDEX('Fleet dates'!$C$9:$C$1008,$I947-8)="","",INDEX('Fleet dates'!$C$9:$C$1008,$I947-8)))</x:f>
      </x:c>
      <x:c r="D947" s="51" t="str">
        <x:f>IF(939&gt;$H$4,"",IF(INDEX('Fleet dates'!$D$9:$D$1008,$I947-8)="","",INDEX('Fleet dates'!$D$9:$D$1008,$I947-8)))</x:f>
      </x:c>
      <x:c r="E947" s="51" t="str">
        <x:f>IF(939&gt;$H$4,"",IF(INDEX('Fleet dates'!$E$9:$E$1008,$I947-8)="","",INDEX('Fleet dates'!$E$9:$E$1008,$I947-8)))</x:f>
      </x:c>
      <x:c r="F947" s="51" t="str">
        <x:f>IF(939&gt;$H$4,"",IF(INDEX('Fleet dates'!$F$9:$F$1008,$I947-8)="","",INDEX('Fleet dates'!$F$9:$F$1008,$I947-8)))</x:f>
      </x:c>
      <x:c r="G947" s="50" t="str">
        <x:f>IF(939&gt;$H$4,"",IF(INDEX('Fleet dates'!$G$9:$G$1008,$I947-8)="","",INDEX('Fleet dates'!$G$9:$G$1008,$I947-8)))</x:f>
      </x:c>
      <x:c r="H947" s="50" t="str">
        <x:f>IF(939&gt;$H$4,"",IF(INDEX('Fleet dates'!$I$9:$I$1008,$I947-8)="","",INDEX('Fleet dates'!$I$9:$I$1008,$I947-8)))</x:f>
      </x:c>
      <x:c r="I947" t="str">
        <x:f>IF(939&gt;$H$4,"",MATCH(939,'Fleet dates'!$L$9:$L$1008,0)+8)</x:f>
      </x:c>
    </x:row>
    <x:row r="948" ht="36" customHeight="1">
      <x:c r="A948" s="50" t="str">
        <x:f>IF(940&gt;$H$4,"",IF(INDEX('Fleet dates'!$A$9:$A$1008,$I948-8)="","",INDEX('Fleet dates'!$A$9:$A$1008,$I948-8)))</x:f>
      </x:c>
      <x:c r="B948" s="50" t="str">
        <x:f>IF(940&gt;$H$4,"",IF(INDEX('Fleet dates'!$B$9:$B$1008,$I948-8)="","",INDEX('Fleet dates'!$B$9:$B$1008,$I948-8)))</x:f>
      </x:c>
      <x:c r="C948" s="51" t="str">
        <x:f>IF(940&gt;$H$4,"",IF(INDEX('Fleet dates'!$C$9:$C$1008,$I948-8)="","",INDEX('Fleet dates'!$C$9:$C$1008,$I948-8)))</x:f>
      </x:c>
      <x:c r="D948" s="51" t="str">
        <x:f>IF(940&gt;$H$4,"",IF(INDEX('Fleet dates'!$D$9:$D$1008,$I948-8)="","",INDEX('Fleet dates'!$D$9:$D$1008,$I948-8)))</x:f>
      </x:c>
      <x:c r="E948" s="51" t="str">
        <x:f>IF(940&gt;$H$4,"",IF(INDEX('Fleet dates'!$E$9:$E$1008,$I948-8)="","",INDEX('Fleet dates'!$E$9:$E$1008,$I948-8)))</x:f>
      </x:c>
      <x:c r="F948" s="51" t="str">
        <x:f>IF(940&gt;$H$4,"",IF(INDEX('Fleet dates'!$F$9:$F$1008,$I948-8)="","",INDEX('Fleet dates'!$F$9:$F$1008,$I948-8)))</x:f>
      </x:c>
      <x:c r="G948" s="50" t="str">
        <x:f>IF(940&gt;$H$4,"",IF(INDEX('Fleet dates'!$G$9:$G$1008,$I948-8)="","",INDEX('Fleet dates'!$G$9:$G$1008,$I948-8)))</x:f>
      </x:c>
      <x:c r="H948" s="50" t="str">
        <x:f>IF(940&gt;$H$4,"",IF(INDEX('Fleet dates'!$I$9:$I$1008,$I948-8)="","",INDEX('Fleet dates'!$I$9:$I$1008,$I948-8)))</x:f>
      </x:c>
      <x:c r="I948" t="str">
        <x:f>IF(940&gt;$H$4,"",MATCH(940,'Fleet dates'!$L$9:$L$1008,0)+8)</x:f>
      </x:c>
    </x:row>
    <x:row r="949" ht="36" customHeight="1">
      <x:c r="A949" s="50" t="str">
        <x:f>IF(941&gt;$H$4,"",IF(INDEX('Fleet dates'!$A$9:$A$1008,$I949-8)="","",INDEX('Fleet dates'!$A$9:$A$1008,$I949-8)))</x:f>
      </x:c>
      <x:c r="B949" s="50" t="str">
        <x:f>IF(941&gt;$H$4,"",IF(INDEX('Fleet dates'!$B$9:$B$1008,$I949-8)="","",INDEX('Fleet dates'!$B$9:$B$1008,$I949-8)))</x:f>
      </x:c>
      <x:c r="C949" s="51" t="str">
        <x:f>IF(941&gt;$H$4,"",IF(INDEX('Fleet dates'!$C$9:$C$1008,$I949-8)="","",INDEX('Fleet dates'!$C$9:$C$1008,$I949-8)))</x:f>
      </x:c>
      <x:c r="D949" s="51" t="str">
        <x:f>IF(941&gt;$H$4,"",IF(INDEX('Fleet dates'!$D$9:$D$1008,$I949-8)="","",INDEX('Fleet dates'!$D$9:$D$1008,$I949-8)))</x:f>
      </x:c>
      <x:c r="E949" s="51" t="str">
        <x:f>IF(941&gt;$H$4,"",IF(INDEX('Fleet dates'!$E$9:$E$1008,$I949-8)="","",INDEX('Fleet dates'!$E$9:$E$1008,$I949-8)))</x:f>
      </x:c>
      <x:c r="F949" s="51" t="str">
        <x:f>IF(941&gt;$H$4,"",IF(INDEX('Fleet dates'!$F$9:$F$1008,$I949-8)="","",INDEX('Fleet dates'!$F$9:$F$1008,$I949-8)))</x:f>
      </x:c>
      <x:c r="G949" s="50" t="str">
        <x:f>IF(941&gt;$H$4,"",IF(INDEX('Fleet dates'!$G$9:$G$1008,$I949-8)="","",INDEX('Fleet dates'!$G$9:$G$1008,$I949-8)))</x:f>
      </x:c>
      <x:c r="H949" s="50" t="str">
        <x:f>IF(941&gt;$H$4,"",IF(INDEX('Fleet dates'!$I$9:$I$1008,$I949-8)="","",INDEX('Fleet dates'!$I$9:$I$1008,$I949-8)))</x:f>
      </x:c>
      <x:c r="I949" t="str">
        <x:f>IF(941&gt;$H$4,"",MATCH(941,'Fleet dates'!$L$9:$L$1008,0)+8)</x:f>
      </x:c>
    </x:row>
    <x:row r="950" ht="36" customHeight="1">
      <x:c r="A950" s="50" t="str">
        <x:f>IF(942&gt;$H$4,"",IF(INDEX('Fleet dates'!$A$9:$A$1008,$I950-8)="","",INDEX('Fleet dates'!$A$9:$A$1008,$I950-8)))</x:f>
      </x:c>
      <x:c r="B950" s="50" t="str">
        <x:f>IF(942&gt;$H$4,"",IF(INDEX('Fleet dates'!$B$9:$B$1008,$I950-8)="","",INDEX('Fleet dates'!$B$9:$B$1008,$I950-8)))</x:f>
      </x:c>
      <x:c r="C950" s="51" t="str">
        <x:f>IF(942&gt;$H$4,"",IF(INDEX('Fleet dates'!$C$9:$C$1008,$I950-8)="","",INDEX('Fleet dates'!$C$9:$C$1008,$I950-8)))</x:f>
      </x:c>
      <x:c r="D950" s="51" t="str">
        <x:f>IF(942&gt;$H$4,"",IF(INDEX('Fleet dates'!$D$9:$D$1008,$I950-8)="","",INDEX('Fleet dates'!$D$9:$D$1008,$I950-8)))</x:f>
      </x:c>
      <x:c r="E950" s="51" t="str">
        <x:f>IF(942&gt;$H$4,"",IF(INDEX('Fleet dates'!$E$9:$E$1008,$I950-8)="","",INDEX('Fleet dates'!$E$9:$E$1008,$I950-8)))</x:f>
      </x:c>
      <x:c r="F950" s="51" t="str">
        <x:f>IF(942&gt;$H$4,"",IF(INDEX('Fleet dates'!$F$9:$F$1008,$I950-8)="","",INDEX('Fleet dates'!$F$9:$F$1008,$I950-8)))</x:f>
      </x:c>
      <x:c r="G950" s="50" t="str">
        <x:f>IF(942&gt;$H$4,"",IF(INDEX('Fleet dates'!$G$9:$G$1008,$I950-8)="","",INDEX('Fleet dates'!$G$9:$G$1008,$I950-8)))</x:f>
      </x:c>
      <x:c r="H950" s="50" t="str">
        <x:f>IF(942&gt;$H$4,"",IF(INDEX('Fleet dates'!$I$9:$I$1008,$I950-8)="","",INDEX('Fleet dates'!$I$9:$I$1008,$I950-8)))</x:f>
      </x:c>
      <x:c r="I950" t="str">
        <x:f>IF(942&gt;$H$4,"",MATCH(942,'Fleet dates'!$L$9:$L$1008,0)+8)</x:f>
      </x:c>
    </x:row>
    <x:row r="951" ht="36" customHeight="1">
      <x:c r="A951" s="50" t="str">
        <x:f>IF(943&gt;$H$4,"",IF(INDEX('Fleet dates'!$A$9:$A$1008,$I951-8)="","",INDEX('Fleet dates'!$A$9:$A$1008,$I951-8)))</x:f>
      </x:c>
      <x:c r="B951" s="50" t="str">
        <x:f>IF(943&gt;$H$4,"",IF(INDEX('Fleet dates'!$B$9:$B$1008,$I951-8)="","",INDEX('Fleet dates'!$B$9:$B$1008,$I951-8)))</x:f>
      </x:c>
      <x:c r="C951" s="51" t="str">
        <x:f>IF(943&gt;$H$4,"",IF(INDEX('Fleet dates'!$C$9:$C$1008,$I951-8)="","",INDEX('Fleet dates'!$C$9:$C$1008,$I951-8)))</x:f>
      </x:c>
      <x:c r="D951" s="51" t="str">
        <x:f>IF(943&gt;$H$4,"",IF(INDEX('Fleet dates'!$D$9:$D$1008,$I951-8)="","",INDEX('Fleet dates'!$D$9:$D$1008,$I951-8)))</x:f>
      </x:c>
      <x:c r="E951" s="51" t="str">
        <x:f>IF(943&gt;$H$4,"",IF(INDEX('Fleet dates'!$E$9:$E$1008,$I951-8)="","",INDEX('Fleet dates'!$E$9:$E$1008,$I951-8)))</x:f>
      </x:c>
      <x:c r="F951" s="51" t="str">
        <x:f>IF(943&gt;$H$4,"",IF(INDEX('Fleet dates'!$F$9:$F$1008,$I951-8)="","",INDEX('Fleet dates'!$F$9:$F$1008,$I951-8)))</x:f>
      </x:c>
      <x:c r="G951" s="50" t="str">
        <x:f>IF(943&gt;$H$4,"",IF(INDEX('Fleet dates'!$G$9:$G$1008,$I951-8)="","",INDEX('Fleet dates'!$G$9:$G$1008,$I951-8)))</x:f>
      </x:c>
      <x:c r="H951" s="50" t="str">
        <x:f>IF(943&gt;$H$4,"",IF(INDEX('Fleet dates'!$I$9:$I$1008,$I951-8)="","",INDEX('Fleet dates'!$I$9:$I$1008,$I951-8)))</x:f>
      </x:c>
      <x:c r="I951" t="str">
        <x:f>IF(943&gt;$H$4,"",MATCH(943,'Fleet dates'!$L$9:$L$1008,0)+8)</x:f>
      </x:c>
    </x:row>
    <x:row r="952" ht="36" customHeight="1">
      <x:c r="A952" s="50" t="str">
        <x:f>IF(944&gt;$H$4,"",IF(INDEX('Fleet dates'!$A$9:$A$1008,$I952-8)="","",INDEX('Fleet dates'!$A$9:$A$1008,$I952-8)))</x:f>
      </x:c>
      <x:c r="B952" s="50" t="str">
        <x:f>IF(944&gt;$H$4,"",IF(INDEX('Fleet dates'!$B$9:$B$1008,$I952-8)="","",INDEX('Fleet dates'!$B$9:$B$1008,$I952-8)))</x:f>
      </x:c>
      <x:c r="C952" s="51" t="str">
        <x:f>IF(944&gt;$H$4,"",IF(INDEX('Fleet dates'!$C$9:$C$1008,$I952-8)="","",INDEX('Fleet dates'!$C$9:$C$1008,$I952-8)))</x:f>
      </x:c>
      <x:c r="D952" s="51" t="str">
        <x:f>IF(944&gt;$H$4,"",IF(INDEX('Fleet dates'!$D$9:$D$1008,$I952-8)="","",INDEX('Fleet dates'!$D$9:$D$1008,$I952-8)))</x:f>
      </x:c>
      <x:c r="E952" s="51" t="str">
        <x:f>IF(944&gt;$H$4,"",IF(INDEX('Fleet dates'!$E$9:$E$1008,$I952-8)="","",INDEX('Fleet dates'!$E$9:$E$1008,$I952-8)))</x:f>
      </x:c>
      <x:c r="F952" s="51" t="str">
        <x:f>IF(944&gt;$H$4,"",IF(INDEX('Fleet dates'!$F$9:$F$1008,$I952-8)="","",INDEX('Fleet dates'!$F$9:$F$1008,$I952-8)))</x:f>
      </x:c>
      <x:c r="G952" s="50" t="str">
        <x:f>IF(944&gt;$H$4,"",IF(INDEX('Fleet dates'!$G$9:$G$1008,$I952-8)="","",INDEX('Fleet dates'!$G$9:$G$1008,$I952-8)))</x:f>
      </x:c>
      <x:c r="H952" s="50" t="str">
        <x:f>IF(944&gt;$H$4,"",IF(INDEX('Fleet dates'!$I$9:$I$1008,$I952-8)="","",INDEX('Fleet dates'!$I$9:$I$1008,$I952-8)))</x:f>
      </x:c>
      <x:c r="I952" t="str">
        <x:f>IF(944&gt;$H$4,"",MATCH(944,'Fleet dates'!$L$9:$L$1008,0)+8)</x:f>
      </x:c>
    </x:row>
    <x:row r="953" ht="36" customHeight="1">
      <x:c r="A953" s="50" t="str">
        <x:f>IF(945&gt;$H$4,"",IF(INDEX('Fleet dates'!$A$9:$A$1008,$I953-8)="","",INDEX('Fleet dates'!$A$9:$A$1008,$I953-8)))</x:f>
      </x:c>
      <x:c r="B953" s="50" t="str">
        <x:f>IF(945&gt;$H$4,"",IF(INDEX('Fleet dates'!$B$9:$B$1008,$I953-8)="","",INDEX('Fleet dates'!$B$9:$B$1008,$I953-8)))</x:f>
      </x:c>
      <x:c r="C953" s="51" t="str">
        <x:f>IF(945&gt;$H$4,"",IF(INDEX('Fleet dates'!$C$9:$C$1008,$I953-8)="","",INDEX('Fleet dates'!$C$9:$C$1008,$I953-8)))</x:f>
      </x:c>
      <x:c r="D953" s="51" t="str">
        <x:f>IF(945&gt;$H$4,"",IF(INDEX('Fleet dates'!$D$9:$D$1008,$I953-8)="","",INDEX('Fleet dates'!$D$9:$D$1008,$I953-8)))</x:f>
      </x:c>
      <x:c r="E953" s="51" t="str">
        <x:f>IF(945&gt;$H$4,"",IF(INDEX('Fleet dates'!$E$9:$E$1008,$I953-8)="","",INDEX('Fleet dates'!$E$9:$E$1008,$I953-8)))</x:f>
      </x:c>
      <x:c r="F953" s="51" t="str">
        <x:f>IF(945&gt;$H$4,"",IF(INDEX('Fleet dates'!$F$9:$F$1008,$I953-8)="","",INDEX('Fleet dates'!$F$9:$F$1008,$I953-8)))</x:f>
      </x:c>
      <x:c r="G953" s="50" t="str">
        <x:f>IF(945&gt;$H$4,"",IF(INDEX('Fleet dates'!$G$9:$G$1008,$I953-8)="","",INDEX('Fleet dates'!$G$9:$G$1008,$I953-8)))</x:f>
      </x:c>
      <x:c r="H953" s="50" t="str">
        <x:f>IF(945&gt;$H$4,"",IF(INDEX('Fleet dates'!$I$9:$I$1008,$I953-8)="","",INDEX('Fleet dates'!$I$9:$I$1008,$I953-8)))</x:f>
      </x:c>
      <x:c r="I953" t="str">
        <x:f>IF(945&gt;$H$4,"",MATCH(945,'Fleet dates'!$L$9:$L$1008,0)+8)</x:f>
      </x:c>
    </x:row>
    <x:row r="954" ht="36" customHeight="1">
      <x:c r="A954" s="50" t="str">
        <x:f>IF(946&gt;$H$4,"",IF(INDEX('Fleet dates'!$A$9:$A$1008,$I954-8)="","",INDEX('Fleet dates'!$A$9:$A$1008,$I954-8)))</x:f>
      </x:c>
      <x:c r="B954" s="50" t="str">
        <x:f>IF(946&gt;$H$4,"",IF(INDEX('Fleet dates'!$B$9:$B$1008,$I954-8)="","",INDEX('Fleet dates'!$B$9:$B$1008,$I954-8)))</x:f>
      </x:c>
      <x:c r="C954" s="51" t="str">
        <x:f>IF(946&gt;$H$4,"",IF(INDEX('Fleet dates'!$C$9:$C$1008,$I954-8)="","",INDEX('Fleet dates'!$C$9:$C$1008,$I954-8)))</x:f>
      </x:c>
      <x:c r="D954" s="51" t="str">
        <x:f>IF(946&gt;$H$4,"",IF(INDEX('Fleet dates'!$D$9:$D$1008,$I954-8)="","",INDEX('Fleet dates'!$D$9:$D$1008,$I954-8)))</x:f>
      </x:c>
      <x:c r="E954" s="51" t="str">
        <x:f>IF(946&gt;$H$4,"",IF(INDEX('Fleet dates'!$E$9:$E$1008,$I954-8)="","",INDEX('Fleet dates'!$E$9:$E$1008,$I954-8)))</x:f>
      </x:c>
      <x:c r="F954" s="51" t="str">
        <x:f>IF(946&gt;$H$4,"",IF(INDEX('Fleet dates'!$F$9:$F$1008,$I954-8)="","",INDEX('Fleet dates'!$F$9:$F$1008,$I954-8)))</x:f>
      </x:c>
      <x:c r="G954" s="50" t="str">
        <x:f>IF(946&gt;$H$4,"",IF(INDEX('Fleet dates'!$G$9:$G$1008,$I954-8)="","",INDEX('Fleet dates'!$G$9:$G$1008,$I954-8)))</x:f>
      </x:c>
      <x:c r="H954" s="50" t="str">
        <x:f>IF(946&gt;$H$4,"",IF(INDEX('Fleet dates'!$I$9:$I$1008,$I954-8)="","",INDEX('Fleet dates'!$I$9:$I$1008,$I954-8)))</x:f>
      </x:c>
      <x:c r="I954" t="str">
        <x:f>IF(946&gt;$H$4,"",MATCH(946,'Fleet dates'!$L$9:$L$1008,0)+8)</x:f>
      </x:c>
    </x:row>
    <x:row r="955" ht="36" customHeight="1">
      <x:c r="A955" s="50" t="str">
        <x:f>IF(947&gt;$H$4,"",IF(INDEX('Fleet dates'!$A$9:$A$1008,$I955-8)="","",INDEX('Fleet dates'!$A$9:$A$1008,$I955-8)))</x:f>
      </x:c>
      <x:c r="B955" s="50" t="str">
        <x:f>IF(947&gt;$H$4,"",IF(INDEX('Fleet dates'!$B$9:$B$1008,$I955-8)="","",INDEX('Fleet dates'!$B$9:$B$1008,$I955-8)))</x:f>
      </x:c>
      <x:c r="C955" s="51" t="str">
        <x:f>IF(947&gt;$H$4,"",IF(INDEX('Fleet dates'!$C$9:$C$1008,$I955-8)="","",INDEX('Fleet dates'!$C$9:$C$1008,$I955-8)))</x:f>
      </x:c>
      <x:c r="D955" s="51" t="str">
        <x:f>IF(947&gt;$H$4,"",IF(INDEX('Fleet dates'!$D$9:$D$1008,$I955-8)="","",INDEX('Fleet dates'!$D$9:$D$1008,$I955-8)))</x:f>
      </x:c>
      <x:c r="E955" s="51" t="str">
        <x:f>IF(947&gt;$H$4,"",IF(INDEX('Fleet dates'!$E$9:$E$1008,$I955-8)="","",INDEX('Fleet dates'!$E$9:$E$1008,$I955-8)))</x:f>
      </x:c>
      <x:c r="F955" s="51" t="str">
        <x:f>IF(947&gt;$H$4,"",IF(INDEX('Fleet dates'!$F$9:$F$1008,$I955-8)="","",INDEX('Fleet dates'!$F$9:$F$1008,$I955-8)))</x:f>
      </x:c>
      <x:c r="G955" s="50" t="str">
        <x:f>IF(947&gt;$H$4,"",IF(INDEX('Fleet dates'!$G$9:$G$1008,$I955-8)="","",INDEX('Fleet dates'!$G$9:$G$1008,$I955-8)))</x:f>
      </x:c>
      <x:c r="H955" s="50" t="str">
        <x:f>IF(947&gt;$H$4,"",IF(INDEX('Fleet dates'!$I$9:$I$1008,$I955-8)="","",INDEX('Fleet dates'!$I$9:$I$1008,$I955-8)))</x:f>
      </x:c>
      <x:c r="I955" t="str">
        <x:f>IF(947&gt;$H$4,"",MATCH(947,'Fleet dates'!$L$9:$L$1008,0)+8)</x:f>
      </x:c>
    </x:row>
    <x:row r="956" ht="36" customHeight="1">
      <x:c r="A956" s="50" t="str">
        <x:f>IF(948&gt;$H$4,"",IF(INDEX('Fleet dates'!$A$9:$A$1008,$I956-8)="","",INDEX('Fleet dates'!$A$9:$A$1008,$I956-8)))</x:f>
      </x:c>
      <x:c r="B956" s="50" t="str">
        <x:f>IF(948&gt;$H$4,"",IF(INDEX('Fleet dates'!$B$9:$B$1008,$I956-8)="","",INDEX('Fleet dates'!$B$9:$B$1008,$I956-8)))</x:f>
      </x:c>
      <x:c r="C956" s="51" t="str">
        <x:f>IF(948&gt;$H$4,"",IF(INDEX('Fleet dates'!$C$9:$C$1008,$I956-8)="","",INDEX('Fleet dates'!$C$9:$C$1008,$I956-8)))</x:f>
      </x:c>
      <x:c r="D956" s="51" t="str">
        <x:f>IF(948&gt;$H$4,"",IF(INDEX('Fleet dates'!$D$9:$D$1008,$I956-8)="","",INDEX('Fleet dates'!$D$9:$D$1008,$I956-8)))</x:f>
      </x:c>
      <x:c r="E956" s="51" t="str">
        <x:f>IF(948&gt;$H$4,"",IF(INDEX('Fleet dates'!$E$9:$E$1008,$I956-8)="","",INDEX('Fleet dates'!$E$9:$E$1008,$I956-8)))</x:f>
      </x:c>
      <x:c r="F956" s="51" t="str">
        <x:f>IF(948&gt;$H$4,"",IF(INDEX('Fleet dates'!$F$9:$F$1008,$I956-8)="","",INDEX('Fleet dates'!$F$9:$F$1008,$I956-8)))</x:f>
      </x:c>
      <x:c r="G956" s="50" t="str">
        <x:f>IF(948&gt;$H$4,"",IF(INDEX('Fleet dates'!$G$9:$G$1008,$I956-8)="","",INDEX('Fleet dates'!$G$9:$G$1008,$I956-8)))</x:f>
      </x:c>
      <x:c r="H956" s="50" t="str">
        <x:f>IF(948&gt;$H$4,"",IF(INDEX('Fleet dates'!$I$9:$I$1008,$I956-8)="","",INDEX('Fleet dates'!$I$9:$I$1008,$I956-8)))</x:f>
      </x:c>
      <x:c r="I956" t="str">
        <x:f>IF(948&gt;$H$4,"",MATCH(948,'Fleet dates'!$L$9:$L$1008,0)+8)</x:f>
      </x:c>
    </x:row>
    <x:row r="957" ht="36" customHeight="1">
      <x:c r="A957" s="50" t="str">
        <x:f>IF(949&gt;$H$4,"",IF(INDEX('Fleet dates'!$A$9:$A$1008,$I957-8)="","",INDEX('Fleet dates'!$A$9:$A$1008,$I957-8)))</x:f>
      </x:c>
      <x:c r="B957" s="50" t="str">
        <x:f>IF(949&gt;$H$4,"",IF(INDEX('Fleet dates'!$B$9:$B$1008,$I957-8)="","",INDEX('Fleet dates'!$B$9:$B$1008,$I957-8)))</x:f>
      </x:c>
      <x:c r="C957" s="51" t="str">
        <x:f>IF(949&gt;$H$4,"",IF(INDEX('Fleet dates'!$C$9:$C$1008,$I957-8)="","",INDEX('Fleet dates'!$C$9:$C$1008,$I957-8)))</x:f>
      </x:c>
      <x:c r="D957" s="51" t="str">
        <x:f>IF(949&gt;$H$4,"",IF(INDEX('Fleet dates'!$D$9:$D$1008,$I957-8)="","",INDEX('Fleet dates'!$D$9:$D$1008,$I957-8)))</x:f>
      </x:c>
      <x:c r="E957" s="51" t="str">
        <x:f>IF(949&gt;$H$4,"",IF(INDEX('Fleet dates'!$E$9:$E$1008,$I957-8)="","",INDEX('Fleet dates'!$E$9:$E$1008,$I957-8)))</x:f>
      </x:c>
      <x:c r="F957" s="51" t="str">
        <x:f>IF(949&gt;$H$4,"",IF(INDEX('Fleet dates'!$F$9:$F$1008,$I957-8)="","",INDEX('Fleet dates'!$F$9:$F$1008,$I957-8)))</x:f>
      </x:c>
      <x:c r="G957" s="50" t="str">
        <x:f>IF(949&gt;$H$4,"",IF(INDEX('Fleet dates'!$G$9:$G$1008,$I957-8)="","",INDEX('Fleet dates'!$G$9:$G$1008,$I957-8)))</x:f>
      </x:c>
      <x:c r="H957" s="50" t="str">
        <x:f>IF(949&gt;$H$4,"",IF(INDEX('Fleet dates'!$I$9:$I$1008,$I957-8)="","",INDEX('Fleet dates'!$I$9:$I$1008,$I957-8)))</x:f>
      </x:c>
      <x:c r="I957" t="str">
        <x:f>IF(949&gt;$H$4,"",MATCH(949,'Fleet dates'!$L$9:$L$1008,0)+8)</x:f>
      </x:c>
    </x:row>
    <x:row r="958" ht="36" customHeight="1">
      <x:c r="A958" s="50" t="str">
        <x:f>IF(950&gt;$H$4,"",IF(INDEX('Fleet dates'!$A$9:$A$1008,$I958-8)="","",INDEX('Fleet dates'!$A$9:$A$1008,$I958-8)))</x:f>
      </x:c>
      <x:c r="B958" s="50" t="str">
        <x:f>IF(950&gt;$H$4,"",IF(INDEX('Fleet dates'!$B$9:$B$1008,$I958-8)="","",INDEX('Fleet dates'!$B$9:$B$1008,$I958-8)))</x:f>
      </x:c>
      <x:c r="C958" s="51" t="str">
        <x:f>IF(950&gt;$H$4,"",IF(INDEX('Fleet dates'!$C$9:$C$1008,$I958-8)="","",INDEX('Fleet dates'!$C$9:$C$1008,$I958-8)))</x:f>
      </x:c>
      <x:c r="D958" s="51" t="str">
        <x:f>IF(950&gt;$H$4,"",IF(INDEX('Fleet dates'!$D$9:$D$1008,$I958-8)="","",INDEX('Fleet dates'!$D$9:$D$1008,$I958-8)))</x:f>
      </x:c>
      <x:c r="E958" s="51" t="str">
        <x:f>IF(950&gt;$H$4,"",IF(INDEX('Fleet dates'!$E$9:$E$1008,$I958-8)="","",INDEX('Fleet dates'!$E$9:$E$1008,$I958-8)))</x:f>
      </x:c>
      <x:c r="F958" s="51" t="str">
        <x:f>IF(950&gt;$H$4,"",IF(INDEX('Fleet dates'!$F$9:$F$1008,$I958-8)="","",INDEX('Fleet dates'!$F$9:$F$1008,$I958-8)))</x:f>
      </x:c>
      <x:c r="G958" s="50" t="str">
        <x:f>IF(950&gt;$H$4,"",IF(INDEX('Fleet dates'!$G$9:$G$1008,$I958-8)="","",INDEX('Fleet dates'!$G$9:$G$1008,$I958-8)))</x:f>
      </x:c>
      <x:c r="H958" s="50" t="str">
        <x:f>IF(950&gt;$H$4,"",IF(INDEX('Fleet dates'!$I$9:$I$1008,$I958-8)="","",INDEX('Fleet dates'!$I$9:$I$1008,$I958-8)))</x:f>
      </x:c>
      <x:c r="I958" t="str">
        <x:f>IF(950&gt;$H$4,"",MATCH(950,'Fleet dates'!$L$9:$L$1008,0)+8)</x:f>
      </x:c>
    </x:row>
    <x:row r="959" ht="36" customHeight="1">
      <x:c r="A959" s="50" t="str">
        <x:f>IF(951&gt;$H$4,"",IF(INDEX('Fleet dates'!$A$9:$A$1008,$I959-8)="","",INDEX('Fleet dates'!$A$9:$A$1008,$I959-8)))</x:f>
      </x:c>
      <x:c r="B959" s="50" t="str">
        <x:f>IF(951&gt;$H$4,"",IF(INDEX('Fleet dates'!$B$9:$B$1008,$I959-8)="","",INDEX('Fleet dates'!$B$9:$B$1008,$I959-8)))</x:f>
      </x:c>
      <x:c r="C959" s="51" t="str">
        <x:f>IF(951&gt;$H$4,"",IF(INDEX('Fleet dates'!$C$9:$C$1008,$I959-8)="","",INDEX('Fleet dates'!$C$9:$C$1008,$I959-8)))</x:f>
      </x:c>
      <x:c r="D959" s="51" t="str">
        <x:f>IF(951&gt;$H$4,"",IF(INDEX('Fleet dates'!$D$9:$D$1008,$I959-8)="","",INDEX('Fleet dates'!$D$9:$D$1008,$I959-8)))</x:f>
      </x:c>
      <x:c r="E959" s="51" t="str">
        <x:f>IF(951&gt;$H$4,"",IF(INDEX('Fleet dates'!$E$9:$E$1008,$I959-8)="","",INDEX('Fleet dates'!$E$9:$E$1008,$I959-8)))</x:f>
      </x:c>
      <x:c r="F959" s="51" t="str">
        <x:f>IF(951&gt;$H$4,"",IF(INDEX('Fleet dates'!$F$9:$F$1008,$I959-8)="","",INDEX('Fleet dates'!$F$9:$F$1008,$I959-8)))</x:f>
      </x:c>
      <x:c r="G959" s="50" t="str">
        <x:f>IF(951&gt;$H$4,"",IF(INDEX('Fleet dates'!$G$9:$G$1008,$I959-8)="","",INDEX('Fleet dates'!$G$9:$G$1008,$I959-8)))</x:f>
      </x:c>
      <x:c r="H959" s="50" t="str">
        <x:f>IF(951&gt;$H$4,"",IF(INDEX('Fleet dates'!$I$9:$I$1008,$I959-8)="","",INDEX('Fleet dates'!$I$9:$I$1008,$I959-8)))</x:f>
      </x:c>
      <x:c r="I959" t="str">
        <x:f>IF(951&gt;$H$4,"",MATCH(951,'Fleet dates'!$L$9:$L$1008,0)+8)</x:f>
      </x:c>
    </x:row>
    <x:row r="960" ht="36" customHeight="1">
      <x:c r="A960" s="50" t="str">
        <x:f>IF(952&gt;$H$4,"",IF(INDEX('Fleet dates'!$A$9:$A$1008,$I960-8)="","",INDEX('Fleet dates'!$A$9:$A$1008,$I960-8)))</x:f>
      </x:c>
      <x:c r="B960" s="50" t="str">
        <x:f>IF(952&gt;$H$4,"",IF(INDEX('Fleet dates'!$B$9:$B$1008,$I960-8)="","",INDEX('Fleet dates'!$B$9:$B$1008,$I960-8)))</x:f>
      </x:c>
      <x:c r="C960" s="51" t="str">
        <x:f>IF(952&gt;$H$4,"",IF(INDEX('Fleet dates'!$C$9:$C$1008,$I960-8)="","",INDEX('Fleet dates'!$C$9:$C$1008,$I960-8)))</x:f>
      </x:c>
      <x:c r="D960" s="51" t="str">
        <x:f>IF(952&gt;$H$4,"",IF(INDEX('Fleet dates'!$D$9:$D$1008,$I960-8)="","",INDEX('Fleet dates'!$D$9:$D$1008,$I960-8)))</x:f>
      </x:c>
      <x:c r="E960" s="51" t="str">
        <x:f>IF(952&gt;$H$4,"",IF(INDEX('Fleet dates'!$E$9:$E$1008,$I960-8)="","",INDEX('Fleet dates'!$E$9:$E$1008,$I960-8)))</x:f>
      </x:c>
      <x:c r="F960" s="51" t="str">
        <x:f>IF(952&gt;$H$4,"",IF(INDEX('Fleet dates'!$F$9:$F$1008,$I960-8)="","",INDEX('Fleet dates'!$F$9:$F$1008,$I960-8)))</x:f>
      </x:c>
      <x:c r="G960" s="50" t="str">
        <x:f>IF(952&gt;$H$4,"",IF(INDEX('Fleet dates'!$G$9:$G$1008,$I960-8)="","",INDEX('Fleet dates'!$G$9:$G$1008,$I960-8)))</x:f>
      </x:c>
      <x:c r="H960" s="50" t="str">
        <x:f>IF(952&gt;$H$4,"",IF(INDEX('Fleet dates'!$I$9:$I$1008,$I960-8)="","",INDEX('Fleet dates'!$I$9:$I$1008,$I960-8)))</x:f>
      </x:c>
      <x:c r="I960" t="str">
        <x:f>IF(952&gt;$H$4,"",MATCH(952,'Fleet dates'!$L$9:$L$1008,0)+8)</x:f>
      </x:c>
    </x:row>
    <x:row r="961" ht="36" customHeight="1">
      <x:c r="A961" s="50" t="str">
        <x:f>IF(953&gt;$H$4,"",IF(INDEX('Fleet dates'!$A$9:$A$1008,$I961-8)="","",INDEX('Fleet dates'!$A$9:$A$1008,$I961-8)))</x:f>
      </x:c>
      <x:c r="B961" s="50" t="str">
        <x:f>IF(953&gt;$H$4,"",IF(INDEX('Fleet dates'!$B$9:$B$1008,$I961-8)="","",INDEX('Fleet dates'!$B$9:$B$1008,$I961-8)))</x:f>
      </x:c>
      <x:c r="C961" s="51" t="str">
        <x:f>IF(953&gt;$H$4,"",IF(INDEX('Fleet dates'!$C$9:$C$1008,$I961-8)="","",INDEX('Fleet dates'!$C$9:$C$1008,$I961-8)))</x:f>
      </x:c>
      <x:c r="D961" s="51" t="str">
        <x:f>IF(953&gt;$H$4,"",IF(INDEX('Fleet dates'!$D$9:$D$1008,$I961-8)="","",INDEX('Fleet dates'!$D$9:$D$1008,$I961-8)))</x:f>
      </x:c>
      <x:c r="E961" s="51" t="str">
        <x:f>IF(953&gt;$H$4,"",IF(INDEX('Fleet dates'!$E$9:$E$1008,$I961-8)="","",INDEX('Fleet dates'!$E$9:$E$1008,$I961-8)))</x:f>
      </x:c>
      <x:c r="F961" s="51" t="str">
        <x:f>IF(953&gt;$H$4,"",IF(INDEX('Fleet dates'!$F$9:$F$1008,$I961-8)="","",INDEX('Fleet dates'!$F$9:$F$1008,$I961-8)))</x:f>
      </x:c>
      <x:c r="G961" s="50" t="str">
        <x:f>IF(953&gt;$H$4,"",IF(INDEX('Fleet dates'!$G$9:$G$1008,$I961-8)="","",INDEX('Fleet dates'!$G$9:$G$1008,$I961-8)))</x:f>
      </x:c>
      <x:c r="H961" s="50" t="str">
        <x:f>IF(953&gt;$H$4,"",IF(INDEX('Fleet dates'!$I$9:$I$1008,$I961-8)="","",INDEX('Fleet dates'!$I$9:$I$1008,$I961-8)))</x:f>
      </x:c>
      <x:c r="I961" t="str">
        <x:f>IF(953&gt;$H$4,"",MATCH(953,'Fleet dates'!$L$9:$L$1008,0)+8)</x:f>
      </x:c>
    </x:row>
    <x:row r="962" ht="36" customHeight="1">
      <x:c r="A962" s="50" t="str">
        <x:f>IF(954&gt;$H$4,"",IF(INDEX('Fleet dates'!$A$9:$A$1008,$I962-8)="","",INDEX('Fleet dates'!$A$9:$A$1008,$I962-8)))</x:f>
      </x:c>
      <x:c r="B962" s="50" t="str">
        <x:f>IF(954&gt;$H$4,"",IF(INDEX('Fleet dates'!$B$9:$B$1008,$I962-8)="","",INDEX('Fleet dates'!$B$9:$B$1008,$I962-8)))</x:f>
      </x:c>
      <x:c r="C962" s="51" t="str">
        <x:f>IF(954&gt;$H$4,"",IF(INDEX('Fleet dates'!$C$9:$C$1008,$I962-8)="","",INDEX('Fleet dates'!$C$9:$C$1008,$I962-8)))</x:f>
      </x:c>
      <x:c r="D962" s="51" t="str">
        <x:f>IF(954&gt;$H$4,"",IF(INDEX('Fleet dates'!$D$9:$D$1008,$I962-8)="","",INDEX('Fleet dates'!$D$9:$D$1008,$I962-8)))</x:f>
      </x:c>
      <x:c r="E962" s="51" t="str">
        <x:f>IF(954&gt;$H$4,"",IF(INDEX('Fleet dates'!$E$9:$E$1008,$I962-8)="","",INDEX('Fleet dates'!$E$9:$E$1008,$I962-8)))</x:f>
      </x:c>
      <x:c r="F962" s="51" t="str">
        <x:f>IF(954&gt;$H$4,"",IF(INDEX('Fleet dates'!$F$9:$F$1008,$I962-8)="","",INDEX('Fleet dates'!$F$9:$F$1008,$I962-8)))</x:f>
      </x:c>
      <x:c r="G962" s="50" t="str">
        <x:f>IF(954&gt;$H$4,"",IF(INDEX('Fleet dates'!$G$9:$G$1008,$I962-8)="","",INDEX('Fleet dates'!$G$9:$G$1008,$I962-8)))</x:f>
      </x:c>
      <x:c r="H962" s="50" t="str">
        <x:f>IF(954&gt;$H$4,"",IF(INDEX('Fleet dates'!$I$9:$I$1008,$I962-8)="","",INDEX('Fleet dates'!$I$9:$I$1008,$I962-8)))</x:f>
      </x:c>
      <x:c r="I962" t="str">
        <x:f>IF(954&gt;$H$4,"",MATCH(954,'Fleet dates'!$L$9:$L$1008,0)+8)</x:f>
      </x:c>
    </x:row>
    <x:row r="963" ht="36" customHeight="1">
      <x:c r="A963" s="50" t="str">
        <x:f>IF(955&gt;$H$4,"",IF(INDEX('Fleet dates'!$A$9:$A$1008,$I963-8)="","",INDEX('Fleet dates'!$A$9:$A$1008,$I963-8)))</x:f>
      </x:c>
      <x:c r="B963" s="50" t="str">
        <x:f>IF(955&gt;$H$4,"",IF(INDEX('Fleet dates'!$B$9:$B$1008,$I963-8)="","",INDEX('Fleet dates'!$B$9:$B$1008,$I963-8)))</x:f>
      </x:c>
      <x:c r="C963" s="51" t="str">
        <x:f>IF(955&gt;$H$4,"",IF(INDEX('Fleet dates'!$C$9:$C$1008,$I963-8)="","",INDEX('Fleet dates'!$C$9:$C$1008,$I963-8)))</x:f>
      </x:c>
      <x:c r="D963" s="51" t="str">
        <x:f>IF(955&gt;$H$4,"",IF(INDEX('Fleet dates'!$D$9:$D$1008,$I963-8)="","",INDEX('Fleet dates'!$D$9:$D$1008,$I963-8)))</x:f>
      </x:c>
      <x:c r="E963" s="51" t="str">
        <x:f>IF(955&gt;$H$4,"",IF(INDEX('Fleet dates'!$E$9:$E$1008,$I963-8)="","",INDEX('Fleet dates'!$E$9:$E$1008,$I963-8)))</x:f>
      </x:c>
      <x:c r="F963" s="51" t="str">
        <x:f>IF(955&gt;$H$4,"",IF(INDEX('Fleet dates'!$F$9:$F$1008,$I963-8)="","",INDEX('Fleet dates'!$F$9:$F$1008,$I963-8)))</x:f>
      </x:c>
      <x:c r="G963" s="50" t="str">
        <x:f>IF(955&gt;$H$4,"",IF(INDEX('Fleet dates'!$G$9:$G$1008,$I963-8)="","",INDEX('Fleet dates'!$G$9:$G$1008,$I963-8)))</x:f>
      </x:c>
      <x:c r="H963" s="50" t="str">
        <x:f>IF(955&gt;$H$4,"",IF(INDEX('Fleet dates'!$I$9:$I$1008,$I963-8)="","",INDEX('Fleet dates'!$I$9:$I$1008,$I963-8)))</x:f>
      </x:c>
      <x:c r="I963" t="str">
        <x:f>IF(955&gt;$H$4,"",MATCH(955,'Fleet dates'!$L$9:$L$1008,0)+8)</x:f>
      </x:c>
    </x:row>
    <x:row r="964" ht="36" customHeight="1">
      <x:c r="A964" s="50" t="str">
        <x:f>IF(956&gt;$H$4,"",IF(INDEX('Fleet dates'!$A$9:$A$1008,$I964-8)="","",INDEX('Fleet dates'!$A$9:$A$1008,$I964-8)))</x:f>
      </x:c>
      <x:c r="B964" s="50" t="str">
        <x:f>IF(956&gt;$H$4,"",IF(INDEX('Fleet dates'!$B$9:$B$1008,$I964-8)="","",INDEX('Fleet dates'!$B$9:$B$1008,$I964-8)))</x:f>
      </x:c>
      <x:c r="C964" s="51" t="str">
        <x:f>IF(956&gt;$H$4,"",IF(INDEX('Fleet dates'!$C$9:$C$1008,$I964-8)="","",INDEX('Fleet dates'!$C$9:$C$1008,$I964-8)))</x:f>
      </x:c>
      <x:c r="D964" s="51" t="str">
        <x:f>IF(956&gt;$H$4,"",IF(INDEX('Fleet dates'!$D$9:$D$1008,$I964-8)="","",INDEX('Fleet dates'!$D$9:$D$1008,$I964-8)))</x:f>
      </x:c>
      <x:c r="E964" s="51" t="str">
        <x:f>IF(956&gt;$H$4,"",IF(INDEX('Fleet dates'!$E$9:$E$1008,$I964-8)="","",INDEX('Fleet dates'!$E$9:$E$1008,$I964-8)))</x:f>
      </x:c>
      <x:c r="F964" s="51" t="str">
        <x:f>IF(956&gt;$H$4,"",IF(INDEX('Fleet dates'!$F$9:$F$1008,$I964-8)="","",INDEX('Fleet dates'!$F$9:$F$1008,$I964-8)))</x:f>
      </x:c>
      <x:c r="G964" s="50" t="str">
        <x:f>IF(956&gt;$H$4,"",IF(INDEX('Fleet dates'!$G$9:$G$1008,$I964-8)="","",INDEX('Fleet dates'!$G$9:$G$1008,$I964-8)))</x:f>
      </x:c>
      <x:c r="H964" s="50" t="str">
        <x:f>IF(956&gt;$H$4,"",IF(INDEX('Fleet dates'!$I$9:$I$1008,$I964-8)="","",INDEX('Fleet dates'!$I$9:$I$1008,$I964-8)))</x:f>
      </x:c>
      <x:c r="I964" t="str">
        <x:f>IF(956&gt;$H$4,"",MATCH(956,'Fleet dates'!$L$9:$L$1008,0)+8)</x:f>
      </x:c>
    </x:row>
    <x:row r="965" ht="36" customHeight="1">
      <x:c r="A965" s="50" t="str">
        <x:f>IF(957&gt;$H$4,"",IF(INDEX('Fleet dates'!$A$9:$A$1008,$I965-8)="","",INDEX('Fleet dates'!$A$9:$A$1008,$I965-8)))</x:f>
      </x:c>
      <x:c r="B965" s="50" t="str">
        <x:f>IF(957&gt;$H$4,"",IF(INDEX('Fleet dates'!$B$9:$B$1008,$I965-8)="","",INDEX('Fleet dates'!$B$9:$B$1008,$I965-8)))</x:f>
      </x:c>
      <x:c r="C965" s="51" t="str">
        <x:f>IF(957&gt;$H$4,"",IF(INDEX('Fleet dates'!$C$9:$C$1008,$I965-8)="","",INDEX('Fleet dates'!$C$9:$C$1008,$I965-8)))</x:f>
      </x:c>
      <x:c r="D965" s="51" t="str">
        <x:f>IF(957&gt;$H$4,"",IF(INDEX('Fleet dates'!$D$9:$D$1008,$I965-8)="","",INDEX('Fleet dates'!$D$9:$D$1008,$I965-8)))</x:f>
      </x:c>
      <x:c r="E965" s="51" t="str">
        <x:f>IF(957&gt;$H$4,"",IF(INDEX('Fleet dates'!$E$9:$E$1008,$I965-8)="","",INDEX('Fleet dates'!$E$9:$E$1008,$I965-8)))</x:f>
      </x:c>
      <x:c r="F965" s="51" t="str">
        <x:f>IF(957&gt;$H$4,"",IF(INDEX('Fleet dates'!$F$9:$F$1008,$I965-8)="","",INDEX('Fleet dates'!$F$9:$F$1008,$I965-8)))</x:f>
      </x:c>
      <x:c r="G965" s="50" t="str">
        <x:f>IF(957&gt;$H$4,"",IF(INDEX('Fleet dates'!$G$9:$G$1008,$I965-8)="","",INDEX('Fleet dates'!$G$9:$G$1008,$I965-8)))</x:f>
      </x:c>
      <x:c r="H965" s="50" t="str">
        <x:f>IF(957&gt;$H$4,"",IF(INDEX('Fleet dates'!$I$9:$I$1008,$I965-8)="","",INDEX('Fleet dates'!$I$9:$I$1008,$I965-8)))</x:f>
      </x:c>
      <x:c r="I965" t="str">
        <x:f>IF(957&gt;$H$4,"",MATCH(957,'Fleet dates'!$L$9:$L$1008,0)+8)</x:f>
      </x:c>
    </x:row>
    <x:row r="966" ht="36" customHeight="1">
      <x:c r="A966" s="50" t="str">
        <x:f>IF(958&gt;$H$4,"",IF(INDEX('Fleet dates'!$A$9:$A$1008,$I966-8)="","",INDEX('Fleet dates'!$A$9:$A$1008,$I966-8)))</x:f>
      </x:c>
      <x:c r="B966" s="50" t="str">
        <x:f>IF(958&gt;$H$4,"",IF(INDEX('Fleet dates'!$B$9:$B$1008,$I966-8)="","",INDEX('Fleet dates'!$B$9:$B$1008,$I966-8)))</x:f>
      </x:c>
      <x:c r="C966" s="51" t="str">
        <x:f>IF(958&gt;$H$4,"",IF(INDEX('Fleet dates'!$C$9:$C$1008,$I966-8)="","",INDEX('Fleet dates'!$C$9:$C$1008,$I966-8)))</x:f>
      </x:c>
      <x:c r="D966" s="51" t="str">
        <x:f>IF(958&gt;$H$4,"",IF(INDEX('Fleet dates'!$D$9:$D$1008,$I966-8)="","",INDEX('Fleet dates'!$D$9:$D$1008,$I966-8)))</x:f>
      </x:c>
      <x:c r="E966" s="51" t="str">
        <x:f>IF(958&gt;$H$4,"",IF(INDEX('Fleet dates'!$E$9:$E$1008,$I966-8)="","",INDEX('Fleet dates'!$E$9:$E$1008,$I966-8)))</x:f>
      </x:c>
      <x:c r="F966" s="51" t="str">
        <x:f>IF(958&gt;$H$4,"",IF(INDEX('Fleet dates'!$F$9:$F$1008,$I966-8)="","",INDEX('Fleet dates'!$F$9:$F$1008,$I966-8)))</x:f>
      </x:c>
      <x:c r="G966" s="50" t="str">
        <x:f>IF(958&gt;$H$4,"",IF(INDEX('Fleet dates'!$G$9:$G$1008,$I966-8)="","",INDEX('Fleet dates'!$G$9:$G$1008,$I966-8)))</x:f>
      </x:c>
      <x:c r="H966" s="50" t="str">
        <x:f>IF(958&gt;$H$4,"",IF(INDEX('Fleet dates'!$I$9:$I$1008,$I966-8)="","",INDEX('Fleet dates'!$I$9:$I$1008,$I966-8)))</x:f>
      </x:c>
      <x:c r="I966" t="str">
        <x:f>IF(958&gt;$H$4,"",MATCH(958,'Fleet dates'!$L$9:$L$1008,0)+8)</x:f>
      </x:c>
    </x:row>
    <x:row r="967" ht="36" customHeight="1">
      <x:c r="A967" s="50" t="str">
        <x:f>IF(959&gt;$H$4,"",IF(INDEX('Fleet dates'!$A$9:$A$1008,$I967-8)="","",INDEX('Fleet dates'!$A$9:$A$1008,$I967-8)))</x:f>
      </x:c>
      <x:c r="B967" s="50" t="str">
        <x:f>IF(959&gt;$H$4,"",IF(INDEX('Fleet dates'!$B$9:$B$1008,$I967-8)="","",INDEX('Fleet dates'!$B$9:$B$1008,$I967-8)))</x:f>
      </x:c>
      <x:c r="C967" s="51" t="str">
        <x:f>IF(959&gt;$H$4,"",IF(INDEX('Fleet dates'!$C$9:$C$1008,$I967-8)="","",INDEX('Fleet dates'!$C$9:$C$1008,$I967-8)))</x:f>
      </x:c>
      <x:c r="D967" s="51" t="str">
        <x:f>IF(959&gt;$H$4,"",IF(INDEX('Fleet dates'!$D$9:$D$1008,$I967-8)="","",INDEX('Fleet dates'!$D$9:$D$1008,$I967-8)))</x:f>
      </x:c>
      <x:c r="E967" s="51" t="str">
        <x:f>IF(959&gt;$H$4,"",IF(INDEX('Fleet dates'!$E$9:$E$1008,$I967-8)="","",INDEX('Fleet dates'!$E$9:$E$1008,$I967-8)))</x:f>
      </x:c>
      <x:c r="F967" s="51" t="str">
        <x:f>IF(959&gt;$H$4,"",IF(INDEX('Fleet dates'!$F$9:$F$1008,$I967-8)="","",INDEX('Fleet dates'!$F$9:$F$1008,$I967-8)))</x:f>
      </x:c>
      <x:c r="G967" s="50" t="str">
        <x:f>IF(959&gt;$H$4,"",IF(INDEX('Fleet dates'!$G$9:$G$1008,$I967-8)="","",INDEX('Fleet dates'!$G$9:$G$1008,$I967-8)))</x:f>
      </x:c>
      <x:c r="H967" s="50" t="str">
        <x:f>IF(959&gt;$H$4,"",IF(INDEX('Fleet dates'!$I$9:$I$1008,$I967-8)="","",INDEX('Fleet dates'!$I$9:$I$1008,$I967-8)))</x:f>
      </x:c>
      <x:c r="I967" t="str">
        <x:f>IF(959&gt;$H$4,"",MATCH(959,'Fleet dates'!$L$9:$L$1008,0)+8)</x:f>
      </x:c>
    </x:row>
    <x:row r="968" ht="36" customHeight="1">
      <x:c r="A968" s="50" t="str">
        <x:f>IF(960&gt;$H$4,"",IF(INDEX('Fleet dates'!$A$9:$A$1008,$I968-8)="","",INDEX('Fleet dates'!$A$9:$A$1008,$I968-8)))</x:f>
      </x:c>
      <x:c r="B968" s="50" t="str">
        <x:f>IF(960&gt;$H$4,"",IF(INDEX('Fleet dates'!$B$9:$B$1008,$I968-8)="","",INDEX('Fleet dates'!$B$9:$B$1008,$I968-8)))</x:f>
      </x:c>
      <x:c r="C968" s="51" t="str">
        <x:f>IF(960&gt;$H$4,"",IF(INDEX('Fleet dates'!$C$9:$C$1008,$I968-8)="","",INDEX('Fleet dates'!$C$9:$C$1008,$I968-8)))</x:f>
      </x:c>
      <x:c r="D968" s="51" t="str">
        <x:f>IF(960&gt;$H$4,"",IF(INDEX('Fleet dates'!$D$9:$D$1008,$I968-8)="","",INDEX('Fleet dates'!$D$9:$D$1008,$I968-8)))</x:f>
      </x:c>
      <x:c r="E968" s="51" t="str">
        <x:f>IF(960&gt;$H$4,"",IF(INDEX('Fleet dates'!$E$9:$E$1008,$I968-8)="","",INDEX('Fleet dates'!$E$9:$E$1008,$I968-8)))</x:f>
      </x:c>
      <x:c r="F968" s="51" t="str">
        <x:f>IF(960&gt;$H$4,"",IF(INDEX('Fleet dates'!$F$9:$F$1008,$I968-8)="","",INDEX('Fleet dates'!$F$9:$F$1008,$I968-8)))</x:f>
      </x:c>
      <x:c r="G968" s="50" t="str">
        <x:f>IF(960&gt;$H$4,"",IF(INDEX('Fleet dates'!$G$9:$G$1008,$I968-8)="","",INDEX('Fleet dates'!$G$9:$G$1008,$I968-8)))</x:f>
      </x:c>
      <x:c r="H968" s="50" t="str">
        <x:f>IF(960&gt;$H$4,"",IF(INDEX('Fleet dates'!$I$9:$I$1008,$I968-8)="","",INDEX('Fleet dates'!$I$9:$I$1008,$I968-8)))</x:f>
      </x:c>
      <x:c r="I968" t="str">
        <x:f>IF(960&gt;$H$4,"",MATCH(960,'Fleet dates'!$L$9:$L$1008,0)+8)</x:f>
      </x:c>
    </x:row>
    <x:row r="969" ht="36" customHeight="1">
      <x:c r="A969" s="50" t="str">
        <x:f>IF(961&gt;$H$4,"",IF(INDEX('Fleet dates'!$A$9:$A$1008,$I969-8)="","",INDEX('Fleet dates'!$A$9:$A$1008,$I969-8)))</x:f>
      </x:c>
      <x:c r="B969" s="50" t="str">
        <x:f>IF(961&gt;$H$4,"",IF(INDEX('Fleet dates'!$B$9:$B$1008,$I969-8)="","",INDEX('Fleet dates'!$B$9:$B$1008,$I969-8)))</x:f>
      </x:c>
      <x:c r="C969" s="51" t="str">
        <x:f>IF(961&gt;$H$4,"",IF(INDEX('Fleet dates'!$C$9:$C$1008,$I969-8)="","",INDEX('Fleet dates'!$C$9:$C$1008,$I969-8)))</x:f>
      </x:c>
      <x:c r="D969" s="51" t="str">
        <x:f>IF(961&gt;$H$4,"",IF(INDEX('Fleet dates'!$D$9:$D$1008,$I969-8)="","",INDEX('Fleet dates'!$D$9:$D$1008,$I969-8)))</x:f>
      </x:c>
      <x:c r="E969" s="51" t="str">
        <x:f>IF(961&gt;$H$4,"",IF(INDEX('Fleet dates'!$E$9:$E$1008,$I969-8)="","",INDEX('Fleet dates'!$E$9:$E$1008,$I969-8)))</x:f>
      </x:c>
      <x:c r="F969" s="51" t="str">
        <x:f>IF(961&gt;$H$4,"",IF(INDEX('Fleet dates'!$F$9:$F$1008,$I969-8)="","",INDEX('Fleet dates'!$F$9:$F$1008,$I969-8)))</x:f>
      </x:c>
      <x:c r="G969" s="50" t="str">
        <x:f>IF(961&gt;$H$4,"",IF(INDEX('Fleet dates'!$G$9:$G$1008,$I969-8)="","",INDEX('Fleet dates'!$G$9:$G$1008,$I969-8)))</x:f>
      </x:c>
      <x:c r="H969" s="50" t="str">
        <x:f>IF(961&gt;$H$4,"",IF(INDEX('Fleet dates'!$I$9:$I$1008,$I969-8)="","",INDEX('Fleet dates'!$I$9:$I$1008,$I969-8)))</x:f>
      </x:c>
      <x:c r="I969" t="str">
        <x:f>IF(961&gt;$H$4,"",MATCH(961,'Fleet dates'!$L$9:$L$1008,0)+8)</x:f>
      </x:c>
    </x:row>
    <x:row r="970" ht="36" customHeight="1">
      <x:c r="A970" s="50" t="str">
        <x:f>IF(962&gt;$H$4,"",IF(INDEX('Fleet dates'!$A$9:$A$1008,$I970-8)="","",INDEX('Fleet dates'!$A$9:$A$1008,$I970-8)))</x:f>
      </x:c>
      <x:c r="B970" s="50" t="str">
        <x:f>IF(962&gt;$H$4,"",IF(INDEX('Fleet dates'!$B$9:$B$1008,$I970-8)="","",INDEX('Fleet dates'!$B$9:$B$1008,$I970-8)))</x:f>
      </x:c>
      <x:c r="C970" s="51" t="str">
        <x:f>IF(962&gt;$H$4,"",IF(INDEX('Fleet dates'!$C$9:$C$1008,$I970-8)="","",INDEX('Fleet dates'!$C$9:$C$1008,$I970-8)))</x:f>
      </x:c>
      <x:c r="D970" s="51" t="str">
        <x:f>IF(962&gt;$H$4,"",IF(INDEX('Fleet dates'!$D$9:$D$1008,$I970-8)="","",INDEX('Fleet dates'!$D$9:$D$1008,$I970-8)))</x:f>
      </x:c>
      <x:c r="E970" s="51" t="str">
        <x:f>IF(962&gt;$H$4,"",IF(INDEX('Fleet dates'!$E$9:$E$1008,$I970-8)="","",INDEX('Fleet dates'!$E$9:$E$1008,$I970-8)))</x:f>
      </x:c>
      <x:c r="F970" s="51" t="str">
        <x:f>IF(962&gt;$H$4,"",IF(INDEX('Fleet dates'!$F$9:$F$1008,$I970-8)="","",INDEX('Fleet dates'!$F$9:$F$1008,$I970-8)))</x:f>
      </x:c>
      <x:c r="G970" s="50" t="str">
        <x:f>IF(962&gt;$H$4,"",IF(INDEX('Fleet dates'!$G$9:$G$1008,$I970-8)="","",INDEX('Fleet dates'!$G$9:$G$1008,$I970-8)))</x:f>
      </x:c>
      <x:c r="H970" s="50" t="str">
        <x:f>IF(962&gt;$H$4,"",IF(INDEX('Fleet dates'!$I$9:$I$1008,$I970-8)="","",INDEX('Fleet dates'!$I$9:$I$1008,$I970-8)))</x:f>
      </x:c>
      <x:c r="I970" t="str">
        <x:f>IF(962&gt;$H$4,"",MATCH(962,'Fleet dates'!$L$9:$L$1008,0)+8)</x:f>
      </x:c>
    </x:row>
    <x:row r="971" ht="36" customHeight="1">
      <x:c r="A971" s="50" t="str">
        <x:f>IF(963&gt;$H$4,"",IF(INDEX('Fleet dates'!$A$9:$A$1008,$I971-8)="","",INDEX('Fleet dates'!$A$9:$A$1008,$I971-8)))</x:f>
      </x:c>
      <x:c r="B971" s="50" t="str">
        <x:f>IF(963&gt;$H$4,"",IF(INDEX('Fleet dates'!$B$9:$B$1008,$I971-8)="","",INDEX('Fleet dates'!$B$9:$B$1008,$I971-8)))</x:f>
      </x:c>
      <x:c r="C971" s="51" t="str">
        <x:f>IF(963&gt;$H$4,"",IF(INDEX('Fleet dates'!$C$9:$C$1008,$I971-8)="","",INDEX('Fleet dates'!$C$9:$C$1008,$I971-8)))</x:f>
      </x:c>
      <x:c r="D971" s="51" t="str">
        <x:f>IF(963&gt;$H$4,"",IF(INDEX('Fleet dates'!$D$9:$D$1008,$I971-8)="","",INDEX('Fleet dates'!$D$9:$D$1008,$I971-8)))</x:f>
      </x:c>
      <x:c r="E971" s="51" t="str">
        <x:f>IF(963&gt;$H$4,"",IF(INDEX('Fleet dates'!$E$9:$E$1008,$I971-8)="","",INDEX('Fleet dates'!$E$9:$E$1008,$I971-8)))</x:f>
      </x:c>
      <x:c r="F971" s="51" t="str">
        <x:f>IF(963&gt;$H$4,"",IF(INDEX('Fleet dates'!$F$9:$F$1008,$I971-8)="","",INDEX('Fleet dates'!$F$9:$F$1008,$I971-8)))</x:f>
      </x:c>
      <x:c r="G971" s="50" t="str">
        <x:f>IF(963&gt;$H$4,"",IF(INDEX('Fleet dates'!$G$9:$G$1008,$I971-8)="","",INDEX('Fleet dates'!$G$9:$G$1008,$I971-8)))</x:f>
      </x:c>
      <x:c r="H971" s="50" t="str">
        <x:f>IF(963&gt;$H$4,"",IF(INDEX('Fleet dates'!$I$9:$I$1008,$I971-8)="","",INDEX('Fleet dates'!$I$9:$I$1008,$I971-8)))</x:f>
      </x:c>
      <x:c r="I971" t="str">
        <x:f>IF(963&gt;$H$4,"",MATCH(963,'Fleet dates'!$L$9:$L$1008,0)+8)</x:f>
      </x:c>
    </x:row>
    <x:row r="972" ht="36" customHeight="1">
      <x:c r="A972" s="50" t="str">
        <x:f>IF(964&gt;$H$4,"",IF(INDEX('Fleet dates'!$A$9:$A$1008,$I972-8)="","",INDEX('Fleet dates'!$A$9:$A$1008,$I972-8)))</x:f>
      </x:c>
      <x:c r="B972" s="50" t="str">
        <x:f>IF(964&gt;$H$4,"",IF(INDEX('Fleet dates'!$B$9:$B$1008,$I972-8)="","",INDEX('Fleet dates'!$B$9:$B$1008,$I972-8)))</x:f>
      </x:c>
      <x:c r="C972" s="51" t="str">
        <x:f>IF(964&gt;$H$4,"",IF(INDEX('Fleet dates'!$C$9:$C$1008,$I972-8)="","",INDEX('Fleet dates'!$C$9:$C$1008,$I972-8)))</x:f>
      </x:c>
      <x:c r="D972" s="51" t="str">
        <x:f>IF(964&gt;$H$4,"",IF(INDEX('Fleet dates'!$D$9:$D$1008,$I972-8)="","",INDEX('Fleet dates'!$D$9:$D$1008,$I972-8)))</x:f>
      </x:c>
      <x:c r="E972" s="51" t="str">
        <x:f>IF(964&gt;$H$4,"",IF(INDEX('Fleet dates'!$E$9:$E$1008,$I972-8)="","",INDEX('Fleet dates'!$E$9:$E$1008,$I972-8)))</x:f>
      </x:c>
      <x:c r="F972" s="51" t="str">
        <x:f>IF(964&gt;$H$4,"",IF(INDEX('Fleet dates'!$F$9:$F$1008,$I972-8)="","",INDEX('Fleet dates'!$F$9:$F$1008,$I972-8)))</x:f>
      </x:c>
      <x:c r="G972" s="50" t="str">
        <x:f>IF(964&gt;$H$4,"",IF(INDEX('Fleet dates'!$G$9:$G$1008,$I972-8)="","",INDEX('Fleet dates'!$G$9:$G$1008,$I972-8)))</x:f>
      </x:c>
      <x:c r="H972" s="50" t="str">
        <x:f>IF(964&gt;$H$4,"",IF(INDEX('Fleet dates'!$I$9:$I$1008,$I972-8)="","",INDEX('Fleet dates'!$I$9:$I$1008,$I972-8)))</x:f>
      </x:c>
      <x:c r="I972" t="str">
        <x:f>IF(964&gt;$H$4,"",MATCH(964,'Fleet dates'!$L$9:$L$1008,0)+8)</x:f>
      </x:c>
    </x:row>
    <x:row r="973" ht="36" customHeight="1">
      <x:c r="A973" s="50" t="str">
        <x:f>IF(965&gt;$H$4,"",IF(INDEX('Fleet dates'!$A$9:$A$1008,$I973-8)="","",INDEX('Fleet dates'!$A$9:$A$1008,$I973-8)))</x:f>
      </x:c>
      <x:c r="B973" s="50" t="str">
        <x:f>IF(965&gt;$H$4,"",IF(INDEX('Fleet dates'!$B$9:$B$1008,$I973-8)="","",INDEX('Fleet dates'!$B$9:$B$1008,$I973-8)))</x:f>
      </x:c>
      <x:c r="C973" s="51" t="str">
        <x:f>IF(965&gt;$H$4,"",IF(INDEX('Fleet dates'!$C$9:$C$1008,$I973-8)="","",INDEX('Fleet dates'!$C$9:$C$1008,$I973-8)))</x:f>
      </x:c>
      <x:c r="D973" s="51" t="str">
        <x:f>IF(965&gt;$H$4,"",IF(INDEX('Fleet dates'!$D$9:$D$1008,$I973-8)="","",INDEX('Fleet dates'!$D$9:$D$1008,$I973-8)))</x:f>
      </x:c>
      <x:c r="E973" s="51" t="str">
        <x:f>IF(965&gt;$H$4,"",IF(INDEX('Fleet dates'!$E$9:$E$1008,$I973-8)="","",INDEX('Fleet dates'!$E$9:$E$1008,$I973-8)))</x:f>
      </x:c>
      <x:c r="F973" s="51" t="str">
        <x:f>IF(965&gt;$H$4,"",IF(INDEX('Fleet dates'!$F$9:$F$1008,$I973-8)="","",INDEX('Fleet dates'!$F$9:$F$1008,$I973-8)))</x:f>
      </x:c>
      <x:c r="G973" s="50" t="str">
        <x:f>IF(965&gt;$H$4,"",IF(INDEX('Fleet dates'!$G$9:$G$1008,$I973-8)="","",INDEX('Fleet dates'!$G$9:$G$1008,$I973-8)))</x:f>
      </x:c>
      <x:c r="H973" s="50" t="str">
        <x:f>IF(965&gt;$H$4,"",IF(INDEX('Fleet dates'!$I$9:$I$1008,$I973-8)="","",INDEX('Fleet dates'!$I$9:$I$1008,$I973-8)))</x:f>
      </x:c>
      <x:c r="I973" t="str">
        <x:f>IF(965&gt;$H$4,"",MATCH(965,'Fleet dates'!$L$9:$L$1008,0)+8)</x:f>
      </x:c>
    </x:row>
    <x:row r="974" ht="36" customHeight="1">
      <x:c r="A974" s="50" t="str">
        <x:f>IF(966&gt;$H$4,"",IF(INDEX('Fleet dates'!$A$9:$A$1008,$I974-8)="","",INDEX('Fleet dates'!$A$9:$A$1008,$I974-8)))</x:f>
      </x:c>
      <x:c r="B974" s="50" t="str">
        <x:f>IF(966&gt;$H$4,"",IF(INDEX('Fleet dates'!$B$9:$B$1008,$I974-8)="","",INDEX('Fleet dates'!$B$9:$B$1008,$I974-8)))</x:f>
      </x:c>
      <x:c r="C974" s="51" t="str">
        <x:f>IF(966&gt;$H$4,"",IF(INDEX('Fleet dates'!$C$9:$C$1008,$I974-8)="","",INDEX('Fleet dates'!$C$9:$C$1008,$I974-8)))</x:f>
      </x:c>
      <x:c r="D974" s="51" t="str">
        <x:f>IF(966&gt;$H$4,"",IF(INDEX('Fleet dates'!$D$9:$D$1008,$I974-8)="","",INDEX('Fleet dates'!$D$9:$D$1008,$I974-8)))</x:f>
      </x:c>
      <x:c r="E974" s="51" t="str">
        <x:f>IF(966&gt;$H$4,"",IF(INDEX('Fleet dates'!$E$9:$E$1008,$I974-8)="","",INDEX('Fleet dates'!$E$9:$E$1008,$I974-8)))</x:f>
      </x:c>
      <x:c r="F974" s="51" t="str">
        <x:f>IF(966&gt;$H$4,"",IF(INDEX('Fleet dates'!$F$9:$F$1008,$I974-8)="","",INDEX('Fleet dates'!$F$9:$F$1008,$I974-8)))</x:f>
      </x:c>
      <x:c r="G974" s="50" t="str">
        <x:f>IF(966&gt;$H$4,"",IF(INDEX('Fleet dates'!$G$9:$G$1008,$I974-8)="","",INDEX('Fleet dates'!$G$9:$G$1008,$I974-8)))</x:f>
      </x:c>
      <x:c r="H974" s="50" t="str">
        <x:f>IF(966&gt;$H$4,"",IF(INDEX('Fleet dates'!$I$9:$I$1008,$I974-8)="","",INDEX('Fleet dates'!$I$9:$I$1008,$I974-8)))</x:f>
      </x:c>
      <x:c r="I974" t="str">
        <x:f>IF(966&gt;$H$4,"",MATCH(966,'Fleet dates'!$L$9:$L$1008,0)+8)</x:f>
      </x:c>
    </x:row>
    <x:row r="975" ht="36" customHeight="1">
      <x:c r="A975" s="50" t="str">
        <x:f>IF(967&gt;$H$4,"",IF(INDEX('Fleet dates'!$A$9:$A$1008,$I975-8)="","",INDEX('Fleet dates'!$A$9:$A$1008,$I975-8)))</x:f>
      </x:c>
      <x:c r="B975" s="50" t="str">
        <x:f>IF(967&gt;$H$4,"",IF(INDEX('Fleet dates'!$B$9:$B$1008,$I975-8)="","",INDEX('Fleet dates'!$B$9:$B$1008,$I975-8)))</x:f>
      </x:c>
      <x:c r="C975" s="51" t="str">
        <x:f>IF(967&gt;$H$4,"",IF(INDEX('Fleet dates'!$C$9:$C$1008,$I975-8)="","",INDEX('Fleet dates'!$C$9:$C$1008,$I975-8)))</x:f>
      </x:c>
      <x:c r="D975" s="51" t="str">
        <x:f>IF(967&gt;$H$4,"",IF(INDEX('Fleet dates'!$D$9:$D$1008,$I975-8)="","",INDEX('Fleet dates'!$D$9:$D$1008,$I975-8)))</x:f>
      </x:c>
      <x:c r="E975" s="51" t="str">
        <x:f>IF(967&gt;$H$4,"",IF(INDEX('Fleet dates'!$E$9:$E$1008,$I975-8)="","",INDEX('Fleet dates'!$E$9:$E$1008,$I975-8)))</x:f>
      </x:c>
      <x:c r="F975" s="51" t="str">
        <x:f>IF(967&gt;$H$4,"",IF(INDEX('Fleet dates'!$F$9:$F$1008,$I975-8)="","",INDEX('Fleet dates'!$F$9:$F$1008,$I975-8)))</x:f>
      </x:c>
      <x:c r="G975" s="50" t="str">
        <x:f>IF(967&gt;$H$4,"",IF(INDEX('Fleet dates'!$G$9:$G$1008,$I975-8)="","",INDEX('Fleet dates'!$G$9:$G$1008,$I975-8)))</x:f>
      </x:c>
      <x:c r="H975" s="50" t="str">
        <x:f>IF(967&gt;$H$4,"",IF(INDEX('Fleet dates'!$I$9:$I$1008,$I975-8)="","",INDEX('Fleet dates'!$I$9:$I$1008,$I975-8)))</x:f>
      </x:c>
      <x:c r="I975" t="str">
        <x:f>IF(967&gt;$H$4,"",MATCH(967,'Fleet dates'!$L$9:$L$1008,0)+8)</x:f>
      </x:c>
    </x:row>
    <x:row r="976" ht="36" customHeight="1">
      <x:c r="A976" s="50" t="str">
        <x:f>IF(968&gt;$H$4,"",IF(INDEX('Fleet dates'!$A$9:$A$1008,$I976-8)="","",INDEX('Fleet dates'!$A$9:$A$1008,$I976-8)))</x:f>
      </x:c>
      <x:c r="B976" s="50" t="str">
        <x:f>IF(968&gt;$H$4,"",IF(INDEX('Fleet dates'!$B$9:$B$1008,$I976-8)="","",INDEX('Fleet dates'!$B$9:$B$1008,$I976-8)))</x:f>
      </x:c>
      <x:c r="C976" s="51" t="str">
        <x:f>IF(968&gt;$H$4,"",IF(INDEX('Fleet dates'!$C$9:$C$1008,$I976-8)="","",INDEX('Fleet dates'!$C$9:$C$1008,$I976-8)))</x:f>
      </x:c>
      <x:c r="D976" s="51" t="str">
        <x:f>IF(968&gt;$H$4,"",IF(INDEX('Fleet dates'!$D$9:$D$1008,$I976-8)="","",INDEX('Fleet dates'!$D$9:$D$1008,$I976-8)))</x:f>
      </x:c>
      <x:c r="E976" s="51" t="str">
        <x:f>IF(968&gt;$H$4,"",IF(INDEX('Fleet dates'!$E$9:$E$1008,$I976-8)="","",INDEX('Fleet dates'!$E$9:$E$1008,$I976-8)))</x:f>
      </x:c>
      <x:c r="F976" s="51" t="str">
        <x:f>IF(968&gt;$H$4,"",IF(INDEX('Fleet dates'!$F$9:$F$1008,$I976-8)="","",INDEX('Fleet dates'!$F$9:$F$1008,$I976-8)))</x:f>
      </x:c>
      <x:c r="G976" s="50" t="str">
        <x:f>IF(968&gt;$H$4,"",IF(INDEX('Fleet dates'!$G$9:$G$1008,$I976-8)="","",INDEX('Fleet dates'!$G$9:$G$1008,$I976-8)))</x:f>
      </x:c>
      <x:c r="H976" s="50" t="str">
        <x:f>IF(968&gt;$H$4,"",IF(INDEX('Fleet dates'!$I$9:$I$1008,$I976-8)="","",INDEX('Fleet dates'!$I$9:$I$1008,$I976-8)))</x:f>
      </x:c>
      <x:c r="I976" t="str">
        <x:f>IF(968&gt;$H$4,"",MATCH(968,'Fleet dates'!$L$9:$L$1008,0)+8)</x:f>
      </x:c>
    </x:row>
    <x:row r="977" ht="36" customHeight="1">
      <x:c r="A977" s="50" t="str">
        <x:f>IF(969&gt;$H$4,"",IF(INDEX('Fleet dates'!$A$9:$A$1008,$I977-8)="","",INDEX('Fleet dates'!$A$9:$A$1008,$I977-8)))</x:f>
      </x:c>
      <x:c r="B977" s="50" t="str">
        <x:f>IF(969&gt;$H$4,"",IF(INDEX('Fleet dates'!$B$9:$B$1008,$I977-8)="","",INDEX('Fleet dates'!$B$9:$B$1008,$I977-8)))</x:f>
      </x:c>
      <x:c r="C977" s="51" t="str">
        <x:f>IF(969&gt;$H$4,"",IF(INDEX('Fleet dates'!$C$9:$C$1008,$I977-8)="","",INDEX('Fleet dates'!$C$9:$C$1008,$I977-8)))</x:f>
      </x:c>
      <x:c r="D977" s="51" t="str">
        <x:f>IF(969&gt;$H$4,"",IF(INDEX('Fleet dates'!$D$9:$D$1008,$I977-8)="","",INDEX('Fleet dates'!$D$9:$D$1008,$I977-8)))</x:f>
      </x:c>
      <x:c r="E977" s="51" t="str">
        <x:f>IF(969&gt;$H$4,"",IF(INDEX('Fleet dates'!$E$9:$E$1008,$I977-8)="","",INDEX('Fleet dates'!$E$9:$E$1008,$I977-8)))</x:f>
      </x:c>
      <x:c r="F977" s="51" t="str">
        <x:f>IF(969&gt;$H$4,"",IF(INDEX('Fleet dates'!$F$9:$F$1008,$I977-8)="","",INDEX('Fleet dates'!$F$9:$F$1008,$I977-8)))</x:f>
      </x:c>
      <x:c r="G977" s="50" t="str">
        <x:f>IF(969&gt;$H$4,"",IF(INDEX('Fleet dates'!$G$9:$G$1008,$I977-8)="","",INDEX('Fleet dates'!$G$9:$G$1008,$I977-8)))</x:f>
      </x:c>
      <x:c r="H977" s="50" t="str">
        <x:f>IF(969&gt;$H$4,"",IF(INDEX('Fleet dates'!$I$9:$I$1008,$I977-8)="","",INDEX('Fleet dates'!$I$9:$I$1008,$I977-8)))</x:f>
      </x:c>
      <x:c r="I977" t="str">
        <x:f>IF(969&gt;$H$4,"",MATCH(969,'Fleet dates'!$L$9:$L$1008,0)+8)</x:f>
      </x:c>
    </x:row>
    <x:row r="978" ht="36" customHeight="1">
      <x:c r="A978" s="50" t="str">
        <x:f>IF(970&gt;$H$4,"",IF(INDEX('Fleet dates'!$A$9:$A$1008,$I978-8)="","",INDEX('Fleet dates'!$A$9:$A$1008,$I978-8)))</x:f>
      </x:c>
      <x:c r="B978" s="50" t="str">
        <x:f>IF(970&gt;$H$4,"",IF(INDEX('Fleet dates'!$B$9:$B$1008,$I978-8)="","",INDEX('Fleet dates'!$B$9:$B$1008,$I978-8)))</x:f>
      </x:c>
      <x:c r="C978" s="51" t="str">
        <x:f>IF(970&gt;$H$4,"",IF(INDEX('Fleet dates'!$C$9:$C$1008,$I978-8)="","",INDEX('Fleet dates'!$C$9:$C$1008,$I978-8)))</x:f>
      </x:c>
      <x:c r="D978" s="51" t="str">
        <x:f>IF(970&gt;$H$4,"",IF(INDEX('Fleet dates'!$D$9:$D$1008,$I978-8)="","",INDEX('Fleet dates'!$D$9:$D$1008,$I978-8)))</x:f>
      </x:c>
      <x:c r="E978" s="51" t="str">
        <x:f>IF(970&gt;$H$4,"",IF(INDEX('Fleet dates'!$E$9:$E$1008,$I978-8)="","",INDEX('Fleet dates'!$E$9:$E$1008,$I978-8)))</x:f>
      </x:c>
      <x:c r="F978" s="51" t="str">
        <x:f>IF(970&gt;$H$4,"",IF(INDEX('Fleet dates'!$F$9:$F$1008,$I978-8)="","",INDEX('Fleet dates'!$F$9:$F$1008,$I978-8)))</x:f>
      </x:c>
      <x:c r="G978" s="50" t="str">
        <x:f>IF(970&gt;$H$4,"",IF(INDEX('Fleet dates'!$G$9:$G$1008,$I978-8)="","",INDEX('Fleet dates'!$G$9:$G$1008,$I978-8)))</x:f>
      </x:c>
      <x:c r="H978" s="50" t="str">
        <x:f>IF(970&gt;$H$4,"",IF(INDEX('Fleet dates'!$I$9:$I$1008,$I978-8)="","",INDEX('Fleet dates'!$I$9:$I$1008,$I978-8)))</x:f>
      </x:c>
      <x:c r="I978" t="str">
        <x:f>IF(970&gt;$H$4,"",MATCH(970,'Fleet dates'!$L$9:$L$1008,0)+8)</x:f>
      </x:c>
    </x:row>
    <x:row r="979" ht="36" customHeight="1">
      <x:c r="A979" s="50" t="str">
        <x:f>IF(971&gt;$H$4,"",IF(INDEX('Fleet dates'!$A$9:$A$1008,$I979-8)="","",INDEX('Fleet dates'!$A$9:$A$1008,$I979-8)))</x:f>
      </x:c>
      <x:c r="B979" s="50" t="str">
        <x:f>IF(971&gt;$H$4,"",IF(INDEX('Fleet dates'!$B$9:$B$1008,$I979-8)="","",INDEX('Fleet dates'!$B$9:$B$1008,$I979-8)))</x:f>
      </x:c>
      <x:c r="C979" s="51" t="str">
        <x:f>IF(971&gt;$H$4,"",IF(INDEX('Fleet dates'!$C$9:$C$1008,$I979-8)="","",INDEX('Fleet dates'!$C$9:$C$1008,$I979-8)))</x:f>
      </x:c>
      <x:c r="D979" s="51" t="str">
        <x:f>IF(971&gt;$H$4,"",IF(INDEX('Fleet dates'!$D$9:$D$1008,$I979-8)="","",INDEX('Fleet dates'!$D$9:$D$1008,$I979-8)))</x:f>
      </x:c>
      <x:c r="E979" s="51" t="str">
        <x:f>IF(971&gt;$H$4,"",IF(INDEX('Fleet dates'!$E$9:$E$1008,$I979-8)="","",INDEX('Fleet dates'!$E$9:$E$1008,$I979-8)))</x:f>
      </x:c>
      <x:c r="F979" s="51" t="str">
        <x:f>IF(971&gt;$H$4,"",IF(INDEX('Fleet dates'!$F$9:$F$1008,$I979-8)="","",INDEX('Fleet dates'!$F$9:$F$1008,$I979-8)))</x:f>
      </x:c>
      <x:c r="G979" s="50" t="str">
        <x:f>IF(971&gt;$H$4,"",IF(INDEX('Fleet dates'!$G$9:$G$1008,$I979-8)="","",INDEX('Fleet dates'!$G$9:$G$1008,$I979-8)))</x:f>
      </x:c>
      <x:c r="H979" s="50" t="str">
        <x:f>IF(971&gt;$H$4,"",IF(INDEX('Fleet dates'!$I$9:$I$1008,$I979-8)="","",INDEX('Fleet dates'!$I$9:$I$1008,$I979-8)))</x:f>
      </x:c>
      <x:c r="I979" t="str">
        <x:f>IF(971&gt;$H$4,"",MATCH(971,'Fleet dates'!$L$9:$L$1008,0)+8)</x:f>
      </x:c>
    </x:row>
    <x:row r="980" ht="36" customHeight="1">
      <x:c r="A980" s="50" t="str">
        <x:f>IF(972&gt;$H$4,"",IF(INDEX('Fleet dates'!$A$9:$A$1008,$I980-8)="","",INDEX('Fleet dates'!$A$9:$A$1008,$I980-8)))</x:f>
      </x:c>
      <x:c r="B980" s="50" t="str">
        <x:f>IF(972&gt;$H$4,"",IF(INDEX('Fleet dates'!$B$9:$B$1008,$I980-8)="","",INDEX('Fleet dates'!$B$9:$B$1008,$I980-8)))</x:f>
      </x:c>
      <x:c r="C980" s="51" t="str">
        <x:f>IF(972&gt;$H$4,"",IF(INDEX('Fleet dates'!$C$9:$C$1008,$I980-8)="","",INDEX('Fleet dates'!$C$9:$C$1008,$I980-8)))</x:f>
      </x:c>
      <x:c r="D980" s="51" t="str">
        <x:f>IF(972&gt;$H$4,"",IF(INDEX('Fleet dates'!$D$9:$D$1008,$I980-8)="","",INDEX('Fleet dates'!$D$9:$D$1008,$I980-8)))</x:f>
      </x:c>
      <x:c r="E980" s="51" t="str">
        <x:f>IF(972&gt;$H$4,"",IF(INDEX('Fleet dates'!$E$9:$E$1008,$I980-8)="","",INDEX('Fleet dates'!$E$9:$E$1008,$I980-8)))</x:f>
      </x:c>
      <x:c r="F980" s="51" t="str">
        <x:f>IF(972&gt;$H$4,"",IF(INDEX('Fleet dates'!$F$9:$F$1008,$I980-8)="","",INDEX('Fleet dates'!$F$9:$F$1008,$I980-8)))</x:f>
      </x:c>
      <x:c r="G980" s="50" t="str">
        <x:f>IF(972&gt;$H$4,"",IF(INDEX('Fleet dates'!$G$9:$G$1008,$I980-8)="","",INDEX('Fleet dates'!$G$9:$G$1008,$I980-8)))</x:f>
      </x:c>
      <x:c r="H980" s="50" t="str">
        <x:f>IF(972&gt;$H$4,"",IF(INDEX('Fleet dates'!$I$9:$I$1008,$I980-8)="","",INDEX('Fleet dates'!$I$9:$I$1008,$I980-8)))</x:f>
      </x:c>
      <x:c r="I980" t="str">
        <x:f>IF(972&gt;$H$4,"",MATCH(972,'Fleet dates'!$L$9:$L$1008,0)+8)</x:f>
      </x:c>
    </x:row>
    <x:row r="981" ht="36" customHeight="1">
      <x:c r="A981" s="50" t="str">
        <x:f>IF(973&gt;$H$4,"",IF(INDEX('Fleet dates'!$A$9:$A$1008,$I981-8)="","",INDEX('Fleet dates'!$A$9:$A$1008,$I981-8)))</x:f>
      </x:c>
      <x:c r="B981" s="50" t="str">
        <x:f>IF(973&gt;$H$4,"",IF(INDEX('Fleet dates'!$B$9:$B$1008,$I981-8)="","",INDEX('Fleet dates'!$B$9:$B$1008,$I981-8)))</x:f>
      </x:c>
      <x:c r="C981" s="51" t="str">
        <x:f>IF(973&gt;$H$4,"",IF(INDEX('Fleet dates'!$C$9:$C$1008,$I981-8)="","",INDEX('Fleet dates'!$C$9:$C$1008,$I981-8)))</x:f>
      </x:c>
      <x:c r="D981" s="51" t="str">
        <x:f>IF(973&gt;$H$4,"",IF(INDEX('Fleet dates'!$D$9:$D$1008,$I981-8)="","",INDEX('Fleet dates'!$D$9:$D$1008,$I981-8)))</x:f>
      </x:c>
      <x:c r="E981" s="51" t="str">
        <x:f>IF(973&gt;$H$4,"",IF(INDEX('Fleet dates'!$E$9:$E$1008,$I981-8)="","",INDEX('Fleet dates'!$E$9:$E$1008,$I981-8)))</x:f>
      </x:c>
      <x:c r="F981" s="51" t="str">
        <x:f>IF(973&gt;$H$4,"",IF(INDEX('Fleet dates'!$F$9:$F$1008,$I981-8)="","",INDEX('Fleet dates'!$F$9:$F$1008,$I981-8)))</x:f>
      </x:c>
      <x:c r="G981" s="50" t="str">
        <x:f>IF(973&gt;$H$4,"",IF(INDEX('Fleet dates'!$G$9:$G$1008,$I981-8)="","",INDEX('Fleet dates'!$G$9:$G$1008,$I981-8)))</x:f>
      </x:c>
      <x:c r="H981" s="50" t="str">
        <x:f>IF(973&gt;$H$4,"",IF(INDEX('Fleet dates'!$I$9:$I$1008,$I981-8)="","",INDEX('Fleet dates'!$I$9:$I$1008,$I981-8)))</x:f>
      </x:c>
      <x:c r="I981" t="str">
        <x:f>IF(973&gt;$H$4,"",MATCH(973,'Fleet dates'!$L$9:$L$1008,0)+8)</x:f>
      </x:c>
    </x:row>
    <x:row r="982" ht="36" customHeight="1">
      <x:c r="A982" s="50" t="str">
        <x:f>IF(974&gt;$H$4,"",IF(INDEX('Fleet dates'!$A$9:$A$1008,$I982-8)="","",INDEX('Fleet dates'!$A$9:$A$1008,$I982-8)))</x:f>
      </x:c>
      <x:c r="B982" s="50" t="str">
        <x:f>IF(974&gt;$H$4,"",IF(INDEX('Fleet dates'!$B$9:$B$1008,$I982-8)="","",INDEX('Fleet dates'!$B$9:$B$1008,$I982-8)))</x:f>
      </x:c>
      <x:c r="C982" s="51" t="str">
        <x:f>IF(974&gt;$H$4,"",IF(INDEX('Fleet dates'!$C$9:$C$1008,$I982-8)="","",INDEX('Fleet dates'!$C$9:$C$1008,$I982-8)))</x:f>
      </x:c>
      <x:c r="D982" s="51" t="str">
        <x:f>IF(974&gt;$H$4,"",IF(INDEX('Fleet dates'!$D$9:$D$1008,$I982-8)="","",INDEX('Fleet dates'!$D$9:$D$1008,$I982-8)))</x:f>
      </x:c>
      <x:c r="E982" s="51" t="str">
        <x:f>IF(974&gt;$H$4,"",IF(INDEX('Fleet dates'!$E$9:$E$1008,$I982-8)="","",INDEX('Fleet dates'!$E$9:$E$1008,$I982-8)))</x:f>
      </x:c>
      <x:c r="F982" s="51" t="str">
        <x:f>IF(974&gt;$H$4,"",IF(INDEX('Fleet dates'!$F$9:$F$1008,$I982-8)="","",INDEX('Fleet dates'!$F$9:$F$1008,$I982-8)))</x:f>
      </x:c>
      <x:c r="G982" s="50" t="str">
        <x:f>IF(974&gt;$H$4,"",IF(INDEX('Fleet dates'!$G$9:$G$1008,$I982-8)="","",INDEX('Fleet dates'!$G$9:$G$1008,$I982-8)))</x:f>
      </x:c>
      <x:c r="H982" s="50" t="str">
        <x:f>IF(974&gt;$H$4,"",IF(INDEX('Fleet dates'!$I$9:$I$1008,$I982-8)="","",INDEX('Fleet dates'!$I$9:$I$1008,$I982-8)))</x:f>
      </x:c>
      <x:c r="I982" t="str">
        <x:f>IF(974&gt;$H$4,"",MATCH(974,'Fleet dates'!$L$9:$L$1008,0)+8)</x:f>
      </x:c>
    </x:row>
    <x:row r="983" ht="36" customHeight="1">
      <x:c r="A983" s="50" t="str">
        <x:f>IF(975&gt;$H$4,"",IF(INDEX('Fleet dates'!$A$9:$A$1008,$I983-8)="","",INDEX('Fleet dates'!$A$9:$A$1008,$I983-8)))</x:f>
      </x:c>
      <x:c r="B983" s="50" t="str">
        <x:f>IF(975&gt;$H$4,"",IF(INDEX('Fleet dates'!$B$9:$B$1008,$I983-8)="","",INDEX('Fleet dates'!$B$9:$B$1008,$I983-8)))</x:f>
      </x:c>
      <x:c r="C983" s="51" t="str">
        <x:f>IF(975&gt;$H$4,"",IF(INDEX('Fleet dates'!$C$9:$C$1008,$I983-8)="","",INDEX('Fleet dates'!$C$9:$C$1008,$I983-8)))</x:f>
      </x:c>
      <x:c r="D983" s="51" t="str">
        <x:f>IF(975&gt;$H$4,"",IF(INDEX('Fleet dates'!$D$9:$D$1008,$I983-8)="","",INDEX('Fleet dates'!$D$9:$D$1008,$I983-8)))</x:f>
      </x:c>
      <x:c r="E983" s="51" t="str">
        <x:f>IF(975&gt;$H$4,"",IF(INDEX('Fleet dates'!$E$9:$E$1008,$I983-8)="","",INDEX('Fleet dates'!$E$9:$E$1008,$I983-8)))</x:f>
      </x:c>
      <x:c r="F983" s="51" t="str">
        <x:f>IF(975&gt;$H$4,"",IF(INDEX('Fleet dates'!$F$9:$F$1008,$I983-8)="","",INDEX('Fleet dates'!$F$9:$F$1008,$I983-8)))</x:f>
      </x:c>
      <x:c r="G983" s="50" t="str">
        <x:f>IF(975&gt;$H$4,"",IF(INDEX('Fleet dates'!$G$9:$G$1008,$I983-8)="","",INDEX('Fleet dates'!$G$9:$G$1008,$I983-8)))</x:f>
      </x:c>
      <x:c r="H983" s="50" t="str">
        <x:f>IF(975&gt;$H$4,"",IF(INDEX('Fleet dates'!$I$9:$I$1008,$I983-8)="","",INDEX('Fleet dates'!$I$9:$I$1008,$I983-8)))</x:f>
      </x:c>
      <x:c r="I983" t="str">
        <x:f>IF(975&gt;$H$4,"",MATCH(975,'Fleet dates'!$L$9:$L$1008,0)+8)</x:f>
      </x:c>
    </x:row>
    <x:row r="984" ht="36" customHeight="1">
      <x:c r="A984" s="50" t="str">
        <x:f>IF(976&gt;$H$4,"",IF(INDEX('Fleet dates'!$A$9:$A$1008,$I984-8)="","",INDEX('Fleet dates'!$A$9:$A$1008,$I984-8)))</x:f>
      </x:c>
      <x:c r="B984" s="50" t="str">
        <x:f>IF(976&gt;$H$4,"",IF(INDEX('Fleet dates'!$B$9:$B$1008,$I984-8)="","",INDEX('Fleet dates'!$B$9:$B$1008,$I984-8)))</x:f>
      </x:c>
      <x:c r="C984" s="51" t="str">
        <x:f>IF(976&gt;$H$4,"",IF(INDEX('Fleet dates'!$C$9:$C$1008,$I984-8)="","",INDEX('Fleet dates'!$C$9:$C$1008,$I984-8)))</x:f>
      </x:c>
      <x:c r="D984" s="51" t="str">
        <x:f>IF(976&gt;$H$4,"",IF(INDEX('Fleet dates'!$D$9:$D$1008,$I984-8)="","",INDEX('Fleet dates'!$D$9:$D$1008,$I984-8)))</x:f>
      </x:c>
      <x:c r="E984" s="51" t="str">
        <x:f>IF(976&gt;$H$4,"",IF(INDEX('Fleet dates'!$E$9:$E$1008,$I984-8)="","",INDEX('Fleet dates'!$E$9:$E$1008,$I984-8)))</x:f>
      </x:c>
      <x:c r="F984" s="51" t="str">
        <x:f>IF(976&gt;$H$4,"",IF(INDEX('Fleet dates'!$F$9:$F$1008,$I984-8)="","",INDEX('Fleet dates'!$F$9:$F$1008,$I984-8)))</x:f>
      </x:c>
      <x:c r="G984" s="50" t="str">
        <x:f>IF(976&gt;$H$4,"",IF(INDEX('Fleet dates'!$G$9:$G$1008,$I984-8)="","",INDEX('Fleet dates'!$G$9:$G$1008,$I984-8)))</x:f>
      </x:c>
      <x:c r="H984" s="50" t="str">
        <x:f>IF(976&gt;$H$4,"",IF(INDEX('Fleet dates'!$I$9:$I$1008,$I984-8)="","",INDEX('Fleet dates'!$I$9:$I$1008,$I984-8)))</x:f>
      </x:c>
      <x:c r="I984" t="str">
        <x:f>IF(976&gt;$H$4,"",MATCH(976,'Fleet dates'!$L$9:$L$1008,0)+8)</x:f>
      </x:c>
    </x:row>
    <x:row r="985" ht="36" customHeight="1">
      <x:c r="A985" s="50" t="str">
        <x:f>IF(977&gt;$H$4,"",IF(INDEX('Fleet dates'!$A$9:$A$1008,$I985-8)="","",INDEX('Fleet dates'!$A$9:$A$1008,$I985-8)))</x:f>
      </x:c>
      <x:c r="B985" s="50" t="str">
        <x:f>IF(977&gt;$H$4,"",IF(INDEX('Fleet dates'!$B$9:$B$1008,$I985-8)="","",INDEX('Fleet dates'!$B$9:$B$1008,$I985-8)))</x:f>
      </x:c>
      <x:c r="C985" s="51" t="str">
        <x:f>IF(977&gt;$H$4,"",IF(INDEX('Fleet dates'!$C$9:$C$1008,$I985-8)="","",INDEX('Fleet dates'!$C$9:$C$1008,$I985-8)))</x:f>
      </x:c>
      <x:c r="D985" s="51" t="str">
        <x:f>IF(977&gt;$H$4,"",IF(INDEX('Fleet dates'!$D$9:$D$1008,$I985-8)="","",INDEX('Fleet dates'!$D$9:$D$1008,$I985-8)))</x:f>
      </x:c>
      <x:c r="E985" s="51" t="str">
        <x:f>IF(977&gt;$H$4,"",IF(INDEX('Fleet dates'!$E$9:$E$1008,$I985-8)="","",INDEX('Fleet dates'!$E$9:$E$1008,$I985-8)))</x:f>
      </x:c>
      <x:c r="F985" s="51" t="str">
        <x:f>IF(977&gt;$H$4,"",IF(INDEX('Fleet dates'!$F$9:$F$1008,$I985-8)="","",INDEX('Fleet dates'!$F$9:$F$1008,$I985-8)))</x:f>
      </x:c>
      <x:c r="G985" s="50" t="str">
        <x:f>IF(977&gt;$H$4,"",IF(INDEX('Fleet dates'!$G$9:$G$1008,$I985-8)="","",INDEX('Fleet dates'!$G$9:$G$1008,$I985-8)))</x:f>
      </x:c>
      <x:c r="H985" s="50" t="str">
        <x:f>IF(977&gt;$H$4,"",IF(INDEX('Fleet dates'!$I$9:$I$1008,$I985-8)="","",INDEX('Fleet dates'!$I$9:$I$1008,$I985-8)))</x:f>
      </x:c>
      <x:c r="I985" t="str">
        <x:f>IF(977&gt;$H$4,"",MATCH(977,'Fleet dates'!$L$9:$L$1008,0)+8)</x:f>
      </x:c>
    </x:row>
    <x:row r="986" ht="36" customHeight="1">
      <x:c r="A986" s="50" t="str">
        <x:f>IF(978&gt;$H$4,"",IF(INDEX('Fleet dates'!$A$9:$A$1008,$I986-8)="","",INDEX('Fleet dates'!$A$9:$A$1008,$I986-8)))</x:f>
      </x:c>
      <x:c r="B986" s="50" t="str">
        <x:f>IF(978&gt;$H$4,"",IF(INDEX('Fleet dates'!$B$9:$B$1008,$I986-8)="","",INDEX('Fleet dates'!$B$9:$B$1008,$I986-8)))</x:f>
      </x:c>
      <x:c r="C986" s="51" t="str">
        <x:f>IF(978&gt;$H$4,"",IF(INDEX('Fleet dates'!$C$9:$C$1008,$I986-8)="","",INDEX('Fleet dates'!$C$9:$C$1008,$I986-8)))</x:f>
      </x:c>
      <x:c r="D986" s="51" t="str">
        <x:f>IF(978&gt;$H$4,"",IF(INDEX('Fleet dates'!$D$9:$D$1008,$I986-8)="","",INDEX('Fleet dates'!$D$9:$D$1008,$I986-8)))</x:f>
      </x:c>
      <x:c r="E986" s="51" t="str">
        <x:f>IF(978&gt;$H$4,"",IF(INDEX('Fleet dates'!$E$9:$E$1008,$I986-8)="","",INDEX('Fleet dates'!$E$9:$E$1008,$I986-8)))</x:f>
      </x:c>
      <x:c r="F986" s="51" t="str">
        <x:f>IF(978&gt;$H$4,"",IF(INDEX('Fleet dates'!$F$9:$F$1008,$I986-8)="","",INDEX('Fleet dates'!$F$9:$F$1008,$I986-8)))</x:f>
      </x:c>
      <x:c r="G986" s="50" t="str">
        <x:f>IF(978&gt;$H$4,"",IF(INDEX('Fleet dates'!$G$9:$G$1008,$I986-8)="","",INDEX('Fleet dates'!$G$9:$G$1008,$I986-8)))</x:f>
      </x:c>
      <x:c r="H986" s="50" t="str">
        <x:f>IF(978&gt;$H$4,"",IF(INDEX('Fleet dates'!$I$9:$I$1008,$I986-8)="","",INDEX('Fleet dates'!$I$9:$I$1008,$I986-8)))</x:f>
      </x:c>
      <x:c r="I986" t="str">
        <x:f>IF(978&gt;$H$4,"",MATCH(978,'Fleet dates'!$L$9:$L$1008,0)+8)</x:f>
      </x:c>
    </x:row>
    <x:row r="987" ht="36" customHeight="1">
      <x:c r="A987" s="50" t="str">
        <x:f>IF(979&gt;$H$4,"",IF(INDEX('Fleet dates'!$A$9:$A$1008,$I987-8)="","",INDEX('Fleet dates'!$A$9:$A$1008,$I987-8)))</x:f>
      </x:c>
      <x:c r="B987" s="50" t="str">
        <x:f>IF(979&gt;$H$4,"",IF(INDEX('Fleet dates'!$B$9:$B$1008,$I987-8)="","",INDEX('Fleet dates'!$B$9:$B$1008,$I987-8)))</x:f>
      </x:c>
      <x:c r="C987" s="51" t="str">
        <x:f>IF(979&gt;$H$4,"",IF(INDEX('Fleet dates'!$C$9:$C$1008,$I987-8)="","",INDEX('Fleet dates'!$C$9:$C$1008,$I987-8)))</x:f>
      </x:c>
      <x:c r="D987" s="51" t="str">
        <x:f>IF(979&gt;$H$4,"",IF(INDEX('Fleet dates'!$D$9:$D$1008,$I987-8)="","",INDEX('Fleet dates'!$D$9:$D$1008,$I987-8)))</x:f>
      </x:c>
      <x:c r="E987" s="51" t="str">
        <x:f>IF(979&gt;$H$4,"",IF(INDEX('Fleet dates'!$E$9:$E$1008,$I987-8)="","",INDEX('Fleet dates'!$E$9:$E$1008,$I987-8)))</x:f>
      </x:c>
      <x:c r="F987" s="51" t="str">
        <x:f>IF(979&gt;$H$4,"",IF(INDEX('Fleet dates'!$F$9:$F$1008,$I987-8)="","",INDEX('Fleet dates'!$F$9:$F$1008,$I987-8)))</x:f>
      </x:c>
      <x:c r="G987" s="50" t="str">
        <x:f>IF(979&gt;$H$4,"",IF(INDEX('Fleet dates'!$G$9:$G$1008,$I987-8)="","",INDEX('Fleet dates'!$G$9:$G$1008,$I987-8)))</x:f>
      </x:c>
      <x:c r="H987" s="50" t="str">
        <x:f>IF(979&gt;$H$4,"",IF(INDEX('Fleet dates'!$I$9:$I$1008,$I987-8)="","",INDEX('Fleet dates'!$I$9:$I$1008,$I987-8)))</x:f>
      </x:c>
      <x:c r="I987" t="str">
        <x:f>IF(979&gt;$H$4,"",MATCH(979,'Fleet dates'!$L$9:$L$1008,0)+8)</x:f>
      </x:c>
    </x:row>
    <x:row r="988" ht="36" customHeight="1">
      <x:c r="A988" s="50" t="str">
        <x:f>IF(980&gt;$H$4,"",IF(INDEX('Fleet dates'!$A$9:$A$1008,$I988-8)="","",INDEX('Fleet dates'!$A$9:$A$1008,$I988-8)))</x:f>
      </x:c>
      <x:c r="B988" s="50" t="str">
        <x:f>IF(980&gt;$H$4,"",IF(INDEX('Fleet dates'!$B$9:$B$1008,$I988-8)="","",INDEX('Fleet dates'!$B$9:$B$1008,$I988-8)))</x:f>
      </x:c>
      <x:c r="C988" s="51" t="str">
        <x:f>IF(980&gt;$H$4,"",IF(INDEX('Fleet dates'!$C$9:$C$1008,$I988-8)="","",INDEX('Fleet dates'!$C$9:$C$1008,$I988-8)))</x:f>
      </x:c>
      <x:c r="D988" s="51" t="str">
        <x:f>IF(980&gt;$H$4,"",IF(INDEX('Fleet dates'!$D$9:$D$1008,$I988-8)="","",INDEX('Fleet dates'!$D$9:$D$1008,$I988-8)))</x:f>
      </x:c>
      <x:c r="E988" s="51" t="str">
        <x:f>IF(980&gt;$H$4,"",IF(INDEX('Fleet dates'!$E$9:$E$1008,$I988-8)="","",INDEX('Fleet dates'!$E$9:$E$1008,$I988-8)))</x:f>
      </x:c>
      <x:c r="F988" s="51" t="str">
        <x:f>IF(980&gt;$H$4,"",IF(INDEX('Fleet dates'!$F$9:$F$1008,$I988-8)="","",INDEX('Fleet dates'!$F$9:$F$1008,$I988-8)))</x:f>
      </x:c>
      <x:c r="G988" s="50" t="str">
        <x:f>IF(980&gt;$H$4,"",IF(INDEX('Fleet dates'!$G$9:$G$1008,$I988-8)="","",INDEX('Fleet dates'!$G$9:$G$1008,$I988-8)))</x:f>
      </x:c>
      <x:c r="H988" s="50" t="str">
        <x:f>IF(980&gt;$H$4,"",IF(INDEX('Fleet dates'!$I$9:$I$1008,$I988-8)="","",INDEX('Fleet dates'!$I$9:$I$1008,$I988-8)))</x:f>
      </x:c>
      <x:c r="I988" t="str">
        <x:f>IF(980&gt;$H$4,"",MATCH(980,'Fleet dates'!$L$9:$L$1008,0)+8)</x:f>
      </x:c>
    </x:row>
    <x:row r="989" ht="36" customHeight="1">
      <x:c r="A989" s="50" t="str">
        <x:f>IF(981&gt;$H$4,"",IF(INDEX('Fleet dates'!$A$9:$A$1008,$I989-8)="","",INDEX('Fleet dates'!$A$9:$A$1008,$I989-8)))</x:f>
      </x:c>
      <x:c r="B989" s="50" t="str">
        <x:f>IF(981&gt;$H$4,"",IF(INDEX('Fleet dates'!$B$9:$B$1008,$I989-8)="","",INDEX('Fleet dates'!$B$9:$B$1008,$I989-8)))</x:f>
      </x:c>
      <x:c r="C989" s="51" t="str">
        <x:f>IF(981&gt;$H$4,"",IF(INDEX('Fleet dates'!$C$9:$C$1008,$I989-8)="","",INDEX('Fleet dates'!$C$9:$C$1008,$I989-8)))</x:f>
      </x:c>
      <x:c r="D989" s="51" t="str">
        <x:f>IF(981&gt;$H$4,"",IF(INDEX('Fleet dates'!$D$9:$D$1008,$I989-8)="","",INDEX('Fleet dates'!$D$9:$D$1008,$I989-8)))</x:f>
      </x:c>
      <x:c r="E989" s="51" t="str">
        <x:f>IF(981&gt;$H$4,"",IF(INDEX('Fleet dates'!$E$9:$E$1008,$I989-8)="","",INDEX('Fleet dates'!$E$9:$E$1008,$I989-8)))</x:f>
      </x:c>
      <x:c r="F989" s="51" t="str">
        <x:f>IF(981&gt;$H$4,"",IF(INDEX('Fleet dates'!$F$9:$F$1008,$I989-8)="","",INDEX('Fleet dates'!$F$9:$F$1008,$I989-8)))</x:f>
      </x:c>
      <x:c r="G989" s="50" t="str">
        <x:f>IF(981&gt;$H$4,"",IF(INDEX('Fleet dates'!$G$9:$G$1008,$I989-8)="","",INDEX('Fleet dates'!$G$9:$G$1008,$I989-8)))</x:f>
      </x:c>
      <x:c r="H989" s="50" t="str">
        <x:f>IF(981&gt;$H$4,"",IF(INDEX('Fleet dates'!$I$9:$I$1008,$I989-8)="","",INDEX('Fleet dates'!$I$9:$I$1008,$I989-8)))</x:f>
      </x:c>
      <x:c r="I989" t="str">
        <x:f>IF(981&gt;$H$4,"",MATCH(981,'Fleet dates'!$L$9:$L$1008,0)+8)</x:f>
      </x:c>
    </x:row>
    <x:row r="990" ht="36" customHeight="1">
      <x:c r="A990" s="50" t="str">
        <x:f>IF(982&gt;$H$4,"",IF(INDEX('Fleet dates'!$A$9:$A$1008,$I990-8)="","",INDEX('Fleet dates'!$A$9:$A$1008,$I990-8)))</x:f>
      </x:c>
      <x:c r="B990" s="50" t="str">
        <x:f>IF(982&gt;$H$4,"",IF(INDEX('Fleet dates'!$B$9:$B$1008,$I990-8)="","",INDEX('Fleet dates'!$B$9:$B$1008,$I990-8)))</x:f>
      </x:c>
      <x:c r="C990" s="51" t="str">
        <x:f>IF(982&gt;$H$4,"",IF(INDEX('Fleet dates'!$C$9:$C$1008,$I990-8)="","",INDEX('Fleet dates'!$C$9:$C$1008,$I990-8)))</x:f>
      </x:c>
      <x:c r="D990" s="51" t="str">
        <x:f>IF(982&gt;$H$4,"",IF(INDEX('Fleet dates'!$D$9:$D$1008,$I990-8)="","",INDEX('Fleet dates'!$D$9:$D$1008,$I990-8)))</x:f>
      </x:c>
      <x:c r="E990" s="51" t="str">
        <x:f>IF(982&gt;$H$4,"",IF(INDEX('Fleet dates'!$E$9:$E$1008,$I990-8)="","",INDEX('Fleet dates'!$E$9:$E$1008,$I990-8)))</x:f>
      </x:c>
      <x:c r="F990" s="51" t="str">
        <x:f>IF(982&gt;$H$4,"",IF(INDEX('Fleet dates'!$F$9:$F$1008,$I990-8)="","",INDEX('Fleet dates'!$F$9:$F$1008,$I990-8)))</x:f>
      </x:c>
      <x:c r="G990" s="50" t="str">
        <x:f>IF(982&gt;$H$4,"",IF(INDEX('Fleet dates'!$G$9:$G$1008,$I990-8)="","",INDEX('Fleet dates'!$G$9:$G$1008,$I990-8)))</x:f>
      </x:c>
      <x:c r="H990" s="50" t="str">
        <x:f>IF(982&gt;$H$4,"",IF(INDEX('Fleet dates'!$I$9:$I$1008,$I990-8)="","",INDEX('Fleet dates'!$I$9:$I$1008,$I990-8)))</x:f>
      </x:c>
      <x:c r="I990" t="str">
        <x:f>IF(982&gt;$H$4,"",MATCH(982,'Fleet dates'!$L$9:$L$1008,0)+8)</x:f>
      </x:c>
    </x:row>
    <x:row r="991" ht="36" customHeight="1">
      <x:c r="A991" s="50" t="str">
        <x:f>IF(983&gt;$H$4,"",IF(INDEX('Fleet dates'!$A$9:$A$1008,$I991-8)="","",INDEX('Fleet dates'!$A$9:$A$1008,$I991-8)))</x:f>
      </x:c>
      <x:c r="B991" s="50" t="str">
        <x:f>IF(983&gt;$H$4,"",IF(INDEX('Fleet dates'!$B$9:$B$1008,$I991-8)="","",INDEX('Fleet dates'!$B$9:$B$1008,$I991-8)))</x:f>
      </x:c>
      <x:c r="C991" s="51" t="str">
        <x:f>IF(983&gt;$H$4,"",IF(INDEX('Fleet dates'!$C$9:$C$1008,$I991-8)="","",INDEX('Fleet dates'!$C$9:$C$1008,$I991-8)))</x:f>
      </x:c>
      <x:c r="D991" s="51" t="str">
        <x:f>IF(983&gt;$H$4,"",IF(INDEX('Fleet dates'!$D$9:$D$1008,$I991-8)="","",INDEX('Fleet dates'!$D$9:$D$1008,$I991-8)))</x:f>
      </x:c>
      <x:c r="E991" s="51" t="str">
        <x:f>IF(983&gt;$H$4,"",IF(INDEX('Fleet dates'!$E$9:$E$1008,$I991-8)="","",INDEX('Fleet dates'!$E$9:$E$1008,$I991-8)))</x:f>
      </x:c>
      <x:c r="F991" s="51" t="str">
        <x:f>IF(983&gt;$H$4,"",IF(INDEX('Fleet dates'!$F$9:$F$1008,$I991-8)="","",INDEX('Fleet dates'!$F$9:$F$1008,$I991-8)))</x:f>
      </x:c>
      <x:c r="G991" s="50" t="str">
        <x:f>IF(983&gt;$H$4,"",IF(INDEX('Fleet dates'!$G$9:$G$1008,$I991-8)="","",INDEX('Fleet dates'!$G$9:$G$1008,$I991-8)))</x:f>
      </x:c>
      <x:c r="H991" s="50" t="str">
        <x:f>IF(983&gt;$H$4,"",IF(INDEX('Fleet dates'!$I$9:$I$1008,$I991-8)="","",INDEX('Fleet dates'!$I$9:$I$1008,$I991-8)))</x:f>
      </x:c>
      <x:c r="I991" t="str">
        <x:f>IF(983&gt;$H$4,"",MATCH(983,'Fleet dates'!$L$9:$L$1008,0)+8)</x:f>
      </x:c>
    </x:row>
    <x:row r="992" ht="36" customHeight="1">
      <x:c r="A992" s="50" t="str">
        <x:f>IF(984&gt;$H$4,"",IF(INDEX('Fleet dates'!$A$9:$A$1008,$I992-8)="","",INDEX('Fleet dates'!$A$9:$A$1008,$I992-8)))</x:f>
      </x:c>
      <x:c r="B992" s="50" t="str">
        <x:f>IF(984&gt;$H$4,"",IF(INDEX('Fleet dates'!$B$9:$B$1008,$I992-8)="","",INDEX('Fleet dates'!$B$9:$B$1008,$I992-8)))</x:f>
      </x:c>
      <x:c r="C992" s="51" t="str">
        <x:f>IF(984&gt;$H$4,"",IF(INDEX('Fleet dates'!$C$9:$C$1008,$I992-8)="","",INDEX('Fleet dates'!$C$9:$C$1008,$I992-8)))</x:f>
      </x:c>
      <x:c r="D992" s="51" t="str">
        <x:f>IF(984&gt;$H$4,"",IF(INDEX('Fleet dates'!$D$9:$D$1008,$I992-8)="","",INDEX('Fleet dates'!$D$9:$D$1008,$I992-8)))</x:f>
      </x:c>
      <x:c r="E992" s="51" t="str">
        <x:f>IF(984&gt;$H$4,"",IF(INDEX('Fleet dates'!$E$9:$E$1008,$I992-8)="","",INDEX('Fleet dates'!$E$9:$E$1008,$I992-8)))</x:f>
      </x:c>
      <x:c r="F992" s="51" t="str">
        <x:f>IF(984&gt;$H$4,"",IF(INDEX('Fleet dates'!$F$9:$F$1008,$I992-8)="","",INDEX('Fleet dates'!$F$9:$F$1008,$I992-8)))</x:f>
      </x:c>
      <x:c r="G992" s="50" t="str">
        <x:f>IF(984&gt;$H$4,"",IF(INDEX('Fleet dates'!$G$9:$G$1008,$I992-8)="","",INDEX('Fleet dates'!$G$9:$G$1008,$I992-8)))</x:f>
      </x:c>
      <x:c r="H992" s="50" t="str">
        <x:f>IF(984&gt;$H$4,"",IF(INDEX('Fleet dates'!$I$9:$I$1008,$I992-8)="","",INDEX('Fleet dates'!$I$9:$I$1008,$I992-8)))</x:f>
      </x:c>
      <x:c r="I992" t="str">
        <x:f>IF(984&gt;$H$4,"",MATCH(984,'Fleet dates'!$L$9:$L$1008,0)+8)</x:f>
      </x:c>
    </x:row>
    <x:row r="993" ht="36" customHeight="1">
      <x:c r="A993" s="50" t="str">
        <x:f>IF(985&gt;$H$4,"",IF(INDEX('Fleet dates'!$A$9:$A$1008,$I993-8)="","",INDEX('Fleet dates'!$A$9:$A$1008,$I993-8)))</x:f>
      </x:c>
      <x:c r="B993" s="50" t="str">
        <x:f>IF(985&gt;$H$4,"",IF(INDEX('Fleet dates'!$B$9:$B$1008,$I993-8)="","",INDEX('Fleet dates'!$B$9:$B$1008,$I993-8)))</x:f>
      </x:c>
      <x:c r="C993" s="51" t="str">
        <x:f>IF(985&gt;$H$4,"",IF(INDEX('Fleet dates'!$C$9:$C$1008,$I993-8)="","",INDEX('Fleet dates'!$C$9:$C$1008,$I993-8)))</x:f>
      </x:c>
      <x:c r="D993" s="51" t="str">
        <x:f>IF(985&gt;$H$4,"",IF(INDEX('Fleet dates'!$D$9:$D$1008,$I993-8)="","",INDEX('Fleet dates'!$D$9:$D$1008,$I993-8)))</x:f>
      </x:c>
      <x:c r="E993" s="51" t="str">
        <x:f>IF(985&gt;$H$4,"",IF(INDEX('Fleet dates'!$E$9:$E$1008,$I993-8)="","",INDEX('Fleet dates'!$E$9:$E$1008,$I993-8)))</x:f>
      </x:c>
      <x:c r="F993" s="51" t="str">
        <x:f>IF(985&gt;$H$4,"",IF(INDEX('Fleet dates'!$F$9:$F$1008,$I993-8)="","",INDEX('Fleet dates'!$F$9:$F$1008,$I993-8)))</x:f>
      </x:c>
      <x:c r="G993" s="50" t="str">
        <x:f>IF(985&gt;$H$4,"",IF(INDEX('Fleet dates'!$G$9:$G$1008,$I993-8)="","",INDEX('Fleet dates'!$G$9:$G$1008,$I993-8)))</x:f>
      </x:c>
      <x:c r="H993" s="50" t="str">
        <x:f>IF(985&gt;$H$4,"",IF(INDEX('Fleet dates'!$I$9:$I$1008,$I993-8)="","",INDEX('Fleet dates'!$I$9:$I$1008,$I993-8)))</x:f>
      </x:c>
      <x:c r="I993" t="str">
        <x:f>IF(985&gt;$H$4,"",MATCH(985,'Fleet dates'!$L$9:$L$1008,0)+8)</x:f>
      </x:c>
    </x:row>
    <x:row r="994" ht="36" customHeight="1">
      <x:c r="A994" s="50" t="str">
        <x:f>IF(986&gt;$H$4,"",IF(INDEX('Fleet dates'!$A$9:$A$1008,$I994-8)="","",INDEX('Fleet dates'!$A$9:$A$1008,$I994-8)))</x:f>
      </x:c>
      <x:c r="B994" s="50" t="str">
        <x:f>IF(986&gt;$H$4,"",IF(INDEX('Fleet dates'!$B$9:$B$1008,$I994-8)="","",INDEX('Fleet dates'!$B$9:$B$1008,$I994-8)))</x:f>
      </x:c>
      <x:c r="C994" s="51" t="str">
        <x:f>IF(986&gt;$H$4,"",IF(INDEX('Fleet dates'!$C$9:$C$1008,$I994-8)="","",INDEX('Fleet dates'!$C$9:$C$1008,$I994-8)))</x:f>
      </x:c>
      <x:c r="D994" s="51" t="str">
        <x:f>IF(986&gt;$H$4,"",IF(INDEX('Fleet dates'!$D$9:$D$1008,$I994-8)="","",INDEX('Fleet dates'!$D$9:$D$1008,$I994-8)))</x:f>
      </x:c>
      <x:c r="E994" s="51" t="str">
        <x:f>IF(986&gt;$H$4,"",IF(INDEX('Fleet dates'!$E$9:$E$1008,$I994-8)="","",INDEX('Fleet dates'!$E$9:$E$1008,$I994-8)))</x:f>
      </x:c>
      <x:c r="F994" s="51" t="str">
        <x:f>IF(986&gt;$H$4,"",IF(INDEX('Fleet dates'!$F$9:$F$1008,$I994-8)="","",INDEX('Fleet dates'!$F$9:$F$1008,$I994-8)))</x:f>
      </x:c>
      <x:c r="G994" s="50" t="str">
        <x:f>IF(986&gt;$H$4,"",IF(INDEX('Fleet dates'!$G$9:$G$1008,$I994-8)="","",INDEX('Fleet dates'!$G$9:$G$1008,$I994-8)))</x:f>
      </x:c>
      <x:c r="H994" s="50" t="str">
        <x:f>IF(986&gt;$H$4,"",IF(INDEX('Fleet dates'!$I$9:$I$1008,$I994-8)="","",INDEX('Fleet dates'!$I$9:$I$1008,$I994-8)))</x:f>
      </x:c>
      <x:c r="I994" t="str">
        <x:f>IF(986&gt;$H$4,"",MATCH(986,'Fleet dates'!$L$9:$L$1008,0)+8)</x:f>
      </x:c>
    </x:row>
    <x:row r="995" ht="36" customHeight="1">
      <x:c r="A995" s="50" t="str">
        <x:f>IF(987&gt;$H$4,"",IF(INDEX('Fleet dates'!$A$9:$A$1008,$I995-8)="","",INDEX('Fleet dates'!$A$9:$A$1008,$I995-8)))</x:f>
      </x:c>
      <x:c r="B995" s="50" t="str">
        <x:f>IF(987&gt;$H$4,"",IF(INDEX('Fleet dates'!$B$9:$B$1008,$I995-8)="","",INDEX('Fleet dates'!$B$9:$B$1008,$I995-8)))</x:f>
      </x:c>
      <x:c r="C995" s="51" t="str">
        <x:f>IF(987&gt;$H$4,"",IF(INDEX('Fleet dates'!$C$9:$C$1008,$I995-8)="","",INDEX('Fleet dates'!$C$9:$C$1008,$I995-8)))</x:f>
      </x:c>
      <x:c r="D995" s="51" t="str">
        <x:f>IF(987&gt;$H$4,"",IF(INDEX('Fleet dates'!$D$9:$D$1008,$I995-8)="","",INDEX('Fleet dates'!$D$9:$D$1008,$I995-8)))</x:f>
      </x:c>
      <x:c r="E995" s="51" t="str">
        <x:f>IF(987&gt;$H$4,"",IF(INDEX('Fleet dates'!$E$9:$E$1008,$I995-8)="","",INDEX('Fleet dates'!$E$9:$E$1008,$I995-8)))</x:f>
      </x:c>
      <x:c r="F995" s="51" t="str">
        <x:f>IF(987&gt;$H$4,"",IF(INDEX('Fleet dates'!$F$9:$F$1008,$I995-8)="","",INDEX('Fleet dates'!$F$9:$F$1008,$I995-8)))</x:f>
      </x:c>
      <x:c r="G995" s="50" t="str">
        <x:f>IF(987&gt;$H$4,"",IF(INDEX('Fleet dates'!$G$9:$G$1008,$I995-8)="","",INDEX('Fleet dates'!$G$9:$G$1008,$I995-8)))</x:f>
      </x:c>
      <x:c r="H995" s="50" t="str">
        <x:f>IF(987&gt;$H$4,"",IF(INDEX('Fleet dates'!$I$9:$I$1008,$I995-8)="","",INDEX('Fleet dates'!$I$9:$I$1008,$I995-8)))</x:f>
      </x:c>
      <x:c r="I995" t="str">
        <x:f>IF(987&gt;$H$4,"",MATCH(987,'Fleet dates'!$L$9:$L$1008,0)+8)</x:f>
      </x:c>
    </x:row>
    <x:row r="996" ht="36" customHeight="1">
      <x:c r="A996" s="50" t="str">
        <x:f>IF(988&gt;$H$4,"",IF(INDEX('Fleet dates'!$A$9:$A$1008,$I996-8)="","",INDEX('Fleet dates'!$A$9:$A$1008,$I996-8)))</x:f>
      </x:c>
      <x:c r="B996" s="50" t="str">
        <x:f>IF(988&gt;$H$4,"",IF(INDEX('Fleet dates'!$B$9:$B$1008,$I996-8)="","",INDEX('Fleet dates'!$B$9:$B$1008,$I996-8)))</x:f>
      </x:c>
      <x:c r="C996" s="51" t="str">
        <x:f>IF(988&gt;$H$4,"",IF(INDEX('Fleet dates'!$C$9:$C$1008,$I996-8)="","",INDEX('Fleet dates'!$C$9:$C$1008,$I996-8)))</x:f>
      </x:c>
      <x:c r="D996" s="51" t="str">
        <x:f>IF(988&gt;$H$4,"",IF(INDEX('Fleet dates'!$D$9:$D$1008,$I996-8)="","",INDEX('Fleet dates'!$D$9:$D$1008,$I996-8)))</x:f>
      </x:c>
      <x:c r="E996" s="51" t="str">
        <x:f>IF(988&gt;$H$4,"",IF(INDEX('Fleet dates'!$E$9:$E$1008,$I996-8)="","",INDEX('Fleet dates'!$E$9:$E$1008,$I996-8)))</x:f>
      </x:c>
      <x:c r="F996" s="51" t="str">
        <x:f>IF(988&gt;$H$4,"",IF(INDEX('Fleet dates'!$F$9:$F$1008,$I996-8)="","",INDEX('Fleet dates'!$F$9:$F$1008,$I996-8)))</x:f>
      </x:c>
      <x:c r="G996" s="50" t="str">
        <x:f>IF(988&gt;$H$4,"",IF(INDEX('Fleet dates'!$G$9:$G$1008,$I996-8)="","",INDEX('Fleet dates'!$G$9:$G$1008,$I996-8)))</x:f>
      </x:c>
      <x:c r="H996" s="50" t="str">
        <x:f>IF(988&gt;$H$4,"",IF(INDEX('Fleet dates'!$I$9:$I$1008,$I996-8)="","",INDEX('Fleet dates'!$I$9:$I$1008,$I996-8)))</x:f>
      </x:c>
      <x:c r="I996" t="str">
        <x:f>IF(988&gt;$H$4,"",MATCH(988,'Fleet dates'!$L$9:$L$1008,0)+8)</x:f>
      </x:c>
    </x:row>
    <x:row r="997" ht="36" customHeight="1">
      <x:c r="A997" s="50" t="str">
        <x:f>IF(989&gt;$H$4,"",IF(INDEX('Fleet dates'!$A$9:$A$1008,$I997-8)="","",INDEX('Fleet dates'!$A$9:$A$1008,$I997-8)))</x:f>
      </x:c>
      <x:c r="B997" s="50" t="str">
        <x:f>IF(989&gt;$H$4,"",IF(INDEX('Fleet dates'!$B$9:$B$1008,$I997-8)="","",INDEX('Fleet dates'!$B$9:$B$1008,$I997-8)))</x:f>
      </x:c>
      <x:c r="C997" s="51" t="str">
        <x:f>IF(989&gt;$H$4,"",IF(INDEX('Fleet dates'!$C$9:$C$1008,$I997-8)="","",INDEX('Fleet dates'!$C$9:$C$1008,$I997-8)))</x:f>
      </x:c>
      <x:c r="D997" s="51" t="str">
        <x:f>IF(989&gt;$H$4,"",IF(INDEX('Fleet dates'!$D$9:$D$1008,$I997-8)="","",INDEX('Fleet dates'!$D$9:$D$1008,$I997-8)))</x:f>
      </x:c>
      <x:c r="E997" s="51" t="str">
        <x:f>IF(989&gt;$H$4,"",IF(INDEX('Fleet dates'!$E$9:$E$1008,$I997-8)="","",INDEX('Fleet dates'!$E$9:$E$1008,$I997-8)))</x:f>
      </x:c>
      <x:c r="F997" s="51" t="str">
        <x:f>IF(989&gt;$H$4,"",IF(INDEX('Fleet dates'!$F$9:$F$1008,$I997-8)="","",INDEX('Fleet dates'!$F$9:$F$1008,$I997-8)))</x:f>
      </x:c>
      <x:c r="G997" s="50" t="str">
        <x:f>IF(989&gt;$H$4,"",IF(INDEX('Fleet dates'!$G$9:$G$1008,$I997-8)="","",INDEX('Fleet dates'!$G$9:$G$1008,$I997-8)))</x:f>
      </x:c>
      <x:c r="H997" s="50" t="str">
        <x:f>IF(989&gt;$H$4,"",IF(INDEX('Fleet dates'!$I$9:$I$1008,$I997-8)="","",INDEX('Fleet dates'!$I$9:$I$1008,$I997-8)))</x:f>
      </x:c>
      <x:c r="I997" t="str">
        <x:f>IF(989&gt;$H$4,"",MATCH(989,'Fleet dates'!$L$9:$L$1008,0)+8)</x:f>
      </x:c>
    </x:row>
    <x:row r="998" ht="36" customHeight="1">
      <x:c r="A998" s="50" t="str">
        <x:f>IF(990&gt;$H$4,"",IF(INDEX('Fleet dates'!$A$9:$A$1008,$I998-8)="","",INDEX('Fleet dates'!$A$9:$A$1008,$I998-8)))</x:f>
      </x:c>
      <x:c r="B998" s="50" t="str">
        <x:f>IF(990&gt;$H$4,"",IF(INDEX('Fleet dates'!$B$9:$B$1008,$I998-8)="","",INDEX('Fleet dates'!$B$9:$B$1008,$I998-8)))</x:f>
      </x:c>
      <x:c r="C998" s="51" t="str">
        <x:f>IF(990&gt;$H$4,"",IF(INDEX('Fleet dates'!$C$9:$C$1008,$I998-8)="","",INDEX('Fleet dates'!$C$9:$C$1008,$I998-8)))</x:f>
      </x:c>
      <x:c r="D998" s="51" t="str">
        <x:f>IF(990&gt;$H$4,"",IF(INDEX('Fleet dates'!$D$9:$D$1008,$I998-8)="","",INDEX('Fleet dates'!$D$9:$D$1008,$I998-8)))</x:f>
      </x:c>
      <x:c r="E998" s="51" t="str">
        <x:f>IF(990&gt;$H$4,"",IF(INDEX('Fleet dates'!$E$9:$E$1008,$I998-8)="","",INDEX('Fleet dates'!$E$9:$E$1008,$I998-8)))</x:f>
      </x:c>
      <x:c r="F998" s="51" t="str">
        <x:f>IF(990&gt;$H$4,"",IF(INDEX('Fleet dates'!$F$9:$F$1008,$I998-8)="","",INDEX('Fleet dates'!$F$9:$F$1008,$I998-8)))</x:f>
      </x:c>
      <x:c r="G998" s="50" t="str">
        <x:f>IF(990&gt;$H$4,"",IF(INDEX('Fleet dates'!$G$9:$G$1008,$I998-8)="","",INDEX('Fleet dates'!$G$9:$G$1008,$I998-8)))</x:f>
      </x:c>
      <x:c r="H998" s="50" t="str">
        <x:f>IF(990&gt;$H$4,"",IF(INDEX('Fleet dates'!$I$9:$I$1008,$I998-8)="","",INDEX('Fleet dates'!$I$9:$I$1008,$I998-8)))</x:f>
      </x:c>
      <x:c r="I998" t="str">
        <x:f>IF(990&gt;$H$4,"",MATCH(990,'Fleet dates'!$L$9:$L$1008,0)+8)</x:f>
      </x:c>
    </x:row>
    <x:row r="999" ht="36" customHeight="1">
      <x:c r="A999" s="50" t="str">
        <x:f>IF(991&gt;$H$4,"",IF(INDEX('Fleet dates'!$A$9:$A$1008,$I999-8)="","",INDEX('Fleet dates'!$A$9:$A$1008,$I999-8)))</x:f>
      </x:c>
      <x:c r="B999" s="50" t="str">
        <x:f>IF(991&gt;$H$4,"",IF(INDEX('Fleet dates'!$B$9:$B$1008,$I999-8)="","",INDEX('Fleet dates'!$B$9:$B$1008,$I999-8)))</x:f>
      </x:c>
      <x:c r="C999" s="51" t="str">
        <x:f>IF(991&gt;$H$4,"",IF(INDEX('Fleet dates'!$C$9:$C$1008,$I999-8)="","",INDEX('Fleet dates'!$C$9:$C$1008,$I999-8)))</x:f>
      </x:c>
      <x:c r="D999" s="51" t="str">
        <x:f>IF(991&gt;$H$4,"",IF(INDEX('Fleet dates'!$D$9:$D$1008,$I999-8)="","",INDEX('Fleet dates'!$D$9:$D$1008,$I999-8)))</x:f>
      </x:c>
      <x:c r="E999" s="51" t="str">
        <x:f>IF(991&gt;$H$4,"",IF(INDEX('Fleet dates'!$E$9:$E$1008,$I999-8)="","",INDEX('Fleet dates'!$E$9:$E$1008,$I999-8)))</x:f>
      </x:c>
      <x:c r="F999" s="51" t="str">
        <x:f>IF(991&gt;$H$4,"",IF(INDEX('Fleet dates'!$F$9:$F$1008,$I999-8)="","",INDEX('Fleet dates'!$F$9:$F$1008,$I999-8)))</x:f>
      </x:c>
      <x:c r="G999" s="50" t="str">
        <x:f>IF(991&gt;$H$4,"",IF(INDEX('Fleet dates'!$G$9:$G$1008,$I999-8)="","",INDEX('Fleet dates'!$G$9:$G$1008,$I999-8)))</x:f>
      </x:c>
      <x:c r="H999" s="50" t="str">
        <x:f>IF(991&gt;$H$4,"",IF(INDEX('Fleet dates'!$I$9:$I$1008,$I999-8)="","",INDEX('Fleet dates'!$I$9:$I$1008,$I999-8)))</x:f>
      </x:c>
      <x:c r="I999" t="str">
        <x:f>IF(991&gt;$H$4,"",MATCH(991,'Fleet dates'!$L$9:$L$1008,0)+8)</x:f>
      </x:c>
    </x:row>
    <x:row r="1000" ht="36" customHeight="1">
      <x:c r="A1000" s="50" t="str">
        <x:f>IF(992&gt;$H$4,"",IF(INDEX('Fleet dates'!$A$9:$A$1008,$I1000-8)="","",INDEX('Fleet dates'!$A$9:$A$1008,$I1000-8)))</x:f>
      </x:c>
      <x:c r="B1000" s="50" t="str">
        <x:f>IF(992&gt;$H$4,"",IF(INDEX('Fleet dates'!$B$9:$B$1008,$I1000-8)="","",INDEX('Fleet dates'!$B$9:$B$1008,$I1000-8)))</x:f>
      </x:c>
      <x:c r="C1000" s="51" t="str">
        <x:f>IF(992&gt;$H$4,"",IF(INDEX('Fleet dates'!$C$9:$C$1008,$I1000-8)="","",INDEX('Fleet dates'!$C$9:$C$1008,$I1000-8)))</x:f>
      </x:c>
      <x:c r="D1000" s="51" t="str">
        <x:f>IF(992&gt;$H$4,"",IF(INDEX('Fleet dates'!$D$9:$D$1008,$I1000-8)="","",INDEX('Fleet dates'!$D$9:$D$1008,$I1000-8)))</x:f>
      </x:c>
      <x:c r="E1000" s="51" t="str">
        <x:f>IF(992&gt;$H$4,"",IF(INDEX('Fleet dates'!$E$9:$E$1008,$I1000-8)="","",INDEX('Fleet dates'!$E$9:$E$1008,$I1000-8)))</x:f>
      </x:c>
      <x:c r="F1000" s="51" t="str">
        <x:f>IF(992&gt;$H$4,"",IF(INDEX('Fleet dates'!$F$9:$F$1008,$I1000-8)="","",INDEX('Fleet dates'!$F$9:$F$1008,$I1000-8)))</x:f>
      </x:c>
      <x:c r="G1000" s="50" t="str">
        <x:f>IF(992&gt;$H$4,"",IF(INDEX('Fleet dates'!$G$9:$G$1008,$I1000-8)="","",INDEX('Fleet dates'!$G$9:$G$1008,$I1000-8)))</x:f>
      </x:c>
      <x:c r="H1000" s="50" t="str">
        <x:f>IF(992&gt;$H$4,"",IF(INDEX('Fleet dates'!$I$9:$I$1008,$I1000-8)="","",INDEX('Fleet dates'!$I$9:$I$1008,$I1000-8)))</x:f>
      </x:c>
      <x:c r="I1000" t="str">
        <x:f>IF(992&gt;$H$4,"",MATCH(992,'Fleet dates'!$L$9:$L$1008,0)+8)</x:f>
      </x:c>
    </x:row>
    <x:row r="1001" ht="36" customHeight="1">
      <x:c r="A1001" s="50" t="str">
        <x:f>IF(993&gt;$H$4,"",IF(INDEX('Fleet dates'!$A$9:$A$1008,$I1001-8)="","",INDEX('Fleet dates'!$A$9:$A$1008,$I1001-8)))</x:f>
      </x:c>
      <x:c r="B1001" s="50" t="str">
        <x:f>IF(993&gt;$H$4,"",IF(INDEX('Fleet dates'!$B$9:$B$1008,$I1001-8)="","",INDEX('Fleet dates'!$B$9:$B$1008,$I1001-8)))</x:f>
      </x:c>
      <x:c r="C1001" s="51" t="str">
        <x:f>IF(993&gt;$H$4,"",IF(INDEX('Fleet dates'!$C$9:$C$1008,$I1001-8)="","",INDEX('Fleet dates'!$C$9:$C$1008,$I1001-8)))</x:f>
      </x:c>
      <x:c r="D1001" s="51" t="str">
        <x:f>IF(993&gt;$H$4,"",IF(INDEX('Fleet dates'!$D$9:$D$1008,$I1001-8)="","",INDEX('Fleet dates'!$D$9:$D$1008,$I1001-8)))</x:f>
      </x:c>
      <x:c r="E1001" s="51" t="str">
        <x:f>IF(993&gt;$H$4,"",IF(INDEX('Fleet dates'!$E$9:$E$1008,$I1001-8)="","",INDEX('Fleet dates'!$E$9:$E$1008,$I1001-8)))</x:f>
      </x:c>
      <x:c r="F1001" s="51" t="str">
        <x:f>IF(993&gt;$H$4,"",IF(INDEX('Fleet dates'!$F$9:$F$1008,$I1001-8)="","",INDEX('Fleet dates'!$F$9:$F$1008,$I1001-8)))</x:f>
      </x:c>
      <x:c r="G1001" s="50" t="str">
        <x:f>IF(993&gt;$H$4,"",IF(INDEX('Fleet dates'!$G$9:$G$1008,$I1001-8)="","",INDEX('Fleet dates'!$G$9:$G$1008,$I1001-8)))</x:f>
      </x:c>
      <x:c r="H1001" s="50" t="str">
        <x:f>IF(993&gt;$H$4,"",IF(INDEX('Fleet dates'!$I$9:$I$1008,$I1001-8)="","",INDEX('Fleet dates'!$I$9:$I$1008,$I1001-8)))</x:f>
      </x:c>
      <x:c r="I1001" t="str">
        <x:f>IF(993&gt;$H$4,"",MATCH(993,'Fleet dates'!$L$9:$L$1008,0)+8)</x:f>
      </x:c>
    </x:row>
    <x:row r="1002" ht="36" customHeight="1">
      <x:c r="A1002" s="50" t="str">
        <x:f>IF(994&gt;$H$4,"",IF(INDEX('Fleet dates'!$A$9:$A$1008,$I1002-8)="","",INDEX('Fleet dates'!$A$9:$A$1008,$I1002-8)))</x:f>
      </x:c>
      <x:c r="B1002" s="50" t="str">
        <x:f>IF(994&gt;$H$4,"",IF(INDEX('Fleet dates'!$B$9:$B$1008,$I1002-8)="","",INDEX('Fleet dates'!$B$9:$B$1008,$I1002-8)))</x:f>
      </x:c>
      <x:c r="C1002" s="51" t="str">
        <x:f>IF(994&gt;$H$4,"",IF(INDEX('Fleet dates'!$C$9:$C$1008,$I1002-8)="","",INDEX('Fleet dates'!$C$9:$C$1008,$I1002-8)))</x:f>
      </x:c>
      <x:c r="D1002" s="51" t="str">
        <x:f>IF(994&gt;$H$4,"",IF(INDEX('Fleet dates'!$D$9:$D$1008,$I1002-8)="","",INDEX('Fleet dates'!$D$9:$D$1008,$I1002-8)))</x:f>
      </x:c>
      <x:c r="E1002" s="51" t="str">
        <x:f>IF(994&gt;$H$4,"",IF(INDEX('Fleet dates'!$E$9:$E$1008,$I1002-8)="","",INDEX('Fleet dates'!$E$9:$E$1008,$I1002-8)))</x:f>
      </x:c>
      <x:c r="F1002" s="51" t="str">
        <x:f>IF(994&gt;$H$4,"",IF(INDEX('Fleet dates'!$F$9:$F$1008,$I1002-8)="","",INDEX('Fleet dates'!$F$9:$F$1008,$I1002-8)))</x:f>
      </x:c>
      <x:c r="G1002" s="50" t="str">
        <x:f>IF(994&gt;$H$4,"",IF(INDEX('Fleet dates'!$G$9:$G$1008,$I1002-8)="","",INDEX('Fleet dates'!$G$9:$G$1008,$I1002-8)))</x:f>
      </x:c>
      <x:c r="H1002" s="50" t="str">
        <x:f>IF(994&gt;$H$4,"",IF(INDEX('Fleet dates'!$I$9:$I$1008,$I1002-8)="","",INDEX('Fleet dates'!$I$9:$I$1008,$I1002-8)))</x:f>
      </x:c>
      <x:c r="I1002" t="str">
        <x:f>IF(994&gt;$H$4,"",MATCH(994,'Fleet dates'!$L$9:$L$1008,0)+8)</x:f>
      </x:c>
    </x:row>
    <x:row r="1003" ht="36" customHeight="1">
      <x:c r="A1003" s="50" t="str">
        <x:f>IF(995&gt;$H$4,"",IF(INDEX('Fleet dates'!$A$9:$A$1008,$I1003-8)="","",INDEX('Fleet dates'!$A$9:$A$1008,$I1003-8)))</x:f>
      </x:c>
      <x:c r="B1003" s="50" t="str">
        <x:f>IF(995&gt;$H$4,"",IF(INDEX('Fleet dates'!$B$9:$B$1008,$I1003-8)="","",INDEX('Fleet dates'!$B$9:$B$1008,$I1003-8)))</x:f>
      </x:c>
      <x:c r="C1003" s="51" t="str">
        <x:f>IF(995&gt;$H$4,"",IF(INDEX('Fleet dates'!$C$9:$C$1008,$I1003-8)="","",INDEX('Fleet dates'!$C$9:$C$1008,$I1003-8)))</x:f>
      </x:c>
      <x:c r="D1003" s="51" t="str">
        <x:f>IF(995&gt;$H$4,"",IF(INDEX('Fleet dates'!$D$9:$D$1008,$I1003-8)="","",INDEX('Fleet dates'!$D$9:$D$1008,$I1003-8)))</x:f>
      </x:c>
      <x:c r="E1003" s="51" t="str">
        <x:f>IF(995&gt;$H$4,"",IF(INDEX('Fleet dates'!$E$9:$E$1008,$I1003-8)="","",INDEX('Fleet dates'!$E$9:$E$1008,$I1003-8)))</x:f>
      </x:c>
      <x:c r="F1003" s="51" t="str">
        <x:f>IF(995&gt;$H$4,"",IF(INDEX('Fleet dates'!$F$9:$F$1008,$I1003-8)="","",INDEX('Fleet dates'!$F$9:$F$1008,$I1003-8)))</x:f>
      </x:c>
      <x:c r="G1003" s="50" t="str">
        <x:f>IF(995&gt;$H$4,"",IF(INDEX('Fleet dates'!$G$9:$G$1008,$I1003-8)="","",INDEX('Fleet dates'!$G$9:$G$1008,$I1003-8)))</x:f>
      </x:c>
      <x:c r="H1003" s="50" t="str">
        <x:f>IF(995&gt;$H$4,"",IF(INDEX('Fleet dates'!$I$9:$I$1008,$I1003-8)="","",INDEX('Fleet dates'!$I$9:$I$1008,$I1003-8)))</x:f>
      </x:c>
      <x:c r="I1003" t="str">
        <x:f>IF(995&gt;$H$4,"",MATCH(995,'Fleet dates'!$L$9:$L$1008,0)+8)</x:f>
      </x:c>
    </x:row>
    <x:row r="1004" ht="36" customHeight="1">
      <x:c r="A1004" s="50" t="str">
        <x:f>IF(996&gt;$H$4,"",IF(INDEX('Fleet dates'!$A$9:$A$1008,$I1004-8)="","",INDEX('Fleet dates'!$A$9:$A$1008,$I1004-8)))</x:f>
      </x:c>
      <x:c r="B1004" s="50" t="str">
        <x:f>IF(996&gt;$H$4,"",IF(INDEX('Fleet dates'!$B$9:$B$1008,$I1004-8)="","",INDEX('Fleet dates'!$B$9:$B$1008,$I1004-8)))</x:f>
      </x:c>
      <x:c r="C1004" s="51" t="str">
        <x:f>IF(996&gt;$H$4,"",IF(INDEX('Fleet dates'!$C$9:$C$1008,$I1004-8)="","",INDEX('Fleet dates'!$C$9:$C$1008,$I1004-8)))</x:f>
      </x:c>
      <x:c r="D1004" s="51" t="str">
        <x:f>IF(996&gt;$H$4,"",IF(INDEX('Fleet dates'!$D$9:$D$1008,$I1004-8)="","",INDEX('Fleet dates'!$D$9:$D$1008,$I1004-8)))</x:f>
      </x:c>
      <x:c r="E1004" s="51" t="str">
        <x:f>IF(996&gt;$H$4,"",IF(INDEX('Fleet dates'!$E$9:$E$1008,$I1004-8)="","",INDEX('Fleet dates'!$E$9:$E$1008,$I1004-8)))</x:f>
      </x:c>
      <x:c r="F1004" s="51" t="str">
        <x:f>IF(996&gt;$H$4,"",IF(INDEX('Fleet dates'!$F$9:$F$1008,$I1004-8)="","",INDEX('Fleet dates'!$F$9:$F$1008,$I1004-8)))</x:f>
      </x:c>
      <x:c r="G1004" s="50" t="str">
        <x:f>IF(996&gt;$H$4,"",IF(INDEX('Fleet dates'!$G$9:$G$1008,$I1004-8)="","",INDEX('Fleet dates'!$G$9:$G$1008,$I1004-8)))</x:f>
      </x:c>
      <x:c r="H1004" s="50" t="str">
        <x:f>IF(996&gt;$H$4,"",IF(INDEX('Fleet dates'!$I$9:$I$1008,$I1004-8)="","",INDEX('Fleet dates'!$I$9:$I$1008,$I1004-8)))</x:f>
      </x:c>
      <x:c r="I1004" t="str">
        <x:f>IF(996&gt;$H$4,"",MATCH(996,'Fleet dates'!$L$9:$L$1008,0)+8)</x:f>
      </x:c>
    </x:row>
    <x:row r="1005" ht="36" customHeight="1">
      <x:c r="A1005" s="50" t="str">
        <x:f>IF(997&gt;$H$4,"",IF(INDEX('Fleet dates'!$A$9:$A$1008,$I1005-8)="","",INDEX('Fleet dates'!$A$9:$A$1008,$I1005-8)))</x:f>
      </x:c>
      <x:c r="B1005" s="50" t="str">
        <x:f>IF(997&gt;$H$4,"",IF(INDEX('Fleet dates'!$B$9:$B$1008,$I1005-8)="","",INDEX('Fleet dates'!$B$9:$B$1008,$I1005-8)))</x:f>
      </x:c>
      <x:c r="C1005" s="51" t="str">
        <x:f>IF(997&gt;$H$4,"",IF(INDEX('Fleet dates'!$C$9:$C$1008,$I1005-8)="","",INDEX('Fleet dates'!$C$9:$C$1008,$I1005-8)))</x:f>
      </x:c>
      <x:c r="D1005" s="51" t="str">
        <x:f>IF(997&gt;$H$4,"",IF(INDEX('Fleet dates'!$D$9:$D$1008,$I1005-8)="","",INDEX('Fleet dates'!$D$9:$D$1008,$I1005-8)))</x:f>
      </x:c>
      <x:c r="E1005" s="51" t="str">
        <x:f>IF(997&gt;$H$4,"",IF(INDEX('Fleet dates'!$E$9:$E$1008,$I1005-8)="","",INDEX('Fleet dates'!$E$9:$E$1008,$I1005-8)))</x:f>
      </x:c>
      <x:c r="F1005" s="51" t="str">
        <x:f>IF(997&gt;$H$4,"",IF(INDEX('Fleet dates'!$F$9:$F$1008,$I1005-8)="","",INDEX('Fleet dates'!$F$9:$F$1008,$I1005-8)))</x:f>
      </x:c>
      <x:c r="G1005" s="50" t="str">
        <x:f>IF(997&gt;$H$4,"",IF(INDEX('Fleet dates'!$G$9:$G$1008,$I1005-8)="","",INDEX('Fleet dates'!$G$9:$G$1008,$I1005-8)))</x:f>
      </x:c>
      <x:c r="H1005" s="50" t="str">
        <x:f>IF(997&gt;$H$4,"",IF(INDEX('Fleet dates'!$I$9:$I$1008,$I1005-8)="","",INDEX('Fleet dates'!$I$9:$I$1008,$I1005-8)))</x:f>
      </x:c>
      <x:c r="I1005" t="str">
        <x:f>IF(997&gt;$H$4,"",MATCH(997,'Fleet dates'!$L$9:$L$1008,0)+8)</x:f>
      </x:c>
    </x:row>
    <x:row r="1006" ht="36" customHeight="1">
      <x:c r="A1006" s="50" t="str">
        <x:f>IF(998&gt;$H$4,"",IF(INDEX('Fleet dates'!$A$9:$A$1008,$I1006-8)="","",INDEX('Fleet dates'!$A$9:$A$1008,$I1006-8)))</x:f>
      </x:c>
      <x:c r="B1006" s="50" t="str">
        <x:f>IF(998&gt;$H$4,"",IF(INDEX('Fleet dates'!$B$9:$B$1008,$I1006-8)="","",INDEX('Fleet dates'!$B$9:$B$1008,$I1006-8)))</x:f>
      </x:c>
      <x:c r="C1006" s="51" t="str">
        <x:f>IF(998&gt;$H$4,"",IF(INDEX('Fleet dates'!$C$9:$C$1008,$I1006-8)="","",INDEX('Fleet dates'!$C$9:$C$1008,$I1006-8)))</x:f>
      </x:c>
      <x:c r="D1006" s="51" t="str">
        <x:f>IF(998&gt;$H$4,"",IF(INDEX('Fleet dates'!$D$9:$D$1008,$I1006-8)="","",INDEX('Fleet dates'!$D$9:$D$1008,$I1006-8)))</x:f>
      </x:c>
      <x:c r="E1006" s="51" t="str">
        <x:f>IF(998&gt;$H$4,"",IF(INDEX('Fleet dates'!$E$9:$E$1008,$I1006-8)="","",INDEX('Fleet dates'!$E$9:$E$1008,$I1006-8)))</x:f>
      </x:c>
      <x:c r="F1006" s="51" t="str">
        <x:f>IF(998&gt;$H$4,"",IF(INDEX('Fleet dates'!$F$9:$F$1008,$I1006-8)="","",INDEX('Fleet dates'!$F$9:$F$1008,$I1006-8)))</x:f>
      </x:c>
      <x:c r="G1006" s="50" t="str">
        <x:f>IF(998&gt;$H$4,"",IF(INDEX('Fleet dates'!$G$9:$G$1008,$I1006-8)="","",INDEX('Fleet dates'!$G$9:$G$1008,$I1006-8)))</x:f>
      </x:c>
      <x:c r="H1006" s="50" t="str">
        <x:f>IF(998&gt;$H$4,"",IF(INDEX('Fleet dates'!$I$9:$I$1008,$I1006-8)="","",INDEX('Fleet dates'!$I$9:$I$1008,$I1006-8)))</x:f>
      </x:c>
      <x:c r="I1006" t="str">
        <x:f>IF(998&gt;$H$4,"",MATCH(998,'Fleet dates'!$L$9:$L$1008,0)+8)</x:f>
      </x:c>
    </x:row>
    <x:row r="1007" ht="36" customHeight="1">
      <x:c r="A1007" s="50" t="str">
        <x:f>IF(999&gt;$H$4,"",IF(INDEX('Fleet dates'!$A$9:$A$1008,$I1007-8)="","",INDEX('Fleet dates'!$A$9:$A$1008,$I1007-8)))</x:f>
      </x:c>
      <x:c r="B1007" s="50" t="str">
        <x:f>IF(999&gt;$H$4,"",IF(INDEX('Fleet dates'!$B$9:$B$1008,$I1007-8)="","",INDEX('Fleet dates'!$B$9:$B$1008,$I1007-8)))</x:f>
      </x:c>
      <x:c r="C1007" s="51" t="str">
        <x:f>IF(999&gt;$H$4,"",IF(INDEX('Fleet dates'!$C$9:$C$1008,$I1007-8)="","",INDEX('Fleet dates'!$C$9:$C$1008,$I1007-8)))</x:f>
      </x:c>
      <x:c r="D1007" s="51" t="str">
        <x:f>IF(999&gt;$H$4,"",IF(INDEX('Fleet dates'!$D$9:$D$1008,$I1007-8)="","",INDEX('Fleet dates'!$D$9:$D$1008,$I1007-8)))</x:f>
      </x:c>
      <x:c r="E1007" s="51" t="str">
        <x:f>IF(999&gt;$H$4,"",IF(INDEX('Fleet dates'!$E$9:$E$1008,$I1007-8)="","",INDEX('Fleet dates'!$E$9:$E$1008,$I1007-8)))</x:f>
      </x:c>
      <x:c r="F1007" s="51" t="str">
        <x:f>IF(999&gt;$H$4,"",IF(INDEX('Fleet dates'!$F$9:$F$1008,$I1007-8)="","",INDEX('Fleet dates'!$F$9:$F$1008,$I1007-8)))</x:f>
      </x:c>
      <x:c r="G1007" s="50" t="str">
        <x:f>IF(999&gt;$H$4,"",IF(INDEX('Fleet dates'!$G$9:$G$1008,$I1007-8)="","",INDEX('Fleet dates'!$G$9:$G$1008,$I1007-8)))</x:f>
      </x:c>
      <x:c r="H1007" s="50" t="str">
        <x:f>IF(999&gt;$H$4,"",IF(INDEX('Fleet dates'!$I$9:$I$1008,$I1007-8)="","",INDEX('Fleet dates'!$I$9:$I$1008,$I1007-8)))</x:f>
      </x:c>
      <x:c r="I1007" t="str">
        <x:f>IF(999&gt;$H$4,"",MATCH(999,'Fleet dates'!$L$9:$L$1008,0)+8)</x:f>
      </x:c>
    </x:row>
    <x:row r="1008" ht="36" customHeight="1">
      <x:c r="A1008" s="50" t="str">
        <x:f>IF(1000&gt;$H$4,"",IF(INDEX('Fleet dates'!$A$9:$A$1008,$I1008-8)="","",INDEX('Fleet dates'!$A$9:$A$1008,$I1008-8)))</x:f>
      </x:c>
      <x:c r="B1008" s="50" t="str">
        <x:f>IF(1000&gt;$H$4,"",IF(INDEX('Fleet dates'!$B$9:$B$1008,$I1008-8)="","",INDEX('Fleet dates'!$B$9:$B$1008,$I1008-8)))</x:f>
      </x:c>
      <x:c r="C1008" s="51" t="str">
        <x:f>IF(1000&gt;$H$4,"",IF(INDEX('Fleet dates'!$C$9:$C$1008,$I1008-8)="","",INDEX('Fleet dates'!$C$9:$C$1008,$I1008-8)))</x:f>
      </x:c>
      <x:c r="D1008" s="51" t="str">
        <x:f>IF(1000&gt;$H$4,"",IF(INDEX('Fleet dates'!$D$9:$D$1008,$I1008-8)="","",INDEX('Fleet dates'!$D$9:$D$1008,$I1008-8)))</x:f>
      </x:c>
      <x:c r="E1008" s="51" t="str">
        <x:f>IF(1000&gt;$H$4,"",IF(INDEX('Fleet dates'!$E$9:$E$1008,$I1008-8)="","",INDEX('Fleet dates'!$E$9:$E$1008,$I1008-8)))</x:f>
      </x:c>
      <x:c r="F1008" s="51" t="str">
        <x:f>IF(1000&gt;$H$4,"",IF(INDEX('Fleet dates'!$F$9:$F$1008,$I1008-8)="","",INDEX('Fleet dates'!$F$9:$F$1008,$I1008-8)))</x:f>
      </x:c>
      <x:c r="G1008" s="50" t="str">
        <x:f>IF(1000&gt;$H$4,"",IF(INDEX('Fleet dates'!$G$9:$G$1008,$I1008-8)="","",INDEX('Fleet dates'!$G$9:$G$1008,$I1008-8)))</x:f>
      </x:c>
      <x:c r="H1008" s="50" t="str">
        <x:f>IF(1000&gt;$H$4,"",IF(INDEX('Fleet dates'!$I$9:$I$1008,$I1008-8)="","",INDEX('Fleet dates'!$I$9:$I$1008,$I1008-8)))</x:f>
      </x:c>
      <x:c r="I1008" t="str">
        <x:f>IF(1000&gt;$H$4,"",MATCH(1000,'Fleet dates'!$L$9:$L$1008,0)+8)</x:f>
      </x:c>
    </x:row>
  </x:sheetData>
  <x:sheetProtection sheet="1" objects="1" scenarios="1" autoFilter="0" selectLockedCells="0" selectUnlockedCells="0"/>
  <x:mergeCells>
    <x:mergeCell ref="B1:H2"/>
    <x:mergeCell ref="A4:G4"/>
    <x:mergeCell ref="A5:H5"/>
    <x:mergeCell ref="A6:H6"/>
  </x:mergeCells>
  <x:pageMargins left="0.7" right="0.7" top="0.75" bottom="0.75" header="0.3" footer="0.3"/>
  <x:hyperlinks>
    <x:hyperlink ref="A6" location="'Summary'!A8" tooltip="Back to Summary"/>
  </x:hyperlinks>
  <x:drawing ns1:id="R0ec49fde692e4d9d"/>
</x:worksheet>
</file>

<file path=xl/worksheets/sheet6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.670000076293945" hidden="0" customWidth="1"/>
    <x:col min="2" max="2" width="20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5.5600004196167" hidden="0" customWidth="1"/>
    <x:col min="7" max="7" width="18.329999923706055" hidden="0" customWidth="1"/>
    <x:col min="8" max="8" width="28.889999389648438" hidden="0" customWidth="1"/>
    <x:col min="9" max="9" hidden="1" width="14" customWidth="1"/>
  </x:cols>
  <x:sheetData>
    <x:row r="1" ht="40" customHeight="1">
      <x:c r="A1" s="3"/>
      <x:c r="B1" s="6" t="str">
        <x:v>Needs review</x:v>
      </x:c>
      <x:c r="C1" s="6" t="str">
        <x:v>Needs review</x:v>
      </x:c>
      <x:c r="D1" s="6" t="str">
        <x:v>Needs review</x:v>
      </x:c>
      <x:c r="E1" s="6" t="str">
        <x:v>Needs review</x:v>
      </x:c>
      <x:c r="F1" s="6" t="str">
        <x:v>Needs review</x:v>
      </x:c>
      <x:c r="G1" s="6" t="str">
        <x:v>Needs review</x:v>
      </x:c>
      <x:c r="H1" s="6" t="str">
        <x:v>Needs review</x:v>
      </x:c>
    </x:row>
    <x:row r="2" ht="40" customHeight="1">
      <x:c r="A2" s="3"/>
      <x:c r="B2" s="6" t="str">
        <x:v>Needs review</x:v>
      </x:c>
      <x:c r="C2" s="6" t="str">
        <x:v>Needs review</x:v>
      </x:c>
      <x:c r="D2" s="6" t="str">
        <x:v>Needs review</x:v>
      </x:c>
      <x:c r="E2" s="6" t="str">
        <x:v>Needs review</x:v>
      </x:c>
      <x:c r="F2" s="6" t="str">
        <x:v>Needs review</x:v>
      </x:c>
      <x:c r="G2" s="6" t="str">
        <x:v>Needs review</x:v>
      </x:c>
      <x:c r="H2" s="6" t="str">
        <x:v>Needs review</x:v>
      </x:c>
    </x:row>
    <x:row r="3" ht="36" customHeight="1">
      <x:c r="A3" s="2"/>
      <x:c r="B3" s="2"/>
      <x:c r="C3" s="2"/>
      <x:c r="D3" s="2"/>
      <x:c r="E3" s="2"/>
      <x:c r="F3" s="2"/>
      <x:c r="G3" s="2"/>
      <x:c r="H3" s="2"/>
    </x:row>
    <x:row r="4" ht="36" customHeight="1">
      <x:c r="A4" s="26" t="str">
        <x:v>Matching vehicles or rows</x:v>
      </x:c>
      <x:c r="B4" s="26" t="str">
        <x:v>Matching vehicles or rows</x:v>
      </x:c>
      <x:c r="C4" s="26" t="str">
        <x:v>Matching vehicles or rows</x:v>
      </x:c>
      <x:c r="D4" s="26" t="str">
        <x:v>Matching vehicles or rows</x:v>
      </x:c>
      <x:c r="E4" s="26" t="str">
        <x:v>Matching vehicles or rows</x:v>
      </x:c>
      <x:c r="F4" s="26" t="str">
        <x:v>Matching vehicles or rows</x:v>
      </x:c>
      <x:c r="G4" s="26" t="str">
        <x:v>Matching vehicles or rows</x:v>
      </x:c>
      <x:c r="H4" s="48" t="n">
        <x:f>COUNT('Fleet dates'!$M$9:$M$1008)</x:f>
        <x:v>0</x:v>
      </x:c>
    </x:row>
    <x:row r="5" ht="36" customHeight="1">
      <x:c r="A5" s="9" t="str">
        <x:v>Read-only list. Dates update when the workbook recalculates. Edit records on Fleet dates.</x:v>
      </x:c>
      <x:c r="B5" s="9" t="str">
        <x:v>Read-only list. Dates update when the workbook recalculates. Edit records on Fleet dates.</x:v>
      </x:c>
      <x:c r="C5" s="9" t="str">
        <x:v>Read-only list. Dates update when the workbook recalculates. Edit records on Fleet dates.</x:v>
      </x:c>
      <x:c r="D5" s="9" t="str">
        <x:v>Read-only list. Dates update when the workbook recalculates. Edit records on Fleet dates.</x:v>
      </x:c>
      <x:c r="E5" s="9" t="str">
        <x:v>Read-only list. Dates update when the workbook recalculates. Edit records on Fleet dates.</x:v>
      </x:c>
      <x:c r="F5" s="9" t="str">
        <x:v>Read-only list. Dates update when the workbook recalculates. Edit records on Fleet dates.</x:v>
      </x:c>
      <x:c r="G5" s="9" t="str">
        <x:v>Read-only list. Dates update when the workbook recalculates. Edit records on Fleet dates.</x:v>
      </x:c>
      <x:c r="H5" s="9" t="str">
        <x:v>Read-only list. Dates update when the workbook recalculates. Edit records on Fleet dates.</x:v>
      </x:c>
    </x:row>
    <x:row r="6" ht="36" customHeight="1">
      <x:c r="A6" s="9" t="str">
        <x:v>Back to Summary</x:v>
      </x:c>
      <x:c r="B6" s="9" t="str">
        <x:v>Back to Summary</x:v>
      </x:c>
      <x:c r="C6" s="9" t="str">
        <x:v>Back to Summary</x:v>
      </x:c>
      <x:c r="D6" s="9" t="str">
        <x:v>Back to Summary</x:v>
      </x:c>
      <x:c r="E6" s="9" t="str">
        <x:v>Back to Summary</x:v>
      </x:c>
      <x:c r="F6" s="9" t="str">
        <x:v>Back to Summary</x:v>
      </x:c>
      <x:c r="G6" s="9" t="str">
        <x:v>Back to Summary</x:v>
      </x:c>
      <x:c r="H6" s="9" t="str">
        <x:v>Back to Summary</x:v>
      </x:c>
    </x:row>
    <x:row r="7" ht="36" customHeight="1">
      <x:c r="A7" s="2"/>
      <x:c r="B7" s="2"/>
      <x:c r="C7" s="2"/>
      <x:c r="D7" s="2"/>
      <x:c r="E7" s="2"/>
      <x:c r="F7" s="2"/>
      <x:c r="G7" s="2"/>
      <x:c r="H7" s="2"/>
    </x:row>
    <x:row r="8" ht="48" customHeight="1">
      <x:c r="A8" s="49" t="str">
        <x:v>Vehicle registration</x:v>
      </x:c>
      <x:c r="B8" s="49" t="str">
        <x:v>Vehicle label</x:v>
      </x:c>
      <x:c r="C8" s="49" t="str">
        <x:v>MOT due</x:v>
      </x:c>
      <x:c r="D8" s="49" t="str">
        <x:v>Tax due</x:v>
      </x:c>
      <x:c r="E8" s="49" t="str">
        <x:v>Insurance due</x:v>
      </x:c>
      <x:c r="F8" s="49" t="str">
        <x:v>Next service due</x:v>
      </x:c>
      <x:c r="G8" s="49" t="str">
        <x:v>Responsible person</x:v>
      </x:c>
      <x:c r="H8" s="49" t="str">
        <x:v>Notes / exemptions</x:v>
      </x:c>
    </x:row>
    <x:row r="9" ht="36" customHeight="1">
      <x:c r="A9" s="50" t="str">
        <x:f>IF(1&gt;$H$4,"",IF(INDEX('Fleet dates'!$A$9:$A$1008,$I9-8)="","",INDEX('Fleet dates'!$A$9:$A$1008,$I9-8)))</x:f>
      </x:c>
      <x:c r="B9" s="50" t="str">
        <x:f>IF(1&gt;$H$4,"",IF(INDEX('Fleet dates'!$B$9:$B$1008,$I9-8)="","",INDEX('Fleet dates'!$B$9:$B$1008,$I9-8)))</x:f>
      </x:c>
      <x:c r="C9" s="51" t="str">
        <x:f>IF(1&gt;$H$4,"",IF(INDEX('Fleet dates'!$C$9:$C$1008,$I9-8)="","",INDEX('Fleet dates'!$C$9:$C$1008,$I9-8)))</x:f>
      </x:c>
      <x:c r="D9" s="51" t="str">
        <x:f>IF(1&gt;$H$4,"",IF(INDEX('Fleet dates'!$D$9:$D$1008,$I9-8)="","",INDEX('Fleet dates'!$D$9:$D$1008,$I9-8)))</x:f>
      </x:c>
      <x:c r="E9" s="51" t="str">
        <x:f>IF(1&gt;$H$4,"",IF(INDEX('Fleet dates'!$E$9:$E$1008,$I9-8)="","",INDEX('Fleet dates'!$E$9:$E$1008,$I9-8)))</x:f>
      </x:c>
      <x:c r="F9" s="51" t="str">
        <x:f>IF(1&gt;$H$4,"",IF(INDEX('Fleet dates'!$F$9:$F$1008,$I9-8)="","",INDEX('Fleet dates'!$F$9:$F$1008,$I9-8)))</x:f>
      </x:c>
      <x:c r="G9" s="50" t="str">
        <x:f>IF(1&gt;$H$4,"",IF(INDEX('Fleet dates'!$G$9:$G$1008,$I9-8)="","",INDEX('Fleet dates'!$G$9:$G$1008,$I9-8)))</x:f>
      </x:c>
      <x:c r="H9" s="50" t="str">
        <x:f>IF(1&gt;$H$4,"",IF(INDEX('Fleet dates'!$I$9:$I$1008,$I9-8)="","",INDEX('Fleet dates'!$I$9:$I$1008,$I9-8)))</x:f>
      </x:c>
      <x:c r="I9" t="str">
        <x:f>IF(1&gt;$H$4,"",MATCH(1,'Fleet dates'!$M$9:$M$1008,0)+8)</x:f>
      </x:c>
    </x:row>
    <x:row r="10" ht="36" customHeight="1">
      <x:c r="A10" s="50" t="str">
        <x:f>IF(2&gt;$H$4,"",IF(INDEX('Fleet dates'!$A$9:$A$1008,$I10-8)="","",INDEX('Fleet dates'!$A$9:$A$1008,$I10-8)))</x:f>
      </x:c>
      <x:c r="B10" s="50" t="str">
        <x:f>IF(2&gt;$H$4,"",IF(INDEX('Fleet dates'!$B$9:$B$1008,$I10-8)="","",INDEX('Fleet dates'!$B$9:$B$1008,$I10-8)))</x:f>
      </x:c>
      <x:c r="C10" s="51" t="str">
        <x:f>IF(2&gt;$H$4,"",IF(INDEX('Fleet dates'!$C$9:$C$1008,$I10-8)="","",INDEX('Fleet dates'!$C$9:$C$1008,$I10-8)))</x:f>
      </x:c>
      <x:c r="D10" s="51" t="str">
        <x:f>IF(2&gt;$H$4,"",IF(INDEX('Fleet dates'!$D$9:$D$1008,$I10-8)="","",INDEX('Fleet dates'!$D$9:$D$1008,$I10-8)))</x:f>
      </x:c>
      <x:c r="E10" s="51" t="str">
        <x:f>IF(2&gt;$H$4,"",IF(INDEX('Fleet dates'!$E$9:$E$1008,$I10-8)="","",INDEX('Fleet dates'!$E$9:$E$1008,$I10-8)))</x:f>
      </x:c>
      <x:c r="F10" s="51" t="str">
        <x:f>IF(2&gt;$H$4,"",IF(INDEX('Fleet dates'!$F$9:$F$1008,$I10-8)="","",INDEX('Fleet dates'!$F$9:$F$1008,$I10-8)))</x:f>
      </x:c>
      <x:c r="G10" s="50" t="str">
        <x:f>IF(2&gt;$H$4,"",IF(INDEX('Fleet dates'!$G$9:$G$1008,$I10-8)="","",INDEX('Fleet dates'!$G$9:$G$1008,$I10-8)))</x:f>
      </x:c>
      <x:c r="H10" s="50" t="str">
        <x:f>IF(2&gt;$H$4,"",IF(INDEX('Fleet dates'!$I$9:$I$1008,$I10-8)="","",INDEX('Fleet dates'!$I$9:$I$1008,$I10-8)))</x:f>
      </x:c>
      <x:c r="I10" t="str">
        <x:f>IF(2&gt;$H$4,"",MATCH(2,'Fleet dates'!$M$9:$M$1008,0)+8)</x:f>
      </x:c>
    </x:row>
    <x:row r="11" ht="36" customHeight="1">
      <x:c r="A11" s="50" t="str">
        <x:f>IF(3&gt;$H$4,"",IF(INDEX('Fleet dates'!$A$9:$A$1008,$I11-8)="","",INDEX('Fleet dates'!$A$9:$A$1008,$I11-8)))</x:f>
      </x:c>
      <x:c r="B11" s="50" t="str">
        <x:f>IF(3&gt;$H$4,"",IF(INDEX('Fleet dates'!$B$9:$B$1008,$I11-8)="","",INDEX('Fleet dates'!$B$9:$B$1008,$I11-8)))</x:f>
      </x:c>
      <x:c r="C11" s="51" t="str">
        <x:f>IF(3&gt;$H$4,"",IF(INDEX('Fleet dates'!$C$9:$C$1008,$I11-8)="","",INDEX('Fleet dates'!$C$9:$C$1008,$I11-8)))</x:f>
      </x:c>
      <x:c r="D11" s="51" t="str">
        <x:f>IF(3&gt;$H$4,"",IF(INDEX('Fleet dates'!$D$9:$D$1008,$I11-8)="","",INDEX('Fleet dates'!$D$9:$D$1008,$I11-8)))</x:f>
      </x:c>
      <x:c r="E11" s="51" t="str">
        <x:f>IF(3&gt;$H$4,"",IF(INDEX('Fleet dates'!$E$9:$E$1008,$I11-8)="","",INDEX('Fleet dates'!$E$9:$E$1008,$I11-8)))</x:f>
      </x:c>
      <x:c r="F11" s="51" t="str">
        <x:f>IF(3&gt;$H$4,"",IF(INDEX('Fleet dates'!$F$9:$F$1008,$I11-8)="","",INDEX('Fleet dates'!$F$9:$F$1008,$I11-8)))</x:f>
      </x:c>
      <x:c r="G11" s="50" t="str">
        <x:f>IF(3&gt;$H$4,"",IF(INDEX('Fleet dates'!$G$9:$G$1008,$I11-8)="","",INDEX('Fleet dates'!$G$9:$G$1008,$I11-8)))</x:f>
      </x:c>
      <x:c r="H11" s="50" t="str">
        <x:f>IF(3&gt;$H$4,"",IF(INDEX('Fleet dates'!$I$9:$I$1008,$I11-8)="","",INDEX('Fleet dates'!$I$9:$I$1008,$I11-8)))</x:f>
      </x:c>
      <x:c r="I11" t="str">
        <x:f>IF(3&gt;$H$4,"",MATCH(3,'Fleet dates'!$M$9:$M$1008,0)+8)</x:f>
      </x:c>
    </x:row>
    <x:row r="12" ht="36" customHeight="1">
      <x:c r="A12" s="50" t="str">
        <x:f>IF(4&gt;$H$4,"",IF(INDEX('Fleet dates'!$A$9:$A$1008,$I12-8)="","",INDEX('Fleet dates'!$A$9:$A$1008,$I12-8)))</x:f>
      </x:c>
      <x:c r="B12" s="50" t="str">
        <x:f>IF(4&gt;$H$4,"",IF(INDEX('Fleet dates'!$B$9:$B$1008,$I12-8)="","",INDEX('Fleet dates'!$B$9:$B$1008,$I12-8)))</x:f>
      </x:c>
      <x:c r="C12" s="51" t="str">
        <x:f>IF(4&gt;$H$4,"",IF(INDEX('Fleet dates'!$C$9:$C$1008,$I12-8)="","",INDEX('Fleet dates'!$C$9:$C$1008,$I12-8)))</x:f>
      </x:c>
      <x:c r="D12" s="51" t="str">
        <x:f>IF(4&gt;$H$4,"",IF(INDEX('Fleet dates'!$D$9:$D$1008,$I12-8)="","",INDEX('Fleet dates'!$D$9:$D$1008,$I12-8)))</x:f>
      </x:c>
      <x:c r="E12" s="51" t="str">
        <x:f>IF(4&gt;$H$4,"",IF(INDEX('Fleet dates'!$E$9:$E$1008,$I12-8)="","",INDEX('Fleet dates'!$E$9:$E$1008,$I12-8)))</x:f>
      </x:c>
      <x:c r="F12" s="51" t="str">
        <x:f>IF(4&gt;$H$4,"",IF(INDEX('Fleet dates'!$F$9:$F$1008,$I12-8)="","",INDEX('Fleet dates'!$F$9:$F$1008,$I12-8)))</x:f>
      </x:c>
      <x:c r="G12" s="50" t="str">
        <x:f>IF(4&gt;$H$4,"",IF(INDEX('Fleet dates'!$G$9:$G$1008,$I12-8)="","",INDEX('Fleet dates'!$G$9:$G$1008,$I12-8)))</x:f>
      </x:c>
      <x:c r="H12" s="50" t="str">
        <x:f>IF(4&gt;$H$4,"",IF(INDEX('Fleet dates'!$I$9:$I$1008,$I12-8)="","",INDEX('Fleet dates'!$I$9:$I$1008,$I12-8)))</x:f>
      </x:c>
      <x:c r="I12" t="str">
        <x:f>IF(4&gt;$H$4,"",MATCH(4,'Fleet dates'!$M$9:$M$1008,0)+8)</x:f>
      </x:c>
    </x:row>
    <x:row r="13" ht="36" customHeight="1">
      <x:c r="A13" s="50" t="str">
        <x:f>IF(5&gt;$H$4,"",IF(INDEX('Fleet dates'!$A$9:$A$1008,$I13-8)="","",INDEX('Fleet dates'!$A$9:$A$1008,$I13-8)))</x:f>
      </x:c>
      <x:c r="B13" s="50" t="str">
        <x:f>IF(5&gt;$H$4,"",IF(INDEX('Fleet dates'!$B$9:$B$1008,$I13-8)="","",INDEX('Fleet dates'!$B$9:$B$1008,$I13-8)))</x:f>
      </x:c>
      <x:c r="C13" s="51" t="str">
        <x:f>IF(5&gt;$H$4,"",IF(INDEX('Fleet dates'!$C$9:$C$1008,$I13-8)="","",INDEX('Fleet dates'!$C$9:$C$1008,$I13-8)))</x:f>
      </x:c>
      <x:c r="D13" s="51" t="str">
        <x:f>IF(5&gt;$H$4,"",IF(INDEX('Fleet dates'!$D$9:$D$1008,$I13-8)="","",INDEX('Fleet dates'!$D$9:$D$1008,$I13-8)))</x:f>
      </x:c>
      <x:c r="E13" s="51" t="str">
        <x:f>IF(5&gt;$H$4,"",IF(INDEX('Fleet dates'!$E$9:$E$1008,$I13-8)="","",INDEX('Fleet dates'!$E$9:$E$1008,$I13-8)))</x:f>
      </x:c>
      <x:c r="F13" s="51" t="str">
        <x:f>IF(5&gt;$H$4,"",IF(INDEX('Fleet dates'!$F$9:$F$1008,$I13-8)="","",INDEX('Fleet dates'!$F$9:$F$1008,$I13-8)))</x:f>
      </x:c>
      <x:c r="G13" s="50" t="str">
        <x:f>IF(5&gt;$H$4,"",IF(INDEX('Fleet dates'!$G$9:$G$1008,$I13-8)="","",INDEX('Fleet dates'!$G$9:$G$1008,$I13-8)))</x:f>
      </x:c>
      <x:c r="H13" s="50" t="str">
        <x:f>IF(5&gt;$H$4,"",IF(INDEX('Fleet dates'!$I$9:$I$1008,$I13-8)="","",INDEX('Fleet dates'!$I$9:$I$1008,$I13-8)))</x:f>
      </x:c>
      <x:c r="I13" t="str">
        <x:f>IF(5&gt;$H$4,"",MATCH(5,'Fleet dates'!$M$9:$M$1008,0)+8)</x:f>
      </x:c>
    </x:row>
    <x:row r="14" ht="36" customHeight="1">
      <x:c r="A14" s="50" t="str">
        <x:f>IF(6&gt;$H$4,"",IF(INDEX('Fleet dates'!$A$9:$A$1008,$I14-8)="","",INDEX('Fleet dates'!$A$9:$A$1008,$I14-8)))</x:f>
      </x:c>
      <x:c r="B14" s="50" t="str">
        <x:f>IF(6&gt;$H$4,"",IF(INDEX('Fleet dates'!$B$9:$B$1008,$I14-8)="","",INDEX('Fleet dates'!$B$9:$B$1008,$I14-8)))</x:f>
      </x:c>
      <x:c r="C14" s="51" t="str">
        <x:f>IF(6&gt;$H$4,"",IF(INDEX('Fleet dates'!$C$9:$C$1008,$I14-8)="","",INDEX('Fleet dates'!$C$9:$C$1008,$I14-8)))</x:f>
      </x:c>
      <x:c r="D14" s="51" t="str">
        <x:f>IF(6&gt;$H$4,"",IF(INDEX('Fleet dates'!$D$9:$D$1008,$I14-8)="","",INDEX('Fleet dates'!$D$9:$D$1008,$I14-8)))</x:f>
      </x:c>
      <x:c r="E14" s="51" t="str">
        <x:f>IF(6&gt;$H$4,"",IF(INDEX('Fleet dates'!$E$9:$E$1008,$I14-8)="","",INDEX('Fleet dates'!$E$9:$E$1008,$I14-8)))</x:f>
      </x:c>
      <x:c r="F14" s="51" t="str">
        <x:f>IF(6&gt;$H$4,"",IF(INDEX('Fleet dates'!$F$9:$F$1008,$I14-8)="","",INDEX('Fleet dates'!$F$9:$F$1008,$I14-8)))</x:f>
      </x:c>
      <x:c r="G14" s="50" t="str">
        <x:f>IF(6&gt;$H$4,"",IF(INDEX('Fleet dates'!$G$9:$G$1008,$I14-8)="","",INDEX('Fleet dates'!$G$9:$G$1008,$I14-8)))</x:f>
      </x:c>
      <x:c r="H14" s="50" t="str">
        <x:f>IF(6&gt;$H$4,"",IF(INDEX('Fleet dates'!$I$9:$I$1008,$I14-8)="","",INDEX('Fleet dates'!$I$9:$I$1008,$I14-8)))</x:f>
      </x:c>
      <x:c r="I14" t="str">
        <x:f>IF(6&gt;$H$4,"",MATCH(6,'Fleet dates'!$M$9:$M$1008,0)+8)</x:f>
      </x:c>
    </x:row>
    <x:row r="15" ht="36" customHeight="1">
      <x:c r="A15" s="50" t="str">
        <x:f>IF(7&gt;$H$4,"",IF(INDEX('Fleet dates'!$A$9:$A$1008,$I15-8)="","",INDEX('Fleet dates'!$A$9:$A$1008,$I15-8)))</x:f>
      </x:c>
      <x:c r="B15" s="50" t="str">
        <x:f>IF(7&gt;$H$4,"",IF(INDEX('Fleet dates'!$B$9:$B$1008,$I15-8)="","",INDEX('Fleet dates'!$B$9:$B$1008,$I15-8)))</x:f>
      </x:c>
      <x:c r="C15" s="51" t="str">
        <x:f>IF(7&gt;$H$4,"",IF(INDEX('Fleet dates'!$C$9:$C$1008,$I15-8)="","",INDEX('Fleet dates'!$C$9:$C$1008,$I15-8)))</x:f>
      </x:c>
      <x:c r="D15" s="51" t="str">
        <x:f>IF(7&gt;$H$4,"",IF(INDEX('Fleet dates'!$D$9:$D$1008,$I15-8)="","",INDEX('Fleet dates'!$D$9:$D$1008,$I15-8)))</x:f>
      </x:c>
      <x:c r="E15" s="51" t="str">
        <x:f>IF(7&gt;$H$4,"",IF(INDEX('Fleet dates'!$E$9:$E$1008,$I15-8)="","",INDEX('Fleet dates'!$E$9:$E$1008,$I15-8)))</x:f>
      </x:c>
      <x:c r="F15" s="51" t="str">
        <x:f>IF(7&gt;$H$4,"",IF(INDEX('Fleet dates'!$F$9:$F$1008,$I15-8)="","",INDEX('Fleet dates'!$F$9:$F$1008,$I15-8)))</x:f>
      </x:c>
      <x:c r="G15" s="50" t="str">
        <x:f>IF(7&gt;$H$4,"",IF(INDEX('Fleet dates'!$G$9:$G$1008,$I15-8)="","",INDEX('Fleet dates'!$G$9:$G$1008,$I15-8)))</x:f>
      </x:c>
      <x:c r="H15" s="50" t="str">
        <x:f>IF(7&gt;$H$4,"",IF(INDEX('Fleet dates'!$I$9:$I$1008,$I15-8)="","",INDEX('Fleet dates'!$I$9:$I$1008,$I15-8)))</x:f>
      </x:c>
      <x:c r="I15" t="str">
        <x:f>IF(7&gt;$H$4,"",MATCH(7,'Fleet dates'!$M$9:$M$1008,0)+8)</x:f>
      </x:c>
    </x:row>
    <x:row r="16" ht="36" customHeight="1">
      <x:c r="A16" s="50" t="str">
        <x:f>IF(8&gt;$H$4,"",IF(INDEX('Fleet dates'!$A$9:$A$1008,$I16-8)="","",INDEX('Fleet dates'!$A$9:$A$1008,$I16-8)))</x:f>
      </x:c>
      <x:c r="B16" s="50" t="str">
        <x:f>IF(8&gt;$H$4,"",IF(INDEX('Fleet dates'!$B$9:$B$1008,$I16-8)="","",INDEX('Fleet dates'!$B$9:$B$1008,$I16-8)))</x:f>
      </x:c>
      <x:c r="C16" s="51" t="str">
        <x:f>IF(8&gt;$H$4,"",IF(INDEX('Fleet dates'!$C$9:$C$1008,$I16-8)="","",INDEX('Fleet dates'!$C$9:$C$1008,$I16-8)))</x:f>
      </x:c>
      <x:c r="D16" s="51" t="str">
        <x:f>IF(8&gt;$H$4,"",IF(INDEX('Fleet dates'!$D$9:$D$1008,$I16-8)="","",INDEX('Fleet dates'!$D$9:$D$1008,$I16-8)))</x:f>
      </x:c>
      <x:c r="E16" s="51" t="str">
        <x:f>IF(8&gt;$H$4,"",IF(INDEX('Fleet dates'!$E$9:$E$1008,$I16-8)="","",INDEX('Fleet dates'!$E$9:$E$1008,$I16-8)))</x:f>
      </x:c>
      <x:c r="F16" s="51" t="str">
        <x:f>IF(8&gt;$H$4,"",IF(INDEX('Fleet dates'!$F$9:$F$1008,$I16-8)="","",INDEX('Fleet dates'!$F$9:$F$1008,$I16-8)))</x:f>
      </x:c>
      <x:c r="G16" s="50" t="str">
        <x:f>IF(8&gt;$H$4,"",IF(INDEX('Fleet dates'!$G$9:$G$1008,$I16-8)="","",INDEX('Fleet dates'!$G$9:$G$1008,$I16-8)))</x:f>
      </x:c>
      <x:c r="H16" s="50" t="str">
        <x:f>IF(8&gt;$H$4,"",IF(INDEX('Fleet dates'!$I$9:$I$1008,$I16-8)="","",INDEX('Fleet dates'!$I$9:$I$1008,$I16-8)))</x:f>
      </x:c>
      <x:c r="I16" t="str">
        <x:f>IF(8&gt;$H$4,"",MATCH(8,'Fleet dates'!$M$9:$M$1008,0)+8)</x:f>
      </x:c>
    </x:row>
    <x:row r="17" ht="36" customHeight="1">
      <x:c r="A17" s="50" t="str">
        <x:f>IF(9&gt;$H$4,"",IF(INDEX('Fleet dates'!$A$9:$A$1008,$I17-8)="","",INDEX('Fleet dates'!$A$9:$A$1008,$I17-8)))</x:f>
      </x:c>
      <x:c r="B17" s="50" t="str">
        <x:f>IF(9&gt;$H$4,"",IF(INDEX('Fleet dates'!$B$9:$B$1008,$I17-8)="","",INDEX('Fleet dates'!$B$9:$B$1008,$I17-8)))</x:f>
      </x:c>
      <x:c r="C17" s="51" t="str">
        <x:f>IF(9&gt;$H$4,"",IF(INDEX('Fleet dates'!$C$9:$C$1008,$I17-8)="","",INDEX('Fleet dates'!$C$9:$C$1008,$I17-8)))</x:f>
      </x:c>
      <x:c r="D17" s="51" t="str">
        <x:f>IF(9&gt;$H$4,"",IF(INDEX('Fleet dates'!$D$9:$D$1008,$I17-8)="","",INDEX('Fleet dates'!$D$9:$D$1008,$I17-8)))</x:f>
      </x:c>
      <x:c r="E17" s="51" t="str">
        <x:f>IF(9&gt;$H$4,"",IF(INDEX('Fleet dates'!$E$9:$E$1008,$I17-8)="","",INDEX('Fleet dates'!$E$9:$E$1008,$I17-8)))</x:f>
      </x:c>
      <x:c r="F17" s="51" t="str">
        <x:f>IF(9&gt;$H$4,"",IF(INDEX('Fleet dates'!$F$9:$F$1008,$I17-8)="","",INDEX('Fleet dates'!$F$9:$F$1008,$I17-8)))</x:f>
      </x:c>
      <x:c r="G17" s="50" t="str">
        <x:f>IF(9&gt;$H$4,"",IF(INDEX('Fleet dates'!$G$9:$G$1008,$I17-8)="","",INDEX('Fleet dates'!$G$9:$G$1008,$I17-8)))</x:f>
      </x:c>
      <x:c r="H17" s="50" t="str">
        <x:f>IF(9&gt;$H$4,"",IF(INDEX('Fleet dates'!$I$9:$I$1008,$I17-8)="","",INDEX('Fleet dates'!$I$9:$I$1008,$I17-8)))</x:f>
      </x:c>
      <x:c r="I17" t="str">
        <x:f>IF(9&gt;$H$4,"",MATCH(9,'Fleet dates'!$M$9:$M$1008,0)+8)</x:f>
      </x:c>
    </x:row>
    <x:row r="18" ht="36" customHeight="1">
      <x:c r="A18" s="50" t="str">
        <x:f>IF(10&gt;$H$4,"",IF(INDEX('Fleet dates'!$A$9:$A$1008,$I18-8)="","",INDEX('Fleet dates'!$A$9:$A$1008,$I18-8)))</x:f>
      </x:c>
      <x:c r="B18" s="50" t="str">
        <x:f>IF(10&gt;$H$4,"",IF(INDEX('Fleet dates'!$B$9:$B$1008,$I18-8)="","",INDEX('Fleet dates'!$B$9:$B$1008,$I18-8)))</x:f>
      </x:c>
      <x:c r="C18" s="51" t="str">
        <x:f>IF(10&gt;$H$4,"",IF(INDEX('Fleet dates'!$C$9:$C$1008,$I18-8)="","",INDEX('Fleet dates'!$C$9:$C$1008,$I18-8)))</x:f>
      </x:c>
      <x:c r="D18" s="51" t="str">
        <x:f>IF(10&gt;$H$4,"",IF(INDEX('Fleet dates'!$D$9:$D$1008,$I18-8)="","",INDEX('Fleet dates'!$D$9:$D$1008,$I18-8)))</x:f>
      </x:c>
      <x:c r="E18" s="51" t="str">
        <x:f>IF(10&gt;$H$4,"",IF(INDEX('Fleet dates'!$E$9:$E$1008,$I18-8)="","",INDEX('Fleet dates'!$E$9:$E$1008,$I18-8)))</x:f>
      </x:c>
      <x:c r="F18" s="51" t="str">
        <x:f>IF(10&gt;$H$4,"",IF(INDEX('Fleet dates'!$F$9:$F$1008,$I18-8)="","",INDEX('Fleet dates'!$F$9:$F$1008,$I18-8)))</x:f>
      </x:c>
      <x:c r="G18" s="50" t="str">
        <x:f>IF(10&gt;$H$4,"",IF(INDEX('Fleet dates'!$G$9:$G$1008,$I18-8)="","",INDEX('Fleet dates'!$G$9:$G$1008,$I18-8)))</x:f>
      </x:c>
      <x:c r="H18" s="50" t="str">
        <x:f>IF(10&gt;$H$4,"",IF(INDEX('Fleet dates'!$I$9:$I$1008,$I18-8)="","",INDEX('Fleet dates'!$I$9:$I$1008,$I18-8)))</x:f>
      </x:c>
      <x:c r="I18" t="str">
        <x:f>IF(10&gt;$H$4,"",MATCH(10,'Fleet dates'!$M$9:$M$1008,0)+8)</x:f>
      </x:c>
    </x:row>
    <x:row r="19" ht="36" customHeight="1">
      <x:c r="A19" s="50" t="str">
        <x:f>IF(11&gt;$H$4,"",IF(INDEX('Fleet dates'!$A$9:$A$1008,$I19-8)="","",INDEX('Fleet dates'!$A$9:$A$1008,$I19-8)))</x:f>
      </x:c>
      <x:c r="B19" s="50" t="str">
        <x:f>IF(11&gt;$H$4,"",IF(INDEX('Fleet dates'!$B$9:$B$1008,$I19-8)="","",INDEX('Fleet dates'!$B$9:$B$1008,$I19-8)))</x:f>
      </x:c>
      <x:c r="C19" s="51" t="str">
        <x:f>IF(11&gt;$H$4,"",IF(INDEX('Fleet dates'!$C$9:$C$1008,$I19-8)="","",INDEX('Fleet dates'!$C$9:$C$1008,$I19-8)))</x:f>
      </x:c>
      <x:c r="D19" s="51" t="str">
        <x:f>IF(11&gt;$H$4,"",IF(INDEX('Fleet dates'!$D$9:$D$1008,$I19-8)="","",INDEX('Fleet dates'!$D$9:$D$1008,$I19-8)))</x:f>
      </x:c>
      <x:c r="E19" s="51" t="str">
        <x:f>IF(11&gt;$H$4,"",IF(INDEX('Fleet dates'!$E$9:$E$1008,$I19-8)="","",INDEX('Fleet dates'!$E$9:$E$1008,$I19-8)))</x:f>
      </x:c>
      <x:c r="F19" s="51" t="str">
        <x:f>IF(11&gt;$H$4,"",IF(INDEX('Fleet dates'!$F$9:$F$1008,$I19-8)="","",INDEX('Fleet dates'!$F$9:$F$1008,$I19-8)))</x:f>
      </x:c>
      <x:c r="G19" s="50" t="str">
        <x:f>IF(11&gt;$H$4,"",IF(INDEX('Fleet dates'!$G$9:$G$1008,$I19-8)="","",INDEX('Fleet dates'!$G$9:$G$1008,$I19-8)))</x:f>
      </x:c>
      <x:c r="H19" s="50" t="str">
        <x:f>IF(11&gt;$H$4,"",IF(INDEX('Fleet dates'!$I$9:$I$1008,$I19-8)="","",INDEX('Fleet dates'!$I$9:$I$1008,$I19-8)))</x:f>
      </x:c>
      <x:c r="I19" t="str">
        <x:f>IF(11&gt;$H$4,"",MATCH(11,'Fleet dates'!$M$9:$M$1008,0)+8)</x:f>
      </x:c>
    </x:row>
    <x:row r="20" ht="36" customHeight="1">
      <x:c r="A20" s="50" t="str">
        <x:f>IF(12&gt;$H$4,"",IF(INDEX('Fleet dates'!$A$9:$A$1008,$I20-8)="","",INDEX('Fleet dates'!$A$9:$A$1008,$I20-8)))</x:f>
      </x:c>
      <x:c r="B20" s="50" t="str">
        <x:f>IF(12&gt;$H$4,"",IF(INDEX('Fleet dates'!$B$9:$B$1008,$I20-8)="","",INDEX('Fleet dates'!$B$9:$B$1008,$I20-8)))</x:f>
      </x:c>
      <x:c r="C20" s="51" t="str">
        <x:f>IF(12&gt;$H$4,"",IF(INDEX('Fleet dates'!$C$9:$C$1008,$I20-8)="","",INDEX('Fleet dates'!$C$9:$C$1008,$I20-8)))</x:f>
      </x:c>
      <x:c r="D20" s="51" t="str">
        <x:f>IF(12&gt;$H$4,"",IF(INDEX('Fleet dates'!$D$9:$D$1008,$I20-8)="","",INDEX('Fleet dates'!$D$9:$D$1008,$I20-8)))</x:f>
      </x:c>
      <x:c r="E20" s="51" t="str">
        <x:f>IF(12&gt;$H$4,"",IF(INDEX('Fleet dates'!$E$9:$E$1008,$I20-8)="","",INDEX('Fleet dates'!$E$9:$E$1008,$I20-8)))</x:f>
      </x:c>
      <x:c r="F20" s="51" t="str">
        <x:f>IF(12&gt;$H$4,"",IF(INDEX('Fleet dates'!$F$9:$F$1008,$I20-8)="","",INDEX('Fleet dates'!$F$9:$F$1008,$I20-8)))</x:f>
      </x:c>
      <x:c r="G20" s="50" t="str">
        <x:f>IF(12&gt;$H$4,"",IF(INDEX('Fleet dates'!$G$9:$G$1008,$I20-8)="","",INDEX('Fleet dates'!$G$9:$G$1008,$I20-8)))</x:f>
      </x:c>
      <x:c r="H20" s="50" t="str">
        <x:f>IF(12&gt;$H$4,"",IF(INDEX('Fleet dates'!$I$9:$I$1008,$I20-8)="","",INDEX('Fleet dates'!$I$9:$I$1008,$I20-8)))</x:f>
      </x:c>
      <x:c r="I20" t="str">
        <x:f>IF(12&gt;$H$4,"",MATCH(12,'Fleet dates'!$M$9:$M$1008,0)+8)</x:f>
      </x:c>
    </x:row>
    <x:row r="21" ht="36" customHeight="1">
      <x:c r="A21" s="50" t="str">
        <x:f>IF(13&gt;$H$4,"",IF(INDEX('Fleet dates'!$A$9:$A$1008,$I21-8)="","",INDEX('Fleet dates'!$A$9:$A$1008,$I21-8)))</x:f>
      </x:c>
      <x:c r="B21" s="50" t="str">
        <x:f>IF(13&gt;$H$4,"",IF(INDEX('Fleet dates'!$B$9:$B$1008,$I21-8)="","",INDEX('Fleet dates'!$B$9:$B$1008,$I21-8)))</x:f>
      </x:c>
      <x:c r="C21" s="51" t="str">
        <x:f>IF(13&gt;$H$4,"",IF(INDEX('Fleet dates'!$C$9:$C$1008,$I21-8)="","",INDEX('Fleet dates'!$C$9:$C$1008,$I21-8)))</x:f>
      </x:c>
      <x:c r="D21" s="51" t="str">
        <x:f>IF(13&gt;$H$4,"",IF(INDEX('Fleet dates'!$D$9:$D$1008,$I21-8)="","",INDEX('Fleet dates'!$D$9:$D$1008,$I21-8)))</x:f>
      </x:c>
      <x:c r="E21" s="51" t="str">
        <x:f>IF(13&gt;$H$4,"",IF(INDEX('Fleet dates'!$E$9:$E$1008,$I21-8)="","",INDEX('Fleet dates'!$E$9:$E$1008,$I21-8)))</x:f>
      </x:c>
      <x:c r="F21" s="51" t="str">
        <x:f>IF(13&gt;$H$4,"",IF(INDEX('Fleet dates'!$F$9:$F$1008,$I21-8)="","",INDEX('Fleet dates'!$F$9:$F$1008,$I21-8)))</x:f>
      </x:c>
      <x:c r="G21" s="50" t="str">
        <x:f>IF(13&gt;$H$4,"",IF(INDEX('Fleet dates'!$G$9:$G$1008,$I21-8)="","",INDEX('Fleet dates'!$G$9:$G$1008,$I21-8)))</x:f>
      </x:c>
      <x:c r="H21" s="50" t="str">
        <x:f>IF(13&gt;$H$4,"",IF(INDEX('Fleet dates'!$I$9:$I$1008,$I21-8)="","",INDEX('Fleet dates'!$I$9:$I$1008,$I21-8)))</x:f>
      </x:c>
      <x:c r="I21" t="str">
        <x:f>IF(13&gt;$H$4,"",MATCH(13,'Fleet dates'!$M$9:$M$1008,0)+8)</x:f>
      </x:c>
    </x:row>
    <x:row r="22" ht="36" customHeight="1">
      <x:c r="A22" s="50" t="str">
        <x:f>IF(14&gt;$H$4,"",IF(INDEX('Fleet dates'!$A$9:$A$1008,$I22-8)="","",INDEX('Fleet dates'!$A$9:$A$1008,$I22-8)))</x:f>
      </x:c>
      <x:c r="B22" s="50" t="str">
        <x:f>IF(14&gt;$H$4,"",IF(INDEX('Fleet dates'!$B$9:$B$1008,$I22-8)="","",INDEX('Fleet dates'!$B$9:$B$1008,$I22-8)))</x:f>
      </x:c>
      <x:c r="C22" s="51" t="str">
        <x:f>IF(14&gt;$H$4,"",IF(INDEX('Fleet dates'!$C$9:$C$1008,$I22-8)="","",INDEX('Fleet dates'!$C$9:$C$1008,$I22-8)))</x:f>
      </x:c>
      <x:c r="D22" s="51" t="str">
        <x:f>IF(14&gt;$H$4,"",IF(INDEX('Fleet dates'!$D$9:$D$1008,$I22-8)="","",INDEX('Fleet dates'!$D$9:$D$1008,$I22-8)))</x:f>
      </x:c>
      <x:c r="E22" s="51" t="str">
        <x:f>IF(14&gt;$H$4,"",IF(INDEX('Fleet dates'!$E$9:$E$1008,$I22-8)="","",INDEX('Fleet dates'!$E$9:$E$1008,$I22-8)))</x:f>
      </x:c>
      <x:c r="F22" s="51" t="str">
        <x:f>IF(14&gt;$H$4,"",IF(INDEX('Fleet dates'!$F$9:$F$1008,$I22-8)="","",INDEX('Fleet dates'!$F$9:$F$1008,$I22-8)))</x:f>
      </x:c>
      <x:c r="G22" s="50" t="str">
        <x:f>IF(14&gt;$H$4,"",IF(INDEX('Fleet dates'!$G$9:$G$1008,$I22-8)="","",INDEX('Fleet dates'!$G$9:$G$1008,$I22-8)))</x:f>
      </x:c>
      <x:c r="H22" s="50" t="str">
        <x:f>IF(14&gt;$H$4,"",IF(INDEX('Fleet dates'!$I$9:$I$1008,$I22-8)="","",INDEX('Fleet dates'!$I$9:$I$1008,$I22-8)))</x:f>
      </x:c>
      <x:c r="I22" t="str">
        <x:f>IF(14&gt;$H$4,"",MATCH(14,'Fleet dates'!$M$9:$M$1008,0)+8)</x:f>
      </x:c>
    </x:row>
    <x:row r="23" ht="36" customHeight="1">
      <x:c r="A23" s="50" t="str">
        <x:f>IF(15&gt;$H$4,"",IF(INDEX('Fleet dates'!$A$9:$A$1008,$I23-8)="","",INDEX('Fleet dates'!$A$9:$A$1008,$I23-8)))</x:f>
      </x:c>
      <x:c r="B23" s="50" t="str">
        <x:f>IF(15&gt;$H$4,"",IF(INDEX('Fleet dates'!$B$9:$B$1008,$I23-8)="","",INDEX('Fleet dates'!$B$9:$B$1008,$I23-8)))</x:f>
      </x:c>
      <x:c r="C23" s="51" t="str">
        <x:f>IF(15&gt;$H$4,"",IF(INDEX('Fleet dates'!$C$9:$C$1008,$I23-8)="","",INDEX('Fleet dates'!$C$9:$C$1008,$I23-8)))</x:f>
      </x:c>
      <x:c r="D23" s="51" t="str">
        <x:f>IF(15&gt;$H$4,"",IF(INDEX('Fleet dates'!$D$9:$D$1008,$I23-8)="","",INDEX('Fleet dates'!$D$9:$D$1008,$I23-8)))</x:f>
      </x:c>
      <x:c r="E23" s="51" t="str">
        <x:f>IF(15&gt;$H$4,"",IF(INDEX('Fleet dates'!$E$9:$E$1008,$I23-8)="","",INDEX('Fleet dates'!$E$9:$E$1008,$I23-8)))</x:f>
      </x:c>
      <x:c r="F23" s="51" t="str">
        <x:f>IF(15&gt;$H$4,"",IF(INDEX('Fleet dates'!$F$9:$F$1008,$I23-8)="","",INDEX('Fleet dates'!$F$9:$F$1008,$I23-8)))</x:f>
      </x:c>
      <x:c r="G23" s="50" t="str">
        <x:f>IF(15&gt;$H$4,"",IF(INDEX('Fleet dates'!$G$9:$G$1008,$I23-8)="","",INDEX('Fleet dates'!$G$9:$G$1008,$I23-8)))</x:f>
      </x:c>
      <x:c r="H23" s="50" t="str">
        <x:f>IF(15&gt;$H$4,"",IF(INDEX('Fleet dates'!$I$9:$I$1008,$I23-8)="","",INDEX('Fleet dates'!$I$9:$I$1008,$I23-8)))</x:f>
      </x:c>
      <x:c r="I23" t="str">
        <x:f>IF(15&gt;$H$4,"",MATCH(15,'Fleet dates'!$M$9:$M$1008,0)+8)</x:f>
      </x:c>
    </x:row>
    <x:row r="24" ht="36" customHeight="1">
      <x:c r="A24" s="50" t="str">
        <x:f>IF(16&gt;$H$4,"",IF(INDEX('Fleet dates'!$A$9:$A$1008,$I24-8)="","",INDEX('Fleet dates'!$A$9:$A$1008,$I24-8)))</x:f>
      </x:c>
      <x:c r="B24" s="50" t="str">
        <x:f>IF(16&gt;$H$4,"",IF(INDEX('Fleet dates'!$B$9:$B$1008,$I24-8)="","",INDEX('Fleet dates'!$B$9:$B$1008,$I24-8)))</x:f>
      </x:c>
      <x:c r="C24" s="51" t="str">
        <x:f>IF(16&gt;$H$4,"",IF(INDEX('Fleet dates'!$C$9:$C$1008,$I24-8)="","",INDEX('Fleet dates'!$C$9:$C$1008,$I24-8)))</x:f>
      </x:c>
      <x:c r="D24" s="51" t="str">
        <x:f>IF(16&gt;$H$4,"",IF(INDEX('Fleet dates'!$D$9:$D$1008,$I24-8)="","",INDEX('Fleet dates'!$D$9:$D$1008,$I24-8)))</x:f>
      </x:c>
      <x:c r="E24" s="51" t="str">
        <x:f>IF(16&gt;$H$4,"",IF(INDEX('Fleet dates'!$E$9:$E$1008,$I24-8)="","",INDEX('Fleet dates'!$E$9:$E$1008,$I24-8)))</x:f>
      </x:c>
      <x:c r="F24" s="51" t="str">
        <x:f>IF(16&gt;$H$4,"",IF(INDEX('Fleet dates'!$F$9:$F$1008,$I24-8)="","",INDEX('Fleet dates'!$F$9:$F$1008,$I24-8)))</x:f>
      </x:c>
      <x:c r="G24" s="50" t="str">
        <x:f>IF(16&gt;$H$4,"",IF(INDEX('Fleet dates'!$G$9:$G$1008,$I24-8)="","",INDEX('Fleet dates'!$G$9:$G$1008,$I24-8)))</x:f>
      </x:c>
      <x:c r="H24" s="50" t="str">
        <x:f>IF(16&gt;$H$4,"",IF(INDEX('Fleet dates'!$I$9:$I$1008,$I24-8)="","",INDEX('Fleet dates'!$I$9:$I$1008,$I24-8)))</x:f>
      </x:c>
      <x:c r="I24" t="str">
        <x:f>IF(16&gt;$H$4,"",MATCH(16,'Fleet dates'!$M$9:$M$1008,0)+8)</x:f>
      </x:c>
    </x:row>
    <x:row r="25" ht="36" customHeight="1">
      <x:c r="A25" s="50" t="str">
        <x:f>IF(17&gt;$H$4,"",IF(INDEX('Fleet dates'!$A$9:$A$1008,$I25-8)="","",INDEX('Fleet dates'!$A$9:$A$1008,$I25-8)))</x:f>
      </x:c>
      <x:c r="B25" s="50" t="str">
        <x:f>IF(17&gt;$H$4,"",IF(INDEX('Fleet dates'!$B$9:$B$1008,$I25-8)="","",INDEX('Fleet dates'!$B$9:$B$1008,$I25-8)))</x:f>
      </x:c>
      <x:c r="C25" s="51" t="str">
        <x:f>IF(17&gt;$H$4,"",IF(INDEX('Fleet dates'!$C$9:$C$1008,$I25-8)="","",INDEX('Fleet dates'!$C$9:$C$1008,$I25-8)))</x:f>
      </x:c>
      <x:c r="D25" s="51" t="str">
        <x:f>IF(17&gt;$H$4,"",IF(INDEX('Fleet dates'!$D$9:$D$1008,$I25-8)="","",INDEX('Fleet dates'!$D$9:$D$1008,$I25-8)))</x:f>
      </x:c>
      <x:c r="E25" s="51" t="str">
        <x:f>IF(17&gt;$H$4,"",IF(INDEX('Fleet dates'!$E$9:$E$1008,$I25-8)="","",INDEX('Fleet dates'!$E$9:$E$1008,$I25-8)))</x:f>
      </x:c>
      <x:c r="F25" s="51" t="str">
        <x:f>IF(17&gt;$H$4,"",IF(INDEX('Fleet dates'!$F$9:$F$1008,$I25-8)="","",INDEX('Fleet dates'!$F$9:$F$1008,$I25-8)))</x:f>
      </x:c>
      <x:c r="G25" s="50" t="str">
        <x:f>IF(17&gt;$H$4,"",IF(INDEX('Fleet dates'!$G$9:$G$1008,$I25-8)="","",INDEX('Fleet dates'!$G$9:$G$1008,$I25-8)))</x:f>
      </x:c>
      <x:c r="H25" s="50" t="str">
        <x:f>IF(17&gt;$H$4,"",IF(INDEX('Fleet dates'!$I$9:$I$1008,$I25-8)="","",INDEX('Fleet dates'!$I$9:$I$1008,$I25-8)))</x:f>
      </x:c>
      <x:c r="I25" t="str">
        <x:f>IF(17&gt;$H$4,"",MATCH(17,'Fleet dates'!$M$9:$M$1008,0)+8)</x:f>
      </x:c>
    </x:row>
    <x:row r="26" ht="36" customHeight="1">
      <x:c r="A26" s="50" t="str">
        <x:f>IF(18&gt;$H$4,"",IF(INDEX('Fleet dates'!$A$9:$A$1008,$I26-8)="","",INDEX('Fleet dates'!$A$9:$A$1008,$I26-8)))</x:f>
      </x:c>
      <x:c r="B26" s="50" t="str">
        <x:f>IF(18&gt;$H$4,"",IF(INDEX('Fleet dates'!$B$9:$B$1008,$I26-8)="","",INDEX('Fleet dates'!$B$9:$B$1008,$I26-8)))</x:f>
      </x:c>
      <x:c r="C26" s="51" t="str">
        <x:f>IF(18&gt;$H$4,"",IF(INDEX('Fleet dates'!$C$9:$C$1008,$I26-8)="","",INDEX('Fleet dates'!$C$9:$C$1008,$I26-8)))</x:f>
      </x:c>
      <x:c r="D26" s="51" t="str">
        <x:f>IF(18&gt;$H$4,"",IF(INDEX('Fleet dates'!$D$9:$D$1008,$I26-8)="","",INDEX('Fleet dates'!$D$9:$D$1008,$I26-8)))</x:f>
      </x:c>
      <x:c r="E26" s="51" t="str">
        <x:f>IF(18&gt;$H$4,"",IF(INDEX('Fleet dates'!$E$9:$E$1008,$I26-8)="","",INDEX('Fleet dates'!$E$9:$E$1008,$I26-8)))</x:f>
      </x:c>
      <x:c r="F26" s="51" t="str">
        <x:f>IF(18&gt;$H$4,"",IF(INDEX('Fleet dates'!$F$9:$F$1008,$I26-8)="","",INDEX('Fleet dates'!$F$9:$F$1008,$I26-8)))</x:f>
      </x:c>
      <x:c r="G26" s="50" t="str">
        <x:f>IF(18&gt;$H$4,"",IF(INDEX('Fleet dates'!$G$9:$G$1008,$I26-8)="","",INDEX('Fleet dates'!$G$9:$G$1008,$I26-8)))</x:f>
      </x:c>
      <x:c r="H26" s="50" t="str">
        <x:f>IF(18&gt;$H$4,"",IF(INDEX('Fleet dates'!$I$9:$I$1008,$I26-8)="","",INDEX('Fleet dates'!$I$9:$I$1008,$I26-8)))</x:f>
      </x:c>
      <x:c r="I26" t="str">
        <x:f>IF(18&gt;$H$4,"",MATCH(18,'Fleet dates'!$M$9:$M$1008,0)+8)</x:f>
      </x:c>
    </x:row>
    <x:row r="27" ht="36" customHeight="1">
      <x:c r="A27" s="50" t="str">
        <x:f>IF(19&gt;$H$4,"",IF(INDEX('Fleet dates'!$A$9:$A$1008,$I27-8)="","",INDEX('Fleet dates'!$A$9:$A$1008,$I27-8)))</x:f>
      </x:c>
      <x:c r="B27" s="50" t="str">
        <x:f>IF(19&gt;$H$4,"",IF(INDEX('Fleet dates'!$B$9:$B$1008,$I27-8)="","",INDEX('Fleet dates'!$B$9:$B$1008,$I27-8)))</x:f>
      </x:c>
      <x:c r="C27" s="51" t="str">
        <x:f>IF(19&gt;$H$4,"",IF(INDEX('Fleet dates'!$C$9:$C$1008,$I27-8)="","",INDEX('Fleet dates'!$C$9:$C$1008,$I27-8)))</x:f>
      </x:c>
      <x:c r="D27" s="51" t="str">
        <x:f>IF(19&gt;$H$4,"",IF(INDEX('Fleet dates'!$D$9:$D$1008,$I27-8)="","",INDEX('Fleet dates'!$D$9:$D$1008,$I27-8)))</x:f>
      </x:c>
      <x:c r="E27" s="51" t="str">
        <x:f>IF(19&gt;$H$4,"",IF(INDEX('Fleet dates'!$E$9:$E$1008,$I27-8)="","",INDEX('Fleet dates'!$E$9:$E$1008,$I27-8)))</x:f>
      </x:c>
      <x:c r="F27" s="51" t="str">
        <x:f>IF(19&gt;$H$4,"",IF(INDEX('Fleet dates'!$F$9:$F$1008,$I27-8)="","",INDEX('Fleet dates'!$F$9:$F$1008,$I27-8)))</x:f>
      </x:c>
      <x:c r="G27" s="50" t="str">
        <x:f>IF(19&gt;$H$4,"",IF(INDEX('Fleet dates'!$G$9:$G$1008,$I27-8)="","",INDEX('Fleet dates'!$G$9:$G$1008,$I27-8)))</x:f>
      </x:c>
      <x:c r="H27" s="50" t="str">
        <x:f>IF(19&gt;$H$4,"",IF(INDEX('Fleet dates'!$I$9:$I$1008,$I27-8)="","",INDEX('Fleet dates'!$I$9:$I$1008,$I27-8)))</x:f>
      </x:c>
      <x:c r="I27" t="str">
        <x:f>IF(19&gt;$H$4,"",MATCH(19,'Fleet dates'!$M$9:$M$1008,0)+8)</x:f>
      </x:c>
    </x:row>
    <x:row r="28" ht="36" customHeight="1">
      <x:c r="A28" s="50" t="str">
        <x:f>IF(20&gt;$H$4,"",IF(INDEX('Fleet dates'!$A$9:$A$1008,$I28-8)="","",INDEX('Fleet dates'!$A$9:$A$1008,$I28-8)))</x:f>
      </x:c>
      <x:c r="B28" s="50" t="str">
        <x:f>IF(20&gt;$H$4,"",IF(INDEX('Fleet dates'!$B$9:$B$1008,$I28-8)="","",INDEX('Fleet dates'!$B$9:$B$1008,$I28-8)))</x:f>
      </x:c>
      <x:c r="C28" s="51" t="str">
        <x:f>IF(20&gt;$H$4,"",IF(INDEX('Fleet dates'!$C$9:$C$1008,$I28-8)="","",INDEX('Fleet dates'!$C$9:$C$1008,$I28-8)))</x:f>
      </x:c>
      <x:c r="D28" s="51" t="str">
        <x:f>IF(20&gt;$H$4,"",IF(INDEX('Fleet dates'!$D$9:$D$1008,$I28-8)="","",INDEX('Fleet dates'!$D$9:$D$1008,$I28-8)))</x:f>
      </x:c>
      <x:c r="E28" s="51" t="str">
        <x:f>IF(20&gt;$H$4,"",IF(INDEX('Fleet dates'!$E$9:$E$1008,$I28-8)="","",INDEX('Fleet dates'!$E$9:$E$1008,$I28-8)))</x:f>
      </x:c>
      <x:c r="F28" s="51" t="str">
        <x:f>IF(20&gt;$H$4,"",IF(INDEX('Fleet dates'!$F$9:$F$1008,$I28-8)="","",INDEX('Fleet dates'!$F$9:$F$1008,$I28-8)))</x:f>
      </x:c>
      <x:c r="G28" s="50" t="str">
        <x:f>IF(20&gt;$H$4,"",IF(INDEX('Fleet dates'!$G$9:$G$1008,$I28-8)="","",INDEX('Fleet dates'!$G$9:$G$1008,$I28-8)))</x:f>
      </x:c>
      <x:c r="H28" s="50" t="str">
        <x:f>IF(20&gt;$H$4,"",IF(INDEX('Fleet dates'!$I$9:$I$1008,$I28-8)="","",INDEX('Fleet dates'!$I$9:$I$1008,$I28-8)))</x:f>
      </x:c>
      <x:c r="I28" t="str">
        <x:f>IF(20&gt;$H$4,"",MATCH(20,'Fleet dates'!$M$9:$M$1008,0)+8)</x:f>
      </x:c>
    </x:row>
    <x:row r="29" ht="36" customHeight="1">
      <x:c r="A29" s="50" t="str">
        <x:f>IF(21&gt;$H$4,"",IF(INDEX('Fleet dates'!$A$9:$A$1008,$I29-8)="","",INDEX('Fleet dates'!$A$9:$A$1008,$I29-8)))</x:f>
      </x:c>
      <x:c r="B29" s="50" t="str">
        <x:f>IF(21&gt;$H$4,"",IF(INDEX('Fleet dates'!$B$9:$B$1008,$I29-8)="","",INDEX('Fleet dates'!$B$9:$B$1008,$I29-8)))</x:f>
      </x:c>
      <x:c r="C29" s="51" t="str">
        <x:f>IF(21&gt;$H$4,"",IF(INDEX('Fleet dates'!$C$9:$C$1008,$I29-8)="","",INDEX('Fleet dates'!$C$9:$C$1008,$I29-8)))</x:f>
      </x:c>
      <x:c r="D29" s="51" t="str">
        <x:f>IF(21&gt;$H$4,"",IF(INDEX('Fleet dates'!$D$9:$D$1008,$I29-8)="","",INDEX('Fleet dates'!$D$9:$D$1008,$I29-8)))</x:f>
      </x:c>
      <x:c r="E29" s="51" t="str">
        <x:f>IF(21&gt;$H$4,"",IF(INDEX('Fleet dates'!$E$9:$E$1008,$I29-8)="","",INDEX('Fleet dates'!$E$9:$E$1008,$I29-8)))</x:f>
      </x:c>
      <x:c r="F29" s="51" t="str">
        <x:f>IF(21&gt;$H$4,"",IF(INDEX('Fleet dates'!$F$9:$F$1008,$I29-8)="","",INDEX('Fleet dates'!$F$9:$F$1008,$I29-8)))</x:f>
      </x:c>
      <x:c r="G29" s="50" t="str">
        <x:f>IF(21&gt;$H$4,"",IF(INDEX('Fleet dates'!$G$9:$G$1008,$I29-8)="","",INDEX('Fleet dates'!$G$9:$G$1008,$I29-8)))</x:f>
      </x:c>
      <x:c r="H29" s="50" t="str">
        <x:f>IF(21&gt;$H$4,"",IF(INDEX('Fleet dates'!$I$9:$I$1008,$I29-8)="","",INDEX('Fleet dates'!$I$9:$I$1008,$I29-8)))</x:f>
      </x:c>
      <x:c r="I29" t="str">
        <x:f>IF(21&gt;$H$4,"",MATCH(21,'Fleet dates'!$M$9:$M$1008,0)+8)</x:f>
      </x:c>
    </x:row>
    <x:row r="30" ht="36" customHeight="1">
      <x:c r="A30" s="50" t="str">
        <x:f>IF(22&gt;$H$4,"",IF(INDEX('Fleet dates'!$A$9:$A$1008,$I30-8)="","",INDEX('Fleet dates'!$A$9:$A$1008,$I30-8)))</x:f>
      </x:c>
      <x:c r="B30" s="50" t="str">
        <x:f>IF(22&gt;$H$4,"",IF(INDEX('Fleet dates'!$B$9:$B$1008,$I30-8)="","",INDEX('Fleet dates'!$B$9:$B$1008,$I30-8)))</x:f>
      </x:c>
      <x:c r="C30" s="51" t="str">
        <x:f>IF(22&gt;$H$4,"",IF(INDEX('Fleet dates'!$C$9:$C$1008,$I30-8)="","",INDEX('Fleet dates'!$C$9:$C$1008,$I30-8)))</x:f>
      </x:c>
      <x:c r="D30" s="51" t="str">
        <x:f>IF(22&gt;$H$4,"",IF(INDEX('Fleet dates'!$D$9:$D$1008,$I30-8)="","",INDEX('Fleet dates'!$D$9:$D$1008,$I30-8)))</x:f>
      </x:c>
      <x:c r="E30" s="51" t="str">
        <x:f>IF(22&gt;$H$4,"",IF(INDEX('Fleet dates'!$E$9:$E$1008,$I30-8)="","",INDEX('Fleet dates'!$E$9:$E$1008,$I30-8)))</x:f>
      </x:c>
      <x:c r="F30" s="51" t="str">
        <x:f>IF(22&gt;$H$4,"",IF(INDEX('Fleet dates'!$F$9:$F$1008,$I30-8)="","",INDEX('Fleet dates'!$F$9:$F$1008,$I30-8)))</x:f>
      </x:c>
      <x:c r="G30" s="50" t="str">
        <x:f>IF(22&gt;$H$4,"",IF(INDEX('Fleet dates'!$G$9:$G$1008,$I30-8)="","",INDEX('Fleet dates'!$G$9:$G$1008,$I30-8)))</x:f>
      </x:c>
      <x:c r="H30" s="50" t="str">
        <x:f>IF(22&gt;$H$4,"",IF(INDEX('Fleet dates'!$I$9:$I$1008,$I30-8)="","",INDEX('Fleet dates'!$I$9:$I$1008,$I30-8)))</x:f>
      </x:c>
      <x:c r="I30" t="str">
        <x:f>IF(22&gt;$H$4,"",MATCH(22,'Fleet dates'!$M$9:$M$1008,0)+8)</x:f>
      </x:c>
    </x:row>
    <x:row r="31" ht="36" customHeight="1">
      <x:c r="A31" s="50" t="str">
        <x:f>IF(23&gt;$H$4,"",IF(INDEX('Fleet dates'!$A$9:$A$1008,$I31-8)="","",INDEX('Fleet dates'!$A$9:$A$1008,$I31-8)))</x:f>
      </x:c>
      <x:c r="B31" s="50" t="str">
        <x:f>IF(23&gt;$H$4,"",IF(INDEX('Fleet dates'!$B$9:$B$1008,$I31-8)="","",INDEX('Fleet dates'!$B$9:$B$1008,$I31-8)))</x:f>
      </x:c>
      <x:c r="C31" s="51" t="str">
        <x:f>IF(23&gt;$H$4,"",IF(INDEX('Fleet dates'!$C$9:$C$1008,$I31-8)="","",INDEX('Fleet dates'!$C$9:$C$1008,$I31-8)))</x:f>
      </x:c>
      <x:c r="D31" s="51" t="str">
        <x:f>IF(23&gt;$H$4,"",IF(INDEX('Fleet dates'!$D$9:$D$1008,$I31-8)="","",INDEX('Fleet dates'!$D$9:$D$1008,$I31-8)))</x:f>
      </x:c>
      <x:c r="E31" s="51" t="str">
        <x:f>IF(23&gt;$H$4,"",IF(INDEX('Fleet dates'!$E$9:$E$1008,$I31-8)="","",INDEX('Fleet dates'!$E$9:$E$1008,$I31-8)))</x:f>
      </x:c>
      <x:c r="F31" s="51" t="str">
        <x:f>IF(23&gt;$H$4,"",IF(INDEX('Fleet dates'!$F$9:$F$1008,$I31-8)="","",INDEX('Fleet dates'!$F$9:$F$1008,$I31-8)))</x:f>
      </x:c>
      <x:c r="G31" s="50" t="str">
        <x:f>IF(23&gt;$H$4,"",IF(INDEX('Fleet dates'!$G$9:$G$1008,$I31-8)="","",INDEX('Fleet dates'!$G$9:$G$1008,$I31-8)))</x:f>
      </x:c>
      <x:c r="H31" s="50" t="str">
        <x:f>IF(23&gt;$H$4,"",IF(INDEX('Fleet dates'!$I$9:$I$1008,$I31-8)="","",INDEX('Fleet dates'!$I$9:$I$1008,$I31-8)))</x:f>
      </x:c>
      <x:c r="I31" t="str">
        <x:f>IF(23&gt;$H$4,"",MATCH(23,'Fleet dates'!$M$9:$M$1008,0)+8)</x:f>
      </x:c>
    </x:row>
    <x:row r="32" ht="36" customHeight="1">
      <x:c r="A32" s="50" t="str">
        <x:f>IF(24&gt;$H$4,"",IF(INDEX('Fleet dates'!$A$9:$A$1008,$I32-8)="","",INDEX('Fleet dates'!$A$9:$A$1008,$I32-8)))</x:f>
      </x:c>
      <x:c r="B32" s="50" t="str">
        <x:f>IF(24&gt;$H$4,"",IF(INDEX('Fleet dates'!$B$9:$B$1008,$I32-8)="","",INDEX('Fleet dates'!$B$9:$B$1008,$I32-8)))</x:f>
      </x:c>
      <x:c r="C32" s="51" t="str">
        <x:f>IF(24&gt;$H$4,"",IF(INDEX('Fleet dates'!$C$9:$C$1008,$I32-8)="","",INDEX('Fleet dates'!$C$9:$C$1008,$I32-8)))</x:f>
      </x:c>
      <x:c r="D32" s="51" t="str">
        <x:f>IF(24&gt;$H$4,"",IF(INDEX('Fleet dates'!$D$9:$D$1008,$I32-8)="","",INDEX('Fleet dates'!$D$9:$D$1008,$I32-8)))</x:f>
      </x:c>
      <x:c r="E32" s="51" t="str">
        <x:f>IF(24&gt;$H$4,"",IF(INDEX('Fleet dates'!$E$9:$E$1008,$I32-8)="","",INDEX('Fleet dates'!$E$9:$E$1008,$I32-8)))</x:f>
      </x:c>
      <x:c r="F32" s="51" t="str">
        <x:f>IF(24&gt;$H$4,"",IF(INDEX('Fleet dates'!$F$9:$F$1008,$I32-8)="","",INDEX('Fleet dates'!$F$9:$F$1008,$I32-8)))</x:f>
      </x:c>
      <x:c r="G32" s="50" t="str">
        <x:f>IF(24&gt;$H$4,"",IF(INDEX('Fleet dates'!$G$9:$G$1008,$I32-8)="","",INDEX('Fleet dates'!$G$9:$G$1008,$I32-8)))</x:f>
      </x:c>
      <x:c r="H32" s="50" t="str">
        <x:f>IF(24&gt;$H$4,"",IF(INDEX('Fleet dates'!$I$9:$I$1008,$I32-8)="","",INDEX('Fleet dates'!$I$9:$I$1008,$I32-8)))</x:f>
      </x:c>
      <x:c r="I32" t="str">
        <x:f>IF(24&gt;$H$4,"",MATCH(24,'Fleet dates'!$M$9:$M$1008,0)+8)</x:f>
      </x:c>
    </x:row>
    <x:row r="33" ht="36" customHeight="1">
      <x:c r="A33" s="50" t="str">
        <x:f>IF(25&gt;$H$4,"",IF(INDEX('Fleet dates'!$A$9:$A$1008,$I33-8)="","",INDEX('Fleet dates'!$A$9:$A$1008,$I33-8)))</x:f>
      </x:c>
      <x:c r="B33" s="50" t="str">
        <x:f>IF(25&gt;$H$4,"",IF(INDEX('Fleet dates'!$B$9:$B$1008,$I33-8)="","",INDEX('Fleet dates'!$B$9:$B$1008,$I33-8)))</x:f>
      </x:c>
      <x:c r="C33" s="51" t="str">
        <x:f>IF(25&gt;$H$4,"",IF(INDEX('Fleet dates'!$C$9:$C$1008,$I33-8)="","",INDEX('Fleet dates'!$C$9:$C$1008,$I33-8)))</x:f>
      </x:c>
      <x:c r="D33" s="51" t="str">
        <x:f>IF(25&gt;$H$4,"",IF(INDEX('Fleet dates'!$D$9:$D$1008,$I33-8)="","",INDEX('Fleet dates'!$D$9:$D$1008,$I33-8)))</x:f>
      </x:c>
      <x:c r="E33" s="51" t="str">
        <x:f>IF(25&gt;$H$4,"",IF(INDEX('Fleet dates'!$E$9:$E$1008,$I33-8)="","",INDEX('Fleet dates'!$E$9:$E$1008,$I33-8)))</x:f>
      </x:c>
      <x:c r="F33" s="51" t="str">
        <x:f>IF(25&gt;$H$4,"",IF(INDEX('Fleet dates'!$F$9:$F$1008,$I33-8)="","",INDEX('Fleet dates'!$F$9:$F$1008,$I33-8)))</x:f>
      </x:c>
      <x:c r="G33" s="50" t="str">
        <x:f>IF(25&gt;$H$4,"",IF(INDEX('Fleet dates'!$G$9:$G$1008,$I33-8)="","",INDEX('Fleet dates'!$G$9:$G$1008,$I33-8)))</x:f>
      </x:c>
      <x:c r="H33" s="50" t="str">
        <x:f>IF(25&gt;$H$4,"",IF(INDEX('Fleet dates'!$I$9:$I$1008,$I33-8)="","",INDEX('Fleet dates'!$I$9:$I$1008,$I33-8)))</x:f>
      </x:c>
      <x:c r="I33" t="str">
        <x:f>IF(25&gt;$H$4,"",MATCH(25,'Fleet dates'!$M$9:$M$1008,0)+8)</x:f>
      </x:c>
    </x:row>
    <x:row r="34" ht="36" customHeight="1">
      <x:c r="A34" s="50" t="str">
        <x:f>IF(26&gt;$H$4,"",IF(INDEX('Fleet dates'!$A$9:$A$1008,$I34-8)="","",INDEX('Fleet dates'!$A$9:$A$1008,$I34-8)))</x:f>
      </x:c>
      <x:c r="B34" s="50" t="str">
        <x:f>IF(26&gt;$H$4,"",IF(INDEX('Fleet dates'!$B$9:$B$1008,$I34-8)="","",INDEX('Fleet dates'!$B$9:$B$1008,$I34-8)))</x:f>
      </x:c>
      <x:c r="C34" s="51" t="str">
        <x:f>IF(26&gt;$H$4,"",IF(INDEX('Fleet dates'!$C$9:$C$1008,$I34-8)="","",INDEX('Fleet dates'!$C$9:$C$1008,$I34-8)))</x:f>
      </x:c>
      <x:c r="D34" s="51" t="str">
        <x:f>IF(26&gt;$H$4,"",IF(INDEX('Fleet dates'!$D$9:$D$1008,$I34-8)="","",INDEX('Fleet dates'!$D$9:$D$1008,$I34-8)))</x:f>
      </x:c>
      <x:c r="E34" s="51" t="str">
        <x:f>IF(26&gt;$H$4,"",IF(INDEX('Fleet dates'!$E$9:$E$1008,$I34-8)="","",INDEX('Fleet dates'!$E$9:$E$1008,$I34-8)))</x:f>
      </x:c>
      <x:c r="F34" s="51" t="str">
        <x:f>IF(26&gt;$H$4,"",IF(INDEX('Fleet dates'!$F$9:$F$1008,$I34-8)="","",INDEX('Fleet dates'!$F$9:$F$1008,$I34-8)))</x:f>
      </x:c>
      <x:c r="G34" s="50" t="str">
        <x:f>IF(26&gt;$H$4,"",IF(INDEX('Fleet dates'!$G$9:$G$1008,$I34-8)="","",INDEX('Fleet dates'!$G$9:$G$1008,$I34-8)))</x:f>
      </x:c>
      <x:c r="H34" s="50" t="str">
        <x:f>IF(26&gt;$H$4,"",IF(INDEX('Fleet dates'!$I$9:$I$1008,$I34-8)="","",INDEX('Fleet dates'!$I$9:$I$1008,$I34-8)))</x:f>
      </x:c>
      <x:c r="I34" t="str">
        <x:f>IF(26&gt;$H$4,"",MATCH(26,'Fleet dates'!$M$9:$M$1008,0)+8)</x:f>
      </x:c>
    </x:row>
    <x:row r="35" ht="36" customHeight="1">
      <x:c r="A35" s="50" t="str">
        <x:f>IF(27&gt;$H$4,"",IF(INDEX('Fleet dates'!$A$9:$A$1008,$I35-8)="","",INDEX('Fleet dates'!$A$9:$A$1008,$I35-8)))</x:f>
      </x:c>
      <x:c r="B35" s="50" t="str">
        <x:f>IF(27&gt;$H$4,"",IF(INDEX('Fleet dates'!$B$9:$B$1008,$I35-8)="","",INDEX('Fleet dates'!$B$9:$B$1008,$I35-8)))</x:f>
      </x:c>
      <x:c r="C35" s="51" t="str">
        <x:f>IF(27&gt;$H$4,"",IF(INDEX('Fleet dates'!$C$9:$C$1008,$I35-8)="","",INDEX('Fleet dates'!$C$9:$C$1008,$I35-8)))</x:f>
      </x:c>
      <x:c r="D35" s="51" t="str">
        <x:f>IF(27&gt;$H$4,"",IF(INDEX('Fleet dates'!$D$9:$D$1008,$I35-8)="","",INDEX('Fleet dates'!$D$9:$D$1008,$I35-8)))</x:f>
      </x:c>
      <x:c r="E35" s="51" t="str">
        <x:f>IF(27&gt;$H$4,"",IF(INDEX('Fleet dates'!$E$9:$E$1008,$I35-8)="","",INDEX('Fleet dates'!$E$9:$E$1008,$I35-8)))</x:f>
      </x:c>
      <x:c r="F35" s="51" t="str">
        <x:f>IF(27&gt;$H$4,"",IF(INDEX('Fleet dates'!$F$9:$F$1008,$I35-8)="","",INDEX('Fleet dates'!$F$9:$F$1008,$I35-8)))</x:f>
      </x:c>
      <x:c r="G35" s="50" t="str">
        <x:f>IF(27&gt;$H$4,"",IF(INDEX('Fleet dates'!$G$9:$G$1008,$I35-8)="","",INDEX('Fleet dates'!$G$9:$G$1008,$I35-8)))</x:f>
      </x:c>
      <x:c r="H35" s="50" t="str">
        <x:f>IF(27&gt;$H$4,"",IF(INDEX('Fleet dates'!$I$9:$I$1008,$I35-8)="","",INDEX('Fleet dates'!$I$9:$I$1008,$I35-8)))</x:f>
      </x:c>
      <x:c r="I35" t="str">
        <x:f>IF(27&gt;$H$4,"",MATCH(27,'Fleet dates'!$M$9:$M$1008,0)+8)</x:f>
      </x:c>
    </x:row>
    <x:row r="36" ht="36" customHeight="1">
      <x:c r="A36" s="50" t="str">
        <x:f>IF(28&gt;$H$4,"",IF(INDEX('Fleet dates'!$A$9:$A$1008,$I36-8)="","",INDEX('Fleet dates'!$A$9:$A$1008,$I36-8)))</x:f>
      </x:c>
      <x:c r="B36" s="50" t="str">
        <x:f>IF(28&gt;$H$4,"",IF(INDEX('Fleet dates'!$B$9:$B$1008,$I36-8)="","",INDEX('Fleet dates'!$B$9:$B$1008,$I36-8)))</x:f>
      </x:c>
      <x:c r="C36" s="51" t="str">
        <x:f>IF(28&gt;$H$4,"",IF(INDEX('Fleet dates'!$C$9:$C$1008,$I36-8)="","",INDEX('Fleet dates'!$C$9:$C$1008,$I36-8)))</x:f>
      </x:c>
      <x:c r="D36" s="51" t="str">
        <x:f>IF(28&gt;$H$4,"",IF(INDEX('Fleet dates'!$D$9:$D$1008,$I36-8)="","",INDEX('Fleet dates'!$D$9:$D$1008,$I36-8)))</x:f>
      </x:c>
      <x:c r="E36" s="51" t="str">
        <x:f>IF(28&gt;$H$4,"",IF(INDEX('Fleet dates'!$E$9:$E$1008,$I36-8)="","",INDEX('Fleet dates'!$E$9:$E$1008,$I36-8)))</x:f>
      </x:c>
      <x:c r="F36" s="51" t="str">
        <x:f>IF(28&gt;$H$4,"",IF(INDEX('Fleet dates'!$F$9:$F$1008,$I36-8)="","",INDEX('Fleet dates'!$F$9:$F$1008,$I36-8)))</x:f>
      </x:c>
      <x:c r="G36" s="50" t="str">
        <x:f>IF(28&gt;$H$4,"",IF(INDEX('Fleet dates'!$G$9:$G$1008,$I36-8)="","",INDEX('Fleet dates'!$G$9:$G$1008,$I36-8)))</x:f>
      </x:c>
      <x:c r="H36" s="50" t="str">
        <x:f>IF(28&gt;$H$4,"",IF(INDEX('Fleet dates'!$I$9:$I$1008,$I36-8)="","",INDEX('Fleet dates'!$I$9:$I$1008,$I36-8)))</x:f>
      </x:c>
      <x:c r="I36" t="str">
        <x:f>IF(28&gt;$H$4,"",MATCH(28,'Fleet dates'!$M$9:$M$1008,0)+8)</x:f>
      </x:c>
    </x:row>
    <x:row r="37" ht="36" customHeight="1">
      <x:c r="A37" s="50" t="str">
        <x:f>IF(29&gt;$H$4,"",IF(INDEX('Fleet dates'!$A$9:$A$1008,$I37-8)="","",INDEX('Fleet dates'!$A$9:$A$1008,$I37-8)))</x:f>
      </x:c>
      <x:c r="B37" s="50" t="str">
        <x:f>IF(29&gt;$H$4,"",IF(INDEX('Fleet dates'!$B$9:$B$1008,$I37-8)="","",INDEX('Fleet dates'!$B$9:$B$1008,$I37-8)))</x:f>
      </x:c>
      <x:c r="C37" s="51" t="str">
        <x:f>IF(29&gt;$H$4,"",IF(INDEX('Fleet dates'!$C$9:$C$1008,$I37-8)="","",INDEX('Fleet dates'!$C$9:$C$1008,$I37-8)))</x:f>
      </x:c>
      <x:c r="D37" s="51" t="str">
        <x:f>IF(29&gt;$H$4,"",IF(INDEX('Fleet dates'!$D$9:$D$1008,$I37-8)="","",INDEX('Fleet dates'!$D$9:$D$1008,$I37-8)))</x:f>
      </x:c>
      <x:c r="E37" s="51" t="str">
        <x:f>IF(29&gt;$H$4,"",IF(INDEX('Fleet dates'!$E$9:$E$1008,$I37-8)="","",INDEX('Fleet dates'!$E$9:$E$1008,$I37-8)))</x:f>
      </x:c>
      <x:c r="F37" s="51" t="str">
        <x:f>IF(29&gt;$H$4,"",IF(INDEX('Fleet dates'!$F$9:$F$1008,$I37-8)="","",INDEX('Fleet dates'!$F$9:$F$1008,$I37-8)))</x:f>
      </x:c>
      <x:c r="G37" s="50" t="str">
        <x:f>IF(29&gt;$H$4,"",IF(INDEX('Fleet dates'!$G$9:$G$1008,$I37-8)="","",INDEX('Fleet dates'!$G$9:$G$1008,$I37-8)))</x:f>
      </x:c>
      <x:c r="H37" s="50" t="str">
        <x:f>IF(29&gt;$H$4,"",IF(INDEX('Fleet dates'!$I$9:$I$1008,$I37-8)="","",INDEX('Fleet dates'!$I$9:$I$1008,$I37-8)))</x:f>
      </x:c>
      <x:c r="I37" t="str">
        <x:f>IF(29&gt;$H$4,"",MATCH(29,'Fleet dates'!$M$9:$M$1008,0)+8)</x:f>
      </x:c>
    </x:row>
    <x:row r="38" ht="36" customHeight="1">
      <x:c r="A38" s="50" t="str">
        <x:f>IF(30&gt;$H$4,"",IF(INDEX('Fleet dates'!$A$9:$A$1008,$I38-8)="","",INDEX('Fleet dates'!$A$9:$A$1008,$I38-8)))</x:f>
      </x:c>
      <x:c r="B38" s="50" t="str">
        <x:f>IF(30&gt;$H$4,"",IF(INDEX('Fleet dates'!$B$9:$B$1008,$I38-8)="","",INDEX('Fleet dates'!$B$9:$B$1008,$I38-8)))</x:f>
      </x:c>
      <x:c r="C38" s="51" t="str">
        <x:f>IF(30&gt;$H$4,"",IF(INDEX('Fleet dates'!$C$9:$C$1008,$I38-8)="","",INDEX('Fleet dates'!$C$9:$C$1008,$I38-8)))</x:f>
      </x:c>
      <x:c r="D38" s="51" t="str">
        <x:f>IF(30&gt;$H$4,"",IF(INDEX('Fleet dates'!$D$9:$D$1008,$I38-8)="","",INDEX('Fleet dates'!$D$9:$D$1008,$I38-8)))</x:f>
      </x:c>
      <x:c r="E38" s="51" t="str">
        <x:f>IF(30&gt;$H$4,"",IF(INDEX('Fleet dates'!$E$9:$E$1008,$I38-8)="","",INDEX('Fleet dates'!$E$9:$E$1008,$I38-8)))</x:f>
      </x:c>
      <x:c r="F38" s="51" t="str">
        <x:f>IF(30&gt;$H$4,"",IF(INDEX('Fleet dates'!$F$9:$F$1008,$I38-8)="","",INDEX('Fleet dates'!$F$9:$F$1008,$I38-8)))</x:f>
      </x:c>
      <x:c r="G38" s="50" t="str">
        <x:f>IF(30&gt;$H$4,"",IF(INDEX('Fleet dates'!$G$9:$G$1008,$I38-8)="","",INDEX('Fleet dates'!$G$9:$G$1008,$I38-8)))</x:f>
      </x:c>
      <x:c r="H38" s="50" t="str">
        <x:f>IF(30&gt;$H$4,"",IF(INDEX('Fleet dates'!$I$9:$I$1008,$I38-8)="","",INDEX('Fleet dates'!$I$9:$I$1008,$I38-8)))</x:f>
      </x:c>
      <x:c r="I38" t="str">
        <x:f>IF(30&gt;$H$4,"",MATCH(30,'Fleet dates'!$M$9:$M$1008,0)+8)</x:f>
      </x:c>
    </x:row>
    <x:row r="39" ht="36" customHeight="1">
      <x:c r="A39" s="50" t="str">
        <x:f>IF(31&gt;$H$4,"",IF(INDEX('Fleet dates'!$A$9:$A$1008,$I39-8)="","",INDEX('Fleet dates'!$A$9:$A$1008,$I39-8)))</x:f>
      </x:c>
      <x:c r="B39" s="50" t="str">
        <x:f>IF(31&gt;$H$4,"",IF(INDEX('Fleet dates'!$B$9:$B$1008,$I39-8)="","",INDEX('Fleet dates'!$B$9:$B$1008,$I39-8)))</x:f>
      </x:c>
      <x:c r="C39" s="51" t="str">
        <x:f>IF(31&gt;$H$4,"",IF(INDEX('Fleet dates'!$C$9:$C$1008,$I39-8)="","",INDEX('Fleet dates'!$C$9:$C$1008,$I39-8)))</x:f>
      </x:c>
      <x:c r="D39" s="51" t="str">
        <x:f>IF(31&gt;$H$4,"",IF(INDEX('Fleet dates'!$D$9:$D$1008,$I39-8)="","",INDEX('Fleet dates'!$D$9:$D$1008,$I39-8)))</x:f>
      </x:c>
      <x:c r="E39" s="51" t="str">
        <x:f>IF(31&gt;$H$4,"",IF(INDEX('Fleet dates'!$E$9:$E$1008,$I39-8)="","",INDEX('Fleet dates'!$E$9:$E$1008,$I39-8)))</x:f>
      </x:c>
      <x:c r="F39" s="51" t="str">
        <x:f>IF(31&gt;$H$4,"",IF(INDEX('Fleet dates'!$F$9:$F$1008,$I39-8)="","",INDEX('Fleet dates'!$F$9:$F$1008,$I39-8)))</x:f>
      </x:c>
      <x:c r="G39" s="50" t="str">
        <x:f>IF(31&gt;$H$4,"",IF(INDEX('Fleet dates'!$G$9:$G$1008,$I39-8)="","",INDEX('Fleet dates'!$G$9:$G$1008,$I39-8)))</x:f>
      </x:c>
      <x:c r="H39" s="50" t="str">
        <x:f>IF(31&gt;$H$4,"",IF(INDEX('Fleet dates'!$I$9:$I$1008,$I39-8)="","",INDEX('Fleet dates'!$I$9:$I$1008,$I39-8)))</x:f>
      </x:c>
      <x:c r="I39" t="str">
        <x:f>IF(31&gt;$H$4,"",MATCH(31,'Fleet dates'!$M$9:$M$1008,0)+8)</x:f>
      </x:c>
    </x:row>
    <x:row r="40" ht="36" customHeight="1">
      <x:c r="A40" s="50" t="str">
        <x:f>IF(32&gt;$H$4,"",IF(INDEX('Fleet dates'!$A$9:$A$1008,$I40-8)="","",INDEX('Fleet dates'!$A$9:$A$1008,$I40-8)))</x:f>
      </x:c>
      <x:c r="B40" s="50" t="str">
        <x:f>IF(32&gt;$H$4,"",IF(INDEX('Fleet dates'!$B$9:$B$1008,$I40-8)="","",INDEX('Fleet dates'!$B$9:$B$1008,$I40-8)))</x:f>
      </x:c>
      <x:c r="C40" s="51" t="str">
        <x:f>IF(32&gt;$H$4,"",IF(INDEX('Fleet dates'!$C$9:$C$1008,$I40-8)="","",INDEX('Fleet dates'!$C$9:$C$1008,$I40-8)))</x:f>
      </x:c>
      <x:c r="D40" s="51" t="str">
        <x:f>IF(32&gt;$H$4,"",IF(INDEX('Fleet dates'!$D$9:$D$1008,$I40-8)="","",INDEX('Fleet dates'!$D$9:$D$1008,$I40-8)))</x:f>
      </x:c>
      <x:c r="E40" s="51" t="str">
        <x:f>IF(32&gt;$H$4,"",IF(INDEX('Fleet dates'!$E$9:$E$1008,$I40-8)="","",INDEX('Fleet dates'!$E$9:$E$1008,$I40-8)))</x:f>
      </x:c>
      <x:c r="F40" s="51" t="str">
        <x:f>IF(32&gt;$H$4,"",IF(INDEX('Fleet dates'!$F$9:$F$1008,$I40-8)="","",INDEX('Fleet dates'!$F$9:$F$1008,$I40-8)))</x:f>
      </x:c>
      <x:c r="G40" s="50" t="str">
        <x:f>IF(32&gt;$H$4,"",IF(INDEX('Fleet dates'!$G$9:$G$1008,$I40-8)="","",INDEX('Fleet dates'!$G$9:$G$1008,$I40-8)))</x:f>
      </x:c>
      <x:c r="H40" s="50" t="str">
        <x:f>IF(32&gt;$H$4,"",IF(INDEX('Fleet dates'!$I$9:$I$1008,$I40-8)="","",INDEX('Fleet dates'!$I$9:$I$1008,$I40-8)))</x:f>
      </x:c>
      <x:c r="I40" t="str">
        <x:f>IF(32&gt;$H$4,"",MATCH(32,'Fleet dates'!$M$9:$M$1008,0)+8)</x:f>
      </x:c>
    </x:row>
    <x:row r="41" ht="36" customHeight="1">
      <x:c r="A41" s="50" t="str">
        <x:f>IF(33&gt;$H$4,"",IF(INDEX('Fleet dates'!$A$9:$A$1008,$I41-8)="","",INDEX('Fleet dates'!$A$9:$A$1008,$I41-8)))</x:f>
      </x:c>
      <x:c r="B41" s="50" t="str">
        <x:f>IF(33&gt;$H$4,"",IF(INDEX('Fleet dates'!$B$9:$B$1008,$I41-8)="","",INDEX('Fleet dates'!$B$9:$B$1008,$I41-8)))</x:f>
      </x:c>
      <x:c r="C41" s="51" t="str">
        <x:f>IF(33&gt;$H$4,"",IF(INDEX('Fleet dates'!$C$9:$C$1008,$I41-8)="","",INDEX('Fleet dates'!$C$9:$C$1008,$I41-8)))</x:f>
      </x:c>
      <x:c r="D41" s="51" t="str">
        <x:f>IF(33&gt;$H$4,"",IF(INDEX('Fleet dates'!$D$9:$D$1008,$I41-8)="","",INDEX('Fleet dates'!$D$9:$D$1008,$I41-8)))</x:f>
      </x:c>
      <x:c r="E41" s="51" t="str">
        <x:f>IF(33&gt;$H$4,"",IF(INDEX('Fleet dates'!$E$9:$E$1008,$I41-8)="","",INDEX('Fleet dates'!$E$9:$E$1008,$I41-8)))</x:f>
      </x:c>
      <x:c r="F41" s="51" t="str">
        <x:f>IF(33&gt;$H$4,"",IF(INDEX('Fleet dates'!$F$9:$F$1008,$I41-8)="","",INDEX('Fleet dates'!$F$9:$F$1008,$I41-8)))</x:f>
      </x:c>
      <x:c r="G41" s="50" t="str">
        <x:f>IF(33&gt;$H$4,"",IF(INDEX('Fleet dates'!$G$9:$G$1008,$I41-8)="","",INDEX('Fleet dates'!$G$9:$G$1008,$I41-8)))</x:f>
      </x:c>
      <x:c r="H41" s="50" t="str">
        <x:f>IF(33&gt;$H$4,"",IF(INDEX('Fleet dates'!$I$9:$I$1008,$I41-8)="","",INDEX('Fleet dates'!$I$9:$I$1008,$I41-8)))</x:f>
      </x:c>
      <x:c r="I41" t="str">
        <x:f>IF(33&gt;$H$4,"",MATCH(33,'Fleet dates'!$M$9:$M$1008,0)+8)</x:f>
      </x:c>
    </x:row>
    <x:row r="42" ht="36" customHeight="1">
      <x:c r="A42" s="50" t="str">
        <x:f>IF(34&gt;$H$4,"",IF(INDEX('Fleet dates'!$A$9:$A$1008,$I42-8)="","",INDEX('Fleet dates'!$A$9:$A$1008,$I42-8)))</x:f>
      </x:c>
      <x:c r="B42" s="50" t="str">
        <x:f>IF(34&gt;$H$4,"",IF(INDEX('Fleet dates'!$B$9:$B$1008,$I42-8)="","",INDEX('Fleet dates'!$B$9:$B$1008,$I42-8)))</x:f>
      </x:c>
      <x:c r="C42" s="51" t="str">
        <x:f>IF(34&gt;$H$4,"",IF(INDEX('Fleet dates'!$C$9:$C$1008,$I42-8)="","",INDEX('Fleet dates'!$C$9:$C$1008,$I42-8)))</x:f>
      </x:c>
      <x:c r="D42" s="51" t="str">
        <x:f>IF(34&gt;$H$4,"",IF(INDEX('Fleet dates'!$D$9:$D$1008,$I42-8)="","",INDEX('Fleet dates'!$D$9:$D$1008,$I42-8)))</x:f>
      </x:c>
      <x:c r="E42" s="51" t="str">
        <x:f>IF(34&gt;$H$4,"",IF(INDEX('Fleet dates'!$E$9:$E$1008,$I42-8)="","",INDEX('Fleet dates'!$E$9:$E$1008,$I42-8)))</x:f>
      </x:c>
      <x:c r="F42" s="51" t="str">
        <x:f>IF(34&gt;$H$4,"",IF(INDEX('Fleet dates'!$F$9:$F$1008,$I42-8)="","",INDEX('Fleet dates'!$F$9:$F$1008,$I42-8)))</x:f>
      </x:c>
      <x:c r="G42" s="50" t="str">
        <x:f>IF(34&gt;$H$4,"",IF(INDEX('Fleet dates'!$G$9:$G$1008,$I42-8)="","",INDEX('Fleet dates'!$G$9:$G$1008,$I42-8)))</x:f>
      </x:c>
      <x:c r="H42" s="50" t="str">
        <x:f>IF(34&gt;$H$4,"",IF(INDEX('Fleet dates'!$I$9:$I$1008,$I42-8)="","",INDEX('Fleet dates'!$I$9:$I$1008,$I42-8)))</x:f>
      </x:c>
      <x:c r="I42" t="str">
        <x:f>IF(34&gt;$H$4,"",MATCH(34,'Fleet dates'!$M$9:$M$1008,0)+8)</x:f>
      </x:c>
    </x:row>
    <x:row r="43" ht="36" customHeight="1">
      <x:c r="A43" s="50" t="str">
        <x:f>IF(35&gt;$H$4,"",IF(INDEX('Fleet dates'!$A$9:$A$1008,$I43-8)="","",INDEX('Fleet dates'!$A$9:$A$1008,$I43-8)))</x:f>
      </x:c>
      <x:c r="B43" s="50" t="str">
        <x:f>IF(35&gt;$H$4,"",IF(INDEX('Fleet dates'!$B$9:$B$1008,$I43-8)="","",INDEX('Fleet dates'!$B$9:$B$1008,$I43-8)))</x:f>
      </x:c>
      <x:c r="C43" s="51" t="str">
        <x:f>IF(35&gt;$H$4,"",IF(INDEX('Fleet dates'!$C$9:$C$1008,$I43-8)="","",INDEX('Fleet dates'!$C$9:$C$1008,$I43-8)))</x:f>
      </x:c>
      <x:c r="D43" s="51" t="str">
        <x:f>IF(35&gt;$H$4,"",IF(INDEX('Fleet dates'!$D$9:$D$1008,$I43-8)="","",INDEX('Fleet dates'!$D$9:$D$1008,$I43-8)))</x:f>
      </x:c>
      <x:c r="E43" s="51" t="str">
        <x:f>IF(35&gt;$H$4,"",IF(INDEX('Fleet dates'!$E$9:$E$1008,$I43-8)="","",INDEX('Fleet dates'!$E$9:$E$1008,$I43-8)))</x:f>
      </x:c>
      <x:c r="F43" s="51" t="str">
        <x:f>IF(35&gt;$H$4,"",IF(INDEX('Fleet dates'!$F$9:$F$1008,$I43-8)="","",INDEX('Fleet dates'!$F$9:$F$1008,$I43-8)))</x:f>
      </x:c>
      <x:c r="G43" s="50" t="str">
        <x:f>IF(35&gt;$H$4,"",IF(INDEX('Fleet dates'!$G$9:$G$1008,$I43-8)="","",INDEX('Fleet dates'!$G$9:$G$1008,$I43-8)))</x:f>
      </x:c>
      <x:c r="H43" s="50" t="str">
        <x:f>IF(35&gt;$H$4,"",IF(INDEX('Fleet dates'!$I$9:$I$1008,$I43-8)="","",INDEX('Fleet dates'!$I$9:$I$1008,$I43-8)))</x:f>
      </x:c>
      <x:c r="I43" t="str">
        <x:f>IF(35&gt;$H$4,"",MATCH(35,'Fleet dates'!$M$9:$M$1008,0)+8)</x:f>
      </x:c>
    </x:row>
    <x:row r="44" ht="36" customHeight="1">
      <x:c r="A44" s="50" t="str">
        <x:f>IF(36&gt;$H$4,"",IF(INDEX('Fleet dates'!$A$9:$A$1008,$I44-8)="","",INDEX('Fleet dates'!$A$9:$A$1008,$I44-8)))</x:f>
      </x:c>
      <x:c r="B44" s="50" t="str">
        <x:f>IF(36&gt;$H$4,"",IF(INDEX('Fleet dates'!$B$9:$B$1008,$I44-8)="","",INDEX('Fleet dates'!$B$9:$B$1008,$I44-8)))</x:f>
      </x:c>
      <x:c r="C44" s="51" t="str">
        <x:f>IF(36&gt;$H$4,"",IF(INDEX('Fleet dates'!$C$9:$C$1008,$I44-8)="","",INDEX('Fleet dates'!$C$9:$C$1008,$I44-8)))</x:f>
      </x:c>
      <x:c r="D44" s="51" t="str">
        <x:f>IF(36&gt;$H$4,"",IF(INDEX('Fleet dates'!$D$9:$D$1008,$I44-8)="","",INDEX('Fleet dates'!$D$9:$D$1008,$I44-8)))</x:f>
      </x:c>
      <x:c r="E44" s="51" t="str">
        <x:f>IF(36&gt;$H$4,"",IF(INDEX('Fleet dates'!$E$9:$E$1008,$I44-8)="","",INDEX('Fleet dates'!$E$9:$E$1008,$I44-8)))</x:f>
      </x:c>
      <x:c r="F44" s="51" t="str">
        <x:f>IF(36&gt;$H$4,"",IF(INDEX('Fleet dates'!$F$9:$F$1008,$I44-8)="","",INDEX('Fleet dates'!$F$9:$F$1008,$I44-8)))</x:f>
      </x:c>
      <x:c r="G44" s="50" t="str">
        <x:f>IF(36&gt;$H$4,"",IF(INDEX('Fleet dates'!$G$9:$G$1008,$I44-8)="","",INDEX('Fleet dates'!$G$9:$G$1008,$I44-8)))</x:f>
      </x:c>
      <x:c r="H44" s="50" t="str">
        <x:f>IF(36&gt;$H$4,"",IF(INDEX('Fleet dates'!$I$9:$I$1008,$I44-8)="","",INDEX('Fleet dates'!$I$9:$I$1008,$I44-8)))</x:f>
      </x:c>
      <x:c r="I44" t="str">
        <x:f>IF(36&gt;$H$4,"",MATCH(36,'Fleet dates'!$M$9:$M$1008,0)+8)</x:f>
      </x:c>
    </x:row>
    <x:row r="45" ht="36" customHeight="1">
      <x:c r="A45" s="50" t="str">
        <x:f>IF(37&gt;$H$4,"",IF(INDEX('Fleet dates'!$A$9:$A$1008,$I45-8)="","",INDEX('Fleet dates'!$A$9:$A$1008,$I45-8)))</x:f>
      </x:c>
      <x:c r="B45" s="50" t="str">
        <x:f>IF(37&gt;$H$4,"",IF(INDEX('Fleet dates'!$B$9:$B$1008,$I45-8)="","",INDEX('Fleet dates'!$B$9:$B$1008,$I45-8)))</x:f>
      </x:c>
      <x:c r="C45" s="51" t="str">
        <x:f>IF(37&gt;$H$4,"",IF(INDEX('Fleet dates'!$C$9:$C$1008,$I45-8)="","",INDEX('Fleet dates'!$C$9:$C$1008,$I45-8)))</x:f>
      </x:c>
      <x:c r="D45" s="51" t="str">
        <x:f>IF(37&gt;$H$4,"",IF(INDEX('Fleet dates'!$D$9:$D$1008,$I45-8)="","",INDEX('Fleet dates'!$D$9:$D$1008,$I45-8)))</x:f>
      </x:c>
      <x:c r="E45" s="51" t="str">
        <x:f>IF(37&gt;$H$4,"",IF(INDEX('Fleet dates'!$E$9:$E$1008,$I45-8)="","",INDEX('Fleet dates'!$E$9:$E$1008,$I45-8)))</x:f>
      </x:c>
      <x:c r="F45" s="51" t="str">
        <x:f>IF(37&gt;$H$4,"",IF(INDEX('Fleet dates'!$F$9:$F$1008,$I45-8)="","",INDEX('Fleet dates'!$F$9:$F$1008,$I45-8)))</x:f>
      </x:c>
      <x:c r="G45" s="50" t="str">
        <x:f>IF(37&gt;$H$4,"",IF(INDEX('Fleet dates'!$G$9:$G$1008,$I45-8)="","",INDEX('Fleet dates'!$G$9:$G$1008,$I45-8)))</x:f>
      </x:c>
      <x:c r="H45" s="50" t="str">
        <x:f>IF(37&gt;$H$4,"",IF(INDEX('Fleet dates'!$I$9:$I$1008,$I45-8)="","",INDEX('Fleet dates'!$I$9:$I$1008,$I45-8)))</x:f>
      </x:c>
      <x:c r="I45" t="str">
        <x:f>IF(37&gt;$H$4,"",MATCH(37,'Fleet dates'!$M$9:$M$1008,0)+8)</x:f>
      </x:c>
    </x:row>
    <x:row r="46" ht="36" customHeight="1">
      <x:c r="A46" s="50" t="str">
        <x:f>IF(38&gt;$H$4,"",IF(INDEX('Fleet dates'!$A$9:$A$1008,$I46-8)="","",INDEX('Fleet dates'!$A$9:$A$1008,$I46-8)))</x:f>
      </x:c>
      <x:c r="B46" s="50" t="str">
        <x:f>IF(38&gt;$H$4,"",IF(INDEX('Fleet dates'!$B$9:$B$1008,$I46-8)="","",INDEX('Fleet dates'!$B$9:$B$1008,$I46-8)))</x:f>
      </x:c>
      <x:c r="C46" s="51" t="str">
        <x:f>IF(38&gt;$H$4,"",IF(INDEX('Fleet dates'!$C$9:$C$1008,$I46-8)="","",INDEX('Fleet dates'!$C$9:$C$1008,$I46-8)))</x:f>
      </x:c>
      <x:c r="D46" s="51" t="str">
        <x:f>IF(38&gt;$H$4,"",IF(INDEX('Fleet dates'!$D$9:$D$1008,$I46-8)="","",INDEX('Fleet dates'!$D$9:$D$1008,$I46-8)))</x:f>
      </x:c>
      <x:c r="E46" s="51" t="str">
        <x:f>IF(38&gt;$H$4,"",IF(INDEX('Fleet dates'!$E$9:$E$1008,$I46-8)="","",INDEX('Fleet dates'!$E$9:$E$1008,$I46-8)))</x:f>
      </x:c>
      <x:c r="F46" s="51" t="str">
        <x:f>IF(38&gt;$H$4,"",IF(INDEX('Fleet dates'!$F$9:$F$1008,$I46-8)="","",INDEX('Fleet dates'!$F$9:$F$1008,$I46-8)))</x:f>
      </x:c>
      <x:c r="G46" s="50" t="str">
        <x:f>IF(38&gt;$H$4,"",IF(INDEX('Fleet dates'!$G$9:$G$1008,$I46-8)="","",INDEX('Fleet dates'!$G$9:$G$1008,$I46-8)))</x:f>
      </x:c>
      <x:c r="H46" s="50" t="str">
        <x:f>IF(38&gt;$H$4,"",IF(INDEX('Fleet dates'!$I$9:$I$1008,$I46-8)="","",INDEX('Fleet dates'!$I$9:$I$1008,$I46-8)))</x:f>
      </x:c>
      <x:c r="I46" t="str">
        <x:f>IF(38&gt;$H$4,"",MATCH(38,'Fleet dates'!$M$9:$M$1008,0)+8)</x:f>
      </x:c>
    </x:row>
    <x:row r="47" ht="36" customHeight="1">
      <x:c r="A47" s="50" t="str">
        <x:f>IF(39&gt;$H$4,"",IF(INDEX('Fleet dates'!$A$9:$A$1008,$I47-8)="","",INDEX('Fleet dates'!$A$9:$A$1008,$I47-8)))</x:f>
      </x:c>
      <x:c r="B47" s="50" t="str">
        <x:f>IF(39&gt;$H$4,"",IF(INDEX('Fleet dates'!$B$9:$B$1008,$I47-8)="","",INDEX('Fleet dates'!$B$9:$B$1008,$I47-8)))</x:f>
      </x:c>
      <x:c r="C47" s="51" t="str">
        <x:f>IF(39&gt;$H$4,"",IF(INDEX('Fleet dates'!$C$9:$C$1008,$I47-8)="","",INDEX('Fleet dates'!$C$9:$C$1008,$I47-8)))</x:f>
      </x:c>
      <x:c r="D47" s="51" t="str">
        <x:f>IF(39&gt;$H$4,"",IF(INDEX('Fleet dates'!$D$9:$D$1008,$I47-8)="","",INDEX('Fleet dates'!$D$9:$D$1008,$I47-8)))</x:f>
      </x:c>
      <x:c r="E47" s="51" t="str">
        <x:f>IF(39&gt;$H$4,"",IF(INDEX('Fleet dates'!$E$9:$E$1008,$I47-8)="","",INDEX('Fleet dates'!$E$9:$E$1008,$I47-8)))</x:f>
      </x:c>
      <x:c r="F47" s="51" t="str">
        <x:f>IF(39&gt;$H$4,"",IF(INDEX('Fleet dates'!$F$9:$F$1008,$I47-8)="","",INDEX('Fleet dates'!$F$9:$F$1008,$I47-8)))</x:f>
      </x:c>
      <x:c r="G47" s="50" t="str">
        <x:f>IF(39&gt;$H$4,"",IF(INDEX('Fleet dates'!$G$9:$G$1008,$I47-8)="","",INDEX('Fleet dates'!$G$9:$G$1008,$I47-8)))</x:f>
      </x:c>
      <x:c r="H47" s="50" t="str">
        <x:f>IF(39&gt;$H$4,"",IF(INDEX('Fleet dates'!$I$9:$I$1008,$I47-8)="","",INDEX('Fleet dates'!$I$9:$I$1008,$I47-8)))</x:f>
      </x:c>
      <x:c r="I47" t="str">
        <x:f>IF(39&gt;$H$4,"",MATCH(39,'Fleet dates'!$M$9:$M$1008,0)+8)</x:f>
      </x:c>
    </x:row>
    <x:row r="48" ht="36" customHeight="1">
      <x:c r="A48" s="50" t="str">
        <x:f>IF(40&gt;$H$4,"",IF(INDEX('Fleet dates'!$A$9:$A$1008,$I48-8)="","",INDEX('Fleet dates'!$A$9:$A$1008,$I48-8)))</x:f>
      </x:c>
      <x:c r="B48" s="50" t="str">
        <x:f>IF(40&gt;$H$4,"",IF(INDEX('Fleet dates'!$B$9:$B$1008,$I48-8)="","",INDEX('Fleet dates'!$B$9:$B$1008,$I48-8)))</x:f>
      </x:c>
      <x:c r="C48" s="51" t="str">
        <x:f>IF(40&gt;$H$4,"",IF(INDEX('Fleet dates'!$C$9:$C$1008,$I48-8)="","",INDEX('Fleet dates'!$C$9:$C$1008,$I48-8)))</x:f>
      </x:c>
      <x:c r="D48" s="51" t="str">
        <x:f>IF(40&gt;$H$4,"",IF(INDEX('Fleet dates'!$D$9:$D$1008,$I48-8)="","",INDEX('Fleet dates'!$D$9:$D$1008,$I48-8)))</x:f>
      </x:c>
      <x:c r="E48" s="51" t="str">
        <x:f>IF(40&gt;$H$4,"",IF(INDEX('Fleet dates'!$E$9:$E$1008,$I48-8)="","",INDEX('Fleet dates'!$E$9:$E$1008,$I48-8)))</x:f>
      </x:c>
      <x:c r="F48" s="51" t="str">
        <x:f>IF(40&gt;$H$4,"",IF(INDEX('Fleet dates'!$F$9:$F$1008,$I48-8)="","",INDEX('Fleet dates'!$F$9:$F$1008,$I48-8)))</x:f>
      </x:c>
      <x:c r="G48" s="50" t="str">
        <x:f>IF(40&gt;$H$4,"",IF(INDEX('Fleet dates'!$G$9:$G$1008,$I48-8)="","",INDEX('Fleet dates'!$G$9:$G$1008,$I48-8)))</x:f>
      </x:c>
      <x:c r="H48" s="50" t="str">
        <x:f>IF(40&gt;$H$4,"",IF(INDEX('Fleet dates'!$I$9:$I$1008,$I48-8)="","",INDEX('Fleet dates'!$I$9:$I$1008,$I48-8)))</x:f>
      </x:c>
      <x:c r="I48" t="str">
        <x:f>IF(40&gt;$H$4,"",MATCH(40,'Fleet dates'!$M$9:$M$1008,0)+8)</x:f>
      </x:c>
    </x:row>
    <x:row r="49" ht="36" customHeight="1">
      <x:c r="A49" s="50" t="str">
        <x:f>IF(41&gt;$H$4,"",IF(INDEX('Fleet dates'!$A$9:$A$1008,$I49-8)="","",INDEX('Fleet dates'!$A$9:$A$1008,$I49-8)))</x:f>
      </x:c>
      <x:c r="B49" s="50" t="str">
        <x:f>IF(41&gt;$H$4,"",IF(INDEX('Fleet dates'!$B$9:$B$1008,$I49-8)="","",INDEX('Fleet dates'!$B$9:$B$1008,$I49-8)))</x:f>
      </x:c>
      <x:c r="C49" s="51" t="str">
        <x:f>IF(41&gt;$H$4,"",IF(INDEX('Fleet dates'!$C$9:$C$1008,$I49-8)="","",INDEX('Fleet dates'!$C$9:$C$1008,$I49-8)))</x:f>
      </x:c>
      <x:c r="D49" s="51" t="str">
        <x:f>IF(41&gt;$H$4,"",IF(INDEX('Fleet dates'!$D$9:$D$1008,$I49-8)="","",INDEX('Fleet dates'!$D$9:$D$1008,$I49-8)))</x:f>
      </x:c>
      <x:c r="E49" s="51" t="str">
        <x:f>IF(41&gt;$H$4,"",IF(INDEX('Fleet dates'!$E$9:$E$1008,$I49-8)="","",INDEX('Fleet dates'!$E$9:$E$1008,$I49-8)))</x:f>
      </x:c>
      <x:c r="F49" s="51" t="str">
        <x:f>IF(41&gt;$H$4,"",IF(INDEX('Fleet dates'!$F$9:$F$1008,$I49-8)="","",INDEX('Fleet dates'!$F$9:$F$1008,$I49-8)))</x:f>
      </x:c>
      <x:c r="G49" s="50" t="str">
        <x:f>IF(41&gt;$H$4,"",IF(INDEX('Fleet dates'!$G$9:$G$1008,$I49-8)="","",INDEX('Fleet dates'!$G$9:$G$1008,$I49-8)))</x:f>
      </x:c>
      <x:c r="H49" s="50" t="str">
        <x:f>IF(41&gt;$H$4,"",IF(INDEX('Fleet dates'!$I$9:$I$1008,$I49-8)="","",INDEX('Fleet dates'!$I$9:$I$1008,$I49-8)))</x:f>
      </x:c>
      <x:c r="I49" t="str">
        <x:f>IF(41&gt;$H$4,"",MATCH(41,'Fleet dates'!$M$9:$M$1008,0)+8)</x:f>
      </x:c>
    </x:row>
    <x:row r="50" ht="36" customHeight="1">
      <x:c r="A50" s="50" t="str">
        <x:f>IF(42&gt;$H$4,"",IF(INDEX('Fleet dates'!$A$9:$A$1008,$I50-8)="","",INDEX('Fleet dates'!$A$9:$A$1008,$I50-8)))</x:f>
      </x:c>
      <x:c r="B50" s="50" t="str">
        <x:f>IF(42&gt;$H$4,"",IF(INDEX('Fleet dates'!$B$9:$B$1008,$I50-8)="","",INDEX('Fleet dates'!$B$9:$B$1008,$I50-8)))</x:f>
      </x:c>
      <x:c r="C50" s="51" t="str">
        <x:f>IF(42&gt;$H$4,"",IF(INDEX('Fleet dates'!$C$9:$C$1008,$I50-8)="","",INDEX('Fleet dates'!$C$9:$C$1008,$I50-8)))</x:f>
      </x:c>
      <x:c r="D50" s="51" t="str">
        <x:f>IF(42&gt;$H$4,"",IF(INDEX('Fleet dates'!$D$9:$D$1008,$I50-8)="","",INDEX('Fleet dates'!$D$9:$D$1008,$I50-8)))</x:f>
      </x:c>
      <x:c r="E50" s="51" t="str">
        <x:f>IF(42&gt;$H$4,"",IF(INDEX('Fleet dates'!$E$9:$E$1008,$I50-8)="","",INDEX('Fleet dates'!$E$9:$E$1008,$I50-8)))</x:f>
      </x:c>
      <x:c r="F50" s="51" t="str">
        <x:f>IF(42&gt;$H$4,"",IF(INDEX('Fleet dates'!$F$9:$F$1008,$I50-8)="","",INDEX('Fleet dates'!$F$9:$F$1008,$I50-8)))</x:f>
      </x:c>
      <x:c r="G50" s="50" t="str">
        <x:f>IF(42&gt;$H$4,"",IF(INDEX('Fleet dates'!$G$9:$G$1008,$I50-8)="","",INDEX('Fleet dates'!$G$9:$G$1008,$I50-8)))</x:f>
      </x:c>
      <x:c r="H50" s="50" t="str">
        <x:f>IF(42&gt;$H$4,"",IF(INDEX('Fleet dates'!$I$9:$I$1008,$I50-8)="","",INDEX('Fleet dates'!$I$9:$I$1008,$I50-8)))</x:f>
      </x:c>
      <x:c r="I50" t="str">
        <x:f>IF(42&gt;$H$4,"",MATCH(42,'Fleet dates'!$M$9:$M$1008,0)+8)</x:f>
      </x:c>
    </x:row>
    <x:row r="51" ht="36" customHeight="1">
      <x:c r="A51" s="50" t="str">
        <x:f>IF(43&gt;$H$4,"",IF(INDEX('Fleet dates'!$A$9:$A$1008,$I51-8)="","",INDEX('Fleet dates'!$A$9:$A$1008,$I51-8)))</x:f>
      </x:c>
      <x:c r="B51" s="50" t="str">
        <x:f>IF(43&gt;$H$4,"",IF(INDEX('Fleet dates'!$B$9:$B$1008,$I51-8)="","",INDEX('Fleet dates'!$B$9:$B$1008,$I51-8)))</x:f>
      </x:c>
      <x:c r="C51" s="51" t="str">
        <x:f>IF(43&gt;$H$4,"",IF(INDEX('Fleet dates'!$C$9:$C$1008,$I51-8)="","",INDEX('Fleet dates'!$C$9:$C$1008,$I51-8)))</x:f>
      </x:c>
      <x:c r="D51" s="51" t="str">
        <x:f>IF(43&gt;$H$4,"",IF(INDEX('Fleet dates'!$D$9:$D$1008,$I51-8)="","",INDEX('Fleet dates'!$D$9:$D$1008,$I51-8)))</x:f>
      </x:c>
      <x:c r="E51" s="51" t="str">
        <x:f>IF(43&gt;$H$4,"",IF(INDEX('Fleet dates'!$E$9:$E$1008,$I51-8)="","",INDEX('Fleet dates'!$E$9:$E$1008,$I51-8)))</x:f>
      </x:c>
      <x:c r="F51" s="51" t="str">
        <x:f>IF(43&gt;$H$4,"",IF(INDEX('Fleet dates'!$F$9:$F$1008,$I51-8)="","",INDEX('Fleet dates'!$F$9:$F$1008,$I51-8)))</x:f>
      </x:c>
      <x:c r="G51" s="50" t="str">
        <x:f>IF(43&gt;$H$4,"",IF(INDEX('Fleet dates'!$G$9:$G$1008,$I51-8)="","",INDEX('Fleet dates'!$G$9:$G$1008,$I51-8)))</x:f>
      </x:c>
      <x:c r="H51" s="50" t="str">
        <x:f>IF(43&gt;$H$4,"",IF(INDEX('Fleet dates'!$I$9:$I$1008,$I51-8)="","",INDEX('Fleet dates'!$I$9:$I$1008,$I51-8)))</x:f>
      </x:c>
      <x:c r="I51" t="str">
        <x:f>IF(43&gt;$H$4,"",MATCH(43,'Fleet dates'!$M$9:$M$1008,0)+8)</x:f>
      </x:c>
    </x:row>
    <x:row r="52" ht="36" customHeight="1">
      <x:c r="A52" s="50" t="str">
        <x:f>IF(44&gt;$H$4,"",IF(INDEX('Fleet dates'!$A$9:$A$1008,$I52-8)="","",INDEX('Fleet dates'!$A$9:$A$1008,$I52-8)))</x:f>
      </x:c>
      <x:c r="B52" s="50" t="str">
        <x:f>IF(44&gt;$H$4,"",IF(INDEX('Fleet dates'!$B$9:$B$1008,$I52-8)="","",INDEX('Fleet dates'!$B$9:$B$1008,$I52-8)))</x:f>
      </x:c>
      <x:c r="C52" s="51" t="str">
        <x:f>IF(44&gt;$H$4,"",IF(INDEX('Fleet dates'!$C$9:$C$1008,$I52-8)="","",INDEX('Fleet dates'!$C$9:$C$1008,$I52-8)))</x:f>
      </x:c>
      <x:c r="D52" s="51" t="str">
        <x:f>IF(44&gt;$H$4,"",IF(INDEX('Fleet dates'!$D$9:$D$1008,$I52-8)="","",INDEX('Fleet dates'!$D$9:$D$1008,$I52-8)))</x:f>
      </x:c>
      <x:c r="E52" s="51" t="str">
        <x:f>IF(44&gt;$H$4,"",IF(INDEX('Fleet dates'!$E$9:$E$1008,$I52-8)="","",INDEX('Fleet dates'!$E$9:$E$1008,$I52-8)))</x:f>
      </x:c>
      <x:c r="F52" s="51" t="str">
        <x:f>IF(44&gt;$H$4,"",IF(INDEX('Fleet dates'!$F$9:$F$1008,$I52-8)="","",INDEX('Fleet dates'!$F$9:$F$1008,$I52-8)))</x:f>
      </x:c>
      <x:c r="G52" s="50" t="str">
        <x:f>IF(44&gt;$H$4,"",IF(INDEX('Fleet dates'!$G$9:$G$1008,$I52-8)="","",INDEX('Fleet dates'!$G$9:$G$1008,$I52-8)))</x:f>
      </x:c>
      <x:c r="H52" s="50" t="str">
        <x:f>IF(44&gt;$H$4,"",IF(INDEX('Fleet dates'!$I$9:$I$1008,$I52-8)="","",INDEX('Fleet dates'!$I$9:$I$1008,$I52-8)))</x:f>
      </x:c>
      <x:c r="I52" t="str">
        <x:f>IF(44&gt;$H$4,"",MATCH(44,'Fleet dates'!$M$9:$M$1008,0)+8)</x:f>
      </x:c>
    </x:row>
    <x:row r="53" ht="36" customHeight="1">
      <x:c r="A53" s="50" t="str">
        <x:f>IF(45&gt;$H$4,"",IF(INDEX('Fleet dates'!$A$9:$A$1008,$I53-8)="","",INDEX('Fleet dates'!$A$9:$A$1008,$I53-8)))</x:f>
      </x:c>
      <x:c r="B53" s="50" t="str">
        <x:f>IF(45&gt;$H$4,"",IF(INDEX('Fleet dates'!$B$9:$B$1008,$I53-8)="","",INDEX('Fleet dates'!$B$9:$B$1008,$I53-8)))</x:f>
      </x:c>
      <x:c r="C53" s="51" t="str">
        <x:f>IF(45&gt;$H$4,"",IF(INDEX('Fleet dates'!$C$9:$C$1008,$I53-8)="","",INDEX('Fleet dates'!$C$9:$C$1008,$I53-8)))</x:f>
      </x:c>
      <x:c r="D53" s="51" t="str">
        <x:f>IF(45&gt;$H$4,"",IF(INDEX('Fleet dates'!$D$9:$D$1008,$I53-8)="","",INDEX('Fleet dates'!$D$9:$D$1008,$I53-8)))</x:f>
      </x:c>
      <x:c r="E53" s="51" t="str">
        <x:f>IF(45&gt;$H$4,"",IF(INDEX('Fleet dates'!$E$9:$E$1008,$I53-8)="","",INDEX('Fleet dates'!$E$9:$E$1008,$I53-8)))</x:f>
      </x:c>
      <x:c r="F53" s="51" t="str">
        <x:f>IF(45&gt;$H$4,"",IF(INDEX('Fleet dates'!$F$9:$F$1008,$I53-8)="","",INDEX('Fleet dates'!$F$9:$F$1008,$I53-8)))</x:f>
      </x:c>
      <x:c r="G53" s="50" t="str">
        <x:f>IF(45&gt;$H$4,"",IF(INDEX('Fleet dates'!$G$9:$G$1008,$I53-8)="","",INDEX('Fleet dates'!$G$9:$G$1008,$I53-8)))</x:f>
      </x:c>
      <x:c r="H53" s="50" t="str">
        <x:f>IF(45&gt;$H$4,"",IF(INDEX('Fleet dates'!$I$9:$I$1008,$I53-8)="","",INDEX('Fleet dates'!$I$9:$I$1008,$I53-8)))</x:f>
      </x:c>
      <x:c r="I53" t="str">
        <x:f>IF(45&gt;$H$4,"",MATCH(45,'Fleet dates'!$M$9:$M$1008,0)+8)</x:f>
      </x:c>
    </x:row>
    <x:row r="54" ht="36" customHeight="1">
      <x:c r="A54" s="50" t="str">
        <x:f>IF(46&gt;$H$4,"",IF(INDEX('Fleet dates'!$A$9:$A$1008,$I54-8)="","",INDEX('Fleet dates'!$A$9:$A$1008,$I54-8)))</x:f>
      </x:c>
      <x:c r="B54" s="50" t="str">
        <x:f>IF(46&gt;$H$4,"",IF(INDEX('Fleet dates'!$B$9:$B$1008,$I54-8)="","",INDEX('Fleet dates'!$B$9:$B$1008,$I54-8)))</x:f>
      </x:c>
      <x:c r="C54" s="51" t="str">
        <x:f>IF(46&gt;$H$4,"",IF(INDEX('Fleet dates'!$C$9:$C$1008,$I54-8)="","",INDEX('Fleet dates'!$C$9:$C$1008,$I54-8)))</x:f>
      </x:c>
      <x:c r="D54" s="51" t="str">
        <x:f>IF(46&gt;$H$4,"",IF(INDEX('Fleet dates'!$D$9:$D$1008,$I54-8)="","",INDEX('Fleet dates'!$D$9:$D$1008,$I54-8)))</x:f>
      </x:c>
      <x:c r="E54" s="51" t="str">
        <x:f>IF(46&gt;$H$4,"",IF(INDEX('Fleet dates'!$E$9:$E$1008,$I54-8)="","",INDEX('Fleet dates'!$E$9:$E$1008,$I54-8)))</x:f>
      </x:c>
      <x:c r="F54" s="51" t="str">
        <x:f>IF(46&gt;$H$4,"",IF(INDEX('Fleet dates'!$F$9:$F$1008,$I54-8)="","",INDEX('Fleet dates'!$F$9:$F$1008,$I54-8)))</x:f>
      </x:c>
      <x:c r="G54" s="50" t="str">
        <x:f>IF(46&gt;$H$4,"",IF(INDEX('Fleet dates'!$G$9:$G$1008,$I54-8)="","",INDEX('Fleet dates'!$G$9:$G$1008,$I54-8)))</x:f>
      </x:c>
      <x:c r="H54" s="50" t="str">
        <x:f>IF(46&gt;$H$4,"",IF(INDEX('Fleet dates'!$I$9:$I$1008,$I54-8)="","",INDEX('Fleet dates'!$I$9:$I$1008,$I54-8)))</x:f>
      </x:c>
      <x:c r="I54" t="str">
        <x:f>IF(46&gt;$H$4,"",MATCH(46,'Fleet dates'!$M$9:$M$1008,0)+8)</x:f>
      </x:c>
    </x:row>
    <x:row r="55" ht="36" customHeight="1">
      <x:c r="A55" s="50" t="str">
        <x:f>IF(47&gt;$H$4,"",IF(INDEX('Fleet dates'!$A$9:$A$1008,$I55-8)="","",INDEX('Fleet dates'!$A$9:$A$1008,$I55-8)))</x:f>
      </x:c>
      <x:c r="B55" s="50" t="str">
        <x:f>IF(47&gt;$H$4,"",IF(INDEX('Fleet dates'!$B$9:$B$1008,$I55-8)="","",INDEX('Fleet dates'!$B$9:$B$1008,$I55-8)))</x:f>
      </x:c>
      <x:c r="C55" s="51" t="str">
        <x:f>IF(47&gt;$H$4,"",IF(INDEX('Fleet dates'!$C$9:$C$1008,$I55-8)="","",INDEX('Fleet dates'!$C$9:$C$1008,$I55-8)))</x:f>
      </x:c>
      <x:c r="D55" s="51" t="str">
        <x:f>IF(47&gt;$H$4,"",IF(INDEX('Fleet dates'!$D$9:$D$1008,$I55-8)="","",INDEX('Fleet dates'!$D$9:$D$1008,$I55-8)))</x:f>
      </x:c>
      <x:c r="E55" s="51" t="str">
        <x:f>IF(47&gt;$H$4,"",IF(INDEX('Fleet dates'!$E$9:$E$1008,$I55-8)="","",INDEX('Fleet dates'!$E$9:$E$1008,$I55-8)))</x:f>
      </x:c>
      <x:c r="F55" s="51" t="str">
        <x:f>IF(47&gt;$H$4,"",IF(INDEX('Fleet dates'!$F$9:$F$1008,$I55-8)="","",INDEX('Fleet dates'!$F$9:$F$1008,$I55-8)))</x:f>
      </x:c>
      <x:c r="G55" s="50" t="str">
        <x:f>IF(47&gt;$H$4,"",IF(INDEX('Fleet dates'!$G$9:$G$1008,$I55-8)="","",INDEX('Fleet dates'!$G$9:$G$1008,$I55-8)))</x:f>
      </x:c>
      <x:c r="H55" s="50" t="str">
        <x:f>IF(47&gt;$H$4,"",IF(INDEX('Fleet dates'!$I$9:$I$1008,$I55-8)="","",INDEX('Fleet dates'!$I$9:$I$1008,$I55-8)))</x:f>
      </x:c>
      <x:c r="I55" t="str">
        <x:f>IF(47&gt;$H$4,"",MATCH(47,'Fleet dates'!$M$9:$M$1008,0)+8)</x:f>
      </x:c>
    </x:row>
    <x:row r="56" ht="36" customHeight="1">
      <x:c r="A56" s="50" t="str">
        <x:f>IF(48&gt;$H$4,"",IF(INDEX('Fleet dates'!$A$9:$A$1008,$I56-8)="","",INDEX('Fleet dates'!$A$9:$A$1008,$I56-8)))</x:f>
      </x:c>
      <x:c r="B56" s="50" t="str">
        <x:f>IF(48&gt;$H$4,"",IF(INDEX('Fleet dates'!$B$9:$B$1008,$I56-8)="","",INDEX('Fleet dates'!$B$9:$B$1008,$I56-8)))</x:f>
      </x:c>
      <x:c r="C56" s="51" t="str">
        <x:f>IF(48&gt;$H$4,"",IF(INDEX('Fleet dates'!$C$9:$C$1008,$I56-8)="","",INDEX('Fleet dates'!$C$9:$C$1008,$I56-8)))</x:f>
      </x:c>
      <x:c r="D56" s="51" t="str">
        <x:f>IF(48&gt;$H$4,"",IF(INDEX('Fleet dates'!$D$9:$D$1008,$I56-8)="","",INDEX('Fleet dates'!$D$9:$D$1008,$I56-8)))</x:f>
      </x:c>
      <x:c r="E56" s="51" t="str">
        <x:f>IF(48&gt;$H$4,"",IF(INDEX('Fleet dates'!$E$9:$E$1008,$I56-8)="","",INDEX('Fleet dates'!$E$9:$E$1008,$I56-8)))</x:f>
      </x:c>
      <x:c r="F56" s="51" t="str">
        <x:f>IF(48&gt;$H$4,"",IF(INDEX('Fleet dates'!$F$9:$F$1008,$I56-8)="","",INDEX('Fleet dates'!$F$9:$F$1008,$I56-8)))</x:f>
      </x:c>
      <x:c r="G56" s="50" t="str">
        <x:f>IF(48&gt;$H$4,"",IF(INDEX('Fleet dates'!$G$9:$G$1008,$I56-8)="","",INDEX('Fleet dates'!$G$9:$G$1008,$I56-8)))</x:f>
      </x:c>
      <x:c r="H56" s="50" t="str">
        <x:f>IF(48&gt;$H$4,"",IF(INDEX('Fleet dates'!$I$9:$I$1008,$I56-8)="","",INDEX('Fleet dates'!$I$9:$I$1008,$I56-8)))</x:f>
      </x:c>
      <x:c r="I56" t="str">
        <x:f>IF(48&gt;$H$4,"",MATCH(48,'Fleet dates'!$M$9:$M$1008,0)+8)</x:f>
      </x:c>
    </x:row>
    <x:row r="57" ht="36" customHeight="1">
      <x:c r="A57" s="50" t="str">
        <x:f>IF(49&gt;$H$4,"",IF(INDEX('Fleet dates'!$A$9:$A$1008,$I57-8)="","",INDEX('Fleet dates'!$A$9:$A$1008,$I57-8)))</x:f>
      </x:c>
      <x:c r="B57" s="50" t="str">
        <x:f>IF(49&gt;$H$4,"",IF(INDEX('Fleet dates'!$B$9:$B$1008,$I57-8)="","",INDEX('Fleet dates'!$B$9:$B$1008,$I57-8)))</x:f>
      </x:c>
      <x:c r="C57" s="51" t="str">
        <x:f>IF(49&gt;$H$4,"",IF(INDEX('Fleet dates'!$C$9:$C$1008,$I57-8)="","",INDEX('Fleet dates'!$C$9:$C$1008,$I57-8)))</x:f>
      </x:c>
      <x:c r="D57" s="51" t="str">
        <x:f>IF(49&gt;$H$4,"",IF(INDEX('Fleet dates'!$D$9:$D$1008,$I57-8)="","",INDEX('Fleet dates'!$D$9:$D$1008,$I57-8)))</x:f>
      </x:c>
      <x:c r="E57" s="51" t="str">
        <x:f>IF(49&gt;$H$4,"",IF(INDEX('Fleet dates'!$E$9:$E$1008,$I57-8)="","",INDEX('Fleet dates'!$E$9:$E$1008,$I57-8)))</x:f>
      </x:c>
      <x:c r="F57" s="51" t="str">
        <x:f>IF(49&gt;$H$4,"",IF(INDEX('Fleet dates'!$F$9:$F$1008,$I57-8)="","",INDEX('Fleet dates'!$F$9:$F$1008,$I57-8)))</x:f>
      </x:c>
      <x:c r="G57" s="50" t="str">
        <x:f>IF(49&gt;$H$4,"",IF(INDEX('Fleet dates'!$G$9:$G$1008,$I57-8)="","",INDEX('Fleet dates'!$G$9:$G$1008,$I57-8)))</x:f>
      </x:c>
      <x:c r="H57" s="50" t="str">
        <x:f>IF(49&gt;$H$4,"",IF(INDEX('Fleet dates'!$I$9:$I$1008,$I57-8)="","",INDEX('Fleet dates'!$I$9:$I$1008,$I57-8)))</x:f>
      </x:c>
      <x:c r="I57" t="str">
        <x:f>IF(49&gt;$H$4,"",MATCH(49,'Fleet dates'!$M$9:$M$1008,0)+8)</x:f>
      </x:c>
    </x:row>
    <x:row r="58" ht="36" customHeight="1">
      <x:c r="A58" s="50" t="str">
        <x:f>IF(50&gt;$H$4,"",IF(INDEX('Fleet dates'!$A$9:$A$1008,$I58-8)="","",INDEX('Fleet dates'!$A$9:$A$1008,$I58-8)))</x:f>
      </x:c>
      <x:c r="B58" s="50" t="str">
        <x:f>IF(50&gt;$H$4,"",IF(INDEX('Fleet dates'!$B$9:$B$1008,$I58-8)="","",INDEX('Fleet dates'!$B$9:$B$1008,$I58-8)))</x:f>
      </x:c>
      <x:c r="C58" s="51" t="str">
        <x:f>IF(50&gt;$H$4,"",IF(INDEX('Fleet dates'!$C$9:$C$1008,$I58-8)="","",INDEX('Fleet dates'!$C$9:$C$1008,$I58-8)))</x:f>
      </x:c>
      <x:c r="D58" s="51" t="str">
        <x:f>IF(50&gt;$H$4,"",IF(INDEX('Fleet dates'!$D$9:$D$1008,$I58-8)="","",INDEX('Fleet dates'!$D$9:$D$1008,$I58-8)))</x:f>
      </x:c>
      <x:c r="E58" s="51" t="str">
        <x:f>IF(50&gt;$H$4,"",IF(INDEX('Fleet dates'!$E$9:$E$1008,$I58-8)="","",INDEX('Fleet dates'!$E$9:$E$1008,$I58-8)))</x:f>
      </x:c>
      <x:c r="F58" s="51" t="str">
        <x:f>IF(50&gt;$H$4,"",IF(INDEX('Fleet dates'!$F$9:$F$1008,$I58-8)="","",INDEX('Fleet dates'!$F$9:$F$1008,$I58-8)))</x:f>
      </x:c>
      <x:c r="G58" s="50" t="str">
        <x:f>IF(50&gt;$H$4,"",IF(INDEX('Fleet dates'!$G$9:$G$1008,$I58-8)="","",INDEX('Fleet dates'!$G$9:$G$1008,$I58-8)))</x:f>
      </x:c>
      <x:c r="H58" s="50" t="str">
        <x:f>IF(50&gt;$H$4,"",IF(INDEX('Fleet dates'!$I$9:$I$1008,$I58-8)="","",INDEX('Fleet dates'!$I$9:$I$1008,$I58-8)))</x:f>
      </x:c>
      <x:c r="I58" t="str">
        <x:f>IF(50&gt;$H$4,"",MATCH(50,'Fleet dates'!$M$9:$M$1008,0)+8)</x:f>
      </x:c>
    </x:row>
    <x:row r="59" ht="36" customHeight="1">
      <x:c r="A59" s="50" t="str">
        <x:f>IF(51&gt;$H$4,"",IF(INDEX('Fleet dates'!$A$9:$A$1008,$I59-8)="","",INDEX('Fleet dates'!$A$9:$A$1008,$I59-8)))</x:f>
      </x:c>
      <x:c r="B59" s="50" t="str">
        <x:f>IF(51&gt;$H$4,"",IF(INDEX('Fleet dates'!$B$9:$B$1008,$I59-8)="","",INDEX('Fleet dates'!$B$9:$B$1008,$I59-8)))</x:f>
      </x:c>
      <x:c r="C59" s="51" t="str">
        <x:f>IF(51&gt;$H$4,"",IF(INDEX('Fleet dates'!$C$9:$C$1008,$I59-8)="","",INDEX('Fleet dates'!$C$9:$C$1008,$I59-8)))</x:f>
      </x:c>
      <x:c r="D59" s="51" t="str">
        <x:f>IF(51&gt;$H$4,"",IF(INDEX('Fleet dates'!$D$9:$D$1008,$I59-8)="","",INDEX('Fleet dates'!$D$9:$D$1008,$I59-8)))</x:f>
      </x:c>
      <x:c r="E59" s="51" t="str">
        <x:f>IF(51&gt;$H$4,"",IF(INDEX('Fleet dates'!$E$9:$E$1008,$I59-8)="","",INDEX('Fleet dates'!$E$9:$E$1008,$I59-8)))</x:f>
      </x:c>
      <x:c r="F59" s="51" t="str">
        <x:f>IF(51&gt;$H$4,"",IF(INDEX('Fleet dates'!$F$9:$F$1008,$I59-8)="","",INDEX('Fleet dates'!$F$9:$F$1008,$I59-8)))</x:f>
      </x:c>
      <x:c r="G59" s="50" t="str">
        <x:f>IF(51&gt;$H$4,"",IF(INDEX('Fleet dates'!$G$9:$G$1008,$I59-8)="","",INDEX('Fleet dates'!$G$9:$G$1008,$I59-8)))</x:f>
      </x:c>
      <x:c r="H59" s="50" t="str">
        <x:f>IF(51&gt;$H$4,"",IF(INDEX('Fleet dates'!$I$9:$I$1008,$I59-8)="","",INDEX('Fleet dates'!$I$9:$I$1008,$I59-8)))</x:f>
      </x:c>
      <x:c r="I59" t="str">
        <x:f>IF(51&gt;$H$4,"",MATCH(51,'Fleet dates'!$M$9:$M$1008,0)+8)</x:f>
      </x:c>
    </x:row>
    <x:row r="60" ht="36" customHeight="1">
      <x:c r="A60" s="50" t="str">
        <x:f>IF(52&gt;$H$4,"",IF(INDEX('Fleet dates'!$A$9:$A$1008,$I60-8)="","",INDEX('Fleet dates'!$A$9:$A$1008,$I60-8)))</x:f>
      </x:c>
      <x:c r="B60" s="50" t="str">
        <x:f>IF(52&gt;$H$4,"",IF(INDEX('Fleet dates'!$B$9:$B$1008,$I60-8)="","",INDEX('Fleet dates'!$B$9:$B$1008,$I60-8)))</x:f>
      </x:c>
      <x:c r="C60" s="51" t="str">
        <x:f>IF(52&gt;$H$4,"",IF(INDEX('Fleet dates'!$C$9:$C$1008,$I60-8)="","",INDEX('Fleet dates'!$C$9:$C$1008,$I60-8)))</x:f>
      </x:c>
      <x:c r="D60" s="51" t="str">
        <x:f>IF(52&gt;$H$4,"",IF(INDEX('Fleet dates'!$D$9:$D$1008,$I60-8)="","",INDEX('Fleet dates'!$D$9:$D$1008,$I60-8)))</x:f>
      </x:c>
      <x:c r="E60" s="51" t="str">
        <x:f>IF(52&gt;$H$4,"",IF(INDEX('Fleet dates'!$E$9:$E$1008,$I60-8)="","",INDEX('Fleet dates'!$E$9:$E$1008,$I60-8)))</x:f>
      </x:c>
      <x:c r="F60" s="51" t="str">
        <x:f>IF(52&gt;$H$4,"",IF(INDEX('Fleet dates'!$F$9:$F$1008,$I60-8)="","",INDEX('Fleet dates'!$F$9:$F$1008,$I60-8)))</x:f>
      </x:c>
      <x:c r="G60" s="50" t="str">
        <x:f>IF(52&gt;$H$4,"",IF(INDEX('Fleet dates'!$G$9:$G$1008,$I60-8)="","",INDEX('Fleet dates'!$G$9:$G$1008,$I60-8)))</x:f>
      </x:c>
      <x:c r="H60" s="50" t="str">
        <x:f>IF(52&gt;$H$4,"",IF(INDEX('Fleet dates'!$I$9:$I$1008,$I60-8)="","",INDEX('Fleet dates'!$I$9:$I$1008,$I60-8)))</x:f>
      </x:c>
      <x:c r="I60" t="str">
        <x:f>IF(52&gt;$H$4,"",MATCH(52,'Fleet dates'!$M$9:$M$1008,0)+8)</x:f>
      </x:c>
    </x:row>
    <x:row r="61" ht="36" customHeight="1">
      <x:c r="A61" s="50" t="str">
        <x:f>IF(53&gt;$H$4,"",IF(INDEX('Fleet dates'!$A$9:$A$1008,$I61-8)="","",INDEX('Fleet dates'!$A$9:$A$1008,$I61-8)))</x:f>
      </x:c>
      <x:c r="B61" s="50" t="str">
        <x:f>IF(53&gt;$H$4,"",IF(INDEX('Fleet dates'!$B$9:$B$1008,$I61-8)="","",INDEX('Fleet dates'!$B$9:$B$1008,$I61-8)))</x:f>
      </x:c>
      <x:c r="C61" s="51" t="str">
        <x:f>IF(53&gt;$H$4,"",IF(INDEX('Fleet dates'!$C$9:$C$1008,$I61-8)="","",INDEX('Fleet dates'!$C$9:$C$1008,$I61-8)))</x:f>
      </x:c>
      <x:c r="D61" s="51" t="str">
        <x:f>IF(53&gt;$H$4,"",IF(INDEX('Fleet dates'!$D$9:$D$1008,$I61-8)="","",INDEX('Fleet dates'!$D$9:$D$1008,$I61-8)))</x:f>
      </x:c>
      <x:c r="E61" s="51" t="str">
        <x:f>IF(53&gt;$H$4,"",IF(INDEX('Fleet dates'!$E$9:$E$1008,$I61-8)="","",INDEX('Fleet dates'!$E$9:$E$1008,$I61-8)))</x:f>
      </x:c>
      <x:c r="F61" s="51" t="str">
        <x:f>IF(53&gt;$H$4,"",IF(INDEX('Fleet dates'!$F$9:$F$1008,$I61-8)="","",INDEX('Fleet dates'!$F$9:$F$1008,$I61-8)))</x:f>
      </x:c>
      <x:c r="G61" s="50" t="str">
        <x:f>IF(53&gt;$H$4,"",IF(INDEX('Fleet dates'!$G$9:$G$1008,$I61-8)="","",INDEX('Fleet dates'!$G$9:$G$1008,$I61-8)))</x:f>
      </x:c>
      <x:c r="H61" s="50" t="str">
        <x:f>IF(53&gt;$H$4,"",IF(INDEX('Fleet dates'!$I$9:$I$1008,$I61-8)="","",INDEX('Fleet dates'!$I$9:$I$1008,$I61-8)))</x:f>
      </x:c>
      <x:c r="I61" t="str">
        <x:f>IF(53&gt;$H$4,"",MATCH(53,'Fleet dates'!$M$9:$M$1008,0)+8)</x:f>
      </x:c>
    </x:row>
    <x:row r="62" ht="36" customHeight="1">
      <x:c r="A62" s="50" t="str">
        <x:f>IF(54&gt;$H$4,"",IF(INDEX('Fleet dates'!$A$9:$A$1008,$I62-8)="","",INDEX('Fleet dates'!$A$9:$A$1008,$I62-8)))</x:f>
      </x:c>
      <x:c r="B62" s="50" t="str">
        <x:f>IF(54&gt;$H$4,"",IF(INDEX('Fleet dates'!$B$9:$B$1008,$I62-8)="","",INDEX('Fleet dates'!$B$9:$B$1008,$I62-8)))</x:f>
      </x:c>
      <x:c r="C62" s="51" t="str">
        <x:f>IF(54&gt;$H$4,"",IF(INDEX('Fleet dates'!$C$9:$C$1008,$I62-8)="","",INDEX('Fleet dates'!$C$9:$C$1008,$I62-8)))</x:f>
      </x:c>
      <x:c r="D62" s="51" t="str">
        <x:f>IF(54&gt;$H$4,"",IF(INDEX('Fleet dates'!$D$9:$D$1008,$I62-8)="","",INDEX('Fleet dates'!$D$9:$D$1008,$I62-8)))</x:f>
      </x:c>
      <x:c r="E62" s="51" t="str">
        <x:f>IF(54&gt;$H$4,"",IF(INDEX('Fleet dates'!$E$9:$E$1008,$I62-8)="","",INDEX('Fleet dates'!$E$9:$E$1008,$I62-8)))</x:f>
      </x:c>
      <x:c r="F62" s="51" t="str">
        <x:f>IF(54&gt;$H$4,"",IF(INDEX('Fleet dates'!$F$9:$F$1008,$I62-8)="","",INDEX('Fleet dates'!$F$9:$F$1008,$I62-8)))</x:f>
      </x:c>
      <x:c r="G62" s="50" t="str">
        <x:f>IF(54&gt;$H$4,"",IF(INDEX('Fleet dates'!$G$9:$G$1008,$I62-8)="","",INDEX('Fleet dates'!$G$9:$G$1008,$I62-8)))</x:f>
      </x:c>
      <x:c r="H62" s="50" t="str">
        <x:f>IF(54&gt;$H$4,"",IF(INDEX('Fleet dates'!$I$9:$I$1008,$I62-8)="","",INDEX('Fleet dates'!$I$9:$I$1008,$I62-8)))</x:f>
      </x:c>
      <x:c r="I62" t="str">
        <x:f>IF(54&gt;$H$4,"",MATCH(54,'Fleet dates'!$M$9:$M$1008,0)+8)</x:f>
      </x:c>
    </x:row>
    <x:row r="63" ht="36" customHeight="1">
      <x:c r="A63" s="50" t="str">
        <x:f>IF(55&gt;$H$4,"",IF(INDEX('Fleet dates'!$A$9:$A$1008,$I63-8)="","",INDEX('Fleet dates'!$A$9:$A$1008,$I63-8)))</x:f>
      </x:c>
      <x:c r="B63" s="50" t="str">
        <x:f>IF(55&gt;$H$4,"",IF(INDEX('Fleet dates'!$B$9:$B$1008,$I63-8)="","",INDEX('Fleet dates'!$B$9:$B$1008,$I63-8)))</x:f>
      </x:c>
      <x:c r="C63" s="51" t="str">
        <x:f>IF(55&gt;$H$4,"",IF(INDEX('Fleet dates'!$C$9:$C$1008,$I63-8)="","",INDEX('Fleet dates'!$C$9:$C$1008,$I63-8)))</x:f>
      </x:c>
      <x:c r="D63" s="51" t="str">
        <x:f>IF(55&gt;$H$4,"",IF(INDEX('Fleet dates'!$D$9:$D$1008,$I63-8)="","",INDEX('Fleet dates'!$D$9:$D$1008,$I63-8)))</x:f>
      </x:c>
      <x:c r="E63" s="51" t="str">
        <x:f>IF(55&gt;$H$4,"",IF(INDEX('Fleet dates'!$E$9:$E$1008,$I63-8)="","",INDEX('Fleet dates'!$E$9:$E$1008,$I63-8)))</x:f>
      </x:c>
      <x:c r="F63" s="51" t="str">
        <x:f>IF(55&gt;$H$4,"",IF(INDEX('Fleet dates'!$F$9:$F$1008,$I63-8)="","",INDEX('Fleet dates'!$F$9:$F$1008,$I63-8)))</x:f>
      </x:c>
      <x:c r="G63" s="50" t="str">
        <x:f>IF(55&gt;$H$4,"",IF(INDEX('Fleet dates'!$G$9:$G$1008,$I63-8)="","",INDEX('Fleet dates'!$G$9:$G$1008,$I63-8)))</x:f>
      </x:c>
      <x:c r="H63" s="50" t="str">
        <x:f>IF(55&gt;$H$4,"",IF(INDEX('Fleet dates'!$I$9:$I$1008,$I63-8)="","",INDEX('Fleet dates'!$I$9:$I$1008,$I63-8)))</x:f>
      </x:c>
      <x:c r="I63" t="str">
        <x:f>IF(55&gt;$H$4,"",MATCH(55,'Fleet dates'!$M$9:$M$1008,0)+8)</x:f>
      </x:c>
    </x:row>
    <x:row r="64" ht="36" customHeight="1">
      <x:c r="A64" s="50" t="str">
        <x:f>IF(56&gt;$H$4,"",IF(INDEX('Fleet dates'!$A$9:$A$1008,$I64-8)="","",INDEX('Fleet dates'!$A$9:$A$1008,$I64-8)))</x:f>
      </x:c>
      <x:c r="B64" s="50" t="str">
        <x:f>IF(56&gt;$H$4,"",IF(INDEX('Fleet dates'!$B$9:$B$1008,$I64-8)="","",INDEX('Fleet dates'!$B$9:$B$1008,$I64-8)))</x:f>
      </x:c>
      <x:c r="C64" s="51" t="str">
        <x:f>IF(56&gt;$H$4,"",IF(INDEX('Fleet dates'!$C$9:$C$1008,$I64-8)="","",INDEX('Fleet dates'!$C$9:$C$1008,$I64-8)))</x:f>
      </x:c>
      <x:c r="D64" s="51" t="str">
        <x:f>IF(56&gt;$H$4,"",IF(INDEX('Fleet dates'!$D$9:$D$1008,$I64-8)="","",INDEX('Fleet dates'!$D$9:$D$1008,$I64-8)))</x:f>
      </x:c>
      <x:c r="E64" s="51" t="str">
        <x:f>IF(56&gt;$H$4,"",IF(INDEX('Fleet dates'!$E$9:$E$1008,$I64-8)="","",INDEX('Fleet dates'!$E$9:$E$1008,$I64-8)))</x:f>
      </x:c>
      <x:c r="F64" s="51" t="str">
        <x:f>IF(56&gt;$H$4,"",IF(INDEX('Fleet dates'!$F$9:$F$1008,$I64-8)="","",INDEX('Fleet dates'!$F$9:$F$1008,$I64-8)))</x:f>
      </x:c>
      <x:c r="G64" s="50" t="str">
        <x:f>IF(56&gt;$H$4,"",IF(INDEX('Fleet dates'!$G$9:$G$1008,$I64-8)="","",INDEX('Fleet dates'!$G$9:$G$1008,$I64-8)))</x:f>
      </x:c>
      <x:c r="H64" s="50" t="str">
        <x:f>IF(56&gt;$H$4,"",IF(INDEX('Fleet dates'!$I$9:$I$1008,$I64-8)="","",INDEX('Fleet dates'!$I$9:$I$1008,$I64-8)))</x:f>
      </x:c>
      <x:c r="I64" t="str">
        <x:f>IF(56&gt;$H$4,"",MATCH(56,'Fleet dates'!$M$9:$M$1008,0)+8)</x:f>
      </x:c>
    </x:row>
    <x:row r="65" ht="36" customHeight="1">
      <x:c r="A65" s="50" t="str">
        <x:f>IF(57&gt;$H$4,"",IF(INDEX('Fleet dates'!$A$9:$A$1008,$I65-8)="","",INDEX('Fleet dates'!$A$9:$A$1008,$I65-8)))</x:f>
      </x:c>
      <x:c r="B65" s="50" t="str">
        <x:f>IF(57&gt;$H$4,"",IF(INDEX('Fleet dates'!$B$9:$B$1008,$I65-8)="","",INDEX('Fleet dates'!$B$9:$B$1008,$I65-8)))</x:f>
      </x:c>
      <x:c r="C65" s="51" t="str">
        <x:f>IF(57&gt;$H$4,"",IF(INDEX('Fleet dates'!$C$9:$C$1008,$I65-8)="","",INDEX('Fleet dates'!$C$9:$C$1008,$I65-8)))</x:f>
      </x:c>
      <x:c r="D65" s="51" t="str">
        <x:f>IF(57&gt;$H$4,"",IF(INDEX('Fleet dates'!$D$9:$D$1008,$I65-8)="","",INDEX('Fleet dates'!$D$9:$D$1008,$I65-8)))</x:f>
      </x:c>
      <x:c r="E65" s="51" t="str">
        <x:f>IF(57&gt;$H$4,"",IF(INDEX('Fleet dates'!$E$9:$E$1008,$I65-8)="","",INDEX('Fleet dates'!$E$9:$E$1008,$I65-8)))</x:f>
      </x:c>
      <x:c r="F65" s="51" t="str">
        <x:f>IF(57&gt;$H$4,"",IF(INDEX('Fleet dates'!$F$9:$F$1008,$I65-8)="","",INDEX('Fleet dates'!$F$9:$F$1008,$I65-8)))</x:f>
      </x:c>
      <x:c r="G65" s="50" t="str">
        <x:f>IF(57&gt;$H$4,"",IF(INDEX('Fleet dates'!$G$9:$G$1008,$I65-8)="","",INDEX('Fleet dates'!$G$9:$G$1008,$I65-8)))</x:f>
      </x:c>
      <x:c r="H65" s="50" t="str">
        <x:f>IF(57&gt;$H$4,"",IF(INDEX('Fleet dates'!$I$9:$I$1008,$I65-8)="","",INDEX('Fleet dates'!$I$9:$I$1008,$I65-8)))</x:f>
      </x:c>
      <x:c r="I65" t="str">
        <x:f>IF(57&gt;$H$4,"",MATCH(57,'Fleet dates'!$M$9:$M$1008,0)+8)</x:f>
      </x:c>
    </x:row>
    <x:row r="66" ht="36" customHeight="1">
      <x:c r="A66" s="50" t="str">
        <x:f>IF(58&gt;$H$4,"",IF(INDEX('Fleet dates'!$A$9:$A$1008,$I66-8)="","",INDEX('Fleet dates'!$A$9:$A$1008,$I66-8)))</x:f>
      </x:c>
      <x:c r="B66" s="50" t="str">
        <x:f>IF(58&gt;$H$4,"",IF(INDEX('Fleet dates'!$B$9:$B$1008,$I66-8)="","",INDEX('Fleet dates'!$B$9:$B$1008,$I66-8)))</x:f>
      </x:c>
      <x:c r="C66" s="51" t="str">
        <x:f>IF(58&gt;$H$4,"",IF(INDEX('Fleet dates'!$C$9:$C$1008,$I66-8)="","",INDEX('Fleet dates'!$C$9:$C$1008,$I66-8)))</x:f>
      </x:c>
      <x:c r="D66" s="51" t="str">
        <x:f>IF(58&gt;$H$4,"",IF(INDEX('Fleet dates'!$D$9:$D$1008,$I66-8)="","",INDEX('Fleet dates'!$D$9:$D$1008,$I66-8)))</x:f>
      </x:c>
      <x:c r="E66" s="51" t="str">
        <x:f>IF(58&gt;$H$4,"",IF(INDEX('Fleet dates'!$E$9:$E$1008,$I66-8)="","",INDEX('Fleet dates'!$E$9:$E$1008,$I66-8)))</x:f>
      </x:c>
      <x:c r="F66" s="51" t="str">
        <x:f>IF(58&gt;$H$4,"",IF(INDEX('Fleet dates'!$F$9:$F$1008,$I66-8)="","",INDEX('Fleet dates'!$F$9:$F$1008,$I66-8)))</x:f>
      </x:c>
      <x:c r="G66" s="50" t="str">
        <x:f>IF(58&gt;$H$4,"",IF(INDEX('Fleet dates'!$G$9:$G$1008,$I66-8)="","",INDEX('Fleet dates'!$G$9:$G$1008,$I66-8)))</x:f>
      </x:c>
      <x:c r="H66" s="50" t="str">
        <x:f>IF(58&gt;$H$4,"",IF(INDEX('Fleet dates'!$I$9:$I$1008,$I66-8)="","",INDEX('Fleet dates'!$I$9:$I$1008,$I66-8)))</x:f>
      </x:c>
      <x:c r="I66" t="str">
        <x:f>IF(58&gt;$H$4,"",MATCH(58,'Fleet dates'!$M$9:$M$1008,0)+8)</x:f>
      </x:c>
    </x:row>
    <x:row r="67" ht="36" customHeight="1">
      <x:c r="A67" s="50" t="str">
        <x:f>IF(59&gt;$H$4,"",IF(INDEX('Fleet dates'!$A$9:$A$1008,$I67-8)="","",INDEX('Fleet dates'!$A$9:$A$1008,$I67-8)))</x:f>
      </x:c>
      <x:c r="B67" s="50" t="str">
        <x:f>IF(59&gt;$H$4,"",IF(INDEX('Fleet dates'!$B$9:$B$1008,$I67-8)="","",INDEX('Fleet dates'!$B$9:$B$1008,$I67-8)))</x:f>
      </x:c>
      <x:c r="C67" s="51" t="str">
        <x:f>IF(59&gt;$H$4,"",IF(INDEX('Fleet dates'!$C$9:$C$1008,$I67-8)="","",INDEX('Fleet dates'!$C$9:$C$1008,$I67-8)))</x:f>
      </x:c>
      <x:c r="D67" s="51" t="str">
        <x:f>IF(59&gt;$H$4,"",IF(INDEX('Fleet dates'!$D$9:$D$1008,$I67-8)="","",INDEX('Fleet dates'!$D$9:$D$1008,$I67-8)))</x:f>
      </x:c>
      <x:c r="E67" s="51" t="str">
        <x:f>IF(59&gt;$H$4,"",IF(INDEX('Fleet dates'!$E$9:$E$1008,$I67-8)="","",INDEX('Fleet dates'!$E$9:$E$1008,$I67-8)))</x:f>
      </x:c>
      <x:c r="F67" s="51" t="str">
        <x:f>IF(59&gt;$H$4,"",IF(INDEX('Fleet dates'!$F$9:$F$1008,$I67-8)="","",INDEX('Fleet dates'!$F$9:$F$1008,$I67-8)))</x:f>
      </x:c>
      <x:c r="G67" s="50" t="str">
        <x:f>IF(59&gt;$H$4,"",IF(INDEX('Fleet dates'!$G$9:$G$1008,$I67-8)="","",INDEX('Fleet dates'!$G$9:$G$1008,$I67-8)))</x:f>
      </x:c>
      <x:c r="H67" s="50" t="str">
        <x:f>IF(59&gt;$H$4,"",IF(INDEX('Fleet dates'!$I$9:$I$1008,$I67-8)="","",INDEX('Fleet dates'!$I$9:$I$1008,$I67-8)))</x:f>
      </x:c>
      <x:c r="I67" t="str">
        <x:f>IF(59&gt;$H$4,"",MATCH(59,'Fleet dates'!$M$9:$M$1008,0)+8)</x:f>
      </x:c>
    </x:row>
    <x:row r="68" ht="36" customHeight="1">
      <x:c r="A68" s="50" t="str">
        <x:f>IF(60&gt;$H$4,"",IF(INDEX('Fleet dates'!$A$9:$A$1008,$I68-8)="","",INDEX('Fleet dates'!$A$9:$A$1008,$I68-8)))</x:f>
      </x:c>
      <x:c r="B68" s="50" t="str">
        <x:f>IF(60&gt;$H$4,"",IF(INDEX('Fleet dates'!$B$9:$B$1008,$I68-8)="","",INDEX('Fleet dates'!$B$9:$B$1008,$I68-8)))</x:f>
      </x:c>
      <x:c r="C68" s="51" t="str">
        <x:f>IF(60&gt;$H$4,"",IF(INDEX('Fleet dates'!$C$9:$C$1008,$I68-8)="","",INDEX('Fleet dates'!$C$9:$C$1008,$I68-8)))</x:f>
      </x:c>
      <x:c r="D68" s="51" t="str">
        <x:f>IF(60&gt;$H$4,"",IF(INDEX('Fleet dates'!$D$9:$D$1008,$I68-8)="","",INDEX('Fleet dates'!$D$9:$D$1008,$I68-8)))</x:f>
      </x:c>
      <x:c r="E68" s="51" t="str">
        <x:f>IF(60&gt;$H$4,"",IF(INDEX('Fleet dates'!$E$9:$E$1008,$I68-8)="","",INDEX('Fleet dates'!$E$9:$E$1008,$I68-8)))</x:f>
      </x:c>
      <x:c r="F68" s="51" t="str">
        <x:f>IF(60&gt;$H$4,"",IF(INDEX('Fleet dates'!$F$9:$F$1008,$I68-8)="","",INDEX('Fleet dates'!$F$9:$F$1008,$I68-8)))</x:f>
      </x:c>
      <x:c r="G68" s="50" t="str">
        <x:f>IF(60&gt;$H$4,"",IF(INDEX('Fleet dates'!$G$9:$G$1008,$I68-8)="","",INDEX('Fleet dates'!$G$9:$G$1008,$I68-8)))</x:f>
      </x:c>
      <x:c r="H68" s="50" t="str">
        <x:f>IF(60&gt;$H$4,"",IF(INDEX('Fleet dates'!$I$9:$I$1008,$I68-8)="","",INDEX('Fleet dates'!$I$9:$I$1008,$I68-8)))</x:f>
      </x:c>
      <x:c r="I68" t="str">
        <x:f>IF(60&gt;$H$4,"",MATCH(60,'Fleet dates'!$M$9:$M$1008,0)+8)</x:f>
      </x:c>
    </x:row>
    <x:row r="69" ht="36" customHeight="1">
      <x:c r="A69" s="50" t="str">
        <x:f>IF(61&gt;$H$4,"",IF(INDEX('Fleet dates'!$A$9:$A$1008,$I69-8)="","",INDEX('Fleet dates'!$A$9:$A$1008,$I69-8)))</x:f>
      </x:c>
      <x:c r="B69" s="50" t="str">
        <x:f>IF(61&gt;$H$4,"",IF(INDEX('Fleet dates'!$B$9:$B$1008,$I69-8)="","",INDEX('Fleet dates'!$B$9:$B$1008,$I69-8)))</x:f>
      </x:c>
      <x:c r="C69" s="51" t="str">
        <x:f>IF(61&gt;$H$4,"",IF(INDEX('Fleet dates'!$C$9:$C$1008,$I69-8)="","",INDEX('Fleet dates'!$C$9:$C$1008,$I69-8)))</x:f>
      </x:c>
      <x:c r="D69" s="51" t="str">
        <x:f>IF(61&gt;$H$4,"",IF(INDEX('Fleet dates'!$D$9:$D$1008,$I69-8)="","",INDEX('Fleet dates'!$D$9:$D$1008,$I69-8)))</x:f>
      </x:c>
      <x:c r="E69" s="51" t="str">
        <x:f>IF(61&gt;$H$4,"",IF(INDEX('Fleet dates'!$E$9:$E$1008,$I69-8)="","",INDEX('Fleet dates'!$E$9:$E$1008,$I69-8)))</x:f>
      </x:c>
      <x:c r="F69" s="51" t="str">
        <x:f>IF(61&gt;$H$4,"",IF(INDEX('Fleet dates'!$F$9:$F$1008,$I69-8)="","",INDEX('Fleet dates'!$F$9:$F$1008,$I69-8)))</x:f>
      </x:c>
      <x:c r="G69" s="50" t="str">
        <x:f>IF(61&gt;$H$4,"",IF(INDEX('Fleet dates'!$G$9:$G$1008,$I69-8)="","",INDEX('Fleet dates'!$G$9:$G$1008,$I69-8)))</x:f>
      </x:c>
      <x:c r="H69" s="50" t="str">
        <x:f>IF(61&gt;$H$4,"",IF(INDEX('Fleet dates'!$I$9:$I$1008,$I69-8)="","",INDEX('Fleet dates'!$I$9:$I$1008,$I69-8)))</x:f>
      </x:c>
      <x:c r="I69" t="str">
        <x:f>IF(61&gt;$H$4,"",MATCH(61,'Fleet dates'!$M$9:$M$1008,0)+8)</x:f>
      </x:c>
    </x:row>
    <x:row r="70" ht="36" customHeight="1">
      <x:c r="A70" s="50" t="str">
        <x:f>IF(62&gt;$H$4,"",IF(INDEX('Fleet dates'!$A$9:$A$1008,$I70-8)="","",INDEX('Fleet dates'!$A$9:$A$1008,$I70-8)))</x:f>
      </x:c>
      <x:c r="B70" s="50" t="str">
        <x:f>IF(62&gt;$H$4,"",IF(INDEX('Fleet dates'!$B$9:$B$1008,$I70-8)="","",INDEX('Fleet dates'!$B$9:$B$1008,$I70-8)))</x:f>
      </x:c>
      <x:c r="C70" s="51" t="str">
        <x:f>IF(62&gt;$H$4,"",IF(INDEX('Fleet dates'!$C$9:$C$1008,$I70-8)="","",INDEX('Fleet dates'!$C$9:$C$1008,$I70-8)))</x:f>
      </x:c>
      <x:c r="D70" s="51" t="str">
        <x:f>IF(62&gt;$H$4,"",IF(INDEX('Fleet dates'!$D$9:$D$1008,$I70-8)="","",INDEX('Fleet dates'!$D$9:$D$1008,$I70-8)))</x:f>
      </x:c>
      <x:c r="E70" s="51" t="str">
        <x:f>IF(62&gt;$H$4,"",IF(INDEX('Fleet dates'!$E$9:$E$1008,$I70-8)="","",INDEX('Fleet dates'!$E$9:$E$1008,$I70-8)))</x:f>
      </x:c>
      <x:c r="F70" s="51" t="str">
        <x:f>IF(62&gt;$H$4,"",IF(INDEX('Fleet dates'!$F$9:$F$1008,$I70-8)="","",INDEX('Fleet dates'!$F$9:$F$1008,$I70-8)))</x:f>
      </x:c>
      <x:c r="G70" s="50" t="str">
        <x:f>IF(62&gt;$H$4,"",IF(INDEX('Fleet dates'!$G$9:$G$1008,$I70-8)="","",INDEX('Fleet dates'!$G$9:$G$1008,$I70-8)))</x:f>
      </x:c>
      <x:c r="H70" s="50" t="str">
        <x:f>IF(62&gt;$H$4,"",IF(INDEX('Fleet dates'!$I$9:$I$1008,$I70-8)="","",INDEX('Fleet dates'!$I$9:$I$1008,$I70-8)))</x:f>
      </x:c>
      <x:c r="I70" t="str">
        <x:f>IF(62&gt;$H$4,"",MATCH(62,'Fleet dates'!$M$9:$M$1008,0)+8)</x:f>
      </x:c>
    </x:row>
    <x:row r="71" ht="36" customHeight="1">
      <x:c r="A71" s="50" t="str">
        <x:f>IF(63&gt;$H$4,"",IF(INDEX('Fleet dates'!$A$9:$A$1008,$I71-8)="","",INDEX('Fleet dates'!$A$9:$A$1008,$I71-8)))</x:f>
      </x:c>
      <x:c r="B71" s="50" t="str">
        <x:f>IF(63&gt;$H$4,"",IF(INDEX('Fleet dates'!$B$9:$B$1008,$I71-8)="","",INDEX('Fleet dates'!$B$9:$B$1008,$I71-8)))</x:f>
      </x:c>
      <x:c r="C71" s="51" t="str">
        <x:f>IF(63&gt;$H$4,"",IF(INDEX('Fleet dates'!$C$9:$C$1008,$I71-8)="","",INDEX('Fleet dates'!$C$9:$C$1008,$I71-8)))</x:f>
      </x:c>
      <x:c r="D71" s="51" t="str">
        <x:f>IF(63&gt;$H$4,"",IF(INDEX('Fleet dates'!$D$9:$D$1008,$I71-8)="","",INDEX('Fleet dates'!$D$9:$D$1008,$I71-8)))</x:f>
      </x:c>
      <x:c r="E71" s="51" t="str">
        <x:f>IF(63&gt;$H$4,"",IF(INDEX('Fleet dates'!$E$9:$E$1008,$I71-8)="","",INDEX('Fleet dates'!$E$9:$E$1008,$I71-8)))</x:f>
      </x:c>
      <x:c r="F71" s="51" t="str">
        <x:f>IF(63&gt;$H$4,"",IF(INDEX('Fleet dates'!$F$9:$F$1008,$I71-8)="","",INDEX('Fleet dates'!$F$9:$F$1008,$I71-8)))</x:f>
      </x:c>
      <x:c r="G71" s="50" t="str">
        <x:f>IF(63&gt;$H$4,"",IF(INDEX('Fleet dates'!$G$9:$G$1008,$I71-8)="","",INDEX('Fleet dates'!$G$9:$G$1008,$I71-8)))</x:f>
      </x:c>
      <x:c r="H71" s="50" t="str">
        <x:f>IF(63&gt;$H$4,"",IF(INDEX('Fleet dates'!$I$9:$I$1008,$I71-8)="","",INDEX('Fleet dates'!$I$9:$I$1008,$I71-8)))</x:f>
      </x:c>
      <x:c r="I71" t="str">
        <x:f>IF(63&gt;$H$4,"",MATCH(63,'Fleet dates'!$M$9:$M$1008,0)+8)</x:f>
      </x:c>
    </x:row>
    <x:row r="72" ht="36" customHeight="1">
      <x:c r="A72" s="50" t="str">
        <x:f>IF(64&gt;$H$4,"",IF(INDEX('Fleet dates'!$A$9:$A$1008,$I72-8)="","",INDEX('Fleet dates'!$A$9:$A$1008,$I72-8)))</x:f>
      </x:c>
      <x:c r="B72" s="50" t="str">
        <x:f>IF(64&gt;$H$4,"",IF(INDEX('Fleet dates'!$B$9:$B$1008,$I72-8)="","",INDEX('Fleet dates'!$B$9:$B$1008,$I72-8)))</x:f>
      </x:c>
      <x:c r="C72" s="51" t="str">
        <x:f>IF(64&gt;$H$4,"",IF(INDEX('Fleet dates'!$C$9:$C$1008,$I72-8)="","",INDEX('Fleet dates'!$C$9:$C$1008,$I72-8)))</x:f>
      </x:c>
      <x:c r="D72" s="51" t="str">
        <x:f>IF(64&gt;$H$4,"",IF(INDEX('Fleet dates'!$D$9:$D$1008,$I72-8)="","",INDEX('Fleet dates'!$D$9:$D$1008,$I72-8)))</x:f>
      </x:c>
      <x:c r="E72" s="51" t="str">
        <x:f>IF(64&gt;$H$4,"",IF(INDEX('Fleet dates'!$E$9:$E$1008,$I72-8)="","",INDEX('Fleet dates'!$E$9:$E$1008,$I72-8)))</x:f>
      </x:c>
      <x:c r="F72" s="51" t="str">
        <x:f>IF(64&gt;$H$4,"",IF(INDEX('Fleet dates'!$F$9:$F$1008,$I72-8)="","",INDEX('Fleet dates'!$F$9:$F$1008,$I72-8)))</x:f>
      </x:c>
      <x:c r="G72" s="50" t="str">
        <x:f>IF(64&gt;$H$4,"",IF(INDEX('Fleet dates'!$G$9:$G$1008,$I72-8)="","",INDEX('Fleet dates'!$G$9:$G$1008,$I72-8)))</x:f>
      </x:c>
      <x:c r="H72" s="50" t="str">
        <x:f>IF(64&gt;$H$4,"",IF(INDEX('Fleet dates'!$I$9:$I$1008,$I72-8)="","",INDEX('Fleet dates'!$I$9:$I$1008,$I72-8)))</x:f>
      </x:c>
      <x:c r="I72" t="str">
        <x:f>IF(64&gt;$H$4,"",MATCH(64,'Fleet dates'!$M$9:$M$1008,0)+8)</x:f>
      </x:c>
    </x:row>
    <x:row r="73" ht="36" customHeight="1">
      <x:c r="A73" s="50" t="str">
        <x:f>IF(65&gt;$H$4,"",IF(INDEX('Fleet dates'!$A$9:$A$1008,$I73-8)="","",INDEX('Fleet dates'!$A$9:$A$1008,$I73-8)))</x:f>
      </x:c>
      <x:c r="B73" s="50" t="str">
        <x:f>IF(65&gt;$H$4,"",IF(INDEX('Fleet dates'!$B$9:$B$1008,$I73-8)="","",INDEX('Fleet dates'!$B$9:$B$1008,$I73-8)))</x:f>
      </x:c>
      <x:c r="C73" s="51" t="str">
        <x:f>IF(65&gt;$H$4,"",IF(INDEX('Fleet dates'!$C$9:$C$1008,$I73-8)="","",INDEX('Fleet dates'!$C$9:$C$1008,$I73-8)))</x:f>
      </x:c>
      <x:c r="D73" s="51" t="str">
        <x:f>IF(65&gt;$H$4,"",IF(INDEX('Fleet dates'!$D$9:$D$1008,$I73-8)="","",INDEX('Fleet dates'!$D$9:$D$1008,$I73-8)))</x:f>
      </x:c>
      <x:c r="E73" s="51" t="str">
        <x:f>IF(65&gt;$H$4,"",IF(INDEX('Fleet dates'!$E$9:$E$1008,$I73-8)="","",INDEX('Fleet dates'!$E$9:$E$1008,$I73-8)))</x:f>
      </x:c>
      <x:c r="F73" s="51" t="str">
        <x:f>IF(65&gt;$H$4,"",IF(INDEX('Fleet dates'!$F$9:$F$1008,$I73-8)="","",INDEX('Fleet dates'!$F$9:$F$1008,$I73-8)))</x:f>
      </x:c>
      <x:c r="G73" s="50" t="str">
        <x:f>IF(65&gt;$H$4,"",IF(INDEX('Fleet dates'!$G$9:$G$1008,$I73-8)="","",INDEX('Fleet dates'!$G$9:$G$1008,$I73-8)))</x:f>
      </x:c>
      <x:c r="H73" s="50" t="str">
        <x:f>IF(65&gt;$H$4,"",IF(INDEX('Fleet dates'!$I$9:$I$1008,$I73-8)="","",INDEX('Fleet dates'!$I$9:$I$1008,$I73-8)))</x:f>
      </x:c>
      <x:c r="I73" t="str">
        <x:f>IF(65&gt;$H$4,"",MATCH(65,'Fleet dates'!$M$9:$M$1008,0)+8)</x:f>
      </x:c>
    </x:row>
    <x:row r="74" ht="36" customHeight="1">
      <x:c r="A74" s="50" t="str">
        <x:f>IF(66&gt;$H$4,"",IF(INDEX('Fleet dates'!$A$9:$A$1008,$I74-8)="","",INDEX('Fleet dates'!$A$9:$A$1008,$I74-8)))</x:f>
      </x:c>
      <x:c r="B74" s="50" t="str">
        <x:f>IF(66&gt;$H$4,"",IF(INDEX('Fleet dates'!$B$9:$B$1008,$I74-8)="","",INDEX('Fleet dates'!$B$9:$B$1008,$I74-8)))</x:f>
      </x:c>
      <x:c r="C74" s="51" t="str">
        <x:f>IF(66&gt;$H$4,"",IF(INDEX('Fleet dates'!$C$9:$C$1008,$I74-8)="","",INDEX('Fleet dates'!$C$9:$C$1008,$I74-8)))</x:f>
      </x:c>
      <x:c r="D74" s="51" t="str">
        <x:f>IF(66&gt;$H$4,"",IF(INDEX('Fleet dates'!$D$9:$D$1008,$I74-8)="","",INDEX('Fleet dates'!$D$9:$D$1008,$I74-8)))</x:f>
      </x:c>
      <x:c r="E74" s="51" t="str">
        <x:f>IF(66&gt;$H$4,"",IF(INDEX('Fleet dates'!$E$9:$E$1008,$I74-8)="","",INDEX('Fleet dates'!$E$9:$E$1008,$I74-8)))</x:f>
      </x:c>
      <x:c r="F74" s="51" t="str">
        <x:f>IF(66&gt;$H$4,"",IF(INDEX('Fleet dates'!$F$9:$F$1008,$I74-8)="","",INDEX('Fleet dates'!$F$9:$F$1008,$I74-8)))</x:f>
      </x:c>
      <x:c r="G74" s="50" t="str">
        <x:f>IF(66&gt;$H$4,"",IF(INDEX('Fleet dates'!$G$9:$G$1008,$I74-8)="","",INDEX('Fleet dates'!$G$9:$G$1008,$I74-8)))</x:f>
      </x:c>
      <x:c r="H74" s="50" t="str">
        <x:f>IF(66&gt;$H$4,"",IF(INDEX('Fleet dates'!$I$9:$I$1008,$I74-8)="","",INDEX('Fleet dates'!$I$9:$I$1008,$I74-8)))</x:f>
      </x:c>
      <x:c r="I74" t="str">
        <x:f>IF(66&gt;$H$4,"",MATCH(66,'Fleet dates'!$M$9:$M$1008,0)+8)</x:f>
      </x:c>
    </x:row>
    <x:row r="75" ht="36" customHeight="1">
      <x:c r="A75" s="50" t="str">
        <x:f>IF(67&gt;$H$4,"",IF(INDEX('Fleet dates'!$A$9:$A$1008,$I75-8)="","",INDEX('Fleet dates'!$A$9:$A$1008,$I75-8)))</x:f>
      </x:c>
      <x:c r="B75" s="50" t="str">
        <x:f>IF(67&gt;$H$4,"",IF(INDEX('Fleet dates'!$B$9:$B$1008,$I75-8)="","",INDEX('Fleet dates'!$B$9:$B$1008,$I75-8)))</x:f>
      </x:c>
      <x:c r="C75" s="51" t="str">
        <x:f>IF(67&gt;$H$4,"",IF(INDEX('Fleet dates'!$C$9:$C$1008,$I75-8)="","",INDEX('Fleet dates'!$C$9:$C$1008,$I75-8)))</x:f>
      </x:c>
      <x:c r="D75" s="51" t="str">
        <x:f>IF(67&gt;$H$4,"",IF(INDEX('Fleet dates'!$D$9:$D$1008,$I75-8)="","",INDEX('Fleet dates'!$D$9:$D$1008,$I75-8)))</x:f>
      </x:c>
      <x:c r="E75" s="51" t="str">
        <x:f>IF(67&gt;$H$4,"",IF(INDEX('Fleet dates'!$E$9:$E$1008,$I75-8)="","",INDEX('Fleet dates'!$E$9:$E$1008,$I75-8)))</x:f>
      </x:c>
      <x:c r="F75" s="51" t="str">
        <x:f>IF(67&gt;$H$4,"",IF(INDEX('Fleet dates'!$F$9:$F$1008,$I75-8)="","",INDEX('Fleet dates'!$F$9:$F$1008,$I75-8)))</x:f>
      </x:c>
      <x:c r="G75" s="50" t="str">
        <x:f>IF(67&gt;$H$4,"",IF(INDEX('Fleet dates'!$G$9:$G$1008,$I75-8)="","",INDEX('Fleet dates'!$G$9:$G$1008,$I75-8)))</x:f>
      </x:c>
      <x:c r="H75" s="50" t="str">
        <x:f>IF(67&gt;$H$4,"",IF(INDEX('Fleet dates'!$I$9:$I$1008,$I75-8)="","",INDEX('Fleet dates'!$I$9:$I$1008,$I75-8)))</x:f>
      </x:c>
      <x:c r="I75" t="str">
        <x:f>IF(67&gt;$H$4,"",MATCH(67,'Fleet dates'!$M$9:$M$1008,0)+8)</x:f>
      </x:c>
    </x:row>
    <x:row r="76" ht="36" customHeight="1">
      <x:c r="A76" s="50" t="str">
        <x:f>IF(68&gt;$H$4,"",IF(INDEX('Fleet dates'!$A$9:$A$1008,$I76-8)="","",INDEX('Fleet dates'!$A$9:$A$1008,$I76-8)))</x:f>
      </x:c>
      <x:c r="B76" s="50" t="str">
        <x:f>IF(68&gt;$H$4,"",IF(INDEX('Fleet dates'!$B$9:$B$1008,$I76-8)="","",INDEX('Fleet dates'!$B$9:$B$1008,$I76-8)))</x:f>
      </x:c>
      <x:c r="C76" s="51" t="str">
        <x:f>IF(68&gt;$H$4,"",IF(INDEX('Fleet dates'!$C$9:$C$1008,$I76-8)="","",INDEX('Fleet dates'!$C$9:$C$1008,$I76-8)))</x:f>
      </x:c>
      <x:c r="D76" s="51" t="str">
        <x:f>IF(68&gt;$H$4,"",IF(INDEX('Fleet dates'!$D$9:$D$1008,$I76-8)="","",INDEX('Fleet dates'!$D$9:$D$1008,$I76-8)))</x:f>
      </x:c>
      <x:c r="E76" s="51" t="str">
        <x:f>IF(68&gt;$H$4,"",IF(INDEX('Fleet dates'!$E$9:$E$1008,$I76-8)="","",INDEX('Fleet dates'!$E$9:$E$1008,$I76-8)))</x:f>
      </x:c>
      <x:c r="F76" s="51" t="str">
        <x:f>IF(68&gt;$H$4,"",IF(INDEX('Fleet dates'!$F$9:$F$1008,$I76-8)="","",INDEX('Fleet dates'!$F$9:$F$1008,$I76-8)))</x:f>
      </x:c>
      <x:c r="G76" s="50" t="str">
        <x:f>IF(68&gt;$H$4,"",IF(INDEX('Fleet dates'!$G$9:$G$1008,$I76-8)="","",INDEX('Fleet dates'!$G$9:$G$1008,$I76-8)))</x:f>
      </x:c>
      <x:c r="H76" s="50" t="str">
        <x:f>IF(68&gt;$H$4,"",IF(INDEX('Fleet dates'!$I$9:$I$1008,$I76-8)="","",INDEX('Fleet dates'!$I$9:$I$1008,$I76-8)))</x:f>
      </x:c>
      <x:c r="I76" t="str">
        <x:f>IF(68&gt;$H$4,"",MATCH(68,'Fleet dates'!$M$9:$M$1008,0)+8)</x:f>
      </x:c>
    </x:row>
    <x:row r="77" ht="36" customHeight="1">
      <x:c r="A77" s="50" t="str">
        <x:f>IF(69&gt;$H$4,"",IF(INDEX('Fleet dates'!$A$9:$A$1008,$I77-8)="","",INDEX('Fleet dates'!$A$9:$A$1008,$I77-8)))</x:f>
      </x:c>
      <x:c r="B77" s="50" t="str">
        <x:f>IF(69&gt;$H$4,"",IF(INDEX('Fleet dates'!$B$9:$B$1008,$I77-8)="","",INDEX('Fleet dates'!$B$9:$B$1008,$I77-8)))</x:f>
      </x:c>
      <x:c r="C77" s="51" t="str">
        <x:f>IF(69&gt;$H$4,"",IF(INDEX('Fleet dates'!$C$9:$C$1008,$I77-8)="","",INDEX('Fleet dates'!$C$9:$C$1008,$I77-8)))</x:f>
      </x:c>
      <x:c r="D77" s="51" t="str">
        <x:f>IF(69&gt;$H$4,"",IF(INDEX('Fleet dates'!$D$9:$D$1008,$I77-8)="","",INDEX('Fleet dates'!$D$9:$D$1008,$I77-8)))</x:f>
      </x:c>
      <x:c r="E77" s="51" t="str">
        <x:f>IF(69&gt;$H$4,"",IF(INDEX('Fleet dates'!$E$9:$E$1008,$I77-8)="","",INDEX('Fleet dates'!$E$9:$E$1008,$I77-8)))</x:f>
      </x:c>
      <x:c r="F77" s="51" t="str">
        <x:f>IF(69&gt;$H$4,"",IF(INDEX('Fleet dates'!$F$9:$F$1008,$I77-8)="","",INDEX('Fleet dates'!$F$9:$F$1008,$I77-8)))</x:f>
      </x:c>
      <x:c r="G77" s="50" t="str">
        <x:f>IF(69&gt;$H$4,"",IF(INDEX('Fleet dates'!$G$9:$G$1008,$I77-8)="","",INDEX('Fleet dates'!$G$9:$G$1008,$I77-8)))</x:f>
      </x:c>
      <x:c r="H77" s="50" t="str">
        <x:f>IF(69&gt;$H$4,"",IF(INDEX('Fleet dates'!$I$9:$I$1008,$I77-8)="","",INDEX('Fleet dates'!$I$9:$I$1008,$I77-8)))</x:f>
      </x:c>
      <x:c r="I77" t="str">
        <x:f>IF(69&gt;$H$4,"",MATCH(69,'Fleet dates'!$M$9:$M$1008,0)+8)</x:f>
      </x:c>
    </x:row>
    <x:row r="78" ht="36" customHeight="1">
      <x:c r="A78" s="50" t="str">
        <x:f>IF(70&gt;$H$4,"",IF(INDEX('Fleet dates'!$A$9:$A$1008,$I78-8)="","",INDEX('Fleet dates'!$A$9:$A$1008,$I78-8)))</x:f>
      </x:c>
      <x:c r="B78" s="50" t="str">
        <x:f>IF(70&gt;$H$4,"",IF(INDEX('Fleet dates'!$B$9:$B$1008,$I78-8)="","",INDEX('Fleet dates'!$B$9:$B$1008,$I78-8)))</x:f>
      </x:c>
      <x:c r="C78" s="51" t="str">
        <x:f>IF(70&gt;$H$4,"",IF(INDEX('Fleet dates'!$C$9:$C$1008,$I78-8)="","",INDEX('Fleet dates'!$C$9:$C$1008,$I78-8)))</x:f>
      </x:c>
      <x:c r="D78" s="51" t="str">
        <x:f>IF(70&gt;$H$4,"",IF(INDEX('Fleet dates'!$D$9:$D$1008,$I78-8)="","",INDEX('Fleet dates'!$D$9:$D$1008,$I78-8)))</x:f>
      </x:c>
      <x:c r="E78" s="51" t="str">
        <x:f>IF(70&gt;$H$4,"",IF(INDEX('Fleet dates'!$E$9:$E$1008,$I78-8)="","",INDEX('Fleet dates'!$E$9:$E$1008,$I78-8)))</x:f>
      </x:c>
      <x:c r="F78" s="51" t="str">
        <x:f>IF(70&gt;$H$4,"",IF(INDEX('Fleet dates'!$F$9:$F$1008,$I78-8)="","",INDEX('Fleet dates'!$F$9:$F$1008,$I78-8)))</x:f>
      </x:c>
      <x:c r="G78" s="50" t="str">
        <x:f>IF(70&gt;$H$4,"",IF(INDEX('Fleet dates'!$G$9:$G$1008,$I78-8)="","",INDEX('Fleet dates'!$G$9:$G$1008,$I78-8)))</x:f>
      </x:c>
      <x:c r="H78" s="50" t="str">
        <x:f>IF(70&gt;$H$4,"",IF(INDEX('Fleet dates'!$I$9:$I$1008,$I78-8)="","",INDEX('Fleet dates'!$I$9:$I$1008,$I78-8)))</x:f>
      </x:c>
      <x:c r="I78" t="str">
        <x:f>IF(70&gt;$H$4,"",MATCH(70,'Fleet dates'!$M$9:$M$1008,0)+8)</x:f>
      </x:c>
    </x:row>
    <x:row r="79" ht="36" customHeight="1">
      <x:c r="A79" s="50" t="str">
        <x:f>IF(71&gt;$H$4,"",IF(INDEX('Fleet dates'!$A$9:$A$1008,$I79-8)="","",INDEX('Fleet dates'!$A$9:$A$1008,$I79-8)))</x:f>
      </x:c>
      <x:c r="B79" s="50" t="str">
        <x:f>IF(71&gt;$H$4,"",IF(INDEX('Fleet dates'!$B$9:$B$1008,$I79-8)="","",INDEX('Fleet dates'!$B$9:$B$1008,$I79-8)))</x:f>
      </x:c>
      <x:c r="C79" s="51" t="str">
        <x:f>IF(71&gt;$H$4,"",IF(INDEX('Fleet dates'!$C$9:$C$1008,$I79-8)="","",INDEX('Fleet dates'!$C$9:$C$1008,$I79-8)))</x:f>
      </x:c>
      <x:c r="D79" s="51" t="str">
        <x:f>IF(71&gt;$H$4,"",IF(INDEX('Fleet dates'!$D$9:$D$1008,$I79-8)="","",INDEX('Fleet dates'!$D$9:$D$1008,$I79-8)))</x:f>
      </x:c>
      <x:c r="E79" s="51" t="str">
        <x:f>IF(71&gt;$H$4,"",IF(INDEX('Fleet dates'!$E$9:$E$1008,$I79-8)="","",INDEX('Fleet dates'!$E$9:$E$1008,$I79-8)))</x:f>
      </x:c>
      <x:c r="F79" s="51" t="str">
        <x:f>IF(71&gt;$H$4,"",IF(INDEX('Fleet dates'!$F$9:$F$1008,$I79-8)="","",INDEX('Fleet dates'!$F$9:$F$1008,$I79-8)))</x:f>
      </x:c>
      <x:c r="G79" s="50" t="str">
        <x:f>IF(71&gt;$H$4,"",IF(INDEX('Fleet dates'!$G$9:$G$1008,$I79-8)="","",INDEX('Fleet dates'!$G$9:$G$1008,$I79-8)))</x:f>
      </x:c>
      <x:c r="H79" s="50" t="str">
        <x:f>IF(71&gt;$H$4,"",IF(INDEX('Fleet dates'!$I$9:$I$1008,$I79-8)="","",INDEX('Fleet dates'!$I$9:$I$1008,$I79-8)))</x:f>
      </x:c>
      <x:c r="I79" t="str">
        <x:f>IF(71&gt;$H$4,"",MATCH(71,'Fleet dates'!$M$9:$M$1008,0)+8)</x:f>
      </x:c>
    </x:row>
    <x:row r="80" ht="36" customHeight="1">
      <x:c r="A80" s="50" t="str">
        <x:f>IF(72&gt;$H$4,"",IF(INDEX('Fleet dates'!$A$9:$A$1008,$I80-8)="","",INDEX('Fleet dates'!$A$9:$A$1008,$I80-8)))</x:f>
      </x:c>
      <x:c r="B80" s="50" t="str">
        <x:f>IF(72&gt;$H$4,"",IF(INDEX('Fleet dates'!$B$9:$B$1008,$I80-8)="","",INDEX('Fleet dates'!$B$9:$B$1008,$I80-8)))</x:f>
      </x:c>
      <x:c r="C80" s="51" t="str">
        <x:f>IF(72&gt;$H$4,"",IF(INDEX('Fleet dates'!$C$9:$C$1008,$I80-8)="","",INDEX('Fleet dates'!$C$9:$C$1008,$I80-8)))</x:f>
      </x:c>
      <x:c r="D80" s="51" t="str">
        <x:f>IF(72&gt;$H$4,"",IF(INDEX('Fleet dates'!$D$9:$D$1008,$I80-8)="","",INDEX('Fleet dates'!$D$9:$D$1008,$I80-8)))</x:f>
      </x:c>
      <x:c r="E80" s="51" t="str">
        <x:f>IF(72&gt;$H$4,"",IF(INDEX('Fleet dates'!$E$9:$E$1008,$I80-8)="","",INDEX('Fleet dates'!$E$9:$E$1008,$I80-8)))</x:f>
      </x:c>
      <x:c r="F80" s="51" t="str">
        <x:f>IF(72&gt;$H$4,"",IF(INDEX('Fleet dates'!$F$9:$F$1008,$I80-8)="","",INDEX('Fleet dates'!$F$9:$F$1008,$I80-8)))</x:f>
      </x:c>
      <x:c r="G80" s="50" t="str">
        <x:f>IF(72&gt;$H$4,"",IF(INDEX('Fleet dates'!$G$9:$G$1008,$I80-8)="","",INDEX('Fleet dates'!$G$9:$G$1008,$I80-8)))</x:f>
      </x:c>
      <x:c r="H80" s="50" t="str">
        <x:f>IF(72&gt;$H$4,"",IF(INDEX('Fleet dates'!$I$9:$I$1008,$I80-8)="","",INDEX('Fleet dates'!$I$9:$I$1008,$I80-8)))</x:f>
      </x:c>
      <x:c r="I80" t="str">
        <x:f>IF(72&gt;$H$4,"",MATCH(72,'Fleet dates'!$M$9:$M$1008,0)+8)</x:f>
      </x:c>
    </x:row>
    <x:row r="81" ht="36" customHeight="1">
      <x:c r="A81" s="50" t="str">
        <x:f>IF(73&gt;$H$4,"",IF(INDEX('Fleet dates'!$A$9:$A$1008,$I81-8)="","",INDEX('Fleet dates'!$A$9:$A$1008,$I81-8)))</x:f>
      </x:c>
      <x:c r="B81" s="50" t="str">
        <x:f>IF(73&gt;$H$4,"",IF(INDEX('Fleet dates'!$B$9:$B$1008,$I81-8)="","",INDEX('Fleet dates'!$B$9:$B$1008,$I81-8)))</x:f>
      </x:c>
      <x:c r="C81" s="51" t="str">
        <x:f>IF(73&gt;$H$4,"",IF(INDEX('Fleet dates'!$C$9:$C$1008,$I81-8)="","",INDEX('Fleet dates'!$C$9:$C$1008,$I81-8)))</x:f>
      </x:c>
      <x:c r="D81" s="51" t="str">
        <x:f>IF(73&gt;$H$4,"",IF(INDEX('Fleet dates'!$D$9:$D$1008,$I81-8)="","",INDEX('Fleet dates'!$D$9:$D$1008,$I81-8)))</x:f>
      </x:c>
      <x:c r="E81" s="51" t="str">
        <x:f>IF(73&gt;$H$4,"",IF(INDEX('Fleet dates'!$E$9:$E$1008,$I81-8)="","",INDEX('Fleet dates'!$E$9:$E$1008,$I81-8)))</x:f>
      </x:c>
      <x:c r="F81" s="51" t="str">
        <x:f>IF(73&gt;$H$4,"",IF(INDEX('Fleet dates'!$F$9:$F$1008,$I81-8)="","",INDEX('Fleet dates'!$F$9:$F$1008,$I81-8)))</x:f>
      </x:c>
      <x:c r="G81" s="50" t="str">
        <x:f>IF(73&gt;$H$4,"",IF(INDEX('Fleet dates'!$G$9:$G$1008,$I81-8)="","",INDEX('Fleet dates'!$G$9:$G$1008,$I81-8)))</x:f>
      </x:c>
      <x:c r="H81" s="50" t="str">
        <x:f>IF(73&gt;$H$4,"",IF(INDEX('Fleet dates'!$I$9:$I$1008,$I81-8)="","",INDEX('Fleet dates'!$I$9:$I$1008,$I81-8)))</x:f>
      </x:c>
      <x:c r="I81" t="str">
        <x:f>IF(73&gt;$H$4,"",MATCH(73,'Fleet dates'!$M$9:$M$1008,0)+8)</x:f>
      </x:c>
    </x:row>
    <x:row r="82" ht="36" customHeight="1">
      <x:c r="A82" s="50" t="str">
        <x:f>IF(74&gt;$H$4,"",IF(INDEX('Fleet dates'!$A$9:$A$1008,$I82-8)="","",INDEX('Fleet dates'!$A$9:$A$1008,$I82-8)))</x:f>
      </x:c>
      <x:c r="B82" s="50" t="str">
        <x:f>IF(74&gt;$H$4,"",IF(INDEX('Fleet dates'!$B$9:$B$1008,$I82-8)="","",INDEX('Fleet dates'!$B$9:$B$1008,$I82-8)))</x:f>
      </x:c>
      <x:c r="C82" s="51" t="str">
        <x:f>IF(74&gt;$H$4,"",IF(INDEX('Fleet dates'!$C$9:$C$1008,$I82-8)="","",INDEX('Fleet dates'!$C$9:$C$1008,$I82-8)))</x:f>
      </x:c>
      <x:c r="D82" s="51" t="str">
        <x:f>IF(74&gt;$H$4,"",IF(INDEX('Fleet dates'!$D$9:$D$1008,$I82-8)="","",INDEX('Fleet dates'!$D$9:$D$1008,$I82-8)))</x:f>
      </x:c>
      <x:c r="E82" s="51" t="str">
        <x:f>IF(74&gt;$H$4,"",IF(INDEX('Fleet dates'!$E$9:$E$1008,$I82-8)="","",INDEX('Fleet dates'!$E$9:$E$1008,$I82-8)))</x:f>
      </x:c>
      <x:c r="F82" s="51" t="str">
        <x:f>IF(74&gt;$H$4,"",IF(INDEX('Fleet dates'!$F$9:$F$1008,$I82-8)="","",INDEX('Fleet dates'!$F$9:$F$1008,$I82-8)))</x:f>
      </x:c>
      <x:c r="G82" s="50" t="str">
        <x:f>IF(74&gt;$H$4,"",IF(INDEX('Fleet dates'!$G$9:$G$1008,$I82-8)="","",INDEX('Fleet dates'!$G$9:$G$1008,$I82-8)))</x:f>
      </x:c>
      <x:c r="H82" s="50" t="str">
        <x:f>IF(74&gt;$H$4,"",IF(INDEX('Fleet dates'!$I$9:$I$1008,$I82-8)="","",INDEX('Fleet dates'!$I$9:$I$1008,$I82-8)))</x:f>
      </x:c>
      <x:c r="I82" t="str">
        <x:f>IF(74&gt;$H$4,"",MATCH(74,'Fleet dates'!$M$9:$M$1008,0)+8)</x:f>
      </x:c>
    </x:row>
    <x:row r="83" ht="36" customHeight="1">
      <x:c r="A83" s="50" t="str">
        <x:f>IF(75&gt;$H$4,"",IF(INDEX('Fleet dates'!$A$9:$A$1008,$I83-8)="","",INDEX('Fleet dates'!$A$9:$A$1008,$I83-8)))</x:f>
      </x:c>
      <x:c r="B83" s="50" t="str">
        <x:f>IF(75&gt;$H$4,"",IF(INDEX('Fleet dates'!$B$9:$B$1008,$I83-8)="","",INDEX('Fleet dates'!$B$9:$B$1008,$I83-8)))</x:f>
      </x:c>
      <x:c r="C83" s="51" t="str">
        <x:f>IF(75&gt;$H$4,"",IF(INDEX('Fleet dates'!$C$9:$C$1008,$I83-8)="","",INDEX('Fleet dates'!$C$9:$C$1008,$I83-8)))</x:f>
      </x:c>
      <x:c r="D83" s="51" t="str">
        <x:f>IF(75&gt;$H$4,"",IF(INDEX('Fleet dates'!$D$9:$D$1008,$I83-8)="","",INDEX('Fleet dates'!$D$9:$D$1008,$I83-8)))</x:f>
      </x:c>
      <x:c r="E83" s="51" t="str">
        <x:f>IF(75&gt;$H$4,"",IF(INDEX('Fleet dates'!$E$9:$E$1008,$I83-8)="","",INDEX('Fleet dates'!$E$9:$E$1008,$I83-8)))</x:f>
      </x:c>
      <x:c r="F83" s="51" t="str">
        <x:f>IF(75&gt;$H$4,"",IF(INDEX('Fleet dates'!$F$9:$F$1008,$I83-8)="","",INDEX('Fleet dates'!$F$9:$F$1008,$I83-8)))</x:f>
      </x:c>
      <x:c r="G83" s="50" t="str">
        <x:f>IF(75&gt;$H$4,"",IF(INDEX('Fleet dates'!$G$9:$G$1008,$I83-8)="","",INDEX('Fleet dates'!$G$9:$G$1008,$I83-8)))</x:f>
      </x:c>
      <x:c r="H83" s="50" t="str">
        <x:f>IF(75&gt;$H$4,"",IF(INDEX('Fleet dates'!$I$9:$I$1008,$I83-8)="","",INDEX('Fleet dates'!$I$9:$I$1008,$I83-8)))</x:f>
      </x:c>
      <x:c r="I83" t="str">
        <x:f>IF(75&gt;$H$4,"",MATCH(75,'Fleet dates'!$M$9:$M$1008,0)+8)</x:f>
      </x:c>
    </x:row>
    <x:row r="84" ht="36" customHeight="1">
      <x:c r="A84" s="50" t="str">
        <x:f>IF(76&gt;$H$4,"",IF(INDEX('Fleet dates'!$A$9:$A$1008,$I84-8)="","",INDEX('Fleet dates'!$A$9:$A$1008,$I84-8)))</x:f>
      </x:c>
      <x:c r="B84" s="50" t="str">
        <x:f>IF(76&gt;$H$4,"",IF(INDEX('Fleet dates'!$B$9:$B$1008,$I84-8)="","",INDEX('Fleet dates'!$B$9:$B$1008,$I84-8)))</x:f>
      </x:c>
      <x:c r="C84" s="51" t="str">
        <x:f>IF(76&gt;$H$4,"",IF(INDEX('Fleet dates'!$C$9:$C$1008,$I84-8)="","",INDEX('Fleet dates'!$C$9:$C$1008,$I84-8)))</x:f>
      </x:c>
      <x:c r="D84" s="51" t="str">
        <x:f>IF(76&gt;$H$4,"",IF(INDEX('Fleet dates'!$D$9:$D$1008,$I84-8)="","",INDEX('Fleet dates'!$D$9:$D$1008,$I84-8)))</x:f>
      </x:c>
      <x:c r="E84" s="51" t="str">
        <x:f>IF(76&gt;$H$4,"",IF(INDEX('Fleet dates'!$E$9:$E$1008,$I84-8)="","",INDEX('Fleet dates'!$E$9:$E$1008,$I84-8)))</x:f>
      </x:c>
      <x:c r="F84" s="51" t="str">
        <x:f>IF(76&gt;$H$4,"",IF(INDEX('Fleet dates'!$F$9:$F$1008,$I84-8)="","",INDEX('Fleet dates'!$F$9:$F$1008,$I84-8)))</x:f>
      </x:c>
      <x:c r="G84" s="50" t="str">
        <x:f>IF(76&gt;$H$4,"",IF(INDEX('Fleet dates'!$G$9:$G$1008,$I84-8)="","",INDEX('Fleet dates'!$G$9:$G$1008,$I84-8)))</x:f>
      </x:c>
      <x:c r="H84" s="50" t="str">
        <x:f>IF(76&gt;$H$4,"",IF(INDEX('Fleet dates'!$I$9:$I$1008,$I84-8)="","",INDEX('Fleet dates'!$I$9:$I$1008,$I84-8)))</x:f>
      </x:c>
      <x:c r="I84" t="str">
        <x:f>IF(76&gt;$H$4,"",MATCH(76,'Fleet dates'!$M$9:$M$1008,0)+8)</x:f>
      </x:c>
    </x:row>
    <x:row r="85" ht="36" customHeight="1">
      <x:c r="A85" s="50" t="str">
        <x:f>IF(77&gt;$H$4,"",IF(INDEX('Fleet dates'!$A$9:$A$1008,$I85-8)="","",INDEX('Fleet dates'!$A$9:$A$1008,$I85-8)))</x:f>
      </x:c>
      <x:c r="B85" s="50" t="str">
        <x:f>IF(77&gt;$H$4,"",IF(INDEX('Fleet dates'!$B$9:$B$1008,$I85-8)="","",INDEX('Fleet dates'!$B$9:$B$1008,$I85-8)))</x:f>
      </x:c>
      <x:c r="C85" s="51" t="str">
        <x:f>IF(77&gt;$H$4,"",IF(INDEX('Fleet dates'!$C$9:$C$1008,$I85-8)="","",INDEX('Fleet dates'!$C$9:$C$1008,$I85-8)))</x:f>
      </x:c>
      <x:c r="D85" s="51" t="str">
        <x:f>IF(77&gt;$H$4,"",IF(INDEX('Fleet dates'!$D$9:$D$1008,$I85-8)="","",INDEX('Fleet dates'!$D$9:$D$1008,$I85-8)))</x:f>
      </x:c>
      <x:c r="E85" s="51" t="str">
        <x:f>IF(77&gt;$H$4,"",IF(INDEX('Fleet dates'!$E$9:$E$1008,$I85-8)="","",INDEX('Fleet dates'!$E$9:$E$1008,$I85-8)))</x:f>
      </x:c>
      <x:c r="F85" s="51" t="str">
        <x:f>IF(77&gt;$H$4,"",IF(INDEX('Fleet dates'!$F$9:$F$1008,$I85-8)="","",INDEX('Fleet dates'!$F$9:$F$1008,$I85-8)))</x:f>
      </x:c>
      <x:c r="G85" s="50" t="str">
        <x:f>IF(77&gt;$H$4,"",IF(INDEX('Fleet dates'!$G$9:$G$1008,$I85-8)="","",INDEX('Fleet dates'!$G$9:$G$1008,$I85-8)))</x:f>
      </x:c>
      <x:c r="H85" s="50" t="str">
        <x:f>IF(77&gt;$H$4,"",IF(INDEX('Fleet dates'!$I$9:$I$1008,$I85-8)="","",INDEX('Fleet dates'!$I$9:$I$1008,$I85-8)))</x:f>
      </x:c>
      <x:c r="I85" t="str">
        <x:f>IF(77&gt;$H$4,"",MATCH(77,'Fleet dates'!$M$9:$M$1008,0)+8)</x:f>
      </x:c>
    </x:row>
    <x:row r="86" ht="36" customHeight="1">
      <x:c r="A86" s="50" t="str">
        <x:f>IF(78&gt;$H$4,"",IF(INDEX('Fleet dates'!$A$9:$A$1008,$I86-8)="","",INDEX('Fleet dates'!$A$9:$A$1008,$I86-8)))</x:f>
      </x:c>
      <x:c r="B86" s="50" t="str">
        <x:f>IF(78&gt;$H$4,"",IF(INDEX('Fleet dates'!$B$9:$B$1008,$I86-8)="","",INDEX('Fleet dates'!$B$9:$B$1008,$I86-8)))</x:f>
      </x:c>
      <x:c r="C86" s="51" t="str">
        <x:f>IF(78&gt;$H$4,"",IF(INDEX('Fleet dates'!$C$9:$C$1008,$I86-8)="","",INDEX('Fleet dates'!$C$9:$C$1008,$I86-8)))</x:f>
      </x:c>
      <x:c r="D86" s="51" t="str">
        <x:f>IF(78&gt;$H$4,"",IF(INDEX('Fleet dates'!$D$9:$D$1008,$I86-8)="","",INDEX('Fleet dates'!$D$9:$D$1008,$I86-8)))</x:f>
      </x:c>
      <x:c r="E86" s="51" t="str">
        <x:f>IF(78&gt;$H$4,"",IF(INDEX('Fleet dates'!$E$9:$E$1008,$I86-8)="","",INDEX('Fleet dates'!$E$9:$E$1008,$I86-8)))</x:f>
      </x:c>
      <x:c r="F86" s="51" t="str">
        <x:f>IF(78&gt;$H$4,"",IF(INDEX('Fleet dates'!$F$9:$F$1008,$I86-8)="","",INDEX('Fleet dates'!$F$9:$F$1008,$I86-8)))</x:f>
      </x:c>
      <x:c r="G86" s="50" t="str">
        <x:f>IF(78&gt;$H$4,"",IF(INDEX('Fleet dates'!$G$9:$G$1008,$I86-8)="","",INDEX('Fleet dates'!$G$9:$G$1008,$I86-8)))</x:f>
      </x:c>
      <x:c r="H86" s="50" t="str">
        <x:f>IF(78&gt;$H$4,"",IF(INDEX('Fleet dates'!$I$9:$I$1008,$I86-8)="","",INDEX('Fleet dates'!$I$9:$I$1008,$I86-8)))</x:f>
      </x:c>
      <x:c r="I86" t="str">
        <x:f>IF(78&gt;$H$4,"",MATCH(78,'Fleet dates'!$M$9:$M$1008,0)+8)</x:f>
      </x:c>
    </x:row>
    <x:row r="87" ht="36" customHeight="1">
      <x:c r="A87" s="50" t="str">
        <x:f>IF(79&gt;$H$4,"",IF(INDEX('Fleet dates'!$A$9:$A$1008,$I87-8)="","",INDEX('Fleet dates'!$A$9:$A$1008,$I87-8)))</x:f>
      </x:c>
      <x:c r="B87" s="50" t="str">
        <x:f>IF(79&gt;$H$4,"",IF(INDEX('Fleet dates'!$B$9:$B$1008,$I87-8)="","",INDEX('Fleet dates'!$B$9:$B$1008,$I87-8)))</x:f>
      </x:c>
      <x:c r="C87" s="51" t="str">
        <x:f>IF(79&gt;$H$4,"",IF(INDEX('Fleet dates'!$C$9:$C$1008,$I87-8)="","",INDEX('Fleet dates'!$C$9:$C$1008,$I87-8)))</x:f>
      </x:c>
      <x:c r="D87" s="51" t="str">
        <x:f>IF(79&gt;$H$4,"",IF(INDEX('Fleet dates'!$D$9:$D$1008,$I87-8)="","",INDEX('Fleet dates'!$D$9:$D$1008,$I87-8)))</x:f>
      </x:c>
      <x:c r="E87" s="51" t="str">
        <x:f>IF(79&gt;$H$4,"",IF(INDEX('Fleet dates'!$E$9:$E$1008,$I87-8)="","",INDEX('Fleet dates'!$E$9:$E$1008,$I87-8)))</x:f>
      </x:c>
      <x:c r="F87" s="51" t="str">
        <x:f>IF(79&gt;$H$4,"",IF(INDEX('Fleet dates'!$F$9:$F$1008,$I87-8)="","",INDEX('Fleet dates'!$F$9:$F$1008,$I87-8)))</x:f>
      </x:c>
      <x:c r="G87" s="50" t="str">
        <x:f>IF(79&gt;$H$4,"",IF(INDEX('Fleet dates'!$G$9:$G$1008,$I87-8)="","",INDEX('Fleet dates'!$G$9:$G$1008,$I87-8)))</x:f>
      </x:c>
      <x:c r="H87" s="50" t="str">
        <x:f>IF(79&gt;$H$4,"",IF(INDEX('Fleet dates'!$I$9:$I$1008,$I87-8)="","",INDEX('Fleet dates'!$I$9:$I$1008,$I87-8)))</x:f>
      </x:c>
      <x:c r="I87" t="str">
        <x:f>IF(79&gt;$H$4,"",MATCH(79,'Fleet dates'!$M$9:$M$1008,0)+8)</x:f>
      </x:c>
    </x:row>
    <x:row r="88" ht="36" customHeight="1">
      <x:c r="A88" s="50" t="str">
        <x:f>IF(80&gt;$H$4,"",IF(INDEX('Fleet dates'!$A$9:$A$1008,$I88-8)="","",INDEX('Fleet dates'!$A$9:$A$1008,$I88-8)))</x:f>
      </x:c>
      <x:c r="B88" s="50" t="str">
        <x:f>IF(80&gt;$H$4,"",IF(INDEX('Fleet dates'!$B$9:$B$1008,$I88-8)="","",INDEX('Fleet dates'!$B$9:$B$1008,$I88-8)))</x:f>
      </x:c>
      <x:c r="C88" s="51" t="str">
        <x:f>IF(80&gt;$H$4,"",IF(INDEX('Fleet dates'!$C$9:$C$1008,$I88-8)="","",INDEX('Fleet dates'!$C$9:$C$1008,$I88-8)))</x:f>
      </x:c>
      <x:c r="D88" s="51" t="str">
        <x:f>IF(80&gt;$H$4,"",IF(INDEX('Fleet dates'!$D$9:$D$1008,$I88-8)="","",INDEX('Fleet dates'!$D$9:$D$1008,$I88-8)))</x:f>
      </x:c>
      <x:c r="E88" s="51" t="str">
        <x:f>IF(80&gt;$H$4,"",IF(INDEX('Fleet dates'!$E$9:$E$1008,$I88-8)="","",INDEX('Fleet dates'!$E$9:$E$1008,$I88-8)))</x:f>
      </x:c>
      <x:c r="F88" s="51" t="str">
        <x:f>IF(80&gt;$H$4,"",IF(INDEX('Fleet dates'!$F$9:$F$1008,$I88-8)="","",INDEX('Fleet dates'!$F$9:$F$1008,$I88-8)))</x:f>
      </x:c>
      <x:c r="G88" s="50" t="str">
        <x:f>IF(80&gt;$H$4,"",IF(INDEX('Fleet dates'!$G$9:$G$1008,$I88-8)="","",INDEX('Fleet dates'!$G$9:$G$1008,$I88-8)))</x:f>
      </x:c>
      <x:c r="H88" s="50" t="str">
        <x:f>IF(80&gt;$H$4,"",IF(INDEX('Fleet dates'!$I$9:$I$1008,$I88-8)="","",INDEX('Fleet dates'!$I$9:$I$1008,$I88-8)))</x:f>
      </x:c>
      <x:c r="I88" t="str">
        <x:f>IF(80&gt;$H$4,"",MATCH(80,'Fleet dates'!$M$9:$M$1008,0)+8)</x:f>
      </x:c>
    </x:row>
    <x:row r="89" ht="36" customHeight="1">
      <x:c r="A89" s="50" t="str">
        <x:f>IF(81&gt;$H$4,"",IF(INDEX('Fleet dates'!$A$9:$A$1008,$I89-8)="","",INDEX('Fleet dates'!$A$9:$A$1008,$I89-8)))</x:f>
      </x:c>
      <x:c r="B89" s="50" t="str">
        <x:f>IF(81&gt;$H$4,"",IF(INDEX('Fleet dates'!$B$9:$B$1008,$I89-8)="","",INDEX('Fleet dates'!$B$9:$B$1008,$I89-8)))</x:f>
      </x:c>
      <x:c r="C89" s="51" t="str">
        <x:f>IF(81&gt;$H$4,"",IF(INDEX('Fleet dates'!$C$9:$C$1008,$I89-8)="","",INDEX('Fleet dates'!$C$9:$C$1008,$I89-8)))</x:f>
      </x:c>
      <x:c r="D89" s="51" t="str">
        <x:f>IF(81&gt;$H$4,"",IF(INDEX('Fleet dates'!$D$9:$D$1008,$I89-8)="","",INDEX('Fleet dates'!$D$9:$D$1008,$I89-8)))</x:f>
      </x:c>
      <x:c r="E89" s="51" t="str">
        <x:f>IF(81&gt;$H$4,"",IF(INDEX('Fleet dates'!$E$9:$E$1008,$I89-8)="","",INDEX('Fleet dates'!$E$9:$E$1008,$I89-8)))</x:f>
      </x:c>
      <x:c r="F89" s="51" t="str">
        <x:f>IF(81&gt;$H$4,"",IF(INDEX('Fleet dates'!$F$9:$F$1008,$I89-8)="","",INDEX('Fleet dates'!$F$9:$F$1008,$I89-8)))</x:f>
      </x:c>
      <x:c r="G89" s="50" t="str">
        <x:f>IF(81&gt;$H$4,"",IF(INDEX('Fleet dates'!$G$9:$G$1008,$I89-8)="","",INDEX('Fleet dates'!$G$9:$G$1008,$I89-8)))</x:f>
      </x:c>
      <x:c r="H89" s="50" t="str">
        <x:f>IF(81&gt;$H$4,"",IF(INDEX('Fleet dates'!$I$9:$I$1008,$I89-8)="","",INDEX('Fleet dates'!$I$9:$I$1008,$I89-8)))</x:f>
      </x:c>
      <x:c r="I89" t="str">
        <x:f>IF(81&gt;$H$4,"",MATCH(81,'Fleet dates'!$M$9:$M$1008,0)+8)</x:f>
      </x:c>
    </x:row>
    <x:row r="90" ht="36" customHeight="1">
      <x:c r="A90" s="50" t="str">
        <x:f>IF(82&gt;$H$4,"",IF(INDEX('Fleet dates'!$A$9:$A$1008,$I90-8)="","",INDEX('Fleet dates'!$A$9:$A$1008,$I90-8)))</x:f>
      </x:c>
      <x:c r="B90" s="50" t="str">
        <x:f>IF(82&gt;$H$4,"",IF(INDEX('Fleet dates'!$B$9:$B$1008,$I90-8)="","",INDEX('Fleet dates'!$B$9:$B$1008,$I90-8)))</x:f>
      </x:c>
      <x:c r="C90" s="51" t="str">
        <x:f>IF(82&gt;$H$4,"",IF(INDEX('Fleet dates'!$C$9:$C$1008,$I90-8)="","",INDEX('Fleet dates'!$C$9:$C$1008,$I90-8)))</x:f>
      </x:c>
      <x:c r="D90" s="51" t="str">
        <x:f>IF(82&gt;$H$4,"",IF(INDEX('Fleet dates'!$D$9:$D$1008,$I90-8)="","",INDEX('Fleet dates'!$D$9:$D$1008,$I90-8)))</x:f>
      </x:c>
      <x:c r="E90" s="51" t="str">
        <x:f>IF(82&gt;$H$4,"",IF(INDEX('Fleet dates'!$E$9:$E$1008,$I90-8)="","",INDEX('Fleet dates'!$E$9:$E$1008,$I90-8)))</x:f>
      </x:c>
      <x:c r="F90" s="51" t="str">
        <x:f>IF(82&gt;$H$4,"",IF(INDEX('Fleet dates'!$F$9:$F$1008,$I90-8)="","",INDEX('Fleet dates'!$F$9:$F$1008,$I90-8)))</x:f>
      </x:c>
      <x:c r="G90" s="50" t="str">
        <x:f>IF(82&gt;$H$4,"",IF(INDEX('Fleet dates'!$G$9:$G$1008,$I90-8)="","",INDEX('Fleet dates'!$G$9:$G$1008,$I90-8)))</x:f>
      </x:c>
      <x:c r="H90" s="50" t="str">
        <x:f>IF(82&gt;$H$4,"",IF(INDEX('Fleet dates'!$I$9:$I$1008,$I90-8)="","",INDEX('Fleet dates'!$I$9:$I$1008,$I90-8)))</x:f>
      </x:c>
      <x:c r="I90" t="str">
        <x:f>IF(82&gt;$H$4,"",MATCH(82,'Fleet dates'!$M$9:$M$1008,0)+8)</x:f>
      </x:c>
    </x:row>
    <x:row r="91" ht="36" customHeight="1">
      <x:c r="A91" s="50" t="str">
        <x:f>IF(83&gt;$H$4,"",IF(INDEX('Fleet dates'!$A$9:$A$1008,$I91-8)="","",INDEX('Fleet dates'!$A$9:$A$1008,$I91-8)))</x:f>
      </x:c>
      <x:c r="B91" s="50" t="str">
        <x:f>IF(83&gt;$H$4,"",IF(INDEX('Fleet dates'!$B$9:$B$1008,$I91-8)="","",INDEX('Fleet dates'!$B$9:$B$1008,$I91-8)))</x:f>
      </x:c>
      <x:c r="C91" s="51" t="str">
        <x:f>IF(83&gt;$H$4,"",IF(INDEX('Fleet dates'!$C$9:$C$1008,$I91-8)="","",INDEX('Fleet dates'!$C$9:$C$1008,$I91-8)))</x:f>
      </x:c>
      <x:c r="D91" s="51" t="str">
        <x:f>IF(83&gt;$H$4,"",IF(INDEX('Fleet dates'!$D$9:$D$1008,$I91-8)="","",INDEX('Fleet dates'!$D$9:$D$1008,$I91-8)))</x:f>
      </x:c>
      <x:c r="E91" s="51" t="str">
        <x:f>IF(83&gt;$H$4,"",IF(INDEX('Fleet dates'!$E$9:$E$1008,$I91-8)="","",INDEX('Fleet dates'!$E$9:$E$1008,$I91-8)))</x:f>
      </x:c>
      <x:c r="F91" s="51" t="str">
        <x:f>IF(83&gt;$H$4,"",IF(INDEX('Fleet dates'!$F$9:$F$1008,$I91-8)="","",INDEX('Fleet dates'!$F$9:$F$1008,$I91-8)))</x:f>
      </x:c>
      <x:c r="G91" s="50" t="str">
        <x:f>IF(83&gt;$H$4,"",IF(INDEX('Fleet dates'!$G$9:$G$1008,$I91-8)="","",INDEX('Fleet dates'!$G$9:$G$1008,$I91-8)))</x:f>
      </x:c>
      <x:c r="H91" s="50" t="str">
        <x:f>IF(83&gt;$H$4,"",IF(INDEX('Fleet dates'!$I$9:$I$1008,$I91-8)="","",INDEX('Fleet dates'!$I$9:$I$1008,$I91-8)))</x:f>
      </x:c>
      <x:c r="I91" t="str">
        <x:f>IF(83&gt;$H$4,"",MATCH(83,'Fleet dates'!$M$9:$M$1008,0)+8)</x:f>
      </x:c>
    </x:row>
    <x:row r="92" ht="36" customHeight="1">
      <x:c r="A92" s="50" t="str">
        <x:f>IF(84&gt;$H$4,"",IF(INDEX('Fleet dates'!$A$9:$A$1008,$I92-8)="","",INDEX('Fleet dates'!$A$9:$A$1008,$I92-8)))</x:f>
      </x:c>
      <x:c r="B92" s="50" t="str">
        <x:f>IF(84&gt;$H$4,"",IF(INDEX('Fleet dates'!$B$9:$B$1008,$I92-8)="","",INDEX('Fleet dates'!$B$9:$B$1008,$I92-8)))</x:f>
      </x:c>
      <x:c r="C92" s="51" t="str">
        <x:f>IF(84&gt;$H$4,"",IF(INDEX('Fleet dates'!$C$9:$C$1008,$I92-8)="","",INDEX('Fleet dates'!$C$9:$C$1008,$I92-8)))</x:f>
      </x:c>
      <x:c r="D92" s="51" t="str">
        <x:f>IF(84&gt;$H$4,"",IF(INDEX('Fleet dates'!$D$9:$D$1008,$I92-8)="","",INDEX('Fleet dates'!$D$9:$D$1008,$I92-8)))</x:f>
      </x:c>
      <x:c r="E92" s="51" t="str">
        <x:f>IF(84&gt;$H$4,"",IF(INDEX('Fleet dates'!$E$9:$E$1008,$I92-8)="","",INDEX('Fleet dates'!$E$9:$E$1008,$I92-8)))</x:f>
      </x:c>
      <x:c r="F92" s="51" t="str">
        <x:f>IF(84&gt;$H$4,"",IF(INDEX('Fleet dates'!$F$9:$F$1008,$I92-8)="","",INDEX('Fleet dates'!$F$9:$F$1008,$I92-8)))</x:f>
      </x:c>
      <x:c r="G92" s="50" t="str">
        <x:f>IF(84&gt;$H$4,"",IF(INDEX('Fleet dates'!$G$9:$G$1008,$I92-8)="","",INDEX('Fleet dates'!$G$9:$G$1008,$I92-8)))</x:f>
      </x:c>
      <x:c r="H92" s="50" t="str">
        <x:f>IF(84&gt;$H$4,"",IF(INDEX('Fleet dates'!$I$9:$I$1008,$I92-8)="","",INDEX('Fleet dates'!$I$9:$I$1008,$I92-8)))</x:f>
      </x:c>
      <x:c r="I92" t="str">
        <x:f>IF(84&gt;$H$4,"",MATCH(84,'Fleet dates'!$M$9:$M$1008,0)+8)</x:f>
      </x:c>
    </x:row>
    <x:row r="93" ht="36" customHeight="1">
      <x:c r="A93" s="50" t="str">
        <x:f>IF(85&gt;$H$4,"",IF(INDEX('Fleet dates'!$A$9:$A$1008,$I93-8)="","",INDEX('Fleet dates'!$A$9:$A$1008,$I93-8)))</x:f>
      </x:c>
      <x:c r="B93" s="50" t="str">
        <x:f>IF(85&gt;$H$4,"",IF(INDEX('Fleet dates'!$B$9:$B$1008,$I93-8)="","",INDEX('Fleet dates'!$B$9:$B$1008,$I93-8)))</x:f>
      </x:c>
      <x:c r="C93" s="51" t="str">
        <x:f>IF(85&gt;$H$4,"",IF(INDEX('Fleet dates'!$C$9:$C$1008,$I93-8)="","",INDEX('Fleet dates'!$C$9:$C$1008,$I93-8)))</x:f>
      </x:c>
      <x:c r="D93" s="51" t="str">
        <x:f>IF(85&gt;$H$4,"",IF(INDEX('Fleet dates'!$D$9:$D$1008,$I93-8)="","",INDEX('Fleet dates'!$D$9:$D$1008,$I93-8)))</x:f>
      </x:c>
      <x:c r="E93" s="51" t="str">
        <x:f>IF(85&gt;$H$4,"",IF(INDEX('Fleet dates'!$E$9:$E$1008,$I93-8)="","",INDEX('Fleet dates'!$E$9:$E$1008,$I93-8)))</x:f>
      </x:c>
      <x:c r="F93" s="51" t="str">
        <x:f>IF(85&gt;$H$4,"",IF(INDEX('Fleet dates'!$F$9:$F$1008,$I93-8)="","",INDEX('Fleet dates'!$F$9:$F$1008,$I93-8)))</x:f>
      </x:c>
      <x:c r="G93" s="50" t="str">
        <x:f>IF(85&gt;$H$4,"",IF(INDEX('Fleet dates'!$G$9:$G$1008,$I93-8)="","",INDEX('Fleet dates'!$G$9:$G$1008,$I93-8)))</x:f>
      </x:c>
      <x:c r="H93" s="50" t="str">
        <x:f>IF(85&gt;$H$4,"",IF(INDEX('Fleet dates'!$I$9:$I$1008,$I93-8)="","",INDEX('Fleet dates'!$I$9:$I$1008,$I93-8)))</x:f>
      </x:c>
      <x:c r="I93" t="str">
        <x:f>IF(85&gt;$H$4,"",MATCH(85,'Fleet dates'!$M$9:$M$1008,0)+8)</x:f>
      </x:c>
    </x:row>
    <x:row r="94" ht="36" customHeight="1">
      <x:c r="A94" s="50" t="str">
        <x:f>IF(86&gt;$H$4,"",IF(INDEX('Fleet dates'!$A$9:$A$1008,$I94-8)="","",INDEX('Fleet dates'!$A$9:$A$1008,$I94-8)))</x:f>
      </x:c>
      <x:c r="B94" s="50" t="str">
        <x:f>IF(86&gt;$H$4,"",IF(INDEX('Fleet dates'!$B$9:$B$1008,$I94-8)="","",INDEX('Fleet dates'!$B$9:$B$1008,$I94-8)))</x:f>
      </x:c>
      <x:c r="C94" s="51" t="str">
        <x:f>IF(86&gt;$H$4,"",IF(INDEX('Fleet dates'!$C$9:$C$1008,$I94-8)="","",INDEX('Fleet dates'!$C$9:$C$1008,$I94-8)))</x:f>
      </x:c>
      <x:c r="D94" s="51" t="str">
        <x:f>IF(86&gt;$H$4,"",IF(INDEX('Fleet dates'!$D$9:$D$1008,$I94-8)="","",INDEX('Fleet dates'!$D$9:$D$1008,$I94-8)))</x:f>
      </x:c>
      <x:c r="E94" s="51" t="str">
        <x:f>IF(86&gt;$H$4,"",IF(INDEX('Fleet dates'!$E$9:$E$1008,$I94-8)="","",INDEX('Fleet dates'!$E$9:$E$1008,$I94-8)))</x:f>
      </x:c>
      <x:c r="F94" s="51" t="str">
        <x:f>IF(86&gt;$H$4,"",IF(INDEX('Fleet dates'!$F$9:$F$1008,$I94-8)="","",INDEX('Fleet dates'!$F$9:$F$1008,$I94-8)))</x:f>
      </x:c>
      <x:c r="G94" s="50" t="str">
        <x:f>IF(86&gt;$H$4,"",IF(INDEX('Fleet dates'!$G$9:$G$1008,$I94-8)="","",INDEX('Fleet dates'!$G$9:$G$1008,$I94-8)))</x:f>
      </x:c>
      <x:c r="H94" s="50" t="str">
        <x:f>IF(86&gt;$H$4,"",IF(INDEX('Fleet dates'!$I$9:$I$1008,$I94-8)="","",INDEX('Fleet dates'!$I$9:$I$1008,$I94-8)))</x:f>
      </x:c>
      <x:c r="I94" t="str">
        <x:f>IF(86&gt;$H$4,"",MATCH(86,'Fleet dates'!$M$9:$M$1008,0)+8)</x:f>
      </x:c>
    </x:row>
    <x:row r="95" ht="36" customHeight="1">
      <x:c r="A95" s="50" t="str">
        <x:f>IF(87&gt;$H$4,"",IF(INDEX('Fleet dates'!$A$9:$A$1008,$I95-8)="","",INDEX('Fleet dates'!$A$9:$A$1008,$I95-8)))</x:f>
      </x:c>
      <x:c r="B95" s="50" t="str">
        <x:f>IF(87&gt;$H$4,"",IF(INDEX('Fleet dates'!$B$9:$B$1008,$I95-8)="","",INDEX('Fleet dates'!$B$9:$B$1008,$I95-8)))</x:f>
      </x:c>
      <x:c r="C95" s="51" t="str">
        <x:f>IF(87&gt;$H$4,"",IF(INDEX('Fleet dates'!$C$9:$C$1008,$I95-8)="","",INDEX('Fleet dates'!$C$9:$C$1008,$I95-8)))</x:f>
      </x:c>
      <x:c r="D95" s="51" t="str">
        <x:f>IF(87&gt;$H$4,"",IF(INDEX('Fleet dates'!$D$9:$D$1008,$I95-8)="","",INDEX('Fleet dates'!$D$9:$D$1008,$I95-8)))</x:f>
      </x:c>
      <x:c r="E95" s="51" t="str">
        <x:f>IF(87&gt;$H$4,"",IF(INDEX('Fleet dates'!$E$9:$E$1008,$I95-8)="","",INDEX('Fleet dates'!$E$9:$E$1008,$I95-8)))</x:f>
      </x:c>
      <x:c r="F95" s="51" t="str">
        <x:f>IF(87&gt;$H$4,"",IF(INDEX('Fleet dates'!$F$9:$F$1008,$I95-8)="","",INDEX('Fleet dates'!$F$9:$F$1008,$I95-8)))</x:f>
      </x:c>
      <x:c r="G95" s="50" t="str">
        <x:f>IF(87&gt;$H$4,"",IF(INDEX('Fleet dates'!$G$9:$G$1008,$I95-8)="","",INDEX('Fleet dates'!$G$9:$G$1008,$I95-8)))</x:f>
      </x:c>
      <x:c r="H95" s="50" t="str">
        <x:f>IF(87&gt;$H$4,"",IF(INDEX('Fleet dates'!$I$9:$I$1008,$I95-8)="","",INDEX('Fleet dates'!$I$9:$I$1008,$I95-8)))</x:f>
      </x:c>
      <x:c r="I95" t="str">
        <x:f>IF(87&gt;$H$4,"",MATCH(87,'Fleet dates'!$M$9:$M$1008,0)+8)</x:f>
      </x:c>
    </x:row>
    <x:row r="96" ht="36" customHeight="1">
      <x:c r="A96" s="50" t="str">
        <x:f>IF(88&gt;$H$4,"",IF(INDEX('Fleet dates'!$A$9:$A$1008,$I96-8)="","",INDEX('Fleet dates'!$A$9:$A$1008,$I96-8)))</x:f>
      </x:c>
      <x:c r="B96" s="50" t="str">
        <x:f>IF(88&gt;$H$4,"",IF(INDEX('Fleet dates'!$B$9:$B$1008,$I96-8)="","",INDEX('Fleet dates'!$B$9:$B$1008,$I96-8)))</x:f>
      </x:c>
      <x:c r="C96" s="51" t="str">
        <x:f>IF(88&gt;$H$4,"",IF(INDEX('Fleet dates'!$C$9:$C$1008,$I96-8)="","",INDEX('Fleet dates'!$C$9:$C$1008,$I96-8)))</x:f>
      </x:c>
      <x:c r="D96" s="51" t="str">
        <x:f>IF(88&gt;$H$4,"",IF(INDEX('Fleet dates'!$D$9:$D$1008,$I96-8)="","",INDEX('Fleet dates'!$D$9:$D$1008,$I96-8)))</x:f>
      </x:c>
      <x:c r="E96" s="51" t="str">
        <x:f>IF(88&gt;$H$4,"",IF(INDEX('Fleet dates'!$E$9:$E$1008,$I96-8)="","",INDEX('Fleet dates'!$E$9:$E$1008,$I96-8)))</x:f>
      </x:c>
      <x:c r="F96" s="51" t="str">
        <x:f>IF(88&gt;$H$4,"",IF(INDEX('Fleet dates'!$F$9:$F$1008,$I96-8)="","",INDEX('Fleet dates'!$F$9:$F$1008,$I96-8)))</x:f>
      </x:c>
      <x:c r="G96" s="50" t="str">
        <x:f>IF(88&gt;$H$4,"",IF(INDEX('Fleet dates'!$G$9:$G$1008,$I96-8)="","",INDEX('Fleet dates'!$G$9:$G$1008,$I96-8)))</x:f>
      </x:c>
      <x:c r="H96" s="50" t="str">
        <x:f>IF(88&gt;$H$4,"",IF(INDEX('Fleet dates'!$I$9:$I$1008,$I96-8)="","",INDEX('Fleet dates'!$I$9:$I$1008,$I96-8)))</x:f>
      </x:c>
      <x:c r="I96" t="str">
        <x:f>IF(88&gt;$H$4,"",MATCH(88,'Fleet dates'!$M$9:$M$1008,0)+8)</x:f>
      </x:c>
    </x:row>
    <x:row r="97" ht="36" customHeight="1">
      <x:c r="A97" s="50" t="str">
        <x:f>IF(89&gt;$H$4,"",IF(INDEX('Fleet dates'!$A$9:$A$1008,$I97-8)="","",INDEX('Fleet dates'!$A$9:$A$1008,$I97-8)))</x:f>
      </x:c>
      <x:c r="B97" s="50" t="str">
        <x:f>IF(89&gt;$H$4,"",IF(INDEX('Fleet dates'!$B$9:$B$1008,$I97-8)="","",INDEX('Fleet dates'!$B$9:$B$1008,$I97-8)))</x:f>
      </x:c>
      <x:c r="C97" s="51" t="str">
        <x:f>IF(89&gt;$H$4,"",IF(INDEX('Fleet dates'!$C$9:$C$1008,$I97-8)="","",INDEX('Fleet dates'!$C$9:$C$1008,$I97-8)))</x:f>
      </x:c>
      <x:c r="D97" s="51" t="str">
        <x:f>IF(89&gt;$H$4,"",IF(INDEX('Fleet dates'!$D$9:$D$1008,$I97-8)="","",INDEX('Fleet dates'!$D$9:$D$1008,$I97-8)))</x:f>
      </x:c>
      <x:c r="E97" s="51" t="str">
        <x:f>IF(89&gt;$H$4,"",IF(INDEX('Fleet dates'!$E$9:$E$1008,$I97-8)="","",INDEX('Fleet dates'!$E$9:$E$1008,$I97-8)))</x:f>
      </x:c>
      <x:c r="F97" s="51" t="str">
        <x:f>IF(89&gt;$H$4,"",IF(INDEX('Fleet dates'!$F$9:$F$1008,$I97-8)="","",INDEX('Fleet dates'!$F$9:$F$1008,$I97-8)))</x:f>
      </x:c>
      <x:c r="G97" s="50" t="str">
        <x:f>IF(89&gt;$H$4,"",IF(INDEX('Fleet dates'!$G$9:$G$1008,$I97-8)="","",INDEX('Fleet dates'!$G$9:$G$1008,$I97-8)))</x:f>
      </x:c>
      <x:c r="H97" s="50" t="str">
        <x:f>IF(89&gt;$H$4,"",IF(INDEX('Fleet dates'!$I$9:$I$1008,$I97-8)="","",INDEX('Fleet dates'!$I$9:$I$1008,$I97-8)))</x:f>
      </x:c>
      <x:c r="I97" t="str">
        <x:f>IF(89&gt;$H$4,"",MATCH(89,'Fleet dates'!$M$9:$M$1008,0)+8)</x:f>
      </x:c>
    </x:row>
    <x:row r="98" ht="36" customHeight="1">
      <x:c r="A98" s="50" t="str">
        <x:f>IF(90&gt;$H$4,"",IF(INDEX('Fleet dates'!$A$9:$A$1008,$I98-8)="","",INDEX('Fleet dates'!$A$9:$A$1008,$I98-8)))</x:f>
      </x:c>
      <x:c r="B98" s="50" t="str">
        <x:f>IF(90&gt;$H$4,"",IF(INDEX('Fleet dates'!$B$9:$B$1008,$I98-8)="","",INDEX('Fleet dates'!$B$9:$B$1008,$I98-8)))</x:f>
      </x:c>
      <x:c r="C98" s="51" t="str">
        <x:f>IF(90&gt;$H$4,"",IF(INDEX('Fleet dates'!$C$9:$C$1008,$I98-8)="","",INDEX('Fleet dates'!$C$9:$C$1008,$I98-8)))</x:f>
      </x:c>
      <x:c r="D98" s="51" t="str">
        <x:f>IF(90&gt;$H$4,"",IF(INDEX('Fleet dates'!$D$9:$D$1008,$I98-8)="","",INDEX('Fleet dates'!$D$9:$D$1008,$I98-8)))</x:f>
      </x:c>
      <x:c r="E98" s="51" t="str">
        <x:f>IF(90&gt;$H$4,"",IF(INDEX('Fleet dates'!$E$9:$E$1008,$I98-8)="","",INDEX('Fleet dates'!$E$9:$E$1008,$I98-8)))</x:f>
      </x:c>
      <x:c r="F98" s="51" t="str">
        <x:f>IF(90&gt;$H$4,"",IF(INDEX('Fleet dates'!$F$9:$F$1008,$I98-8)="","",INDEX('Fleet dates'!$F$9:$F$1008,$I98-8)))</x:f>
      </x:c>
      <x:c r="G98" s="50" t="str">
        <x:f>IF(90&gt;$H$4,"",IF(INDEX('Fleet dates'!$G$9:$G$1008,$I98-8)="","",INDEX('Fleet dates'!$G$9:$G$1008,$I98-8)))</x:f>
      </x:c>
      <x:c r="H98" s="50" t="str">
        <x:f>IF(90&gt;$H$4,"",IF(INDEX('Fleet dates'!$I$9:$I$1008,$I98-8)="","",INDEX('Fleet dates'!$I$9:$I$1008,$I98-8)))</x:f>
      </x:c>
      <x:c r="I98" t="str">
        <x:f>IF(90&gt;$H$4,"",MATCH(90,'Fleet dates'!$M$9:$M$1008,0)+8)</x:f>
      </x:c>
    </x:row>
    <x:row r="99" ht="36" customHeight="1">
      <x:c r="A99" s="50" t="str">
        <x:f>IF(91&gt;$H$4,"",IF(INDEX('Fleet dates'!$A$9:$A$1008,$I99-8)="","",INDEX('Fleet dates'!$A$9:$A$1008,$I99-8)))</x:f>
      </x:c>
      <x:c r="B99" s="50" t="str">
        <x:f>IF(91&gt;$H$4,"",IF(INDEX('Fleet dates'!$B$9:$B$1008,$I99-8)="","",INDEX('Fleet dates'!$B$9:$B$1008,$I99-8)))</x:f>
      </x:c>
      <x:c r="C99" s="51" t="str">
        <x:f>IF(91&gt;$H$4,"",IF(INDEX('Fleet dates'!$C$9:$C$1008,$I99-8)="","",INDEX('Fleet dates'!$C$9:$C$1008,$I99-8)))</x:f>
      </x:c>
      <x:c r="D99" s="51" t="str">
        <x:f>IF(91&gt;$H$4,"",IF(INDEX('Fleet dates'!$D$9:$D$1008,$I99-8)="","",INDEX('Fleet dates'!$D$9:$D$1008,$I99-8)))</x:f>
      </x:c>
      <x:c r="E99" s="51" t="str">
        <x:f>IF(91&gt;$H$4,"",IF(INDEX('Fleet dates'!$E$9:$E$1008,$I99-8)="","",INDEX('Fleet dates'!$E$9:$E$1008,$I99-8)))</x:f>
      </x:c>
      <x:c r="F99" s="51" t="str">
        <x:f>IF(91&gt;$H$4,"",IF(INDEX('Fleet dates'!$F$9:$F$1008,$I99-8)="","",INDEX('Fleet dates'!$F$9:$F$1008,$I99-8)))</x:f>
      </x:c>
      <x:c r="G99" s="50" t="str">
        <x:f>IF(91&gt;$H$4,"",IF(INDEX('Fleet dates'!$G$9:$G$1008,$I99-8)="","",INDEX('Fleet dates'!$G$9:$G$1008,$I99-8)))</x:f>
      </x:c>
      <x:c r="H99" s="50" t="str">
        <x:f>IF(91&gt;$H$4,"",IF(INDEX('Fleet dates'!$I$9:$I$1008,$I99-8)="","",INDEX('Fleet dates'!$I$9:$I$1008,$I99-8)))</x:f>
      </x:c>
      <x:c r="I99" t="str">
        <x:f>IF(91&gt;$H$4,"",MATCH(91,'Fleet dates'!$M$9:$M$1008,0)+8)</x:f>
      </x:c>
    </x:row>
    <x:row r="100" ht="36" customHeight="1">
      <x:c r="A100" s="50" t="str">
        <x:f>IF(92&gt;$H$4,"",IF(INDEX('Fleet dates'!$A$9:$A$1008,$I100-8)="","",INDEX('Fleet dates'!$A$9:$A$1008,$I100-8)))</x:f>
      </x:c>
      <x:c r="B100" s="50" t="str">
        <x:f>IF(92&gt;$H$4,"",IF(INDEX('Fleet dates'!$B$9:$B$1008,$I100-8)="","",INDEX('Fleet dates'!$B$9:$B$1008,$I100-8)))</x:f>
      </x:c>
      <x:c r="C100" s="51" t="str">
        <x:f>IF(92&gt;$H$4,"",IF(INDEX('Fleet dates'!$C$9:$C$1008,$I100-8)="","",INDEX('Fleet dates'!$C$9:$C$1008,$I100-8)))</x:f>
      </x:c>
      <x:c r="D100" s="51" t="str">
        <x:f>IF(92&gt;$H$4,"",IF(INDEX('Fleet dates'!$D$9:$D$1008,$I100-8)="","",INDEX('Fleet dates'!$D$9:$D$1008,$I100-8)))</x:f>
      </x:c>
      <x:c r="E100" s="51" t="str">
        <x:f>IF(92&gt;$H$4,"",IF(INDEX('Fleet dates'!$E$9:$E$1008,$I100-8)="","",INDEX('Fleet dates'!$E$9:$E$1008,$I100-8)))</x:f>
      </x:c>
      <x:c r="F100" s="51" t="str">
        <x:f>IF(92&gt;$H$4,"",IF(INDEX('Fleet dates'!$F$9:$F$1008,$I100-8)="","",INDEX('Fleet dates'!$F$9:$F$1008,$I100-8)))</x:f>
      </x:c>
      <x:c r="G100" s="50" t="str">
        <x:f>IF(92&gt;$H$4,"",IF(INDEX('Fleet dates'!$G$9:$G$1008,$I100-8)="","",INDEX('Fleet dates'!$G$9:$G$1008,$I100-8)))</x:f>
      </x:c>
      <x:c r="H100" s="50" t="str">
        <x:f>IF(92&gt;$H$4,"",IF(INDEX('Fleet dates'!$I$9:$I$1008,$I100-8)="","",INDEX('Fleet dates'!$I$9:$I$1008,$I100-8)))</x:f>
      </x:c>
      <x:c r="I100" t="str">
        <x:f>IF(92&gt;$H$4,"",MATCH(92,'Fleet dates'!$M$9:$M$1008,0)+8)</x:f>
      </x:c>
    </x:row>
    <x:row r="101" ht="36" customHeight="1">
      <x:c r="A101" s="50" t="str">
        <x:f>IF(93&gt;$H$4,"",IF(INDEX('Fleet dates'!$A$9:$A$1008,$I101-8)="","",INDEX('Fleet dates'!$A$9:$A$1008,$I101-8)))</x:f>
      </x:c>
      <x:c r="B101" s="50" t="str">
        <x:f>IF(93&gt;$H$4,"",IF(INDEX('Fleet dates'!$B$9:$B$1008,$I101-8)="","",INDEX('Fleet dates'!$B$9:$B$1008,$I101-8)))</x:f>
      </x:c>
      <x:c r="C101" s="51" t="str">
        <x:f>IF(93&gt;$H$4,"",IF(INDEX('Fleet dates'!$C$9:$C$1008,$I101-8)="","",INDEX('Fleet dates'!$C$9:$C$1008,$I101-8)))</x:f>
      </x:c>
      <x:c r="D101" s="51" t="str">
        <x:f>IF(93&gt;$H$4,"",IF(INDEX('Fleet dates'!$D$9:$D$1008,$I101-8)="","",INDEX('Fleet dates'!$D$9:$D$1008,$I101-8)))</x:f>
      </x:c>
      <x:c r="E101" s="51" t="str">
        <x:f>IF(93&gt;$H$4,"",IF(INDEX('Fleet dates'!$E$9:$E$1008,$I101-8)="","",INDEX('Fleet dates'!$E$9:$E$1008,$I101-8)))</x:f>
      </x:c>
      <x:c r="F101" s="51" t="str">
        <x:f>IF(93&gt;$H$4,"",IF(INDEX('Fleet dates'!$F$9:$F$1008,$I101-8)="","",INDEX('Fleet dates'!$F$9:$F$1008,$I101-8)))</x:f>
      </x:c>
      <x:c r="G101" s="50" t="str">
        <x:f>IF(93&gt;$H$4,"",IF(INDEX('Fleet dates'!$G$9:$G$1008,$I101-8)="","",INDEX('Fleet dates'!$G$9:$G$1008,$I101-8)))</x:f>
      </x:c>
      <x:c r="H101" s="50" t="str">
        <x:f>IF(93&gt;$H$4,"",IF(INDEX('Fleet dates'!$I$9:$I$1008,$I101-8)="","",INDEX('Fleet dates'!$I$9:$I$1008,$I101-8)))</x:f>
      </x:c>
      <x:c r="I101" t="str">
        <x:f>IF(93&gt;$H$4,"",MATCH(93,'Fleet dates'!$M$9:$M$1008,0)+8)</x:f>
      </x:c>
    </x:row>
    <x:row r="102" ht="36" customHeight="1">
      <x:c r="A102" s="50" t="str">
        <x:f>IF(94&gt;$H$4,"",IF(INDEX('Fleet dates'!$A$9:$A$1008,$I102-8)="","",INDEX('Fleet dates'!$A$9:$A$1008,$I102-8)))</x:f>
      </x:c>
      <x:c r="B102" s="50" t="str">
        <x:f>IF(94&gt;$H$4,"",IF(INDEX('Fleet dates'!$B$9:$B$1008,$I102-8)="","",INDEX('Fleet dates'!$B$9:$B$1008,$I102-8)))</x:f>
      </x:c>
      <x:c r="C102" s="51" t="str">
        <x:f>IF(94&gt;$H$4,"",IF(INDEX('Fleet dates'!$C$9:$C$1008,$I102-8)="","",INDEX('Fleet dates'!$C$9:$C$1008,$I102-8)))</x:f>
      </x:c>
      <x:c r="D102" s="51" t="str">
        <x:f>IF(94&gt;$H$4,"",IF(INDEX('Fleet dates'!$D$9:$D$1008,$I102-8)="","",INDEX('Fleet dates'!$D$9:$D$1008,$I102-8)))</x:f>
      </x:c>
      <x:c r="E102" s="51" t="str">
        <x:f>IF(94&gt;$H$4,"",IF(INDEX('Fleet dates'!$E$9:$E$1008,$I102-8)="","",INDEX('Fleet dates'!$E$9:$E$1008,$I102-8)))</x:f>
      </x:c>
      <x:c r="F102" s="51" t="str">
        <x:f>IF(94&gt;$H$4,"",IF(INDEX('Fleet dates'!$F$9:$F$1008,$I102-8)="","",INDEX('Fleet dates'!$F$9:$F$1008,$I102-8)))</x:f>
      </x:c>
      <x:c r="G102" s="50" t="str">
        <x:f>IF(94&gt;$H$4,"",IF(INDEX('Fleet dates'!$G$9:$G$1008,$I102-8)="","",INDEX('Fleet dates'!$G$9:$G$1008,$I102-8)))</x:f>
      </x:c>
      <x:c r="H102" s="50" t="str">
        <x:f>IF(94&gt;$H$4,"",IF(INDEX('Fleet dates'!$I$9:$I$1008,$I102-8)="","",INDEX('Fleet dates'!$I$9:$I$1008,$I102-8)))</x:f>
      </x:c>
      <x:c r="I102" t="str">
        <x:f>IF(94&gt;$H$4,"",MATCH(94,'Fleet dates'!$M$9:$M$1008,0)+8)</x:f>
      </x:c>
    </x:row>
    <x:row r="103" ht="36" customHeight="1">
      <x:c r="A103" s="50" t="str">
        <x:f>IF(95&gt;$H$4,"",IF(INDEX('Fleet dates'!$A$9:$A$1008,$I103-8)="","",INDEX('Fleet dates'!$A$9:$A$1008,$I103-8)))</x:f>
      </x:c>
      <x:c r="B103" s="50" t="str">
        <x:f>IF(95&gt;$H$4,"",IF(INDEX('Fleet dates'!$B$9:$B$1008,$I103-8)="","",INDEX('Fleet dates'!$B$9:$B$1008,$I103-8)))</x:f>
      </x:c>
      <x:c r="C103" s="51" t="str">
        <x:f>IF(95&gt;$H$4,"",IF(INDEX('Fleet dates'!$C$9:$C$1008,$I103-8)="","",INDEX('Fleet dates'!$C$9:$C$1008,$I103-8)))</x:f>
      </x:c>
      <x:c r="D103" s="51" t="str">
        <x:f>IF(95&gt;$H$4,"",IF(INDEX('Fleet dates'!$D$9:$D$1008,$I103-8)="","",INDEX('Fleet dates'!$D$9:$D$1008,$I103-8)))</x:f>
      </x:c>
      <x:c r="E103" s="51" t="str">
        <x:f>IF(95&gt;$H$4,"",IF(INDEX('Fleet dates'!$E$9:$E$1008,$I103-8)="","",INDEX('Fleet dates'!$E$9:$E$1008,$I103-8)))</x:f>
      </x:c>
      <x:c r="F103" s="51" t="str">
        <x:f>IF(95&gt;$H$4,"",IF(INDEX('Fleet dates'!$F$9:$F$1008,$I103-8)="","",INDEX('Fleet dates'!$F$9:$F$1008,$I103-8)))</x:f>
      </x:c>
      <x:c r="G103" s="50" t="str">
        <x:f>IF(95&gt;$H$4,"",IF(INDEX('Fleet dates'!$G$9:$G$1008,$I103-8)="","",INDEX('Fleet dates'!$G$9:$G$1008,$I103-8)))</x:f>
      </x:c>
      <x:c r="H103" s="50" t="str">
        <x:f>IF(95&gt;$H$4,"",IF(INDEX('Fleet dates'!$I$9:$I$1008,$I103-8)="","",INDEX('Fleet dates'!$I$9:$I$1008,$I103-8)))</x:f>
      </x:c>
      <x:c r="I103" t="str">
        <x:f>IF(95&gt;$H$4,"",MATCH(95,'Fleet dates'!$M$9:$M$1008,0)+8)</x:f>
      </x:c>
    </x:row>
    <x:row r="104" ht="36" customHeight="1">
      <x:c r="A104" s="50" t="str">
        <x:f>IF(96&gt;$H$4,"",IF(INDEX('Fleet dates'!$A$9:$A$1008,$I104-8)="","",INDEX('Fleet dates'!$A$9:$A$1008,$I104-8)))</x:f>
      </x:c>
      <x:c r="B104" s="50" t="str">
        <x:f>IF(96&gt;$H$4,"",IF(INDEX('Fleet dates'!$B$9:$B$1008,$I104-8)="","",INDEX('Fleet dates'!$B$9:$B$1008,$I104-8)))</x:f>
      </x:c>
      <x:c r="C104" s="51" t="str">
        <x:f>IF(96&gt;$H$4,"",IF(INDEX('Fleet dates'!$C$9:$C$1008,$I104-8)="","",INDEX('Fleet dates'!$C$9:$C$1008,$I104-8)))</x:f>
      </x:c>
      <x:c r="D104" s="51" t="str">
        <x:f>IF(96&gt;$H$4,"",IF(INDEX('Fleet dates'!$D$9:$D$1008,$I104-8)="","",INDEX('Fleet dates'!$D$9:$D$1008,$I104-8)))</x:f>
      </x:c>
      <x:c r="E104" s="51" t="str">
        <x:f>IF(96&gt;$H$4,"",IF(INDEX('Fleet dates'!$E$9:$E$1008,$I104-8)="","",INDEX('Fleet dates'!$E$9:$E$1008,$I104-8)))</x:f>
      </x:c>
      <x:c r="F104" s="51" t="str">
        <x:f>IF(96&gt;$H$4,"",IF(INDEX('Fleet dates'!$F$9:$F$1008,$I104-8)="","",INDEX('Fleet dates'!$F$9:$F$1008,$I104-8)))</x:f>
      </x:c>
      <x:c r="G104" s="50" t="str">
        <x:f>IF(96&gt;$H$4,"",IF(INDEX('Fleet dates'!$G$9:$G$1008,$I104-8)="","",INDEX('Fleet dates'!$G$9:$G$1008,$I104-8)))</x:f>
      </x:c>
      <x:c r="H104" s="50" t="str">
        <x:f>IF(96&gt;$H$4,"",IF(INDEX('Fleet dates'!$I$9:$I$1008,$I104-8)="","",INDEX('Fleet dates'!$I$9:$I$1008,$I104-8)))</x:f>
      </x:c>
      <x:c r="I104" t="str">
        <x:f>IF(96&gt;$H$4,"",MATCH(96,'Fleet dates'!$M$9:$M$1008,0)+8)</x:f>
      </x:c>
    </x:row>
    <x:row r="105" ht="36" customHeight="1">
      <x:c r="A105" s="50" t="str">
        <x:f>IF(97&gt;$H$4,"",IF(INDEX('Fleet dates'!$A$9:$A$1008,$I105-8)="","",INDEX('Fleet dates'!$A$9:$A$1008,$I105-8)))</x:f>
      </x:c>
      <x:c r="B105" s="50" t="str">
        <x:f>IF(97&gt;$H$4,"",IF(INDEX('Fleet dates'!$B$9:$B$1008,$I105-8)="","",INDEX('Fleet dates'!$B$9:$B$1008,$I105-8)))</x:f>
      </x:c>
      <x:c r="C105" s="51" t="str">
        <x:f>IF(97&gt;$H$4,"",IF(INDEX('Fleet dates'!$C$9:$C$1008,$I105-8)="","",INDEX('Fleet dates'!$C$9:$C$1008,$I105-8)))</x:f>
      </x:c>
      <x:c r="D105" s="51" t="str">
        <x:f>IF(97&gt;$H$4,"",IF(INDEX('Fleet dates'!$D$9:$D$1008,$I105-8)="","",INDEX('Fleet dates'!$D$9:$D$1008,$I105-8)))</x:f>
      </x:c>
      <x:c r="E105" s="51" t="str">
        <x:f>IF(97&gt;$H$4,"",IF(INDEX('Fleet dates'!$E$9:$E$1008,$I105-8)="","",INDEX('Fleet dates'!$E$9:$E$1008,$I105-8)))</x:f>
      </x:c>
      <x:c r="F105" s="51" t="str">
        <x:f>IF(97&gt;$H$4,"",IF(INDEX('Fleet dates'!$F$9:$F$1008,$I105-8)="","",INDEX('Fleet dates'!$F$9:$F$1008,$I105-8)))</x:f>
      </x:c>
      <x:c r="G105" s="50" t="str">
        <x:f>IF(97&gt;$H$4,"",IF(INDEX('Fleet dates'!$G$9:$G$1008,$I105-8)="","",INDEX('Fleet dates'!$G$9:$G$1008,$I105-8)))</x:f>
      </x:c>
      <x:c r="H105" s="50" t="str">
        <x:f>IF(97&gt;$H$4,"",IF(INDEX('Fleet dates'!$I$9:$I$1008,$I105-8)="","",INDEX('Fleet dates'!$I$9:$I$1008,$I105-8)))</x:f>
      </x:c>
      <x:c r="I105" t="str">
        <x:f>IF(97&gt;$H$4,"",MATCH(97,'Fleet dates'!$M$9:$M$1008,0)+8)</x:f>
      </x:c>
    </x:row>
    <x:row r="106" ht="36" customHeight="1">
      <x:c r="A106" s="50" t="str">
        <x:f>IF(98&gt;$H$4,"",IF(INDEX('Fleet dates'!$A$9:$A$1008,$I106-8)="","",INDEX('Fleet dates'!$A$9:$A$1008,$I106-8)))</x:f>
      </x:c>
      <x:c r="B106" s="50" t="str">
        <x:f>IF(98&gt;$H$4,"",IF(INDEX('Fleet dates'!$B$9:$B$1008,$I106-8)="","",INDEX('Fleet dates'!$B$9:$B$1008,$I106-8)))</x:f>
      </x:c>
      <x:c r="C106" s="51" t="str">
        <x:f>IF(98&gt;$H$4,"",IF(INDEX('Fleet dates'!$C$9:$C$1008,$I106-8)="","",INDEX('Fleet dates'!$C$9:$C$1008,$I106-8)))</x:f>
      </x:c>
      <x:c r="D106" s="51" t="str">
        <x:f>IF(98&gt;$H$4,"",IF(INDEX('Fleet dates'!$D$9:$D$1008,$I106-8)="","",INDEX('Fleet dates'!$D$9:$D$1008,$I106-8)))</x:f>
      </x:c>
      <x:c r="E106" s="51" t="str">
        <x:f>IF(98&gt;$H$4,"",IF(INDEX('Fleet dates'!$E$9:$E$1008,$I106-8)="","",INDEX('Fleet dates'!$E$9:$E$1008,$I106-8)))</x:f>
      </x:c>
      <x:c r="F106" s="51" t="str">
        <x:f>IF(98&gt;$H$4,"",IF(INDEX('Fleet dates'!$F$9:$F$1008,$I106-8)="","",INDEX('Fleet dates'!$F$9:$F$1008,$I106-8)))</x:f>
      </x:c>
      <x:c r="G106" s="50" t="str">
        <x:f>IF(98&gt;$H$4,"",IF(INDEX('Fleet dates'!$G$9:$G$1008,$I106-8)="","",INDEX('Fleet dates'!$G$9:$G$1008,$I106-8)))</x:f>
      </x:c>
      <x:c r="H106" s="50" t="str">
        <x:f>IF(98&gt;$H$4,"",IF(INDEX('Fleet dates'!$I$9:$I$1008,$I106-8)="","",INDEX('Fleet dates'!$I$9:$I$1008,$I106-8)))</x:f>
      </x:c>
      <x:c r="I106" t="str">
        <x:f>IF(98&gt;$H$4,"",MATCH(98,'Fleet dates'!$M$9:$M$1008,0)+8)</x:f>
      </x:c>
    </x:row>
    <x:row r="107" ht="36" customHeight="1">
      <x:c r="A107" s="50" t="str">
        <x:f>IF(99&gt;$H$4,"",IF(INDEX('Fleet dates'!$A$9:$A$1008,$I107-8)="","",INDEX('Fleet dates'!$A$9:$A$1008,$I107-8)))</x:f>
      </x:c>
      <x:c r="B107" s="50" t="str">
        <x:f>IF(99&gt;$H$4,"",IF(INDEX('Fleet dates'!$B$9:$B$1008,$I107-8)="","",INDEX('Fleet dates'!$B$9:$B$1008,$I107-8)))</x:f>
      </x:c>
      <x:c r="C107" s="51" t="str">
        <x:f>IF(99&gt;$H$4,"",IF(INDEX('Fleet dates'!$C$9:$C$1008,$I107-8)="","",INDEX('Fleet dates'!$C$9:$C$1008,$I107-8)))</x:f>
      </x:c>
      <x:c r="D107" s="51" t="str">
        <x:f>IF(99&gt;$H$4,"",IF(INDEX('Fleet dates'!$D$9:$D$1008,$I107-8)="","",INDEX('Fleet dates'!$D$9:$D$1008,$I107-8)))</x:f>
      </x:c>
      <x:c r="E107" s="51" t="str">
        <x:f>IF(99&gt;$H$4,"",IF(INDEX('Fleet dates'!$E$9:$E$1008,$I107-8)="","",INDEX('Fleet dates'!$E$9:$E$1008,$I107-8)))</x:f>
      </x:c>
      <x:c r="F107" s="51" t="str">
        <x:f>IF(99&gt;$H$4,"",IF(INDEX('Fleet dates'!$F$9:$F$1008,$I107-8)="","",INDEX('Fleet dates'!$F$9:$F$1008,$I107-8)))</x:f>
      </x:c>
      <x:c r="G107" s="50" t="str">
        <x:f>IF(99&gt;$H$4,"",IF(INDEX('Fleet dates'!$G$9:$G$1008,$I107-8)="","",INDEX('Fleet dates'!$G$9:$G$1008,$I107-8)))</x:f>
      </x:c>
      <x:c r="H107" s="50" t="str">
        <x:f>IF(99&gt;$H$4,"",IF(INDEX('Fleet dates'!$I$9:$I$1008,$I107-8)="","",INDEX('Fleet dates'!$I$9:$I$1008,$I107-8)))</x:f>
      </x:c>
      <x:c r="I107" t="str">
        <x:f>IF(99&gt;$H$4,"",MATCH(99,'Fleet dates'!$M$9:$M$1008,0)+8)</x:f>
      </x:c>
    </x:row>
    <x:row r="108" ht="36" customHeight="1">
      <x:c r="A108" s="50" t="str">
        <x:f>IF(100&gt;$H$4,"",IF(INDEX('Fleet dates'!$A$9:$A$1008,$I108-8)="","",INDEX('Fleet dates'!$A$9:$A$1008,$I108-8)))</x:f>
      </x:c>
      <x:c r="B108" s="50" t="str">
        <x:f>IF(100&gt;$H$4,"",IF(INDEX('Fleet dates'!$B$9:$B$1008,$I108-8)="","",INDEX('Fleet dates'!$B$9:$B$1008,$I108-8)))</x:f>
      </x:c>
      <x:c r="C108" s="51" t="str">
        <x:f>IF(100&gt;$H$4,"",IF(INDEX('Fleet dates'!$C$9:$C$1008,$I108-8)="","",INDEX('Fleet dates'!$C$9:$C$1008,$I108-8)))</x:f>
      </x:c>
      <x:c r="D108" s="51" t="str">
        <x:f>IF(100&gt;$H$4,"",IF(INDEX('Fleet dates'!$D$9:$D$1008,$I108-8)="","",INDEX('Fleet dates'!$D$9:$D$1008,$I108-8)))</x:f>
      </x:c>
      <x:c r="E108" s="51" t="str">
        <x:f>IF(100&gt;$H$4,"",IF(INDEX('Fleet dates'!$E$9:$E$1008,$I108-8)="","",INDEX('Fleet dates'!$E$9:$E$1008,$I108-8)))</x:f>
      </x:c>
      <x:c r="F108" s="51" t="str">
        <x:f>IF(100&gt;$H$4,"",IF(INDEX('Fleet dates'!$F$9:$F$1008,$I108-8)="","",INDEX('Fleet dates'!$F$9:$F$1008,$I108-8)))</x:f>
      </x:c>
      <x:c r="G108" s="50" t="str">
        <x:f>IF(100&gt;$H$4,"",IF(INDEX('Fleet dates'!$G$9:$G$1008,$I108-8)="","",INDEX('Fleet dates'!$G$9:$G$1008,$I108-8)))</x:f>
      </x:c>
      <x:c r="H108" s="50" t="str">
        <x:f>IF(100&gt;$H$4,"",IF(INDEX('Fleet dates'!$I$9:$I$1008,$I108-8)="","",INDEX('Fleet dates'!$I$9:$I$1008,$I108-8)))</x:f>
      </x:c>
      <x:c r="I108" t="str">
        <x:f>IF(100&gt;$H$4,"",MATCH(100,'Fleet dates'!$M$9:$M$1008,0)+8)</x:f>
      </x:c>
    </x:row>
    <x:row r="109" ht="36" customHeight="1">
      <x:c r="A109" s="50" t="str">
        <x:f>IF(101&gt;$H$4,"",IF(INDEX('Fleet dates'!$A$9:$A$1008,$I109-8)="","",INDEX('Fleet dates'!$A$9:$A$1008,$I109-8)))</x:f>
      </x:c>
      <x:c r="B109" s="50" t="str">
        <x:f>IF(101&gt;$H$4,"",IF(INDEX('Fleet dates'!$B$9:$B$1008,$I109-8)="","",INDEX('Fleet dates'!$B$9:$B$1008,$I109-8)))</x:f>
      </x:c>
      <x:c r="C109" s="51" t="str">
        <x:f>IF(101&gt;$H$4,"",IF(INDEX('Fleet dates'!$C$9:$C$1008,$I109-8)="","",INDEX('Fleet dates'!$C$9:$C$1008,$I109-8)))</x:f>
      </x:c>
      <x:c r="D109" s="51" t="str">
        <x:f>IF(101&gt;$H$4,"",IF(INDEX('Fleet dates'!$D$9:$D$1008,$I109-8)="","",INDEX('Fleet dates'!$D$9:$D$1008,$I109-8)))</x:f>
      </x:c>
      <x:c r="E109" s="51" t="str">
        <x:f>IF(101&gt;$H$4,"",IF(INDEX('Fleet dates'!$E$9:$E$1008,$I109-8)="","",INDEX('Fleet dates'!$E$9:$E$1008,$I109-8)))</x:f>
      </x:c>
      <x:c r="F109" s="51" t="str">
        <x:f>IF(101&gt;$H$4,"",IF(INDEX('Fleet dates'!$F$9:$F$1008,$I109-8)="","",INDEX('Fleet dates'!$F$9:$F$1008,$I109-8)))</x:f>
      </x:c>
      <x:c r="G109" s="50" t="str">
        <x:f>IF(101&gt;$H$4,"",IF(INDEX('Fleet dates'!$G$9:$G$1008,$I109-8)="","",INDEX('Fleet dates'!$G$9:$G$1008,$I109-8)))</x:f>
      </x:c>
      <x:c r="H109" s="50" t="str">
        <x:f>IF(101&gt;$H$4,"",IF(INDEX('Fleet dates'!$I$9:$I$1008,$I109-8)="","",INDEX('Fleet dates'!$I$9:$I$1008,$I109-8)))</x:f>
      </x:c>
      <x:c r="I109" t="str">
        <x:f>IF(101&gt;$H$4,"",MATCH(101,'Fleet dates'!$M$9:$M$1008,0)+8)</x:f>
      </x:c>
    </x:row>
    <x:row r="110" ht="36" customHeight="1">
      <x:c r="A110" s="50" t="str">
        <x:f>IF(102&gt;$H$4,"",IF(INDEX('Fleet dates'!$A$9:$A$1008,$I110-8)="","",INDEX('Fleet dates'!$A$9:$A$1008,$I110-8)))</x:f>
      </x:c>
      <x:c r="B110" s="50" t="str">
        <x:f>IF(102&gt;$H$4,"",IF(INDEX('Fleet dates'!$B$9:$B$1008,$I110-8)="","",INDEX('Fleet dates'!$B$9:$B$1008,$I110-8)))</x:f>
      </x:c>
      <x:c r="C110" s="51" t="str">
        <x:f>IF(102&gt;$H$4,"",IF(INDEX('Fleet dates'!$C$9:$C$1008,$I110-8)="","",INDEX('Fleet dates'!$C$9:$C$1008,$I110-8)))</x:f>
      </x:c>
      <x:c r="D110" s="51" t="str">
        <x:f>IF(102&gt;$H$4,"",IF(INDEX('Fleet dates'!$D$9:$D$1008,$I110-8)="","",INDEX('Fleet dates'!$D$9:$D$1008,$I110-8)))</x:f>
      </x:c>
      <x:c r="E110" s="51" t="str">
        <x:f>IF(102&gt;$H$4,"",IF(INDEX('Fleet dates'!$E$9:$E$1008,$I110-8)="","",INDEX('Fleet dates'!$E$9:$E$1008,$I110-8)))</x:f>
      </x:c>
      <x:c r="F110" s="51" t="str">
        <x:f>IF(102&gt;$H$4,"",IF(INDEX('Fleet dates'!$F$9:$F$1008,$I110-8)="","",INDEX('Fleet dates'!$F$9:$F$1008,$I110-8)))</x:f>
      </x:c>
      <x:c r="G110" s="50" t="str">
        <x:f>IF(102&gt;$H$4,"",IF(INDEX('Fleet dates'!$G$9:$G$1008,$I110-8)="","",INDEX('Fleet dates'!$G$9:$G$1008,$I110-8)))</x:f>
      </x:c>
      <x:c r="H110" s="50" t="str">
        <x:f>IF(102&gt;$H$4,"",IF(INDEX('Fleet dates'!$I$9:$I$1008,$I110-8)="","",INDEX('Fleet dates'!$I$9:$I$1008,$I110-8)))</x:f>
      </x:c>
      <x:c r="I110" t="str">
        <x:f>IF(102&gt;$H$4,"",MATCH(102,'Fleet dates'!$M$9:$M$1008,0)+8)</x:f>
      </x:c>
    </x:row>
    <x:row r="111" ht="36" customHeight="1">
      <x:c r="A111" s="50" t="str">
        <x:f>IF(103&gt;$H$4,"",IF(INDEX('Fleet dates'!$A$9:$A$1008,$I111-8)="","",INDEX('Fleet dates'!$A$9:$A$1008,$I111-8)))</x:f>
      </x:c>
      <x:c r="B111" s="50" t="str">
        <x:f>IF(103&gt;$H$4,"",IF(INDEX('Fleet dates'!$B$9:$B$1008,$I111-8)="","",INDEX('Fleet dates'!$B$9:$B$1008,$I111-8)))</x:f>
      </x:c>
      <x:c r="C111" s="51" t="str">
        <x:f>IF(103&gt;$H$4,"",IF(INDEX('Fleet dates'!$C$9:$C$1008,$I111-8)="","",INDEX('Fleet dates'!$C$9:$C$1008,$I111-8)))</x:f>
      </x:c>
      <x:c r="D111" s="51" t="str">
        <x:f>IF(103&gt;$H$4,"",IF(INDEX('Fleet dates'!$D$9:$D$1008,$I111-8)="","",INDEX('Fleet dates'!$D$9:$D$1008,$I111-8)))</x:f>
      </x:c>
      <x:c r="E111" s="51" t="str">
        <x:f>IF(103&gt;$H$4,"",IF(INDEX('Fleet dates'!$E$9:$E$1008,$I111-8)="","",INDEX('Fleet dates'!$E$9:$E$1008,$I111-8)))</x:f>
      </x:c>
      <x:c r="F111" s="51" t="str">
        <x:f>IF(103&gt;$H$4,"",IF(INDEX('Fleet dates'!$F$9:$F$1008,$I111-8)="","",INDEX('Fleet dates'!$F$9:$F$1008,$I111-8)))</x:f>
      </x:c>
      <x:c r="G111" s="50" t="str">
        <x:f>IF(103&gt;$H$4,"",IF(INDEX('Fleet dates'!$G$9:$G$1008,$I111-8)="","",INDEX('Fleet dates'!$G$9:$G$1008,$I111-8)))</x:f>
      </x:c>
      <x:c r="H111" s="50" t="str">
        <x:f>IF(103&gt;$H$4,"",IF(INDEX('Fleet dates'!$I$9:$I$1008,$I111-8)="","",INDEX('Fleet dates'!$I$9:$I$1008,$I111-8)))</x:f>
      </x:c>
      <x:c r="I111" t="str">
        <x:f>IF(103&gt;$H$4,"",MATCH(103,'Fleet dates'!$M$9:$M$1008,0)+8)</x:f>
      </x:c>
    </x:row>
    <x:row r="112" ht="36" customHeight="1">
      <x:c r="A112" s="50" t="str">
        <x:f>IF(104&gt;$H$4,"",IF(INDEX('Fleet dates'!$A$9:$A$1008,$I112-8)="","",INDEX('Fleet dates'!$A$9:$A$1008,$I112-8)))</x:f>
      </x:c>
      <x:c r="B112" s="50" t="str">
        <x:f>IF(104&gt;$H$4,"",IF(INDEX('Fleet dates'!$B$9:$B$1008,$I112-8)="","",INDEX('Fleet dates'!$B$9:$B$1008,$I112-8)))</x:f>
      </x:c>
      <x:c r="C112" s="51" t="str">
        <x:f>IF(104&gt;$H$4,"",IF(INDEX('Fleet dates'!$C$9:$C$1008,$I112-8)="","",INDEX('Fleet dates'!$C$9:$C$1008,$I112-8)))</x:f>
      </x:c>
      <x:c r="D112" s="51" t="str">
        <x:f>IF(104&gt;$H$4,"",IF(INDEX('Fleet dates'!$D$9:$D$1008,$I112-8)="","",INDEX('Fleet dates'!$D$9:$D$1008,$I112-8)))</x:f>
      </x:c>
      <x:c r="E112" s="51" t="str">
        <x:f>IF(104&gt;$H$4,"",IF(INDEX('Fleet dates'!$E$9:$E$1008,$I112-8)="","",INDEX('Fleet dates'!$E$9:$E$1008,$I112-8)))</x:f>
      </x:c>
      <x:c r="F112" s="51" t="str">
        <x:f>IF(104&gt;$H$4,"",IF(INDEX('Fleet dates'!$F$9:$F$1008,$I112-8)="","",INDEX('Fleet dates'!$F$9:$F$1008,$I112-8)))</x:f>
      </x:c>
      <x:c r="G112" s="50" t="str">
        <x:f>IF(104&gt;$H$4,"",IF(INDEX('Fleet dates'!$G$9:$G$1008,$I112-8)="","",INDEX('Fleet dates'!$G$9:$G$1008,$I112-8)))</x:f>
      </x:c>
      <x:c r="H112" s="50" t="str">
        <x:f>IF(104&gt;$H$4,"",IF(INDEX('Fleet dates'!$I$9:$I$1008,$I112-8)="","",INDEX('Fleet dates'!$I$9:$I$1008,$I112-8)))</x:f>
      </x:c>
      <x:c r="I112" t="str">
        <x:f>IF(104&gt;$H$4,"",MATCH(104,'Fleet dates'!$M$9:$M$1008,0)+8)</x:f>
      </x:c>
    </x:row>
    <x:row r="113" ht="36" customHeight="1">
      <x:c r="A113" s="50" t="str">
        <x:f>IF(105&gt;$H$4,"",IF(INDEX('Fleet dates'!$A$9:$A$1008,$I113-8)="","",INDEX('Fleet dates'!$A$9:$A$1008,$I113-8)))</x:f>
      </x:c>
      <x:c r="B113" s="50" t="str">
        <x:f>IF(105&gt;$H$4,"",IF(INDEX('Fleet dates'!$B$9:$B$1008,$I113-8)="","",INDEX('Fleet dates'!$B$9:$B$1008,$I113-8)))</x:f>
      </x:c>
      <x:c r="C113" s="51" t="str">
        <x:f>IF(105&gt;$H$4,"",IF(INDEX('Fleet dates'!$C$9:$C$1008,$I113-8)="","",INDEX('Fleet dates'!$C$9:$C$1008,$I113-8)))</x:f>
      </x:c>
      <x:c r="D113" s="51" t="str">
        <x:f>IF(105&gt;$H$4,"",IF(INDEX('Fleet dates'!$D$9:$D$1008,$I113-8)="","",INDEX('Fleet dates'!$D$9:$D$1008,$I113-8)))</x:f>
      </x:c>
      <x:c r="E113" s="51" t="str">
        <x:f>IF(105&gt;$H$4,"",IF(INDEX('Fleet dates'!$E$9:$E$1008,$I113-8)="","",INDEX('Fleet dates'!$E$9:$E$1008,$I113-8)))</x:f>
      </x:c>
      <x:c r="F113" s="51" t="str">
        <x:f>IF(105&gt;$H$4,"",IF(INDEX('Fleet dates'!$F$9:$F$1008,$I113-8)="","",INDEX('Fleet dates'!$F$9:$F$1008,$I113-8)))</x:f>
      </x:c>
      <x:c r="G113" s="50" t="str">
        <x:f>IF(105&gt;$H$4,"",IF(INDEX('Fleet dates'!$G$9:$G$1008,$I113-8)="","",INDEX('Fleet dates'!$G$9:$G$1008,$I113-8)))</x:f>
      </x:c>
      <x:c r="H113" s="50" t="str">
        <x:f>IF(105&gt;$H$4,"",IF(INDEX('Fleet dates'!$I$9:$I$1008,$I113-8)="","",INDEX('Fleet dates'!$I$9:$I$1008,$I113-8)))</x:f>
      </x:c>
      <x:c r="I113" t="str">
        <x:f>IF(105&gt;$H$4,"",MATCH(105,'Fleet dates'!$M$9:$M$1008,0)+8)</x:f>
      </x:c>
    </x:row>
    <x:row r="114" ht="36" customHeight="1">
      <x:c r="A114" s="50" t="str">
        <x:f>IF(106&gt;$H$4,"",IF(INDEX('Fleet dates'!$A$9:$A$1008,$I114-8)="","",INDEX('Fleet dates'!$A$9:$A$1008,$I114-8)))</x:f>
      </x:c>
      <x:c r="B114" s="50" t="str">
        <x:f>IF(106&gt;$H$4,"",IF(INDEX('Fleet dates'!$B$9:$B$1008,$I114-8)="","",INDEX('Fleet dates'!$B$9:$B$1008,$I114-8)))</x:f>
      </x:c>
      <x:c r="C114" s="51" t="str">
        <x:f>IF(106&gt;$H$4,"",IF(INDEX('Fleet dates'!$C$9:$C$1008,$I114-8)="","",INDEX('Fleet dates'!$C$9:$C$1008,$I114-8)))</x:f>
      </x:c>
      <x:c r="D114" s="51" t="str">
        <x:f>IF(106&gt;$H$4,"",IF(INDEX('Fleet dates'!$D$9:$D$1008,$I114-8)="","",INDEX('Fleet dates'!$D$9:$D$1008,$I114-8)))</x:f>
      </x:c>
      <x:c r="E114" s="51" t="str">
        <x:f>IF(106&gt;$H$4,"",IF(INDEX('Fleet dates'!$E$9:$E$1008,$I114-8)="","",INDEX('Fleet dates'!$E$9:$E$1008,$I114-8)))</x:f>
      </x:c>
      <x:c r="F114" s="51" t="str">
        <x:f>IF(106&gt;$H$4,"",IF(INDEX('Fleet dates'!$F$9:$F$1008,$I114-8)="","",INDEX('Fleet dates'!$F$9:$F$1008,$I114-8)))</x:f>
      </x:c>
      <x:c r="G114" s="50" t="str">
        <x:f>IF(106&gt;$H$4,"",IF(INDEX('Fleet dates'!$G$9:$G$1008,$I114-8)="","",INDEX('Fleet dates'!$G$9:$G$1008,$I114-8)))</x:f>
      </x:c>
      <x:c r="H114" s="50" t="str">
        <x:f>IF(106&gt;$H$4,"",IF(INDEX('Fleet dates'!$I$9:$I$1008,$I114-8)="","",INDEX('Fleet dates'!$I$9:$I$1008,$I114-8)))</x:f>
      </x:c>
      <x:c r="I114" t="str">
        <x:f>IF(106&gt;$H$4,"",MATCH(106,'Fleet dates'!$M$9:$M$1008,0)+8)</x:f>
      </x:c>
    </x:row>
    <x:row r="115" ht="36" customHeight="1">
      <x:c r="A115" s="50" t="str">
        <x:f>IF(107&gt;$H$4,"",IF(INDEX('Fleet dates'!$A$9:$A$1008,$I115-8)="","",INDEX('Fleet dates'!$A$9:$A$1008,$I115-8)))</x:f>
      </x:c>
      <x:c r="B115" s="50" t="str">
        <x:f>IF(107&gt;$H$4,"",IF(INDEX('Fleet dates'!$B$9:$B$1008,$I115-8)="","",INDEX('Fleet dates'!$B$9:$B$1008,$I115-8)))</x:f>
      </x:c>
      <x:c r="C115" s="51" t="str">
        <x:f>IF(107&gt;$H$4,"",IF(INDEX('Fleet dates'!$C$9:$C$1008,$I115-8)="","",INDEX('Fleet dates'!$C$9:$C$1008,$I115-8)))</x:f>
      </x:c>
      <x:c r="D115" s="51" t="str">
        <x:f>IF(107&gt;$H$4,"",IF(INDEX('Fleet dates'!$D$9:$D$1008,$I115-8)="","",INDEX('Fleet dates'!$D$9:$D$1008,$I115-8)))</x:f>
      </x:c>
      <x:c r="E115" s="51" t="str">
        <x:f>IF(107&gt;$H$4,"",IF(INDEX('Fleet dates'!$E$9:$E$1008,$I115-8)="","",INDEX('Fleet dates'!$E$9:$E$1008,$I115-8)))</x:f>
      </x:c>
      <x:c r="F115" s="51" t="str">
        <x:f>IF(107&gt;$H$4,"",IF(INDEX('Fleet dates'!$F$9:$F$1008,$I115-8)="","",INDEX('Fleet dates'!$F$9:$F$1008,$I115-8)))</x:f>
      </x:c>
      <x:c r="G115" s="50" t="str">
        <x:f>IF(107&gt;$H$4,"",IF(INDEX('Fleet dates'!$G$9:$G$1008,$I115-8)="","",INDEX('Fleet dates'!$G$9:$G$1008,$I115-8)))</x:f>
      </x:c>
      <x:c r="H115" s="50" t="str">
        <x:f>IF(107&gt;$H$4,"",IF(INDEX('Fleet dates'!$I$9:$I$1008,$I115-8)="","",INDEX('Fleet dates'!$I$9:$I$1008,$I115-8)))</x:f>
      </x:c>
      <x:c r="I115" t="str">
        <x:f>IF(107&gt;$H$4,"",MATCH(107,'Fleet dates'!$M$9:$M$1008,0)+8)</x:f>
      </x:c>
    </x:row>
    <x:row r="116" ht="36" customHeight="1">
      <x:c r="A116" s="50" t="str">
        <x:f>IF(108&gt;$H$4,"",IF(INDEX('Fleet dates'!$A$9:$A$1008,$I116-8)="","",INDEX('Fleet dates'!$A$9:$A$1008,$I116-8)))</x:f>
      </x:c>
      <x:c r="B116" s="50" t="str">
        <x:f>IF(108&gt;$H$4,"",IF(INDEX('Fleet dates'!$B$9:$B$1008,$I116-8)="","",INDEX('Fleet dates'!$B$9:$B$1008,$I116-8)))</x:f>
      </x:c>
      <x:c r="C116" s="51" t="str">
        <x:f>IF(108&gt;$H$4,"",IF(INDEX('Fleet dates'!$C$9:$C$1008,$I116-8)="","",INDEX('Fleet dates'!$C$9:$C$1008,$I116-8)))</x:f>
      </x:c>
      <x:c r="D116" s="51" t="str">
        <x:f>IF(108&gt;$H$4,"",IF(INDEX('Fleet dates'!$D$9:$D$1008,$I116-8)="","",INDEX('Fleet dates'!$D$9:$D$1008,$I116-8)))</x:f>
      </x:c>
      <x:c r="E116" s="51" t="str">
        <x:f>IF(108&gt;$H$4,"",IF(INDEX('Fleet dates'!$E$9:$E$1008,$I116-8)="","",INDEX('Fleet dates'!$E$9:$E$1008,$I116-8)))</x:f>
      </x:c>
      <x:c r="F116" s="51" t="str">
        <x:f>IF(108&gt;$H$4,"",IF(INDEX('Fleet dates'!$F$9:$F$1008,$I116-8)="","",INDEX('Fleet dates'!$F$9:$F$1008,$I116-8)))</x:f>
      </x:c>
      <x:c r="G116" s="50" t="str">
        <x:f>IF(108&gt;$H$4,"",IF(INDEX('Fleet dates'!$G$9:$G$1008,$I116-8)="","",INDEX('Fleet dates'!$G$9:$G$1008,$I116-8)))</x:f>
      </x:c>
      <x:c r="H116" s="50" t="str">
        <x:f>IF(108&gt;$H$4,"",IF(INDEX('Fleet dates'!$I$9:$I$1008,$I116-8)="","",INDEX('Fleet dates'!$I$9:$I$1008,$I116-8)))</x:f>
      </x:c>
      <x:c r="I116" t="str">
        <x:f>IF(108&gt;$H$4,"",MATCH(108,'Fleet dates'!$M$9:$M$1008,0)+8)</x:f>
      </x:c>
    </x:row>
    <x:row r="117" ht="36" customHeight="1">
      <x:c r="A117" s="50" t="str">
        <x:f>IF(109&gt;$H$4,"",IF(INDEX('Fleet dates'!$A$9:$A$1008,$I117-8)="","",INDEX('Fleet dates'!$A$9:$A$1008,$I117-8)))</x:f>
      </x:c>
      <x:c r="B117" s="50" t="str">
        <x:f>IF(109&gt;$H$4,"",IF(INDEX('Fleet dates'!$B$9:$B$1008,$I117-8)="","",INDEX('Fleet dates'!$B$9:$B$1008,$I117-8)))</x:f>
      </x:c>
      <x:c r="C117" s="51" t="str">
        <x:f>IF(109&gt;$H$4,"",IF(INDEX('Fleet dates'!$C$9:$C$1008,$I117-8)="","",INDEX('Fleet dates'!$C$9:$C$1008,$I117-8)))</x:f>
      </x:c>
      <x:c r="D117" s="51" t="str">
        <x:f>IF(109&gt;$H$4,"",IF(INDEX('Fleet dates'!$D$9:$D$1008,$I117-8)="","",INDEX('Fleet dates'!$D$9:$D$1008,$I117-8)))</x:f>
      </x:c>
      <x:c r="E117" s="51" t="str">
        <x:f>IF(109&gt;$H$4,"",IF(INDEX('Fleet dates'!$E$9:$E$1008,$I117-8)="","",INDEX('Fleet dates'!$E$9:$E$1008,$I117-8)))</x:f>
      </x:c>
      <x:c r="F117" s="51" t="str">
        <x:f>IF(109&gt;$H$4,"",IF(INDEX('Fleet dates'!$F$9:$F$1008,$I117-8)="","",INDEX('Fleet dates'!$F$9:$F$1008,$I117-8)))</x:f>
      </x:c>
      <x:c r="G117" s="50" t="str">
        <x:f>IF(109&gt;$H$4,"",IF(INDEX('Fleet dates'!$G$9:$G$1008,$I117-8)="","",INDEX('Fleet dates'!$G$9:$G$1008,$I117-8)))</x:f>
      </x:c>
      <x:c r="H117" s="50" t="str">
        <x:f>IF(109&gt;$H$4,"",IF(INDEX('Fleet dates'!$I$9:$I$1008,$I117-8)="","",INDEX('Fleet dates'!$I$9:$I$1008,$I117-8)))</x:f>
      </x:c>
      <x:c r="I117" t="str">
        <x:f>IF(109&gt;$H$4,"",MATCH(109,'Fleet dates'!$M$9:$M$1008,0)+8)</x:f>
      </x:c>
    </x:row>
    <x:row r="118" ht="36" customHeight="1">
      <x:c r="A118" s="50" t="str">
        <x:f>IF(110&gt;$H$4,"",IF(INDEX('Fleet dates'!$A$9:$A$1008,$I118-8)="","",INDEX('Fleet dates'!$A$9:$A$1008,$I118-8)))</x:f>
      </x:c>
      <x:c r="B118" s="50" t="str">
        <x:f>IF(110&gt;$H$4,"",IF(INDEX('Fleet dates'!$B$9:$B$1008,$I118-8)="","",INDEX('Fleet dates'!$B$9:$B$1008,$I118-8)))</x:f>
      </x:c>
      <x:c r="C118" s="51" t="str">
        <x:f>IF(110&gt;$H$4,"",IF(INDEX('Fleet dates'!$C$9:$C$1008,$I118-8)="","",INDEX('Fleet dates'!$C$9:$C$1008,$I118-8)))</x:f>
      </x:c>
      <x:c r="D118" s="51" t="str">
        <x:f>IF(110&gt;$H$4,"",IF(INDEX('Fleet dates'!$D$9:$D$1008,$I118-8)="","",INDEX('Fleet dates'!$D$9:$D$1008,$I118-8)))</x:f>
      </x:c>
      <x:c r="E118" s="51" t="str">
        <x:f>IF(110&gt;$H$4,"",IF(INDEX('Fleet dates'!$E$9:$E$1008,$I118-8)="","",INDEX('Fleet dates'!$E$9:$E$1008,$I118-8)))</x:f>
      </x:c>
      <x:c r="F118" s="51" t="str">
        <x:f>IF(110&gt;$H$4,"",IF(INDEX('Fleet dates'!$F$9:$F$1008,$I118-8)="","",INDEX('Fleet dates'!$F$9:$F$1008,$I118-8)))</x:f>
      </x:c>
      <x:c r="G118" s="50" t="str">
        <x:f>IF(110&gt;$H$4,"",IF(INDEX('Fleet dates'!$G$9:$G$1008,$I118-8)="","",INDEX('Fleet dates'!$G$9:$G$1008,$I118-8)))</x:f>
      </x:c>
      <x:c r="H118" s="50" t="str">
        <x:f>IF(110&gt;$H$4,"",IF(INDEX('Fleet dates'!$I$9:$I$1008,$I118-8)="","",INDEX('Fleet dates'!$I$9:$I$1008,$I118-8)))</x:f>
      </x:c>
      <x:c r="I118" t="str">
        <x:f>IF(110&gt;$H$4,"",MATCH(110,'Fleet dates'!$M$9:$M$1008,0)+8)</x:f>
      </x:c>
    </x:row>
    <x:row r="119" ht="36" customHeight="1">
      <x:c r="A119" s="50" t="str">
        <x:f>IF(111&gt;$H$4,"",IF(INDEX('Fleet dates'!$A$9:$A$1008,$I119-8)="","",INDEX('Fleet dates'!$A$9:$A$1008,$I119-8)))</x:f>
      </x:c>
      <x:c r="B119" s="50" t="str">
        <x:f>IF(111&gt;$H$4,"",IF(INDEX('Fleet dates'!$B$9:$B$1008,$I119-8)="","",INDEX('Fleet dates'!$B$9:$B$1008,$I119-8)))</x:f>
      </x:c>
      <x:c r="C119" s="51" t="str">
        <x:f>IF(111&gt;$H$4,"",IF(INDEX('Fleet dates'!$C$9:$C$1008,$I119-8)="","",INDEX('Fleet dates'!$C$9:$C$1008,$I119-8)))</x:f>
      </x:c>
      <x:c r="D119" s="51" t="str">
        <x:f>IF(111&gt;$H$4,"",IF(INDEX('Fleet dates'!$D$9:$D$1008,$I119-8)="","",INDEX('Fleet dates'!$D$9:$D$1008,$I119-8)))</x:f>
      </x:c>
      <x:c r="E119" s="51" t="str">
        <x:f>IF(111&gt;$H$4,"",IF(INDEX('Fleet dates'!$E$9:$E$1008,$I119-8)="","",INDEX('Fleet dates'!$E$9:$E$1008,$I119-8)))</x:f>
      </x:c>
      <x:c r="F119" s="51" t="str">
        <x:f>IF(111&gt;$H$4,"",IF(INDEX('Fleet dates'!$F$9:$F$1008,$I119-8)="","",INDEX('Fleet dates'!$F$9:$F$1008,$I119-8)))</x:f>
      </x:c>
      <x:c r="G119" s="50" t="str">
        <x:f>IF(111&gt;$H$4,"",IF(INDEX('Fleet dates'!$G$9:$G$1008,$I119-8)="","",INDEX('Fleet dates'!$G$9:$G$1008,$I119-8)))</x:f>
      </x:c>
      <x:c r="H119" s="50" t="str">
        <x:f>IF(111&gt;$H$4,"",IF(INDEX('Fleet dates'!$I$9:$I$1008,$I119-8)="","",INDEX('Fleet dates'!$I$9:$I$1008,$I119-8)))</x:f>
      </x:c>
      <x:c r="I119" t="str">
        <x:f>IF(111&gt;$H$4,"",MATCH(111,'Fleet dates'!$M$9:$M$1008,0)+8)</x:f>
      </x:c>
    </x:row>
    <x:row r="120" ht="36" customHeight="1">
      <x:c r="A120" s="50" t="str">
        <x:f>IF(112&gt;$H$4,"",IF(INDEX('Fleet dates'!$A$9:$A$1008,$I120-8)="","",INDEX('Fleet dates'!$A$9:$A$1008,$I120-8)))</x:f>
      </x:c>
      <x:c r="B120" s="50" t="str">
        <x:f>IF(112&gt;$H$4,"",IF(INDEX('Fleet dates'!$B$9:$B$1008,$I120-8)="","",INDEX('Fleet dates'!$B$9:$B$1008,$I120-8)))</x:f>
      </x:c>
      <x:c r="C120" s="51" t="str">
        <x:f>IF(112&gt;$H$4,"",IF(INDEX('Fleet dates'!$C$9:$C$1008,$I120-8)="","",INDEX('Fleet dates'!$C$9:$C$1008,$I120-8)))</x:f>
      </x:c>
      <x:c r="D120" s="51" t="str">
        <x:f>IF(112&gt;$H$4,"",IF(INDEX('Fleet dates'!$D$9:$D$1008,$I120-8)="","",INDEX('Fleet dates'!$D$9:$D$1008,$I120-8)))</x:f>
      </x:c>
      <x:c r="E120" s="51" t="str">
        <x:f>IF(112&gt;$H$4,"",IF(INDEX('Fleet dates'!$E$9:$E$1008,$I120-8)="","",INDEX('Fleet dates'!$E$9:$E$1008,$I120-8)))</x:f>
      </x:c>
      <x:c r="F120" s="51" t="str">
        <x:f>IF(112&gt;$H$4,"",IF(INDEX('Fleet dates'!$F$9:$F$1008,$I120-8)="","",INDEX('Fleet dates'!$F$9:$F$1008,$I120-8)))</x:f>
      </x:c>
      <x:c r="G120" s="50" t="str">
        <x:f>IF(112&gt;$H$4,"",IF(INDEX('Fleet dates'!$G$9:$G$1008,$I120-8)="","",INDEX('Fleet dates'!$G$9:$G$1008,$I120-8)))</x:f>
      </x:c>
      <x:c r="H120" s="50" t="str">
        <x:f>IF(112&gt;$H$4,"",IF(INDEX('Fleet dates'!$I$9:$I$1008,$I120-8)="","",INDEX('Fleet dates'!$I$9:$I$1008,$I120-8)))</x:f>
      </x:c>
      <x:c r="I120" t="str">
        <x:f>IF(112&gt;$H$4,"",MATCH(112,'Fleet dates'!$M$9:$M$1008,0)+8)</x:f>
      </x:c>
    </x:row>
    <x:row r="121" ht="36" customHeight="1">
      <x:c r="A121" s="50" t="str">
        <x:f>IF(113&gt;$H$4,"",IF(INDEX('Fleet dates'!$A$9:$A$1008,$I121-8)="","",INDEX('Fleet dates'!$A$9:$A$1008,$I121-8)))</x:f>
      </x:c>
      <x:c r="B121" s="50" t="str">
        <x:f>IF(113&gt;$H$4,"",IF(INDEX('Fleet dates'!$B$9:$B$1008,$I121-8)="","",INDEX('Fleet dates'!$B$9:$B$1008,$I121-8)))</x:f>
      </x:c>
      <x:c r="C121" s="51" t="str">
        <x:f>IF(113&gt;$H$4,"",IF(INDEX('Fleet dates'!$C$9:$C$1008,$I121-8)="","",INDEX('Fleet dates'!$C$9:$C$1008,$I121-8)))</x:f>
      </x:c>
      <x:c r="D121" s="51" t="str">
        <x:f>IF(113&gt;$H$4,"",IF(INDEX('Fleet dates'!$D$9:$D$1008,$I121-8)="","",INDEX('Fleet dates'!$D$9:$D$1008,$I121-8)))</x:f>
      </x:c>
      <x:c r="E121" s="51" t="str">
        <x:f>IF(113&gt;$H$4,"",IF(INDEX('Fleet dates'!$E$9:$E$1008,$I121-8)="","",INDEX('Fleet dates'!$E$9:$E$1008,$I121-8)))</x:f>
      </x:c>
      <x:c r="F121" s="51" t="str">
        <x:f>IF(113&gt;$H$4,"",IF(INDEX('Fleet dates'!$F$9:$F$1008,$I121-8)="","",INDEX('Fleet dates'!$F$9:$F$1008,$I121-8)))</x:f>
      </x:c>
      <x:c r="G121" s="50" t="str">
        <x:f>IF(113&gt;$H$4,"",IF(INDEX('Fleet dates'!$G$9:$G$1008,$I121-8)="","",INDEX('Fleet dates'!$G$9:$G$1008,$I121-8)))</x:f>
      </x:c>
      <x:c r="H121" s="50" t="str">
        <x:f>IF(113&gt;$H$4,"",IF(INDEX('Fleet dates'!$I$9:$I$1008,$I121-8)="","",INDEX('Fleet dates'!$I$9:$I$1008,$I121-8)))</x:f>
      </x:c>
      <x:c r="I121" t="str">
        <x:f>IF(113&gt;$H$4,"",MATCH(113,'Fleet dates'!$M$9:$M$1008,0)+8)</x:f>
      </x:c>
    </x:row>
    <x:row r="122" ht="36" customHeight="1">
      <x:c r="A122" s="50" t="str">
        <x:f>IF(114&gt;$H$4,"",IF(INDEX('Fleet dates'!$A$9:$A$1008,$I122-8)="","",INDEX('Fleet dates'!$A$9:$A$1008,$I122-8)))</x:f>
      </x:c>
      <x:c r="B122" s="50" t="str">
        <x:f>IF(114&gt;$H$4,"",IF(INDEX('Fleet dates'!$B$9:$B$1008,$I122-8)="","",INDEX('Fleet dates'!$B$9:$B$1008,$I122-8)))</x:f>
      </x:c>
      <x:c r="C122" s="51" t="str">
        <x:f>IF(114&gt;$H$4,"",IF(INDEX('Fleet dates'!$C$9:$C$1008,$I122-8)="","",INDEX('Fleet dates'!$C$9:$C$1008,$I122-8)))</x:f>
      </x:c>
      <x:c r="D122" s="51" t="str">
        <x:f>IF(114&gt;$H$4,"",IF(INDEX('Fleet dates'!$D$9:$D$1008,$I122-8)="","",INDEX('Fleet dates'!$D$9:$D$1008,$I122-8)))</x:f>
      </x:c>
      <x:c r="E122" s="51" t="str">
        <x:f>IF(114&gt;$H$4,"",IF(INDEX('Fleet dates'!$E$9:$E$1008,$I122-8)="","",INDEX('Fleet dates'!$E$9:$E$1008,$I122-8)))</x:f>
      </x:c>
      <x:c r="F122" s="51" t="str">
        <x:f>IF(114&gt;$H$4,"",IF(INDEX('Fleet dates'!$F$9:$F$1008,$I122-8)="","",INDEX('Fleet dates'!$F$9:$F$1008,$I122-8)))</x:f>
      </x:c>
      <x:c r="G122" s="50" t="str">
        <x:f>IF(114&gt;$H$4,"",IF(INDEX('Fleet dates'!$G$9:$G$1008,$I122-8)="","",INDEX('Fleet dates'!$G$9:$G$1008,$I122-8)))</x:f>
      </x:c>
      <x:c r="H122" s="50" t="str">
        <x:f>IF(114&gt;$H$4,"",IF(INDEX('Fleet dates'!$I$9:$I$1008,$I122-8)="","",INDEX('Fleet dates'!$I$9:$I$1008,$I122-8)))</x:f>
      </x:c>
      <x:c r="I122" t="str">
        <x:f>IF(114&gt;$H$4,"",MATCH(114,'Fleet dates'!$M$9:$M$1008,0)+8)</x:f>
      </x:c>
    </x:row>
    <x:row r="123" ht="36" customHeight="1">
      <x:c r="A123" s="50" t="str">
        <x:f>IF(115&gt;$H$4,"",IF(INDEX('Fleet dates'!$A$9:$A$1008,$I123-8)="","",INDEX('Fleet dates'!$A$9:$A$1008,$I123-8)))</x:f>
      </x:c>
      <x:c r="B123" s="50" t="str">
        <x:f>IF(115&gt;$H$4,"",IF(INDEX('Fleet dates'!$B$9:$B$1008,$I123-8)="","",INDEX('Fleet dates'!$B$9:$B$1008,$I123-8)))</x:f>
      </x:c>
      <x:c r="C123" s="51" t="str">
        <x:f>IF(115&gt;$H$4,"",IF(INDEX('Fleet dates'!$C$9:$C$1008,$I123-8)="","",INDEX('Fleet dates'!$C$9:$C$1008,$I123-8)))</x:f>
      </x:c>
      <x:c r="D123" s="51" t="str">
        <x:f>IF(115&gt;$H$4,"",IF(INDEX('Fleet dates'!$D$9:$D$1008,$I123-8)="","",INDEX('Fleet dates'!$D$9:$D$1008,$I123-8)))</x:f>
      </x:c>
      <x:c r="E123" s="51" t="str">
        <x:f>IF(115&gt;$H$4,"",IF(INDEX('Fleet dates'!$E$9:$E$1008,$I123-8)="","",INDEX('Fleet dates'!$E$9:$E$1008,$I123-8)))</x:f>
      </x:c>
      <x:c r="F123" s="51" t="str">
        <x:f>IF(115&gt;$H$4,"",IF(INDEX('Fleet dates'!$F$9:$F$1008,$I123-8)="","",INDEX('Fleet dates'!$F$9:$F$1008,$I123-8)))</x:f>
      </x:c>
      <x:c r="G123" s="50" t="str">
        <x:f>IF(115&gt;$H$4,"",IF(INDEX('Fleet dates'!$G$9:$G$1008,$I123-8)="","",INDEX('Fleet dates'!$G$9:$G$1008,$I123-8)))</x:f>
      </x:c>
      <x:c r="H123" s="50" t="str">
        <x:f>IF(115&gt;$H$4,"",IF(INDEX('Fleet dates'!$I$9:$I$1008,$I123-8)="","",INDEX('Fleet dates'!$I$9:$I$1008,$I123-8)))</x:f>
      </x:c>
      <x:c r="I123" t="str">
        <x:f>IF(115&gt;$H$4,"",MATCH(115,'Fleet dates'!$M$9:$M$1008,0)+8)</x:f>
      </x:c>
    </x:row>
    <x:row r="124" ht="36" customHeight="1">
      <x:c r="A124" s="50" t="str">
        <x:f>IF(116&gt;$H$4,"",IF(INDEX('Fleet dates'!$A$9:$A$1008,$I124-8)="","",INDEX('Fleet dates'!$A$9:$A$1008,$I124-8)))</x:f>
      </x:c>
      <x:c r="B124" s="50" t="str">
        <x:f>IF(116&gt;$H$4,"",IF(INDEX('Fleet dates'!$B$9:$B$1008,$I124-8)="","",INDEX('Fleet dates'!$B$9:$B$1008,$I124-8)))</x:f>
      </x:c>
      <x:c r="C124" s="51" t="str">
        <x:f>IF(116&gt;$H$4,"",IF(INDEX('Fleet dates'!$C$9:$C$1008,$I124-8)="","",INDEX('Fleet dates'!$C$9:$C$1008,$I124-8)))</x:f>
      </x:c>
      <x:c r="D124" s="51" t="str">
        <x:f>IF(116&gt;$H$4,"",IF(INDEX('Fleet dates'!$D$9:$D$1008,$I124-8)="","",INDEX('Fleet dates'!$D$9:$D$1008,$I124-8)))</x:f>
      </x:c>
      <x:c r="E124" s="51" t="str">
        <x:f>IF(116&gt;$H$4,"",IF(INDEX('Fleet dates'!$E$9:$E$1008,$I124-8)="","",INDEX('Fleet dates'!$E$9:$E$1008,$I124-8)))</x:f>
      </x:c>
      <x:c r="F124" s="51" t="str">
        <x:f>IF(116&gt;$H$4,"",IF(INDEX('Fleet dates'!$F$9:$F$1008,$I124-8)="","",INDEX('Fleet dates'!$F$9:$F$1008,$I124-8)))</x:f>
      </x:c>
      <x:c r="G124" s="50" t="str">
        <x:f>IF(116&gt;$H$4,"",IF(INDEX('Fleet dates'!$G$9:$G$1008,$I124-8)="","",INDEX('Fleet dates'!$G$9:$G$1008,$I124-8)))</x:f>
      </x:c>
      <x:c r="H124" s="50" t="str">
        <x:f>IF(116&gt;$H$4,"",IF(INDEX('Fleet dates'!$I$9:$I$1008,$I124-8)="","",INDEX('Fleet dates'!$I$9:$I$1008,$I124-8)))</x:f>
      </x:c>
      <x:c r="I124" t="str">
        <x:f>IF(116&gt;$H$4,"",MATCH(116,'Fleet dates'!$M$9:$M$1008,0)+8)</x:f>
      </x:c>
    </x:row>
    <x:row r="125" ht="36" customHeight="1">
      <x:c r="A125" s="50" t="str">
        <x:f>IF(117&gt;$H$4,"",IF(INDEX('Fleet dates'!$A$9:$A$1008,$I125-8)="","",INDEX('Fleet dates'!$A$9:$A$1008,$I125-8)))</x:f>
      </x:c>
      <x:c r="B125" s="50" t="str">
        <x:f>IF(117&gt;$H$4,"",IF(INDEX('Fleet dates'!$B$9:$B$1008,$I125-8)="","",INDEX('Fleet dates'!$B$9:$B$1008,$I125-8)))</x:f>
      </x:c>
      <x:c r="C125" s="51" t="str">
        <x:f>IF(117&gt;$H$4,"",IF(INDEX('Fleet dates'!$C$9:$C$1008,$I125-8)="","",INDEX('Fleet dates'!$C$9:$C$1008,$I125-8)))</x:f>
      </x:c>
      <x:c r="D125" s="51" t="str">
        <x:f>IF(117&gt;$H$4,"",IF(INDEX('Fleet dates'!$D$9:$D$1008,$I125-8)="","",INDEX('Fleet dates'!$D$9:$D$1008,$I125-8)))</x:f>
      </x:c>
      <x:c r="E125" s="51" t="str">
        <x:f>IF(117&gt;$H$4,"",IF(INDEX('Fleet dates'!$E$9:$E$1008,$I125-8)="","",INDEX('Fleet dates'!$E$9:$E$1008,$I125-8)))</x:f>
      </x:c>
      <x:c r="F125" s="51" t="str">
        <x:f>IF(117&gt;$H$4,"",IF(INDEX('Fleet dates'!$F$9:$F$1008,$I125-8)="","",INDEX('Fleet dates'!$F$9:$F$1008,$I125-8)))</x:f>
      </x:c>
      <x:c r="G125" s="50" t="str">
        <x:f>IF(117&gt;$H$4,"",IF(INDEX('Fleet dates'!$G$9:$G$1008,$I125-8)="","",INDEX('Fleet dates'!$G$9:$G$1008,$I125-8)))</x:f>
      </x:c>
      <x:c r="H125" s="50" t="str">
        <x:f>IF(117&gt;$H$4,"",IF(INDEX('Fleet dates'!$I$9:$I$1008,$I125-8)="","",INDEX('Fleet dates'!$I$9:$I$1008,$I125-8)))</x:f>
      </x:c>
      <x:c r="I125" t="str">
        <x:f>IF(117&gt;$H$4,"",MATCH(117,'Fleet dates'!$M$9:$M$1008,0)+8)</x:f>
      </x:c>
    </x:row>
    <x:row r="126" ht="36" customHeight="1">
      <x:c r="A126" s="50" t="str">
        <x:f>IF(118&gt;$H$4,"",IF(INDEX('Fleet dates'!$A$9:$A$1008,$I126-8)="","",INDEX('Fleet dates'!$A$9:$A$1008,$I126-8)))</x:f>
      </x:c>
      <x:c r="B126" s="50" t="str">
        <x:f>IF(118&gt;$H$4,"",IF(INDEX('Fleet dates'!$B$9:$B$1008,$I126-8)="","",INDEX('Fleet dates'!$B$9:$B$1008,$I126-8)))</x:f>
      </x:c>
      <x:c r="C126" s="51" t="str">
        <x:f>IF(118&gt;$H$4,"",IF(INDEX('Fleet dates'!$C$9:$C$1008,$I126-8)="","",INDEX('Fleet dates'!$C$9:$C$1008,$I126-8)))</x:f>
      </x:c>
      <x:c r="D126" s="51" t="str">
        <x:f>IF(118&gt;$H$4,"",IF(INDEX('Fleet dates'!$D$9:$D$1008,$I126-8)="","",INDEX('Fleet dates'!$D$9:$D$1008,$I126-8)))</x:f>
      </x:c>
      <x:c r="E126" s="51" t="str">
        <x:f>IF(118&gt;$H$4,"",IF(INDEX('Fleet dates'!$E$9:$E$1008,$I126-8)="","",INDEX('Fleet dates'!$E$9:$E$1008,$I126-8)))</x:f>
      </x:c>
      <x:c r="F126" s="51" t="str">
        <x:f>IF(118&gt;$H$4,"",IF(INDEX('Fleet dates'!$F$9:$F$1008,$I126-8)="","",INDEX('Fleet dates'!$F$9:$F$1008,$I126-8)))</x:f>
      </x:c>
      <x:c r="G126" s="50" t="str">
        <x:f>IF(118&gt;$H$4,"",IF(INDEX('Fleet dates'!$G$9:$G$1008,$I126-8)="","",INDEX('Fleet dates'!$G$9:$G$1008,$I126-8)))</x:f>
      </x:c>
      <x:c r="H126" s="50" t="str">
        <x:f>IF(118&gt;$H$4,"",IF(INDEX('Fleet dates'!$I$9:$I$1008,$I126-8)="","",INDEX('Fleet dates'!$I$9:$I$1008,$I126-8)))</x:f>
      </x:c>
      <x:c r="I126" t="str">
        <x:f>IF(118&gt;$H$4,"",MATCH(118,'Fleet dates'!$M$9:$M$1008,0)+8)</x:f>
      </x:c>
    </x:row>
    <x:row r="127" ht="36" customHeight="1">
      <x:c r="A127" s="50" t="str">
        <x:f>IF(119&gt;$H$4,"",IF(INDEX('Fleet dates'!$A$9:$A$1008,$I127-8)="","",INDEX('Fleet dates'!$A$9:$A$1008,$I127-8)))</x:f>
      </x:c>
      <x:c r="B127" s="50" t="str">
        <x:f>IF(119&gt;$H$4,"",IF(INDEX('Fleet dates'!$B$9:$B$1008,$I127-8)="","",INDEX('Fleet dates'!$B$9:$B$1008,$I127-8)))</x:f>
      </x:c>
      <x:c r="C127" s="51" t="str">
        <x:f>IF(119&gt;$H$4,"",IF(INDEX('Fleet dates'!$C$9:$C$1008,$I127-8)="","",INDEX('Fleet dates'!$C$9:$C$1008,$I127-8)))</x:f>
      </x:c>
      <x:c r="D127" s="51" t="str">
        <x:f>IF(119&gt;$H$4,"",IF(INDEX('Fleet dates'!$D$9:$D$1008,$I127-8)="","",INDEX('Fleet dates'!$D$9:$D$1008,$I127-8)))</x:f>
      </x:c>
      <x:c r="E127" s="51" t="str">
        <x:f>IF(119&gt;$H$4,"",IF(INDEX('Fleet dates'!$E$9:$E$1008,$I127-8)="","",INDEX('Fleet dates'!$E$9:$E$1008,$I127-8)))</x:f>
      </x:c>
      <x:c r="F127" s="51" t="str">
        <x:f>IF(119&gt;$H$4,"",IF(INDEX('Fleet dates'!$F$9:$F$1008,$I127-8)="","",INDEX('Fleet dates'!$F$9:$F$1008,$I127-8)))</x:f>
      </x:c>
      <x:c r="G127" s="50" t="str">
        <x:f>IF(119&gt;$H$4,"",IF(INDEX('Fleet dates'!$G$9:$G$1008,$I127-8)="","",INDEX('Fleet dates'!$G$9:$G$1008,$I127-8)))</x:f>
      </x:c>
      <x:c r="H127" s="50" t="str">
        <x:f>IF(119&gt;$H$4,"",IF(INDEX('Fleet dates'!$I$9:$I$1008,$I127-8)="","",INDEX('Fleet dates'!$I$9:$I$1008,$I127-8)))</x:f>
      </x:c>
      <x:c r="I127" t="str">
        <x:f>IF(119&gt;$H$4,"",MATCH(119,'Fleet dates'!$M$9:$M$1008,0)+8)</x:f>
      </x:c>
    </x:row>
    <x:row r="128" ht="36" customHeight="1">
      <x:c r="A128" s="50" t="str">
        <x:f>IF(120&gt;$H$4,"",IF(INDEX('Fleet dates'!$A$9:$A$1008,$I128-8)="","",INDEX('Fleet dates'!$A$9:$A$1008,$I128-8)))</x:f>
      </x:c>
      <x:c r="B128" s="50" t="str">
        <x:f>IF(120&gt;$H$4,"",IF(INDEX('Fleet dates'!$B$9:$B$1008,$I128-8)="","",INDEX('Fleet dates'!$B$9:$B$1008,$I128-8)))</x:f>
      </x:c>
      <x:c r="C128" s="51" t="str">
        <x:f>IF(120&gt;$H$4,"",IF(INDEX('Fleet dates'!$C$9:$C$1008,$I128-8)="","",INDEX('Fleet dates'!$C$9:$C$1008,$I128-8)))</x:f>
      </x:c>
      <x:c r="D128" s="51" t="str">
        <x:f>IF(120&gt;$H$4,"",IF(INDEX('Fleet dates'!$D$9:$D$1008,$I128-8)="","",INDEX('Fleet dates'!$D$9:$D$1008,$I128-8)))</x:f>
      </x:c>
      <x:c r="E128" s="51" t="str">
        <x:f>IF(120&gt;$H$4,"",IF(INDEX('Fleet dates'!$E$9:$E$1008,$I128-8)="","",INDEX('Fleet dates'!$E$9:$E$1008,$I128-8)))</x:f>
      </x:c>
      <x:c r="F128" s="51" t="str">
        <x:f>IF(120&gt;$H$4,"",IF(INDEX('Fleet dates'!$F$9:$F$1008,$I128-8)="","",INDEX('Fleet dates'!$F$9:$F$1008,$I128-8)))</x:f>
      </x:c>
      <x:c r="G128" s="50" t="str">
        <x:f>IF(120&gt;$H$4,"",IF(INDEX('Fleet dates'!$G$9:$G$1008,$I128-8)="","",INDEX('Fleet dates'!$G$9:$G$1008,$I128-8)))</x:f>
      </x:c>
      <x:c r="H128" s="50" t="str">
        <x:f>IF(120&gt;$H$4,"",IF(INDEX('Fleet dates'!$I$9:$I$1008,$I128-8)="","",INDEX('Fleet dates'!$I$9:$I$1008,$I128-8)))</x:f>
      </x:c>
      <x:c r="I128" t="str">
        <x:f>IF(120&gt;$H$4,"",MATCH(120,'Fleet dates'!$M$9:$M$1008,0)+8)</x:f>
      </x:c>
    </x:row>
    <x:row r="129" ht="36" customHeight="1">
      <x:c r="A129" s="50" t="str">
        <x:f>IF(121&gt;$H$4,"",IF(INDEX('Fleet dates'!$A$9:$A$1008,$I129-8)="","",INDEX('Fleet dates'!$A$9:$A$1008,$I129-8)))</x:f>
      </x:c>
      <x:c r="B129" s="50" t="str">
        <x:f>IF(121&gt;$H$4,"",IF(INDEX('Fleet dates'!$B$9:$B$1008,$I129-8)="","",INDEX('Fleet dates'!$B$9:$B$1008,$I129-8)))</x:f>
      </x:c>
      <x:c r="C129" s="51" t="str">
        <x:f>IF(121&gt;$H$4,"",IF(INDEX('Fleet dates'!$C$9:$C$1008,$I129-8)="","",INDEX('Fleet dates'!$C$9:$C$1008,$I129-8)))</x:f>
      </x:c>
      <x:c r="D129" s="51" t="str">
        <x:f>IF(121&gt;$H$4,"",IF(INDEX('Fleet dates'!$D$9:$D$1008,$I129-8)="","",INDEX('Fleet dates'!$D$9:$D$1008,$I129-8)))</x:f>
      </x:c>
      <x:c r="E129" s="51" t="str">
        <x:f>IF(121&gt;$H$4,"",IF(INDEX('Fleet dates'!$E$9:$E$1008,$I129-8)="","",INDEX('Fleet dates'!$E$9:$E$1008,$I129-8)))</x:f>
      </x:c>
      <x:c r="F129" s="51" t="str">
        <x:f>IF(121&gt;$H$4,"",IF(INDEX('Fleet dates'!$F$9:$F$1008,$I129-8)="","",INDEX('Fleet dates'!$F$9:$F$1008,$I129-8)))</x:f>
      </x:c>
      <x:c r="G129" s="50" t="str">
        <x:f>IF(121&gt;$H$4,"",IF(INDEX('Fleet dates'!$G$9:$G$1008,$I129-8)="","",INDEX('Fleet dates'!$G$9:$G$1008,$I129-8)))</x:f>
      </x:c>
      <x:c r="H129" s="50" t="str">
        <x:f>IF(121&gt;$H$4,"",IF(INDEX('Fleet dates'!$I$9:$I$1008,$I129-8)="","",INDEX('Fleet dates'!$I$9:$I$1008,$I129-8)))</x:f>
      </x:c>
      <x:c r="I129" t="str">
        <x:f>IF(121&gt;$H$4,"",MATCH(121,'Fleet dates'!$M$9:$M$1008,0)+8)</x:f>
      </x:c>
    </x:row>
    <x:row r="130" ht="36" customHeight="1">
      <x:c r="A130" s="50" t="str">
        <x:f>IF(122&gt;$H$4,"",IF(INDEX('Fleet dates'!$A$9:$A$1008,$I130-8)="","",INDEX('Fleet dates'!$A$9:$A$1008,$I130-8)))</x:f>
      </x:c>
      <x:c r="B130" s="50" t="str">
        <x:f>IF(122&gt;$H$4,"",IF(INDEX('Fleet dates'!$B$9:$B$1008,$I130-8)="","",INDEX('Fleet dates'!$B$9:$B$1008,$I130-8)))</x:f>
      </x:c>
      <x:c r="C130" s="51" t="str">
        <x:f>IF(122&gt;$H$4,"",IF(INDEX('Fleet dates'!$C$9:$C$1008,$I130-8)="","",INDEX('Fleet dates'!$C$9:$C$1008,$I130-8)))</x:f>
      </x:c>
      <x:c r="D130" s="51" t="str">
        <x:f>IF(122&gt;$H$4,"",IF(INDEX('Fleet dates'!$D$9:$D$1008,$I130-8)="","",INDEX('Fleet dates'!$D$9:$D$1008,$I130-8)))</x:f>
      </x:c>
      <x:c r="E130" s="51" t="str">
        <x:f>IF(122&gt;$H$4,"",IF(INDEX('Fleet dates'!$E$9:$E$1008,$I130-8)="","",INDEX('Fleet dates'!$E$9:$E$1008,$I130-8)))</x:f>
      </x:c>
      <x:c r="F130" s="51" t="str">
        <x:f>IF(122&gt;$H$4,"",IF(INDEX('Fleet dates'!$F$9:$F$1008,$I130-8)="","",INDEX('Fleet dates'!$F$9:$F$1008,$I130-8)))</x:f>
      </x:c>
      <x:c r="G130" s="50" t="str">
        <x:f>IF(122&gt;$H$4,"",IF(INDEX('Fleet dates'!$G$9:$G$1008,$I130-8)="","",INDEX('Fleet dates'!$G$9:$G$1008,$I130-8)))</x:f>
      </x:c>
      <x:c r="H130" s="50" t="str">
        <x:f>IF(122&gt;$H$4,"",IF(INDEX('Fleet dates'!$I$9:$I$1008,$I130-8)="","",INDEX('Fleet dates'!$I$9:$I$1008,$I130-8)))</x:f>
      </x:c>
      <x:c r="I130" t="str">
        <x:f>IF(122&gt;$H$4,"",MATCH(122,'Fleet dates'!$M$9:$M$1008,0)+8)</x:f>
      </x:c>
    </x:row>
    <x:row r="131" ht="36" customHeight="1">
      <x:c r="A131" s="50" t="str">
        <x:f>IF(123&gt;$H$4,"",IF(INDEX('Fleet dates'!$A$9:$A$1008,$I131-8)="","",INDEX('Fleet dates'!$A$9:$A$1008,$I131-8)))</x:f>
      </x:c>
      <x:c r="B131" s="50" t="str">
        <x:f>IF(123&gt;$H$4,"",IF(INDEX('Fleet dates'!$B$9:$B$1008,$I131-8)="","",INDEX('Fleet dates'!$B$9:$B$1008,$I131-8)))</x:f>
      </x:c>
      <x:c r="C131" s="51" t="str">
        <x:f>IF(123&gt;$H$4,"",IF(INDEX('Fleet dates'!$C$9:$C$1008,$I131-8)="","",INDEX('Fleet dates'!$C$9:$C$1008,$I131-8)))</x:f>
      </x:c>
      <x:c r="D131" s="51" t="str">
        <x:f>IF(123&gt;$H$4,"",IF(INDEX('Fleet dates'!$D$9:$D$1008,$I131-8)="","",INDEX('Fleet dates'!$D$9:$D$1008,$I131-8)))</x:f>
      </x:c>
      <x:c r="E131" s="51" t="str">
        <x:f>IF(123&gt;$H$4,"",IF(INDEX('Fleet dates'!$E$9:$E$1008,$I131-8)="","",INDEX('Fleet dates'!$E$9:$E$1008,$I131-8)))</x:f>
      </x:c>
      <x:c r="F131" s="51" t="str">
        <x:f>IF(123&gt;$H$4,"",IF(INDEX('Fleet dates'!$F$9:$F$1008,$I131-8)="","",INDEX('Fleet dates'!$F$9:$F$1008,$I131-8)))</x:f>
      </x:c>
      <x:c r="G131" s="50" t="str">
        <x:f>IF(123&gt;$H$4,"",IF(INDEX('Fleet dates'!$G$9:$G$1008,$I131-8)="","",INDEX('Fleet dates'!$G$9:$G$1008,$I131-8)))</x:f>
      </x:c>
      <x:c r="H131" s="50" t="str">
        <x:f>IF(123&gt;$H$4,"",IF(INDEX('Fleet dates'!$I$9:$I$1008,$I131-8)="","",INDEX('Fleet dates'!$I$9:$I$1008,$I131-8)))</x:f>
      </x:c>
      <x:c r="I131" t="str">
        <x:f>IF(123&gt;$H$4,"",MATCH(123,'Fleet dates'!$M$9:$M$1008,0)+8)</x:f>
      </x:c>
    </x:row>
    <x:row r="132" ht="36" customHeight="1">
      <x:c r="A132" s="50" t="str">
        <x:f>IF(124&gt;$H$4,"",IF(INDEX('Fleet dates'!$A$9:$A$1008,$I132-8)="","",INDEX('Fleet dates'!$A$9:$A$1008,$I132-8)))</x:f>
      </x:c>
      <x:c r="B132" s="50" t="str">
        <x:f>IF(124&gt;$H$4,"",IF(INDEX('Fleet dates'!$B$9:$B$1008,$I132-8)="","",INDEX('Fleet dates'!$B$9:$B$1008,$I132-8)))</x:f>
      </x:c>
      <x:c r="C132" s="51" t="str">
        <x:f>IF(124&gt;$H$4,"",IF(INDEX('Fleet dates'!$C$9:$C$1008,$I132-8)="","",INDEX('Fleet dates'!$C$9:$C$1008,$I132-8)))</x:f>
      </x:c>
      <x:c r="D132" s="51" t="str">
        <x:f>IF(124&gt;$H$4,"",IF(INDEX('Fleet dates'!$D$9:$D$1008,$I132-8)="","",INDEX('Fleet dates'!$D$9:$D$1008,$I132-8)))</x:f>
      </x:c>
      <x:c r="E132" s="51" t="str">
        <x:f>IF(124&gt;$H$4,"",IF(INDEX('Fleet dates'!$E$9:$E$1008,$I132-8)="","",INDEX('Fleet dates'!$E$9:$E$1008,$I132-8)))</x:f>
      </x:c>
      <x:c r="F132" s="51" t="str">
        <x:f>IF(124&gt;$H$4,"",IF(INDEX('Fleet dates'!$F$9:$F$1008,$I132-8)="","",INDEX('Fleet dates'!$F$9:$F$1008,$I132-8)))</x:f>
      </x:c>
      <x:c r="G132" s="50" t="str">
        <x:f>IF(124&gt;$H$4,"",IF(INDEX('Fleet dates'!$G$9:$G$1008,$I132-8)="","",INDEX('Fleet dates'!$G$9:$G$1008,$I132-8)))</x:f>
      </x:c>
      <x:c r="H132" s="50" t="str">
        <x:f>IF(124&gt;$H$4,"",IF(INDEX('Fleet dates'!$I$9:$I$1008,$I132-8)="","",INDEX('Fleet dates'!$I$9:$I$1008,$I132-8)))</x:f>
      </x:c>
      <x:c r="I132" t="str">
        <x:f>IF(124&gt;$H$4,"",MATCH(124,'Fleet dates'!$M$9:$M$1008,0)+8)</x:f>
      </x:c>
    </x:row>
    <x:row r="133" ht="36" customHeight="1">
      <x:c r="A133" s="50" t="str">
        <x:f>IF(125&gt;$H$4,"",IF(INDEX('Fleet dates'!$A$9:$A$1008,$I133-8)="","",INDEX('Fleet dates'!$A$9:$A$1008,$I133-8)))</x:f>
      </x:c>
      <x:c r="B133" s="50" t="str">
        <x:f>IF(125&gt;$H$4,"",IF(INDEX('Fleet dates'!$B$9:$B$1008,$I133-8)="","",INDEX('Fleet dates'!$B$9:$B$1008,$I133-8)))</x:f>
      </x:c>
      <x:c r="C133" s="51" t="str">
        <x:f>IF(125&gt;$H$4,"",IF(INDEX('Fleet dates'!$C$9:$C$1008,$I133-8)="","",INDEX('Fleet dates'!$C$9:$C$1008,$I133-8)))</x:f>
      </x:c>
      <x:c r="D133" s="51" t="str">
        <x:f>IF(125&gt;$H$4,"",IF(INDEX('Fleet dates'!$D$9:$D$1008,$I133-8)="","",INDEX('Fleet dates'!$D$9:$D$1008,$I133-8)))</x:f>
      </x:c>
      <x:c r="E133" s="51" t="str">
        <x:f>IF(125&gt;$H$4,"",IF(INDEX('Fleet dates'!$E$9:$E$1008,$I133-8)="","",INDEX('Fleet dates'!$E$9:$E$1008,$I133-8)))</x:f>
      </x:c>
      <x:c r="F133" s="51" t="str">
        <x:f>IF(125&gt;$H$4,"",IF(INDEX('Fleet dates'!$F$9:$F$1008,$I133-8)="","",INDEX('Fleet dates'!$F$9:$F$1008,$I133-8)))</x:f>
      </x:c>
      <x:c r="G133" s="50" t="str">
        <x:f>IF(125&gt;$H$4,"",IF(INDEX('Fleet dates'!$G$9:$G$1008,$I133-8)="","",INDEX('Fleet dates'!$G$9:$G$1008,$I133-8)))</x:f>
      </x:c>
      <x:c r="H133" s="50" t="str">
        <x:f>IF(125&gt;$H$4,"",IF(INDEX('Fleet dates'!$I$9:$I$1008,$I133-8)="","",INDEX('Fleet dates'!$I$9:$I$1008,$I133-8)))</x:f>
      </x:c>
      <x:c r="I133" t="str">
        <x:f>IF(125&gt;$H$4,"",MATCH(125,'Fleet dates'!$M$9:$M$1008,0)+8)</x:f>
      </x:c>
    </x:row>
    <x:row r="134" ht="36" customHeight="1">
      <x:c r="A134" s="50" t="str">
        <x:f>IF(126&gt;$H$4,"",IF(INDEX('Fleet dates'!$A$9:$A$1008,$I134-8)="","",INDEX('Fleet dates'!$A$9:$A$1008,$I134-8)))</x:f>
      </x:c>
      <x:c r="B134" s="50" t="str">
        <x:f>IF(126&gt;$H$4,"",IF(INDEX('Fleet dates'!$B$9:$B$1008,$I134-8)="","",INDEX('Fleet dates'!$B$9:$B$1008,$I134-8)))</x:f>
      </x:c>
      <x:c r="C134" s="51" t="str">
        <x:f>IF(126&gt;$H$4,"",IF(INDEX('Fleet dates'!$C$9:$C$1008,$I134-8)="","",INDEX('Fleet dates'!$C$9:$C$1008,$I134-8)))</x:f>
      </x:c>
      <x:c r="D134" s="51" t="str">
        <x:f>IF(126&gt;$H$4,"",IF(INDEX('Fleet dates'!$D$9:$D$1008,$I134-8)="","",INDEX('Fleet dates'!$D$9:$D$1008,$I134-8)))</x:f>
      </x:c>
      <x:c r="E134" s="51" t="str">
        <x:f>IF(126&gt;$H$4,"",IF(INDEX('Fleet dates'!$E$9:$E$1008,$I134-8)="","",INDEX('Fleet dates'!$E$9:$E$1008,$I134-8)))</x:f>
      </x:c>
      <x:c r="F134" s="51" t="str">
        <x:f>IF(126&gt;$H$4,"",IF(INDEX('Fleet dates'!$F$9:$F$1008,$I134-8)="","",INDEX('Fleet dates'!$F$9:$F$1008,$I134-8)))</x:f>
      </x:c>
      <x:c r="G134" s="50" t="str">
        <x:f>IF(126&gt;$H$4,"",IF(INDEX('Fleet dates'!$G$9:$G$1008,$I134-8)="","",INDEX('Fleet dates'!$G$9:$G$1008,$I134-8)))</x:f>
      </x:c>
      <x:c r="H134" s="50" t="str">
        <x:f>IF(126&gt;$H$4,"",IF(INDEX('Fleet dates'!$I$9:$I$1008,$I134-8)="","",INDEX('Fleet dates'!$I$9:$I$1008,$I134-8)))</x:f>
      </x:c>
      <x:c r="I134" t="str">
        <x:f>IF(126&gt;$H$4,"",MATCH(126,'Fleet dates'!$M$9:$M$1008,0)+8)</x:f>
      </x:c>
    </x:row>
    <x:row r="135" ht="36" customHeight="1">
      <x:c r="A135" s="50" t="str">
        <x:f>IF(127&gt;$H$4,"",IF(INDEX('Fleet dates'!$A$9:$A$1008,$I135-8)="","",INDEX('Fleet dates'!$A$9:$A$1008,$I135-8)))</x:f>
      </x:c>
      <x:c r="B135" s="50" t="str">
        <x:f>IF(127&gt;$H$4,"",IF(INDEX('Fleet dates'!$B$9:$B$1008,$I135-8)="","",INDEX('Fleet dates'!$B$9:$B$1008,$I135-8)))</x:f>
      </x:c>
      <x:c r="C135" s="51" t="str">
        <x:f>IF(127&gt;$H$4,"",IF(INDEX('Fleet dates'!$C$9:$C$1008,$I135-8)="","",INDEX('Fleet dates'!$C$9:$C$1008,$I135-8)))</x:f>
      </x:c>
      <x:c r="D135" s="51" t="str">
        <x:f>IF(127&gt;$H$4,"",IF(INDEX('Fleet dates'!$D$9:$D$1008,$I135-8)="","",INDEX('Fleet dates'!$D$9:$D$1008,$I135-8)))</x:f>
      </x:c>
      <x:c r="E135" s="51" t="str">
        <x:f>IF(127&gt;$H$4,"",IF(INDEX('Fleet dates'!$E$9:$E$1008,$I135-8)="","",INDEX('Fleet dates'!$E$9:$E$1008,$I135-8)))</x:f>
      </x:c>
      <x:c r="F135" s="51" t="str">
        <x:f>IF(127&gt;$H$4,"",IF(INDEX('Fleet dates'!$F$9:$F$1008,$I135-8)="","",INDEX('Fleet dates'!$F$9:$F$1008,$I135-8)))</x:f>
      </x:c>
      <x:c r="G135" s="50" t="str">
        <x:f>IF(127&gt;$H$4,"",IF(INDEX('Fleet dates'!$G$9:$G$1008,$I135-8)="","",INDEX('Fleet dates'!$G$9:$G$1008,$I135-8)))</x:f>
      </x:c>
      <x:c r="H135" s="50" t="str">
        <x:f>IF(127&gt;$H$4,"",IF(INDEX('Fleet dates'!$I$9:$I$1008,$I135-8)="","",INDEX('Fleet dates'!$I$9:$I$1008,$I135-8)))</x:f>
      </x:c>
      <x:c r="I135" t="str">
        <x:f>IF(127&gt;$H$4,"",MATCH(127,'Fleet dates'!$M$9:$M$1008,0)+8)</x:f>
      </x:c>
    </x:row>
    <x:row r="136" ht="36" customHeight="1">
      <x:c r="A136" s="50" t="str">
        <x:f>IF(128&gt;$H$4,"",IF(INDEX('Fleet dates'!$A$9:$A$1008,$I136-8)="","",INDEX('Fleet dates'!$A$9:$A$1008,$I136-8)))</x:f>
      </x:c>
      <x:c r="B136" s="50" t="str">
        <x:f>IF(128&gt;$H$4,"",IF(INDEX('Fleet dates'!$B$9:$B$1008,$I136-8)="","",INDEX('Fleet dates'!$B$9:$B$1008,$I136-8)))</x:f>
      </x:c>
      <x:c r="C136" s="51" t="str">
        <x:f>IF(128&gt;$H$4,"",IF(INDEX('Fleet dates'!$C$9:$C$1008,$I136-8)="","",INDEX('Fleet dates'!$C$9:$C$1008,$I136-8)))</x:f>
      </x:c>
      <x:c r="D136" s="51" t="str">
        <x:f>IF(128&gt;$H$4,"",IF(INDEX('Fleet dates'!$D$9:$D$1008,$I136-8)="","",INDEX('Fleet dates'!$D$9:$D$1008,$I136-8)))</x:f>
      </x:c>
      <x:c r="E136" s="51" t="str">
        <x:f>IF(128&gt;$H$4,"",IF(INDEX('Fleet dates'!$E$9:$E$1008,$I136-8)="","",INDEX('Fleet dates'!$E$9:$E$1008,$I136-8)))</x:f>
      </x:c>
      <x:c r="F136" s="51" t="str">
        <x:f>IF(128&gt;$H$4,"",IF(INDEX('Fleet dates'!$F$9:$F$1008,$I136-8)="","",INDEX('Fleet dates'!$F$9:$F$1008,$I136-8)))</x:f>
      </x:c>
      <x:c r="G136" s="50" t="str">
        <x:f>IF(128&gt;$H$4,"",IF(INDEX('Fleet dates'!$G$9:$G$1008,$I136-8)="","",INDEX('Fleet dates'!$G$9:$G$1008,$I136-8)))</x:f>
      </x:c>
      <x:c r="H136" s="50" t="str">
        <x:f>IF(128&gt;$H$4,"",IF(INDEX('Fleet dates'!$I$9:$I$1008,$I136-8)="","",INDEX('Fleet dates'!$I$9:$I$1008,$I136-8)))</x:f>
      </x:c>
      <x:c r="I136" t="str">
        <x:f>IF(128&gt;$H$4,"",MATCH(128,'Fleet dates'!$M$9:$M$1008,0)+8)</x:f>
      </x:c>
    </x:row>
    <x:row r="137" ht="36" customHeight="1">
      <x:c r="A137" s="50" t="str">
        <x:f>IF(129&gt;$H$4,"",IF(INDEX('Fleet dates'!$A$9:$A$1008,$I137-8)="","",INDEX('Fleet dates'!$A$9:$A$1008,$I137-8)))</x:f>
      </x:c>
      <x:c r="B137" s="50" t="str">
        <x:f>IF(129&gt;$H$4,"",IF(INDEX('Fleet dates'!$B$9:$B$1008,$I137-8)="","",INDEX('Fleet dates'!$B$9:$B$1008,$I137-8)))</x:f>
      </x:c>
      <x:c r="C137" s="51" t="str">
        <x:f>IF(129&gt;$H$4,"",IF(INDEX('Fleet dates'!$C$9:$C$1008,$I137-8)="","",INDEX('Fleet dates'!$C$9:$C$1008,$I137-8)))</x:f>
      </x:c>
      <x:c r="D137" s="51" t="str">
        <x:f>IF(129&gt;$H$4,"",IF(INDEX('Fleet dates'!$D$9:$D$1008,$I137-8)="","",INDEX('Fleet dates'!$D$9:$D$1008,$I137-8)))</x:f>
      </x:c>
      <x:c r="E137" s="51" t="str">
        <x:f>IF(129&gt;$H$4,"",IF(INDEX('Fleet dates'!$E$9:$E$1008,$I137-8)="","",INDEX('Fleet dates'!$E$9:$E$1008,$I137-8)))</x:f>
      </x:c>
      <x:c r="F137" s="51" t="str">
        <x:f>IF(129&gt;$H$4,"",IF(INDEX('Fleet dates'!$F$9:$F$1008,$I137-8)="","",INDEX('Fleet dates'!$F$9:$F$1008,$I137-8)))</x:f>
      </x:c>
      <x:c r="G137" s="50" t="str">
        <x:f>IF(129&gt;$H$4,"",IF(INDEX('Fleet dates'!$G$9:$G$1008,$I137-8)="","",INDEX('Fleet dates'!$G$9:$G$1008,$I137-8)))</x:f>
      </x:c>
      <x:c r="H137" s="50" t="str">
        <x:f>IF(129&gt;$H$4,"",IF(INDEX('Fleet dates'!$I$9:$I$1008,$I137-8)="","",INDEX('Fleet dates'!$I$9:$I$1008,$I137-8)))</x:f>
      </x:c>
      <x:c r="I137" t="str">
        <x:f>IF(129&gt;$H$4,"",MATCH(129,'Fleet dates'!$M$9:$M$1008,0)+8)</x:f>
      </x:c>
    </x:row>
    <x:row r="138" ht="36" customHeight="1">
      <x:c r="A138" s="50" t="str">
        <x:f>IF(130&gt;$H$4,"",IF(INDEX('Fleet dates'!$A$9:$A$1008,$I138-8)="","",INDEX('Fleet dates'!$A$9:$A$1008,$I138-8)))</x:f>
      </x:c>
      <x:c r="B138" s="50" t="str">
        <x:f>IF(130&gt;$H$4,"",IF(INDEX('Fleet dates'!$B$9:$B$1008,$I138-8)="","",INDEX('Fleet dates'!$B$9:$B$1008,$I138-8)))</x:f>
      </x:c>
      <x:c r="C138" s="51" t="str">
        <x:f>IF(130&gt;$H$4,"",IF(INDEX('Fleet dates'!$C$9:$C$1008,$I138-8)="","",INDEX('Fleet dates'!$C$9:$C$1008,$I138-8)))</x:f>
      </x:c>
      <x:c r="D138" s="51" t="str">
        <x:f>IF(130&gt;$H$4,"",IF(INDEX('Fleet dates'!$D$9:$D$1008,$I138-8)="","",INDEX('Fleet dates'!$D$9:$D$1008,$I138-8)))</x:f>
      </x:c>
      <x:c r="E138" s="51" t="str">
        <x:f>IF(130&gt;$H$4,"",IF(INDEX('Fleet dates'!$E$9:$E$1008,$I138-8)="","",INDEX('Fleet dates'!$E$9:$E$1008,$I138-8)))</x:f>
      </x:c>
      <x:c r="F138" s="51" t="str">
        <x:f>IF(130&gt;$H$4,"",IF(INDEX('Fleet dates'!$F$9:$F$1008,$I138-8)="","",INDEX('Fleet dates'!$F$9:$F$1008,$I138-8)))</x:f>
      </x:c>
      <x:c r="G138" s="50" t="str">
        <x:f>IF(130&gt;$H$4,"",IF(INDEX('Fleet dates'!$G$9:$G$1008,$I138-8)="","",INDEX('Fleet dates'!$G$9:$G$1008,$I138-8)))</x:f>
      </x:c>
      <x:c r="H138" s="50" t="str">
        <x:f>IF(130&gt;$H$4,"",IF(INDEX('Fleet dates'!$I$9:$I$1008,$I138-8)="","",INDEX('Fleet dates'!$I$9:$I$1008,$I138-8)))</x:f>
      </x:c>
      <x:c r="I138" t="str">
        <x:f>IF(130&gt;$H$4,"",MATCH(130,'Fleet dates'!$M$9:$M$1008,0)+8)</x:f>
      </x:c>
    </x:row>
    <x:row r="139" ht="36" customHeight="1">
      <x:c r="A139" s="50" t="str">
        <x:f>IF(131&gt;$H$4,"",IF(INDEX('Fleet dates'!$A$9:$A$1008,$I139-8)="","",INDEX('Fleet dates'!$A$9:$A$1008,$I139-8)))</x:f>
      </x:c>
      <x:c r="B139" s="50" t="str">
        <x:f>IF(131&gt;$H$4,"",IF(INDEX('Fleet dates'!$B$9:$B$1008,$I139-8)="","",INDEX('Fleet dates'!$B$9:$B$1008,$I139-8)))</x:f>
      </x:c>
      <x:c r="C139" s="51" t="str">
        <x:f>IF(131&gt;$H$4,"",IF(INDEX('Fleet dates'!$C$9:$C$1008,$I139-8)="","",INDEX('Fleet dates'!$C$9:$C$1008,$I139-8)))</x:f>
      </x:c>
      <x:c r="D139" s="51" t="str">
        <x:f>IF(131&gt;$H$4,"",IF(INDEX('Fleet dates'!$D$9:$D$1008,$I139-8)="","",INDEX('Fleet dates'!$D$9:$D$1008,$I139-8)))</x:f>
      </x:c>
      <x:c r="E139" s="51" t="str">
        <x:f>IF(131&gt;$H$4,"",IF(INDEX('Fleet dates'!$E$9:$E$1008,$I139-8)="","",INDEX('Fleet dates'!$E$9:$E$1008,$I139-8)))</x:f>
      </x:c>
      <x:c r="F139" s="51" t="str">
        <x:f>IF(131&gt;$H$4,"",IF(INDEX('Fleet dates'!$F$9:$F$1008,$I139-8)="","",INDEX('Fleet dates'!$F$9:$F$1008,$I139-8)))</x:f>
      </x:c>
      <x:c r="G139" s="50" t="str">
        <x:f>IF(131&gt;$H$4,"",IF(INDEX('Fleet dates'!$G$9:$G$1008,$I139-8)="","",INDEX('Fleet dates'!$G$9:$G$1008,$I139-8)))</x:f>
      </x:c>
      <x:c r="H139" s="50" t="str">
        <x:f>IF(131&gt;$H$4,"",IF(INDEX('Fleet dates'!$I$9:$I$1008,$I139-8)="","",INDEX('Fleet dates'!$I$9:$I$1008,$I139-8)))</x:f>
      </x:c>
      <x:c r="I139" t="str">
        <x:f>IF(131&gt;$H$4,"",MATCH(131,'Fleet dates'!$M$9:$M$1008,0)+8)</x:f>
      </x:c>
    </x:row>
    <x:row r="140" ht="36" customHeight="1">
      <x:c r="A140" s="50" t="str">
        <x:f>IF(132&gt;$H$4,"",IF(INDEX('Fleet dates'!$A$9:$A$1008,$I140-8)="","",INDEX('Fleet dates'!$A$9:$A$1008,$I140-8)))</x:f>
      </x:c>
      <x:c r="B140" s="50" t="str">
        <x:f>IF(132&gt;$H$4,"",IF(INDEX('Fleet dates'!$B$9:$B$1008,$I140-8)="","",INDEX('Fleet dates'!$B$9:$B$1008,$I140-8)))</x:f>
      </x:c>
      <x:c r="C140" s="51" t="str">
        <x:f>IF(132&gt;$H$4,"",IF(INDEX('Fleet dates'!$C$9:$C$1008,$I140-8)="","",INDEX('Fleet dates'!$C$9:$C$1008,$I140-8)))</x:f>
      </x:c>
      <x:c r="D140" s="51" t="str">
        <x:f>IF(132&gt;$H$4,"",IF(INDEX('Fleet dates'!$D$9:$D$1008,$I140-8)="","",INDEX('Fleet dates'!$D$9:$D$1008,$I140-8)))</x:f>
      </x:c>
      <x:c r="E140" s="51" t="str">
        <x:f>IF(132&gt;$H$4,"",IF(INDEX('Fleet dates'!$E$9:$E$1008,$I140-8)="","",INDEX('Fleet dates'!$E$9:$E$1008,$I140-8)))</x:f>
      </x:c>
      <x:c r="F140" s="51" t="str">
        <x:f>IF(132&gt;$H$4,"",IF(INDEX('Fleet dates'!$F$9:$F$1008,$I140-8)="","",INDEX('Fleet dates'!$F$9:$F$1008,$I140-8)))</x:f>
      </x:c>
      <x:c r="G140" s="50" t="str">
        <x:f>IF(132&gt;$H$4,"",IF(INDEX('Fleet dates'!$G$9:$G$1008,$I140-8)="","",INDEX('Fleet dates'!$G$9:$G$1008,$I140-8)))</x:f>
      </x:c>
      <x:c r="H140" s="50" t="str">
        <x:f>IF(132&gt;$H$4,"",IF(INDEX('Fleet dates'!$I$9:$I$1008,$I140-8)="","",INDEX('Fleet dates'!$I$9:$I$1008,$I140-8)))</x:f>
      </x:c>
      <x:c r="I140" t="str">
        <x:f>IF(132&gt;$H$4,"",MATCH(132,'Fleet dates'!$M$9:$M$1008,0)+8)</x:f>
      </x:c>
    </x:row>
    <x:row r="141" ht="36" customHeight="1">
      <x:c r="A141" s="50" t="str">
        <x:f>IF(133&gt;$H$4,"",IF(INDEX('Fleet dates'!$A$9:$A$1008,$I141-8)="","",INDEX('Fleet dates'!$A$9:$A$1008,$I141-8)))</x:f>
      </x:c>
      <x:c r="B141" s="50" t="str">
        <x:f>IF(133&gt;$H$4,"",IF(INDEX('Fleet dates'!$B$9:$B$1008,$I141-8)="","",INDEX('Fleet dates'!$B$9:$B$1008,$I141-8)))</x:f>
      </x:c>
      <x:c r="C141" s="51" t="str">
        <x:f>IF(133&gt;$H$4,"",IF(INDEX('Fleet dates'!$C$9:$C$1008,$I141-8)="","",INDEX('Fleet dates'!$C$9:$C$1008,$I141-8)))</x:f>
      </x:c>
      <x:c r="D141" s="51" t="str">
        <x:f>IF(133&gt;$H$4,"",IF(INDEX('Fleet dates'!$D$9:$D$1008,$I141-8)="","",INDEX('Fleet dates'!$D$9:$D$1008,$I141-8)))</x:f>
      </x:c>
      <x:c r="E141" s="51" t="str">
        <x:f>IF(133&gt;$H$4,"",IF(INDEX('Fleet dates'!$E$9:$E$1008,$I141-8)="","",INDEX('Fleet dates'!$E$9:$E$1008,$I141-8)))</x:f>
      </x:c>
      <x:c r="F141" s="51" t="str">
        <x:f>IF(133&gt;$H$4,"",IF(INDEX('Fleet dates'!$F$9:$F$1008,$I141-8)="","",INDEX('Fleet dates'!$F$9:$F$1008,$I141-8)))</x:f>
      </x:c>
      <x:c r="G141" s="50" t="str">
        <x:f>IF(133&gt;$H$4,"",IF(INDEX('Fleet dates'!$G$9:$G$1008,$I141-8)="","",INDEX('Fleet dates'!$G$9:$G$1008,$I141-8)))</x:f>
      </x:c>
      <x:c r="H141" s="50" t="str">
        <x:f>IF(133&gt;$H$4,"",IF(INDEX('Fleet dates'!$I$9:$I$1008,$I141-8)="","",INDEX('Fleet dates'!$I$9:$I$1008,$I141-8)))</x:f>
      </x:c>
      <x:c r="I141" t="str">
        <x:f>IF(133&gt;$H$4,"",MATCH(133,'Fleet dates'!$M$9:$M$1008,0)+8)</x:f>
      </x:c>
    </x:row>
    <x:row r="142" ht="36" customHeight="1">
      <x:c r="A142" s="50" t="str">
        <x:f>IF(134&gt;$H$4,"",IF(INDEX('Fleet dates'!$A$9:$A$1008,$I142-8)="","",INDEX('Fleet dates'!$A$9:$A$1008,$I142-8)))</x:f>
      </x:c>
      <x:c r="B142" s="50" t="str">
        <x:f>IF(134&gt;$H$4,"",IF(INDEX('Fleet dates'!$B$9:$B$1008,$I142-8)="","",INDEX('Fleet dates'!$B$9:$B$1008,$I142-8)))</x:f>
      </x:c>
      <x:c r="C142" s="51" t="str">
        <x:f>IF(134&gt;$H$4,"",IF(INDEX('Fleet dates'!$C$9:$C$1008,$I142-8)="","",INDEX('Fleet dates'!$C$9:$C$1008,$I142-8)))</x:f>
      </x:c>
      <x:c r="D142" s="51" t="str">
        <x:f>IF(134&gt;$H$4,"",IF(INDEX('Fleet dates'!$D$9:$D$1008,$I142-8)="","",INDEX('Fleet dates'!$D$9:$D$1008,$I142-8)))</x:f>
      </x:c>
      <x:c r="E142" s="51" t="str">
        <x:f>IF(134&gt;$H$4,"",IF(INDEX('Fleet dates'!$E$9:$E$1008,$I142-8)="","",INDEX('Fleet dates'!$E$9:$E$1008,$I142-8)))</x:f>
      </x:c>
      <x:c r="F142" s="51" t="str">
        <x:f>IF(134&gt;$H$4,"",IF(INDEX('Fleet dates'!$F$9:$F$1008,$I142-8)="","",INDEX('Fleet dates'!$F$9:$F$1008,$I142-8)))</x:f>
      </x:c>
      <x:c r="G142" s="50" t="str">
        <x:f>IF(134&gt;$H$4,"",IF(INDEX('Fleet dates'!$G$9:$G$1008,$I142-8)="","",INDEX('Fleet dates'!$G$9:$G$1008,$I142-8)))</x:f>
      </x:c>
      <x:c r="H142" s="50" t="str">
        <x:f>IF(134&gt;$H$4,"",IF(INDEX('Fleet dates'!$I$9:$I$1008,$I142-8)="","",INDEX('Fleet dates'!$I$9:$I$1008,$I142-8)))</x:f>
      </x:c>
      <x:c r="I142" t="str">
        <x:f>IF(134&gt;$H$4,"",MATCH(134,'Fleet dates'!$M$9:$M$1008,0)+8)</x:f>
      </x:c>
    </x:row>
    <x:row r="143" ht="36" customHeight="1">
      <x:c r="A143" s="50" t="str">
        <x:f>IF(135&gt;$H$4,"",IF(INDEX('Fleet dates'!$A$9:$A$1008,$I143-8)="","",INDEX('Fleet dates'!$A$9:$A$1008,$I143-8)))</x:f>
      </x:c>
      <x:c r="B143" s="50" t="str">
        <x:f>IF(135&gt;$H$4,"",IF(INDEX('Fleet dates'!$B$9:$B$1008,$I143-8)="","",INDEX('Fleet dates'!$B$9:$B$1008,$I143-8)))</x:f>
      </x:c>
      <x:c r="C143" s="51" t="str">
        <x:f>IF(135&gt;$H$4,"",IF(INDEX('Fleet dates'!$C$9:$C$1008,$I143-8)="","",INDEX('Fleet dates'!$C$9:$C$1008,$I143-8)))</x:f>
      </x:c>
      <x:c r="D143" s="51" t="str">
        <x:f>IF(135&gt;$H$4,"",IF(INDEX('Fleet dates'!$D$9:$D$1008,$I143-8)="","",INDEX('Fleet dates'!$D$9:$D$1008,$I143-8)))</x:f>
      </x:c>
      <x:c r="E143" s="51" t="str">
        <x:f>IF(135&gt;$H$4,"",IF(INDEX('Fleet dates'!$E$9:$E$1008,$I143-8)="","",INDEX('Fleet dates'!$E$9:$E$1008,$I143-8)))</x:f>
      </x:c>
      <x:c r="F143" s="51" t="str">
        <x:f>IF(135&gt;$H$4,"",IF(INDEX('Fleet dates'!$F$9:$F$1008,$I143-8)="","",INDEX('Fleet dates'!$F$9:$F$1008,$I143-8)))</x:f>
      </x:c>
      <x:c r="G143" s="50" t="str">
        <x:f>IF(135&gt;$H$4,"",IF(INDEX('Fleet dates'!$G$9:$G$1008,$I143-8)="","",INDEX('Fleet dates'!$G$9:$G$1008,$I143-8)))</x:f>
      </x:c>
      <x:c r="H143" s="50" t="str">
        <x:f>IF(135&gt;$H$4,"",IF(INDEX('Fleet dates'!$I$9:$I$1008,$I143-8)="","",INDEX('Fleet dates'!$I$9:$I$1008,$I143-8)))</x:f>
      </x:c>
      <x:c r="I143" t="str">
        <x:f>IF(135&gt;$H$4,"",MATCH(135,'Fleet dates'!$M$9:$M$1008,0)+8)</x:f>
      </x:c>
    </x:row>
    <x:row r="144" ht="36" customHeight="1">
      <x:c r="A144" s="50" t="str">
        <x:f>IF(136&gt;$H$4,"",IF(INDEX('Fleet dates'!$A$9:$A$1008,$I144-8)="","",INDEX('Fleet dates'!$A$9:$A$1008,$I144-8)))</x:f>
      </x:c>
      <x:c r="B144" s="50" t="str">
        <x:f>IF(136&gt;$H$4,"",IF(INDEX('Fleet dates'!$B$9:$B$1008,$I144-8)="","",INDEX('Fleet dates'!$B$9:$B$1008,$I144-8)))</x:f>
      </x:c>
      <x:c r="C144" s="51" t="str">
        <x:f>IF(136&gt;$H$4,"",IF(INDEX('Fleet dates'!$C$9:$C$1008,$I144-8)="","",INDEX('Fleet dates'!$C$9:$C$1008,$I144-8)))</x:f>
      </x:c>
      <x:c r="D144" s="51" t="str">
        <x:f>IF(136&gt;$H$4,"",IF(INDEX('Fleet dates'!$D$9:$D$1008,$I144-8)="","",INDEX('Fleet dates'!$D$9:$D$1008,$I144-8)))</x:f>
      </x:c>
      <x:c r="E144" s="51" t="str">
        <x:f>IF(136&gt;$H$4,"",IF(INDEX('Fleet dates'!$E$9:$E$1008,$I144-8)="","",INDEX('Fleet dates'!$E$9:$E$1008,$I144-8)))</x:f>
      </x:c>
      <x:c r="F144" s="51" t="str">
        <x:f>IF(136&gt;$H$4,"",IF(INDEX('Fleet dates'!$F$9:$F$1008,$I144-8)="","",INDEX('Fleet dates'!$F$9:$F$1008,$I144-8)))</x:f>
      </x:c>
      <x:c r="G144" s="50" t="str">
        <x:f>IF(136&gt;$H$4,"",IF(INDEX('Fleet dates'!$G$9:$G$1008,$I144-8)="","",INDEX('Fleet dates'!$G$9:$G$1008,$I144-8)))</x:f>
      </x:c>
      <x:c r="H144" s="50" t="str">
        <x:f>IF(136&gt;$H$4,"",IF(INDEX('Fleet dates'!$I$9:$I$1008,$I144-8)="","",INDEX('Fleet dates'!$I$9:$I$1008,$I144-8)))</x:f>
      </x:c>
      <x:c r="I144" t="str">
        <x:f>IF(136&gt;$H$4,"",MATCH(136,'Fleet dates'!$M$9:$M$1008,0)+8)</x:f>
      </x:c>
    </x:row>
    <x:row r="145" ht="36" customHeight="1">
      <x:c r="A145" s="50" t="str">
        <x:f>IF(137&gt;$H$4,"",IF(INDEX('Fleet dates'!$A$9:$A$1008,$I145-8)="","",INDEX('Fleet dates'!$A$9:$A$1008,$I145-8)))</x:f>
      </x:c>
      <x:c r="B145" s="50" t="str">
        <x:f>IF(137&gt;$H$4,"",IF(INDEX('Fleet dates'!$B$9:$B$1008,$I145-8)="","",INDEX('Fleet dates'!$B$9:$B$1008,$I145-8)))</x:f>
      </x:c>
      <x:c r="C145" s="51" t="str">
        <x:f>IF(137&gt;$H$4,"",IF(INDEX('Fleet dates'!$C$9:$C$1008,$I145-8)="","",INDEX('Fleet dates'!$C$9:$C$1008,$I145-8)))</x:f>
      </x:c>
      <x:c r="D145" s="51" t="str">
        <x:f>IF(137&gt;$H$4,"",IF(INDEX('Fleet dates'!$D$9:$D$1008,$I145-8)="","",INDEX('Fleet dates'!$D$9:$D$1008,$I145-8)))</x:f>
      </x:c>
      <x:c r="E145" s="51" t="str">
        <x:f>IF(137&gt;$H$4,"",IF(INDEX('Fleet dates'!$E$9:$E$1008,$I145-8)="","",INDEX('Fleet dates'!$E$9:$E$1008,$I145-8)))</x:f>
      </x:c>
      <x:c r="F145" s="51" t="str">
        <x:f>IF(137&gt;$H$4,"",IF(INDEX('Fleet dates'!$F$9:$F$1008,$I145-8)="","",INDEX('Fleet dates'!$F$9:$F$1008,$I145-8)))</x:f>
      </x:c>
      <x:c r="G145" s="50" t="str">
        <x:f>IF(137&gt;$H$4,"",IF(INDEX('Fleet dates'!$G$9:$G$1008,$I145-8)="","",INDEX('Fleet dates'!$G$9:$G$1008,$I145-8)))</x:f>
      </x:c>
      <x:c r="H145" s="50" t="str">
        <x:f>IF(137&gt;$H$4,"",IF(INDEX('Fleet dates'!$I$9:$I$1008,$I145-8)="","",INDEX('Fleet dates'!$I$9:$I$1008,$I145-8)))</x:f>
      </x:c>
      <x:c r="I145" t="str">
        <x:f>IF(137&gt;$H$4,"",MATCH(137,'Fleet dates'!$M$9:$M$1008,0)+8)</x:f>
      </x:c>
    </x:row>
    <x:row r="146" ht="36" customHeight="1">
      <x:c r="A146" s="50" t="str">
        <x:f>IF(138&gt;$H$4,"",IF(INDEX('Fleet dates'!$A$9:$A$1008,$I146-8)="","",INDEX('Fleet dates'!$A$9:$A$1008,$I146-8)))</x:f>
      </x:c>
      <x:c r="B146" s="50" t="str">
        <x:f>IF(138&gt;$H$4,"",IF(INDEX('Fleet dates'!$B$9:$B$1008,$I146-8)="","",INDEX('Fleet dates'!$B$9:$B$1008,$I146-8)))</x:f>
      </x:c>
      <x:c r="C146" s="51" t="str">
        <x:f>IF(138&gt;$H$4,"",IF(INDEX('Fleet dates'!$C$9:$C$1008,$I146-8)="","",INDEX('Fleet dates'!$C$9:$C$1008,$I146-8)))</x:f>
      </x:c>
      <x:c r="D146" s="51" t="str">
        <x:f>IF(138&gt;$H$4,"",IF(INDEX('Fleet dates'!$D$9:$D$1008,$I146-8)="","",INDEX('Fleet dates'!$D$9:$D$1008,$I146-8)))</x:f>
      </x:c>
      <x:c r="E146" s="51" t="str">
        <x:f>IF(138&gt;$H$4,"",IF(INDEX('Fleet dates'!$E$9:$E$1008,$I146-8)="","",INDEX('Fleet dates'!$E$9:$E$1008,$I146-8)))</x:f>
      </x:c>
      <x:c r="F146" s="51" t="str">
        <x:f>IF(138&gt;$H$4,"",IF(INDEX('Fleet dates'!$F$9:$F$1008,$I146-8)="","",INDEX('Fleet dates'!$F$9:$F$1008,$I146-8)))</x:f>
      </x:c>
      <x:c r="G146" s="50" t="str">
        <x:f>IF(138&gt;$H$4,"",IF(INDEX('Fleet dates'!$G$9:$G$1008,$I146-8)="","",INDEX('Fleet dates'!$G$9:$G$1008,$I146-8)))</x:f>
      </x:c>
      <x:c r="H146" s="50" t="str">
        <x:f>IF(138&gt;$H$4,"",IF(INDEX('Fleet dates'!$I$9:$I$1008,$I146-8)="","",INDEX('Fleet dates'!$I$9:$I$1008,$I146-8)))</x:f>
      </x:c>
      <x:c r="I146" t="str">
        <x:f>IF(138&gt;$H$4,"",MATCH(138,'Fleet dates'!$M$9:$M$1008,0)+8)</x:f>
      </x:c>
    </x:row>
    <x:row r="147" ht="36" customHeight="1">
      <x:c r="A147" s="50" t="str">
        <x:f>IF(139&gt;$H$4,"",IF(INDEX('Fleet dates'!$A$9:$A$1008,$I147-8)="","",INDEX('Fleet dates'!$A$9:$A$1008,$I147-8)))</x:f>
      </x:c>
      <x:c r="B147" s="50" t="str">
        <x:f>IF(139&gt;$H$4,"",IF(INDEX('Fleet dates'!$B$9:$B$1008,$I147-8)="","",INDEX('Fleet dates'!$B$9:$B$1008,$I147-8)))</x:f>
      </x:c>
      <x:c r="C147" s="51" t="str">
        <x:f>IF(139&gt;$H$4,"",IF(INDEX('Fleet dates'!$C$9:$C$1008,$I147-8)="","",INDEX('Fleet dates'!$C$9:$C$1008,$I147-8)))</x:f>
      </x:c>
      <x:c r="D147" s="51" t="str">
        <x:f>IF(139&gt;$H$4,"",IF(INDEX('Fleet dates'!$D$9:$D$1008,$I147-8)="","",INDEX('Fleet dates'!$D$9:$D$1008,$I147-8)))</x:f>
      </x:c>
      <x:c r="E147" s="51" t="str">
        <x:f>IF(139&gt;$H$4,"",IF(INDEX('Fleet dates'!$E$9:$E$1008,$I147-8)="","",INDEX('Fleet dates'!$E$9:$E$1008,$I147-8)))</x:f>
      </x:c>
      <x:c r="F147" s="51" t="str">
        <x:f>IF(139&gt;$H$4,"",IF(INDEX('Fleet dates'!$F$9:$F$1008,$I147-8)="","",INDEX('Fleet dates'!$F$9:$F$1008,$I147-8)))</x:f>
      </x:c>
      <x:c r="G147" s="50" t="str">
        <x:f>IF(139&gt;$H$4,"",IF(INDEX('Fleet dates'!$G$9:$G$1008,$I147-8)="","",INDEX('Fleet dates'!$G$9:$G$1008,$I147-8)))</x:f>
      </x:c>
      <x:c r="H147" s="50" t="str">
        <x:f>IF(139&gt;$H$4,"",IF(INDEX('Fleet dates'!$I$9:$I$1008,$I147-8)="","",INDEX('Fleet dates'!$I$9:$I$1008,$I147-8)))</x:f>
      </x:c>
      <x:c r="I147" t="str">
        <x:f>IF(139&gt;$H$4,"",MATCH(139,'Fleet dates'!$M$9:$M$1008,0)+8)</x:f>
      </x:c>
    </x:row>
    <x:row r="148" ht="36" customHeight="1">
      <x:c r="A148" s="50" t="str">
        <x:f>IF(140&gt;$H$4,"",IF(INDEX('Fleet dates'!$A$9:$A$1008,$I148-8)="","",INDEX('Fleet dates'!$A$9:$A$1008,$I148-8)))</x:f>
      </x:c>
      <x:c r="B148" s="50" t="str">
        <x:f>IF(140&gt;$H$4,"",IF(INDEX('Fleet dates'!$B$9:$B$1008,$I148-8)="","",INDEX('Fleet dates'!$B$9:$B$1008,$I148-8)))</x:f>
      </x:c>
      <x:c r="C148" s="51" t="str">
        <x:f>IF(140&gt;$H$4,"",IF(INDEX('Fleet dates'!$C$9:$C$1008,$I148-8)="","",INDEX('Fleet dates'!$C$9:$C$1008,$I148-8)))</x:f>
      </x:c>
      <x:c r="D148" s="51" t="str">
        <x:f>IF(140&gt;$H$4,"",IF(INDEX('Fleet dates'!$D$9:$D$1008,$I148-8)="","",INDEX('Fleet dates'!$D$9:$D$1008,$I148-8)))</x:f>
      </x:c>
      <x:c r="E148" s="51" t="str">
        <x:f>IF(140&gt;$H$4,"",IF(INDEX('Fleet dates'!$E$9:$E$1008,$I148-8)="","",INDEX('Fleet dates'!$E$9:$E$1008,$I148-8)))</x:f>
      </x:c>
      <x:c r="F148" s="51" t="str">
        <x:f>IF(140&gt;$H$4,"",IF(INDEX('Fleet dates'!$F$9:$F$1008,$I148-8)="","",INDEX('Fleet dates'!$F$9:$F$1008,$I148-8)))</x:f>
      </x:c>
      <x:c r="G148" s="50" t="str">
        <x:f>IF(140&gt;$H$4,"",IF(INDEX('Fleet dates'!$G$9:$G$1008,$I148-8)="","",INDEX('Fleet dates'!$G$9:$G$1008,$I148-8)))</x:f>
      </x:c>
      <x:c r="H148" s="50" t="str">
        <x:f>IF(140&gt;$H$4,"",IF(INDEX('Fleet dates'!$I$9:$I$1008,$I148-8)="","",INDEX('Fleet dates'!$I$9:$I$1008,$I148-8)))</x:f>
      </x:c>
      <x:c r="I148" t="str">
        <x:f>IF(140&gt;$H$4,"",MATCH(140,'Fleet dates'!$M$9:$M$1008,0)+8)</x:f>
      </x:c>
    </x:row>
    <x:row r="149" ht="36" customHeight="1">
      <x:c r="A149" s="50" t="str">
        <x:f>IF(141&gt;$H$4,"",IF(INDEX('Fleet dates'!$A$9:$A$1008,$I149-8)="","",INDEX('Fleet dates'!$A$9:$A$1008,$I149-8)))</x:f>
      </x:c>
      <x:c r="B149" s="50" t="str">
        <x:f>IF(141&gt;$H$4,"",IF(INDEX('Fleet dates'!$B$9:$B$1008,$I149-8)="","",INDEX('Fleet dates'!$B$9:$B$1008,$I149-8)))</x:f>
      </x:c>
      <x:c r="C149" s="51" t="str">
        <x:f>IF(141&gt;$H$4,"",IF(INDEX('Fleet dates'!$C$9:$C$1008,$I149-8)="","",INDEX('Fleet dates'!$C$9:$C$1008,$I149-8)))</x:f>
      </x:c>
      <x:c r="D149" s="51" t="str">
        <x:f>IF(141&gt;$H$4,"",IF(INDEX('Fleet dates'!$D$9:$D$1008,$I149-8)="","",INDEX('Fleet dates'!$D$9:$D$1008,$I149-8)))</x:f>
      </x:c>
      <x:c r="E149" s="51" t="str">
        <x:f>IF(141&gt;$H$4,"",IF(INDEX('Fleet dates'!$E$9:$E$1008,$I149-8)="","",INDEX('Fleet dates'!$E$9:$E$1008,$I149-8)))</x:f>
      </x:c>
      <x:c r="F149" s="51" t="str">
        <x:f>IF(141&gt;$H$4,"",IF(INDEX('Fleet dates'!$F$9:$F$1008,$I149-8)="","",INDEX('Fleet dates'!$F$9:$F$1008,$I149-8)))</x:f>
      </x:c>
      <x:c r="G149" s="50" t="str">
        <x:f>IF(141&gt;$H$4,"",IF(INDEX('Fleet dates'!$G$9:$G$1008,$I149-8)="","",INDEX('Fleet dates'!$G$9:$G$1008,$I149-8)))</x:f>
      </x:c>
      <x:c r="H149" s="50" t="str">
        <x:f>IF(141&gt;$H$4,"",IF(INDEX('Fleet dates'!$I$9:$I$1008,$I149-8)="","",INDEX('Fleet dates'!$I$9:$I$1008,$I149-8)))</x:f>
      </x:c>
      <x:c r="I149" t="str">
        <x:f>IF(141&gt;$H$4,"",MATCH(141,'Fleet dates'!$M$9:$M$1008,0)+8)</x:f>
      </x:c>
    </x:row>
    <x:row r="150" ht="36" customHeight="1">
      <x:c r="A150" s="50" t="str">
        <x:f>IF(142&gt;$H$4,"",IF(INDEX('Fleet dates'!$A$9:$A$1008,$I150-8)="","",INDEX('Fleet dates'!$A$9:$A$1008,$I150-8)))</x:f>
      </x:c>
      <x:c r="B150" s="50" t="str">
        <x:f>IF(142&gt;$H$4,"",IF(INDEX('Fleet dates'!$B$9:$B$1008,$I150-8)="","",INDEX('Fleet dates'!$B$9:$B$1008,$I150-8)))</x:f>
      </x:c>
      <x:c r="C150" s="51" t="str">
        <x:f>IF(142&gt;$H$4,"",IF(INDEX('Fleet dates'!$C$9:$C$1008,$I150-8)="","",INDEX('Fleet dates'!$C$9:$C$1008,$I150-8)))</x:f>
      </x:c>
      <x:c r="D150" s="51" t="str">
        <x:f>IF(142&gt;$H$4,"",IF(INDEX('Fleet dates'!$D$9:$D$1008,$I150-8)="","",INDEX('Fleet dates'!$D$9:$D$1008,$I150-8)))</x:f>
      </x:c>
      <x:c r="E150" s="51" t="str">
        <x:f>IF(142&gt;$H$4,"",IF(INDEX('Fleet dates'!$E$9:$E$1008,$I150-8)="","",INDEX('Fleet dates'!$E$9:$E$1008,$I150-8)))</x:f>
      </x:c>
      <x:c r="F150" s="51" t="str">
        <x:f>IF(142&gt;$H$4,"",IF(INDEX('Fleet dates'!$F$9:$F$1008,$I150-8)="","",INDEX('Fleet dates'!$F$9:$F$1008,$I150-8)))</x:f>
      </x:c>
      <x:c r="G150" s="50" t="str">
        <x:f>IF(142&gt;$H$4,"",IF(INDEX('Fleet dates'!$G$9:$G$1008,$I150-8)="","",INDEX('Fleet dates'!$G$9:$G$1008,$I150-8)))</x:f>
      </x:c>
      <x:c r="H150" s="50" t="str">
        <x:f>IF(142&gt;$H$4,"",IF(INDEX('Fleet dates'!$I$9:$I$1008,$I150-8)="","",INDEX('Fleet dates'!$I$9:$I$1008,$I150-8)))</x:f>
      </x:c>
      <x:c r="I150" t="str">
        <x:f>IF(142&gt;$H$4,"",MATCH(142,'Fleet dates'!$M$9:$M$1008,0)+8)</x:f>
      </x:c>
    </x:row>
    <x:row r="151" ht="36" customHeight="1">
      <x:c r="A151" s="50" t="str">
        <x:f>IF(143&gt;$H$4,"",IF(INDEX('Fleet dates'!$A$9:$A$1008,$I151-8)="","",INDEX('Fleet dates'!$A$9:$A$1008,$I151-8)))</x:f>
      </x:c>
      <x:c r="B151" s="50" t="str">
        <x:f>IF(143&gt;$H$4,"",IF(INDEX('Fleet dates'!$B$9:$B$1008,$I151-8)="","",INDEX('Fleet dates'!$B$9:$B$1008,$I151-8)))</x:f>
      </x:c>
      <x:c r="C151" s="51" t="str">
        <x:f>IF(143&gt;$H$4,"",IF(INDEX('Fleet dates'!$C$9:$C$1008,$I151-8)="","",INDEX('Fleet dates'!$C$9:$C$1008,$I151-8)))</x:f>
      </x:c>
      <x:c r="D151" s="51" t="str">
        <x:f>IF(143&gt;$H$4,"",IF(INDEX('Fleet dates'!$D$9:$D$1008,$I151-8)="","",INDEX('Fleet dates'!$D$9:$D$1008,$I151-8)))</x:f>
      </x:c>
      <x:c r="E151" s="51" t="str">
        <x:f>IF(143&gt;$H$4,"",IF(INDEX('Fleet dates'!$E$9:$E$1008,$I151-8)="","",INDEX('Fleet dates'!$E$9:$E$1008,$I151-8)))</x:f>
      </x:c>
      <x:c r="F151" s="51" t="str">
        <x:f>IF(143&gt;$H$4,"",IF(INDEX('Fleet dates'!$F$9:$F$1008,$I151-8)="","",INDEX('Fleet dates'!$F$9:$F$1008,$I151-8)))</x:f>
      </x:c>
      <x:c r="G151" s="50" t="str">
        <x:f>IF(143&gt;$H$4,"",IF(INDEX('Fleet dates'!$G$9:$G$1008,$I151-8)="","",INDEX('Fleet dates'!$G$9:$G$1008,$I151-8)))</x:f>
      </x:c>
      <x:c r="H151" s="50" t="str">
        <x:f>IF(143&gt;$H$4,"",IF(INDEX('Fleet dates'!$I$9:$I$1008,$I151-8)="","",INDEX('Fleet dates'!$I$9:$I$1008,$I151-8)))</x:f>
      </x:c>
      <x:c r="I151" t="str">
        <x:f>IF(143&gt;$H$4,"",MATCH(143,'Fleet dates'!$M$9:$M$1008,0)+8)</x:f>
      </x:c>
    </x:row>
    <x:row r="152" ht="36" customHeight="1">
      <x:c r="A152" s="50" t="str">
        <x:f>IF(144&gt;$H$4,"",IF(INDEX('Fleet dates'!$A$9:$A$1008,$I152-8)="","",INDEX('Fleet dates'!$A$9:$A$1008,$I152-8)))</x:f>
      </x:c>
      <x:c r="B152" s="50" t="str">
        <x:f>IF(144&gt;$H$4,"",IF(INDEX('Fleet dates'!$B$9:$B$1008,$I152-8)="","",INDEX('Fleet dates'!$B$9:$B$1008,$I152-8)))</x:f>
      </x:c>
      <x:c r="C152" s="51" t="str">
        <x:f>IF(144&gt;$H$4,"",IF(INDEX('Fleet dates'!$C$9:$C$1008,$I152-8)="","",INDEX('Fleet dates'!$C$9:$C$1008,$I152-8)))</x:f>
      </x:c>
      <x:c r="D152" s="51" t="str">
        <x:f>IF(144&gt;$H$4,"",IF(INDEX('Fleet dates'!$D$9:$D$1008,$I152-8)="","",INDEX('Fleet dates'!$D$9:$D$1008,$I152-8)))</x:f>
      </x:c>
      <x:c r="E152" s="51" t="str">
        <x:f>IF(144&gt;$H$4,"",IF(INDEX('Fleet dates'!$E$9:$E$1008,$I152-8)="","",INDEX('Fleet dates'!$E$9:$E$1008,$I152-8)))</x:f>
      </x:c>
      <x:c r="F152" s="51" t="str">
        <x:f>IF(144&gt;$H$4,"",IF(INDEX('Fleet dates'!$F$9:$F$1008,$I152-8)="","",INDEX('Fleet dates'!$F$9:$F$1008,$I152-8)))</x:f>
      </x:c>
      <x:c r="G152" s="50" t="str">
        <x:f>IF(144&gt;$H$4,"",IF(INDEX('Fleet dates'!$G$9:$G$1008,$I152-8)="","",INDEX('Fleet dates'!$G$9:$G$1008,$I152-8)))</x:f>
      </x:c>
      <x:c r="H152" s="50" t="str">
        <x:f>IF(144&gt;$H$4,"",IF(INDEX('Fleet dates'!$I$9:$I$1008,$I152-8)="","",INDEX('Fleet dates'!$I$9:$I$1008,$I152-8)))</x:f>
      </x:c>
      <x:c r="I152" t="str">
        <x:f>IF(144&gt;$H$4,"",MATCH(144,'Fleet dates'!$M$9:$M$1008,0)+8)</x:f>
      </x:c>
    </x:row>
    <x:row r="153" ht="36" customHeight="1">
      <x:c r="A153" s="50" t="str">
        <x:f>IF(145&gt;$H$4,"",IF(INDEX('Fleet dates'!$A$9:$A$1008,$I153-8)="","",INDEX('Fleet dates'!$A$9:$A$1008,$I153-8)))</x:f>
      </x:c>
      <x:c r="B153" s="50" t="str">
        <x:f>IF(145&gt;$H$4,"",IF(INDEX('Fleet dates'!$B$9:$B$1008,$I153-8)="","",INDEX('Fleet dates'!$B$9:$B$1008,$I153-8)))</x:f>
      </x:c>
      <x:c r="C153" s="51" t="str">
        <x:f>IF(145&gt;$H$4,"",IF(INDEX('Fleet dates'!$C$9:$C$1008,$I153-8)="","",INDEX('Fleet dates'!$C$9:$C$1008,$I153-8)))</x:f>
      </x:c>
      <x:c r="D153" s="51" t="str">
        <x:f>IF(145&gt;$H$4,"",IF(INDEX('Fleet dates'!$D$9:$D$1008,$I153-8)="","",INDEX('Fleet dates'!$D$9:$D$1008,$I153-8)))</x:f>
      </x:c>
      <x:c r="E153" s="51" t="str">
        <x:f>IF(145&gt;$H$4,"",IF(INDEX('Fleet dates'!$E$9:$E$1008,$I153-8)="","",INDEX('Fleet dates'!$E$9:$E$1008,$I153-8)))</x:f>
      </x:c>
      <x:c r="F153" s="51" t="str">
        <x:f>IF(145&gt;$H$4,"",IF(INDEX('Fleet dates'!$F$9:$F$1008,$I153-8)="","",INDEX('Fleet dates'!$F$9:$F$1008,$I153-8)))</x:f>
      </x:c>
      <x:c r="G153" s="50" t="str">
        <x:f>IF(145&gt;$H$4,"",IF(INDEX('Fleet dates'!$G$9:$G$1008,$I153-8)="","",INDEX('Fleet dates'!$G$9:$G$1008,$I153-8)))</x:f>
      </x:c>
      <x:c r="H153" s="50" t="str">
        <x:f>IF(145&gt;$H$4,"",IF(INDEX('Fleet dates'!$I$9:$I$1008,$I153-8)="","",INDEX('Fleet dates'!$I$9:$I$1008,$I153-8)))</x:f>
      </x:c>
      <x:c r="I153" t="str">
        <x:f>IF(145&gt;$H$4,"",MATCH(145,'Fleet dates'!$M$9:$M$1008,0)+8)</x:f>
      </x:c>
    </x:row>
    <x:row r="154" ht="36" customHeight="1">
      <x:c r="A154" s="50" t="str">
        <x:f>IF(146&gt;$H$4,"",IF(INDEX('Fleet dates'!$A$9:$A$1008,$I154-8)="","",INDEX('Fleet dates'!$A$9:$A$1008,$I154-8)))</x:f>
      </x:c>
      <x:c r="B154" s="50" t="str">
        <x:f>IF(146&gt;$H$4,"",IF(INDEX('Fleet dates'!$B$9:$B$1008,$I154-8)="","",INDEX('Fleet dates'!$B$9:$B$1008,$I154-8)))</x:f>
      </x:c>
      <x:c r="C154" s="51" t="str">
        <x:f>IF(146&gt;$H$4,"",IF(INDEX('Fleet dates'!$C$9:$C$1008,$I154-8)="","",INDEX('Fleet dates'!$C$9:$C$1008,$I154-8)))</x:f>
      </x:c>
      <x:c r="D154" s="51" t="str">
        <x:f>IF(146&gt;$H$4,"",IF(INDEX('Fleet dates'!$D$9:$D$1008,$I154-8)="","",INDEX('Fleet dates'!$D$9:$D$1008,$I154-8)))</x:f>
      </x:c>
      <x:c r="E154" s="51" t="str">
        <x:f>IF(146&gt;$H$4,"",IF(INDEX('Fleet dates'!$E$9:$E$1008,$I154-8)="","",INDEX('Fleet dates'!$E$9:$E$1008,$I154-8)))</x:f>
      </x:c>
      <x:c r="F154" s="51" t="str">
        <x:f>IF(146&gt;$H$4,"",IF(INDEX('Fleet dates'!$F$9:$F$1008,$I154-8)="","",INDEX('Fleet dates'!$F$9:$F$1008,$I154-8)))</x:f>
      </x:c>
      <x:c r="G154" s="50" t="str">
        <x:f>IF(146&gt;$H$4,"",IF(INDEX('Fleet dates'!$G$9:$G$1008,$I154-8)="","",INDEX('Fleet dates'!$G$9:$G$1008,$I154-8)))</x:f>
      </x:c>
      <x:c r="H154" s="50" t="str">
        <x:f>IF(146&gt;$H$4,"",IF(INDEX('Fleet dates'!$I$9:$I$1008,$I154-8)="","",INDEX('Fleet dates'!$I$9:$I$1008,$I154-8)))</x:f>
      </x:c>
      <x:c r="I154" t="str">
        <x:f>IF(146&gt;$H$4,"",MATCH(146,'Fleet dates'!$M$9:$M$1008,0)+8)</x:f>
      </x:c>
    </x:row>
    <x:row r="155" ht="36" customHeight="1">
      <x:c r="A155" s="50" t="str">
        <x:f>IF(147&gt;$H$4,"",IF(INDEX('Fleet dates'!$A$9:$A$1008,$I155-8)="","",INDEX('Fleet dates'!$A$9:$A$1008,$I155-8)))</x:f>
      </x:c>
      <x:c r="B155" s="50" t="str">
        <x:f>IF(147&gt;$H$4,"",IF(INDEX('Fleet dates'!$B$9:$B$1008,$I155-8)="","",INDEX('Fleet dates'!$B$9:$B$1008,$I155-8)))</x:f>
      </x:c>
      <x:c r="C155" s="51" t="str">
        <x:f>IF(147&gt;$H$4,"",IF(INDEX('Fleet dates'!$C$9:$C$1008,$I155-8)="","",INDEX('Fleet dates'!$C$9:$C$1008,$I155-8)))</x:f>
      </x:c>
      <x:c r="D155" s="51" t="str">
        <x:f>IF(147&gt;$H$4,"",IF(INDEX('Fleet dates'!$D$9:$D$1008,$I155-8)="","",INDEX('Fleet dates'!$D$9:$D$1008,$I155-8)))</x:f>
      </x:c>
      <x:c r="E155" s="51" t="str">
        <x:f>IF(147&gt;$H$4,"",IF(INDEX('Fleet dates'!$E$9:$E$1008,$I155-8)="","",INDEX('Fleet dates'!$E$9:$E$1008,$I155-8)))</x:f>
      </x:c>
      <x:c r="F155" s="51" t="str">
        <x:f>IF(147&gt;$H$4,"",IF(INDEX('Fleet dates'!$F$9:$F$1008,$I155-8)="","",INDEX('Fleet dates'!$F$9:$F$1008,$I155-8)))</x:f>
      </x:c>
      <x:c r="G155" s="50" t="str">
        <x:f>IF(147&gt;$H$4,"",IF(INDEX('Fleet dates'!$G$9:$G$1008,$I155-8)="","",INDEX('Fleet dates'!$G$9:$G$1008,$I155-8)))</x:f>
      </x:c>
      <x:c r="H155" s="50" t="str">
        <x:f>IF(147&gt;$H$4,"",IF(INDEX('Fleet dates'!$I$9:$I$1008,$I155-8)="","",INDEX('Fleet dates'!$I$9:$I$1008,$I155-8)))</x:f>
      </x:c>
      <x:c r="I155" t="str">
        <x:f>IF(147&gt;$H$4,"",MATCH(147,'Fleet dates'!$M$9:$M$1008,0)+8)</x:f>
      </x:c>
    </x:row>
    <x:row r="156" ht="36" customHeight="1">
      <x:c r="A156" s="50" t="str">
        <x:f>IF(148&gt;$H$4,"",IF(INDEX('Fleet dates'!$A$9:$A$1008,$I156-8)="","",INDEX('Fleet dates'!$A$9:$A$1008,$I156-8)))</x:f>
      </x:c>
      <x:c r="B156" s="50" t="str">
        <x:f>IF(148&gt;$H$4,"",IF(INDEX('Fleet dates'!$B$9:$B$1008,$I156-8)="","",INDEX('Fleet dates'!$B$9:$B$1008,$I156-8)))</x:f>
      </x:c>
      <x:c r="C156" s="51" t="str">
        <x:f>IF(148&gt;$H$4,"",IF(INDEX('Fleet dates'!$C$9:$C$1008,$I156-8)="","",INDEX('Fleet dates'!$C$9:$C$1008,$I156-8)))</x:f>
      </x:c>
      <x:c r="D156" s="51" t="str">
        <x:f>IF(148&gt;$H$4,"",IF(INDEX('Fleet dates'!$D$9:$D$1008,$I156-8)="","",INDEX('Fleet dates'!$D$9:$D$1008,$I156-8)))</x:f>
      </x:c>
      <x:c r="E156" s="51" t="str">
        <x:f>IF(148&gt;$H$4,"",IF(INDEX('Fleet dates'!$E$9:$E$1008,$I156-8)="","",INDEX('Fleet dates'!$E$9:$E$1008,$I156-8)))</x:f>
      </x:c>
      <x:c r="F156" s="51" t="str">
        <x:f>IF(148&gt;$H$4,"",IF(INDEX('Fleet dates'!$F$9:$F$1008,$I156-8)="","",INDEX('Fleet dates'!$F$9:$F$1008,$I156-8)))</x:f>
      </x:c>
      <x:c r="G156" s="50" t="str">
        <x:f>IF(148&gt;$H$4,"",IF(INDEX('Fleet dates'!$G$9:$G$1008,$I156-8)="","",INDEX('Fleet dates'!$G$9:$G$1008,$I156-8)))</x:f>
      </x:c>
      <x:c r="H156" s="50" t="str">
        <x:f>IF(148&gt;$H$4,"",IF(INDEX('Fleet dates'!$I$9:$I$1008,$I156-8)="","",INDEX('Fleet dates'!$I$9:$I$1008,$I156-8)))</x:f>
      </x:c>
      <x:c r="I156" t="str">
        <x:f>IF(148&gt;$H$4,"",MATCH(148,'Fleet dates'!$M$9:$M$1008,0)+8)</x:f>
      </x:c>
    </x:row>
    <x:row r="157" ht="36" customHeight="1">
      <x:c r="A157" s="50" t="str">
        <x:f>IF(149&gt;$H$4,"",IF(INDEX('Fleet dates'!$A$9:$A$1008,$I157-8)="","",INDEX('Fleet dates'!$A$9:$A$1008,$I157-8)))</x:f>
      </x:c>
      <x:c r="B157" s="50" t="str">
        <x:f>IF(149&gt;$H$4,"",IF(INDEX('Fleet dates'!$B$9:$B$1008,$I157-8)="","",INDEX('Fleet dates'!$B$9:$B$1008,$I157-8)))</x:f>
      </x:c>
      <x:c r="C157" s="51" t="str">
        <x:f>IF(149&gt;$H$4,"",IF(INDEX('Fleet dates'!$C$9:$C$1008,$I157-8)="","",INDEX('Fleet dates'!$C$9:$C$1008,$I157-8)))</x:f>
      </x:c>
      <x:c r="D157" s="51" t="str">
        <x:f>IF(149&gt;$H$4,"",IF(INDEX('Fleet dates'!$D$9:$D$1008,$I157-8)="","",INDEX('Fleet dates'!$D$9:$D$1008,$I157-8)))</x:f>
      </x:c>
      <x:c r="E157" s="51" t="str">
        <x:f>IF(149&gt;$H$4,"",IF(INDEX('Fleet dates'!$E$9:$E$1008,$I157-8)="","",INDEX('Fleet dates'!$E$9:$E$1008,$I157-8)))</x:f>
      </x:c>
      <x:c r="F157" s="51" t="str">
        <x:f>IF(149&gt;$H$4,"",IF(INDEX('Fleet dates'!$F$9:$F$1008,$I157-8)="","",INDEX('Fleet dates'!$F$9:$F$1008,$I157-8)))</x:f>
      </x:c>
      <x:c r="G157" s="50" t="str">
        <x:f>IF(149&gt;$H$4,"",IF(INDEX('Fleet dates'!$G$9:$G$1008,$I157-8)="","",INDEX('Fleet dates'!$G$9:$G$1008,$I157-8)))</x:f>
      </x:c>
      <x:c r="H157" s="50" t="str">
        <x:f>IF(149&gt;$H$4,"",IF(INDEX('Fleet dates'!$I$9:$I$1008,$I157-8)="","",INDEX('Fleet dates'!$I$9:$I$1008,$I157-8)))</x:f>
      </x:c>
      <x:c r="I157" t="str">
        <x:f>IF(149&gt;$H$4,"",MATCH(149,'Fleet dates'!$M$9:$M$1008,0)+8)</x:f>
      </x:c>
    </x:row>
    <x:row r="158" ht="36" customHeight="1">
      <x:c r="A158" s="50" t="str">
        <x:f>IF(150&gt;$H$4,"",IF(INDEX('Fleet dates'!$A$9:$A$1008,$I158-8)="","",INDEX('Fleet dates'!$A$9:$A$1008,$I158-8)))</x:f>
      </x:c>
      <x:c r="B158" s="50" t="str">
        <x:f>IF(150&gt;$H$4,"",IF(INDEX('Fleet dates'!$B$9:$B$1008,$I158-8)="","",INDEX('Fleet dates'!$B$9:$B$1008,$I158-8)))</x:f>
      </x:c>
      <x:c r="C158" s="51" t="str">
        <x:f>IF(150&gt;$H$4,"",IF(INDEX('Fleet dates'!$C$9:$C$1008,$I158-8)="","",INDEX('Fleet dates'!$C$9:$C$1008,$I158-8)))</x:f>
      </x:c>
      <x:c r="D158" s="51" t="str">
        <x:f>IF(150&gt;$H$4,"",IF(INDEX('Fleet dates'!$D$9:$D$1008,$I158-8)="","",INDEX('Fleet dates'!$D$9:$D$1008,$I158-8)))</x:f>
      </x:c>
      <x:c r="E158" s="51" t="str">
        <x:f>IF(150&gt;$H$4,"",IF(INDEX('Fleet dates'!$E$9:$E$1008,$I158-8)="","",INDEX('Fleet dates'!$E$9:$E$1008,$I158-8)))</x:f>
      </x:c>
      <x:c r="F158" s="51" t="str">
        <x:f>IF(150&gt;$H$4,"",IF(INDEX('Fleet dates'!$F$9:$F$1008,$I158-8)="","",INDEX('Fleet dates'!$F$9:$F$1008,$I158-8)))</x:f>
      </x:c>
      <x:c r="G158" s="50" t="str">
        <x:f>IF(150&gt;$H$4,"",IF(INDEX('Fleet dates'!$G$9:$G$1008,$I158-8)="","",INDEX('Fleet dates'!$G$9:$G$1008,$I158-8)))</x:f>
      </x:c>
      <x:c r="H158" s="50" t="str">
        <x:f>IF(150&gt;$H$4,"",IF(INDEX('Fleet dates'!$I$9:$I$1008,$I158-8)="","",INDEX('Fleet dates'!$I$9:$I$1008,$I158-8)))</x:f>
      </x:c>
      <x:c r="I158" t="str">
        <x:f>IF(150&gt;$H$4,"",MATCH(150,'Fleet dates'!$M$9:$M$1008,0)+8)</x:f>
      </x:c>
    </x:row>
    <x:row r="159" ht="36" customHeight="1">
      <x:c r="A159" s="50" t="str">
        <x:f>IF(151&gt;$H$4,"",IF(INDEX('Fleet dates'!$A$9:$A$1008,$I159-8)="","",INDEX('Fleet dates'!$A$9:$A$1008,$I159-8)))</x:f>
      </x:c>
      <x:c r="B159" s="50" t="str">
        <x:f>IF(151&gt;$H$4,"",IF(INDEX('Fleet dates'!$B$9:$B$1008,$I159-8)="","",INDEX('Fleet dates'!$B$9:$B$1008,$I159-8)))</x:f>
      </x:c>
      <x:c r="C159" s="51" t="str">
        <x:f>IF(151&gt;$H$4,"",IF(INDEX('Fleet dates'!$C$9:$C$1008,$I159-8)="","",INDEX('Fleet dates'!$C$9:$C$1008,$I159-8)))</x:f>
      </x:c>
      <x:c r="D159" s="51" t="str">
        <x:f>IF(151&gt;$H$4,"",IF(INDEX('Fleet dates'!$D$9:$D$1008,$I159-8)="","",INDEX('Fleet dates'!$D$9:$D$1008,$I159-8)))</x:f>
      </x:c>
      <x:c r="E159" s="51" t="str">
        <x:f>IF(151&gt;$H$4,"",IF(INDEX('Fleet dates'!$E$9:$E$1008,$I159-8)="","",INDEX('Fleet dates'!$E$9:$E$1008,$I159-8)))</x:f>
      </x:c>
      <x:c r="F159" s="51" t="str">
        <x:f>IF(151&gt;$H$4,"",IF(INDEX('Fleet dates'!$F$9:$F$1008,$I159-8)="","",INDEX('Fleet dates'!$F$9:$F$1008,$I159-8)))</x:f>
      </x:c>
      <x:c r="G159" s="50" t="str">
        <x:f>IF(151&gt;$H$4,"",IF(INDEX('Fleet dates'!$G$9:$G$1008,$I159-8)="","",INDEX('Fleet dates'!$G$9:$G$1008,$I159-8)))</x:f>
      </x:c>
      <x:c r="H159" s="50" t="str">
        <x:f>IF(151&gt;$H$4,"",IF(INDEX('Fleet dates'!$I$9:$I$1008,$I159-8)="","",INDEX('Fleet dates'!$I$9:$I$1008,$I159-8)))</x:f>
      </x:c>
      <x:c r="I159" t="str">
        <x:f>IF(151&gt;$H$4,"",MATCH(151,'Fleet dates'!$M$9:$M$1008,0)+8)</x:f>
      </x:c>
    </x:row>
    <x:row r="160" ht="36" customHeight="1">
      <x:c r="A160" s="50" t="str">
        <x:f>IF(152&gt;$H$4,"",IF(INDEX('Fleet dates'!$A$9:$A$1008,$I160-8)="","",INDEX('Fleet dates'!$A$9:$A$1008,$I160-8)))</x:f>
      </x:c>
      <x:c r="B160" s="50" t="str">
        <x:f>IF(152&gt;$H$4,"",IF(INDEX('Fleet dates'!$B$9:$B$1008,$I160-8)="","",INDEX('Fleet dates'!$B$9:$B$1008,$I160-8)))</x:f>
      </x:c>
      <x:c r="C160" s="51" t="str">
        <x:f>IF(152&gt;$H$4,"",IF(INDEX('Fleet dates'!$C$9:$C$1008,$I160-8)="","",INDEX('Fleet dates'!$C$9:$C$1008,$I160-8)))</x:f>
      </x:c>
      <x:c r="D160" s="51" t="str">
        <x:f>IF(152&gt;$H$4,"",IF(INDEX('Fleet dates'!$D$9:$D$1008,$I160-8)="","",INDEX('Fleet dates'!$D$9:$D$1008,$I160-8)))</x:f>
      </x:c>
      <x:c r="E160" s="51" t="str">
        <x:f>IF(152&gt;$H$4,"",IF(INDEX('Fleet dates'!$E$9:$E$1008,$I160-8)="","",INDEX('Fleet dates'!$E$9:$E$1008,$I160-8)))</x:f>
      </x:c>
      <x:c r="F160" s="51" t="str">
        <x:f>IF(152&gt;$H$4,"",IF(INDEX('Fleet dates'!$F$9:$F$1008,$I160-8)="","",INDEX('Fleet dates'!$F$9:$F$1008,$I160-8)))</x:f>
      </x:c>
      <x:c r="G160" s="50" t="str">
        <x:f>IF(152&gt;$H$4,"",IF(INDEX('Fleet dates'!$G$9:$G$1008,$I160-8)="","",INDEX('Fleet dates'!$G$9:$G$1008,$I160-8)))</x:f>
      </x:c>
      <x:c r="H160" s="50" t="str">
        <x:f>IF(152&gt;$H$4,"",IF(INDEX('Fleet dates'!$I$9:$I$1008,$I160-8)="","",INDEX('Fleet dates'!$I$9:$I$1008,$I160-8)))</x:f>
      </x:c>
      <x:c r="I160" t="str">
        <x:f>IF(152&gt;$H$4,"",MATCH(152,'Fleet dates'!$M$9:$M$1008,0)+8)</x:f>
      </x:c>
    </x:row>
    <x:row r="161" ht="36" customHeight="1">
      <x:c r="A161" s="50" t="str">
        <x:f>IF(153&gt;$H$4,"",IF(INDEX('Fleet dates'!$A$9:$A$1008,$I161-8)="","",INDEX('Fleet dates'!$A$9:$A$1008,$I161-8)))</x:f>
      </x:c>
      <x:c r="B161" s="50" t="str">
        <x:f>IF(153&gt;$H$4,"",IF(INDEX('Fleet dates'!$B$9:$B$1008,$I161-8)="","",INDEX('Fleet dates'!$B$9:$B$1008,$I161-8)))</x:f>
      </x:c>
      <x:c r="C161" s="51" t="str">
        <x:f>IF(153&gt;$H$4,"",IF(INDEX('Fleet dates'!$C$9:$C$1008,$I161-8)="","",INDEX('Fleet dates'!$C$9:$C$1008,$I161-8)))</x:f>
      </x:c>
      <x:c r="D161" s="51" t="str">
        <x:f>IF(153&gt;$H$4,"",IF(INDEX('Fleet dates'!$D$9:$D$1008,$I161-8)="","",INDEX('Fleet dates'!$D$9:$D$1008,$I161-8)))</x:f>
      </x:c>
      <x:c r="E161" s="51" t="str">
        <x:f>IF(153&gt;$H$4,"",IF(INDEX('Fleet dates'!$E$9:$E$1008,$I161-8)="","",INDEX('Fleet dates'!$E$9:$E$1008,$I161-8)))</x:f>
      </x:c>
      <x:c r="F161" s="51" t="str">
        <x:f>IF(153&gt;$H$4,"",IF(INDEX('Fleet dates'!$F$9:$F$1008,$I161-8)="","",INDEX('Fleet dates'!$F$9:$F$1008,$I161-8)))</x:f>
      </x:c>
      <x:c r="G161" s="50" t="str">
        <x:f>IF(153&gt;$H$4,"",IF(INDEX('Fleet dates'!$G$9:$G$1008,$I161-8)="","",INDEX('Fleet dates'!$G$9:$G$1008,$I161-8)))</x:f>
      </x:c>
      <x:c r="H161" s="50" t="str">
        <x:f>IF(153&gt;$H$4,"",IF(INDEX('Fleet dates'!$I$9:$I$1008,$I161-8)="","",INDEX('Fleet dates'!$I$9:$I$1008,$I161-8)))</x:f>
      </x:c>
      <x:c r="I161" t="str">
        <x:f>IF(153&gt;$H$4,"",MATCH(153,'Fleet dates'!$M$9:$M$1008,0)+8)</x:f>
      </x:c>
    </x:row>
    <x:row r="162" ht="36" customHeight="1">
      <x:c r="A162" s="50" t="str">
        <x:f>IF(154&gt;$H$4,"",IF(INDEX('Fleet dates'!$A$9:$A$1008,$I162-8)="","",INDEX('Fleet dates'!$A$9:$A$1008,$I162-8)))</x:f>
      </x:c>
      <x:c r="B162" s="50" t="str">
        <x:f>IF(154&gt;$H$4,"",IF(INDEX('Fleet dates'!$B$9:$B$1008,$I162-8)="","",INDEX('Fleet dates'!$B$9:$B$1008,$I162-8)))</x:f>
      </x:c>
      <x:c r="C162" s="51" t="str">
        <x:f>IF(154&gt;$H$4,"",IF(INDEX('Fleet dates'!$C$9:$C$1008,$I162-8)="","",INDEX('Fleet dates'!$C$9:$C$1008,$I162-8)))</x:f>
      </x:c>
      <x:c r="D162" s="51" t="str">
        <x:f>IF(154&gt;$H$4,"",IF(INDEX('Fleet dates'!$D$9:$D$1008,$I162-8)="","",INDEX('Fleet dates'!$D$9:$D$1008,$I162-8)))</x:f>
      </x:c>
      <x:c r="E162" s="51" t="str">
        <x:f>IF(154&gt;$H$4,"",IF(INDEX('Fleet dates'!$E$9:$E$1008,$I162-8)="","",INDEX('Fleet dates'!$E$9:$E$1008,$I162-8)))</x:f>
      </x:c>
      <x:c r="F162" s="51" t="str">
        <x:f>IF(154&gt;$H$4,"",IF(INDEX('Fleet dates'!$F$9:$F$1008,$I162-8)="","",INDEX('Fleet dates'!$F$9:$F$1008,$I162-8)))</x:f>
      </x:c>
      <x:c r="G162" s="50" t="str">
        <x:f>IF(154&gt;$H$4,"",IF(INDEX('Fleet dates'!$G$9:$G$1008,$I162-8)="","",INDEX('Fleet dates'!$G$9:$G$1008,$I162-8)))</x:f>
      </x:c>
      <x:c r="H162" s="50" t="str">
        <x:f>IF(154&gt;$H$4,"",IF(INDEX('Fleet dates'!$I$9:$I$1008,$I162-8)="","",INDEX('Fleet dates'!$I$9:$I$1008,$I162-8)))</x:f>
      </x:c>
      <x:c r="I162" t="str">
        <x:f>IF(154&gt;$H$4,"",MATCH(154,'Fleet dates'!$M$9:$M$1008,0)+8)</x:f>
      </x:c>
    </x:row>
    <x:row r="163" ht="36" customHeight="1">
      <x:c r="A163" s="50" t="str">
        <x:f>IF(155&gt;$H$4,"",IF(INDEX('Fleet dates'!$A$9:$A$1008,$I163-8)="","",INDEX('Fleet dates'!$A$9:$A$1008,$I163-8)))</x:f>
      </x:c>
      <x:c r="B163" s="50" t="str">
        <x:f>IF(155&gt;$H$4,"",IF(INDEX('Fleet dates'!$B$9:$B$1008,$I163-8)="","",INDEX('Fleet dates'!$B$9:$B$1008,$I163-8)))</x:f>
      </x:c>
      <x:c r="C163" s="51" t="str">
        <x:f>IF(155&gt;$H$4,"",IF(INDEX('Fleet dates'!$C$9:$C$1008,$I163-8)="","",INDEX('Fleet dates'!$C$9:$C$1008,$I163-8)))</x:f>
      </x:c>
      <x:c r="D163" s="51" t="str">
        <x:f>IF(155&gt;$H$4,"",IF(INDEX('Fleet dates'!$D$9:$D$1008,$I163-8)="","",INDEX('Fleet dates'!$D$9:$D$1008,$I163-8)))</x:f>
      </x:c>
      <x:c r="E163" s="51" t="str">
        <x:f>IF(155&gt;$H$4,"",IF(INDEX('Fleet dates'!$E$9:$E$1008,$I163-8)="","",INDEX('Fleet dates'!$E$9:$E$1008,$I163-8)))</x:f>
      </x:c>
      <x:c r="F163" s="51" t="str">
        <x:f>IF(155&gt;$H$4,"",IF(INDEX('Fleet dates'!$F$9:$F$1008,$I163-8)="","",INDEX('Fleet dates'!$F$9:$F$1008,$I163-8)))</x:f>
      </x:c>
      <x:c r="G163" s="50" t="str">
        <x:f>IF(155&gt;$H$4,"",IF(INDEX('Fleet dates'!$G$9:$G$1008,$I163-8)="","",INDEX('Fleet dates'!$G$9:$G$1008,$I163-8)))</x:f>
      </x:c>
      <x:c r="H163" s="50" t="str">
        <x:f>IF(155&gt;$H$4,"",IF(INDEX('Fleet dates'!$I$9:$I$1008,$I163-8)="","",INDEX('Fleet dates'!$I$9:$I$1008,$I163-8)))</x:f>
      </x:c>
      <x:c r="I163" t="str">
        <x:f>IF(155&gt;$H$4,"",MATCH(155,'Fleet dates'!$M$9:$M$1008,0)+8)</x:f>
      </x:c>
    </x:row>
    <x:row r="164" ht="36" customHeight="1">
      <x:c r="A164" s="50" t="str">
        <x:f>IF(156&gt;$H$4,"",IF(INDEX('Fleet dates'!$A$9:$A$1008,$I164-8)="","",INDEX('Fleet dates'!$A$9:$A$1008,$I164-8)))</x:f>
      </x:c>
      <x:c r="B164" s="50" t="str">
        <x:f>IF(156&gt;$H$4,"",IF(INDEX('Fleet dates'!$B$9:$B$1008,$I164-8)="","",INDEX('Fleet dates'!$B$9:$B$1008,$I164-8)))</x:f>
      </x:c>
      <x:c r="C164" s="51" t="str">
        <x:f>IF(156&gt;$H$4,"",IF(INDEX('Fleet dates'!$C$9:$C$1008,$I164-8)="","",INDEX('Fleet dates'!$C$9:$C$1008,$I164-8)))</x:f>
      </x:c>
      <x:c r="D164" s="51" t="str">
        <x:f>IF(156&gt;$H$4,"",IF(INDEX('Fleet dates'!$D$9:$D$1008,$I164-8)="","",INDEX('Fleet dates'!$D$9:$D$1008,$I164-8)))</x:f>
      </x:c>
      <x:c r="E164" s="51" t="str">
        <x:f>IF(156&gt;$H$4,"",IF(INDEX('Fleet dates'!$E$9:$E$1008,$I164-8)="","",INDEX('Fleet dates'!$E$9:$E$1008,$I164-8)))</x:f>
      </x:c>
      <x:c r="F164" s="51" t="str">
        <x:f>IF(156&gt;$H$4,"",IF(INDEX('Fleet dates'!$F$9:$F$1008,$I164-8)="","",INDEX('Fleet dates'!$F$9:$F$1008,$I164-8)))</x:f>
      </x:c>
      <x:c r="G164" s="50" t="str">
        <x:f>IF(156&gt;$H$4,"",IF(INDEX('Fleet dates'!$G$9:$G$1008,$I164-8)="","",INDEX('Fleet dates'!$G$9:$G$1008,$I164-8)))</x:f>
      </x:c>
      <x:c r="H164" s="50" t="str">
        <x:f>IF(156&gt;$H$4,"",IF(INDEX('Fleet dates'!$I$9:$I$1008,$I164-8)="","",INDEX('Fleet dates'!$I$9:$I$1008,$I164-8)))</x:f>
      </x:c>
      <x:c r="I164" t="str">
        <x:f>IF(156&gt;$H$4,"",MATCH(156,'Fleet dates'!$M$9:$M$1008,0)+8)</x:f>
      </x:c>
    </x:row>
    <x:row r="165" ht="36" customHeight="1">
      <x:c r="A165" s="50" t="str">
        <x:f>IF(157&gt;$H$4,"",IF(INDEX('Fleet dates'!$A$9:$A$1008,$I165-8)="","",INDEX('Fleet dates'!$A$9:$A$1008,$I165-8)))</x:f>
      </x:c>
      <x:c r="B165" s="50" t="str">
        <x:f>IF(157&gt;$H$4,"",IF(INDEX('Fleet dates'!$B$9:$B$1008,$I165-8)="","",INDEX('Fleet dates'!$B$9:$B$1008,$I165-8)))</x:f>
      </x:c>
      <x:c r="C165" s="51" t="str">
        <x:f>IF(157&gt;$H$4,"",IF(INDEX('Fleet dates'!$C$9:$C$1008,$I165-8)="","",INDEX('Fleet dates'!$C$9:$C$1008,$I165-8)))</x:f>
      </x:c>
      <x:c r="D165" s="51" t="str">
        <x:f>IF(157&gt;$H$4,"",IF(INDEX('Fleet dates'!$D$9:$D$1008,$I165-8)="","",INDEX('Fleet dates'!$D$9:$D$1008,$I165-8)))</x:f>
      </x:c>
      <x:c r="E165" s="51" t="str">
        <x:f>IF(157&gt;$H$4,"",IF(INDEX('Fleet dates'!$E$9:$E$1008,$I165-8)="","",INDEX('Fleet dates'!$E$9:$E$1008,$I165-8)))</x:f>
      </x:c>
      <x:c r="F165" s="51" t="str">
        <x:f>IF(157&gt;$H$4,"",IF(INDEX('Fleet dates'!$F$9:$F$1008,$I165-8)="","",INDEX('Fleet dates'!$F$9:$F$1008,$I165-8)))</x:f>
      </x:c>
      <x:c r="G165" s="50" t="str">
        <x:f>IF(157&gt;$H$4,"",IF(INDEX('Fleet dates'!$G$9:$G$1008,$I165-8)="","",INDEX('Fleet dates'!$G$9:$G$1008,$I165-8)))</x:f>
      </x:c>
      <x:c r="H165" s="50" t="str">
        <x:f>IF(157&gt;$H$4,"",IF(INDEX('Fleet dates'!$I$9:$I$1008,$I165-8)="","",INDEX('Fleet dates'!$I$9:$I$1008,$I165-8)))</x:f>
      </x:c>
      <x:c r="I165" t="str">
        <x:f>IF(157&gt;$H$4,"",MATCH(157,'Fleet dates'!$M$9:$M$1008,0)+8)</x:f>
      </x:c>
    </x:row>
    <x:row r="166" ht="36" customHeight="1">
      <x:c r="A166" s="50" t="str">
        <x:f>IF(158&gt;$H$4,"",IF(INDEX('Fleet dates'!$A$9:$A$1008,$I166-8)="","",INDEX('Fleet dates'!$A$9:$A$1008,$I166-8)))</x:f>
      </x:c>
      <x:c r="B166" s="50" t="str">
        <x:f>IF(158&gt;$H$4,"",IF(INDEX('Fleet dates'!$B$9:$B$1008,$I166-8)="","",INDEX('Fleet dates'!$B$9:$B$1008,$I166-8)))</x:f>
      </x:c>
      <x:c r="C166" s="51" t="str">
        <x:f>IF(158&gt;$H$4,"",IF(INDEX('Fleet dates'!$C$9:$C$1008,$I166-8)="","",INDEX('Fleet dates'!$C$9:$C$1008,$I166-8)))</x:f>
      </x:c>
      <x:c r="D166" s="51" t="str">
        <x:f>IF(158&gt;$H$4,"",IF(INDEX('Fleet dates'!$D$9:$D$1008,$I166-8)="","",INDEX('Fleet dates'!$D$9:$D$1008,$I166-8)))</x:f>
      </x:c>
      <x:c r="E166" s="51" t="str">
        <x:f>IF(158&gt;$H$4,"",IF(INDEX('Fleet dates'!$E$9:$E$1008,$I166-8)="","",INDEX('Fleet dates'!$E$9:$E$1008,$I166-8)))</x:f>
      </x:c>
      <x:c r="F166" s="51" t="str">
        <x:f>IF(158&gt;$H$4,"",IF(INDEX('Fleet dates'!$F$9:$F$1008,$I166-8)="","",INDEX('Fleet dates'!$F$9:$F$1008,$I166-8)))</x:f>
      </x:c>
      <x:c r="G166" s="50" t="str">
        <x:f>IF(158&gt;$H$4,"",IF(INDEX('Fleet dates'!$G$9:$G$1008,$I166-8)="","",INDEX('Fleet dates'!$G$9:$G$1008,$I166-8)))</x:f>
      </x:c>
      <x:c r="H166" s="50" t="str">
        <x:f>IF(158&gt;$H$4,"",IF(INDEX('Fleet dates'!$I$9:$I$1008,$I166-8)="","",INDEX('Fleet dates'!$I$9:$I$1008,$I166-8)))</x:f>
      </x:c>
      <x:c r="I166" t="str">
        <x:f>IF(158&gt;$H$4,"",MATCH(158,'Fleet dates'!$M$9:$M$1008,0)+8)</x:f>
      </x:c>
    </x:row>
    <x:row r="167" ht="36" customHeight="1">
      <x:c r="A167" s="50" t="str">
        <x:f>IF(159&gt;$H$4,"",IF(INDEX('Fleet dates'!$A$9:$A$1008,$I167-8)="","",INDEX('Fleet dates'!$A$9:$A$1008,$I167-8)))</x:f>
      </x:c>
      <x:c r="B167" s="50" t="str">
        <x:f>IF(159&gt;$H$4,"",IF(INDEX('Fleet dates'!$B$9:$B$1008,$I167-8)="","",INDEX('Fleet dates'!$B$9:$B$1008,$I167-8)))</x:f>
      </x:c>
      <x:c r="C167" s="51" t="str">
        <x:f>IF(159&gt;$H$4,"",IF(INDEX('Fleet dates'!$C$9:$C$1008,$I167-8)="","",INDEX('Fleet dates'!$C$9:$C$1008,$I167-8)))</x:f>
      </x:c>
      <x:c r="D167" s="51" t="str">
        <x:f>IF(159&gt;$H$4,"",IF(INDEX('Fleet dates'!$D$9:$D$1008,$I167-8)="","",INDEX('Fleet dates'!$D$9:$D$1008,$I167-8)))</x:f>
      </x:c>
      <x:c r="E167" s="51" t="str">
        <x:f>IF(159&gt;$H$4,"",IF(INDEX('Fleet dates'!$E$9:$E$1008,$I167-8)="","",INDEX('Fleet dates'!$E$9:$E$1008,$I167-8)))</x:f>
      </x:c>
      <x:c r="F167" s="51" t="str">
        <x:f>IF(159&gt;$H$4,"",IF(INDEX('Fleet dates'!$F$9:$F$1008,$I167-8)="","",INDEX('Fleet dates'!$F$9:$F$1008,$I167-8)))</x:f>
      </x:c>
      <x:c r="G167" s="50" t="str">
        <x:f>IF(159&gt;$H$4,"",IF(INDEX('Fleet dates'!$G$9:$G$1008,$I167-8)="","",INDEX('Fleet dates'!$G$9:$G$1008,$I167-8)))</x:f>
      </x:c>
      <x:c r="H167" s="50" t="str">
        <x:f>IF(159&gt;$H$4,"",IF(INDEX('Fleet dates'!$I$9:$I$1008,$I167-8)="","",INDEX('Fleet dates'!$I$9:$I$1008,$I167-8)))</x:f>
      </x:c>
      <x:c r="I167" t="str">
        <x:f>IF(159&gt;$H$4,"",MATCH(159,'Fleet dates'!$M$9:$M$1008,0)+8)</x:f>
      </x:c>
    </x:row>
    <x:row r="168" ht="36" customHeight="1">
      <x:c r="A168" s="50" t="str">
        <x:f>IF(160&gt;$H$4,"",IF(INDEX('Fleet dates'!$A$9:$A$1008,$I168-8)="","",INDEX('Fleet dates'!$A$9:$A$1008,$I168-8)))</x:f>
      </x:c>
      <x:c r="B168" s="50" t="str">
        <x:f>IF(160&gt;$H$4,"",IF(INDEX('Fleet dates'!$B$9:$B$1008,$I168-8)="","",INDEX('Fleet dates'!$B$9:$B$1008,$I168-8)))</x:f>
      </x:c>
      <x:c r="C168" s="51" t="str">
        <x:f>IF(160&gt;$H$4,"",IF(INDEX('Fleet dates'!$C$9:$C$1008,$I168-8)="","",INDEX('Fleet dates'!$C$9:$C$1008,$I168-8)))</x:f>
      </x:c>
      <x:c r="D168" s="51" t="str">
        <x:f>IF(160&gt;$H$4,"",IF(INDEX('Fleet dates'!$D$9:$D$1008,$I168-8)="","",INDEX('Fleet dates'!$D$9:$D$1008,$I168-8)))</x:f>
      </x:c>
      <x:c r="E168" s="51" t="str">
        <x:f>IF(160&gt;$H$4,"",IF(INDEX('Fleet dates'!$E$9:$E$1008,$I168-8)="","",INDEX('Fleet dates'!$E$9:$E$1008,$I168-8)))</x:f>
      </x:c>
      <x:c r="F168" s="51" t="str">
        <x:f>IF(160&gt;$H$4,"",IF(INDEX('Fleet dates'!$F$9:$F$1008,$I168-8)="","",INDEX('Fleet dates'!$F$9:$F$1008,$I168-8)))</x:f>
      </x:c>
      <x:c r="G168" s="50" t="str">
        <x:f>IF(160&gt;$H$4,"",IF(INDEX('Fleet dates'!$G$9:$G$1008,$I168-8)="","",INDEX('Fleet dates'!$G$9:$G$1008,$I168-8)))</x:f>
      </x:c>
      <x:c r="H168" s="50" t="str">
        <x:f>IF(160&gt;$H$4,"",IF(INDEX('Fleet dates'!$I$9:$I$1008,$I168-8)="","",INDEX('Fleet dates'!$I$9:$I$1008,$I168-8)))</x:f>
      </x:c>
      <x:c r="I168" t="str">
        <x:f>IF(160&gt;$H$4,"",MATCH(160,'Fleet dates'!$M$9:$M$1008,0)+8)</x:f>
      </x:c>
    </x:row>
    <x:row r="169" ht="36" customHeight="1">
      <x:c r="A169" s="50" t="str">
        <x:f>IF(161&gt;$H$4,"",IF(INDEX('Fleet dates'!$A$9:$A$1008,$I169-8)="","",INDEX('Fleet dates'!$A$9:$A$1008,$I169-8)))</x:f>
      </x:c>
      <x:c r="B169" s="50" t="str">
        <x:f>IF(161&gt;$H$4,"",IF(INDEX('Fleet dates'!$B$9:$B$1008,$I169-8)="","",INDEX('Fleet dates'!$B$9:$B$1008,$I169-8)))</x:f>
      </x:c>
      <x:c r="C169" s="51" t="str">
        <x:f>IF(161&gt;$H$4,"",IF(INDEX('Fleet dates'!$C$9:$C$1008,$I169-8)="","",INDEX('Fleet dates'!$C$9:$C$1008,$I169-8)))</x:f>
      </x:c>
      <x:c r="D169" s="51" t="str">
        <x:f>IF(161&gt;$H$4,"",IF(INDEX('Fleet dates'!$D$9:$D$1008,$I169-8)="","",INDEX('Fleet dates'!$D$9:$D$1008,$I169-8)))</x:f>
      </x:c>
      <x:c r="E169" s="51" t="str">
        <x:f>IF(161&gt;$H$4,"",IF(INDEX('Fleet dates'!$E$9:$E$1008,$I169-8)="","",INDEX('Fleet dates'!$E$9:$E$1008,$I169-8)))</x:f>
      </x:c>
      <x:c r="F169" s="51" t="str">
        <x:f>IF(161&gt;$H$4,"",IF(INDEX('Fleet dates'!$F$9:$F$1008,$I169-8)="","",INDEX('Fleet dates'!$F$9:$F$1008,$I169-8)))</x:f>
      </x:c>
      <x:c r="G169" s="50" t="str">
        <x:f>IF(161&gt;$H$4,"",IF(INDEX('Fleet dates'!$G$9:$G$1008,$I169-8)="","",INDEX('Fleet dates'!$G$9:$G$1008,$I169-8)))</x:f>
      </x:c>
      <x:c r="H169" s="50" t="str">
        <x:f>IF(161&gt;$H$4,"",IF(INDEX('Fleet dates'!$I$9:$I$1008,$I169-8)="","",INDEX('Fleet dates'!$I$9:$I$1008,$I169-8)))</x:f>
      </x:c>
      <x:c r="I169" t="str">
        <x:f>IF(161&gt;$H$4,"",MATCH(161,'Fleet dates'!$M$9:$M$1008,0)+8)</x:f>
      </x:c>
    </x:row>
    <x:row r="170" ht="36" customHeight="1">
      <x:c r="A170" s="50" t="str">
        <x:f>IF(162&gt;$H$4,"",IF(INDEX('Fleet dates'!$A$9:$A$1008,$I170-8)="","",INDEX('Fleet dates'!$A$9:$A$1008,$I170-8)))</x:f>
      </x:c>
      <x:c r="B170" s="50" t="str">
        <x:f>IF(162&gt;$H$4,"",IF(INDEX('Fleet dates'!$B$9:$B$1008,$I170-8)="","",INDEX('Fleet dates'!$B$9:$B$1008,$I170-8)))</x:f>
      </x:c>
      <x:c r="C170" s="51" t="str">
        <x:f>IF(162&gt;$H$4,"",IF(INDEX('Fleet dates'!$C$9:$C$1008,$I170-8)="","",INDEX('Fleet dates'!$C$9:$C$1008,$I170-8)))</x:f>
      </x:c>
      <x:c r="D170" s="51" t="str">
        <x:f>IF(162&gt;$H$4,"",IF(INDEX('Fleet dates'!$D$9:$D$1008,$I170-8)="","",INDEX('Fleet dates'!$D$9:$D$1008,$I170-8)))</x:f>
      </x:c>
      <x:c r="E170" s="51" t="str">
        <x:f>IF(162&gt;$H$4,"",IF(INDEX('Fleet dates'!$E$9:$E$1008,$I170-8)="","",INDEX('Fleet dates'!$E$9:$E$1008,$I170-8)))</x:f>
      </x:c>
      <x:c r="F170" s="51" t="str">
        <x:f>IF(162&gt;$H$4,"",IF(INDEX('Fleet dates'!$F$9:$F$1008,$I170-8)="","",INDEX('Fleet dates'!$F$9:$F$1008,$I170-8)))</x:f>
      </x:c>
      <x:c r="G170" s="50" t="str">
        <x:f>IF(162&gt;$H$4,"",IF(INDEX('Fleet dates'!$G$9:$G$1008,$I170-8)="","",INDEX('Fleet dates'!$G$9:$G$1008,$I170-8)))</x:f>
      </x:c>
      <x:c r="H170" s="50" t="str">
        <x:f>IF(162&gt;$H$4,"",IF(INDEX('Fleet dates'!$I$9:$I$1008,$I170-8)="","",INDEX('Fleet dates'!$I$9:$I$1008,$I170-8)))</x:f>
      </x:c>
      <x:c r="I170" t="str">
        <x:f>IF(162&gt;$H$4,"",MATCH(162,'Fleet dates'!$M$9:$M$1008,0)+8)</x:f>
      </x:c>
    </x:row>
    <x:row r="171" ht="36" customHeight="1">
      <x:c r="A171" s="50" t="str">
        <x:f>IF(163&gt;$H$4,"",IF(INDEX('Fleet dates'!$A$9:$A$1008,$I171-8)="","",INDEX('Fleet dates'!$A$9:$A$1008,$I171-8)))</x:f>
      </x:c>
      <x:c r="B171" s="50" t="str">
        <x:f>IF(163&gt;$H$4,"",IF(INDEX('Fleet dates'!$B$9:$B$1008,$I171-8)="","",INDEX('Fleet dates'!$B$9:$B$1008,$I171-8)))</x:f>
      </x:c>
      <x:c r="C171" s="51" t="str">
        <x:f>IF(163&gt;$H$4,"",IF(INDEX('Fleet dates'!$C$9:$C$1008,$I171-8)="","",INDEX('Fleet dates'!$C$9:$C$1008,$I171-8)))</x:f>
      </x:c>
      <x:c r="D171" s="51" t="str">
        <x:f>IF(163&gt;$H$4,"",IF(INDEX('Fleet dates'!$D$9:$D$1008,$I171-8)="","",INDEX('Fleet dates'!$D$9:$D$1008,$I171-8)))</x:f>
      </x:c>
      <x:c r="E171" s="51" t="str">
        <x:f>IF(163&gt;$H$4,"",IF(INDEX('Fleet dates'!$E$9:$E$1008,$I171-8)="","",INDEX('Fleet dates'!$E$9:$E$1008,$I171-8)))</x:f>
      </x:c>
      <x:c r="F171" s="51" t="str">
        <x:f>IF(163&gt;$H$4,"",IF(INDEX('Fleet dates'!$F$9:$F$1008,$I171-8)="","",INDEX('Fleet dates'!$F$9:$F$1008,$I171-8)))</x:f>
      </x:c>
      <x:c r="G171" s="50" t="str">
        <x:f>IF(163&gt;$H$4,"",IF(INDEX('Fleet dates'!$G$9:$G$1008,$I171-8)="","",INDEX('Fleet dates'!$G$9:$G$1008,$I171-8)))</x:f>
      </x:c>
      <x:c r="H171" s="50" t="str">
        <x:f>IF(163&gt;$H$4,"",IF(INDEX('Fleet dates'!$I$9:$I$1008,$I171-8)="","",INDEX('Fleet dates'!$I$9:$I$1008,$I171-8)))</x:f>
      </x:c>
      <x:c r="I171" t="str">
        <x:f>IF(163&gt;$H$4,"",MATCH(163,'Fleet dates'!$M$9:$M$1008,0)+8)</x:f>
      </x:c>
    </x:row>
    <x:row r="172" ht="36" customHeight="1">
      <x:c r="A172" s="50" t="str">
        <x:f>IF(164&gt;$H$4,"",IF(INDEX('Fleet dates'!$A$9:$A$1008,$I172-8)="","",INDEX('Fleet dates'!$A$9:$A$1008,$I172-8)))</x:f>
      </x:c>
      <x:c r="B172" s="50" t="str">
        <x:f>IF(164&gt;$H$4,"",IF(INDEX('Fleet dates'!$B$9:$B$1008,$I172-8)="","",INDEX('Fleet dates'!$B$9:$B$1008,$I172-8)))</x:f>
      </x:c>
      <x:c r="C172" s="51" t="str">
        <x:f>IF(164&gt;$H$4,"",IF(INDEX('Fleet dates'!$C$9:$C$1008,$I172-8)="","",INDEX('Fleet dates'!$C$9:$C$1008,$I172-8)))</x:f>
      </x:c>
      <x:c r="D172" s="51" t="str">
        <x:f>IF(164&gt;$H$4,"",IF(INDEX('Fleet dates'!$D$9:$D$1008,$I172-8)="","",INDEX('Fleet dates'!$D$9:$D$1008,$I172-8)))</x:f>
      </x:c>
      <x:c r="E172" s="51" t="str">
        <x:f>IF(164&gt;$H$4,"",IF(INDEX('Fleet dates'!$E$9:$E$1008,$I172-8)="","",INDEX('Fleet dates'!$E$9:$E$1008,$I172-8)))</x:f>
      </x:c>
      <x:c r="F172" s="51" t="str">
        <x:f>IF(164&gt;$H$4,"",IF(INDEX('Fleet dates'!$F$9:$F$1008,$I172-8)="","",INDEX('Fleet dates'!$F$9:$F$1008,$I172-8)))</x:f>
      </x:c>
      <x:c r="G172" s="50" t="str">
        <x:f>IF(164&gt;$H$4,"",IF(INDEX('Fleet dates'!$G$9:$G$1008,$I172-8)="","",INDEX('Fleet dates'!$G$9:$G$1008,$I172-8)))</x:f>
      </x:c>
      <x:c r="H172" s="50" t="str">
        <x:f>IF(164&gt;$H$4,"",IF(INDEX('Fleet dates'!$I$9:$I$1008,$I172-8)="","",INDEX('Fleet dates'!$I$9:$I$1008,$I172-8)))</x:f>
      </x:c>
      <x:c r="I172" t="str">
        <x:f>IF(164&gt;$H$4,"",MATCH(164,'Fleet dates'!$M$9:$M$1008,0)+8)</x:f>
      </x:c>
    </x:row>
    <x:row r="173" ht="36" customHeight="1">
      <x:c r="A173" s="50" t="str">
        <x:f>IF(165&gt;$H$4,"",IF(INDEX('Fleet dates'!$A$9:$A$1008,$I173-8)="","",INDEX('Fleet dates'!$A$9:$A$1008,$I173-8)))</x:f>
      </x:c>
      <x:c r="B173" s="50" t="str">
        <x:f>IF(165&gt;$H$4,"",IF(INDEX('Fleet dates'!$B$9:$B$1008,$I173-8)="","",INDEX('Fleet dates'!$B$9:$B$1008,$I173-8)))</x:f>
      </x:c>
      <x:c r="C173" s="51" t="str">
        <x:f>IF(165&gt;$H$4,"",IF(INDEX('Fleet dates'!$C$9:$C$1008,$I173-8)="","",INDEX('Fleet dates'!$C$9:$C$1008,$I173-8)))</x:f>
      </x:c>
      <x:c r="D173" s="51" t="str">
        <x:f>IF(165&gt;$H$4,"",IF(INDEX('Fleet dates'!$D$9:$D$1008,$I173-8)="","",INDEX('Fleet dates'!$D$9:$D$1008,$I173-8)))</x:f>
      </x:c>
      <x:c r="E173" s="51" t="str">
        <x:f>IF(165&gt;$H$4,"",IF(INDEX('Fleet dates'!$E$9:$E$1008,$I173-8)="","",INDEX('Fleet dates'!$E$9:$E$1008,$I173-8)))</x:f>
      </x:c>
      <x:c r="F173" s="51" t="str">
        <x:f>IF(165&gt;$H$4,"",IF(INDEX('Fleet dates'!$F$9:$F$1008,$I173-8)="","",INDEX('Fleet dates'!$F$9:$F$1008,$I173-8)))</x:f>
      </x:c>
      <x:c r="G173" s="50" t="str">
        <x:f>IF(165&gt;$H$4,"",IF(INDEX('Fleet dates'!$G$9:$G$1008,$I173-8)="","",INDEX('Fleet dates'!$G$9:$G$1008,$I173-8)))</x:f>
      </x:c>
      <x:c r="H173" s="50" t="str">
        <x:f>IF(165&gt;$H$4,"",IF(INDEX('Fleet dates'!$I$9:$I$1008,$I173-8)="","",INDEX('Fleet dates'!$I$9:$I$1008,$I173-8)))</x:f>
      </x:c>
      <x:c r="I173" t="str">
        <x:f>IF(165&gt;$H$4,"",MATCH(165,'Fleet dates'!$M$9:$M$1008,0)+8)</x:f>
      </x:c>
    </x:row>
    <x:row r="174" ht="36" customHeight="1">
      <x:c r="A174" s="50" t="str">
        <x:f>IF(166&gt;$H$4,"",IF(INDEX('Fleet dates'!$A$9:$A$1008,$I174-8)="","",INDEX('Fleet dates'!$A$9:$A$1008,$I174-8)))</x:f>
      </x:c>
      <x:c r="B174" s="50" t="str">
        <x:f>IF(166&gt;$H$4,"",IF(INDEX('Fleet dates'!$B$9:$B$1008,$I174-8)="","",INDEX('Fleet dates'!$B$9:$B$1008,$I174-8)))</x:f>
      </x:c>
      <x:c r="C174" s="51" t="str">
        <x:f>IF(166&gt;$H$4,"",IF(INDEX('Fleet dates'!$C$9:$C$1008,$I174-8)="","",INDEX('Fleet dates'!$C$9:$C$1008,$I174-8)))</x:f>
      </x:c>
      <x:c r="D174" s="51" t="str">
        <x:f>IF(166&gt;$H$4,"",IF(INDEX('Fleet dates'!$D$9:$D$1008,$I174-8)="","",INDEX('Fleet dates'!$D$9:$D$1008,$I174-8)))</x:f>
      </x:c>
      <x:c r="E174" s="51" t="str">
        <x:f>IF(166&gt;$H$4,"",IF(INDEX('Fleet dates'!$E$9:$E$1008,$I174-8)="","",INDEX('Fleet dates'!$E$9:$E$1008,$I174-8)))</x:f>
      </x:c>
      <x:c r="F174" s="51" t="str">
        <x:f>IF(166&gt;$H$4,"",IF(INDEX('Fleet dates'!$F$9:$F$1008,$I174-8)="","",INDEX('Fleet dates'!$F$9:$F$1008,$I174-8)))</x:f>
      </x:c>
      <x:c r="G174" s="50" t="str">
        <x:f>IF(166&gt;$H$4,"",IF(INDEX('Fleet dates'!$G$9:$G$1008,$I174-8)="","",INDEX('Fleet dates'!$G$9:$G$1008,$I174-8)))</x:f>
      </x:c>
      <x:c r="H174" s="50" t="str">
        <x:f>IF(166&gt;$H$4,"",IF(INDEX('Fleet dates'!$I$9:$I$1008,$I174-8)="","",INDEX('Fleet dates'!$I$9:$I$1008,$I174-8)))</x:f>
      </x:c>
      <x:c r="I174" t="str">
        <x:f>IF(166&gt;$H$4,"",MATCH(166,'Fleet dates'!$M$9:$M$1008,0)+8)</x:f>
      </x:c>
    </x:row>
    <x:row r="175" ht="36" customHeight="1">
      <x:c r="A175" s="50" t="str">
        <x:f>IF(167&gt;$H$4,"",IF(INDEX('Fleet dates'!$A$9:$A$1008,$I175-8)="","",INDEX('Fleet dates'!$A$9:$A$1008,$I175-8)))</x:f>
      </x:c>
      <x:c r="B175" s="50" t="str">
        <x:f>IF(167&gt;$H$4,"",IF(INDEX('Fleet dates'!$B$9:$B$1008,$I175-8)="","",INDEX('Fleet dates'!$B$9:$B$1008,$I175-8)))</x:f>
      </x:c>
      <x:c r="C175" s="51" t="str">
        <x:f>IF(167&gt;$H$4,"",IF(INDEX('Fleet dates'!$C$9:$C$1008,$I175-8)="","",INDEX('Fleet dates'!$C$9:$C$1008,$I175-8)))</x:f>
      </x:c>
      <x:c r="D175" s="51" t="str">
        <x:f>IF(167&gt;$H$4,"",IF(INDEX('Fleet dates'!$D$9:$D$1008,$I175-8)="","",INDEX('Fleet dates'!$D$9:$D$1008,$I175-8)))</x:f>
      </x:c>
      <x:c r="E175" s="51" t="str">
        <x:f>IF(167&gt;$H$4,"",IF(INDEX('Fleet dates'!$E$9:$E$1008,$I175-8)="","",INDEX('Fleet dates'!$E$9:$E$1008,$I175-8)))</x:f>
      </x:c>
      <x:c r="F175" s="51" t="str">
        <x:f>IF(167&gt;$H$4,"",IF(INDEX('Fleet dates'!$F$9:$F$1008,$I175-8)="","",INDEX('Fleet dates'!$F$9:$F$1008,$I175-8)))</x:f>
      </x:c>
      <x:c r="G175" s="50" t="str">
        <x:f>IF(167&gt;$H$4,"",IF(INDEX('Fleet dates'!$G$9:$G$1008,$I175-8)="","",INDEX('Fleet dates'!$G$9:$G$1008,$I175-8)))</x:f>
      </x:c>
      <x:c r="H175" s="50" t="str">
        <x:f>IF(167&gt;$H$4,"",IF(INDEX('Fleet dates'!$I$9:$I$1008,$I175-8)="","",INDEX('Fleet dates'!$I$9:$I$1008,$I175-8)))</x:f>
      </x:c>
      <x:c r="I175" t="str">
        <x:f>IF(167&gt;$H$4,"",MATCH(167,'Fleet dates'!$M$9:$M$1008,0)+8)</x:f>
      </x:c>
    </x:row>
    <x:row r="176" ht="36" customHeight="1">
      <x:c r="A176" s="50" t="str">
        <x:f>IF(168&gt;$H$4,"",IF(INDEX('Fleet dates'!$A$9:$A$1008,$I176-8)="","",INDEX('Fleet dates'!$A$9:$A$1008,$I176-8)))</x:f>
      </x:c>
      <x:c r="B176" s="50" t="str">
        <x:f>IF(168&gt;$H$4,"",IF(INDEX('Fleet dates'!$B$9:$B$1008,$I176-8)="","",INDEX('Fleet dates'!$B$9:$B$1008,$I176-8)))</x:f>
      </x:c>
      <x:c r="C176" s="51" t="str">
        <x:f>IF(168&gt;$H$4,"",IF(INDEX('Fleet dates'!$C$9:$C$1008,$I176-8)="","",INDEX('Fleet dates'!$C$9:$C$1008,$I176-8)))</x:f>
      </x:c>
      <x:c r="D176" s="51" t="str">
        <x:f>IF(168&gt;$H$4,"",IF(INDEX('Fleet dates'!$D$9:$D$1008,$I176-8)="","",INDEX('Fleet dates'!$D$9:$D$1008,$I176-8)))</x:f>
      </x:c>
      <x:c r="E176" s="51" t="str">
        <x:f>IF(168&gt;$H$4,"",IF(INDEX('Fleet dates'!$E$9:$E$1008,$I176-8)="","",INDEX('Fleet dates'!$E$9:$E$1008,$I176-8)))</x:f>
      </x:c>
      <x:c r="F176" s="51" t="str">
        <x:f>IF(168&gt;$H$4,"",IF(INDEX('Fleet dates'!$F$9:$F$1008,$I176-8)="","",INDEX('Fleet dates'!$F$9:$F$1008,$I176-8)))</x:f>
      </x:c>
      <x:c r="G176" s="50" t="str">
        <x:f>IF(168&gt;$H$4,"",IF(INDEX('Fleet dates'!$G$9:$G$1008,$I176-8)="","",INDEX('Fleet dates'!$G$9:$G$1008,$I176-8)))</x:f>
      </x:c>
      <x:c r="H176" s="50" t="str">
        <x:f>IF(168&gt;$H$4,"",IF(INDEX('Fleet dates'!$I$9:$I$1008,$I176-8)="","",INDEX('Fleet dates'!$I$9:$I$1008,$I176-8)))</x:f>
      </x:c>
      <x:c r="I176" t="str">
        <x:f>IF(168&gt;$H$4,"",MATCH(168,'Fleet dates'!$M$9:$M$1008,0)+8)</x:f>
      </x:c>
    </x:row>
    <x:row r="177" ht="36" customHeight="1">
      <x:c r="A177" s="50" t="str">
        <x:f>IF(169&gt;$H$4,"",IF(INDEX('Fleet dates'!$A$9:$A$1008,$I177-8)="","",INDEX('Fleet dates'!$A$9:$A$1008,$I177-8)))</x:f>
      </x:c>
      <x:c r="B177" s="50" t="str">
        <x:f>IF(169&gt;$H$4,"",IF(INDEX('Fleet dates'!$B$9:$B$1008,$I177-8)="","",INDEX('Fleet dates'!$B$9:$B$1008,$I177-8)))</x:f>
      </x:c>
      <x:c r="C177" s="51" t="str">
        <x:f>IF(169&gt;$H$4,"",IF(INDEX('Fleet dates'!$C$9:$C$1008,$I177-8)="","",INDEX('Fleet dates'!$C$9:$C$1008,$I177-8)))</x:f>
      </x:c>
      <x:c r="D177" s="51" t="str">
        <x:f>IF(169&gt;$H$4,"",IF(INDEX('Fleet dates'!$D$9:$D$1008,$I177-8)="","",INDEX('Fleet dates'!$D$9:$D$1008,$I177-8)))</x:f>
      </x:c>
      <x:c r="E177" s="51" t="str">
        <x:f>IF(169&gt;$H$4,"",IF(INDEX('Fleet dates'!$E$9:$E$1008,$I177-8)="","",INDEX('Fleet dates'!$E$9:$E$1008,$I177-8)))</x:f>
      </x:c>
      <x:c r="F177" s="51" t="str">
        <x:f>IF(169&gt;$H$4,"",IF(INDEX('Fleet dates'!$F$9:$F$1008,$I177-8)="","",INDEX('Fleet dates'!$F$9:$F$1008,$I177-8)))</x:f>
      </x:c>
      <x:c r="G177" s="50" t="str">
        <x:f>IF(169&gt;$H$4,"",IF(INDEX('Fleet dates'!$G$9:$G$1008,$I177-8)="","",INDEX('Fleet dates'!$G$9:$G$1008,$I177-8)))</x:f>
      </x:c>
      <x:c r="H177" s="50" t="str">
        <x:f>IF(169&gt;$H$4,"",IF(INDEX('Fleet dates'!$I$9:$I$1008,$I177-8)="","",INDEX('Fleet dates'!$I$9:$I$1008,$I177-8)))</x:f>
      </x:c>
      <x:c r="I177" t="str">
        <x:f>IF(169&gt;$H$4,"",MATCH(169,'Fleet dates'!$M$9:$M$1008,0)+8)</x:f>
      </x:c>
    </x:row>
    <x:row r="178" ht="36" customHeight="1">
      <x:c r="A178" s="50" t="str">
        <x:f>IF(170&gt;$H$4,"",IF(INDEX('Fleet dates'!$A$9:$A$1008,$I178-8)="","",INDEX('Fleet dates'!$A$9:$A$1008,$I178-8)))</x:f>
      </x:c>
      <x:c r="B178" s="50" t="str">
        <x:f>IF(170&gt;$H$4,"",IF(INDEX('Fleet dates'!$B$9:$B$1008,$I178-8)="","",INDEX('Fleet dates'!$B$9:$B$1008,$I178-8)))</x:f>
      </x:c>
      <x:c r="C178" s="51" t="str">
        <x:f>IF(170&gt;$H$4,"",IF(INDEX('Fleet dates'!$C$9:$C$1008,$I178-8)="","",INDEX('Fleet dates'!$C$9:$C$1008,$I178-8)))</x:f>
      </x:c>
      <x:c r="D178" s="51" t="str">
        <x:f>IF(170&gt;$H$4,"",IF(INDEX('Fleet dates'!$D$9:$D$1008,$I178-8)="","",INDEX('Fleet dates'!$D$9:$D$1008,$I178-8)))</x:f>
      </x:c>
      <x:c r="E178" s="51" t="str">
        <x:f>IF(170&gt;$H$4,"",IF(INDEX('Fleet dates'!$E$9:$E$1008,$I178-8)="","",INDEX('Fleet dates'!$E$9:$E$1008,$I178-8)))</x:f>
      </x:c>
      <x:c r="F178" s="51" t="str">
        <x:f>IF(170&gt;$H$4,"",IF(INDEX('Fleet dates'!$F$9:$F$1008,$I178-8)="","",INDEX('Fleet dates'!$F$9:$F$1008,$I178-8)))</x:f>
      </x:c>
      <x:c r="G178" s="50" t="str">
        <x:f>IF(170&gt;$H$4,"",IF(INDEX('Fleet dates'!$G$9:$G$1008,$I178-8)="","",INDEX('Fleet dates'!$G$9:$G$1008,$I178-8)))</x:f>
      </x:c>
      <x:c r="H178" s="50" t="str">
        <x:f>IF(170&gt;$H$4,"",IF(INDEX('Fleet dates'!$I$9:$I$1008,$I178-8)="","",INDEX('Fleet dates'!$I$9:$I$1008,$I178-8)))</x:f>
      </x:c>
      <x:c r="I178" t="str">
        <x:f>IF(170&gt;$H$4,"",MATCH(170,'Fleet dates'!$M$9:$M$1008,0)+8)</x:f>
      </x:c>
    </x:row>
    <x:row r="179" ht="36" customHeight="1">
      <x:c r="A179" s="50" t="str">
        <x:f>IF(171&gt;$H$4,"",IF(INDEX('Fleet dates'!$A$9:$A$1008,$I179-8)="","",INDEX('Fleet dates'!$A$9:$A$1008,$I179-8)))</x:f>
      </x:c>
      <x:c r="B179" s="50" t="str">
        <x:f>IF(171&gt;$H$4,"",IF(INDEX('Fleet dates'!$B$9:$B$1008,$I179-8)="","",INDEX('Fleet dates'!$B$9:$B$1008,$I179-8)))</x:f>
      </x:c>
      <x:c r="C179" s="51" t="str">
        <x:f>IF(171&gt;$H$4,"",IF(INDEX('Fleet dates'!$C$9:$C$1008,$I179-8)="","",INDEX('Fleet dates'!$C$9:$C$1008,$I179-8)))</x:f>
      </x:c>
      <x:c r="D179" s="51" t="str">
        <x:f>IF(171&gt;$H$4,"",IF(INDEX('Fleet dates'!$D$9:$D$1008,$I179-8)="","",INDEX('Fleet dates'!$D$9:$D$1008,$I179-8)))</x:f>
      </x:c>
      <x:c r="E179" s="51" t="str">
        <x:f>IF(171&gt;$H$4,"",IF(INDEX('Fleet dates'!$E$9:$E$1008,$I179-8)="","",INDEX('Fleet dates'!$E$9:$E$1008,$I179-8)))</x:f>
      </x:c>
      <x:c r="F179" s="51" t="str">
        <x:f>IF(171&gt;$H$4,"",IF(INDEX('Fleet dates'!$F$9:$F$1008,$I179-8)="","",INDEX('Fleet dates'!$F$9:$F$1008,$I179-8)))</x:f>
      </x:c>
      <x:c r="G179" s="50" t="str">
        <x:f>IF(171&gt;$H$4,"",IF(INDEX('Fleet dates'!$G$9:$G$1008,$I179-8)="","",INDEX('Fleet dates'!$G$9:$G$1008,$I179-8)))</x:f>
      </x:c>
      <x:c r="H179" s="50" t="str">
        <x:f>IF(171&gt;$H$4,"",IF(INDEX('Fleet dates'!$I$9:$I$1008,$I179-8)="","",INDEX('Fleet dates'!$I$9:$I$1008,$I179-8)))</x:f>
      </x:c>
      <x:c r="I179" t="str">
        <x:f>IF(171&gt;$H$4,"",MATCH(171,'Fleet dates'!$M$9:$M$1008,0)+8)</x:f>
      </x:c>
    </x:row>
    <x:row r="180" ht="36" customHeight="1">
      <x:c r="A180" s="50" t="str">
        <x:f>IF(172&gt;$H$4,"",IF(INDEX('Fleet dates'!$A$9:$A$1008,$I180-8)="","",INDEX('Fleet dates'!$A$9:$A$1008,$I180-8)))</x:f>
      </x:c>
      <x:c r="B180" s="50" t="str">
        <x:f>IF(172&gt;$H$4,"",IF(INDEX('Fleet dates'!$B$9:$B$1008,$I180-8)="","",INDEX('Fleet dates'!$B$9:$B$1008,$I180-8)))</x:f>
      </x:c>
      <x:c r="C180" s="51" t="str">
        <x:f>IF(172&gt;$H$4,"",IF(INDEX('Fleet dates'!$C$9:$C$1008,$I180-8)="","",INDEX('Fleet dates'!$C$9:$C$1008,$I180-8)))</x:f>
      </x:c>
      <x:c r="D180" s="51" t="str">
        <x:f>IF(172&gt;$H$4,"",IF(INDEX('Fleet dates'!$D$9:$D$1008,$I180-8)="","",INDEX('Fleet dates'!$D$9:$D$1008,$I180-8)))</x:f>
      </x:c>
      <x:c r="E180" s="51" t="str">
        <x:f>IF(172&gt;$H$4,"",IF(INDEX('Fleet dates'!$E$9:$E$1008,$I180-8)="","",INDEX('Fleet dates'!$E$9:$E$1008,$I180-8)))</x:f>
      </x:c>
      <x:c r="F180" s="51" t="str">
        <x:f>IF(172&gt;$H$4,"",IF(INDEX('Fleet dates'!$F$9:$F$1008,$I180-8)="","",INDEX('Fleet dates'!$F$9:$F$1008,$I180-8)))</x:f>
      </x:c>
      <x:c r="G180" s="50" t="str">
        <x:f>IF(172&gt;$H$4,"",IF(INDEX('Fleet dates'!$G$9:$G$1008,$I180-8)="","",INDEX('Fleet dates'!$G$9:$G$1008,$I180-8)))</x:f>
      </x:c>
      <x:c r="H180" s="50" t="str">
        <x:f>IF(172&gt;$H$4,"",IF(INDEX('Fleet dates'!$I$9:$I$1008,$I180-8)="","",INDEX('Fleet dates'!$I$9:$I$1008,$I180-8)))</x:f>
      </x:c>
      <x:c r="I180" t="str">
        <x:f>IF(172&gt;$H$4,"",MATCH(172,'Fleet dates'!$M$9:$M$1008,0)+8)</x:f>
      </x:c>
    </x:row>
    <x:row r="181" ht="36" customHeight="1">
      <x:c r="A181" s="50" t="str">
        <x:f>IF(173&gt;$H$4,"",IF(INDEX('Fleet dates'!$A$9:$A$1008,$I181-8)="","",INDEX('Fleet dates'!$A$9:$A$1008,$I181-8)))</x:f>
      </x:c>
      <x:c r="B181" s="50" t="str">
        <x:f>IF(173&gt;$H$4,"",IF(INDEX('Fleet dates'!$B$9:$B$1008,$I181-8)="","",INDEX('Fleet dates'!$B$9:$B$1008,$I181-8)))</x:f>
      </x:c>
      <x:c r="C181" s="51" t="str">
        <x:f>IF(173&gt;$H$4,"",IF(INDEX('Fleet dates'!$C$9:$C$1008,$I181-8)="","",INDEX('Fleet dates'!$C$9:$C$1008,$I181-8)))</x:f>
      </x:c>
      <x:c r="D181" s="51" t="str">
        <x:f>IF(173&gt;$H$4,"",IF(INDEX('Fleet dates'!$D$9:$D$1008,$I181-8)="","",INDEX('Fleet dates'!$D$9:$D$1008,$I181-8)))</x:f>
      </x:c>
      <x:c r="E181" s="51" t="str">
        <x:f>IF(173&gt;$H$4,"",IF(INDEX('Fleet dates'!$E$9:$E$1008,$I181-8)="","",INDEX('Fleet dates'!$E$9:$E$1008,$I181-8)))</x:f>
      </x:c>
      <x:c r="F181" s="51" t="str">
        <x:f>IF(173&gt;$H$4,"",IF(INDEX('Fleet dates'!$F$9:$F$1008,$I181-8)="","",INDEX('Fleet dates'!$F$9:$F$1008,$I181-8)))</x:f>
      </x:c>
      <x:c r="G181" s="50" t="str">
        <x:f>IF(173&gt;$H$4,"",IF(INDEX('Fleet dates'!$G$9:$G$1008,$I181-8)="","",INDEX('Fleet dates'!$G$9:$G$1008,$I181-8)))</x:f>
      </x:c>
      <x:c r="H181" s="50" t="str">
        <x:f>IF(173&gt;$H$4,"",IF(INDEX('Fleet dates'!$I$9:$I$1008,$I181-8)="","",INDEX('Fleet dates'!$I$9:$I$1008,$I181-8)))</x:f>
      </x:c>
      <x:c r="I181" t="str">
        <x:f>IF(173&gt;$H$4,"",MATCH(173,'Fleet dates'!$M$9:$M$1008,0)+8)</x:f>
      </x:c>
    </x:row>
    <x:row r="182" ht="36" customHeight="1">
      <x:c r="A182" s="50" t="str">
        <x:f>IF(174&gt;$H$4,"",IF(INDEX('Fleet dates'!$A$9:$A$1008,$I182-8)="","",INDEX('Fleet dates'!$A$9:$A$1008,$I182-8)))</x:f>
      </x:c>
      <x:c r="B182" s="50" t="str">
        <x:f>IF(174&gt;$H$4,"",IF(INDEX('Fleet dates'!$B$9:$B$1008,$I182-8)="","",INDEX('Fleet dates'!$B$9:$B$1008,$I182-8)))</x:f>
      </x:c>
      <x:c r="C182" s="51" t="str">
        <x:f>IF(174&gt;$H$4,"",IF(INDEX('Fleet dates'!$C$9:$C$1008,$I182-8)="","",INDEX('Fleet dates'!$C$9:$C$1008,$I182-8)))</x:f>
      </x:c>
      <x:c r="D182" s="51" t="str">
        <x:f>IF(174&gt;$H$4,"",IF(INDEX('Fleet dates'!$D$9:$D$1008,$I182-8)="","",INDEX('Fleet dates'!$D$9:$D$1008,$I182-8)))</x:f>
      </x:c>
      <x:c r="E182" s="51" t="str">
        <x:f>IF(174&gt;$H$4,"",IF(INDEX('Fleet dates'!$E$9:$E$1008,$I182-8)="","",INDEX('Fleet dates'!$E$9:$E$1008,$I182-8)))</x:f>
      </x:c>
      <x:c r="F182" s="51" t="str">
        <x:f>IF(174&gt;$H$4,"",IF(INDEX('Fleet dates'!$F$9:$F$1008,$I182-8)="","",INDEX('Fleet dates'!$F$9:$F$1008,$I182-8)))</x:f>
      </x:c>
      <x:c r="G182" s="50" t="str">
        <x:f>IF(174&gt;$H$4,"",IF(INDEX('Fleet dates'!$G$9:$G$1008,$I182-8)="","",INDEX('Fleet dates'!$G$9:$G$1008,$I182-8)))</x:f>
      </x:c>
      <x:c r="H182" s="50" t="str">
        <x:f>IF(174&gt;$H$4,"",IF(INDEX('Fleet dates'!$I$9:$I$1008,$I182-8)="","",INDEX('Fleet dates'!$I$9:$I$1008,$I182-8)))</x:f>
      </x:c>
      <x:c r="I182" t="str">
        <x:f>IF(174&gt;$H$4,"",MATCH(174,'Fleet dates'!$M$9:$M$1008,0)+8)</x:f>
      </x:c>
    </x:row>
    <x:row r="183" ht="36" customHeight="1">
      <x:c r="A183" s="50" t="str">
        <x:f>IF(175&gt;$H$4,"",IF(INDEX('Fleet dates'!$A$9:$A$1008,$I183-8)="","",INDEX('Fleet dates'!$A$9:$A$1008,$I183-8)))</x:f>
      </x:c>
      <x:c r="B183" s="50" t="str">
        <x:f>IF(175&gt;$H$4,"",IF(INDEX('Fleet dates'!$B$9:$B$1008,$I183-8)="","",INDEX('Fleet dates'!$B$9:$B$1008,$I183-8)))</x:f>
      </x:c>
      <x:c r="C183" s="51" t="str">
        <x:f>IF(175&gt;$H$4,"",IF(INDEX('Fleet dates'!$C$9:$C$1008,$I183-8)="","",INDEX('Fleet dates'!$C$9:$C$1008,$I183-8)))</x:f>
      </x:c>
      <x:c r="D183" s="51" t="str">
        <x:f>IF(175&gt;$H$4,"",IF(INDEX('Fleet dates'!$D$9:$D$1008,$I183-8)="","",INDEX('Fleet dates'!$D$9:$D$1008,$I183-8)))</x:f>
      </x:c>
      <x:c r="E183" s="51" t="str">
        <x:f>IF(175&gt;$H$4,"",IF(INDEX('Fleet dates'!$E$9:$E$1008,$I183-8)="","",INDEX('Fleet dates'!$E$9:$E$1008,$I183-8)))</x:f>
      </x:c>
      <x:c r="F183" s="51" t="str">
        <x:f>IF(175&gt;$H$4,"",IF(INDEX('Fleet dates'!$F$9:$F$1008,$I183-8)="","",INDEX('Fleet dates'!$F$9:$F$1008,$I183-8)))</x:f>
      </x:c>
      <x:c r="G183" s="50" t="str">
        <x:f>IF(175&gt;$H$4,"",IF(INDEX('Fleet dates'!$G$9:$G$1008,$I183-8)="","",INDEX('Fleet dates'!$G$9:$G$1008,$I183-8)))</x:f>
      </x:c>
      <x:c r="H183" s="50" t="str">
        <x:f>IF(175&gt;$H$4,"",IF(INDEX('Fleet dates'!$I$9:$I$1008,$I183-8)="","",INDEX('Fleet dates'!$I$9:$I$1008,$I183-8)))</x:f>
      </x:c>
      <x:c r="I183" t="str">
        <x:f>IF(175&gt;$H$4,"",MATCH(175,'Fleet dates'!$M$9:$M$1008,0)+8)</x:f>
      </x:c>
    </x:row>
    <x:row r="184" ht="36" customHeight="1">
      <x:c r="A184" s="50" t="str">
        <x:f>IF(176&gt;$H$4,"",IF(INDEX('Fleet dates'!$A$9:$A$1008,$I184-8)="","",INDEX('Fleet dates'!$A$9:$A$1008,$I184-8)))</x:f>
      </x:c>
      <x:c r="B184" s="50" t="str">
        <x:f>IF(176&gt;$H$4,"",IF(INDEX('Fleet dates'!$B$9:$B$1008,$I184-8)="","",INDEX('Fleet dates'!$B$9:$B$1008,$I184-8)))</x:f>
      </x:c>
      <x:c r="C184" s="51" t="str">
        <x:f>IF(176&gt;$H$4,"",IF(INDEX('Fleet dates'!$C$9:$C$1008,$I184-8)="","",INDEX('Fleet dates'!$C$9:$C$1008,$I184-8)))</x:f>
      </x:c>
      <x:c r="D184" s="51" t="str">
        <x:f>IF(176&gt;$H$4,"",IF(INDEX('Fleet dates'!$D$9:$D$1008,$I184-8)="","",INDEX('Fleet dates'!$D$9:$D$1008,$I184-8)))</x:f>
      </x:c>
      <x:c r="E184" s="51" t="str">
        <x:f>IF(176&gt;$H$4,"",IF(INDEX('Fleet dates'!$E$9:$E$1008,$I184-8)="","",INDEX('Fleet dates'!$E$9:$E$1008,$I184-8)))</x:f>
      </x:c>
      <x:c r="F184" s="51" t="str">
        <x:f>IF(176&gt;$H$4,"",IF(INDEX('Fleet dates'!$F$9:$F$1008,$I184-8)="","",INDEX('Fleet dates'!$F$9:$F$1008,$I184-8)))</x:f>
      </x:c>
      <x:c r="G184" s="50" t="str">
        <x:f>IF(176&gt;$H$4,"",IF(INDEX('Fleet dates'!$G$9:$G$1008,$I184-8)="","",INDEX('Fleet dates'!$G$9:$G$1008,$I184-8)))</x:f>
      </x:c>
      <x:c r="H184" s="50" t="str">
        <x:f>IF(176&gt;$H$4,"",IF(INDEX('Fleet dates'!$I$9:$I$1008,$I184-8)="","",INDEX('Fleet dates'!$I$9:$I$1008,$I184-8)))</x:f>
      </x:c>
      <x:c r="I184" t="str">
        <x:f>IF(176&gt;$H$4,"",MATCH(176,'Fleet dates'!$M$9:$M$1008,0)+8)</x:f>
      </x:c>
    </x:row>
    <x:row r="185" ht="36" customHeight="1">
      <x:c r="A185" s="50" t="str">
        <x:f>IF(177&gt;$H$4,"",IF(INDEX('Fleet dates'!$A$9:$A$1008,$I185-8)="","",INDEX('Fleet dates'!$A$9:$A$1008,$I185-8)))</x:f>
      </x:c>
      <x:c r="B185" s="50" t="str">
        <x:f>IF(177&gt;$H$4,"",IF(INDEX('Fleet dates'!$B$9:$B$1008,$I185-8)="","",INDEX('Fleet dates'!$B$9:$B$1008,$I185-8)))</x:f>
      </x:c>
      <x:c r="C185" s="51" t="str">
        <x:f>IF(177&gt;$H$4,"",IF(INDEX('Fleet dates'!$C$9:$C$1008,$I185-8)="","",INDEX('Fleet dates'!$C$9:$C$1008,$I185-8)))</x:f>
      </x:c>
      <x:c r="D185" s="51" t="str">
        <x:f>IF(177&gt;$H$4,"",IF(INDEX('Fleet dates'!$D$9:$D$1008,$I185-8)="","",INDEX('Fleet dates'!$D$9:$D$1008,$I185-8)))</x:f>
      </x:c>
      <x:c r="E185" s="51" t="str">
        <x:f>IF(177&gt;$H$4,"",IF(INDEX('Fleet dates'!$E$9:$E$1008,$I185-8)="","",INDEX('Fleet dates'!$E$9:$E$1008,$I185-8)))</x:f>
      </x:c>
      <x:c r="F185" s="51" t="str">
        <x:f>IF(177&gt;$H$4,"",IF(INDEX('Fleet dates'!$F$9:$F$1008,$I185-8)="","",INDEX('Fleet dates'!$F$9:$F$1008,$I185-8)))</x:f>
      </x:c>
      <x:c r="G185" s="50" t="str">
        <x:f>IF(177&gt;$H$4,"",IF(INDEX('Fleet dates'!$G$9:$G$1008,$I185-8)="","",INDEX('Fleet dates'!$G$9:$G$1008,$I185-8)))</x:f>
      </x:c>
      <x:c r="H185" s="50" t="str">
        <x:f>IF(177&gt;$H$4,"",IF(INDEX('Fleet dates'!$I$9:$I$1008,$I185-8)="","",INDEX('Fleet dates'!$I$9:$I$1008,$I185-8)))</x:f>
      </x:c>
      <x:c r="I185" t="str">
        <x:f>IF(177&gt;$H$4,"",MATCH(177,'Fleet dates'!$M$9:$M$1008,0)+8)</x:f>
      </x:c>
    </x:row>
    <x:row r="186" ht="36" customHeight="1">
      <x:c r="A186" s="50" t="str">
        <x:f>IF(178&gt;$H$4,"",IF(INDEX('Fleet dates'!$A$9:$A$1008,$I186-8)="","",INDEX('Fleet dates'!$A$9:$A$1008,$I186-8)))</x:f>
      </x:c>
      <x:c r="B186" s="50" t="str">
        <x:f>IF(178&gt;$H$4,"",IF(INDEX('Fleet dates'!$B$9:$B$1008,$I186-8)="","",INDEX('Fleet dates'!$B$9:$B$1008,$I186-8)))</x:f>
      </x:c>
      <x:c r="C186" s="51" t="str">
        <x:f>IF(178&gt;$H$4,"",IF(INDEX('Fleet dates'!$C$9:$C$1008,$I186-8)="","",INDEX('Fleet dates'!$C$9:$C$1008,$I186-8)))</x:f>
      </x:c>
      <x:c r="D186" s="51" t="str">
        <x:f>IF(178&gt;$H$4,"",IF(INDEX('Fleet dates'!$D$9:$D$1008,$I186-8)="","",INDEX('Fleet dates'!$D$9:$D$1008,$I186-8)))</x:f>
      </x:c>
      <x:c r="E186" s="51" t="str">
        <x:f>IF(178&gt;$H$4,"",IF(INDEX('Fleet dates'!$E$9:$E$1008,$I186-8)="","",INDEX('Fleet dates'!$E$9:$E$1008,$I186-8)))</x:f>
      </x:c>
      <x:c r="F186" s="51" t="str">
        <x:f>IF(178&gt;$H$4,"",IF(INDEX('Fleet dates'!$F$9:$F$1008,$I186-8)="","",INDEX('Fleet dates'!$F$9:$F$1008,$I186-8)))</x:f>
      </x:c>
      <x:c r="G186" s="50" t="str">
        <x:f>IF(178&gt;$H$4,"",IF(INDEX('Fleet dates'!$G$9:$G$1008,$I186-8)="","",INDEX('Fleet dates'!$G$9:$G$1008,$I186-8)))</x:f>
      </x:c>
      <x:c r="H186" s="50" t="str">
        <x:f>IF(178&gt;$H$4,"",IF(INDEX('Fleet dates'!$I$9:$I$1008,$I186-8)="","",INDEX('Fleet dates'!$I$9:$I$1008,$I186-8)))</x:f>
      </x:c>
      <x:c r="I186" t="str">
        <x:f>IF(178&gt;$H$4,"",MATCH(178,'Fleet dates'!$M$9:$M$1008,0)+8)</x:f>
      </x:c>
    </x:row>
    <x:row r="187" ht="36" customHeight="1">
      <x:c r="A187" s="50" t="str">
        <x:f>IF(179&gt;$H$4,"",IF(INDEX('Fleet dates'!$A$9:$A$1008,$I187-8)="","",INDEX('Fleet dates'!$A$9:$A$1008,$I187-8)))</x:f>
      </x:c>
      <x:c r="B187" s="50" t="str">
        <x:f>IF(179&gt;$H$4,"",IF(INDEX('Fleet dates'!$B$9:$B$1008,$I187-8)="","",INDEX('Fleet dates'!$B$9:$B$1008,$I187-8)))</x:f>
      </x:c>
      <x:c r="C187" s="51" t="str">
        <x:f>IF(179&gt;$H$4,"",IF(INDEX('Fleet dates'!$C$9:$C$1008,$I187-8)="","",INDEX('Fleet dates'!$C$9:$C$1008,$I187-8)))</x:f>
      </x:c>
      <x:c r="D187" s="51" t="str">
        <x:f>IF(179&gt;$H$4,"",IF(INDEX('Fleet dates'!$D$9:$D$1008,$I187-8)="","",INDEX('Fleet dates'!$D$9:$D$1008,$I187-8)))</x:f>
      </x:c>
      <x:c r="E187" s="51" t="str">
        <x:f>IF(179&gt;$H$4,"",IF(INDEX('Fleet dates'!$E$9:$E$1008,$I187-8)="","",INDEX('Fleet dates'!$E$9:$E$1008,$I187-8)))</x:f>
      </x:c>
      <x:c r="F187" s="51" t="str">
        <x:f>IF(179&gt;$H$4,"",IF(INDEX('Fleet dates'!$F$9:$F$1008,$I187-8)="","",INDEX('Fleet dates'!$F$9:$F$1008,$I187-8)))</x:f>
      </x:c>
      <x:c r="G187" s="50" t="str">
        <x:f>IF(179&gt;$H$4,"",IF(INDEX('Fleet dates'!$G$9:$G$1008,$I187-8)="","",INDEX('Fleet dates'!$G$9:$G$1008,$I187-8)))</x:f>
      </x:c>
      <x:c r="H187" s="50" t="str">
        <x:f>IF(179&gt;$H$4,"",IF(INDEX('Fleet dates'!$I$9:$I$1008,$I187-8)="","",INDEX('Fleet dates'!$I$9:$I$1008,$I187-8)))</x:f>
      </x:c>
      <x:c r="I187" t="str">
        <x:f>IF(179&gt;$H$4,"",MATCH(179,'Fleet dates'!$M$9:$M$1008,0)+8)</x:f>
      </x:c>
    </x:row>
    <x:row r="188" ht="36" customHeight="1">
      <x:c r="A188" s="50" t="str">
        <x:f>IF(180&gt;$H$4,"",IF(INDEX('Fleet dates'!$A$9:$A$1008,$I188-8)="","",INDEX('Fleet dates'!$A$9:$A$1008,$I188-8)))</x:f>
      </x:c>
      <x:c r="B188" s="50" t="str">
        <x:f>IF(180&gt;$H$4,"",IF(INDEX('Fleet dates'!$B$9:$B$1008,$I188-8)="","",INDEX('Fleet dates'!$B$9:$B$1008,$I188-8)))</x:f>
      </x:c>
      <x:c r="C188" s="51" t="str">
        <x:f>IF(180&gt;$H$4,"",IF(INDEX('Fleet dates'!$C$9:$C$1008,$I188-8)="","",INDEX('Fleet dates'!$C$9:$C$1008,$I188-8)))</x:f>
      </x:c>
      <x:c r="D188" s="51" t="str">
        <x:f>IF(180&gt;$H$4,"",IF(INDEX('Fleet dates'!$D$9:$D$1008,$I188-8)="","",INDEX('Fleet dates'!$D$9:$D$1008,$I188-8)))</x:f>
      </x:c>
      <x:c r="E188" s="51" t="str">
        <x:f>IF(180&gt;$H$4,"",IF(INDEX('Fleet dates'!$E$9:$E$1008,$I188-8)="","",INDEX('Fleet dates'!$E$9:$E$1008,$I188-8)))</x:f>
      </x:c>
      <x:c r="F188" s="51" t="str">
        <x:f>IF(180&gt;$H$4,"",IF(INDEX('Fleet dates'!$F$9:$F$1008,$I188-8)="","",INDEX('Fleet dates'!$F$9:$F$1008,$I188-8)))</x:f>
      </x:c>
      <x:c r="G188" s="50" t="str">
        <x:f>IF(180&gt;$H$4,"",IF(INDEX('Fleet dates'!$G$9:$G$1008,$I188-8)="","",INDEX('Fleet dates'!$G$9:$G$1008,$I188-8)))</x:f>
      </x:c>
      <x:c r="H188" s="50" t="str">
        <x:f>IF(180&gt;$H$4,"",IF(INDEX('Fleet dates'!$I$9:$I$1008,$I188-8)="","",INDEX('Fleet dates'!$I$9:$I$1008,$I188-8)))</x:f>
      </x:c>
      <x:c r="I188" t="str">
        <x:f>IF(180&gt;$H$4,"",MATCH(180,'Fleet dates'!$M$9:$M$1008,0)+8)</x:f>
      </x:c>
    </x:row>
    <x:row r="189" ht="36" customHeight="1">
      <x:c r="A189" s="50" t="str">
        <x:f>IF(181&gt;$H$4,"",IF(INDEX('Fleet dates'!$A$9:$A$1008,$I189-8)="","",INDEX('Fleet dates'!$A$9:$A$1008,$I189-8)))</x:f>
      </x:c>
      <x:c r="B189" s="50" t="str">
        <x:f>IF(181&gt;$H$4,"",IF(INDEX('Fleet dates'!$B$9:$B$1008,$I189-8)="","",INDEX('Fleet dates'!$B$9:$B$1008,$I189-8)))</x:f>
      </x:c>
      <x:c r="C189" s="51" t="str">
        <x:f>IF(181&gt;$H$4,"",IF(INDEX('Fleet dates'!$C$9:$C$1008,$I189-8)="","",INDEX('Fleet dates'!$C$9:$C$1008,$I189-8)))</x:f>
      </x:c>
      <x:c r="D189" s="51" t="str">
        <x:f>IF(181&gt;$H$4,"",IF(INDEX('Fleet dates'!$D$9:$D$1008,$I189-8)="","",INDEX('Fleet dates'!$D$9:$D$1008,$I189-8)))</x:f>
      </x:c>
      <x:c r="E189" s="51" t="str">
        <x:f>IF(181&gt;$H$4,"",IF(INDEX('Fleet dates'!$E$9:$E$1008,$I189-8)="","",INDEX('Fleet dates'!$E$9:$E$1008,$I189-8)))</x:f>
      </x:c>
      <x:c r="F189" s="51" t="str">
        <x:f>IF(181&gt;$H$4,"",IF(INDEX('Fleet dates'!$F$9:$F$1008,$I189-8)="","",INDEX('Fleet dates'!$F$9:$F$1008,$I189-8)))</x:f>
      </x:c>
      <x:c r="G189" s="50" t="str">
        <x:f>IF(181&gt;$H$4,"",IF(INDEX('Fleet dates'!$G$9:$G$1008,$I189-8)="","",INDEX('Fleet dates'!$G$9:$G$1008,$I189-8)))</x:f>
      </x:c>
      <x:c r="H189" s="50" t="str">
        <x:f>IF(181&gt;$H$4,"",IF(INDEX('Fleet dates'!$I$9:$I$1008,$I189-8)="","",INDEX('Fleet dates'!$I$9:$I$1008,$I189-8)))</x:f>
      </x:c>
      <x:c r="I189" t="str">
        <x:f>IF(181&gt;$H$4,"",MATCH(181,'Fleet dates'!$M$9:$M$1008,0)+8)</x:f>
      </x:c>
    </x:row>
    <x:row r="190" ht="36" customHeight="1">
      <x:c r="A190" s="50" t="str">
        <x:f>IF(182&gt;$H$4,"",IF(INDEX('Fleet dates'!$A$9:$A$1008,$I190-8)="","",INDEX('Fleet dates'!$A$9:$A$1008,$I190-8)))</x:f>
      </x:c>
      <x:c r="B190" s="50" t="str">
        <x:f>IF(182&gt;$H$4,"",IF(INDEX('Fleet dates'!$B$9:$B$1008,$I190-8)="","",INDEX('Fleet dates'!$B$9:$B$1008,$I190-8)))</x:f>
      </x:c>
      <x:c r="C190" s="51" t="str">
        <x:f>IF(182&gt;$H$4,"",IF(INDEX('Fleet dates'!$C$9:$C$1008,$I190-8)="","",INDEX('Fleet dates'!$C$9:$C$1008,$I190-8)))</x:f>
      </x:c>
      <x:c r="D190" s="51" t="str">
        <x:f>IF(182&gt;$H$4,"",IF(INDEX('Fleet dates'!$D$9:$D$1008,$I190-8)="","",INDEX('Fleet dates'!$D$9:$D$1008,$I190-8)))</x:f>
      </x:c>
      <x:c r="E190" s="51" t="str">
        <x:f>IF(182&gt;$H$4,"",IF(INDEX('Fleet dates'!$E$9:$E$1008,$I190-8)="","",INDEX('Fleet dates'!$E$9:$E$1008,$I190-8)))</x:f>
      </x:c>
      <x:c r="F190" s="51" t="str">
        <x:f>IF(182&gt;$H$4,"",IF(INDEX('Fleet dates'!$F$9:$F$1008,$I190-8)="","",INDEX('Fleet dates'!$F$9:$F$1008,$I190-8)))</x:f>
      </x:c>
      <x:c r="G190" s="50" t="str">
        <x:f>IF(182&gt;$H$4,"",IF(INDEX('Fleet dates'!$G$9:$G$1008,$I190-8)="","",INDEX('Fleet dates'!$G$9:$G$1008,$I190-8)))</x:f>
      </x:c>
      <x:c r="H190" s="50" t="str">
        <x:f>IF(182&gt;$H$4,"",IF(INDEX('Fleet dates'!$I$9:$I$1008,$I190-8)="","",INDEX('Fleet dates'!$I$9:$I$1008,$I190-8)))</x:f>
      </x:c>
      <x:c r="I190" t="str">
        <x:f>IF(182&gt;$H$4,"",MATCH(182,'Fleet dates'!$M$9:$M$1008,0)+8)</x:f>
      </x:c>
    </x:row>
    <x:row r="191" ht="36" customHeight="1">
      <x:c r="A191" s="50" t="str">
        <x:f>IF(183&gt;$H$4,"",IF(INDEX('Fleet dates'!$A$9:$A$1008,$I191-8)="","",INDEX('Fleet dates'!$A$9:$A$1008,$I191-8)))</x:f>
      </x:c>
      <x:c r="B191" s="50" t="str">
        <x:f>IF(183&gt;$H$4,"",IF(INDEX('Fleet dates'!$B$9:$B$1008,$I191-8)="","",INDEX('Fleet dates'!$B$9:$B$1008,$I191-8)))</x:f>
      </x:c>
      <x:c r="C191" s="51" t="str">
        <x:f>IF(183&gt;$H$4,"",IF(INDEX('Fleet dates'!$C$9:$C$1008,$I191-8)="","",INDEX('Fleet dates'!$C$9:$C$1008,$I191-8)))</x:f>
      </x:c>
      <x:c r="D191" s="51" t="str">
        <x:f>IF(183&gt;$H$4,"",IF(INDEX('Fleet dates'!$D$9:$D$1008,$I191-8)="","",INDEX('Fleet dates'!$D$9:$D$1008,$I191-8)))</x:f>
      </x:c>
      <x:c r="E191" s="51" t="str">
        <x:f>IF(183&gt;$H$4,"",IF(INDEX('Fleet dates'!$E$9:$E$1008,$I191-8)="","",INDEX('Fleet dates'!$E$9:$E$1008,$I191-8)))</x:f>
      </x:c>
      <x:c r="F191" s="51" t="str">
        <x:f>IF(183&gt;$H$4,"",IF(INDEX('Fleet dates'!$F$9:$F$1008,$I191-8)="","",INDEX('Fleet dates'!$F$9:$F$1008,$I191-8)))</x:f>
      </x:c>
      <x:c r="G191" s="50" t="str">
        <x:f>IF(183&gt;$H$4,"",IF(INDEX('Fleet dates'!$G$9:$G$1008,$I191-8)="","",INDEX('Fleet dates'!$G$9:$G$1008,$I191-8)))</x:f>
      </x:c>
      <x:c r="H191" s="50" t="str">
        <x:f>IF(183&gt;$H$4,"",IF(INDEX('Fleet dates'!$I$9:$I$1008,$I191-8)="","",INDEX('Fleet dates'!$I$9:$I$1008,$I191-8)))</x:f>
      </x:c>
      <x:c r="I191" t="str">
        <x:f>IF(183&gt;$H$4,"",MATCH(183,'Fleet dates'!$M$9:$M$1008,0)+8)</x:f>
      </x:c>
    </x:row>
    <x:row r="192" ht="36" customHeight="1">
      <x:c r="A192" s="50" t="str">
        <x:f>IF(184&gt;$H$4,"",IF(INDEX('Fleet dates'!$A$9:$A$1008,$I192-8)="","",INDEX('Fleet dates'!$A$9:$A$1008,$I192-8)))</x:f>
      </x:c>
      <x:c r="B192" s="50" t="str">
        <x:f>IF(184&gt;$H$4,"",IF(INDEX('Fleet dates'!$B$9:$B$1008,$I192-8)="","",INDEX('Fleet dates'!$B$9:$B$1008,$I192-8)))</x:f>
      </x:c>
      <x:c r="C192" s="51" t="str">
        <x:f>IF(184&gt;$H$4,"",IF(INDEX('Fleet dates'!$C$9:$C$1008,$I192-8)="","",INDEX('Fleet dates'!$C$9:$C$1008,$I192-8)))</x:f>
      </x:c>
      <x:c r="D192" s="51" t="str">
        <x:f>IF(184&gt;$H$4,"",IF(INDEX('Fleet dates'!$D$9:$D$1008,$I192-8)="","",INDEX('Fleet dates'!$D$9:$D$1008,$I192-8)))</x:f>
      </x:c>
      <x:c r="E192" s="51" t="str">
        <x:f>IF(184&gt;$H$4,"",IF(INDEX('Fleet dates'!$E$9:$E$1008,$I192-8)="","",INDEX('Fleet dates'!$E$9:$E$1008,$I192-8)))</x:f>
      </x:c>
      <x:c r="F192" s="51" t="str">
        <x:f>IF(184&gt;$H$4,"",IF(INDEX('Fleet dates'!$F$9:$F$1008,$I192-8)="","",INDEX('Fleet dates'!$F$9:$F$1008,$I192-8)))</x:f>
      </x:c>
      <x:c r="G192" s="50" t="str">
        <x:f>IF(184&gt;$H$4,"",IF(INDEX('Fleet dates'!$G$9:$G$1008,$I192-8)="","",INDEX('Fleet dates'!$G$9:$G$1008,$I192-8)))</x:f>
      </x:c>
      <x:c r="H192" s="50" t="str">
        <x:f>IF(184&gt;$H$4,"",IF(INDEX('Fleet dates'!$I$9:$I$1008,$I192-8)="","",INDEX('Fleet dates'!$I$9:$I$1008,$I192-8)))</x:f>
      </x:c>
      <x:c r="I192" t="str">
        <x:f>IF(184&gt;$H$4,"",MATCH(184,'Fleet dates'!$M$9:$M$1008,0)+8)</x:f>
      </x:c>
    </x:row>
    <x:row r="193" ht="36" customHeight="1">
      <x:c r="A193" s="50" t="str">
        <x:f>IF(185&gt;$H$4,"",IF(INDEX('Fleet dates'!$A$9:$A$1008,$I193-8)="","",INDEX('Fleet dates'!$A$9:$A$1008,$I193-8)))</x:f>
      </x:c>
      <x:c r="B193" s="50" t="str">
        <x:f>IF(185&gt;$H$4,"",IF(INDEX('Fleet dates'!$B$9:$B$1008,$I193-8)="","",INDEX('Fleet dates'!$B$9:$B$1008,$I193-8)))</x:f>
      </x:c>
      <x:c r="C193" s="51" t="str">
        <x:f>IF(185&gt;$H$4,"",IF(INDEX('Fleet dates'!$C$9:$C$1008,$I193-8)="","",INDEX('Fleet dates'!$C$9:$C$1008,$I193-8)))</x:f>
      </x:c>
      <x:c r="D193" s="51" t="str">
        <x:f>IF(185&gt;$H$4,"",IF(INDEX('Fleet dates'!$D$9:$D$1008,$I193-8)="","",INDEX('Fleet dates'!$D$9:$D$1008,$I193-8)))</x:f>
      </x:c>
      <x:c r="E193" s="51" t="str">
        <x:f>IF(185&gt;$H$4,"",IF(INDEX('Fleet dates'!$E$9:$E$1008,$I193-8)="","",INDEX('Fleet dates'!$E$9:$E$1008,$I193-8)))</x:f>
      </x:c>
      <x:c r="F193" s="51" t="str">
        <x:f>IF(185&gt;$H$4,"",IF(INDEX('Fleet dates'!$F$9:$F$1008,$I193-8)="","",INDEX('Fleet dates'!$F$9:$F$1008,$I193-8)))</x:f>
      </x:c>
      <x:c r="G193" s="50" t="str">
        <x:f>IF(185&gt;$H$4,"",IF(INDEX('Fleet dates'!$G$9:$G$1008,$I193-8)="","",INDEX('Fleet dates'!$G$9:$G$1008,$I193-8)))</x:f>
      </x:c>
      <x:c r="H193" s="50" t="str">
        <x:f>IF(185&gt;$H$4,"",IF(INDEX('Fleet dates'!$I$9:$I$1008,$I193-8)="","",INDEX('Fleet dates'!$I$9:$I$1008,$I193-8)))</x:f>
      </x:c>
      <x:c r="I193" t="str">
        <x:f>IF(185&gt;$H$4,"",MATCH(185,'Fleet dates'!$M$9:$M$1008,0)+8)</x:f>
      </x:c>
    </x:row>
    <x:row r="194" ht="36" customHeight="1">
      <x:c r="A194" s="50" t="str">
        <x:f>IF(186&gt;$H$4,"",IF(INDEX('Fleet dates'!$A$9:$A$1008,$I194-8)="","",INDEX('Fleet dates'!$A$9:$A$1008,$I194-8)))</x:f>
      </x:c>
      <x:c r="B194" s="50" t="str">
        <x:f>IF(186&gt;$H$4,"",IF(INDEX('Fleet dates'!$B$9:$B$1008,$I194-8)="","",INDEX('Fleet dates'!$B$9:$B$1008,$I194-8)))</x:f>
      </x:c>
      <x:c r="C194" s="51" t="str">
        <x:f>IF(186&gt;$H$4,"",IF(INDEX('Fleet dates'!$C$9:$C$1008,$I194-8)="","",INDEX('Fleet dates'!$C$9:$C$1008,$I194-8)))</x:f>
      </x:c>
      <x:c r="D194" s="51" t="str">
        <x:f>IF(186&gt;$H$4,"",IF(INDEX('Fleet dates'!$D$9:$D$1008,$I194-8)="","",INDEX('Fleet dates'!$D$9:$D$1008,$I194-8)))</x:f>
      </x:c>
      <x:c r="E194" s="51" t="str">
        <x:f>IF(186&gt;$H$4,"",IF(INDEX('Fleet dates'!$E$9:$E$1008,$I194-8)="","",INDEX('Fleet dates'!$E$9:$E$1008,$I194-8)))</x:f>
      </x:c>
      <x:c r="F194" s="51" t="str">
        <x:f>IF(186&gt;$H$4,"",IF(INDEX('Fleet dates'!$F$9:$F$1008,$I194-8)="","",INDEX('Fleet dates'!$F$9:$F$1008,$I194-8)))</x:f>
      </x:c>
      <x:c r="G194" s="50" t="str">
        <x:f>IF(186&gt;$H$4,"",IF(INDEX('Fleet dates'!$G$9:$G$1008,$I194-8)="","",INDEX('Fleet dates'!$G$9:$G$1008,$I194-8)))</x:f>
      </x:c>
      <x:c r="H194" s="50" t="str">
        <x:f>IF(186&gt;$H$4,"",IF(INDEX('Fleet dates'!$I$9:$I$1008,$I194-8)="","",INDEX('Fleet dates'!$I$9:$I$1008,$I194-8)))</x:f>
      </x:c>
      <x:c r="I194" t="str">
        <x:f>IF(186&gt;$H$4,"",MATCH(186,'Fleet dates'!$M$9:$M$1008,0)+8)</x:f>
      </x:c>
    </x:row>
    <x:row r="195" ht="36" customHeight="1">
      <x:c r="A195" s="50" t="str">
        <x:f>IF(187&gt;$H$4,"",IF(INDEX('Fleet dates'!$A$9:$A$1008,$I195-8)="","",INDEX('Fleet dates'!$A$9:$A$1008,$I195-8)))</x:f>
      </x:c>
      <x:c r="B195" s="50" t="str">
        <x:f>IF(187&gt;$H$4,"",IF(INDEX('Fleet dates'!$B$9:$B$1008,$I195-8)="","",INDEX('Fleet dates'!$B$9:$B$1008,$I195-8)))</x:f>
      </x:c>
      <x:c r="C195" s="51" t="str">
        <x:f>IF(187&gt;$H$4,"",IF(INDEX('Fleet dates'!$C$9:$C$1008,$I195-8)="","",INDEX('Fleet dates'!$C$9:$C$1008,$I195-8)))</x:f>
      </x:c>
      <x:c r="D195" s="51" t="str">
        <x:f>IF(187&gt;$H$4,"",IF(INDEX('Fleet dates'!$D$9:$D$1008,$I195-8)="","",INDEX('Fleet dates'!$D$9:$D$1008,$I195-8)))</x:f>
      </x:c>
      <x:c r="E195" s="51" t="str">
        <x:f>IF(187&gt;$H$4,"",IF(INDEX('Fleet dates'!$E$9:$E$1008,$I195-8)="","",INDEX('Fleet dates'!$E$9:$E$1008,$I195-8)))</x:f>
      </x:c>
      <x:c r="F195" s="51" t="str">
        <x:f>IF(187&gt;$H$4,"",IF(INDEX('Fleet dates'!$F$9:$F$1008,$I195-8)="","",INDEX('Fleet dates'!$F$9:$F$1008,$I195-8)))</x:f>
      </x:c>
      <x:c r="G195" s="50" t="str">
        <x:f>IF(187&gt;$H$4,"",IF(INDEX('Fleet dates'!$G$9:$G$1008,$I195-8)="","",INDEX('Fleet dates'!$G$9:$G$1008,$I195-8)))</x:f>
      </x:c>
      <x:c r="H195" s="50" t="str">
        <x:f>IF(187&gt;$H$4,"",IF(INDEX('Fleet dates'!$I$9:$I$1008,$I195-8)="","",INDEX('Fleet dates'!$I$9:$I$1008,$I195-8)))</x:f>
      </x:c>
      <x:c r="I195" t="str">
        <x:f>IF(187&gt;$H$4,"",MATCH(187,'Fleet dates'!$M$9:$M$1008,0)+8)</x:f>
      </x:c>
    </x:row>
    <x:row r="196" ht="36" customHeight="1">
      <x:c r="A196" s="50" t="str">
        <x:f>IF(188&gt;$H$4,"",IF(INDEX('Fleet dates'!$A$9:$A$1008,$I196-8)="","",INDEX('Fleet dates'!$A$9:$A$1008,$I196-8)))</x:f>
      </x:c>
      <x:c r="B196" s="50" t="str">
        <x:f>IF(188&gt;$H$4,"",IF(INDEX('Fleet dates'!$B$9:$B$1008,$I196-8)="","",INDEX('Fleet dates'!$B$9:$B$1008,$I196-8)))</x:f>
      </x:c>
      <x:c r="C196" s="51" t="str">
        <x:f>IF(188&gt;$H$4,"",IF(INDEX('Fleet dates'!$C$9:$C$1008,$I196-8)="","",INDEX('Fleet dates'!$C$9:$C$1008,$I196-8)))</x:f>
      </x:c>
      <x:c r="D196" s="51" t="str">
        <x:f>IF(188&gt;$H$4,"",IF(INDEX('Fleet dates'!$D$9:$D$1008,$I196-8)="","",INDEX('Fleet dates'!$D$9:$D$1008,$I196-8)))</x:f>
      </x:c>
      <x:c r="E196" s="51" t="str">
        <x:f>IF(188&gt;$H$4,"",IF(INDEX('Fleet dates'!$E$9:$E$1008,$I196-8)="","",INDEX('Fleet dates'!$E$9:$E$1008,$I196-8)))</x:f>
      </x:c>
      <x:c r="F196" s="51" t="str">
        <x:f>IF(188&gt;$H$4,"",IF(INDEX('Fleet dates'!$F$9:$F$1008,$I196-8)="","",INDEX('Fleet dates'!$F$9:$F$1008,$I196-8)))</x:f>
      </x:c>
      <x:c r="G196" s="50" t="str">
        <x:f>IF(188&gt;$H$4,"",IF(INDEX('Fleet dates'!$G$9:$G$1008,$I196-8)="","",INDEX('Fleet dates'!$G$9:$G$1008,$I196-8)))</x:f>
      </x:c>
      <x:c r="H196" s="50" t="str">
        <x:f>IF(188&gt;$H$4,"",IF(INDEX('Fleet dates'!$I$9:$I$1008,$I196-8)="","",INDEX('Fleet dates'!$I$9:$I$1008,$I196-8)))</x:f>
      </x:c>
      <x:c r="I196" t="str">
        <x:f>IF(188&gt;$H$4,"",MATCH(188,'Fleet dates'!$M$9:$M$1008,0)+8)</x:f>
      </x:c>
    </x:row>
    <x:row r="197" ht="36" customHeight="1">
      <x:c r="A197" s="50" t="str">
        <x:f>IF(189&gt;$H$4,"",IF(INDEX('Fleet dates'!$A$9:$A$1008,$I197-8)="","",INDEX('Fleet dates'!$A$9:$A$1008,$I197-8)))</x:f>
      </x:c>
      <x:c r="B197" s="50" t="str">
        <x:f>IF(189&gt;$H$4,"",IF(INDEX('Fleet dates'!$B$9:$B$1008,$I197-8)="","",INDEX('Fleet dates'!$B$9:$B$1008,$I197-8)))</x:f>
      </x:c>
      <x:c r="C197" s="51" t="str">
        <x:f>IF(189&gt;$H$4,"",IF(INDEX('Fleet dates'!$C$9:$C$1008,$I197-8)="","",INDEX('Fleet dates'!$C$9:$C$1008,$I197-8)))</x:f>
      </x:c>
      <x:c r="D197" s="51" t="str">
        <x:f>IF(189&gt;$H$4,"",IF(INDEX('Fleet dates'!$D$9:$D$1008,$I197-8)="","",INDEX('Fleet dates'!$D$9:$D$1008,$I197-8)))</x:f>
      </x:c>
      <x:c r="E197" s="51" t="str">
        <x:f>IF(189&gt;$H$4,"",IF(INDEX('Fleet dates'!$E$9:$E$1008,$I197-8)="","",INDEX('Fleet dates'!$E$9:$E$1008,$I197-8)))</x:f>
      </x:c>
      <x:c r="F197" s="51" t="str">
        <x:f>IF(189&gt;$H$4,"",IF(INDEX('Fleet dates'!$F$9:$F$1008,$I197-8)="","",INDEX('Fleet dates'!$F$9:$F$1008,$I197-8)))</x:f>
      </x:c>
      <x:c r="G197" s="50" t="str">
        <x:f>IF(189&gt;$H$4,"",IF(INDEX('Fleet dates'!$G$9:$G$1008,$I197-8)="","",INDEX('Fleet dates'!$G$9:$G$1008,$I197-8)))</x:f>
      </x:c>
      <x:c r="H197" s="50" t="str">
        <x:f>IF(189&gt;$H$4,"",IF(INDEX('Fleet dates'!$I$9:$I$1008,$I197-8)="","",INDEX('Fleet dates'!$I$9:$I$1008,$I197-8)))</x:f>
      </x:c>
      <x:c r="I197" t="str">
        <x:f>IF(189&gt;$H$4,"",MATCH(189,'Fleet dates'!$M$9:$M$1008,0)+8)</x:f>
      </x:c>
    </x:row>
    <x:row r="198" ht="36" customHeight="1">
      <x:c r="A198" s="50" t="str">
        <x:f>IF(190&gt;$H$4,"",IF(INDEX('Fleet dates'!$A$9:$A$1008,$I198-8)="","",INDEX('Fleet dates'!$A$9:$A$1008,$I198-8)))</x:f>
      </x:c>
      <x:c r="B198" s="50" t="str">
        <x:f>IF(190&gt;$H$4,"",IF(INDEX('Fleet dates'!$B$9:$B$1008,$I198-8)="","",INDEX('Fleet dates'!$B$9:$B$1008,$I198-8)))</x:f>
      </x:c>
      <x:c r="C198" s="51" t="str">
        <x:f>IF(190&gt;$H$4,"",IF(INDEX('Fleet dates'!$C$9:$C$1008,$I198-8)="","",INDEX('Fleet dates'!$C$9:$C$1008,$I198-8)))</x:f>
      </x:c>
      <x:c r="D198" s="51" t="str">
        <x:f>IF(190&gt;$H$4,"",IF(INDEX('Fleet dates'!$D$9:$D$1008,$I198-8)="","",INDEX('Fleet dates'!$D$9:$D$1008,$I198-8)))</x:f>
      </x:c>
      <x:c r="E198" s="51" t="str">
        <x:f>IF(190&gt;$H$4,"",IF(INDEX('Fleet dates'!$E$9:$E$1008,$I198-8)="","",INDEX('Fleet dates'!$E$9:$E$1008,$I198-8)))</x:f>
      </x:c>
      <x:c r="F198" s="51" t="str">
        <x:f>IF(190&gt;$H$4,"",IF(INDEX('Fleet dates'!$F$9:$F$1008,$I198-8)="","",INDEX('Fleet dates'!$F$9:$F$1008,$I198-8)))</x:f>
      </x:c>
      <x:c r="G198" s="50" t="str">
        <x:f>IF(190&gt;$H$4,"",IF(INDEX('Fleet dates'!$G$9:$G$1008,$I198-8)="","",INDEX('Fleet dates'!$G$9:$G$1008,$I198-8)))</x:f>
      </x:c>
      <x:c r="H198" s="50" t="str">
        <x:f>IF(190&gt;$H$4,"",IF(INDEX('Fleet dates'!$I$9:$I$1008,$I198-8)="","",INDEX('Fleet dates'!$I$9:$I$1008,$I198-8)))</x:f>
      </x:c>
      <x:c r="I198" t="str">
        <x:f>IF(190&gt;$H$4,"",MATCH(190,'Fleet dates'!$M$9:$M$1008,0)+8)</x:f>
      </x:c>
    </x:row>
    <x:row r="199" ht="36" customHeight="1">
      <x:c r="A199" s="50" t="str">
        <x:f>IF(191&gt;$H$4,"",IF(INDEX('Fleet dates'!$A$9:$A$1008,$I199-8)="","",INDEX('Fleet dates'!$A$9:$A$1008,$I199-8)))</x:f>
      </x:c>
      <x:c r="B199" s="50" t="str">
        <x:f>IF(191&gt;$H$4,"",IF(INDEX('Fleet dates'!$B$9:$B$1008,$I199-8)="","",INDEX('Fleet dates'!$B$9:$B$1008,$I199-8)))</x:f>
      </x:c>
      <x:c r="C199" s="51" t="str">
        <x:f>IF(191&gt;$H$4,"",IF(INDEX('Fleet dates'!$C$9:$C$1008,$I199-8)="","",INDEX('Fleet dates'!$C$9:$C$1008,$I199-8)))</x:f>
      </x:c>
      <x:c r="D199" s="51" t="str">
        <x:f>IF(191&gt;$H$4,"",IF(INDEX('Fleet dates'!$D$9:$D$1008,$I199-8)="","",INDEX('Fleet dates'!$D$9:$D$1008,$I199-8)))</x:f>
      </x:c>
      <x:c r="E199" s="51" t="str">
        <x:f>IF(191&gt;$H$4,"",IF(INDEX('Fleet dates'!$E$9:$E$1008,$I199-8)="","",INDEX('Fleet dates'!$E$9:$E$1008,$I199-8)))</x:f>
      </x:c>
      <x:c r="F199" s="51" t="str">
        <x:f>IF(191&gt;$H$4,"",IF(INDEX('Fleet dates'!$F$9:$F$1008,$I199-8)="","",INDEX('Fleet dates'!$F$9:$F$1008,$I199-8)))</x:f>
      </x:c>
      <x:c r="G199" s="50" t="str">
        <x:f>IF(191&gt;$H$4,"",IF(INDEX('Fleet dates'!$G$9:$G$1008,$I199-8)="","",INDEX('Fleet dates'!$G$9:$G$1008,$I199-8)))</x:f>
      </x:c>
      <x:c r="H199" s="50" t="str">
        <x:f>IF(191&gt;$H$4,"",IF(INDEX('Fleet dates'!$I$9:$I$1008,$I199-8)="","",INDEX('Fleet dates'!$I$9:$I$1008,$I199-8)))</x:f>
      </x:c>
      <x:c r="I199" t="str">
        <x:f>IF(191&gt;$H$4,"",MATCH(191,'Fleet dates'!$M$9:$M$1008,0)+8)</x:f>
      </x:c>
    </x:row>
    <x:row r="200" ht="36" customHeight="1">
      <x:c r="A200" s="50" t="str">
        <x:f>IF(192&gt;$H$4,"",IF(INDEX('Fleet dates'!$A$9:$A$1008,$I200-8)="","",INDEX('Fleet dates'!$A$9:$A$1008,$I200-8)))</x:f>
      </x:c>
      <x:c r="B200" s="50" t="str">
        <x:f>IF(192&gt;$H$4,"",IF(INDEX('Fleet dates'!$B$9:$B$1008,$I200-8)="","",INDEX('Fleet dates'!$B$9:$B$1008,$I200-8)))</x:f>
      </x:c>
      <x:c r="C200" s="51" t="str">
        <x:f>IF(192&gt;$H$4,"",IF(INDEX('Fleet dates'!$C$9:$C$1008,$I200-8)="","",INDEX('Fleet dates'!$C$9:$C$1008,$I200-8)))</x:f>
      </x:c>
      <x:c r="D200" s="51" t="str">
        <x:f>IF(192&gt;$H$4,"",IF(INDEX('Fleet dates'!$D$9:$D$1008,$I200-8)="","",INDEX('Fleet dates'!$D$9:$D$1008,$I200-8)))</x:f>
      </x:c>
      <x:c r="E200" s="51" t="str">
        <x:f>IF(192&gt;$H$4,"",IF(INDEX('Fleet dates'!$E$9:$E$1008,$I200-8)="","",INDEX('Fleet dates'!$E$9:$E$1008,$I200-8)))</x:f>
      </x:c>
      <x:c r="F200" s="51" t="str">
        <x:f>IF(192&gt;$H$4,"",IF(INDEX('Fleet dates'!$F$9:$F$1008,$I200-8)="","",INDEX('Fleet dates'!$F$9:$F$1008,$I200-8)))</x:f>
      </x:c>
      <x:c r="G200" s="50" t="str">
        <x:f>IF(192&gt;$H$4,"",IF(INDEX('Fleet dates'!$G$9:$G$1008,$I200-8)="","",INDEX('Fleet dates'!$G$9:$G$1008,$I200-8)))</x:f>
      </x:c>
      <x:c r="H200" s="50" t="str">
        <x:f>IF(192&gt;$H$4,"",IF(INDEX('Fleet dates'!$I$9:$I$1008,$I200-8)="","",INDEX('Fleet dates'!$I$9:$I$1008,$I200-8)))</x:f>
      </x:c>
      <x:c r="I200" t="str">
        <x:f>IF(192&gt;$H$4,"",MATCH(192,'Fleet dates'!$M$9:$M$1008,0)+8)</x:f>
      </x:c>
    </x:row>
    <x:row r="201" ht="36" customHeight="1">
      <x:c r="A201" s="50" t="str">
        <x:f>IF(193&gt;$H$4,"",IF(INDEX('Fleet dates'!$A$9:$A$1008,$I201-8)="","",INDEX('Fleet dates'!$A$9:$A$1008,$I201-8)))</x:f>
      </x:c>
      <x:c r="B201" s="50" t="str">
        <x:f>IF(193&gt;$H$4,"",IF(INDEX('Fleet dates'!$B$9:$B$1008,$I201-8)="","",INDEX('Fleet dates'!$B$9:$B$1008,$I201-8)))</x:f>
      </x:c>
      <x:c r="C201" s="51" t="str">
        <x:f>IF(193&gt;$H$4,"",IF(INDEX('Fleet dates'!$C$9:$C$1008,$I201-8)="","",INDEX('Fleet dates'!$C$9:$C$1008,$I201-8)))</x:f>
      </x:c>
      <x:c r="D201" s="51" t="str">
        <x:f>IF(193&gt;$H$4,"",IF(INDEX('Fleet dates'!$D$9:$D$1008,$I201-8)="","",INDEX('Fleet dates'!$D$9:$D$1008,$I201-8)))</x:f>
      </x:c>
      <x:c r="E201" s="51" t="str">
        <x:f>IF(193&gt;$H$4,"",IF(INDEX('Fleet dates'!$E$9:$E$1008,$I201-8)="","",INDEX('Fleet dates'!$E$9:$E$1008,$I201-8)))</x:f>
      </x:c>
      <x:c r="F201" s="51" t="str">
        <x:f>IF(193&gt;$H$4,"",IF(INDEX('Fleet dates'!$F$9:$F$1008,$I201-8)="","",INDEX('Fleet dates'!$F$9:$F$1008,$I201-8)))</x:f>
      </x:c>
      <x:c r="G201" s="50" t="str">
        <x:f>IF(193&gt;$H$4,"",IF(INDEX('Fleet dates'!$G$9:$G$1008,$I201-8)="","",INDEX('Fleet dates'!$G$9:$G$1008,$I201-8)))</x:f>
      </x:c>
      <x:c r="H201" s="50" t="str">
        <x:f>IF(193&gt;$H$4,"",IF(INDEX('Fleet dates'!$I$9:$I$1008,$I201-8)="","",INDEX('Fleet dates'!$I$9:$I$1008,$I201-8)))</x:f>
      </x:c>
      <x:c r="I201" t="str">
        <x:f>IF(193&gt;$H$4,"",MATCH(193,'Fleet dates'!$M$9:$M$1008,0)+8)</x:f>
      </x:c>
    </x:row>
    <x:row r="202" ht="36" customHeight="1">
      <x:c r="A202" s="50" t="str">
        <x:f>IF(194&gt;$H$4,"",IF(INDEX('Fleet dates'!$A$9:$A$1008,$I202-8)="","",INDEX('Fleet dates'!$A$9:$A$1008,$I202-8)))</x:f>
      </x:c>
      <x:c r="B202" s="50" t="str">
        <x:f>IF(194&gt;$H$4,"",IF(INDEX('Fleet dates'!$B$9:$B$1008,$I202-8)="","",INDEX('Fleet dates'!$B$9:$B$1008,$I202-8)))</x:f>
      </x:c>
      <x:c r="C202" s="51" t="str">
        <x:f>IF(194&gt;$H$4,"",IF(INDEX('Fleet dates'!$C$9:$C$1008,$I202-8)="","",INDEX('Fleet dates'!$C$9:$C$1008,$I202-8)))</x:f>
      </x:c>
      <x:c r="D202" s="51" t="str">
        <x:f>IF(194&gt;$H$4,"",IF(INDEX('Fleet dates'!$D$9:$D$1008,$I202-8)="","",INDEX('Fleet dates'!$D$9:$D$1008,$I202-8)))</x:f>
      </x:c>
      <x:c r="E202" s="51" t="str">
        <x:f>IF(194&gt;$H$4,"",IF(INDEX('Fleet dates'!$E$9:$E$1008,$I202-8)="","",INDEX('Fleet dates'!$E$9:$E$1008,$I202-8)))</x:f>
      </x:c>
      <x:c r="F202" s="51" t="str">
        <x:f>IF(194&gt;$H$4,"",IF(INDEX('Fleet dates'!$F$9:$F$1008,$I202-8)="","",INDEX('Fleet dates'!$F$9:$F$1008,$I202-8)))</x:f>
      </x:c>
      <x:c r="G202" s="50" t="str">
        <x:f>IF(194&gt;$H$4,"",IF(INDEX('Fleet dates'!$G$9:$G$1008,$I202-8)="","",INDEX('Fleet dates'!$G$9:$G$1008,$I202-8)))</x:f>
      </x:c>
      <x:c r="H202" s="50" t="str">
        <x:f>IF(194&gt;$H$4,"",IF(INDEX('Fleet dates'!$I$9:$I$1008,$I202-8)="","",INDEX('Fleet dates'!$I$9:$I$1008,$I202-8)))</x:f>
      </x:c>
      <x:c r="I202" t="str">
        <x:f>IF(194&gt;$H$4,"",MATCH(194,'Fleet dates'!$M$9:$M$1008,0)+8)</x:f>
      </x:c>
    </x:row>
    <x:row r="203" ht="36" customHeight="1">
      <x:c r="A203" s="50" t="str">
        <x:f>IF(195&gt;$H$4,"",IF(INDEX('Fleet dates'!$A$9:$A$1008,$I203-8)="","",INDEX('Fleet dates'!$A$9:$A$1008,$I203-8)))</x:f>
      </x:c>
      <x:c r="B203" s="50" t="str">
        <x:f>IF(195&gt;$H$4,"",IF(INDEX('Fleet dates'!$B$9:$B$1008,$I203-8)="","",INDEX('Fleet dates'!$B$9:$B$1008,$I203-8)))</x:f>
      </x:c>
      <x:c r="C203" s="51" t="str">
        <x:f>IF(195&gt;$H$4,"",IF(INDEX('Fleet dates'!$C$9:$C$1008,$I203-8)="","",INDEX('Fleet dates'!$C$9:$C$1008,$I203-8)))</x:f>
      </x:c>
      <x:c r="D203" s="51" t="str">
        <x:f>IF(195&gt;$H$4,"",IF(INDEX('Fleet dates'!$D$9:$D$1008,$I203-8)="","",INDEX('Fleet dates'!$D$9:$D$1008,$I203-8)))</x:f>
      </x:c>
      <x:c r="E203" s="51" t="str">
        <x:f>IF(195&gt;$H$4,"",IF(INDEX('Fleet dates'!$E$9:$E$1008,$I203-8)="","",INDEX('Fleet dates'!$E$9:$E$1008,$I203-8)))</x:f>
      </x:c>
      <x:c r="F203" s="51" t="str">
        <x:f>IF(195&gt;$H$4,"",IF(INDEX('Fleet dates'!$F$9:$F$1008,$I203-8)="","",INDEX('Fleet dates'!$F$9:$F$1008,$I203-8)))</x:f>
      </x:c>
      <x:c r="G203" s="50" t="str">
        <x:f>IF(195&gt;$H$4,"",IF(INDEX('Fleet dates'!$G$9:$G$1008,$I203-8)="","",INDEX('Fleet dates'!$G$9:$G$1008,$I203-8)))</x:f>
      </x:c>
      <x:c r="H203" s="50" t="str">
        <x:f>IF(195&gt;$H$4,"",IF(INDEX('Fleet dates'!$I$9:$I$1008,$I203-8)="","",INDEX('Fleet dates'!$I$9:$I$1008,$I203-8)))</x:f>
      </x:c>
      <x:c r="I203" t="str">
        <x:f>IF(195&gt;$H$4,"",MATCH(195,'Fleet dates'!$M$9:$M$1008,0)+8)</x:f>
      </x:c>
    </x:row>
    <x:row r="204" ht="36" customHeight="1">
      <x:c r="A204" s="50" t="str">
        <x:f>IF(196&gt;$H$4,"",IF(INDEX('Fleet dates'!$A$9:$A$1008,$I204-8)="","",INDEX('Fleet dates'!$A$9:$A$1008,$I204-8)))</x:f>
      </x:c>
      <x:c r="B204" s="50" t="str">
        <x:f>IF(196&gt;$H$4,"",IF(INDEX('Fleet dates'!$B$9:$B$1008,$I204-8)="","",INDEX('Fleet dates'!$B$9:$B$1008,$I204-8)))</x:f>
      </x:c>
      <x:c r="C204" s="51" t="str">
        <x:f>IF(196&gt;$H$4,"",IF(INDEX('Fleet dates'!$C$9:$C$1008,$I204-8)="","",INDEX('Fleet dates'!$C$9:$C$1008,$I204-8)))</x:f>
      </x:c>
      <x:c r="D204" s="51" t="str">
        <x:f>IF(196&gt;$H$4,"",IF(INDEX('Fleet dates'!$D$9:$D$1008,$I204-8)="","",INDEX('Fleet dates'!$D$9:$D$1008,$I204-8)))</x:f>
      </x:c>
      <x:c r="E204" s="51" t="str">
        <x:f>IF(196&gt;$H$4,"",IF(INDEX('Fleet dates'!$E$9:$E$1008,$I204-8)="","",INDEX('Fleet dates'!$E$9:$E$1008,$I204-8)))</x:f>
      </x:c>
      <x:c r="F204" s="51" t="str">
        <x:f>IF(196&gt;$H$4,"",IF(INDEX('Fleet dates'!$F$9:$F$1008,$I204-8)="","",INDEX('Fleet dates'!$F$9:$F$1008,$I204-8)))</x:f>
      </x:c>
      <x:c r="G204" s="50" t="str">
        <x:f>IF(196&gt;$H$4,"",IF(INDEX('Fleet dates'!$G$9:$G$1008,$I204-8)="","",INDEX('Fleet dates'!$G$9:$G$1008,$I204-8)))</x:f>
      </x:c>
      <x:c r="H204" s="50" t="str">
        <x:f>IF(196&gt;$H$4,"",IF(INDEX('Fleet dates'!$I$9:$I$1008,$I204-8)="","",INDEX('Fleet dates'!$I$9:$I$1008,$I204-8)))</x:f>
      </x:c>
      <x:c r="I204" t="str">
        <x:f>IF(196&gt;$H$4,"",MATCH(196,'Fleet dates'!$M$9:$M$1008,0)+8)</x:f>
      </x:c>
    </x:row>
    <x:row r="205" ht="36" customHeight="1">
      <x:c r="A205" s="50" t="str">
        <x:f>IF(197&gt;$H$4,"",IF(INDEX('Fleet dates'!$A$9:$A$1008,$I205-8)="","",INDEX('Fleet dates'!$A$9:$A$1008,$I205-8)))</x:f>
      </x:c>
      <x:c r="B205" s="50" t="str">
        <x:f>IF(197&gt;$H$4,"",IF(INDEX('Fleet dates'!$B$9:$B$1008,$I205-8)="","",INDEX('Fleet dates'!$B$9:$B$1008,$I205-8)))</x:f>
      </x:c>
      <x:c r="C205" s="51" t="str">
        <x:f>IF(197&gt;$H$4,"",IF(INDEX('Fleet dates'!$C$9:$C$1008,$I205-8)="","",INDEX('Fleet dates'!$C$9:$C$1008,$I205-8)))</x:f>
      </x:c>
      <x:c r="D205" s="51" t="str">
        <x:f>IF(197&gt;$H$4,"",IF(INDEX('Fleet dates'!$D$9:$D$1008,$I205-8)="","",INDEX('Fleet dates'!$D$9:$D$1008,$I205-8)))</x:f>
      </x:c>
      <x:c r="E205" s="51" t="str">
        <x:f>IF(197&gt;$H$4,"",IF(INDEX('Fleet dates'!$E$9:$E$1008,$I205-8)="","",INDEX('Fleet dates'!$E$9:$E$1008,$I205-8)))</x:f>
      </x:c>
      <x:c r="F205" s="51" t="str">
        <x:f>IF(197&gt;$H$4,"",IF(INDEX('Fleet dates'!$F$9:$F$1008,$I205-8)="","",INDEX('Fleet dates'!$F$9:$F$1008,$I205-8)))</x:f>
      </x:c>
      <x:c r="G205" s="50" t="str">
        <x:f>IF(197&gt;$H$4,"",IF(INDEX('Fleet dates'!$G$9:$G$1008,$I205-8)="","",INDEX('Fleet dates'!$G$9:$G$1008,$I205-8)))</x:f>
      </x:c>
      <x:c r="H205" s="50" t="str">
        <x:f>IF(197&gt;$H$4,"",IF(INDEX('Fleet dates'!$I$9:$I$1008,$I205-8)="","",INDEX('Fleet dates'!$I$9:$I$1008,$I205-8)))</x:f>
      </x:c>
      <x:c r="I205" t="str">
        <x:f>IF(197&gt;$H$4,"",MATCH(197,'Fleet dates'!$M$9:$M$1008,0)+8)</x:f>
      </x:c>
    </x:row>
    <x:row r="206" ht="36" customHeight="1">
      <x:c r="A206" s="50" t="str">
        <x:f>IF(198&gt;$H$4,"",IF(INDEX('Fleet dates'!$A$9:$A$1008,$I206-8)="","",INDEX('Fleet dates'!$A$9:$A$1008,$I206-8)))</x:f>
      </x:c>
      <x:c r="B206" s="50" t="str">
        <x:f>IF(198&gt;$H$4,"",IF(INDEX('Fleet dates'!$B$9:$B$1008,$I206-8)="","",INDEX('Fleet dates'!$B$9:$B$1008,$I206-8)))</x:f>
      </x:c>
      <x:c r="C206" s="51" t="str">
        <x:f>IF(198&gt;$H$4,"",IF(INDEX('Fleet dates'!$C$9:$C$1008,$I206-8)="","",INDEX('Fleet dates'!$C$9:$C$1008,$I206-8)))</x:f>
      </x:c>
      <x:c r="D206" s="51" t="str">
        <x:f>IF(198&gt;$H$4,"",IF(INDEX('Fleet dates'!$D$9:$D$1008,$I206-8)="","",INDEX('Fleet dates'!$D$9:$D$1008,$I206-8)))</x:f>
      </x:c>
      <x:c r="E206" s="51" t="str">
        <x:f>IF(198&gt;$H$4,"",IF(INDEX('Fleet dates'!$E$9:$E$1008,$I206-8)="","",INDEX('Fleet dates'!$E$9:$E$1008,$I206-8)))</x:f>
      </x:c>
      <x:c r="F206" s="51" t="str">
        <x:f>IF(198&gt;$H$4,"",IF(INDEX('Fleet dates'!$F$9:$F$1008,$I206-8)="","",INDEX('Fleet dates'!$F$9:$F$1008,$I206-8)))</x:f>
      </x:c>
      <x:c r="G206" s="50" t="str">
        <x:f>IF(198&gt;$H$4,"",IF(INDEX('Fleet dates'!$G$9:$G$1008,$I206-8)="","",INDEX('Fleet dates'!$G$9:$G$1008,$I206-8)))</x:f>
      </x:c>
      <x:c r="H206" s="50" t="str">
        <x:f>IF(198&gt;$H$4,"",IF(INDEX('Fleet dates'!$I$9:$I$1008,$I206-8)="","",INDEX('Fleet dates'!$I$9:$I$1008,$I206-8)))</x:f>
      </x:c>
      <x:c r="I206" t="str">
        <x:f>IF(198&gt;$H$4,"",MATCH(198,'Fleet dates'!$M$9:$M$1008,0)+8)</x:f>
      </x:c>
    </x:row>
    <x:row r="207" ht="36" customHeight="1">
      <x:c r="A207" s="50" t="str">
        <x:f>IF(199&gt;$H$4,"",IF(INDEX('Fleet dates'!$A$9:$A$1008,$I207-8)="","",INDEX('Fleet dates'!$A$9:$A$1008,$I207-8)))</x:f>
      </x:c>
      <x:c r="B207" s="50" t="str">
        <x:f>IF(199&gt;$H$4,"",IF(INDEX('Fleet dates'!$B$9:$B$1008,$I207-8)="","",INDEX('Fleet dates'!$B$9:$B$1008,$I207-8)))</x:f>
      </x:c>
      <x:c r="C207" s="51" t="str">
        <x:f>IF(199&gt;$H$4,"",IF(INDEX('Fleet dates'!$C$9:$C$1008,$I207-8)="","",INDEX('Fleet dates'!$C$9:$C$1008,$I207-8)))</x:f>
      </x:c>
      <x:c r="D207" s="51" t="str">
        <x:f>IF(199&gt;$H$4,"",IF(INDEX('Fleet dates'!$D$9:$D$1008,$I207-8)="","",INDEX('Fleet dates'!$D$9:$D$1008,$I207-8)))</x:f>
      </x:c>
      <x:c r="E207" s="51" t="str">
        <x:f>IF(199&gt;$H$4,"",IF(INDEX('Fleet dates'!$E$9:$E$1008,$I207-8)="","",INDEX('Fleet dates'!$E$9:$E$1008,$I207-8)))</x:f>
      </x:c>
      <x:c r="F207" s="51" t="str">
        <x:f>IF(199&gt;$H$4,"",IF(INDEX('Fleet dates'!$F$9:$F$1008,$I207-8)="","",INDEX('Fleet dates'!$F$9:$F$1008,$I207-8)))</x:f>
      </x:c>
      <x:c r="G207" s="50" t="str">
        <x:f>IF(199&gt;$H$4,"",IF(INDEX('Fleet dates'!$G$9:$G$1008,$I207-8)="","",INDEX('Fleet dates'!$G$9:$G$1008,$I207-8)))</x:f>
      </x:c>
      <x:c r="H207" s="50" t="str">
        <x:f>IF(199&gt;$H$4,"",IF(INDEX('Fleet dates'!$I$9:$I$1008,$I207-8)="","",INDEX('Fleet dates'!$I$9:$I$1008,$I207-8)))</x:f>
      </x:c>
      <x:c r="I207" t="str">
        <x:f>IF(199&gt;$H$4,"",MATCH(199,'Fleet dates'!$M$9:$M$1008,0)+8)</x:f>
      </x:c>
    </x:row>
    <x:row r="208" ht="36" customHeight="1">
      <x:c r="A208" s="50" t="str">
        <x:f>IF(200&gt;$H$4,"",IF(INDEX('Fleet dates'!$A$9:$A$1008,$I208-8)="","",INDEX('Fleet dates'!$A$9:$A$1008,$I208-8)))</x:f>
      </x:c>
      <x:c r="B208" s="50" t="str">
        <x:f>IF(200&gt;$H$4,"",IF(INDEX('Fleet dates'!$B$9:$B$1008,$I208-8)="","",INDEX('Fleet dates'!$B$9:$B$1008,$I208-8)))</x:f>
      </x:c>
      <x:c r="C208" s="51" t="str">
        <x:f>IF(200&gt;$H$4,"",IF(INDEX('Fleet dates'!$C$9:$C$1008,$I208-8)="","",INDEX('Fleet dates'!$C$9:$C$1008,$I208-8)))</x:f>
      </x:c>
      <x:c r="D208" s="51" t="str">
        <x:f>IF(200&gt;$H$4,"",IF(INDEX('Fleet dates'!$D$9:$D$1008,$I208-8)="","",INDEX('Fleet dates'!$D$9:$D$1008,$I208-8)))</x:f>
      </x:c>
      <x:c r="E208" s="51" t="str">
        <x:f>IF(200&gt;$H$4,"",IF(INDEX('Fleet dates'!$E$9:$E$1008,$I208-8)="","",INDEX('Fleet dates'!$E$9:$E$1008,$I208-8)))</x:f>
      </x:c>
      <x:c r="F208" s="51" t="str">
        <x:f>IF(200&gt;$H$4,"",IF(INDEX('Fleet dates'!$F$9:$F$1008,$I208-8)="","",INDEX('Fleet dates'!$F$9:$F$1008,$I208-8)))</x:f>
      </x:c>
      <x:c r="G208" s="50" t="str">
        <x:f>IF(200&gt;$H$4,"",IF(INDEX('Fleet dates'!$G$9:$G$1008,$I208-8)="","",INDEX('Fleet dates'!$G$9:$G$1008,$I208-8)))</x:f>
      </x:c>
      <x:c r="H208" s="50" t="str">
        <x:f>IF(200&gt;$H$4,"",IF(INDEX('Fleet dates'!$I$9:$I$1008,$I208-8)="","",INDEX('Fleet dates'!$I$9:$I$1008,$I208-8)))</x:f>
      </x:c>
      <x:c r="I208" t="str">
        <x:f>IF(200&gt;$H$4,"",MATCH(200,'Fleet dates'!$M$9:$M$1008,0)+8)</x:f>
      </x:c>
    </x:row>
    <x:row r="209" ht="36" customHeight="1">
      <x:c r="A209" s="50" t="str">
        <x:f>IF(201&gt;$H$4,"",IF(INDEX('Fleet dates'!$A$9:$A$1008,$I209-8)="","",INDEX('Fleet dates'!$A$9:$A$1008,$I209-8)))</x:f>
      </x:c>
      <x:c r="B209" s="50" t="str">
        <x:f>IF(201&gt;$H$4,"",IF(INDEX('Fleet dates'!$B$9:$B$1008,$I209-8)="","",INDEX('Fleet dates'!$B$9:$B$1008,$I209-8)))</x:f>
      </x:c>
      <x:c r="C209" s="51" t="str">
        <x:f>IF(201&gt;$H$4,"",IF(INDEX('Fleet dates'!$C$9:$C$1008,$I209-8)="","",INDEX('Fleet dates'!$C$9:$C$1008,$I209-8)))</x:f>
      </x:c>
      <x:c r="D209" s="51" t="str">
        <x:f>IF(201&gt;$H$4,"",IF(INDEX('Fleet dates'!$D$9:$D$1008,$I209-8)="","",INDEX('Fleet dates'!$D$9:$D$1008,$I209-8)))</x:f>
      </x:c>
      <x:c r="E209" s="51" t="str">
        <x:f>IF(201&gt;$H$4,"",IF(INDEX('Fleet dates'!$E$9:$E$1008,$I209-8)="","",INDEX('Fleet dates'!$E$9:$E$1008,$I209-8)))</x:f>
      </x:c>
      <x:c r="F209" s="51" t="str">
        <x:f>IF(201&gt;$H$4,"",IF(INDEX('Fleet dates'!$F$9:$F$1008,$I209-8)="","",INDEX('Fleet dates'!$F$9:$F$1008,$I209-8)))</x:f>
      </x:c>
      <x:c r="G209" s="50" t="str">
        <x:f>IF(201&gt;$H$4,"",IF(INDEX('Fleet dates'!$G$9:$G$1008,$I209-8)="","",INDEX('Fleet dates'!$G$9:$G$1008,$I209-8)))</x:f>
      </x:c>
      <x:c r="H209" s="50" t="str">
        <x:f>IF(201&gt;$H$4,"",IF(INDEX('Fleet dates'!$I$9:$I$1008,$I209-8)="","",INDEX('Fleet dates'!$I$9:$I$1008,$I209-8)))</x:f>
      </x:c>
      <x:c r="I209" t="str">
        <x:f>IF(201&gt;$H$4,"",MATCH(201,'Fleet dates'!$M$9:$M$1008,0)+8)</x:f>
      </x:c>
    </x:row>
    <x:row r="210" ht="36" customHeight="1">
      <x:c r="A210" s="50" t="str">
        <x:f>IF(202&gt;$H$4,"",IF(INDEX('Fleet dates'!$A$9:$A$1008,$I210-8)="","",INDEX('Fleet dates'!$A$9:$A$1008,$I210-8)))</x:f>
      </x:c>
      <x:c r="B210" s="50" t="str">
        <x:f>IF(202&gt;$H$4,"",IF(INDEX('Fleet dates'!$B$9:$B$1008,$I210-8)="","",INDEX('Fleet dates'!$B$9:$B$1008,$I210-8)))</x:f>
      </x:c>
      <x:c r="C210" s="51" t="str">
        <x:f>IF(202&gt;$H$4,"",IF(INDEX('Fleet dates'!$C$9:$C$1008,$I210-8)="","",INDEX('Fleet dates'!$C$9:$C$1008,$I210-8)))</x:f>
      </x:c>
      <x:c r="D210" s="51" t="str">
        <x:f>IF(202&gt;$H$4,"",IF(INDEX('Fleet dates'!$D$9:$D$1008,$I210-8)="","",INDEX('Fleet dates'!$D$9:$D$1008,$I210-8)))</x:f>
      </x:c>
      <x:c r="E210" s="51" t="str">
        <x:f>IF(202&gt;$H$4,"",IF(INDEX('Fleet dates'!$E$9:$E$1008,$I210-8)="","",INDEX('Fleet dates'!$E$9:$E$1008,$I210-8)))</x:f>
      </x:c>
      <x:c r="F210" s="51" t="str">
        <x:f>IF(202&gt;$H$4,"",IF(INDEX('Fleet dates'!$F$9:$F$1008,$I210-8)="","",INDEX('Fleet dates'!$F$9:$F$1008,$I210-8)))</x:f>
      </x:c>
      <x:c r="G210" s="50" t="str">
        <x:f>IF(202&gt;$H$4,"",IF(INDEX('Fleet dates'!$G$9:$G$1008,$I210-8)="","",INDEX('Fleet dates'!$G$9:$G$1008,$I210-8)))</x:f>
      </x:c>
      <x:c r="H210" s="50" t="str">
        <x:f>IF(202&gt;$H$4,"",IF(INDEX('Fleet dates'!$I$9:$I$1008,$I210-8)="","",INDEX('Fleet dates'!$I$9:$I$1008,$I210-8)))</x:f>
      </x:c>
      <x:c r="I210" t="str">
        <x:f>IF(202&gt;$H$4,"",MATCH(202,'Fleet dates'!$M$9:$M$1008,0)+8)</x:f>
      </x:c>
    </x:row>
    <x:row r="211" ht="36" customHeight="1">
      <x:c r="A211" s="50" t="str">
        <x:f>IF(203&gt;$H$4,"",IF(INDEX('Fleet dates'!$A$9:$A$1008,$I211-8)="","",INDEX('Fleet dates'!$A$9:$A$1008,$I211-8)))</x:f>
      </x:c>
      <x:c r="B211" s="50" t="str">
        <x:f>IF(203&gt;$H$4,"",IF(INDEX('Fleet dates'!$B$9:$B$1008,$I211-8)="","",INDEX('Fleet dates'!$B$9:$B$1008,$I211-8)))</x:f>
      </x:c>
      <x:c r="C211" s="51" t="str">
        <x:f>IF(203&gt;$H$4,"",IF(INDEX('Fleet dates'!$C$9:$C$1008,$I211-8)="","",INDEX('Fleet dates'!$C$9:$C$1008,$I211-8)))</x:f>
      </x:c>
      <x:c r="D211" s="51" t="str">
        <x:f>IF(203&gt;$H$4,"",IF(INDEX('Fleet dates'!$D$9:$D$1008,$I211-8)="","",INDEX('Fleet dates'!$D$9:$D$1008,$I211-8)))</x:f>
      </x:c>
      <x:c r="E211" s="51" t="str">
        <x:f>IF(203&gt;$H$4,"",IF(INDEX('Fleet dates'!$E$9:$E$1008,$I211-8)="","",INDEX('Fleet dates'!$E$9:$E$1008,$I211-8)))</x:f>
      </x:c>
      <x:c r="F211" s="51" t="str">
        <x:f>IF(203&gt;$H$4,"",IF(INDEX('Fleet dates'!$F$9:$F$1008,$I211-8)="","",INDEX('Fleet dates'!$F$9:$F$1008,$I211-8)))</x:f>
      </x:c>
      <x:c r="G211" s="50" t="str">
        <x:f>IF(203&gt;$H$4,"",IF(INDEX('Fleet dates'!$G$9:$G$1008,$I211-8)="","",INDEX('Fleet dates'!$G$9:$G$1008,$I211-8)))</x:f>
      </x:c>
      <x:c r="H211" s="50" t="str">
        <x:f>IF(203&gt;$H$4,"",IF(INDEX('Fleet dates'!$I$9:$I$1008,$I211-8)="","",INDEX('Fleet dates'!$I$9:$I$1008,$I211-8)))</x:f>
      </x:c>
      <x:c r="I211" t="str">
        <x:f>IF(203&gt;$H$4,"",MATCH(203,'Fleet dates'!$M$9:$M$1008,0)+8)</x:f>
      </x:c>
    </x:row>
    <x:row r="212" ht="36" customHeight="1">
      <x:c r="A212" s="50" t="str">
        <x:f>IF(204&gt;$H$4,"",IF(INDEX('Fleet dates'!$A$9:$A$1008,$I212-8)="","",INDEX('Fleet dates'!$A$9:$A$1008,$I212-8)))</x:f>
      </x:c>
      <x:c r="B212" s="50" t="str">
        <x:f>IF(204&gt;$H$4,"",IF(INDEX('Fleet dates'!$B$9:$B$1008,$I212-8)="","",INDEX('Fleet dates'!$B$9:$B$1008,$I212-8)))</x:f>
      </x:c>
      <x:c r="C212" s="51" t="str">
        <x:f>IF(204&gt;$H$4,"",IF(INDEX('Fleet dates'!$C$9:$C$1008,$I212-8)="","",INDEX('Fleet dates'!$C$9:$C$1008,$I212-8)))</x:f>
      </x:c>
      <x:c r="D212" s="51" t="str">
        <x:f>IF(204&gt;$H$4,"",IF(INDEX('Fleet dates'!$D$9:$D$1008,$I212-8)="","",INDEX('Fleet dates'!$D$9:$D$1008,$I212-8)))</x:f>
      </x:c>
      <x:c r="E212" s="51" t="str">
        <x:f>IF(204&gt;$H$4,"",IF(INDEX('Fleet dates'!$E$9:$E$1008,$I212-8)="","",INDEX('Fleet dates'!$E$9:$E$1008,$I212-8)))</x:f>
      </x:c>
      <x:c r="F212" s="51" t="str">
        <x:f>IF(204&gt;$H$4,"",IF(INDEX('Fleet dates'!$F$9:$F$1008,$I212-8)="","",INDEX('Fleet dates'!$F$9:$F$1008,$I212-8)))</x:f>
      </x:c>
      <x:c r="G212" s="50" t="str">
        <x:f>IF(204&gt;$H$4,"",IF(INDEX('Fleet dates'!$G$9:$G$1008,$I212-8)="","",INDEX('Fleet dates'!$G$9:$G$1008,$I212-8)))</x:f>
      </x:c>
      <x:c r="H212" s="50" t="str">
        <x:f>IF(204&gt;$H$4,"",IF(INDEX('Fleet dates'!$I$9:$I$1008,$I212-8)="","",INDEX('Fleet dates'!$I$9:$I$1008,$I212-8)))</x:f>
      </x:c>
      <x:c r="I212" t="str">
        <x:f>IF(204&gt;$H$4,"",MATCH(204,'Fleet dates'!$M$9:$M$1008,0)+8)</x:f>
      </x:c>
    </x:row>
    <x:row r="213" ht="36" customHeight="1">
      <x:c r="A213" s="50" t="str">
        <x:f>IF(205&gt;$H$4,"",IF(INDEX('Fleet dates'!$A$9:$A$1008,$I213-8)="","",INDEX('Fleet dates'!$A$9:$A$1008,$I213-8)))</x:f>
      </x:c>
      <x:c r="B213" s="50" t="str">
        <x:f>IF(205&gt;$H$4,"",IF(INDEX('Fleet dates'!$B$9:$B$1008,$I213-8)="","",INDEX('Fleet dates'!$B$9:$B$1008,$I213-8)))</x:f>
      </x:c>
      <x:c r="C213" s="51" t="str">
        <x:f>IF(205&gt;$H$4,"",IF(INDEX('Fleet dates'!$C$9:$C$1008,$I213-8)="","",INDEX('Fleet dates'!$C$9:$C$1008,$I213-8)))</x:f>
      </x:c>
      <x:c r="D213" s="51" t="str">
        <x:f>IF(205&gt;$H$4,"",IF(INDEX('Fleet dates'!$D$9:$D$1008,$I213-8)="","",INDEX('Fleet dates'!$D$9:$D$1008,$I213-8)))</x:f>
      </x:c>
      <x:c r="E213" s="51" t="str">
        <x:f>IF(205&gt;$H$4,"",IF(INDEX('Fleet dates'!$E$9:$E$1008,$I213-8)="","",INDEX('Fleet dates'!$E$9:$E$1008,$I213-8)))</x:f>
      </x:c>
      <x:c r="F213" s="51" t="str">
        <x:f>IF(205&gt;$H$4,"",IF(INDEX('Fleet dates'!$F$9:$F$1008,$I213-8)="","",INDEX('Fleet dates'!$F$9:$F$1008,$I213-8)))</x:f>
      </x:c>
      <x:c r="G213" s="50" t="str">
        <x:f>IF(205&gt;$H$4,"",IF(INDEX('Fleet dates'!$G$9:$G$1008,$I213-8)="","",INDEX('Fleet dates'!$G$9:$G$1008,$I213-8)))</x:f>
      </x:c>
      <x:c r="H213" s="50" t="str">
        <x:f>IF(205&gt;$H$4,"",IF(INDEX('Fleet dates'!$I$9:$I$1008,$I213-8)="","",INDEX('Fleet dates'!$I$9:$I$1008,$I213-8)))</x:f>
      </x:c>
      <x:c r="I213" t="str">
        <x:f>IF(205&gt;$H$4,"",MATCH(205,'Fleet dates'!$M$9:$M$1008,0)+8)</x:f>
      </x:c>
    </x:row>
    <x:row r="214" ht="36" customHeight="1">
      <x:c r="A214" s="50" t="str">
        <x:f>IF(206&gt;$H$4,"",IF(INDEX('Fleet dates'!$A$9:$A$1008,$I214-8)="","",INDEX('Fleet dates'!$A$9:$A$1008,$I214-8)))</x:f>
      </x:c>
      <x:c r="B214" s="50" t="str">
        <x:f>IF(206&gt;$H$4,"",IF(INDEX('Fleet dates'!$B$9:$B$1008,$I214-8)="","",INDEX('Fleet dates'!$B$9:$B$1008,$I214-8)))</x:f>
      </x:c>
      <x:c r="C214" s="51" t="str">
        <x:f>IF(206&gt;$H$4,"",IF(INDEX('Fleet dates'!$C$9:$C$1008,$I214-8)="","",INDEX('Fleet dates'!$C$9:$C$1008,$I214-8)))</x:f>
      </x:c>
      <x:c r="D214" s="51" t="str">
        <x:f>IF(206&gt;$H$4,"",IF(INDEX('Fleet dates'!$D$9:$D$1008,$I214-8)="","",INDEX('Fleet dates'!$D$9:$D$1008,$I214-8)))</x:f>
      </x:c>
      <x:c r="E214" s="51" t="str">
        <x:f>IF(206&gt;$H$4,"",IF(INDEX('Fleet dates'!$E$9:$E$1008,$I214-8)="","",INDEX('Fleet dates'!$E$9:$E$1008,$I214-8)))</x:f>
      </x:c>
      <x:c r="F214" s="51" t="str">
        <x:f>IF(206&gt;$H$4,"",IF(INDEX('Fleet dates'!$F$9:$F$1008,$I214-8)="","",INDEX('Fleet dates'!$F$9:$F$1008,$I214-8)))</x:f>
      </x:c>
      <x:c r="G214" s="50" t="str">
        <x:f>IF(206&gt;$H$4,"",IF(INDEX('Fleet dates'!$G$9:$G$1008,$I214-8)="","",INDEX('Fleet dates'!$G$9:$G$1008,$I214-8)))</x:f>
      </x:c>
      <x:c r="H214" s="50" t="str">
        <x:f>IF(206&gt;$H$4,"",IF(INDEX('Fleet dates'!$I$9:$I$1008,$I214-8)="","",INDEX('Fleet dates'!$I$9:$I$1008,$I214-8)))</x:f>
      </x:c>
      <x:c r="I214" t="str">
        <x:f>IF(206&gt;$H$4,"",MATCH(206,'Fleet dates'!$M$9:$M$1008,0)+8)</x:f>
      </x:c>
    </x:row>
    <x:row r="215" ht="36" customHeight="1">
      <x:c r="A215" s="50" t="str">
        <x:f>IF(207&gt;$H$4,"",IF(INDEX('Fleet dates'!$A$9:$A$1008,$I215-8)="","",INDEX('Fleet dates'!$A$9:$A$1008,$I215-8)))</x:f>
      </x:c>
      <x:c r="B215" s="50" t="str">
        <x:f>IF(207&gt;$H$4,"",IF(INDEX('Fleet dates'!$B$9:$B$1008,$I215-8)="","",INDEX('Fleet dates'!$B$9:$B$1008,$I215-8)))</x:f>
      </x:c>
      <x:c r="C215" s="51" t="str">
        <x:f>IF(207&gt;$H$4,"",IF(INDEX('Fleet dates'!$C$9:$C$1008,$I215-8)="","",INDEX('Fleet dates'!$C$9:$C$1008,$I215-8)))</x:f>
      </x:c>
      <x:c r="D215" s="51" t="str">
        <x:f>IF(207&gt;$H$4,"",IF(INDEX('Fleet dates'!$D$9:$D$1008,$I215-8)="","",INDEX('Fleet dates'!$D$9:$D$1008,$I215-8)))</x:f>
      </x:c>
      <x:c r="E215" s="51" t="str">
        <x:f>IF(207&gt;$H$4,"",IF(INDEX('Fleet dates'!$E$9:$E$1008,$I215-8)="","",INDEX('Fleet dates'!$E$9:$E$1008,$I215-8)))</x:f>
      </x:c>
      <x:c r="F215" s="51" t="str">
        <x:f>IF(207&gt;$H$4,"",IF(INDEX('Fleet dates'!$F$9:$F$1008,$I215-8)="","",INDEX('Fleet dates'!$F$9:$F$1008,$I215-8)))</x:f>
      </x:c>
      <x:c r="G215" s="50" t="str">
        <x:f>IF(207&gt;$H$4,"",IF(INDEX('Fleet dates'!$G$9:$G$1008,$I215-8)="","",INDEX('Fleet dates'!$G$9:$G$1008,$I215-8)))</x:f>
      </x:c>
      <x:c r="H215" s="50" t="str">
        <x:f>IF(207&gt;$H$4,"",IF(INDEX('Fleet dates'!$I$9:$I$1008,$I215-8)="","",INDEX('Fleet dates'!$I$9:$I$1008,$I215-8)))</x:f>
      </x:c>
      <x:c r="I215" t="str">
        <x:f>IF(207&gt;$H$4,"",MATCH(207,'Fleet dates'!$M$9:$M$1008,0)+8)</x:f>
      </x:c>
    </x:row>
    <x:row r="216" ht="36" customHeight="1">
      <x:c r="A216" s="50" t="str">
        <x:f>IF(208&gt;$H$4,"",IF(INDEX('Fleet dates'!$A$9:$A$1008,$I216-8)="","",INDEX('Fleet dates'!$A$9:$A$1008,$I216-8)))</x:f>
      </x:c>
      <x:c r="B216" s="50" t="str">
        <x:f>IF(208&gt;$H$4,"",IF(INDEX('Fleet dates'!$B$9:$B$1008,$I216-8)="","",INDEX('Fleet dates'!$B$9:$B$1008,$I216-8)))</x:f>
      </x:c>
      <x:c r="C216" s="51" t="str">
        <x:f>IF(208&gt;$H$4,"",IF(INDEX('Fleet dates'!$C$9:$C$1008,$I216-8)="","",INDEX('Fleet dates'!$C$9:$C$1008,$I216-8)))</x:f>
      </x:c>
      <x:c r="D216" s="51" t="str">
        <x:f>IF(208&gt;$H$4,"",IF(INDEX('Fleet dates'!$D$9:$D$1008,$I216-8)="","",INDEX('Fleet dates'!$D$9:$D$1008,$I216-8)))</x:f>
      </x:c>
      <x:c r="E216" s="51" t="str">
        <x:f>IF(208&gt;$H$4,"",IF(INDEX('Fleet dates'!$E$9:$E$1008,$I216-8)="","",INDEX('Fleet dates'!$E$9:$E$1008,$I216-8)))</x:f>
      </x:c>
      <x:c r="F216" s="51" t="str">
        <x:f>IF(208&gt;$H$4,"",IF(INDEX('Fleet dates'!$F$9:$F$1008,$I216-8)="","",INDEX('Fleet dates'!$F$9:$F$1008,$I216-8)))</x:f>
      </x:c>
      <x:c r="G216" s="50" t="str">
        <x:f>IF(208&gt;$H$4,"",IF(INDEX('Fleet dates'!$G$9:$G$1008,$I216-8)="","",INDEX('Fleet dates'!$G$9:$G$1008,$I216-8)))</x:f>
      </x:c>
      <x:c r="H216" s="50" t="str">
        <x:f>IF(208&gt;$H$4,"",IF(INDEX('Fleet dates'!$I$9:$I$1008,$I216-8)="","",INDEX('Fleet dates'!$I$9:$I$1008,$I216-8)))</x:f>
      </x:c>
      <x:c r="I216" t="str">
        <x:f>IF(208&gt;$H$4,"",MATCH(208,'Fleet dates'!$M$9:$M$1008,0)+8)</x:f>
      </x:c>
    </x:row>
    <x:row r="217" ht="36" customHeight="1">
      <x:c r="A217" s="50" t="str">
        <x:f>IF(209&gt;$H$4,"",IF(INDEX('Fleet dates'!$A$9:$A$1008,$I217-8)="","",INDEX('Fleet dates'!$A$9:$A$1008,$I217-8)))</x:f>
      </x:c>
      <x:c r="B217" s="50" t="str">
        <x:f>IF(209&gt;$H$4,"",IF(INDEX('Fleet dates'!$B$9:$B$1008,$I217-8)="","",INDEX('Fleet dates'!$B$9:$B$1008,$I217-8)))</x:f>
      </x:c>
      <x:c r="C217" s="51" t="str">
        <x:f>IF(209&gt;$H$4,"",IF(INDEX('Fleet dates'!$C$9:$C$1008,$I217-8)="","",INDEX('Fleet dates'!$C$9:$C$1008,$I217-8)))</x:f>
      </x:c>
      <x:c r="D217" s="51" t="str">
        <x:f>IF(209&gt;$H$4,"",IF(INDEX('Fleet dates'!$D$9:$D$1008,$I217-8)="","",INDEX('Fleet dates'!$D$9:$D$1008,$I217-8)))</x:f>
      </x:c>
      <x:c r="E217" s="51" t="str">
        <x:f>IF(209&gt;$H$4,"",IF(INDEX('Fleet dates'!$E$9:$E$1008,$I217-8)="","",INDEX('Fleet dates'!$E$9:$E$1008,$I217-8)))</x:f>
      </x:c>
      <x:c r="F217" s="51" t="str">
        <x:f>IF(209&gt;$H$4,"",IF(INDEX('Fleet dates'!$F$9:$F$1008,$I217-8)="","",INDEX('Fleet dates'!$F$9:$F$1008,$I217-8)))</x:f>
      </x:c>
      <x:c r="G217" s="50" t="str">
        <x:f>IF(209&gt;$H$4,"",IF(INDEX('Fleet dates'!$G$9:$G$1008,$I217-8)="","",INDEX('Fleet dates'!$G$9:$G$1008,$I217-8)))</x:f>
      </x:c>
      <x:c r="H217" s="50" t="str">
        <x:f>IF(209&gt;$H$4,"",IF(INDEX('Fleet dates'!$I$9:$I$1008,$I217-8)="","",INDEX('Fleet dates'!$I$9:$I$1008,$I217-8)))</x:f>
      </x:c>
      <x:c r="I217" t="str">
        <x:f>IF(209&gt;$H$4,"",MATCH(209,'Fleet dates'!$M$9:$M$1008,0)+8)</x:f>
      </x:c>
    </x:row>
    <x:row r="218" ht="36" customHeight="1">
      <x:c r="A218" s="50" t="str">
        <x:f>IF(210&gt;$H$4,"",IF(INDEX('Fleet dates'!$A$9:$A$1008,$I218-8)="","",INDEX('Fleet dates'!$A$9:$A$1008,$I218-8)))</x:f>
      </x:c>
      <x:c r="B218" s="50" t="str">
        <x:f>IF(210&gt;$H$4,"",IF(INDEX('Fleet dates'!$B$9:$B$1008,$I218-8)="","",INDEX('Fleet dates'!$B$9:$B$1008,$I218-8)))</x:f>
      </x:c>
      <x:c r="C218" s="51" t="str">
        <x:f>IF(210&gt;$H$4,"",IF(INDEX('Fleet dates'!$C$9:$C$1008,$I218-8)="","",INDEX('Fleet dates'!$C$9:$C$1008,$I218-8)))</x:f>
      </x:c>
      <x:c r="D218" s="51" t="str">
        <x:f>IF(210&gt;$H$4,"",IF(INDEX('Fleet dates'!$D$9:$D$1008,$I218-8)="","",INDEX('Fleet dates'!$D$9:$D$1008,$I218-8)))</x:f>
      </x:c>
      <x:c r="E218" s="51" t="str">
        <x:f>IF(210&gt;$H$4,"",IF(INDEX('Fleet dates'!$E$9:$E$1008,$I218-8)="","",INDEX('Fleet dates'!$E$9:$E$1008,$I218-8)))</x:f>
      </x:c>
      <x:c r="F218" s="51" t="str">
        <x:f>IF(210&gt;$H$4,"",IF(INDEX('Fleet dates'!$F$9:$F$1008,$I218-8)="","",INDEX('Fleet dates'!$F$9:$F$1008,$I218-8)))</x:f>
      </x:c>
      <x:c r="G218" s="50" t="str">
        <x:f>IF(210&gt;$H$4,"",IF(INDEX('Fleet dates'!$G$9:$G$1008,$I218-8)="","",INDEX('Fleet dates'!$G$9:$G$1008,$I218-8)))</x:f>
      </x:c>
      <x:c r="H218" s="50" t="str">
        <x:f>IF(210&gt;$H$4,"",IF(INDEX('Fleet dates'!$I$9:$I$1008,$I218-8)="","",INDEX('Fleet dates'!$I$9:$I$1008,$I218-8)))</x:f>
      </x:c>
      <x:c r="I218" t="str">
        <x:f>IF(210&gt;$H$4,"",MATCH(210,'Fleet dates'!$M$9:$M$1008,0)+8)</x:f>
      </x:c>
    </x:row>
    <x:row r="219" ht="36" customHeight="1">
      <x:c r="A219" s="50" t="str">
        <x:f>IF(211&gt;$H$4,"",IF(INDEX('Fleet dates'!$A$9:$A$1008,$I219-8)="","",INDEX('Fleet dates'!$A$9:$A$1008,$I219-8)))</x:f>
      </x:c>
      <x:c r="B219" s="50" t="str">
        <x:f>IF(211&gt;$H$4,"",IF(INDEX('Fleet dates'!$B$9:$B$1008,$I219-8)="","",INDEX('Fleet dates'!$B$9:$B$1008,$I219-8)))</x:f>
      </x:c>
      <x:c r="C219" s="51" t="str">
        <x:f>IF(211&gt;$H$4,"",IF(INDEX('Fleet dates'!$C$9:$C$1008,$I219-8)="","",INDEX('Fleet dates'!$C$9:$C$1008,$I219-8)))</x:f>
      </x:c>
      <x:c r="D219" s="51" t="str">
        <x:f>IF(211&gt;$H$4,"",IF(INDEX('Fleet dates'!$D$9:$D$1008,$I219-8)="","",INDEX('Fleet dates'!$D$9:$D$1008,$I219-8)))</x:f>
      </x:c>
      <x:c r="E219" s="51" t="str">
        <x:f>IF(211&gt;$H$4,"",IF(INDEX('Fleet dates'!$E$9:$E$1008,$I219-8)="","",INDEX('Fleet dates'!$E$9:$E$1008,$I219-8)))</x:f>
      </x:c>
      <x:c r="F219" s="51" t="str">
        <x:f>IF(211&gt;$H$4,"",IF(INDEX('Fleet dates'!$F$9:$F$1008,$I219-8)="","",INDEX('Fleet dates'!$F$9:$F$1008,$I219-8)))</x:f>
      </x:c>
      <x:c r="G219" s="50" t="str">
        <x:f>IF(211&gt;$H$4,"",IF(INDEX('Fleet dates'!$G$9:$G$1008,$I219-8)="","",INDEX('Fleet dates'!$G$9:$G$1008,$I219-8)))</x:f>
      </x:c>
      <x:c r="H219" s="50" t="str">
        <x:f>IF(211&gt;$H$4,"",IF(INDEX('Fleet dates'!$I$9:$I$1008,$I219-8)="","",INDEX('Fleet dates'!$I$9:$I$1008,$I219-8)))</x:f>
      </x:c>
      <x:c r="I219" t="str">
        <x:f>IF(211&gt;$H$4,"",MATCH(211,'Fleet dates'!$M$9:$M$1008,0)+8)</x:f>
      </x:c>
    </x:row>
    <x:row r="220" ht="36" customHeight="1">
      <x:c r="A220" s="50" t="str">
        <x:f>IF(212&gt;$H$4,"",IF(INDEX('Fleet dates'!$A$9:$A$1008,$I220-8)="","",INDEX('Fleet dates'!$A$9:$A$1008,$I220-8)))</x:f>
      </x:c>
      <x:c r="B220" s="50" t="str">
        <x:f>IF(212&gt;$H$4,"",IF(INDEX('Fleet dates'!$B$9:$B$1008,$I220-8)="","",INDEX('Fleet dates'!$B$9:$B$1008,$I220-8)))</x:f>
      </x:c>
      <x:c r="C220" s="51" t="str">
        <x:f>IF(212&gt;$H$4,"",IF(INDEX('Fleet dates'!$C$9:$C$1008,$I220-8)="","",INDEX('Fleet dates'!$C$9:$C$1008,$I220-8)))</x:f>
      </x:c>
      <x:c r="D220" s="51" t="str">
        <x:f>IF(212&gt;$H$4,"",IF(INDEX('Fleet dates'!$D$9:$D$1008,$I220-8)="","",INDEX('Fleet dates'!$D$9:$D$1008,$I220-8)))</x:f>
      </x:c>
      <x:c r="E220" s="51" t="str">
        <x:f>IF(212&gt;$H$4,"",IF(INDEX('Fleet dates'!$E$9:$E$1008,$I220-8)="","",INDEX('Fleet dates'!$E$9:$E$1008,$I220-8)))</x:f>
      </x:c>
      <x:c r="F220" s="51" t="str">
        <x:f>IF(212&gt;$H$4,"",IF(INDEX('Fleet dates'!$F$9:$F$1008,$I220-8)="","",INDEX('Fleet dates'!$F$9:$F$1008,$I220-8)))</x:f>
      </x:c>
      <x:c r="G220" s="50" t="str">
        <x:f>IF(212&gt;$H$4,"",IF(INDEX('Fleet dates'!$G$9:$G$1008,$I220-8)="","",INDEX('Fleet dates'!$G$9:$G$1008,$I220-8)))</x:f>
      </x:c>
      <x:c r="H220" s="50" t="str">
        <x:f>IF(212&gt;$H$4,"",IF(INDEX('Fleet dates'!$I$9:$I$1008,$I220-8)="","",INDEX('Fleet dates'!$I$9:$I$1008,$I220-8)))</x:f>
      </x:c>
      <x:c r="I220" t="str">
        <x:f>IF(212&gt;$H$4,"",MATCH(212,'Fleet dates'!$M$9:$M$1008,0)+8)</x:f>
      </x:c>
    </x:row>
    <x:row r="221" ht="36" customHeight="1">
      <x:c r="A221" s="50" t="str">
        <x:f>IF(213&gt;$H$4,"",IF(INDEX('Fleet dates'!$A$9:$A$1008,$I221-8)="","",INDEX('Fleet dates'!$A$9:$A$1008,$I221-8)))</x:f>
      </x:c>
      <x:c r="B221" s="50" t="str">
        <x:f>IF(213&gt;$H$4,"",IF(INDEX('Fleet dates'!$B$9:$B$1008,$I221-8)="","",INDEX('Fleet dates'!$B$9:$B$1008,$I221-8)))</x:f>
      </x:c>
      <x:c r="C221" s="51" t="str">
        <x:f>IF(213&gt;$H$4,"",IF(INDEX('Fleet dates'!$C$9:$C$1008,$I221-8)="","",INDEX('Fleet dates'!$C$9:$C$1008,$I221-8)))</x:f>
      </x:c>
      <x:c r="D221" s="51" t="str">
        <x:f>IF(213&gt;$H$4,"",IF(INDEX('Fleet dates'!$D$9:$D$1008,$I221-8)="","",INDEX('Fleet dates'!$D$9:$D$1008,$I221-8)))</x:f>
      </x:c>
      <x:c r="E221" s="51" t="str">
        <x:f>IF(213&gt;$H$4,"",IF(INDEX('Fleet dates'!$E$9:$E$1008,$I221-8)="","",INDEX('Fleet dates'!$E$9:$E$1008,$I221-8)))</x:f>
      </x:c>
      <x:c r="F221" s="51" t="str">
        <x:f>IF(213&gt;$H$4,"",IF(INDEX('Fleet dates'!$F$9:$F$1008,$I221-8)="","",INDEX('Fleet dates'!$F$9:$F$1008,$I221-8)))</x:f>
      </x:c>
      <x:c r="G221" s="50" t="str">
        <x:f>IF(213&gt;$H$4,"",IF(INDEX('Fleet dates'!$G$9:$G$1008,$I221-8)="","",INDEX('Fleet dates'!$G$9:$G$1008,$I221-8)))</x:f>
      </x:c>
      <x:c r="H221" s="50" t="str">
        <x:f>IF(213&gt;$H$4,"",IF(INDEX('Fleet dates'!$I$9:$I$1008,$I221-8)="","",INDEX('Fleet dates'!$I$9:$I$1008,$I221-8)))</x:f>
      </x:c>
      <x:c r="I221" t="str">
        <x:f>IF(213&gt;$H$4,"",MATCH(213,'Fleet dates'!$M$9:$M$1008,0)+8)</x:f>
      </x:c>
    </x:row>
    <x:row r="222" ht="36" customHeight="1">
      <x:c r="A222" s="50" t="str">
        <x:f>IF(214&gt;$H$4,"",IF(INDEX('Fleet dates'!$A$9:$A$1008,$I222-8)="","",INDEX('Fleet dates'!$A$9:$A$1008,$I222-8)))</x:f>
      </x:c>
      <x:c r="B222" s="50" t="str">
        <x:f>IF(214&gt;$H$4,"",IF(INDEX('Fleet dates'!$B$9:$B$1008,$I222-8)="","",INDEX('Fleet dates'!$B$9:$B$1008,$I222-8)))</x:f>
      </x:c>
      <x:c r="C222" s="51" t="str">
        <x:f>IF(214&gt;$H$4,"",IF(INDEX('Fleet dates'!$C$9:$C$1008,$I222-8)="","",INDEX('Fleet dates'!$C$9:$C$1008,$I222-8)))</x:f>
      </x:c>
      <x:c r="D222" s="51" t="str">
        <x:f>IF(214&gt;$H$4,"",IF(INDEX('Fleet dates'!$D$9:$D$1008,$I222-8)="","",INDEX('Fleet dates'!$D$9:$D$1008,$I222-8)))</x:f>
      </x:c>
      <x:c r="E222" s="51" t="str">
        <x:f>IF(214&gt;$H$4,"",IF(INDEX('Fleet dates'!$E$9:$E$1008,$I222-8)="","",INDEX('Fleet dates'!$E$9:$E$1008,$I222-8)))</x:f>
      </x:c>
      <x:c r="F222" s="51" t="str">
        <x:f>IF(214&gt;$H$4,"",IF(INDEX('Fleet dates'!$F$9:$F$1008,$I222-8)="","",INDEX('Fleet dates'!$F$9:$F$1008,$I222-8)))</x:f>
      </x:c>
      <x:c r="G222" s="50" t="str">
        <x:f>IF(214&gt;$H$4,"",IF(INDEX('Fleet dates'!$G$9:$G$1008,$I222-8)="","",INDEX('Fleet dates'!$G$9:$G$1008,$I222-8)))</x:f>
      </x:c>
      <x:c r="H222" s="50" t="str">
        <x:f>IF(214&gt;$H$4,"",IF(INDEX('Fleet dates'!$I$9:$I$1008,$I222-8)="","",INDEX('Fleet dates'!$I$9:$I$1008,$I222-8)))</x:f>
      </x:c>
      <x:c r="I222" t="str">
        <x:f>IF(214&gt;$H$4,"",MATCH(214,'Fleet dates'!$M$9:$M$1008,0)+8)</x:f>
      </x:c>
    </x:row>
    <x:row r="223" ht="36" customHeight="1">
      <x:c r="A223" s="50" t="str">
        <x:f>IF(215&gt;$H$4,"",IF(INDEX('Fleet dates'!$A$9:$A$1008,$I223-8)="","",INDEX('Fleet dates'!$A$9:$A$1008,$I223-8)))</x:f>
      </x:c>
      <x:c r="B223" s="50" t="str">
        <x:f>IF(215&gt;$H$4,"",IF(INDEX('Fleet dates'!$B$9:$B$1008,$I223-8)="","",INDEX('Fleet dates'!$B$9:$B$1008,$I223-8)))</x:f>
      </x:c>
      <x:c r="C223" s="51" t="str">
        <x:f>IF(215&gt;$H$4,"",IF(INDEX('Fleet dates'!$C$9:$C$1008,$I223-8)="","",INDEX('Fleet dates'!$C$9:$C$1008,$I223-8)))</x:f>
      </x:c>
      <x:c r="D223" s="51" t="str">
        <x:f>IF(215&gt;$H$4,"",IF(INDEX('Fleet dates'!$D$9:$D$1008,$I223-8)="","",INDEX('Fleet dates'!$D$9:$D$1008,$I223-8)))</x:f>
      </x:c>
      <x:c r="E223" s="51" t="str">
        <x:f>IF(215&gt;$H$4,"",IF(INDEX('Fleet dates'!$E$9:$E$1008,$I223-8)="","",INDEX('Fleet dates'!$E$9:$E$1008,$I223-8)))</x:f>
      </x:c>
      <x:c r="F223" s="51" t="str">
        <x:f>IF(215&gt;$H$4,"",IF(INDEX('Fleet dates'!$F$9:$F$1008,$I223-8)="","",INDEX('Fleet dates'!$F$9:$F$1008,$I223-8)))</x:f>
      </x:c>
      <x:c r="G223" s="50" t="str">
        <x:f>IF(215&gt;$H$4,"",IF(INDEX('Fleet dates'!$G$9:$G$1008,$I223-8)="","",INDEX('Fleet dates'!$G$9:$G$1008,$I223-8)))</x:f>
      </x:c>
      <x:c r="H223" s="50" t="str">
        <x:f>IF(215&gt;$H$4,"",IF(INDEX('Fleet dates'!$I$9:$I$1008,$I223-8)="","",INDEX('Fleet dates'!$I$9:$I$1008,$I223-8)))</x:f>
      </x:c>
      <x:c r="I223" t="str">
        <x:f>IF(215&gt;$H$4,"",MATCH(215,'Fleet dates'!$M$9:$M$1008,0)+8)</x:f>
      </x:c>
    </x:row>
    <x:row r="224" ht="36" customHeight="1">
      <x:c r="A224" s="50" t="str">
        <x:f>IF(216&gt;$H$4,"",IF(INDEX('Fleet dates'!$A$9:$A$1008,$I224-8)="","",INDEX('Fleet dates'!$A$9:$A$1008,$I224-8)))</x:f>
      </x:c>
      <x:c r="B224" s="50" t="str">
        <x:f>IF(216&gt;$H$4,"",IF(INDEX('Fleet dates'!$B$9:$B$1008,$I224-8)="","",INDEX('Fleet dates'!$B$9:$B$1008,$I224-8)))</x:f>
      </x:c>
      <x:c r="C224" s="51" t="str">
        <x:f>IF(216&gt;$H$4,"",IF(INDEX('Fleet dates'!$C$9:$C$1008,$I224-8)="","",INDEX('Fleet dates'!$C$9:$C$1008,$I224-8)))</x:f>
      </x:c>
      <x:c r="D224" s="51" t="str">
        <x:f>IF(216&gt;$H$4,"",IF(INDEX('Fleet dates'!$D$9:$D$1008,$I224-8)="","",INDEX('Fleet dates'!$D$9:$D$1008,$I224-8)))</x:f>
      </x:c>
      <x:c r="E224" s="51" t="str">
        <x:f>IF(216&gt;$H$4,"",IF(INDEX('Fleet dates'!$E$9:$E$1008,$I224-8)="","",INDEX('Fleet dates'!$E$9:$E$1008,$I224-8)))</x:f>
      </x:c>
      <x:c r="F224" s="51" t="str">
        <x:f>IF(216&gt;$H$4,"",IF(INDEX('Fleet dates'!$F$9:$F$1008,$I224-8)="","",INDEX('Fleet dates'!$F$9:$F$1008,$I224-8)))</x:f>
      </x:c>
      <x:c r="G224" s="50" t="str">
        <x:f>IF(216&gt;$H$4,"",IF(INDEX('Fleet dates'!$G$9:$G$1008,$I224-8)="","",INDEX('Fleet dates'!$G$9:$G$1008,$I224-8)))</x:f>
      </x:c>
      <x:c r="H224" s="50" t="str">
        <x:f>IF(216&gt;$H$4,"",IF(INDEX('Fleet dates'!$I$9:$I$1008,$I224-8)="","",INDEX('Fleet dates'!$I$9:$I$1008,$I224-8)))</x:f>
      </x:c>
      <x:c r="I224" t="str">
        <x:f>IF(216&gt;$H$4,"",MATCH(216,'Fleet dates'!$M$9:$M$1008,0)+8)</x:f>
      </x:c>
    </x:row>
    <x:row r="225" ht="36" customHeight="1">
      <x:c r="A225" s="50" t="str">
        <x:f>IF(217&gt;$H$4,"",IF(INDEX('Fleet dates'!$A$9:$A$1008,$I225-8)="","",INDEX('Fleet dates'!$A$9:$A$1008,$I225-8)))</x:f>
      </x:c>
      <x:c r="B225" s="50" t="str">
        <x:f>IF(217&gt;$H$4,"",IF(INDEX('Fleet dates'!$B$9:$B$1008,$I225-8)="","",INDEX('Fleet dates'!$B$9:$B$1008,$I225-8)))</x:f>
      </x:c>
      <x:c r="C225" s="51" t="str">
        <x:f>IF(217&gt;$H$4,"",IF(INDEX('Fleet dates'!$C$9:$C$1008,$I225-8)="","",INDEX('Fleet dates'!$C$9:$C$1008,$I225-8)))</x:f>
      </x:c>
      <x:c r="D225" s="51" t="str">
        <x:f>IF(217&gt;$H$4,"",IF(INDEX('Fleet dates'!$D$9:$D$1008,$I225-8)="","",INDEX('Fleet dates'!$D$9:$D$1008,$I225-8)))</x:f>
      </x:c>
      <x:c r="E225" s="51" t="str">
        <x:f>IF(217&gt;$H$4,"",IF(INDEX('Fleet dates'!$E$9:$E$1008,$I225-8)="","",INDEX('Fleet dates'!$E$9:$E$1008,$I225-8)))</x:f>
      </x:c>
      <x:c r="F225" s="51" t="str">
        <x:f>IF(217&gt;$H$4,"",IF(INDEX('Fleet dates'!$F$9:$F$1008,$I225-8)="","",INDEX('Fleet dates'!$F$9:$F$1008,$I225-8)))</x:f>
      </x:c>
      <x:c r="G225" s="50" t="str">
        <x:f>IF(217&gt;$H$4,"",IF(INDEX('Fleet dates'!$G$9:$G$1008,$I225-8)="","",INDEX('Fleet dates'!$G$9:$G$1008,$I225-8)))</x:f>
      </x:c>
      <x:c r="H225" s="50" t="str">
        <x:f>IF(217&gt;$H$4,"",IF(INDEX('Fleet dates'!$I$9:$I$1008,$I225-8)="","",INDEX('Fleet dates'!$I$9:$I$1008,$I225-8)))</x:f>
      </x:c>
      <x:c r="I225" t="str">
        <x:f>IF(217&gt;$H$4,"",MATCH(217,'Fleet dates'!$M$9:$M$1008,0)+8)</x:f>
      </x:c>
    </x:row>
    <x:row r="226" ht="36" customHeight="1">
      <x:c r="A226" s="50" t="str">
        <x:f>IF(218&gt;$H$4,"",IF(INDEX('Fleet dates'!$A$9:$A$1008,$I226-8)="","",INDEX('Fleet dates'!$A$9:$A$1008,$I226-8)))</x:f>
      </x:c>
      <x:c r="B226" s="50" t="str">
        <x:f>IF(218&gt;$H$4,"",IF(INDEX('Fleet dates'!$B$9:$B$1008,$I226-8)="","",INDEX('Fleet dates'!$B$9:$B$1008,$I226-8)))</x:f>
      </x:c>
      <x:c r="C226" s="51" t="str">
        <x:f>IF(218&gt;$H$4,"",IF(INDEX('Fleet dates'!$C$9:$C$1008,$I226-8)="","",INDEX('Fleet dates'!$C$9:$C$1008,$I226-8)))</x:f>
      </x:c>
      <x:c r="D226" s="51" t="str">
        <x:f>IF(218&gt;$H$4,"",IF(INDEX('Fleet dates'!$D$9:$D$1008,$I226-8)="","",INDEX('Fleet dates'!$D$9:$D$1008,$I226-8)))</x:f>
      </x:c>
      <x:c r="E226" s="51" t="str">
        <x:f>IF(218&gt;$H$4,"",IF(INDEX('Fleet dates'!$E$9:$E$1008,$I226-8)="","",INDEX('Fleet dates'!$E$9:$E$1008,$I226-8)))</x:f>
      </x:c>
      <x:c r="F226" s="51" t="str">
        <x:f>IF(218&gt;$H$4,"",IF(INDEX('Fleet dates'!$F$9:$F$1008,$I226-8)="","",INDEX('Fleet dates'!$F$9:$F$1008,$I226-8)))</x:f>
      </x:c>
      <x:c r="G226" s="50" t="str">
        <x:f>IF(218&gt;$H$4,"",IF(INDEX('Fleet dates'!$G$9:$G$1008,$I226-8)="","",INDEX('Fleet dates'!$G$9:$G$1008,$I226-8)))</x:f>
      </x:c>
      <x:c r="H226" s="50" t="str">
        <x:f>IF(218&gt;$H$4,"",IF(INDEX('Fleet dates'!$I$9:$I$1008,$I226-8)="","",INDEX('Fleet dates'!$I$9:$I$1008,$I226-8)))</x:f>
      </x:c>
      <x:c r="I226" t="str">
        <x:f>IF(218&gt;$H$4,"",MATCH(218,'Fleet dates'!$M$9:$M$1008,0)+8)</x:f>
      </x:c>
    </x:row>
    <x:row r="227" ht="36" customHeight="1">
      <x:c r="A227" s="50" t="str">
        <x:f>IF(219&gt;$H$4,"",IF(INDEX('Fleet dates'!$A$9:$A$1008,$I227-8)="","",INDEX('Fleet dates'!$A$9:$A$1008,$I227-8)))</x:f>
      </x:c>
      <x:c r="B227" s="50" t="str">
        <x:f>IF(219&gt;$H$4,"",IF(INDEX('Fleet dates'!$B$9:$B$1008,$I227-8)="","",INDEX('Fleet dates'!$B$9:$B$1008,$I227-8)))</x:f>
      </x:c>
      <x:c r="C227" s="51" t="str">
        <x:f>IF(219&gt;$H$4,"",IF(INDEX('Fleet dates'!$C$9:$C$1008,$I227-8)="","",INDEX('Fleet dates'!$C$9:$C$1008,$I227-8)))</x:f>
      </x:c>
      <x:c r="D227" s="51" t="str">
        <x:f>IF(219&gt;$H$4,"",IF(INDEX('Fleet dates'!$D$9:$D$1008,$I227-8)="","",INDEX('Fleet dates'!$D$9:$D$1008,$I227-8)))</x:f>
      </x:c>
      <x:c r="E227" s="51" t="str">
        <x:f>IF(219&gt;$H$4,"",IF(INDEX('Fleet dates'!$E$9:$E$1008,$I227-8)="","",INDEX('Fleet dates'!$E$9:$E$1008,$I227-8)))</x:f>
      </x:c>
      <x:c r="F227" s="51" t="str">
        <x:f>IF(219&gt;$H$4,"",IF(INDEX('Fleet dates'!$F$9:$F$1008,$I227-8)="","",INDEX('Fleet dates'!$F$9:$F$1008,$I227-8)))</x:f>
      </x:c>
      <x:c r="G227" s="50" t="str">
        <x:f>IF(219&gt;$H$4,"",IF(INDEX('Fleet dates'!$G$9:$G$1008,$I227-8)="","",INDEX('Fleet dates'!$G$9:$G$1008,$I227-8)))</x:f>
      </x:c>
      <x:c r="H227" s="50" t="str">
        <x:f>IF(219&gt;$H$4,"",IF(INDEX('Fleet dates'!$I$9:$I$1008,$I227-8)="","",INDEX('Fleet dates'!$I$9:$I$1008,$I227-8)))</x:f>
      </x:c>
      <x:c r="I227" t="str">
        <x:f>IF(219&gt;$H$4,"",MATCH(219,'Fleet dates'!$M$9:$M$1008,0)+8)</x:f>
      </x:c>
    </x:row>
    <x:row r="228" ht="36" customHeight="1">
      <x:c r="A228" s="50" t="str">
        <x:f>IF(220&gt;$H$4,"",IF(INDEX('Fleet dates'!$A$9:$A$1008,$I228-8)="","",INDEX('Fleet dates'!$A$9:$A$1008,$I228-8)))</x:f>
      </x:c>
      <x:c r="B228" s="50" t="str">
        <x:f>IF(220&gt;$H$4,"",IF(INDEX('Fleet dates'!$B$9:$B$1008,$I228-8)="","",INDEX('Fleet dates'!$B$9:$B$1008,$I228-8)))</x:f>
      </x:c>
      <x:c r="C228" s="51" t="str">
        <x:f>IF(220&gt;$H$4,"",IF(INDEX('Fleet dates'!$C$9:$C$1008,$I228-8)="","",INDEX('Fleet dates'!$C$9:$C$1008,$I228-8)))</x:f>
      </x:c>
      <x:c r="D228" s="51" t="str">
        <x:f>IF(220&gt;$H$4,"",IF(INDEX('Fleet dates'!$D$9:$D$1008,$I228-8)="","",INDEX('Fleet dates'!$D$9:$D$1008,$I228-8)))</x:f>
      </x:c>
      <x:c r="E228" s="51" t="str">
        <x:f>IF(220&gt;$H$4,"",IF(INDEX('Fleet dates'!$E$9:$E$1008,$I228-8)="","",INDEX('Fleet dates'!$E$9:$E$1008,$I228-8)))</x:f>
      </x:c>
      <x:c r="F228" s="51" t="str">
        <x:f>IF(220&gt;$H$4,"",IF(INDEX('Fleet dates'!$F$9:$F$1008,$I228-8)="","",INDEX('Fleet dates'!$F$9:$F$1008,$I228-8)))</x:f>
      </x:c>
      <x:c r="G228" s="50" t="str">
        <x:f>IF(220&gt;$H$4,"",IF(INDEX('Fleet dates'!$G$9:$G$1008,$I228-8)="","",INDEX('Fleet dates'!$G$9:$G$1008,$I228-8)))</x:f>
      </x:c>
      <x:c r="H228" s="50" t="str">
        <x:f>IF(220&gt;$H$4,"",IF(INDEX('Fleet dates'!$I$9:$I$1008,$I228-8)="","",INDEX('Fleet dates'!$I$9:$I$1008,$I228-8)))</x:f>
      </x:c>
      <x:c r="I228" t="str">
        <x:f>IF(220&gt;$H$4,"",MATCH(220,'Fleet dates'!$M$9:$M$1008,0)+8)</x:f>
      </x:c>
    </x:row>
    <x:row r="229" ht="36" customHeight="1">
      <x:c r="A229" s="50" t="str">
        <x:f>IF(221&gt;$H$4,"",IF(INDEX('Fleet dates'!$A$9:$A$1008,$I229-8)="","",INDEX('Fleet dates'!$A$9:$A$1008,$I229-8)))</x:f>
      </x:c>
      <x:c r="B229" s="50" t="str">
        <x:f>IF(221&gt;$H$4,"",IF(INDEX('Fleet dates'!$B$9:$B$1008,$I229-8)="","",INDEX('Fleet dates'!$B$9:$B$1008,$I229-8)))</x:f>
      </x:c>
      <x:c r="C229" s="51" t="str">
        <x:f>IF(221&gt;$H$4,"",IF(INDEX('Fleet dates'!$C$9:$C$1008,$I229-8)="","",INDEX('Fleet dates'!$C$9:$C$1008,$I229-8)))</x:f>
      </x:c>
      <x:c r="D229" s="51" t="str">
        <x:f>IF(221&gt;$H$4,"",IF(INDEX('Fleet dates'!$D$9:$D$1008,$I229-8)="","",INDEX('Fleet dates'!$D$9:$D$1008,$I229-8)))</x:f>
      </x:c>
      <x:c r="E229" s="51" t="str">
        <x:f>IF(221&gt;$H$4,"",IF(INDEX('Fleet dates'!$E$9:$E$1008,$I229-8)="","",INDEX('Fleet dates'!$E$9:$E$1008,$I229-8)))</x:f>
      </x:c>
      <x:c r="F229" s="51" t="str">
        <x:f>IF(221&gt;$H$4,"",IF(INDEX('Fleet dates'!$F$9:$F$1008,$I229-8)="","",INDEX('Fleet dates'!$F$9:$F$1008,$I229-8)))</x:f>
      </x:c>
      <x:c r="G229" s="50" t="str">
        <x:f>IF(221&gt;$H$4,"",IF(INDEX('Fleet dates'!$G$9:$G$1008,$I229-8)="","",INDEX('Fleet dates'!$G$9:$G$1008,$I229-8)))</x:f>
      </x:c>
      <x:c r="H229" s="50" t="str">
        <x:f>IF(221&gt;$H$4,"",IF(INDEX('Fleet dates'!$I$9:$I$1008,$I229-8)="","",INDEX('Fleet dates'!$I$9:$I$1008,$I229-8)))</x:f>
      </x:c>
      <x:c r="I229" t="str">
        <x:f>IF(221&gt;$H$4,"",MATCH(221,'Fleet dates'!$M$9:$M$1008,0)+8)</x:f>
      </x:c>
    </x:row>
    <x:row r="230" ht="36" customHeight="1">
      <x:c r="A230" s="50" t="str">
        <x:f>IF(222&gt;$H$4,"",IF(INDEX('Fleet dates'!$A$9:$A$1008,$I230-8)="","",INDEX('Fleet dates'!$A$9:$A$1008,$I230-8)))</x:f>
      </x:c>
      <x:c r="B230" s="50" t="str">
        <x:f>IF(222&gt;$H$4,"",IF(INDEX('Fleet dates'!$B$9:$B$1008,$I230-8)="","",INDEX('Fleet dates'!$B$9:$B$1008,$I230-8)))</x:f>
      </x:c>
      <x:c r="C230" s="51" t="str">
        <x:f>IF(222&gt;$H$4,"",IF(INDEX('Fleet dates'!$C$9:$C$1008,$I230-8)="","",INDEX('Fleet dates'!$C$9:$C$1008,$I230-8)))</x:f>
      </x:c>
      <x:c r="D230" s="51" t="str">
        <x:f>IF(222&gt;$H$4,"",IF(INDEX('Fleet dates'!$D$9:$D$1008,$I230-8)="","",INDEX('Fleet dates'!$D$9:$D$1008,$I230-8)))</x:f>
      </x:c>
      <x:c r="E230" s="51" t="str">
        <x:f>IF(222&gt;$H$4,"",IF(INDEX('Fleet dates'!$E$9:$E$1008,$I230-8)="","",INDEX('Fleet dates'!$E$9:$E$1008,$I230-8)))</x:f>
      </x:c>
      <x:c r="F230" s="51" t="str">
        <x:f>IF(222&gt;$H$4,"",IF(INDEX('Fleet dates'!$F$9:$F$1008,$I230-8)="","",INDEX('Fleet dates'!$F$9:$F$1008,$I230-8)))</x:f>
      </x:c>
      <x:c r="G230" s="50" t="str">
        <x:f>IF(222&gt;$H$4,"",IF(INDEX('Fleet dates'!$G$9:$G$1008,$I230-8)="","",INDEX('Fleet dates'!$G$9:$G$1008,$I230-8)))</x:f>
      </x:c>
      <x:c r="H230" s="50" t="str">
        <x:f>IF(222&gt;$H$4,"",IF(INDEX('Fleet dates'!$I$9:$I$1008,$I230-8)="","",INDEX('Fleet dates'!$I$9:$I$1008,$I230-8)))</x:f>
      </x:c>
      <x:c r="I230" t="str">
        <x:f>IF(222&gt;$H$4,"",MATCH(222,'Fleet dates'!$M$9:$M$1008,0)+8)</x:f>
      </x:c>
    </x:row>
    <x:row r="231" ht="36" customHeight="1">
      <x:c r="A231" s="50" t="str">
        <x:f>IF(223&gt;$H$4,"",IF(INDEX('Fleet dates'!$A$9:$A$1008,$I231-8)="","",INDEX('Fleet dates'!$A$9:$A$1008,$I231-8)))</x:f>
      </x:c>
      <x:c r="B231" s="50" t="str">
        <x:f>IF(223&gt;$H$4,"",IF(INDEX('Fleet dates'!$B$9:$B$1008,$I231-8)="","",INDEX('Fleet dates'!$B$9:$B$1008,$I231-8)))</x:f>
      </x:c>
      <x:c r="C231" s="51" t="str">
        <x:f>IF(223&gt;$H$4,"",IF(INDEX('Fleet dates'!$C$9:$C$1008,$I231-8)="","",INDEX('Fleet dates'!$C$9:$C$1008,$I231-8)))</x:f>
      </x:c>
      <x:c r="D231" s="51" t="str">
        <x:f>IF(223&gt;$H$4,"",IF(INDEX('Fleet dates'!$D$9:$D$1008,$I231-8)="","",INDEX('Fleet dates'!$D$9:$D$1008,$I231-8)))</x:f>
      </x:c>
      <x:c r="E231" s="51" t="str">
        <x:f>IF(223&gt;$H$4,"",IF(INDEX('Fleet dates'!$E$9:$E$1008,$I231-8)="","",INDEX('Fleet dates'!$E$9:$E$1008,$I231-8)))</x:f>
      </x:c>
      <x:c r="F231" s="51" t="str">
        <x:f>IF(223&gt;$H$4,"",IF(INDEX('Fleet dates'!$F$9:$F$1008,$I231-8)="","",INDEX('Fleet dates'!$F$9:$F$1008,$I231-8)))</x:f>
      </x:c>
      <x:c r="G231" s="50" t="str">
        <x:f>IF(223&gt;$H$4,"",IF(INDEX('Fleet dates'!$G$9:$G$1008,$I231-8)="","",INDEX('Fleet dates'!$G$9:$G$1008,$I231-8)))</x:f>
      </x:c>
      <x:c r="H231" s="50" t="str">
        <x:f>IF(223&gt;$H$4,"",IF(INDEX('Fleet dates'!$I$9:$I$1008,$I231-8)="","",INDEX('Fleet dates'!$I$9:$I$1008,$I231-8)))</x:f>
      </x:c>
      <x:c r="I231" t="str">
        <x:f>IF(223&gt;$H$4,"",MATCH(223,'Fleet dates'!$M$9:$M$1008,0)+8)</x:f>
      </x:c>
    </x:row>
    <x:row r="232" ht="36" customHeight="1">
      <x:c r="A232" s="50" t="str">
        <x:f>IF(224&gt;$H$4,"",IF(INDEX('Fleet dates'!$A$9:$A$1008,$I232-8)="","",INDEX('Fleet dates'!$A$9:$A$1008,$I232-8)))</x:f>
      </x:c>
      <x:c r="B232" s="50" t="str">
        <x:f>IF(224&gt;$H$4,"",IF(INDEX('Fleet dates'!$B$9:$B$1008,$I232-8)="","",INDEX('Fleet dates'!$B$9:$B$1008,$I232-8)))</x:f>
      </x:c>
      <x:c r="C232" s="51" t="str">
        <x:f>IF(224&gt;$H$4,"",IF(INDEX('Fleet dates'!$C$9:$C$1008,$I232-8)="","",INDEX('Fleet dates'!$C$9:$C$1008,$I232-8)))</x:f>
      </x:c>
      <x:c r="D232" s="51" t="str">
        <x:f>IF(224&gt;$H$4,"",IF(INDEX('Fleet dates'!$D$9:$D$1008,$I232-8)="","",INDEX('Fleet dates'!$D$9:$D$1008,$I232-8)))</x:f>
      </x:c>
      <x:c r="E232" s="51" t="str">
        <x:f>IF(224&gt;$H$4,"",IF(INDEX('Fleet dates'!$E$9:$E$1008,$I232-8)="","",INDEX('Fleet dates'!$E$9:$E$1008,$I232-8)))</x:f>
      </x:c>
      <x:c r="F232" s="51" t="str">
        <x:f>IF(224&gt;$H$4,"",IF(INDEX('Fleet dates'!$F$9:$F$1008,$I232-8)="","",INDEX('Fleet dates'!$F$9:$F$1008,$I232-8)))</x:f>
      </x:c>
      <x:c r="G232" s="50" t="str">
        <x:f>IF(224&gt;$H$4,"",IF(INDEX('Fleet dates'!$G$9:$G$1008,$I232-8)="","",INDEX('Fleet dates'!$G$9:$G$1008,$I232-8)))</x:f>
      </x:c>
      <x:c r="H232" s="50" t="str">
        <x:f>IF(224&gt;$H$4,"",IF(INDEX('Fleet dates'!$I$9:$I$1008,$I232-8)="","",INDEX('Fleet dates'!$I$9:$I$1008,$I232-8)))</x:f>
      </x:c>
      <x:c r="I232" t="str">
        <x:f>IF(224&gt;$H$4,"",MATCH(224,'Fleet dates'!$M$9:$M$1008,0)+8)</x:f>
      </x:c>
    </x:row>
    <x:row r="233" ht="36" customHeight="1">
      <x:c r="A233" s="50" t="str">
        <x:f>IF(225&gt;$H$4,"",IF(INDEX('Fleet dates'!$A$9:$A$1008,$I233-8)="","",INDEX('Fleet dates'!$A$9:$A$1008,$I233-8)))</x:f>
      </x:c>
      <x:c r="B233" s="50" t="str">
        <x:f>IF(225&gt;$H$4,"",IF(INDEX('Fleet dates'!$B$9:$B$1008,$I233-8)="","",INDEX('Fleet dates'!$B$9:$B$1008,$I233-8)))</x:f>
      </x:c>
      <x:c r="C233" s="51" t="str">
        <x:f>IF(225&gt;$H$4,"",IF(INDEX('Fleet dates'!$C$9:$C$1008,$I233-8)="","",INDEX('Fleet dates'!$C$9:$C$1008,$I233-8)))</x:f>
      </x:c>
      <x:c r="D233" s="51" t="str">
        <x:f>IF(225&gt;$H$4,"",IF(INDEX('Fleet dates'!$D$9:$D$1008,$I233-8)="","",INDEX('Fleet dates'!$D$9:$D$1008,$I233-8)))</x:f>
      </x:c>
      <x:c r="E233" s="51" t="str">
        <x:f>IF(225&gt;$H$4,"",IF(INDEX('Fleet dates'!$E$9:$E$1008,$I233-8)="","",INDEX('Fleet dates'!$E$9:$E$1008,$I233-8)))</x:f>
      </x:c>
      <x:c r="F233" s="51" t="str">
        <x:f>IF(225&gt;$H$4,"",IF(INDEX('Fleet dates'!$F$9:$F$1008,$I233-8)="","",INDEX('Fleet dates'!$F$9:$F$1008,$I233-8)))</x:f>
      </x:c>
      <x:c r="G233" s="50" t="str">
        <x:f>IF(225&gt;$H$4,"",IF(INDEX('Fleet dates'!$G$9:$G$1008,$I233-8)="","",INDEX('Fleet dates'!$G$9:$G$1008,$I233-8)))</x:f>
      </x:c>
      <x:c r="H233" s="50" t="str">
        <x:f>IF(225&gt;$H$4,"",IF(INDEX('Fleet dates'!$I$9:$I$1008,$I233-8)="","",INDEX('Fleet dates'!$I$9:$I$1008,$I233-8)))</x:f>
      </x:c>
      <x:c r="I233" t="str">
        <x:f>IF(225&gt;$H$4,"",MATCH(225,'Fleet dates'!$M$9:$M$1008,0)+8)</x:f>
      </x:c>
    </x:row>
    <x:row r="234" ht="36" customHeight="1">
      <x:c r="A234" s="50" t="str">
        <x:f>IF(226&gt;$H$4,"",IF(INDEX('Fleet dates'!$A$9:$A$1008,$I234-8)="","",INDEX('Fleet dates'!$A$9:$A$1008,$I234-8)))</x:f>
      </x:c>
      <x:c r="B234" s="50" t="str">
        <x:f>IF(226&gt;$H$4,"",IF(INDEX('Fleet dates'!$B$9:$B$1008,$I234-8)="","",INDEX('Fleet dates'!$B$9:$B$1008,$I234-8)))</x:f>
      </x:c>
      <x:c r="C234" s="51" t="str">
        <x:f>IF(226&gt;$H$4,"",IF(INDEX('Fleet dates'!$C$9:$C$1008,$I234-8)="","",INDEX('Fleet dates'!$C$9:$C$1008,$I234-8)))</x:f>
      </x:c>
      <x:c r="D234" s="51" t="str">
        <x:f>IF(226&gt;$H$4,"",IF(INDEX('Fleet dates'!$D$9:$D$1008,$I234-8)="","",INDEX('Fleet dates'!$D$9:$D$1008,$I234-8)))</x:f>
      </x:c>
      <x:c r="E234" s="51" t="str">
        <x:f>IF(226&gt;$H$4,"",IF(INDEX('Fleet dates'!$E$9:$E$1008,$I234-8)="","",INDEX('Fleet dates'!$E$9:$E$1008,$I234-8)))</x:f>
      </x:c>
      <x:c r="F234" s="51" t="str">
        <x:f>IF(226&gt;$H$4,"",IF(INDEX('Fleet dates'!$F$9:$F$1008,$I234-8)="","",INDEX('Fleet dates'!$F$9:$F$1008,$I234-8)))</x:f>
      </x:c>
      <x:c r="G234" s="50" t="str">
        <x:f>IF(226&gt;$H$4,"",IF(INDEX('Fleet dates'!$G$9:$G$1008,$I234-8)="","",INDEX('Fleet dates'!$G$9:$G$1008,$I234-8)))</x:f>
      </x:c>
      <x:c r="H234" s="50" t="str">
        <x:f>IF(226&gt;$H$4,"",IF(INDEX('Fleet dates'!$I$9:$I$1008,$I234-8)="","",INDEX('Fleet dates'!$I$9:$I$1008,$I234-8)))</x:f>
      </x:c>
      <x:c r="I234" t="str">
        <x:f>IF(226&gt;$H$4,"",MATCH(226,'Fleet dates'!$M$9:$M$1008,0)+8)</x:f>
      </x:c>
    </x:row>
    <x:row r="235" ht="36" customHeight="1">
      <x:c r="A235" s="50" t="str">
        <x:f>IF(227&gt;$H$4,"",IF(INDEX('Fleet dates'!$A$9:$A$1008,$I235-8)="","",INDEX('Fleet dates'!$A$9:$A$1008,$I235-8)))</x:f>
      </x:c>
      <x:c r="B235" s="50" t="str">
        <x:f>IF(227&gt;$H$4,"",IF(INDEX('Fleet dates'!$B$9:$B$1008,$I235-8)="","",INDEX('Fleet dates'!$B$9:$B$1008,$I235-8)))</x:f>
      </x:c>
      <x:c r="C235" s="51" t="str">
        <x:f>IF(227&gt;$H$4,"",IF(INDEX('Fleet dates'!$C$9:$C$1008,$I235-8)="","",INDEX('Fleet dates'!$C$9:$C$1008,$I235-8)))</x:f>
      </x:c>
      <x:c r="D235" s="51" t="str">
        <x:f>IF(227&gt;$H$4,"",IF(INDEX('Fleet dates'!$D$9:$D$1008,$I235-8)="","",INDEX('Fleet dates'!$D$9:$D$1008,$I235-8)))</x:f>
      </x:c>
      <x:c r="E235" s="51" t="str">
        <x:f>IF(227&gt;$H$4,"",IF(INDEX('Fleet dates'!$E$9:$E$1008,$I235-8)="","",INDEX('Fleet dates'!$E$9:$E$1008,$I235-8)))</x:f>
      </x:c>
      <x:c r="F235" s="51" t="str">
        <x:f>IF(227&gt;$H$4,"",IF(INDEX('Fleet dates'!$F$9:$F$1008,$I235-8)="","",INDEX('Fleet dates'!$F$9:$F$1008,$I235-8)))</x:f>
      </x:c>
      <x:c r="G235" s="50" t="str">
        <x:f>IF(227&gt;$H$4,"",IF(INDEX('Fleet dates'!$G$9:$G$1008,$I235-8)="","",INDEX('Fleet dates'!$G$9:$G$1008,$I235-8)))</x:f>
      </x:c>
      <x:c r="H235" s="50" t="str">
        <x:f>IF(227&gt;$H$4,"",IF(INDEX('Fleet dates'!$I$9:$I$1008,$I235-8)="","",INDEX('Fleet dates'!$I$9:$I$1008,$I235-8)))</x:f>
      </x:c>
      <x:c r="I235" t="str">
        <x:f>IF(227&gt;$H$4,"",MATCH(227,'Fleet dates'!$M$9:$M$1008,0)+8)</x:f>
      </x:c>
    </x:row>
    <x:row r="236" ht="36" customHeight="1">
      <x:c r="A236" s="50" t="str">
        <x:f>IF(228&gt;$H$4,"",IF(INDEX('Fleet dates'!$A$9:$A$1008,$I236-8)="","",INDEX('Fleet dates'!$A$9:$A$1008,$I236-8)))</x:f>
      </x:c>
      <x:c r="B236" s="50" t="str">
        <x:f>IF(228&gt;$H$4,"",IF(INDEX('Fleet dates'!$B$9:$B$1008,$I236-8)="","",INDEX('Fleet dates'!$B$9:$B$1008,$I236-8)))</x:f>
      </x:c>
      <x:c r="C236" s="51" t="str">
        <x:f>IF(228&gt;$H$4,"",IF(INDEX('Fleet dates'!$C$9:$C$1008,$I236-8)="","",INDEX('Fleet dates'!$C$9:$C$1008,$I236-8)))</x:f>
      </x:c>
      <x:c r="D236" s="51" t="str">
        <x:f>IF(228&gt;$H$4,"",IF(INDEX('Fleet dates'!$D$9:$D$1008,$I236-8)="","",INDEX('Fleet dates'!$D$9:$D$1008,$I236-8)))</x:f>
      </x:c>
      <x:c r="E236" s="51" t="str">
        <x:f>IF(228&gt;$H$4,"",IF(INDEX('Fleet dates'!$E$9:$E$1008,$I236-8)="","",INDEX('Fleet dates'!$E$9:$E$1008,$I236-8)))</x:f>
      </x:c>
      <x:c r="F236" s="51" t="str">
        <x:f>IF(228&gt;$H$4,"",IF(INDEX('Fleet dates'!$F$9:$F$1008,$I236-8)="","",INDEX('Fleet dates'!$F$9:$F$1008,$I236-8)))</x:f>
      </x:c>
      <x:c r="G236" s="50" t="str">
        <x:f>IF(228&gt;$H$4,"",IF(INDEX('Fleet dates'!$G$9:$G$1008,$I236-8)="","",INDEX('Fleet dates'!$G$9:$G$1008,$I236-8)))</x:f>
      </x:c>
      <x:c r="H236" s="50" t="str">
        <x:f>IF(228&gt;$H$4,"",IF(INDEX('Fleet dates'!$I$9:$I$1008,$I236-8)="","",INDEX('Fleet dates'!$I$9:$I$1008,$I236-8)))</x:f>
      </x:c>
      <x:c r="I236" t="str">
        <x:f>IF(228&gt;$H$4,"",MATCH(228,'Fleet dates'!$M$9:$M$1008,0)+8)</x:f>
      </x:c>
    </x:row>
    <x:row r="237" ht="36" customHeight="1">
      <x:c r="A237" s="50" t="str">
        <x:f>IF(229&gt;$H$4,"",IF(INDEX('Fleet dates'!$A$9:$A$1008,$I237-8)="","",INDEX('Fleet dates'!$A$9:$A$1008,$I237-8)))</x:f>
      </x:c>
      <x:c r="B237" s="50" t="str">
        <x:f>IF(229&gt;$H$4,"",IF(INDEX('Fleet dates'!$B$9:$B$1008,$I237-8)="","",INDEX('Fleet dates'!$B$9:$B$1008,$I237-8)))</x:f>
      </x:c>
      <x:c r="C237" s="51" t="str">
        <x:f>IF(229&gt;$H$4,"",IF(INDEX('Fleet dates'!$C$9:$C$1008,$I237-8)="","",INDEX('Fleet dates'!$C$9:$C$1008,$I237-8)))</x:f>
      </x:c>
      <x:c r="D237" s="51" t="str">
        <x:f>IF(229&gt;$H$4,"",IF(INDEX('Fleet dates'!$D$9:$D$1008,$I237-8)="","",INDEX('Fleet dates'!$D$9:$D$1008,$I237-8)))</x:f>
      </x:c>
      <x:c r="E237" s="51" t="str">
        <x:f>IF(229&gt;$H$4,"",IF(INDEX('Fleet dates'!$E$9:$E$1008,$I237-8)="","",INDEX('Fleet dates'!$E$9:$E$1008,$I237-8)))</x:f>
      </x:c>
      <x:c r="F237" s="51" t="str">
        <x:f>IF(229&gt;$H$4,"",IF(INDEX('Fleet dates'!$F$9:$F$1008,$I237-8)="","",INDEX('Fleet dates'!$F$9:$F$1008,$I237-8)))</x:f>
      </x:c>
      <x:c r="G237" s="50" t="str">
        <x:f>IF(229&gt;$H$4,"",IF(INDEX('Fleet dates'!$G$9:$G$1008,$I237-8)="","",INDEX('Fleet dates'!$G$9:$G$1008,$I237-8)))</x:f>
      </x:c>
      <x:c r="H237" s="50" t="str">
        <x:f>IF(229&gt;$H$4,"",IF(INDEX('Fleet dates'!$I$9:$I$1008,$I237-8)="","",INDEX('Fleet dates'!$I$9:$I$1008,$I237-8)))</x:f>
      </x:c>
      <x:c r="I237" t="str">
        <x:f>IF(229&gt;$H$4,"",MATCH(229,'Fleet dates'!$M$9:$M$1008,0)+8)</x:f>
      </x:c>
    </x:row>
    <x:row r="238" ht="36" customHeight="1">
      <x:c r="A238" s="50" t="str">
        <x:f>IF(230&gt;$H$4,"",IF(INDEX('Fleet dates'!$A$9:$A$1008,$I238-8)="","",INDEX('Fleet dates'!$A$9:$A$1008,$I238-8)))</x:f>
      </x:c>
      <x:c r="B238" s="50" t="str">
        <x:f>IF(230&gt;$H$4,"",IF(INDEX('Fleet dates'!$B$9:$B$1008,$I238-8)="","",INDEX('Fleet dates'!$B$9:$B$1008,$I238-8)))</x:f>
      </x:c>
      <x:c r="C238" s="51" t="str">
        <x:f>IF(230&gt;$H$4,"",IF(INDEX('Fleet dates'!$C$9:$C$1008,$I238-8)="","",INDEX('Fleet dates'!$C$9:$C$1008,$I238-8)))</x:f>
      </x:c>
      <x:c r="D238" s="51" t="str">
        <x:f>IF(230&gt;$H$4,"",IF(INDEX('Fleet dates'!$D$9:$D$1008,$I238-8)="","",INDEX('Fleet dates'!$D$9:$D$1008,$I238-8)))</x:f>
      </x:c>
      <x:c r="E238" s="51" t="str">
        <x:f>IF(230&gt;$H$4,"",IF(INDEX('Fleet dates'!$E$9:$E$1008,$I238-8)="","",INDEX('Fleet dates'!$E$9:$E$1008,$I238-8)))</x:f>
      </x:c>
      <x:c r="F238" s="51" t="str">
        <x:f>IF(230&gt;$H$4,"",IF(INDEX('Fleet dates'!$F$9:$F$1008,$I238-8)="","",INDEX('Fleet dates'!$F$9:$F$1008,$I238-8)))</x:f>
      </x:c>
      <x:c r="G238" s="50" t="str">
        <x:f>IF(230&gt;$H$4,"",IF(INDEX('Fleet dates'!$G$9:$G$1008,$I238-8)="","",INDEX('Fleet dates'!$G$9:$G$1008,$I238-8)))</x:f>
      </x:c>
      <x:c r="H238" s="50" t="str">
        <x:f>IF(230&gt;$H$4,"",IF(INDEX('Fleet dates'!$I$9:$I$1008,$I238-8)="","",INDEX('Fleet dates'!$I$9:$I$1008,$I238-8)))</x:f>
      </x:c>
      <x:c r="I238" t="str">
        <x:f>IF(230&gt;$H$4,"",MATCH(230,'Fleet dates'!$M$9:$M$1008,0)+8)</x:f>
      </x:c>
    </x:row>
    <x:row r="239" ht="36" customHeight="1">
      <x:c r="A239" s="50" t="str">
        <x:f>IF(231&gt;$H$4,"",IF(INDEX('Fleet dates'!$A$9:$A$1008,$I239-8)="","",INDEX('Fleet dates'!$A$9:$A$1008,$I239-8)))</x:f>
      </x:c>
      <x:c r="B239" s="50" t="str">
        <x:f>IF(231&gt;$H$4,"",IF(INDEX('Fleet dates'!$B$9:$B$1008,$I239-8)="","",INDEX('Fleet dates'!$B$9:$B$1008,$I239-8)))</x:f>
      </x:c>
      <x:c r="C239" s="51" t="str">
        <x:f>IF(231&gt;$H$4,"",IF(INDEX('Fleet dates'!$C$9:$C$1008,$I239-8)="","",INDEX('Fleet dates'!$C$9:$C$1008,$I239-8)))</x:f>
      </x:c>
      <x:c r="D239" s="51" t="str">
        <x:f>IF(231&gt;$H$4,"",IF(INDEX('Fleet dates'!$D$9:$D$1008,$I239-8)="","",INDEX('Fleet dates'!$D$9:$D$1008,$I239-8)))</x:f>
      </x:c>
      <x:c r="E239" s="51" t="str">
        <x:f>IF(231&gt;$H$4,"",IF(INDEX('Fleet dates'!$E$9:$E$1008,$I239-8)="","",INDEX('Fleet dates'!$E$9:$E$1008,$I239-8)))</x:f>
      </x:c>
      <x:c r="F239" s="51" t="str">
        <x:f>IF(231&gt;$H$4,"",IF(INDEX('Fleet dates'!$F$9:$F$1008,$I239-8)="","",INDEX('Fleet dates'!$F$9:$F$1008,$I239-8)))</x:f>
      </x:c>
      <x:c r="G239" s="50" t="str">
        <x:f>IF(231&gt;$H$4,"",IF(INDEX('Fleet dates'!$G$9:$G$1008,$I239-8)="","",INDEX('Fleet dates'!$G$9:$G$1008,$I239-8)))</x:f>
      </x:c>
      <x:c r="H239" s="50" t="str">
        <x:f>IF(231&gt;$H$4,"",IF(INDEX('Fleet dates'!$I$9:$I$1008,$I239-8)="","",INDEX('Fleet dates'!$I$9:$I$1008,$I239-8)))</x:f>
      </x:c>
      <x:c r="I239" t="str">
        <x:f>IF(231&gt;$H$4,"",MATCH(231,'Fleet dates'!$M$9:$M$1008,0)+8)</x:f>
      </x:c>
    </x:row>
    <x:row r="240" ht="36" customHeight="1">
      <x:c r="A240" s="50" t="str">
        <x:f>IF(232&gt;$H$4,"",IF(INDEX('Fleet dates'!$A$9:$A$1008,$I240-8)="","",INDEX('Fleet dates'!$A$9:$A$1008,$I240-8)))</x:f>
      </x:c>
      <x:c r="B240" s="50" t="str">
        <x:f>IF(232&gt;$H$4,"",IF(INDEX('Fleet dates'!$B$9:$B$1008,$I240-8)="","",INDEX('Fleet dates'!$B$9:$B$1008,$I240-8)))</x:f>
      </x:c>
      <x:c r="C240" s="51" t="str">
        <x:f>IF(232&gt;$H$4,"",IF(INDEX('Fleet dates'!$C$9:$C$1008,$I240-8)="","",INDEX('Fleet dates'!$C$9:$C$1008,$I240-8)))</x:f>
      </x:c>
      <x:c r="D240" s="51" t="str">
        <x:f>IF(232&gt;$H$4,"",IF(INDEX('Fleet dates'!$D$9:$D$1008,$I240-8)="","",INDEX('Fleet dates'!$D$9:$D$1008,$I240-8)))</x:f>
      </x:c>
      <x:c r="E240" s="51" t="str">
        <x:f>IF(232&gt;$H$4,"",IF(INDEX('Fleet dates'!$E$9:$E$1008,$I240-8)="","",INDEX('Fleet dates'!$E$9:$E$1008,$I240-8)))</x:f>
      </x:c>
      <x:c r="F240" s="51" t="str">
        <x:f>IF(232&gt;$H$4,"",IF(INDEX('Fleet dates'!$F$9:$F$1008,$I240-8)="","",INDEX('Fleet dates'!$F$9:$F$1008,$I240-8)))</x:f>
      </x:c>
      <x:c r="G240" s="50" t="str">
        <x:f>IF(232&gt;$H$4,"",IF(INDEX('Fleet dates'!$G$9:$G$1008,$I240-8)="","",INDEX('Fleet dates'!$G$9:$G$1008,$I240-8)))</x:f>
      </x:c>
      <x:c r="H240" s="50" t="str">
        <x:f>IF(232&gt;$H$4,"",IF(INDEX('Fleet dates'!$I$9:$I$1008,$I240-8)="","",INDEX('Fleet dates'!$I$9:$I$1008,$I240-8)))</x:f>
      </x:c>
      <x:c r="I240" t="str">
        <x:f>IF(232&gt;$H$4,"",MATCH(232,'Fleet dates'!$M$9:$M$1008,0)+8)</x:f>
      </x:c>
    </x:row>
    <x:row r="241" ht="36" customHeight="1">
      <x:c r="A241" s="50" t="str">
        <x:f>IF(233&gt;$H$4,"",IF(INDEX('Fleet dates'!$A$9:$A$1008,$I241-8)="","",INDEX('Fleet dates'!$A$9:$A$1008,$I241-8)))</x:f>
      </x:c>
      <x:c r="B241" s="50" t="str">
        <x:f>IF(233&gt;$H$4,"",IF(INDEX('Fleet dates'!$B$9:$B$1008,$I241-8)="","",INDEX('Fleet dates'!$B$9:$B$1008,$I241-8)))</x:f>
      </x:c>
      <x:c r="C241" s="51" t="str">
        <x:f>IF(233&gt;$H$4,"",IF(INDEX('Fleet dates'!$C$9:$C$1008,$I241-8)="","",INDEX('Fleet dates'!$C$9:$C$1008,$I241-8)))</x:f>
      </x:c>
      <x:c r="D241" s="51" t="str">
        <x:f>IF(233&gt;$H$4,"",IF(INDEX('Fleet dates'!$D$9:$D$1008,$I241-8)="","",INDEX('Fleet dates'!$D$9:$D$1008,$I241-8)))</x:f>
      </x:c>
      <x:c r="E241" s="51" t="str">
        <x:f>IF(233&gt;$H$4,"",IF(INDEX('Fleet dates'!$E$9:$E$1008,$I241-8)="","",INDEX('Fleet dates'!$E$9:$E$1008,$I241-8)))</x:f>
      </x:c>
      <x:c r="F241" s="51" t="str">
        <x:f>IF(233&gt;$H$4,"",IF(INDEX('Fleet dates'!$F$9:$F$1008,$I241-8)="","",INDEX('Fleet dates'!$F$9:$F$1008,$I241-8)))</x:f>
      </x:c>
      <x:c r="G241" s="50" t="str">
        <x:f>IF(233&gt;$H$4,"",IF(INDEX('Fleet dates'!$G$9:$G$1008,$I241-8)="","",INDEX('Fleet dates'!$G$9:$G$1008,$I241-8)))</x:f>
      </x:c>
      <x:c r="H241" s="50" t="str">
        <x:f>IF(233&gt;$H$4,"",IF(INDEX('Fleet dates'!$I$9:$I$1008,$I241-8)="","",INDEX('Fleet dates'!$I$9:$I$1008,$I241-8)))</x:f>
      </x:c>
      <x:c r="I241" t="str">
        <x:f>IF(233&gt;$H$4,"",MATCH(233,'Fleet dates'!$M$9:$M$1008,0)+8)</x:f>
      </x:c>
    </x:row>
    <x:row r="242" ht="36" customHeight="1">
      <x:c r="A242" s="50" t="str">
        <x:f>IF(234&gt;$H$4,"",IF(INDEX('Fleet dates'!$A$9:$A$1008,$I242-8)="","",INDEX('Fleet dates'!$A$9:$A$1008,$I242-8)))</x:f>
      </x:c>
      <x:c r="B242" s="50" t="str">
        <x:f>IF(234&gt;$H$4,"",IF(INDEX('Fleet dates'!$B$9:$B$1008,$I242-8)="","",INDEX('Fleet dates'!$B$9:$B$1008,$I242-8)))</x:f>
      </x:c>
      <x:c r="C242" s="51" t="str">
        <x:f>IF(234&gt;$H$4,"",IF(INDEX('Fleet dates'!$C$9:$C$1008,$I242-8)="","",INDEX('Fleet dates'!$C$9:$C$1008,$I242-8)))</x:f>
      </x:c>
      <x:c r="D242" s="51" t="str">
        <x:f>IF(234&gt;$H$4,"",IF(INDEX('Fleet dates'!$D$9:$D$1008,$I242-8)="","",INDEX('Fleet dates'!$D$9:$D$1008,$I242-8)))</x:f>
      </x:c>
      <x:c r="E242" s="51" t="str">
        <x:f>IF(234&gt;$H$4,"",IF(INDEX('Fleet dates'!$E$9:$E$1008,$I242-8)="","",INDEX('Fleet dates'!$E$9:$E$1008,$I242-8)))</x:f>
      </x:c>
      <x:c r="F242" s="51" t="str">
        <x:f>IF(234&gt;$H$4,"",IF(INDEX('Fleet dates'!$F$9:$F$1008,$I242-8)="","",INDEX('Fleet dates'!$F$9:$F$1008,$I242-8)))</x:f>
      </x:c>
      <x:c r="G242" s="50" t="str">
        <x:f>IF(234&gt;$H$4,"",IF(INDEX('Fleet dates'!$G$9:$G$1008,$I242-8)="","",INDEX('Fleet dates'!$G$9:$G$1008,$I242-8)))</x:f>
      </x:c>
      <x:c r="H242" s="50" t="str">
        <x:f>IF(234&gt;$H$4,"",IF(INDEX('Fleet dates'!$I$9:$I$1008,$I242-8)="","",INDEX('Fleet dates'!$I$9:$I$1008,$I242-8)))</x:f>
      </x:c>
      <x:c r="I242" t="str">
        <x:f>IF(234&gt;$H$4,"",MATCH(234,'Fleet dates'!$M$9:$M$1008,0)+8)</x:f>
      </x:c>
    </x:row>
    <x:row r="243" ht="36" customHeight="1">
      <x:c r="A243" s="50" t="str">
        <x:f>IF(235&gt;$H$4,"",IF(INDEX('Fleet dates'!$A$9:$A$1008,$I243-8)="","",INDEX('Fleet dates'!$A$9:$A$1008,$I243-8)))</x:f>
      </x:c>
      <x:c r="B243" s="50" t="str">
        <x:f>IF(235&gt;$H$4,"",IF(INDEX('Fleet dates'!$B$9:$B$1008,$I243-8)="","",INDEX('Fleet dates'!$B$9:$B$1008,$I243-8)))</x:f>
      </x:c>
      <x:c r="C243" s="51" t="str">
        <x:f>IF(235&gt;$H$4,"",IF(INDEX('Fleet dates'!$C$9:$C$1008,$I243-8)="","",INDEX('Fleet dates'!$C$9:$C$1008,$I243-8)))</x:f>
      </x:c>
      <x:c r="D243" s="51" t="str">
        <x:f>IF(235&gt;$H$4,"",IF(INDEX('Fleet dates'!$D$9:$D$1008,$I243-8)="","",INDEX('Fleet dates'!$D$9:$D$1008,$I243-8)))</x:f>
      </x:c>
      <x:c r="E243" s="51" t="str">
        <x:f>IF(235&gt;$H$4,"",IF(INDEX('Fleet dates'!$E$9:$E$1008,$I243-8)="","",INDEX('Fleet dates'!$E$9:$E$1008,$I243-8)))</x:f>
      </x:c>
      <x:c r="F243" s="51" t="str">
        <x:f>IF(235&gt;$H$4,"",IF(INDEX('Fleet dates'!$F$9:$F$1008,$I243-8)="","",INDEX('Fleet dates'!$F$9:$F$1008,$I243-8)))</x:f>
      </x:c>
      <x:c r="G243" s="50" t="str">
        <x:f>IF(235&gt;$H$4,"",IF(INDEX('Fleet dates'!$G$9:$G$1008,$I243-8)="","",INDEX('Fleet dates'!$G$9:$G$1008,$I243-8)))</x:f>
      </x:c>
      <x:c r="H243" s="50" t="str">
        <x:f>IF(235&gt;$H$4,"",IF(INDEX('Fleet dates'!$I$9:$I$1008,$I243-8)="","",INDEX('Fleet dates'!$I$9:$I$1008,$I243-8)))</x:f>
      </x:c>
      <x:c r="I243" t="str">
        <x:f>IF(235&gt;$H$4,"",MATCH(235,'Fleet dates'!$M$9:$M$1008,0)+8)</x:f>
      </x:c>
    </x:row>
    <x:row r="244" ht="36" customHeight="1">
      <x:c r="A244" s="50" t="str">
        <x:f>IF(236&gt;$H$4,"",IF(INDEX('Fleet dates'!$A$9:$A$1008,$I244-8)="","",INDEX('Fleet dates'!$A$9:$A$1008,$I244-8)))</x:f>
      </x:c>
      <x:c r="B244" s="50" t="str">
        <x:f>IF(236&gt;$H$4,"",IF(INDEX('Fleet dates'!$B$9:$B$1008,$I244-8)="","",INDEX('Fleet dates'!$B$9:$B$1008,$I244-8)))</x:f>
      </x:c>
      <x:c r="C244" s="51" t="str">
        <x:f>IF(236&gt;$H$4,"",IF(INDEX('Fleet dates'!$C$9:$C$1008,$I244-8)="","",INDEX('Fleet dates'!$C$9:$C$1008,$I244-8)))</x:f>
      </x:c>
      <x:c r="D244" s="51" t="str">
        <x:f>IF(236&gt;$H$4,"",IF(INDEX('Fleet dates'!$D$9:$D$1008,$I244-8)="","",INDEX('Fleet dates'!$D$9:$D$1008,$I244-8)))</x:f>
      </x:c>
      <x:c r="E244" s="51" t="str">
        <x:f>IF(236&gt;$H$4,"",IF(INDEX('Fleet dates'!$E$9:$E$1008,$I244-8)="","",INDEX('Fleet dates'!$E$9:$E$1008,$I244-8)))</x:f>
      </x:c>
      <x:c r="F244" s="51" t="str">
        <x:f>IF(236&gt;$H$4,"",IF(INDEX('Fleet dates'!$F$9:$F$1008,$I244-8)="","",INDEX('Fleet dates'!$F$9:$F$1008,$I244-8)))</x:f>
      </x:c>
      <x:c r="G244" s="50" t="str">
        <x:f>IF(236&gt;$H$4,"",IF(INDEX('Fleet dates'!$G$9:$G$1008,$I244-8)="","",INDEX('Fleet dates'!$G$9:$G$1008,$I244-8)))</x:f>
      </x:c>
      <x:c r="H244" s="50" t="str">
        <x:f>IF(236&gt;$H$4,"",IF(INDEX('Fleet dates'!$I$9:$I$1008,$I244-8)="","",INDEX('Fleet dates'!$I$9:$I$1008,$I244-8)))</x:f>
      </x:c>
      <x:c r="I244" t="str">
        <x:f>IF(236&gt;$H$4,"",MATCH(236,'Fleet dates'!$M$9:$M$1008,0)+8)</x:f>
      </x:c>
    </x:row>
    <x:row r="245" ht="36" customHeight="1">
      <x:c r="A245" s="50" t="str">
        <x:f>IF(237&gt;$H$4,"",IF(INDEX('Fleet dates'!$A$9:$A$1008,$I245-8)="","",INDEX('Fleet dates'!$A$9:$A$1008,$I245-8)))</x:f>
      </x:c>
      <x:c r="B245" s="50" t="str">
        <x:f>IF(237&gt;$H$4,"",IF(INDEX('Fleet dates'!$B$9:$B$1008,$I245-8)="","",INDEX('Fleet dates'!$B$9:$B$1008,$I245-8)))</x:f>
      </x:c>
      <x:c r="C245" s="51" t="str">
        <x:f>IF(237&gt;$H$4,"",IF(INDEX('Fleet dates'!$C$9:$C$1008,$I245-8)="","",INDEX('Fleet dates'!$C$9:$C$1008,$I245-8)))</x:f>
      </x:c>
      <x:c r="D245" s="51" t="str">
        <x:f>IF(237&gt;$H$4,"",IF(INDEX('Fleet dates'!$D$9:$D$1008,$I245-8)="","",INDEX('Fleet dates'!$D$9:$D$1008,$I245-8)))</x:f>
      </x:c>
      <x:c r="E245" s="51" t="str">
        <x:f>IF(237&gt;$H$4,"",IF(INDEX('Fleet dates'!$E$9:$E$1008,$I245-8)="","",INDEX('Fleet dates'!$E$9:$E$1008,$I245-8)))</x:f>
      </x:c>
      <x:c r="F245" s="51" t="str">
        <x:f>IF(237&gt;$H$4,"",IF(INDEX('Fleet dates'!$F$9:$F$1008,$I245-8)="","",INDEX('Fleet dates'!$F$9:$F$1008,$I245-8)))</x:f>
      </x:c>
      <x:c r="G245" s="50" t="str">
        <x:f>IF(237&gt;$H$4,"",IF(INDEX('Fleet dates'!$G$9:$G$1008,$I245-8)="","",INDEX('Fleet dates'!$G$9:$G$1008,$I245-8)))</x:f>
      </x:c>
      <x:c r="H245" s="50" t="str">
        <x:f>IF(237&gt;$H$4,"",IF(INDEX('Fleet dates'!$I$9:$I$1008,$I245-8)="","",INDEX('Fleet dates'!$I$9:$I$1008,$I245-8)))</x:f>
      </x:c>
      <x:c r="I245" t="str">
        <x:f>IF(237&gt;$H$4,"",MATCH(237,'Fleet dates'!$M$9:$M$1008,0)+8)</x:f>
      </x:c>
    </x:row>
    <x:row r="246" ht="36" customHeight="1">
      <x:c r="A246" s="50" t="str">
        <x:f>IF(238&gt;$H$4,"",IF(INDEX('Fleet dates'!$A$9:$A$1008,$I246-8)="","",INDEX('Fleet dates'!$A$9:$A$1008,$I246-8)))</x:f>
      </x:c>
      <x:c r="B246" s="50" t="str">
        <x:f>IF(238&gt;$H$4,"",IF(INDEX('Fleet dates'!$B$9:$B$1008,$I246-8)="","",INDEX('Fleet dates'!$B$9:$B$1008,$I246-8)))</x:f>
      </x:c>
      <x:c r="C246" s="51" t="str">
        <x:f>IF(238&gt;$H$4,"",IF(INDEX('Fleet dates'!$C$9:$C$1008,$I246-8)="","",INDEX('Fleet dates'!$C$9:$C$1008,$I246-8)))</x:f>
      </x:c>
      <x:c r="D246" s="51" t="str">
        <x:f>IF(238&gt;$H$4,"",IF(INDEX('Fleet dates'!$D$9:$D$1008,$I246-8)="","",INDEX('Fleet dates'!$D$9:$D$1008,$I246-8)))</x:f>
      </x:c>
      <x:c r="E246" s="51" t="str">
        <x:f>IF(238&gt;$H$4,"",IF(INDEX('Fleet dates'!$E$9:$E$1008,$I246-8)="","",INDEX('Fleet dates'!$E$9:$E$1008,$I246-8)))</x:f>
      </x:c>
      <x:c r="F246" s="51" t="str">
        <x:f>IF(238&gt;$H$4,"",IF(INDEX('Fleet dates'!$F$9:$F$1008,$I246-8)="","",INDEX('Fleet dates'!$F$9:$F$1008,$I246-8)))</x:f>
      </x:c>
      <x:c r="G246" s="50" t="str">
        <x:f>IF(238&gt;$H$4,"",IF(INDEX('Fleet dates'!$G$9:$G$1008,$I246-8)="","",INDEX('Fleet dates'!$G$9:$G$1008,$I246-8)))</x:f>
      </x:c>
      <x:c r="H246" s="50" t="str">
        <x:f>IF(238&gt;$H$4,"",IF(INDEX('Fleet dates'!$I$9:$I$1008,$I246-8)="","",INDEX('Fleet dates'!$I$9:$I$1008,$I246-8)))</x:f>
      </x:c>
      <x:c r="I246" t="str">
        <x:f>IF(238&gt;$H$4,"",MATCH(238,'Fleet dates'!$M$9:$M$1008,0)+8)</x:f>
      </x:c>
    </x:row>
    <x:row r="247" ht="36" customHeight="1">
      <x:c r="A247" s="50" t="str">
        <x:f>IF(239&gt;$H$4,"",IF(INDEX('Fleet dates'!$A$9:$A$1008,$I247-8)="","",INDEX('Fleet dates'!$A$9:$A$1008,$I247-8)))</x:f>
      </x:c>
      <x:c r="B247" s="50" t="str">
        <x:f>IF(239&gt;$H$4,"",IF(INDEX('Fleet dates'!$B$9:$B$1008,$I247-8)="","",INDEX('Fleet dates'!$B$9:$B$1008,$I247-8)))</x:f>
      </x:c>
      <x:c r="C247" s="51" t="str">
        <x:f>IF(239&gt;$H$4,"",IF(INDEX('Fleet dates'!$C$9:$C$1008,$I247-8)="","",INDEX('Fleet dates'!$C$9:$C$1008,$I247-8)))</x:f>
      </x:c>
      <x:c r="D247" s="51" t="str">
        <x:f>IF(239&gt;$H$4,"",IF(INDEX('Fleet dates'!$D$9:$D$1008,$I247-8)="","",INDEX('Fleet dates'!$D$9:$D$1008,$I247-8)))</x:f>
      </x:c>
      <x:c r="E247" s="51" t="str">
        <x:f>IF(239&gt;$H$4,"",IF(INDEX('Fleet dates'!$E$9:$E$1008,$I247-8)="","",INDEX('Fleet dates'!$E$9:$E$1008,$I247-8)))</x:f>
      </x:c>
      <x:c r="F247" s="51" t="str">
        <x:f>IF(239&gt;$H$4,"",IF(INDEX('Fleet dates'!$F$9:$F$1008,$I247-8)="","",INDEX('Fleet dates'!$F$9:$F$1008,$I247-8)))</x:f>
      </x:c>
      <x:c r="G247" s="50" t="str">
        <x:f>IF(239&gt;$H$4,"",IF(INDEX('Fleet dates'!$G$9:$G$1008,$I247-8)="","",INDEX('Fleet dates'!$G$9:$G$1008,$I247-8)))</x:f>
      </x:c>
      <x:c r="H247" s="50" t="str">
        <x:f>IF(239&gt;$H$4,"",IF(INDEX('Fleet dates'!$I$9:$I$1008,$I247-8)="","",INDEX('Fleet dates'!$I$9:$I$1008,$I247-8)))</x:f>
      </x:c>
      <x:c r="I247" t="str">
        <x:f>IF(239&gt;$H$4,"",MATCH(239,'Fleet dates'!$M$9:$M$1008,0)+8)</x:f>
      </x:c>
    </x:row>
    <x:row r="248" ht="36" customHeight="1">
      <x:c r="A248" s="50" t="str">
        <x:f>IF(240&gt;$H$4,"",IF(INDEX('Fleet dates'!$A$9:$A$1008,$I248-8)="","",INDEX('Fleet dates'!$A$9:$A$1008,$I248-8)))</x:f>
      </x:c>
      <x:c r="B248" s="50" t="str">
        <x:f>IF(240&gt;$H$4,"",IF(INDEX('Fleet dates'!$B$9:$B$1008,$I248-8)="","",INDEX('Fleet dates'!$B$9:$B$1008,$I248-8)))</x:f>
      </x:c>
      <x:c r="C248" s="51" t="str">
        <x:f>IF(240&gt;$H$4,"",IF(INDEX('Fleet dates'!$C$9:$C$1008,$I248-8)="","",INDEX('Fleet dates'!$C$9:$C$1008,$I248-8)))</x:f>
      </x:c>
      <x:c r="D248" s="51" t="str">
        <x:f>IF(240&gt;$H$4,"",IF(INDEX('Fleet dates'!$D$9:$D$1008,$I248-8)="","",INDEX('Fleet dates'!$D$9:$D$1008,$I248-8)))</x:f>
      </x:c>
      <x:c r="E248" s="51" t="str">
        <x:f>IF(240&gt;$H$4,"",IF(INDEX('Fleet dates'!$E$9:$E$1008,$I248-8)="","",INDEX('Fleet dates'!$E$9:$E$1008,$I248-8)))</x:f>
      </x:c>
      <x:c r="F248" s="51" t="str">
        <x:f>IF(240&gt;$H$4,"",IF(INDEX('Fleet dates'!$F$9:$F$1008,$I248-8)="","",INDEX('Fleet dates'!$F$9:$F$1008,$I248-8)))</x:f>
      </x:c>
      <x:c r="G248" s="50" t="str">
        <x:f>IF(240&gt;$H$4,"",IF(INDEX('Fleet dates'!$G$9:$G$1008,$I248-8)="","",INDEX('Fleet dates'!$G$9:$G$1008,$I248-8)))</x:f>
      </x:c>
      <x:c r="H248" s="50" t="str">
        <x:f>IF(240&gt;$H$4,"",IF(INDEX('Fleet dates'!$I$9:$I$1008,$I248-8)="","",INDEX('Fleet dates'!$I$9:$I$1008,$I248-8)))</x:f>
      </x:c>
      <x:c r="I248" t="str">
        <x:f>IF(240&gt;$H$4,"",MATCH(240,'Fleet dates'!$M$9:$M$1008,0)+8)</x:f>
      </x:c>
    </x:row>
    <x:row r="249" ht="36" customHeight="1">
      <x:c r="A249" s="50" t="str">
        <x:f>IF(241&gt;$H$4,"",IF(INDEX('Fleet dates'!$A$9:$A$1008,$I249-8)="","",INDEX('Fleet dates'!$A$9:$A$1008,$I249-8)))</x:f>
      </x:c>
      <x:c r="B249" s="50" t="str">
        <x:f>IF(241&gt;$H$4,"",IF(INDEX('Fleet dates'!$B$9:$B$1008,$I249-8)="","",INDEX('Fleet dates'!$B$9:$B$1008,$I249-8)))</x:f>
      </x:c>
      <x:c r="C249" s="51" t="str">
        <x:f>IF(241&gt;$H$4,"",IF(INDEX('Fleet dates'!$C$9:$C$1008,$I249-8)="","",INDEX('Fleet dates'!$C$9:$C$1008,$I249-8)))</x:f>
      </x:c>
      <x:c r="D249" s="51" t="str">
        <x:f>IF(241&gt;$H$4,"",IF(INDEX('Fleet dates'!$D$9:$D$1008,$I249-8)="","",INDEX('Fleet dates'!$D$9:$D$1008,$I249-8)))</x:f>
      </x:c>
      <x:c r="E249" s="51" t="str">
        <x:f>IF(241&gt;$H$4,"",IF(INDEX('Fleet dates'!$E$9:$E$1008,$I249-8)="","",INDEX('Fleet dates'!$E$9:$E$1008,$I249-8)))</x:f>
      </x:c>
      <x:c r="F249" s="51" t="str">
        <x:f>IF(241&gt;$H$4,"",IF(INDEX('Fleet dates'!$F$9:$F$1008,$I249-8)="","",INDEX('Fleet dates'!$F$9:$F$1008,$I249-8)))</x:f>
      </x:c>
      <x:c r="G249" s="50" t="str">
        <x:f>IF(241&gt;$H$4,"",IF(INDEX('Fleet dates'!$G$9:$G$1008,$I249-8)="","",INDEX('Fleet dates'!$G$9:$G$1008,$I249-8)))</x:f>
      </x:c>
      <x:c r="H249" s="50" t="str">
        <x:f>IF(241&gt;$H$4,"",IF(INDEX('Fleet dates'!$I$9:$I$1008,$I249-8)="","",INDEX('Fleet dates'!$I$9:$I$1008,$I249-8)))</x:f>
      </x:c>
      <x:c r="I249" t="str">
        <x:f>IF(241&gt;$H$4,"",MATCH(241,'Fleet dates'!$M$9:$M$1008,0)+8)</x:f>
      </x:c>
    </x:row>
    <x:row r="250" ht="36" customHeight="1">
      <x:c r="A250" s="50" t="str">
        <x:f>IF(242&gt;$H$4,"",IF(INDEX('Fleet dates'!$A$9:$A$1008,$I250-8)="","",INDEX('Fleet dates'!$A$9:$A$1008,$I250-8)))</x:f>
      </x:c>
      <x:c r="B250" s="50" t="str">
        <x:f>IF(242&gt;$H$4,"",IF(INDEX('Fleet dates'!$B$9:$B$1008,$I250-8)="","",INDEX('Fleet dates'!$B$9:$B$1008,$I250-8)))</x:f>
      </x:c>
      <x:c r="C250" s="51" t="str">
        <x:f>IF(242&gt;$H$4,"",IF(INDEX('Fleet dates'!$C$9:$C$1008,$I250-8)="","",INDEX('Fleet dates'!$C$9:$C$1008,$I250-8)))</x:f>
      </x:c>
      <x:c r="D250" s="51" t="str">
        <x:f>IF(242&gt;$H$4,"",IF(INDEX('Fleet dates'!$D$9:$D$1008,$I250-8)="","",INDEX('Fleet dates'!$D$9:$D$1008,$I250-8)))</x:f>
      </x:c>
      <x:c r="E250" s="51" t="str">
        <x:f>IF(242&gt;$H$4,"",IF(INDEX('Fleet dates'!$E$9:$E$1008,$I250-8)="","",INDEX('Fleet dates'!$E$9:$E$1008,$I250-8)))</x:f>
      </x:c>
      <x:c r="F250" s="51" t="str">
        <x:f>IF(242&gt;$H$4,"",IF(INDEX('Fleet dates'!$F$9:$F$1008,$I250-8)="","",INDEX('Fleet dates'!$F$9:$F$1008,$I250-8)))</x:f>
      </x:c>
      <x:c r="G250" s="50" t="str">
        <x:f>IF(242&gt;$H$4,"",IF(INDEX('Fleet dates'!$G$9:$G$1008,$I250-8)="","",INDEX('Fleet dates'!$G$9:$G$1008,$I250-8)))</x:f>
      </x:c>
      <x:c r="H250" s="50" t="str">
        <x:f>IF(242&gt;$H$4,"",IF(INDEX('Fleet dates'!$I$9:$I$1008,$I250-8)="","",INDEX('Fleet dates'!$I$9:$I$1008,$I250-8)))</x:f>
      </x:c>
      <x:c r="I250" t="str">
        <x:f>IF(242&gt;$H$4,"",MATCH(242,'Fleet dates'!$M$9:$M$1008,0)+8)</x:f>
      </x:c>
    </x:row>
    <x:row r="251" ht="36" customHeight="1">
      <x:c r="A251" s="50" t="str">
        <x:f>IF(243&gt;$H$4,"",IF(INDEX('Fleet dates'!$A$9:$A$1008,$I251-8)="","",INDEX('Fleet dates'!$A$9:$A$1008,$I251-8)))</x:f>
      </x:c>
      <x:c r="B251" s="50" t="str">
        <x:f>IF(243&gt;$H$4,"",IF(INDEX('Fleet dates'!$B$9:$B$1008,$I251-8)="","",INDEX('Fleet dates'!$B$9:$B$1008,$I251-8)))</x:f>
      </x:c>
      <x:c r="C251" s="51" t="str">
        <x:f>IF(243&gt;$H$4,"",IF(INDEX('Fleet dates'!$C$9:$C$1008,$I251-8)="","",INDEX('Fleet dates'!$C$9:$C$1008,$I251-8)))</x:f>
      </x:c>
      <x:c r="D251" s="51" t="str">
        <x:f>IF(243&gt;$H$4,"",IF(INDEX('Fleet dates'!$D$9:$D$1008,$I251-8)="","",INDEX('Fleet dates'!$D$9:$D$1008,$I251-8)))</x:f>
      </x:c>
      <x:c r="E251" s="51" t="str">
        <x:f>IF(243&gt;$H$4,"",IF(INDEX('Fleet dates'!$E$9:$E$1008,$I251-8)="","",INDEX('Fleet dates'!$E$9:$E$1008,$I251-8)))</x:f>
      </x:c>
      <x:c r="F251" s="51" t="str">
        <x:f>IF(243&gt;$H$4,"",IF(INDEX('Fleet dates'!$F$9:$F$1008,$I251-8)="","",INDEX('Fleet dates'!$F$9:$F$1008,$I251-8)))</x:f>
      </x:c>
      <x:c r="G251" s="50" t="str">
        <x:f>IF(243&gt;$H$4,"",IF(INDEX('Fleet dates'!$G$9:$G$1008,$I251-8)="","",INDEX('Fleet dates'!$G$9:$G$1008,$I251-8)))</x:f>
      </x:c>
      <x:c r="H251" s="50" t="str">
        <x:f>IF(243&gt;$H$4,"",IF(INDEX('Fleet dates'!$I$9:$I$1008,$I251-8)="","",INDEX('Fleet dates'!$I$9:$I$1008,$I251-8)))</x:f>
      </x:c>
      <x:c r="I251" t="str">
        <x:f>IF(243&gt;$H$4,"",MATCH(243,'Fleet dates'!$M$9:$M$1008,0)+8)</x:f>
      </x:c>
    </x:row>
    <x:row r="252" ht="36" customHeight="1">
      <x:c r="A252" s="50" t="str">
        <x:f>IF(244&gt;$H$4,"",IF(INDEX('Fleet dates'!$A$9:$A$1008,$I252-8)="","",INDEX('Fleet dates'!$A$9:$A$1008,$I252-8)))</x:f>
      </x:c>
      <x:c r="B252" s="50" t="str">
        <x:f>IF(244&gt;$H$4,"",IF(INDEX('Fleet dates'!$B$9:$B$1008,$I252-8)="","",INDEX('Fleet dates'!$B$9:$B$1008,$I252-8)))</x:f>
      </x:c>
      <x:c r="C252" s="51" t="str">
        <x:f>IF(244&gt;$H$4,"",IF(INDEX('Fleet dates'!$C$9:$C$1008,$I252-8)="","",INDEX('Fleet dates'!$C$9:$C$1008,$I252-8)))</x:f>
      </x:c>
      <x:c r="D252" s="51" t="str">
        <x:f>IF(244&gt;$H$4,"",IF(INDEX('Fleet dates'!$D$9:$D$1008,$I252-8)="","",INDEX('Fleet dates'!$D$9:$D$1008,$I252-8)))</x:f>
      </x:c>
      <x:c r="E252" s="51" t="str">
        <x:f>IF(244&gt;$H$4,"",IF(INDEX('Fleet dates'!$E$9:$E$1008,$I252-8)="","",INDEX('Fleet dates'!$E$9:$E$1008,$I252-8)))</x:f>
      </x:c>
      <x:c r="F252" s="51" t="str">
        <x:f>IF(244&gt;$H$4,"",IF(INDEX('Fleet dates'!$F$9:$F$1008,$I252-8)="","",INDEX('Fleet dates'!$F$9:$F$1008,$I252-8)))</x:f>
      </x:c>
      <x:c r="G252" s="50" t="str">
        <x:f>IF(244&gt;$H$4,"",IF(INDEX('Fleet dates'!$G$9:$G$1008,$I252-8)="","",INDEX('Fleet dates'!$G$9:$G$1008,$I252-8)))</x:f>
      </x:c>
      <x:c r="H252" s="50" t="str">
        <x:f>IF(244&gt;$H$4,"",IF(INDEX('Fleet dates'!$I$9:$I$1008,$I252-8)="","",INDEX('Fleet dates'!$I$9:$I$1008,$I252-8)))</x:f>
      </x:c>
      <x:c r="I252" t="str">
        <x:f>IF(244&gt;$H$4,"",MATCH(244,'Fleet dates'!$M$9:$M$1008,0)+8)</x:f>
      </x:c>
    </x:row>
    <x:row r="253" ht="36" customHeight="1">
      <x:c r="A253" s="50" t="str">
        <x:f>IF(245&gt;$H$4,"",IF(INDEX('Fleet dates'!$A$9:$A$1008,$I253-8)="","",INDEX('Fleet dates'!$A$9:$A$1008,$I253-8)))</x:f>
      </x:c>
      <x:c r="B253" s="50" t="str">
        <x:f>IF(245&gt;$H$4,"",IF(INDEX('Fleet dates'!$B$9:$B$1008,$I253-8)="","",INDEX('Fleet dates'!$B$9:$B$1008,$I253-8)))</x:f>
      </x:c>
      <x:c r="C253" s="51" t="str">
        <x:f>IF(245&gt;$H$4,"",IF(INDEX('Fleet dates'!$C$9:$C$1008,$I253-8)="","",INDEX('Fleet dates'!$C$9:$C$1008,$I253-8)))</x:f>
      </x:c>
      <x:c r="D253" s="51" t="str">
        <x:f>IF(245&gt;$H$4,"",IF(INDEX('Fleet dates'!$D$9:$D$1008,$I253-8)="","",INDEX('Fleet dates'!$D$9:$D$1008,$I253-8)))</x:f>
      </x:c>
      <x:c r="E253" s="51" t="str">
        <x:f>IF(245&gt;$H$4,"",IF(INDEX('Fleet dates'!$E$9:$E$1008,$I253-8)="","",INDEX('Fleet dates'!$E$9:$E$1008,$I253-8)))</x:f>
      </x:c>
      <x:c r="F253" s="51" t="str">
        <x:f>IF(245&gt;$H$4,"",IF(INDEX('Fleet dates'!$F$9:$F$1008,$I253-8)="","",INDEX('Fleet dates'!$F$9:$F$1008,$I253-8)))</x:f>
      </x:c>
      <x:c r="G253" s="50" t="str">
        <x:f>IF(245&gt;$H$4,"",IF(INDEX('Fleet dates'!$G$9:$G$1008,$I253-8)="","",INDEX('Fleet dates'!$G$9:$G$1008,$I253-8)))</x:f>
      </x:c>
      <x:c r="H253" s="50" t="str">
        <x:f>IF(245&gt;$H$4,"",IF(INDEX('Fleet dates'!$I$9:$I$1008,$I253-8)="","",INDEX('Fleet dates'!$I$9:$I$1008,$I253-8)))</x:f>
      </x:c>
      <x:c r="I253" t="str">
        <x:f>IF(245&gt;$H$4,"",MATCH(245,'Fleet dates'!$M$9:$M$1008,0)+8)</x:f>
      </x:c>
    </x:row>
    <x:row r="254" ht="36" customHeight="1">
      <x:c r="A254" s="50" t="str">
        <x:f>IF(246&gt;$H$4,"",IF(INDEX('Fleet dates'!$A$9:$A$1008,$I254-8)="","",INDEX('Fleet dates'!$A$9:$A$1008,$I254-8)))</x:f>
      </x:c>
      <x:c r="B254" s="50" t="str">
        <x:f>IF(246&gt;$H$4,"",IF(INDEX('Fleet dates'!$B$9:$B$1008,$I254-8)="","",INDEX('Fleet dates'!$B$9:$B$1008,$I254-8)))</x:f>
      </x:c>
      <x:c r="C254" s="51" t="str">
        <x:f>IF(246&gt;$H$4,"",IF(INDEX('Fleet dates'!$C$9:$C$1008,$I254-8)="","",INDEX('Fleet dates'!$C$9:$C$1008,$I254-8)))</x:f>
      </x:c>
      <x:c r="D254" s="51" t="str">
        <x:f>IF(246&gt;$H$4,"",IF(INDEX('Fleet dates'!$D$9:$D$1008,$I254-8)="","",INDEX('Fleet dates'!$D$9:$D$1008,$I254-8)))</x:f>
      </x:c>
      <x:c r="E254" s="51" t="str">
        <x:f>IF(246&gt;$H$4,"",IF(INDEX('Fleet dates'!$E$9:$E$1008,$I254-8)="","",INDEX('Fleet dates'!$E$9:$E$1008,$I254-8)))</x:f>
      </x:c>
      <x:c r="F254" s="51" t="str">
        <x:f>IF(246&gt;$H$4,"",IF(INDEX('Fleet dates'!$F$9:$F$1008,$I254-8)="","",INDEX('Fleet dates'!$F$9:$F$1008,$I254-8)))</x:f>
      </x:c>
      <x:c r="G254" s="50" t="str">
        <x:f>IF(246&gt;$H$4,"",IF(INDEX('Fleet dates'!$G$9:$G$1008,$I254-8)="","",INDEX('Fleet dates'!$G$9:$G$1008,$I254-8)))</x:f>
      </x:c>
      <x:c r="H254" s="50" t="str">
        <x:f>IF(246&gt;$H$4,"",IF(INDEX('Fleet dates'!$I$9:$I$1008,$I254-8)="","",INDEX('Fleet dates'!$I$9:$I$1008,$I254-8)))</x:f>
      </x:c>
      <x:c r="I254" t="str">
        <x:f>IF(246&gt;$H$4,"",MATCH(246,'Fleet dates'!$M$9:$M$1008,0)+8)</x:f>
      </x:c>
    </x:row>
    <x:row r="255" ht="36" customHeight="1">
      <x:c r="A255" s="50" t="str">
        <x:f>IF(247&gt;$H$4,"",IF(INDEX('Fleet dates'!$A$9:$A$1008,$I255-8)="","",INDEX('Fleet dates'!$A$9:$A$1008,$I255-8)))</x:f>
      </x:c>
      <x:c r="B255" s="50" t="str">
        <x:f>IF(247&gt;$H$4,"",IF(INDEX('Fleet dates'!$B$9:$B$1008,$I255-8)="","",INDEX('Fleet dates'!$B$9:$B$1008,$I255-8)))</x:f>
      </x:c>
      <x:c r="C255" s="51" t="str">
        <x:f>IF(247&gt;$H$4,"",IF(INDEX('Fleet dates'!$C$9:$C$1008,$I255-8)="","",INDEX('Fleet dates'!$C$9:$C$1008,$I255-8)))</x:f>
      </x:c>
      <x:c r="D255" s="51" t="str">
        <x:f>IF(247&gt;$H$4,"",IF(INDEX('Fleet dates'!$D$9:$D$1008,$I255-8)="","",INDEX('Fleet dates'!$D$9:$D$1008,$I255-8)))</x:f>
      </x:c>
      <x:c r="E255" s="51" t="str">
        <x:f>IF(247&gt;$H$4,"",IF(INDEX('Fleet dates'!$E$9:$E$1008,$I255-8)="","",INDEX('Fleet dates'!$E$9:$E$1008,$I255-8)))</x:f>
      </x:c>
      <x:c r="F255" s="51" t="str">
        <x:f>IF(247&gt;$H$4,"",IF(INDEX('Fleet dates'!$F$9:$F$1008,$I255-8)="","",INDEX('Fleet dates'!$F$9:$F$1008,$I255-8)))</x:f>
      </x:c>
      <x:c r="G255" s="50" t="str">
        <x:f>IF(247&gt;$H$4,"",IF(INDEX('Fleet dates'!$G$9:$G$1008,$I255-8)="","",INDEX('Fleet dates'!$G$9:$G$1008,$I255-8)))</x:f>
      </x:c>
      <x:c r="H255" s="50" t="str">
        <x:f>IF(247&gt;$H$4,"",IF(INDEX('Fleet dates'!$I$9:$I$1008,$I255-8)="","",INDEX('Fleet dates'!$I$9:$I$1008,$I255-8)))</x:f>
      </x:c>
      <x:c r="I255" t="str">
        <x:f>IF(247&gt;$H$4,"",MATCH(247,'Fleet dates'!$M$9:$M$1008,0)+8)</x:f>
      </x:c>
    </x:row>
    <x:row r="256" ht="36" customHeight="1">
      <x:c r="A256" s="50" t="str">
        <x:f>IF(248&gt;$H$4,"",IF(INDEX('Fleet dates'!$A$9:$A$1008,$I256-8)="","",INDEX('Fleet dates'!$A$9:$A$1008,$I256-8)))</x:f>
      </x:c>
      <x:c r="B256" s="50" t="str">
        <x:f>IF(248&gt;$H$4,"",IF(INDEX('Fleet dates'!$B$9:$B$1008,$I256-8)="","",INDEX('Fleet dates'!$B$9:$B$1008,$I256-8)))</x:f>
      </x:c>
      <x:c r="C256" s="51" t="str">
        <x:f>IF(248&gt;$H$4,"",IF(INDEX('Fleet dates'!$C$9:$C$1008,$I256-8)="","",INDEX('Fleet dates'!$C$9:$C$1008,$I256-8)))</x:f>
      </x:c>
      <x:c r="D256" s="51" t="str">
        <x:f>IF(248&gt;$H$4,"",IF(INDEX('Fleet dates'!$D$9:$D$1008,$I256-8)="","",INDEX('Fleet dates'!$D$9:$D$1008,$I256-8)))</x:f>
      </x:c>
      <x:c r="E256" s="51" t="str">
        <x:f>IF(248&gt;$H$4,"",IF(INDEX('Fleet dates'!$E$9:$E$1008,$I256-8)="","",INDEX('Fleet dates'!$E$9:$E$1008,$I256-8)))</x:f>
      </x:c>
      <x:c r="F256" s="51" t="str">
        <x:f>IF(248&gt;$H$4,"",IF(INDEX('Fleet dates'!$F$9:$F$1008,$I256-8)="","",INDEX('Fleet dates'!$F$9:$F$1008,$I256-8)))</x:f>
      </x:c>
      <x:c r="G256" s="50" t="str">
        <x:f>IF(248&gt;$H$4,"",IF(INDEX('Fleet dates'!$G$9:$G$1008,$I256-8)="","",INDEX('Fleet dates'!$G$9:$G$1008,$I256-8)))</x:f>
      </x:c>
      <x:c r="H256" s="50" t="str">
        <x:f>IF(248&gt;$H$4,"",IF(INDEX('Fleet dates'!$I$9:$I$1008,$I256-8)="","",INDEX('Fleet dates'!$I$9:$I$1008,$I256-8)))</x:f>
      </x:c>
      <x:c r="I256" t="str">
        <x:f>IF(248&gt;$H$4,"",MATCH(248,'Fleet dates'!$M$9:$M$1008,0)+8)</x:f>
      </x:c>
    </x:row>
    <x:row r="257" ht="36" customHeight="1">
      <x:c r="A257" s="50" t="str">
        <x:f>IF(249&gt;$H$4,"",IF(INDEX('Fleet dates'!$A$9:$A$1008,$I257-8)="","",INDEX('Fleet dates'!$A$9:$A$1008,$I257-8)))</x:f>
      </x:c>
      <x:c r="B257" s="50" t="str">
        <x:f>IF(249&gt;$H$4,"",IF(INDEX('Fleet dates'!$B$9:$B$1008,$I257-8)="","",INDEX('Fleet dates'!$B$9:$B$1008,$I257-8)))</x:f>
      </x:c>
      <x:c r="C257" s="51" t="str">
        <x:f>IF(249&gt;$H$4,"",IF(INDEX('Fleet dates'!$C$9:$C$1008,$I257-8)="","",INDEX('Fleet dates'!$C$9:$C$1008,$I257-8)))</x:f>
      </x:c>
      <x:c r="D257" s="51" t="str">
        <x:f>IF(249&gt;$H$4,"",IF(INDEX('Fleet dates'!$D$9:$D$1008,$I257-8)="","",INDEX('Fleet dates'!$D$9:$D$1008,$I257-8)))</x:f>
      </x:c>
      <x:c r="E257" s="51" t="str">
        <x:f>IF(249&gt;$H$4,"",IF(INDEX('Fleet dates'!$E$9:$E$1008,$I257-8)="","",INDEX('Fleet dates'!$E$9:$E$1008,$I257-8)))</x:f>
      </x:c>
      <x:c r="F257" s="51" t="str">
        <x:f>IF(249&gt;$H$4,"",IF(INDEX('Fleet dates'!$F$9:$F$1008,$I257-8)="","",INDEX('Fleet dates'!$F$9:$F$1008,$I257-8)))</x:f>
      </x:c>
      <x:c r="G257" s="50" t="str">
        <x:f>IF(249&gt;$H$4,"",IF(INDEX('Fleet dates'!$G$9:$G$1008,$I257-8)="","",INDEX('Fleet dates'!$G$9:$G$1008,$I257-8)))</x:f>
      </x:c>
      <x:c r="H257" s="50" t="str">
        <x:f>IF(249&gt;$H$4,"",IF(INDEX('Fleet dates'!$I$9:$I$1008,$I257-8)="","",INDEX('Fleet dates'!$I$9:$I$1008,$I257-8)))</x:f>
      </x:c>
      <x:c r="I257" t="str">
        <x:f>IF(249&gt;$H$4,"",MATCH(249,'Fleet dates'!$M$9:$M$1008,0)+8)</x:f>
      </x:c>
    </x:row>
    <x:row r="258" ht="36" customHeight="1">
      <x:c r="A258" s="50" t="str">
        <x:f>IF(250&gt;$H$4,"",IF(INDEX('Fleet dates'!$A$9:$A$1008,$I258-8)="","",INDEX('Fleet dates'!$A$9:$A$1008,$I258-8)))</x:f>
      </x:c>
      <x:c r="B258" s="50" t="str">
        <x:f>IF(250&gt;$H$4,"",IF(INDEX('Fleet dates'!$B$9:$B$1008,$I258-8)="","",INDEX('Fleet dates'!$B$9:$B$1008,$I258-8)))</x:f>
      </x:c>
      <x:c r="C258" s="51" t="str">
        <x:f>IF(250&gt;$H$4,"",IF(INDEX('Fleet dates'!$C$9:$C$1008,$I258-8)="","",INDEX('Fleet dates'!$C$9:$C$1008,$I258-8)))</x:f>
      </x:c>
      <x:c r="D258" s="51" t="str">
        <x:f>IF(250&gt;$H$4,"",IF(INDEX('Fleet dates'!$D$9:$D$1008,$I258-8)="","",INDEX('Fleet dates'!$D$9:$D$1008,$I258-8)))</x:f>
      </x:c>
      <x:c r="E258" s="51" t="str">
        <x:f>IF(250&gt;$H$4,"",IF(INDEX('Fleet dates'!$E$9:$E$1008,$I258-8)="","",INDEX('Fleet dates'!$E$9:$E$1008,$I258-8)))</x:f>
      </x:c>
      <x:c r="F258" s="51" t="str">
        <x:f>IF(250&gt;$H$4,"",IF(INDEX('Fleet dates'!$F$9:$F$1008,$I258-8)="","",INDEX('Fleet dates'!$F$9:$F$1008,$I258-8)))</x:f>
      </x:c>
      <x:c r="G258" s="50" t="str">
        <x:f>IF(250&gt;$H$4,"",IF(INDEX('Fleet dates'!$G$9:$G$1008,$I258-8)="","",INDEX('Fleet dates'!$G$9:$G$1008,$I258-8)))</x:f>
      </x:c>
      <x:c r="H258" s="50" t="str">
        <x:f>IF(250&gt;$H$4,"",IF(INDEX('Fleet dates'!$I$9:$I$1008,$I258-8)="","",INDEX('Fleet dates'!$I$9:$I$1008,$I258-8)))</x:f>
      </x:c>
      <x:c r="I258" t="str">
        <x:f>IF(250&gt;$H$4,"",MATCH(250,'Fleet dates'!$M$9:$M$1008,0)+8)</x:f>
      </x:c>
    </x:row>
    <x:row r="259" ht="36" customHeight="1">
      <x:c r="A259" s="50" t="str">
        <x:f>IF(251&gt;$H$4,"",IF(INDEX('Fleet dates'!$A$9:$A$1008,$I259-8)="","",INDEX('Fleet dates'!$A$9:$A$1008,$I259-8)))</x:f>
      </x:c>
      <x:c r="B259" s="50" t="str">
        <x:f>IF(251&gt;$H$4,"",IF(INDEX('Fleet dates'!$B$9:$B$1008,$I259-8)="","",INDEX('Fleet dates'!$B$9:$B$1008,$I259-8)))</x:f>
      </x:c>
      <x:c r="C259" s="51" t="str">
        <x:f>IF(251&gt;$H$4,"",IF(INDEX('Fleet dates'!$C$9:$C$1008,$I259-8)="","",INDEX('Fleet dates'!$C$9:$C$1008,$I259-8)))</x:f>
      </x:c>
      <x:c r="D259" s="51" t="str">
        <x:f>IF(251&gt;$H$4,"",IF(INDEX('Fleet dates'!$D$9:$D$1008,$I259-8)="","",INDEX('Fleet dates'!$D$9:$D$1008,$I259-8)))</x:f>
      </x:c>
      <x:c r="E259" s="51" t="str">
        <x:f>IF(251&gt;$H$4,"",IF(INDEX('Fleet dates'!$E$9:$E$1008,$I259-8)="","",INDEX('Fleet dates'!$E$9:$E$1008,$I259-8)))</x:f>
      </x:c>
      <x:c r="F259" s="51" t="str">
        <x:f>IF(251&gt;$H$4,"",IF(INDEX('Fleet dates'!$F$9:$F$1008,$I259-8)="","",INDEX('Fleet dates'!$F$9:$F$1008,$I259-8)))</x:f>
      </x:c>
      <x:c r="G259" s="50" t="str">
        <x:f>IF(251&gt;$H$4,"",IF(INDEX('Fleet dates'!$G$9:$G$1008,$I259-8)="","",INDEX('Fleet dates'!$G$9:$G$1008,$I259-8)))</x:f>
      </x:c>
      <x:c r="H259" s="50" t="str">
        <x:f>IF(251&gt;$H$4,"",IF(INDEX('Fleet dates'!$I$9:$I$1008,$I259-8)="","",INDEX('Fleet dates'!$I$9:$I$1008,$I259-8)))</x:f>
      </x:c>
      <x:c r="I259" t="str">
        <x:f>IF(251&gt;$H$4,"",MATCH(251,'Fleet dates'!$M$9:$M$1008,0)+8)</x:f>
      </x:c>
    </x:row>
    <x:row r="260" ht="36" customHeight="1">
      <x:c r="A260" s="50" t="str">
        <x:f>IF(252&gt;$H$4,"",IF(INDEX('Fleet dates'!$A$9:$A$1008,$I260-8)="","",INDEX('Fleet dates'!$A$9:$A$1008,$I260-8)))</x:f>
      </x:c>
      <x:c r="B260" s="50" t="str">
        <x:f>IF(252&gt;$H$4,"",IF(INDEX('Fleet dates'!$B$9:$B$1008,$I260-8)="","",INDEX('Fleet dates'!$B$9:$B$1008,$I260-8)))</x:f>
      </x:c>
      <x:c r="C260" s="51" t="str">
        <x:f>IF(252&gt;$H$4,"",IF(INDEX('Fleet dates'!$C$9:$C$1008,$I260-8)="","",INDEX('Fleet dates'!$C$9:$C$1008,$I260-8)))</x:f>
      </x:c>
      <x:c r="D260" s="51" t="str">
        <x:f>IF(252&gt;$H$4,"",IF(INDEX('Fleet dates'!$D$9:$D$1008,$I260-8)="","",INDEX('Fleet dates'!$D$9:$D$1008,$I260-8)))</x:f>
      </x:c>
      <x:c r="E260" s="51" t="str">
        <x:f>IF(252&gt;$H$4,"",IF(INDEX('Fleet dates'!$E$9:$E$1008,$I260-8)="","",INDEX('Fleet dates'!$E$9:$E$1008,$I260-8)))</x:f>
      </x:c>
      <x:c r="F260" s="51" t="str">
        <x:f>IF(252&gt;$H$4,"",IF(INDEX('Fleet dates'!$F$9:$F$1008,$I260-8)="","",INDEX('Fleet dates'!$F$9:$F$1008,$I260-8)))</x:f>
      </x:c>
      <x:c r="G260" s="50" t="str">
        <x:f>IF(252&gt;$H$4,"",IF(INDEX('Fleet dates'!$G$9:$G$1008,$I260-8)="","",INDEX('Fleet dates'!$G$9:$G$1008,$I260-8)))</x:f>
      </x:c>
      <x:c r="H260" s="50" t="str">
        <x:f>IF(252&gt;$H$4,"",IF(INDEX('Fleet dates'!$I$9:$I$1008,$I260-8)="","",INDEX('Fleet dates'!$I$9:$I$1008,$I260-8)))</x:f>
      </x:c>
      <x:c r="I260" t="str">
        <x:f>IF(252&gt;$H$4,"",MATCH(252,'Fleet dates'!$M$9:$M$1008,0)+8)</x:f>
      </x:c>
    </x:row>
    <x:row r="261" ht="36" customHeight="1">
      <x:c r="A261" s="50" t="str">
        <x:f>IF(253&gt;$H$4,"",IF(INDEX('Fleet dates'!$A$9:$A$1008,$I261-8)="","",INDEX('Fleet dates'!$A$9:$A$1008,$I261-8)))</x:f>
      </x:c>
      <x:c r="B261" s="50" t="str">
        <x:f>IF(253&gt;$H$4,"",IF(INDEX('Fleet dates'!$B$9:$B$1008,$I261-8)="","",INDEX('Fleet dates'!$B$9:$B$1008,$I261-8)))</x:f>
      </x:c>
      <x:c r="C261" s="51" t="str">
        <x:f>IF(253&gt;$H$4,"",IF(INDEX('Fleet dates'!$C$9:$C$1008,$I261-8)="","",INDEX('Fleet dates'!$C$9:$C$1008,$I261-8)))</x:f>
      </x:c>
      <x:c r="D261" s="51" t="str">
        <x:f>IF(253&gt;$H$4,"",IF(INDEX('Fleet dates'!$D$9:$D$1008,$I261-8)="","",INDEX('Fleet dates'!$D$9:$D$1008,$I261-8)))</x:f>
      </x:c>
      <x:c r="E261" s="51" t="str">
        <x:f>IF(253&gt;$H$4,"",IF(INDEX('Fleet dates'!$E$9:$E$1008,$I261-8)="","",INDEX('Fleet dates'!$E$9:$E$1008,$I261-8)))</x:f>
      </x:c>
      <x:c r="F261" s="51" t="str">
        <x:f>IF(253&gt;$H$4,"",IF(INDEX('Fleet dates'!$F$9:$F$1008,$I261-8)="","",INDEX('Fleet dates'!$F$9:$F$1008,$I261-8)))</x:f>
      </x:c>
      <x:c r="G261" s="50" t="str">
        <x:f>IF(253&gt;$H$4,"",IF(INDEX('Fleet dates'!$G$9:$G$1008,$I261-8)="","",INDEX('Fleet dates'!$G$9:$G$1008,$I261-8)))</x:f>
      </x:c>
      <x:c r="H261" s="50" t="str">
        <x:f>IF(253&gt;$H$4,"",IF(INDEX('Fleet dates'!$I$9:$I$1008,$I261-8)="","",INDEX('Fleet dates'!$I$9:$I$1008,$I261-8)))</x:f>
      </x:c>
      <x:c r="I261" t="str">
        <x:f>IF(253&gt;$H$4,"",MATCH(253,'Fleet dates'!$M$9:$M$1008,0)+8)</x:f>
      </x:c>
    </x:row>
    <x:row r="262" ht="36" customHeight="1">
      <x:c r="A262" s="50" t="str">
        <x:f>IF(254&gt;$H$4,"",IF(INDEX('Fleet dates'!$A$9:$A$1008,$I262-8)="","",INDEX('Fleet dates'!$A$9:$A$1008,$I262-8)))</x:f>
      </x:c>
      <x:c r="B262" s="50" t="str">
        <x:f>IF(254&gt;$H$4,"",IF(INDEX('Fleet dates'!$B$9:$B$1008,$I262-8)="","",INDEX('Fleet dates'!$B$9:$B$1008,$I262-8)))</x:f>
      </x:c>
      <x:c r="C262" s="51" t="str">
        <x:f>IF(254&gt;$H$4,"",IF(INDEX('Fleet dates'!$C$9:$C$1008,$I262-8)="","",INDEX('Fleet dates'!$C$9:$C$1008,$I262-8)))</x:f>
      </x:c>
      <x:c r="D262" s="51" t="str">
        <x:f>IF(254&gt;$H$4,"",IF(INDEX('Fleet dates'!$D$9:$D$1008,$I262-8)="","",INDEX('Fleet dates'!$D$9:$D$1008,$I262-8)))</x:f>
      </x:c>
      <x:c r="E262" s="51" t="str">
        <x:f>IF(254&gt;$H$4,"",IF(INDEX('Fleet dates'!$E$9:$E$1008,$I262-8)="","",INDEX('Fleet dates'!$E$9:$E$1008,$I262-8)))</x:f>
      </x:c>
      <x:c r="F262" s="51" t="str">
        <x:f>IF(254&gt;$H$4,"",IF(INDEX('Fleet dates'!$F$9:$F$1008,$I262-8)="","",INDEX('Fleet dates'!$F$9:$F$1008,$I262-8)))</x:f>
      </x:c>
      <x:c r="G262" s="50" t="str">
        <x:f>IF(254&gt;$H$4,"",IF(INDEX('Fleet dates'!$G$9:$G$1008,$I262-8)="","",INDEX('Fleet dates'!$G$9:$G$1008,$I262-8)))</x:f>
      </x:c>
      <x:c r="H262" s="50" t="str">
        <x:f>IF(254&gt;$H$4,"",IF(INDEX('Fleet dates'!$I$9:$I$1008,$I262-8)="","",INDEX('Fleet dates'!$I$9:$I$1008,$I262-8)))</x:f>
      </x:c>
      <x:c r="I262" t="str">
        <x:f>IF(254&gt;$H$4,"",MATCH(254,'Fleet dates'!$M$9:$M$1008,0)+8)</x:f>
      </x:c>
    </x:row>
    <x:row r="263" ht="36" customHeight="1">
      <x:c r="A263" s="50" t="str">
        <x:f>IF(255&gt;$H$4,"",IF(INDEX('Fleet dates'!$A$9:$A$1008,$I263-8)="","",INDEX('Fleet dates'!$A$9:$A$1008,$I263-8)))</x:f>
      </x:c>
      <x:c r="B263" s="50" t="str">
        <x:f>IF(255&gt;$H$4,"",IF(INDEX('Fleet dates'!$B$9:$B$1008,$I263-8)="","",INDEX('Fleet dates'!$B$9:$B$1008,$I263-8)))</x:f>
      </x:c>
      <x:c r="C263" s="51" t="str">
        <x:f>IF(255&gt;$H$4,"",IF(INDEX('Fleet dates'!$C$9:$C$1008,$I263-8)="","",INDEX('Fleet dates'!$C$9:$C$1008,$I263-8)))</x:f>
      </x:c>
      <x:c r="D263" s="51" t="str">
        <x:f>IF(255&gt;$H$4,"",IF(INDEX('Fleet dates'!$D$9:$D$1008,$I263-8)="","",INDEX('Fleet dates'!$D$9:$D$1008,$I263-8)))</x:f>
      </x:c>
      <x:c r="E263" s="51" t="str">
        <x:f>IF(255&gt;$H$4,"",IF(INDEX('Fleet dates'!$E$9:$E$1008,$I263-8)="","",INDEX('Fleet dates'!$E$9:$E$1008,$I263-8)))</x:f>
      </x:c>
      <x:c r="F263" s="51" t="str">
        <x:f>IF(255&gt;$H$4,"",IF(INDEX('Fleet dates'!$F$9:$F$1008,$I263-8)="","",INDEX('Fleet dates'!$F$9:$F$1008,$I263-8)))</x:f>
      </x:c>
      <x:c r="G263" s="50" t="str">
        <x:f>IF(255&gt;$H$4,"",IF(INDEX('Fleet dates'!$G$9:$G$1008,$I263-8)="","",INDEX('Fleet dates'!$G$9:$G$1008,$I263-8)))</x:f>
      </x:c>
      <x:c r="H263" s="50" t="str">
        <x:f>IF(255&gt;$H$4,"",IF(INDEX('Fleet dates'!$I$9:$I$1008,$I263-8)="","",INDEX('Fleet dates'!$I$9:$I$1008,$I263-8)))</x:f>
      </x:c>
      <x:c r="I263" t="str">
        <x:f>IF(255&gt;$H$4,"",MATCH(255,'Fleet dates'!$M$9:$M$1008,0)+8)</x:f>
      </x:c>
    </x:row>
    <x:row r="264" ht="36" customHeight="1">
      <x:c r="A264" s="50" t="str">
        <x:f>IF(256&gt;$H$4,"",IF(INDEX('Fleet dates'!$A$9:$A$1008,$I264-8)="","",INDEX('Fleet dates'!$A$9:$A$1008,$I264-8)))</x:f>
      </x:c>
      <x:c r="B264" s="50" t="str">
        <x:f>IF(256&gt;$H$4,"",IF(INDEX('Fleet dates'!$B$9:$B$1008,$I264-8)="","",INDEX('Fleet dates'!$B$9:$B$1008,$I264-8)))</x:f>
      </x:c>
      <x:c r="C264" s="51" t="str">
        <x:f>IF(256&gt;$H$4,"",IF(INDEX('Fleet dates'!$C$9:$C$1008,$I264-8)="","",INDEX('Fleet dates'!$C$9:$C$1008,$I264-8)))</x:f>
      </x:c>
      <x:c r="D264" s="51" t="str">
        <x:f>IF(256&gt;$H$4,"",IF(INDEX('Fleet dates'!$D$9:$D$1008,$I264-8)="","",INDEX('Fleet dates'!$D$9:$D$1008,$I264-8)))</x:f>
      </x:c>
      <x:c r="E264" s="51" t="str">
        <x:f>IF(256&gt;$H$4,"",IF(INDEX('Fleet dates'!$E$9:$E$1008,$I264-8)="","",INDEX('Fleet dates'!$E$9:$E$1008,$I264-8)))</x:f>
      </x:c>
      <x:c r="F264" s="51" t="str">
        <x:f>IF(256&gt;$H$4,"",IF(INDEX('Fleet dates'!$F$9:$F$1008,$I264-8)="","",INDEX('Fleet dates'!$F$9:$F$1008,$I264-8)))</x:f>
      </x:c>
      <x:c r="G264" s="50" t="str">
        <x:f>IF(256&gt;$H$4,"",IF(INDEX('Fleet dates'!$G$9:$G$1008,$I264-8)="","",INDEX('Fleet dates'!$G$9:$G$1008,$I264-8)))</x:f>
      </x:c>
      <x:c r="H264" s="50" t="str">
        <x:f>IF(256&gt;$H$4,"",IF(INDEX('Fleet dates'!$I$9:$I$1008,$I264-8)="","",INDEX('Fleet dates'!$I$9:$I$1008,$I264-8)))</x:f>
      </x:c>
      <x:c r="I264" t="str">
        <x:f>IF(256&gt;$H$4,"",MATCH(256,'Fleet dates'!$M$9:$M$1008,0)+8)</x:f>
      </x:c>
    </x:row>
    <x:row r="265" ht="36" customHeight="1">
      <x:c r="A265" s="50" t="str">
        <x:f>IF(257&gt;$H$4,"",IF(INDEX('Fleet dates'!$A$9:$A$1008,$I265-8)="","",INDEX('Fleet dates'!$A$9:$A$1008,$I265-8)))</x:f>
      </x:c>
      <x:c r="B265" s="50" t="str">
        <x:f>IF(257&gt;$H$4,"",IF(INDEX('Fleet dates'!$B$9:$B$1008,$I265-8)="","",INDEX('Fleet dates'!$B$9:$B$1008,$I265-8)))</x:f>
      </x:c>
      <x:c r="C265" s="51" t="str">
        <x:f>IF(257&gt;$H$4,"",IF(INDEX('Fleet dates'!$C$9:$C$1008,$I265-8)="","",INDEX('Fleet dates'!$C$9:$C$1008,$I265-8)))</x:f>
      </x:c>
      <x:c r="D265" s="51" t="str">
        <x:f>IF(257&gt;$H$4,"",IF(INDEX('Fleet dates'!$D$9:$D$1008,$I265-8)="","",INDEX('Fleet dates'!$D$9:$D$1008,$I265-8)))</x:f>
      </x:c>
      <x:c r="E265" s="51" t="str">
        <x:f>IF(257&gt;$H$4,"",IF(INDEX('Fleet dates'!$E$9:$E$1008,$I265-8)="","",INDEX('Fleet dates'!$E$9:$E$1008,$I265-8)))</x:f>
      </x:c>
      <x:c r="F265" s="51" t="str">
        <x:f>IF(257&gt;$H$4,"",IF(INDEX('Fleet dates'!$F$9:$F$1008,$I265-8)="","",INDEX('Fleet dates'!$F$9:$F$1008,$I265-8)))</x:f>
      </x:c>
      <x:c r="G265" s="50" t="str">
        <x:f>IF(257&gt;$H$4,"",IF(INDEX('Fleet dates'!$G$9:$G$1008,$I265-8)="","",INDEX('Fleet dates'!$G$9:$G$1008,$I265-8)))</x:f>
      </x:c>
      <x:c r="H265" s="50" t="str">
        <x:f>IF(257&gt;$H$4,"",IF(INDEX('Fleet dates'!$I$9:$I$1008,$I265-8)="","",INDEX('Fleet dates'!$I$9:$I$1008,$I265-8)))</x:f>
      </x:c>
      <x:c r="I265" t="str">
        <x:f>IF(257&gt;$H$4,"",MATCH(257,'Fleet dates'!$M$9:$M$1008,0)+8)</x:f>
      </x:c>
    </x:row>
    <x:row r="266" ht="36" customHeight="1">
      <x:c r="A266" s="50" t="str">
        <x:f>IF(258&gt;$H$4,"",IF(INDEX('Fleet dates'!$A$9:$A$1008,$I266-8)="","",INDEX('Fleet dates'!$A$9:$A$1008,$I266-8)))</x:f>
      </x:c>
      <x:c r="B266" s="50" t="str">
        <x:f>IF(258&gt;$H$4,"",IF(INDEX('Fleet dates'!$B$9:$B$1008,$I266-8)="","",INDEX('Fleet dates'!$B$9:$B$1008,$I266-8)))</x:f>
      </x:c>
      <x:c r="C266" s="51" t="str">
        <x:f>IF(258&gt;$H$4,"",IF(INDEX('Fleet dates'!$C$9:$C$1008,$I266-8)="","",INDEX('Fleet dates'!$C$9:$C$1008,$I266-8)))</x:f>
      </x:c>
      <x:c r="D266" s="51" t="str">
        <x:f>IF(258&gt;$H$4,"",IF(INDEX('Fleet dates'!$D$9:$D$1008,$I266-8)="","",INDEX('Fleet dates'!$D$9:$D$1008,$I266-8)))</x:f>
      </x:c>
      <x:c r="E266" s="51" t="str">
        <x:f>IF(258&gt;$H$4,"",IF(INDEX('Fleet dates'!$E$9:$E$1008,$I266-8)="","",INDEX('Fleet dates'!$E$9:$E$1008,$I266-8)))</x:f>
      </x:c>
      <x:c r="F266" s="51" t="str">
        <x:f>IF(258&gt;$H$4,"",IF(INDEX('Fleet dates'!$F$9:$F$1008,$I266-8)="","",INDEX('Fleet dates'!$F$9:$F$1008,$I266-8)))</x:f>
      </x:c>
      <x:c r="G266" s="50" t="str">
        <x:f>IF(258&gt;$H$4,"",IF(INDEX('Fleet dates'!$G$9:$G$1008,$I266-8)="","",INDEX('Fleet dates'!$G$9:$G$1008,$I266-8)))</x:f>
      </x:c>
      <x:c r="H266" s="50" t="str">
        <x:f>IF(258&gt;$H$4,"",IF(INDEX('Fleet dates'!$I$9:$I$1008,$I266-8)="","",INDEX('Fleet dates'!$I$9:$I$1008,$I266-8)))</x:f>
      </x:c>
      <x:c r="I266" t="str">
        <x:f>IF(258&gt;$H$4,"",MATCH(258,'Fleet dates'!$M$9:$M$1008,0)+8)</x:f>
      </x:c>
    </x:row>
    <x:row r="267" ht="36" customHeight="1">
      <x:c r="A267" s="50" t="str">
        <x:f>IF(259&gt;$H$4,"",IF(INDEX('Fleet dates'!$A$9:$A$1008,$I267-8)="","",INDEX('Fleet dates'!$A$9:$A$1008,$I267-8)))</x:f>
      </x:c>
      <x:c r="B267" s="50" t="str">
        <x:f>IF(259&gt;$H$4,"",IF(INDEX('Fleet dates'!$B$9:$B$1008,$I267-8)="","",INDEX('Fleet dates'!$B$9:$B$1008,$I267-8)))</x:f>
      </x:c>
      <x:c r="C267" s="51" t="str">
        <x:f>IF(259&gt;$H$4,"",IF(INDEX('Fleet dates'!$C$9:$C$1008,$I267-8)="","",INDEX('Fleet dates'!$C$9:$C$1008,$I267-8)))</x:f>
      </x:c>
      <x:c r="D267" s="51" t="str">
        <x:f>IF(259&gt;$H$4,"",IF(INDEX('Fleet dates'!$D$9:$D$1008,$I267-8)="","",INDEX('Fleet dates'!$D$9:$D$1008,$I267-8)))</x:f>
      </x:c>
      <x:c r="E267" s="51" t="str">
        <x:f>IF(259&gt;$H$4,"",IF(INDEX('Fleet dates'!$E$9:$E$1008,$I267-8)="","",INDEX('Fleet dates'!$E$9:$E$1008,$I267-8)))</x:f>
      </x:c>
      <x:c r="F267" s="51" t="str">
        <x:f>IF(259&gt;$H$4,"",IF(INDEX('Fleet dates'!$F$9:$F$1008,$I267-8)="","",INDEX('Fleet dates'!$F$9:$F$1008,$I267-8)))</x:f>
      </x:c>
      <x:c r="G267" s="50" t="str">
        <x:f>IF(259&gt;$H$4,"",IF(INDEX('Fleet dates'!$G$9:$G$1008,$I267-8)="","",INDEX('Fleet dates'!$G$9:$G$1008,$I267-8)))</x:f>
      </x:c>
      <x:c r="H267" s="50" t="str">
        <x:f>IF(259&gt;$H$4,"",IF(INDEX('Fleet dates'!$I$9:$I$1008,$I267-8)="","",INDEX('Fleet dates'!$I$9:$I$1008,$I267-8)))</x:f>
      </x:c>
      <x:c r="I267" t="str">
        <x:f>IF(259&gt;$H$4,"",MATCH(259,'Fleet dates'!$M$9:$M$1008,0)+8)</x:f>
      </x:c>
    </x:row>
    <x:row r="268" ht="36" customHeight="1">
      <x:c r="A268" s="50" t="str">
        <x:f>IF(260&gt;$H$4,"",IF(INDEX('Fleet dates'!$A$9:$A$1008,$I268-8)="","",INDEX('Fleet dates'!$A$9:$A$1008,$I268-8)))</x:f>
      </x:c>
      <x:c r="B268" s="50" t="str">
        <x:f>IF(260&gt;$H$4,"",IF(INDEX('Fleet dates'!$B$9:$B$1008,$I268-8)="","",INDEX('Fleet dates'!$B$9:$B$1008,$I268-8)))</x:f>
      </x:c>
      <x:c r="C268" s="51" t="str">
        <x:f>IF(260&gt;$H$4,"",IF(INDEX('Fleet dates'!$C$9:$C$1008,$I268-8)="","",INDEX('Fleet dates'!$C$9:$C$1008,$I268-8)))</x:f>
      </x:c>
      <x:c r="D268" s="51" t="str">
        <x:f>IF(260&gt;$H$4,"",IF(INDEX('Fleet dates'!$D$9:$D$1008,$I268-8)="","",INDEX('Fleet dates'!$D$9:$D$1008,$I268-8)))</x:f>
      </x:c>
      <x:c r="E268" s="51" t="str">
        <x:f>IF(260&gt;$H$4,"",IF(INDEX('Fleet dates'!$E$9:$E$1008,$I268-8)="","",INDEX('Fleet dates'!$E$9:$E$1008,$I268-8)))</x:f>
      </x:c>
      <x:c r="F268" s="51" t="str">
        <x:f>IF(260&gt;$H$4,"",IF(INDEX('Fleet dates'!$F$9:$F$1008,$I268-8)="","",INDEX('Fleet dates'!$F$9:$F$1008,$I268-8)))</x:f>
      </x:c>
      <x:c r="G268" s="50" t="str">
        <x:f>IF(260&gt;$H$4,"",IF(INDEX('Fleet dates'!$G$9:$G$1008,$I268-8)="","",INDEX('Fleet dates'!$G$9:$G$1008,$I268-8)))</x:f>
      </x:c>
      <x:c r="H268" s="50" t="str">
        <x:f>IF(260&gt;$H$4,"",IF(INDEX('Fleet dates'!$I$9:$I$1008,$I268-8)="","",INDEX('Fleet dates'!$I$9:$I$1008,$I268-8)))</x:f>
      </x:c>
      <x:c r="I268" t="str">
        <x:f>IF(260&gt;$H$4,"",MATCH(260,'Fleet dates'!$M$9:$M$1008,0)+8)</x:f>
      </x:c>
    </x:row>
    <x:row r="269" ht="36" customHeight="1">
      <x:c r="A269" s="50" t="str">
        <x:f>IF(261&gt;$H$4,"",IF(INDEX('Fleet dates'!$A$9:$A$1008,$I269-8)="","",INDEX('Fleet dates'!$A$9:$A$1008,$I269-8)))</x:f>
      </x:c>
      <x:c r="B269" s="50" t="str">
        <x:f>IF(261&gt;$H$4,"",IF(INDEX('Fleet dates'!$B$9:$B$1008,$I269-8)="","",INDEX('Fleet dates'!$B$9:$B$1008,$I269-8)))</x:f>
      </x:c>
      <x:c r="C269" s="51" t="str">
        <x:f>IF(261&gt;$H$4,"",IF(INDEX('Fleet dates'!$C$9:$C$1008,$I269-8)="","",INDEX('Fleet dates'!$C$9:$C$1008,$I269-8)))</x:f>
      </x:c>
      <x:c r="D269" s="51" t="str">
        <x:f>IF(261&gt;$H$4,"",IF(INDEX('Fleet dates'!$D$9:$D$1008,$I269-8)="","",INDEX('Fleet dates'!$D$9:$D$1008,$I269-8)))</x:f>
      </x:c>
      <x:c r="E269" s="51" t="str">
        <x:f>IF(261&gt;$H$4,"",IF(INDEX('Fleet dates'!$E$9:$E$1008,$I269-8)="","",INDEX('Fleet dates'!$E$9:$E$1008,$I269-8)))</x:f>
      </x:c>
      <x:c r="F269" s="51" t="str">
        <x:f>IF(261&gt;$H$4,"",IF(INDEX('Fleet dates'!$F$9:$F$1008,$I269-8)="","",INDEX('Fleet dates'!$F$9:$F$1008,$I269-8)))</x:f>
      </x:c>
      <x:c r="G269" s="50" t="str">
        <x:f>IF(261&gt;$H$4,"",IF(INDEX('Fleet dates'!$G$9:$G$1008,$I269-8)="","",INDEX('Fleet dates'!$G$9:$G$1008,$I269-8)))</x:f>
      </x:c>
      <x:c r="H269" s="50" t="str">
        <x:f>IF(261&gt;$H$4,"",IF(INDEX('Fleet dates'!$I$9:$I$1008,$I269-8)="","",INDEX('Fleet dates'!$I$9:$I$1008,$I269-8)))</x:f>
      </x:c>
      <x:c r="I269" t="str">
        <x:f>IF(261&gt;$H$4,"",MATCH(261,'Fleet dates'!$M$9:$M$1008,0)+8)</x:f>
      </x:c>
    </x:row>
    <x:row r="270" ht="36" customHeight="1">
      <x:c r="A270" s="50" t="str">
        <x:f>IF(262&gt;$H$4,"",IF(INDEX('Fleet dates'!$A$9:$A$1008,$I270-8)="","",INDEX('Fleet dates'!$A$9:$A$1008,$I270-8)))</x:f>
      </x:c>
      <x:c r="B270" s="50" t="str">
        <x:f>IF(262&gt;$H$4,"",IF(INDEX('Fleet dates'!$B$9:$B$1008,$I270-8)="","",INDEX('Fleet dates'!$B$9:$B$1008,$I270-8)))</x:f>
      </x:c>
      <x:c r="C270" s="51" t="str">
        <x:f>IF(262&gt;$H$4,"",IF(INDEX('Fleet dates'!$C$9:$C$1008,$I270-8)="","",INDEX('Fleet dates'!$C$9:$C$1008,$I270-8)))</x:f>
      </x:c>
      <x:c r="D270" s="51" t="str">
        <x:f>IF(262&gt;$H$4,"",IF(INDEX('Fleet dates'!$D$9:$D$1008,$I270-8)="","",INDEX('Fleet dates'!$D$9:$D$1008,$I270-8)))</x:f>
      </x:c>
      <x:c r="E270" s="51" t="str">
        <x:f>IF(262&gt;$H$4,"",IF(INDEX('Fleet dates'!$E$9:$E$1008,$I270-8)="","",INDEX('Fleet dates'!$E$9:$E$1008,$I270-8)))</x:f>
      </x:c>
      <x:c r="F270" s="51" t="str">
        <x:f>IF(262&gt;$H$4,"",IF(INDEX('Fleet dates'!$F$9:$F$1008,$I270-8)="","",INDEX('Fleet dates'!$F$9:$F$1008,$I270-8)))</x:f>
      </x:c>
      <x:c r="G270" s="50" t="str">
        <x:f>IF(262&gt;$H$4,"",IF(INDEX('Fleet dates'!$G$9:$G$1008,$I270-8)="","",INDEX('Fleet dates'!$G$9:$G$1008,$I270-8)))</x:f>
      </x:c>
      <x:c r="H270" s="50" t="str">
        <x:f>IF(262&gt;$H$4,"",IF(INDEX('Fleet dates'!$I$9:$I$1008,$I270-8)="","",INDEX('Fleet dates'!$I$9:$I$1008,$I270-8)))</x:f>
      </x:c>
      <x:c r="I270" t="str">
        <x:f>IF(262&gt;$H$4,"",MATCH(262,'Fleet dates'!$M$9:$M$1008,0)+8)</x:f>
      </x:c>
    </x:row>
    <x:row r="271" ht="36" customHeight="1">
      <x:c r="A271" s="50" t="str">
        <x:f>IF(263&gt;$H$4,"",IF(INDEX('Fleet dates'!$A$9:$A$1008,$I271-8)="","",INDEX('Fleet dates'!$A$9:$A$1008,$I271-8)))</x:f>
      </x:c>
      <x:c r="B271" s="50" t="str">
        <x:f>IF(263&gt;$H$4,"",IF(INDEX('Fleet dates'!$B$9:$B$1008,$I271-8)="","",INDEX('Fleet dates'!$B$9:$B$1008,$I271-8)))</x:f>
      </x:c>
      <x:c r="C271" s="51" t="str">
        <x:f>IF(263&gt;$H$4,"",IF(INDEX('Fleet dates'!$C$9:$C$1008,$I271-8)="","",INDEX('Fleet dates'!$C$9:$C$1008,$I271-8)))</x:f>
      </x:c>
      <x:c r="D271" s="51" t="str">
        <x:f>IF(263&gt;$H$4,"",IF(INDEX('Fleet dates'!$D$9:$D$1008,$I271-8)="","",INDEX('Fleet dates'!$D$9:$D$1008,$I271-8)))</x:f>
      </x:c>
      <x:c r="E271" s="51" t="str">
        <x:f>IF(263&gt;$H$4,"",IF(INDEX('Fleet dates'!$E$9:$E$1008,$I271-8)="","",INDEX('Fleet dates'!$E$9:$E$1008,$I271-8)))</x:f>
      </x:c>
      <x:c r="F271" s="51" t="str">
        <x:f>IF(263&gt;$H$4,"",IF(INDEX('Fleet dates'!$F$9:$F$1008,$I271-8)="","",INDEX('Fleet dates'!$F$9:$F$1008,$I271-8)))</x:f>
      </x:c>
      <x:c r="G271" s="50" t="str">
        <x:f>IF(263&gt;$H$4,"",IF(INDEX('Fleet dates'!$G$9:$G$1008,$I271-8)="","",INDEX('Fleet dates'!$G$9:$G$1008,$I271-8)))</x:f>
      </x:c>
      <x:c r="H271" s="50" t="str">
        <x:f>IF(263&gt;$H$4,"",IF(INDEX('Fleet dates'!$I$9:$I$1008,$I271-8)="","",INDEX('Fleet dates'!$I$9:$I$1008,$I271-8)))</x:f>
      </x:c>
      <x:c r="I271" t="str">
        <x:f>IF(263&gt;$H$4,"",MATCH(263,'Fleet dates'!$M$9:$M$1008,0)+8)</x:f>
      </x:c>
    </x:row>
    <x:row r="272" ht="36" customHeight="1">
      <x:c r="A272" s="50" t="str">
        <x:f>IF(264&gt;$H$4,"",IF(INDEX('Fleet dates'!$A$9:$A$1008,$I272-8)="","",INDEX('Fleet dates'!$A$9:$A$1008,$I272-8)))</x:f>
      </x:c>
      <x:c r="B272" s="50" t="str">
        <x:f>IF(264&gt;$H$4,"",IF(INDEX('Fleet dates'!$B$9:$B$1008,$I272-8)="","",INDEX('Fleet dates'!$B$9:$B$1008,$I272-8)))</x:f>
      </x:c>
      <x:c r="C272" s="51" t="str">
        <x:f>IF(264&gt;$H$4,"",IF(INDEX('Fleet dates'!$C$9:$C$1008,$I272-8)="","",INDEX('Fleet dates'!$C$9:$C$1008,$I272-8)))</x:f>
      </x:c>
      <x:c r="D272" s="51" t="str">
        <x:f>IF(264&gt;$H$4,"",IF(INDEX('Fleet dates'!$D$9:$D$1008,$I272-8)="","",INDEX('Fleet dates'!$D$9:$D$1008,$I272-8)))</x:f>
      </x:c>
      <x:c r="E272" s="51" t="str">
        <x:f>IF(264&gt;$H$4,"",IF(INDEX('Fleet dates'!$E$9:$E$1008,$I272-8)="","",INDEX('Fleet dates'!$E$9:$E$1008,$I272-8)))</x:f>
      </x:c>
      <x:c r="F272" s="51" t="str">
        <x:f>IF(264&gt;$H$4,"",IF(INDEX('Fleet dates'!$F$9:$F$1008,$I272-8)="","",INDEX('Fleet dates'!$F$9:$F$1008,$I272-8)))</x:f>
      </x:c>
      <x:c r="G272" s="50" t="str">
        <x:f>IF(264&gt;$H$4,"",IF(INDEX('Fleet dates'!$G$9:$G$1008,$I272-8)="","",INDEX('Fleet dates'!$G$9:$G$1008,$I272-8)))</x:f>
      </x:c>
      <x:c r="H272" s="50" t="str">
        <x:f>IF(264&gt;$H$4,"",IF(INDEX('Fleet dates'!$I$9:$I$1008,$I272-8)="","",INDEX('Fleet dates'!$I$9:$I$1008,$I272-8)))</x:f>
      </x:c>
      <x:c r="I272" t="str">
        <x:f>IF(264&gt;$H$4,"",MATCH(264,'Fleet dates'!$M$9:$M$1008,0)+8)</x:f>
      </x:c>
    </x:row>
    <x:row r="273" ht="36" customHeight="1">
      <x:c r="A273" s="50" t="str">
        <x:f>IF(265&gt;$H$4,"",IF(INDEX('Fleet dates'!$A$9:$A$1008,$I273-8)="","",INDEX('Fleet dates'!$A$9:$A$1008,$I273-8)))</x:f>
      </x:c>
      <x:c r="B273" s="50" t="str">
        <x:f>IF(265&gt;$H$4,"",IF(INDEX('Fleet dates'!$B$9:$B$1008,$I273-8)="","",INDEX('Fleet dates'!$B$9:$B$1008,$I273-8)))</x:f>
      </x:c>
      <x:c r="C273" s="51" t="str">
        <x:f>IF(265&gt;$H$4,"",IF(INDEX('Fleet dates'!$C$9:$C$1008,$I273-8)="","",INDEX('Fleet dates'!$C$9:$C$1008,$I273-8)))</x:f>
      </x:c>
      <x:c r="D273" s="51" t="str">
        <x:f>IF(265&gt;$H$4,"",IF(INDEX('Fleet dates'!$D$9:$D$1008,$I273-8)="","",INDEX('Fleet dates'!$D$9:$D$1008,$I273-8)))</x:f>
      </x:c>
      <x:c r="E273" s="51" t="str">
        <x:f>IF(265&gt;$H$4,"",IF(INDEX('Fleet dates'!$E$9:$E$1008,$I273-8)="","",INDEX('Fleet dates'!$E$9:$E$1008,$I273-8)))</x:f>
      </x:c>
      <x:c r="F273" s="51" t="str">
        <x:f>IF(265&gt;$H$4,"",IF(INDEX('Fleet dates'!$F$9:$F$1008,$I273-8)="","",INDEX('Fleet dates'!$F$9:$F$1008,$I273-8)))</x:f>
      </x:c>
      <x:c r="G273" s="50" t="str">
        <x:f>IF(265&gt;$H$4,"",IF(INDEX('Fleet dates'!$G$9:$G$1008,$I273-8)="","",INDEX('Fleet dates'!$G$9:$G$1008,$I273-8)))</x:f>
      </x:c>
      <x:c r="H273" s="50" t="str">
        <x:f>IF(265&gt;$H$4,"",IF(INDEX('Fleet dates'!$I$9:$I$1008,$I273-8)="","",INDEX('Fleet dates'!$I$9:$I$1008,$I273-8)))</x:f>
      </x:c>
      <x:c r="I273" t="str">
        <x:f>IF(265&gt;$H$4,"",MATCH(265,'Fleet dates'!$M$9:$M$1008,0)+8)</x:f>
      </x:c>
    </x:row>
    <x:row r="274" ht="36" customHeight="1">
      <x:c r="A274" s="50" t="str">
        <x:f>IF(266&gt;$H$4,"",IF(INDEX('Fleet dates'!$A$9:$A$1008,$I274-8)="","",INDEX('Fleet dates'!$A$9:$A$1008,$I274-8)))</x:f>
      </x:c>
      <x:c r="B274" s="50" t="str">
        <x:f>IF(266&gt;$H$4,"",IF(INDEX('Fleet dates'!$B$9:$B$1008,$I274-8)="","",INDEX('Fleet dates'!$B$9:$B$1008,$I274-8)))</x:f>
      </x:c>
      <x:c r="C274" s="51" t="str">
        <x:f>IF(266&gt;$H$4,"",IF(INDEX('Fleet dates'!$C$9:$C$1008,$I274-8)="","",INDEX('Fleet dates'!$C$9:$C$1008,$I274-8)))</x:f>
      </x:c>
      <x:c r="D274" s="51" t="str">
        <x:f>IF(266&gt;$H$4,"",IF(INDEX('Fleet dates'!$D$9:$D$1008,$I274-8)="","",INDEX('Fleet dates'!$D$9:$D$1008,$I274-8)))</x:f>
      </x:c>
      <x:c r="E274" s="51" t="str">
        <x:f>IF(266&gt;$H$4,"",IF(INDEX('Fleet dates'!$E$9:$E$1008,$I274-8)="","",INDEX('Fleet dates'!$E$9:$E$1008,$I274-8)))</x:f>
      </x:c>
      <x:c r="F274" s="51" t="str">
        <x:f>IF(266&gt;$H$4,"",IF(INDEX('Fleet dates'!$F$9:$F$1008,$I274-8)="","",INDEX('Fleet dates'!$F$9:$F$1008,$I274-8)))</x:f>
      </x:c>
      <x:c r="G274" s="50" t="str">
        <x:f>IF(266&gt;$H$4,"",IF(INDEX('Fleet dates'!$G$9:$G$1008,$I274-8)="","",INDEX('Fleet dates'!$G$9:$G$1008,$I274-8)))</x:f>
      </x:c>
      <x:c r="H274" s="50" t="str">
        <x:f>IF(266&gt;$H$4,"",IF(INDEX('Fleet dates'!$I$9:$I$1008,$I274-8)="","",INDEX('Fleet dates'!$I$9:$I$1008,$I274-8)))</x:f>
      </x:c>
      <x:c r="I274" t="str">
        <x:f>IF(266&gt;$H$4,"",MATCH(266,'Fleet dates'!$M$9:$M$1008,0)+8)</x:f>
      </x:c>
    </x:row>
    <x:row r="275" ht="36" customHeight="1">
      <x:c r="A275" s="50" t="str">
        <x:f>IF(267&gt;$H$4,"",IF(INDEX('Fleet dates'!$A$9:$A$1008,$I275-8)="","",INDEX('Fleet dates'!$A$9:$A$1008,$I275-8)))</x:f>
      </x:c>
      <x:c r="B275" s="50" t="str">
        <x:f>IF(267&gt;$H$4,"",IF(INDEX('Fleet dates'!$B$9:$B$1008,$I275-8)="","",INDEX('Fleet dates'!$B$9:$B$1008,$I275-8)))</x:f>
      </x:c>
      <x:c r="C275" s="51" t="str">
        <x:f>IF(267&gt;$H$4,"",IF(INDEX('Fleet dates'!$C$9:$C$1008,$I275-8)="","",INDEX('Fleet dates'!$C$9:$C$1008,$I275-8)))</x:f>
      </x:c>
      <x:c r="D275" s="51" t="str">
        <x:f>IF(267&gt;$H$4,"",IF(INDEX('Fleet dates'!$D$9:$D$1008,$I275-8)="","",INDEX('Fleet dates'!$D$9:$D$1008,$I275-8)))</x:f>
      </x:c>
      <x:c r="E275" s="51" t="str">
        <x:f>IF(267&gt;$H$4,"",IF(INDEX('Fleet dates'!$E$9:$E$1008,$I275-8)="","",INDEX('Fleet dates'!$E$9:$E$1008,$I275-8)))</x:f>
      </x:c>
      <x:c r="F275" s="51" t="str">
        <x:f>IF(267&gt;$H$4,"",IF(INDEX('Fleet dates'!$F$9:$F$1008,$I275-8)="","",INDEX('Fleet dates'!$F$9:$F$1008,$I275-8)))</x:f>
      </x:c>
      <x:c r="G275" s="50" t="str">
        <x:f>IF(267&gt;$H$4,"",IF(INDEX('Fleet dates'!$G$9:$G$1008,$I275-8)="","",INDEX('Fleet dates'!$G$9:$G$1008,$I275-8)))</x:f>
      </x:c>
      <x:c r="H275" s="50" t="str">
        <x:f>IF(267&gt;$H$4,"",IF(INDEX('Fleet dates'!$I$9:$I$1008,$I275-8)="","",INDEX('Fleet dates'!$I$9:$I$1008,$I275-8)))</x:f>
      </x:c>
      <x:c r="I275" t="str">
        <x:f>IF(267&gt;$H$4,"",MATCH(267,'Fleet dates'!$M$9:$M$1008,0)+8)</x:f>
      </x:c>
    </x:row>
    <x:row r="276" ht="36" customHeight="1">
      <x:c r="A276" s="50" t="str">
        <x:f>IF(268&gt;$H$4,"",IF(INDEX('Fleet dates'!$A$9:$A$1008,$I276-8)="","",INDEX('Fleet dates'!$A$9:$A$1008,$I276-8)))</x:f>
      </x:c>
      <x:c r="B276" s="50" t="str">
        <x:f>IF(268&gt;$H$4,"",IF(INDEX('Fleet dates'!$B$9:$B$1008,$I276-8)="","",INDEX('Fleet dates'!$B$9:$B$1008,$I276-8)))</x:f>
      </x:c>
      <x:c r="C276" s="51" t="str">
        <x:f>IF(268&gt;$H$4,"",IF(INDEX('Fleet dates'!$C$9:$C$1008,$I276-8)="","",INDEX('Fleet dates'!$C$9:$C$1008,$I276-8)))</x:f>
      </x:c>
      <x:c r="D276" s="51" t="str">
        <x:f>IF(268&gt;$H$4,"",IF(INDEX('Fleet dates'!$D$9:$D$1008,$I276-8)="","",INDEX('Fleet dates'!$D$9:$D$1008,$I276-8)))</x:f>
      </x:c>
      <x:c r="E276" s="51" t="str">
        <x:f>IF(268&gt;$H$4,"",IF(INDEX('Fleet dates'!$E$9:$E$1008,$I276-8)="","",INDEX('Fleet dates'!$E$9:$E$1008,$I276-8)))</x:f>
      </x:c>
      <x:c r="F276" s="51" t="str">
        <x:f>IF(268&gt;$H$4,"",IF(INDEX('Fleet dates'!$F$9:$F$1008,$I276-8)="","",INDEX('Fleet dates'!$F$9:$F$1008,$I276-8)))</x:f>
      </x:c>
      <x:c r="G276" s="50" t="str">
        <x:f>IF(268&gt;$H$4,"",IF(INDEX('Fleet dates'!$G$9:$G$1008,$I276-8)="","",INDEX('Fleet dates'!$G$9:$G$1008,$I276-8)))</x:f>
      </x:c>
      <x:c r="H276" s="50" t="str">
        <x:f>IF(268&gt;$H$4,"",IF(INDEX('Fleet dates'!$I$9:$I$1008,$I276-8)="","",INDEX('Fleet dates'!$I$9:$I$1008,$I276-8)))</x:f>
      </x:c>
      <x:c r="I276" t="str">
        <x:f>IF(268&gt;$H$4,"",MATCH(268,'Fleet dates'!$M$9:$M$1008,0)+8)</x:f>
      </x:c>
    </x:row>
    <x:row r="277" ht="36" customHeight="1">
      <x:c r="A277" s="50" t="str">
        <x:f>IF(269&gt;$H$4,"",IF(INDEX('Fleet dates'!$A$9:$A$1008,$I277-8)="","",INDEX('Fleet dates'!$A$9:$A$1008,$I277-8)))</x:f>
      </x:c>
      <x:c r="B277" s="50" t="str">
        <x:f>IF(269&gt;$H$4,"",IF(INDEX('Fleet dates'!$B$9:$B$1008,$I277-8)="","",INDEX('Fleet dates'!$B$9:$B$1008,$I277-8)))</x:f>
      </x:c>
      <x:c r="C277" s="51" t="str">
        <x:f>IF(269&gt;$H$4,"",IF(INDEX('Fleet dates'!$C$9:$C$1008,$I277-8)="","",INDEX('Fleet dates'!$C$9:$C$1008,$I277-8)))</x:f>
      </x:c>
      <x:c r="D277" s="51" t="str">
        <x:f>IF(269&gt;$H$4,"",IF(INDEX('Fleet dates'!$D$9:$D$1008,$I277-8)="","",INDEX('Fleet dates'!$D$9:$D$1008,$I277-8)))</x:f>
      </x:c>
      <x:c r="E277" s="51" t="str">
        <x:f>IF(269&gt;$H$4,"",IF(INDEX('Fleet dates'!$E$9:$E$1008,$I277-8)="","",INDEX('Fleet dates'!$E$9:$E$1008,$I277-8)))</x:f>
      </x:c>
      <x:c r="F277" s="51" t="str">
        <x:f>IF(269&gt;$H$4,"",IF(INDEX('Fleet dates'!$F$9:$F$1008,$I277-8)="","",INDEX('Fleet dates'!$F$9:$F$1008,$I277-8)))</x:f>
      </x:c>
      <x:c r="G277" s="50" t="str">
        <x:f>IF(269&gt;$H$4,"",IF(INDEX('Fleet dates'!$G$9:$G$1008,$I277-8)="","",INDEX('Fleet dates'!$G$9:$G$1008,$I277-8)))</x:f>
      </x:c>
      <x:c r="H277" s="50" t="str">
        <x:f>IF(269&gt;$H$4,"",IF(INDEX('Fleet dates'!$I$9:$I$1008,$I277-8)="","",INDEX('Fleet dates'!$I$9:$I$1008,$I277-8)))</x:f>
      </x:c>
      <x:c r="I277" t="str">
        <x:f>IF(269&gt;$H$4,"",MATCH(269,'Fleet dates'!$M$9:$M$1008,0)+8)</x:f>
      </x:c>
    </x:row>
    <x:row r="278" ht="36" customHeight="1">
      <x:c r="A278" s="50" t="str">
        <x:f>IF(270&gt;$H$4,"",IF(INDEX('Fleet dates'!$A$9:$A$1008,$I278-8)="","",INDEX('Fleet dates'!$A$9:$A$1008,$I278-8)))</x:f>
      </x:c>
      <x:c r="B278" s="50" t="str">
        <x:f>IF(270&gt;$H$4,"",IF(INDEX('Fleet dates'!$B$9:$B$1008,$I278-8)="","",INDEX('Fleet dates'!$B$9:$B$1008,$I278-8)))</x:f>
      </x:c>
      <x:c r="C278" s="51" t="str">
        <x:f>IF(270&gt;$H$4,"",IF(INDEX('Fleet dates'!$C$9:$C$1008,$I278-8)="","",INDEX('Fleet dates'!$C$9:$C$1008,$I278-8)))</x:f>
      </x:c>
      <x:c r="D278" s="51" t="str">
        <x:f>IF(270&gt;$H$4,"",IF(INDEX('Fleet dates'!$D$9:$D$1008,$I278-8)="","",INDEX('Fleet dates'!$D$9:$D$1008,$I278-8)))</x:f>
      </x:c>
      <x:c r="E278" s="51" t="str">
        <x:f>IF(270&gt;$H$4,"",IF(INDEX('Fleet dates'!$E$9:$E$1008,$I278-8)="","",INDEX('Fleet dates'!$E$9:$E$1008,$I278-8)))</x:f>
      </x:c>
      <x:c r="F278" s="51" t="str">
        <x:f>IF(270&gt;$H$4,"",IF(INDEX('Fleet dates'!$F$9:$F$1008,$I278-8)="","",INDEX('Fleet dates'!$F$9:$F$1008,$I278-8)))</x:f>
      </x:c>
      <x:c r="G278" s="50" t="str">
        <x:f>IF(270&gt;$H$4,"",IF(INDEX('Fleet dates'!$G$9:$G$1008,$I278-8)="","",INDEX('Fleet dates'!$G$9:$G$1008,$I278-8)))</x:f>
      </x:c>
      <x:c r="H278" s="50" t="str">
        <x:f>IF(270&gt;$H$4,"",IF(INDEX('Fleet dates'!$I$9:$I$1008,$I278-8)="","",INDEX('Fleet dates'!$I$9:$I$1008,$I278-8)))</x:f>
      </x:c>
      <x:c r="I278" t="str">
        <x:f>IF(270&gt;$H$4,"",MATCH(270,'Fleet dates'!$M$9:$M$1008,0)+8)</x:f>
      </x:c>
    </x:row>
    <x:row r="279" ht="36" customHeight="1">
      <x:c r="A279" s="50" t="str">
        <x:f>IF(271&gt;$H$4,"",IF(INDEX('Fleet dates'!$A$9:$A$1008,$I279-8)="","",INDEX('Fleet dates'!$A$9:$A$1008,$I279-8)))</x:f>
      </x:c>
      <x:c r="B279" s="50" t="str">
        <x:f>IF(271&gt;$H$4,"",IF(INDEX('Fleet dates'!$B$9:$B$1008,$I279-8)="","",INDEX('Fleet dates'!$B$9:$B$1008,$I279-8)))</x:f>
      </x:c>
      <x:c r="C279" s="51" t="str">
        <x:f>IF(271&gt;$H$4,"",IF(INDEX('Fleet dates'!$C$9:$C$1008,$I279-8)="","",INDEX('Fleet dates'!$C$9:$C$1008,$I279-8)))</x:f>
      </x:c>
      <x:c r="D279" s="51" t="str">
        <x:f>IF(271&gt;$H$4,"",IF(INDEX('Fleet dates'!$D$9:$D$1008,$I279-8)="","",INDEX('Fleet dates'!$D$9:$D$1008,$I279-8)))</x:f>
      </x:c>
      <x:c r="E279" s="51" t="str">
        <x:f>IF(271&gt;$H$4,"",IF(INDEX('Fleet dates'!$E$9:$E$1008,$I279-8)="","",INDEX('Fleet dates'!$E$9:$E$1008,$I279-8)))</x:f>
      </x:c>
      <x:c r="F279" s="51" t="str">
        <x:f>IF(271&gt;$H$4,"",IF(INDEX('Fleet dates'!$F$9:$F$1008,$I279-8)="","",INDEX('Fleet dates'!$F$9:$F$1008,$I279-8)))</x:f>
      </x:c>
      <x:c r="G279" s="50" t="str">
        <x:f>IF(271&gt;$H$4,"",IF(INDEX('Fleet dates'!$G$9:$G$1008,$I279-8)="","",INDEX('Fleet dates'!$G$9:$G$1008,$I279-8)))</x:f>
      </x:c>
      <x:c r="H279" s="50" t="str">
        <x:f>IF(271&gt;$H$4,"",IF(INDEX('Fleet dates'!$I$9:$I$1008,$I279-8)="","",INDEX('Fleet dates'!$I$9:$I$1008,$I279-8)))</x:f>
      </x:c>
      <x:c r="I279" t="str">
        <x:f>IF(271&gt;$H$4,"",MATCH(271,'Fleet dates'!$M$9:$M$1008,0)+8)</x:f>
      </x:c>
    </x:row>
    <x:row r="280" ht="36" customHeight="1">
      <x:c r="A280" s="50" t="str">
        <x:f>IF(272&gt;$H$4,"",IF(INDEX('Fleet dates'!$A$9:$A$1008,$I280-8)="","",INDEX('Fleet dates'!$A$9:$A$1008,$I280-8)))</x:f>
      </x:c>
      <x:c r="B280" s="50" t="str">
        <x:f>IF(272&gt;$H$4,"",IF(INDEX('Fleet dates'!$B$9:$B$1008,$I280-8)="","",INDEX('Fleet dates'!$B$9:$B$1008,$I280-8)))</x:f>
      </x:c>
      <x:c r="C280" s="51" t="str">
        <x:f>IF(272&gt;$H$4,"",IF(INDEX('Fleet dates'!$C$9:$C$1008,$I280-8)="","",INDEX('Fleet dates'!$C$9:$C$1008,$I280-8)))</x:f>
      </x:c>
      <x:c r="D280" s="51" t="str">
        <x:f>IF(272&gt;$H$4,"",IF(INDEX('Fleet dates'!$D$9:$D$1008,$I280-8)="","",INDEX('Fleet dates'!$D$9:$D$1008,$I280-8)))</x:f>
      </x:c>
      <x:c r="E280" s="51" t="str">
        <x:f>IF(272&gt;$H$4,"",IF(INDEX('Fleet dates'!$E$9:$E$1008,$I280-8)="","",INDEX('Fleet dates'!$E$9:$E$1008,$I280-8)))</x:f>
      </x:c>
      <x:c r="F280" s="51" t="str">
        <x:f>IF(272&gt;$H$4,"",IF(INDEX('Fleet dates'!$F$9:$F$1008,$I280-8)="","",INDEX('Fleet dates'!$F$9:$F$1008,$I280-8)))</x:f>
      </x:c>
      <x:c r="G280" s="50" t="str">
        <x:f>IF(272&gt;$H$4,"",IF(INDEX('Fleet dates'!$G$9:$G$1008,$I280-8)="","",INDEX('Fleet dates'!$G$9:$G$1008,$I280-8)))</x:f>
      </x:c>
      <x:c r="H280" s="50" t="str">
        <x:f>IF(272&gt;$H$4,"",IF(INDEX('Fleet dates'!$I$9:$I$1008,$I280-8)="","",INDEX('Fleet dates'!$I$9:$I$1008,$I280-8)))</x:f>
      </x:c>
      <x:c r="I280" t="str">
        <x:f>IF(272&gt;$H$4,"",MATCH(272,'Fleet dates'!$M$9:$M$1008,0)+8)</x:f>
      </x:c>
    </x:row>
    <x:row r="281" ht="36" customHeight="1">
      <x:c r="A281" s="50" t="str">
        <x:f>IF(273&gt;$H$4,"",IF(INDEX('Fleet dates'!$A$9:$A$1008,$I281-8)="","",INDEX('Fleet dates'!$A$9:$A$1008,$I281-8)))</x:f>
      </x:c>
      <x:c r="B281" s="50" t="str">
        <x:f>IF(273&gt;$H$4,"",IF(INDEX('Fleet dates'!$B$9:$B$1008,$I281-8)="","",INDEX('Fleet dates'!$B$9:$B$1008,$I281-8)))</x:f>
      </x:c>
      <x:c r="C281" s="51" t="str">
        <x:f>IF(273&gt;$H$4,"",IF(INDEX('Fleet dates'!$C$9:$C$1008,$I281-8)="","",INDEX('Fleet dates'!$C$9:$C$1008,$I281-8)))</x:f>
      </x:c>
      <x:c r="D281" s="51" t="str">
        <x:f>IF(273&gt;$H$4,"",IF(INDEX('Fleet dates'!$D$9:$D$1008,$I281-8)="","",INDEX('Fleet dates'!$D$9:$D$1008,$I281-8)))</x:f>
      </x:c>
      <x:c r="E281" s="51" t="str">
        <x:f>IF(273&gt;$H$4,"",IF(INDEX('Fleet dates'!$E$9:$E$1008,$I281-8)="","",INDEX('Fleet dates'!$E$9:$E$1008,$I281-8)))</x:f>
      </x:c>
      <x:c r="F281" s="51" t="str">
        <x:f>IF(273&gt;$H$4,"",IF(INDEX('Fleet dates'!$F$9:$F$1008,$I281-8)="","",INDEX('Fleet dates'!$F$9:$F$1008,$I281-8)))</x:f>
      </x:c>
      <x:c r="G281" s="50" t="str">
        <x:f>IF(273&gt;$H$4,"",IF(INDEX('Fleet dates'!$G$9:$G$1008,$I281-8)="","",INDEX('Fleet dates'!$G$9:$G$1008,$I281-8)))</x:f>
      </x:c>
      <x:c r="H281" s="50" t="str">
        <x:f>IF(273&gt;$H$4,"",IF(INDEX('Fleet dates'!$I$9:$I$1008,$I281-8)="","",INDEX('Fleet dates'!$I$9:$I$1008,$I281-8)))</x:f>
      </x:c>
      <x:c r="I281" t="str">
        <x:f>IF(273&gt;$H$4,"",MATCH(273,'Fleet dates'!$M$9:$M$1008,0)+8)</x:f>
      </x:c>
    </x:row>
    <x:row r="282" ht="36" customHeight="1">
      <x:c r="A282" s="50" t="str">
        <x:f>IF(274&gt;$H$4,"",IF(INDEX('Fleet dates'!$A$9:$A$1008,$I282-8)="","",INDEX('Fleet dates'!$A$9:$A$1008,$I282-8)))</x:f>
      </x:c>
      <x:c r="B282" s="50" t="str">
        <x:f>IF(274&gt;$H$4,"",IF(INDEX('Fleet dates'!$B$9:$B$1008,$I282-8)="","",INDEX('Fleet dates'!$B$9:$B$1008,$I282-8)))</x:f>
      </x:c>
      <x:c r="C282" s="51" t="str">
        <x:f>IF(274&gt;$H$4,"",IF(INDEX('Fleet dates'!$C$9:$C$1008,$I282-8)="","",INDEX('Fleet dates'!$C$9:$C$1008,$I282-8)))</x:f>
      </x:c>
      <x:c r="D282" s="51" t="str">
        <x:f>IF(274&gt;$H$4,"",IF(INDEX('Fleet dates'!$D$9:$D$1008,$I282-8)="","",INDEX('Fleet dates'!$D$9:$D$1008,$I282-8)))</x:f>
      </x:c>
      <x:c r="E282" s="51" t="str">
        <x:f>IF(274&gt;$H$4,"",IF(INDEX('Fleet dates'!$E$9:$E$1008,$I282-8)="","",INDEX('Fleet dates'!$E$9:$E$1008,$I282-8)))</x:f>
      </x:c>
      <x:c r="F282" s="51" t="str">
        <x:f>IF(274&gt;$H$4,"",IF(INDEX('Fleet dates'!$F$9:$F$1008,$I282-8)="","",INDEX('Fleet dates'!$F$9:$F$1008,$I282-8)))</x:f>
      </x:c>
      <x:c r="G282" s="50" t="str">
        <x:f>IF(274&gt;$H$4,"",IF(INDEX('Fleet dates'!$G$9:$G$1008,$I282-8)="","",INDEX('Fleet dates'!$G$9:$G$1008,$I282-8)))</x:f>
      </x:c>
      <x:c r="H282" s="50" t="str">
        <x:f>IF(274&gt;$H$4,"",IF(INDEX('Fleet dates'!$I$9:$I$1008,$I282-8)="","",INDEX('Fleet dates'!$I$9:$I$1008,$I282-8)))</x:f>
      </x:c>
      <x:c r="I282" t="str">
        <x:f>IF(274&gt;$H$4,"",MATCH(274,'Fleet dates'!$M$9:$M$1008,0)+8)</x:f>
      </x:c>
    </x:row>
    <x:row r="283" ht="36" customHeight="1">
      <x:c r="A283" s="50" t="str">
        <x:f>IF(275&gt;$H$4,"",IF(INDEX('Fleet dates'!$A$9:$A$1008,$I283-8)="","",INDEX('Fleet dates'!$A$9:$A$1008,$I283-8)))</x:f>
      </x:c>
      <x:c r="B283" s="50" t="str">
        <x:f>IF(275&gt;$H$4,"",IF(INDEX('Fleet dates'!$B$9:$B$1008,$I283-8)="","",INDEX('Fleet dates'!$B$9:$B$1008,$I283-8)))</x:f>
      </x:c>
      <x:c r="C283" s="51" t="str">
        <x:f>IF(275&gt;$H$4,"",IF(INDEX('Fleet dates'!$C$9:$C$1008,$I283-8)="","",INDEX('Fleet dates'!$C$9:$C$1008,$I283-8)))</x:f>
      </x:c>
      <x:c r="D283" s="51" t="str">
        <x:f>IF(275&gt;$H$4,"",IF(INDEX('Fleet dates'!$D$9:$D$1008,$I283-8)="","",INDEX('Fleet dates'!$D$9:$D$1008,$I283-8)))</x:f>
      </x:c>
      <x:c r="E283" s="51" t="str">
        <x:f>IF(275&gt;$H$4,"",IF(INDEX('Fleet dates'!$E$9:$E$1008,$I283-8)="","",INDEX('Fleet dates'!$E$9:$E$1008,$I283-8)))</x:f>
      </x:c>
      <x:c r="F283" s="51" t="str">
        <x:f>IF(275&gt;$H$4,"",IF(INDEX('Fleet dates'!$F$9:$F$1008,$I283-8)="","",INDEX('Fleet dates'!$F$9:$F$1008,$I283-8)))</x:f>
      </x:c>
      <x:c r="G283" s="50" t="str">
        <x:f>IF(275&gt;$H$4,"",IF(INDEX('Fleet dates'!$G$9:$G$1008,$I283-8)="","",INDEX('Fleet dates'!$G$9:$G$1008,$I283-8)))</x:f>
      </x:c>
      <x:c r="H283" s="50" t="str">
        <x:f>IF(275&gt;$H$4,"",IF(INDEX('Fleet dates'!$I$9:$I$1008,$I283-8)="","",INDEX('Fleet dates'!$I$9:$I$1008,$I283-8)))</x:f>
      </x:c>
      <x:c r="I283" t="str">
        <x:f>IF(275&gt;$H$4,"",MATCH(275,'Fleet dates'!$M$9:$M$1008,0)+8)</x:f>
      </x:c>
    </x:row>
    <x:row r="284" ht="36" customHeight="1">
      <x:c r="A284" s="50" t="str">
        <x:f>IF(276&gt;$H$4,"",IF(INDEX('Fleet dates'!$A$9:$A$1008,$I284-8)="","",INDEX('Fleet dates'!$A$9:$A$1008,$I284-8)))</x:f>
      </x:c>
      <x:c r="B284" s="50" t="str">
        <x:f>IF(276&gt;$H$4,"",IF(INDEX('Fleet dates'!$B$9:$B$1008,$I284-8)="","",INDEX('Fleet dates'!$B$9:$B$1008,$I284-8)))</x:f>
      </x:c>
      <x:c r="C284" s="51" t="str">
        <x:f>IF(276&gt;$H$4,"",IF(INDEX('Fleet dates'!$C$9:$C$1008,$I284-8)="","",INDEX('Fleet dates'!$C$9:$C$1008,$I284-8)))</x:f>
      </x:c>
      <x:c r="D284" s="51" t="str">
        <x:f>IF(276&gt;$H$4,"",IF(INDEX('Fleet dates'!$D$9:$D$1008,$I284-8)="","",INDEX('Fleet dates'!$D$9:$D$1008,$I284-8)))</x:f>
      </x:c>
      <x:c r="E284" s="51" t="str">
        <x:f>IF(276&gt;$H$4,"",IF(INDEX('Fleet dates'!$E$9:$E$1008,$I284-8)="","",INDEX('Fleet dates'!$E$9:$E$1008,$I284-8)))</x:f>
      </x:c>
      <x:c r="F284" s="51" t="str">
        <x:f>IF(276&gt;$H$4,"",IF(INDEX('Fleet dates'!$F$9:$F$1008,$I284-8)="","",INDEX('Fleet dates'!$F$9:$F$1008,$I284-8)))</x:f>
      </x:c>
      <x:c r="G284" s="50" t="str">
        <x:f>IF(276&gt;$H$4,"",IF(INDEX('Fleet dates'!$G$9:$G$1008,$I284-8)="","",INDEX('Fleet dates'!$G$9:$G$1008,$I284-8)))</x:f>
      </x:c>
      <x:c r="H284" s="50" t="str">
        <x:f>IF(276&gt;$H$4,"",IF(INDEX('Fleet dates'!$I$9:$I$1008,$I284-8)="","",INDEX('Fleet dates'!$I$9:$I$1008,$I284-8)))</x:f>
      </x:c>
      <x:c r="I284" t="str">
        <x:f>IF(276&gt;$H$4,"",MATCH(276,'Fleet dates'!$M$9:$M$1008,0)+8)</x:f>
      </x:c>
    </x:row>
    <x:row r="285" ht="36" customHeight="1">
      <x:c r="A285" s="50" t="str">
        <x:f>IF(277&gt;$H$4,"",IF(INDEX('Fleet dates'!$A$9:$A$1008,$I285-8)="","",INDEX('Fleet dates'!$A$9:$A$1008,$I285-8)))</x:f>
      </x:c>
      <x:c r="B285" s="50" t="str">
        <x:f>IF(277&gt;$H$4,"",IF(INDEX('Fleet dates'!$B$9:$B$1008,$I285-8)="","",INDEX('Fleet dates'!$B$9:$B$1008,$I285-8)))</x:f>
      </x:c>
      <x:c r="C285" s="51" t="str">
        <x:f>IF(277&gt;$H$4,"",IF(INDEX('Fleet dates'!$C$9:$C$1008,$I285-8)="","",INDEX('Fleet dates'!$C$9:$C$1008,$I285-8)))</x:f>
      </x:c>
      <x:c r="D285" s="51" t="str">
        <x:f>IF(277&gt;$H$4,"",IF(INDEX('Fleet dates'!$D$9:$D$1008,$I285-8)="","",INDEX('Fleet dates'!$D$9:$D$1008,$I285-8)))</x:f>
      </x:c>
      <x:c r="E285" s="51" t="str">
        <x:f>IF(277&gt;$H$4,"",IF(INDEX('Fleet dates'!$E$9:$E$1008,$I285-8)="","",INDEX('Fleet dates'!$E$9:$E$1008,$I285-8)))</x:f>
      </x:c>
      <x:c r="F285" s="51" t="str">
        <x:f>IF(277&gt;$H$4,"",IF(INDEX('Fleet dates'!$F$9:$F$1008,$I285-8)="","",INDEX('Fleet dates'!$F$9:$F$1008,$I285-8)))</x:f>
      </x:c>
      <x:c r="G285" s="50" t="str">
        <x:f>IF(277&gt;$H$4,"",IF(INDEX('Fleet dates'!$G$9:$G$1008,$I285-8)="","",INDEX('Fleet dates'!$G$9:$G$1008,$I285-8)))</x:f>
      </x:c>
      <x:c r="H285" s="50" t="str">
        <x:f>IF(277&gt;$H$4,"",IF(INDEX('Fleet dates'!$I$9:$I$1008,$I285-8)="","",INDEX('Fleet dates'!$I$9:$I$1008,$I285-8)))</x:f>
      </x:c>
      <x:c r="I285" t="str">
        <x:f>IF(277&gt;$H$4,"",MATCH(277,'Fleet dates'!$M$9:$M$1008,0)+8)</x:f>
      </x:c>
    </x:row>
    <x:row r="286" ht="36" customHeight="1">
      <x:c r="A286" s="50" t="str">
        <x:f>IF(278&gt;$H$4,"",IF(INDEX('Fleet dates'!$A$9:$A$1008,$I286-8)="","",INDEX('Fleet dates'!$A$9:$A$1008,$I286-8)))</x:f>
      </x:c>
      <x:c r="B286" s="50" t="str">
        <x:f>IF(278&gt;$H$4,"",IF(INDEX('Fleet dates'!$B$9:$B$1008,$I286-8)="","",INDEX('Fleet dates'!$B$9:$B$1008,$I286-8)))</x:f>
      </x:c>
      <x:c r="C286" s="51" t="str">
        <x:f>IF(278&gt;$H$4,"",IF(INDEX('Fleet dates'!$C$9:$C$1008,$I286-8)="","",INDEX('Fleet dates'!$C$9:$C$1008,$I286-8)))</x:f>
      </x:c>
      <x:c r="D286" s="51" t="str">
        <x:f>IF(278&gt;$H$4,"",IF(INDEX('Fleet dates'!$D$9:$D$1008,$I286-8)="","",INDEX('Fleet dates'!$D$9:$D$1008,$I286-8)))</x:f>
      </x:c>
      <x:c r="E286" s="51" t="str">
        <x:f>IF(278&gt;$H$4,"",IF(INDEX('Fleet dates'!$E$9:$E$1008,$I286-8)="","",INDEX('Fleet dates'!$E$9:$E$1008,$I286-8)))</x:f>
      </x:c>
      <x:c r="F286" s="51" t="str">
        <x:f>IF(278&gt;$H$4,"",IF(INDEX('Fleet dates'!$F$9:$F$1008,$I286-8)="","",INDEX('Fleet dates'!$F$9:$F$1008,$I286-8)))</x:f>
      </x:c>
      <x:c r="G286" s="50" t="str">
        <x:f>IF(278&gt;$H$4,"",IF(INDEX('Fleet dates'!$G$9:$G$1008,$I286-8)="","",INDEX('Fleet dates'!$G$9:$G$1008,$I286-8)))</x:f>
      </x:c>
      <x:c r="H286" s="50" t="str">
        <x:f>IF(278&gt;$H$4,"",IF(INDEX('Fleet dates'!$I$9:$I$1008,$I286-8)="","",INDEX('Fleet dates'!$I$9:$I$1008,$I286-8)))</x:f>
      </x:c>
      <x:c r="I286" t="str">
        <x:f>IF(278&gt;$H$4,"",MATCH(278,'Fleet dates'!$M$9:$M$1008,0)+8)</x:f>
      </x:c>
    </x:row>
    <x:row r="287" ht="36" customHeight="1">
      <x:c r="A287" s="50" t="str">
        <x:f>IF(279&gt;$H$4,"",IF(INDEX('Fleet dates'!$A$9:$A$1008,$I287-8)="","",INDEX('Fleet dates'!$A$9:$A$1008,$I287-8)))</x:f>
      </x:c>
      <x:c r="B287" s="50" t="str">
        <x:f>IF(279&gt;$H$4,"",IF(INDEX('Fleet dates'!$B$9:$B$1008,$I287-8)="","",INDEX('Fleet dates'!$B$9:$B$1008,$I287-8)))</x:f>
      </x:c>
      <x:c r="C287" s="51" t="str">
        <x:f>IF(279&gt;$H$4,"",IF(INDEX('Fleet dates'!$C$9:$C$1008,$I287-8)="","",INDEX('Fleet dates'!$C$9:$C$1008,$I287-8)))</x:f>
      </x:c>
      <x:c r="D287" s="51" t="str">
        <x:f>IF(279&gt;$H$4,"",IF(INDEX('Fleet dates'!$D$9:$D$1008,$I287-8)="","",INDEX('Fleet dates'!$D$9:$D$1008,$I287-8)))</x:f>
      </x:c>
      <x:c r="E287" s="51" t="str">
        <x:f>IF(279&gt;$H$4,"",IF(INDEX('Fleet dates'!$E$9:$E$1008,$I287-8)="","",INDEX('Fleet dates'!$E$9:$E$1008,$I287-8)))</x:f>
      </x:c>
      <x:c r="F287" s="51" t="str">
        <x:f>IF(279&gt;$H$4,"",IF(INDEX('Fleet dates'!$F$9:$F$1008,$I287-8)="","",INDEX('Fleet dates'!$F$9:$F$1008,$I287-8)))</x:f>
      </x:c>
      <x:c r="G287" s="50" t="str">
        <x:f>IF(279&gt;$H$4,"",IF(INDEX('Fleet dates'!$G$9:$G$1008,$I287-8)="","",INDEX('Fleet dates'!$G$9:$G$1008,$I287-8)))</x:f>
      </x:c>
      <x:c r="H287" s="50" t="str">
        <x:f>IF(279&gt;$H$4,"",IF(INDEX('Fleet dates'!$I$9:$I$1008,$I287-8)="","",INDEX('Fleet dates'!$I$9:$I$1008,$I287-8)))</x:f>
      </x:c>
      <x:c r="I287" t="str">
        <x:f>IF(279&gt;$H$4,"",MATCH(279,'Fleet dates'!$M$9:$M$1008,0)+8)</x:f>
      </x:c>
    </x:row>
    <x:row r="288" ht="36" customHeight="1">
      <x:c r="A288" s="50" t="str">
        <x:f>IF(280&gt;$H$4,"",IF(INDEX('Fleet dates'!$A$9:$A$1008,$I288-8)="","",INDEX('Fleet dates'!$A$9:$A$1008,$I288-8)))</x:f>
      </x:c>
      <x:c r="B288" s="50" t="str">
        <x:f>IF(280&gt;$H$4,"",IF(INDEX('Fleet dates'!$B$9:$B$1008,$I288-8)="","",INDEX('Fleet dates'!$B$9:$B$1008,$I288-8)))</x:f>
      </x:c>
      <x:c r="C288" s="51" t="str">
        <x:f>IF(280&gt;$H$4,"",IF(INDEX('Fleet dates'!$C$9:$C$1008,$I288-8)="","",INDEX('Fleet dates'!$C$9:$C$1008,$I288-8)))</x:f>
      </x:c>
      <x:c r="D288" s="51" t="str">
        <x:f>IF(280&gt;$H$4,"",IF(INDEX('Fleet dates'!$D$9:$D$1008,$I288-8)="","",INDEX('Fleet dates'!$D$9:$D$1008,$I288-8)))</x:f>
      </x:c>
      <x:c r="E288" s="51" t="str">
        <x:f>IF(280&gt;$H$4,"",IF(INDEX('Fleet dates'!$E$9:$E$1008,$I288-8)="","",INDEX('Fleet dates'!$E$9:$E$1008,$I288-8)))</x:f>
      </x:c>
      <x:c r="F288" s="51" t="str">
        <x:f>IF(280&gt;$H$4,"",IF(INDEX('Fleet dates'!$F$9:$F$1008,$I288-8)="","",INDEX('Fleet dates'!$F$9:$F$1008,$I288-8)))</x:f>
      </x:c>
      <x:c r="G288" s="50" t="str">
        <x:f>IF(280&gt;$H$4,"",IF(INDEX('Fleet dates'!$G$9:$G$1008,$I288-8)="","",INDEX('Fleet dates'!$G$9:$G$1008,$I288-8)))</x:f>
      </x:c>
      <x:c r="H288" s="50" t="str">
        <x:f>IF(280&gt;$H$4,"",IF(INDEX('Fleet dates'!$I$9:$I$1008,$I288-8)="","",INDEX('Fleet dates'!$I$9:$I$1008,$I288-8)))</x:f>
      </x:c>
      <x:c r="I288" t="str">
        <x:f>IF(280&gt;$H$4,"",MATCH(280,'Fleet dates'!$M$9:$M$1008,0)+8)</x:f>
      </x:c>
    </x:row>
    <x:row r="289" ht="36" customHeight="1">
      <x:c r="A289" s="50" t="str">
        <x:f>IF(281&gt;$H$4,"",IF(INDEX('Fleet dates'!$A$9:$A$1008,$I289-8)="","",INDEX('Fleet dates'!$A$9:$A$1008,$I289-8)))</x:f>
      </x:c>
      <x:c r="B289" s="50" t="str">
        <x:f>IF(281&gt;$H$4,"",IF(INDEX('Fleet dates'!$B$9:$B$1008,$I289-8)="","",INDEX('Fleet dates'!$B$9:$B$1008,$I289-8)))</x:f>
      </x:c>
      <x:c r="C289" s="51" t="str">
        <x:f>IF(281&gt;$H$4,"",IF(INDEX('Fleet dates'!$C$9:$C$1008,$I289-8)="","",INDEX('Fleet dates'!$C$9:$C$1008,$I289-8)))</x:f>
      </x:c>
      <x:c r="D289" s="51" t="str">
        <x:f>IF(281&gt;$H$4,"",IF(INDEX('Fleet dates'!$D$9:$D$1008,$I289-8)="","",INDEX('Fleet dates'!$D$9:$D$1008,$I289-8)))</x:f>
      </x:c>
      <x:c r="E289" s="51" t="str">
        <x:f>IF(281&gt;$H$4,"",IF(INDEX('Fleet dates'!$E$9:$E$1008,$I289-8)="","",INDEX('Fleet dates'!$E$9:$E$1008,$I289-8)))</x:f>
      </x:c>
      <x:c r="F289" s="51" t="str">
        <x:f>IF(281&gt;$H$4,"",IF(INDEX('Fleet dates'!$F$9:$F$1008,$I289-8)="","",INDEX('Fleet dates'!$F$9:$F$1008,$I289-8)))</x:f>
      </x:c>
      <x:c r="G289" s="50" t="str">
        <x:f>IF(281&gt;$H$4,"",IF(INDEX('Fleet dates'!$G$9:$G$1008,$I289-8)="","",INDEX('Fleet dates'!$G$9:$G$1008,$I289-8)))</x:f>
      </x:c>
      <x:c r="H289" s="50" t="str">
        <x:f>IF(281&gt;$H$4,"",IF(INDEX('Fleet dates'!$I$9:$I$1008,$I289-8)="","",INDEX('Fleet dates'!$I$9:$I$1008,$I289-8)))</x:f>
      </x:c>
      <x:c r="I289" t="str">
        <x:f>IF(281&gt;$H$4,"",MATCH(281,'Fleet dates'!$M$9:$M$1008,0)+8)</x:f>
      </x:c>
    </x:row>
    <x:row r="290" ht="36" customHeight="1">
      <x:c r="A290" s="50" t="str">
        <x:f>IF(282&gt;$H$4,"",IF(INDEX('Fleet dates'!$A$9:$A$1008,$I290-8)="","",INDEX('Fleet dates'!$A$9:$A$1008,$I290-8)))</x:f>
      </x:c>
      <x:c r="B290" s="50" t="str">
        <x:f>IF(282&gt;$H$4,"",IF(INDEX('Fleet dates'!$B$9:$B$1008,$I290-8)="","",INDEX('Fleet dates'!$B$9:$B$1008,$I290-8)))</x:f>
      </x:c>
      <x:c r="C290" s="51" t="str">
        <x:f>IF(282&gt;$H$4,"",IF(INDEX('Fleet dates'!$C$9:$C$1008,$I290-8)="","",INDEX('Fleet dates'!$C$9:$C$1008,$I290-8)))</x:f>
      </x:c>
      <x:c r="D290" s="51" t="str">
        <x:f>IF(282&gt;$H$4,"",IF(INDEX('Fleet dates'!$D$9:$D$1008,$I290-8)="","",INDEX('Fleet dates'!$D$9:$D$1008,$I290-8)))</x:f>
      </x:c>
      <x:c r="E290" s="51" t="str">
        <x:f>IF(282&gt;$H$4,"",IF(INDEX('Fleet dates'!$E$9:$E$1008,$I290-8)="","",INDEX('Fleet dates'!$E$9:$E$1008,$I290-8)))</x:f>
      </x:c>
      <x:c r="F290" s="51" t="str">
        <x:f>IF(282&gt;$H$4,"",IF(INDEX('Fleet dates'!$F$9:$F$1008,$I290-8)="","",INDEX('Fleet dates'!$F$9:$F$1008,$I290-8)))</x:f>
      </x:c>
      <x:c r="G290" s="50" t="str">
        <x:f>IF(282&gt;$H$4,"",IF(INDEX('Fleet dates'!$G$9:$G$1008,$I290-8)="","",INDEX('Fleet dates'!$G$9:$G$1008,$I290-8)))</x:f>
      </x:c>
      <x:c r="H290" s="50" t="str">
        <x:f>IF(282&gt;$H$4,"",IF(INDEX('Fleet dates'!$I$9:$I$1008,$I290-8)="","",INDEX('Fleet dates'!$I$9:$I$1008,$I290-8)))</x:f>
      </x:c>
      <x:c r="I290" t="str">
        <x:f>IF(282&gt;$H$4,"",MATCH(282,'Fleet dates'!$M$9:$M$1008,0)+8)</x:f>
      </x:c>
    </x:row>
    <x:row r="291" ht="36" customHeight="1">
      <x:c r="A291" s="50" t="str">
        <x:f>IF(283&gt;$H$4,"",IF(INDEX('Fleet dates'!$A$9:$A$1008,$I291-8)="","",INDEX('Fleet dates'!$A$9:$A$1008,$I291-8)))</x:f>
      </x:c>
      <x:c r="B291" s="50" t="str">
        <x:f>IF(283&gt;$H$4,"",IF(INDEX('Fleet dates'!$B$9:$B$1008,$I291-8)="","",INDEX('Fleet dates'!$B$9:$B$1008,$I291-8)))</x:f>
      </x:c>
      <x:c r="C291" s="51" t="str">
        <x:f>IF(283&gt;$H$4,"",IF(INDEX('Fleet dates'!$C$9:$C$1008,$I291-8)="","",INDEX('Fleet dates'!$C$9:$C$1008,$I291-8)))</x:f>
      </x:c>
      <x:c r="D291" s="51" t="str">
        <x:f>IF(283&gt;$H$4,"",IF(INDEX('Fleet dates'!$D$9:$D$1008,$I291-8)="","",INDEX('Fleet dates'!$D$9:$D$1008,$I291-8)))</x:f>
      </x:c>
      <x:c r="E291" s="51" t="str">
        <x:f>IF(283&gt;$H$4,"",IF(INDEX('Fleet dates'!$E$9:$E$1008,$I291-8)="","",INDEX('Fleet dates'!$E$9:$E$1008,$I291-8)))</x:f>
      </x:c>
      <x:c r="F291" s="51" t="str">
        <x:f>IF(283&gt;$H$4,"",IF(INDEX('Fleet dates'!$F$9:$F$1008,$I291-8)="","",INDEX('Fleet dates'!$F$9:$F$1008,$I291-8)))</x:f>
      </x:c>
      <x:c r="G291" s="50" t="str">
        <x:f>IF(283&gt;$H$4,"",IF(INDEX('Fleet dates'!$G$9:$G$1008,$I291-8)="","",INDEX('Fleet dates'!$G$9:$G$1008,$I291-8)))</x:f>
      </x:c>
      <x:c r="H291" s="50" t="str">
        <x:f>IF(283&gt;$H$4,"",IF(INDEX('Fleet dates'!$I$9:$I$1008,$I291-8)="","",INDEX('Fleet dates'!$I$9:$I$1008,$I291-8)))</x:f>
      </x:c>
      <x:c r="I291" t="str">
        <x:f>IF(283&gt;$H$4,"",MATCH(283,'Fleet dates'!$M$9:$M$1008,0)+8)</x:f>
      </x:c>
    </x:row>
    <x:row r="292" ht="36" customHeight="1">
      <x:c r="A292" s="50" t="str">
        <x:f>IF(284&gt;$H$4,"",IF(INDEX('Fleet dates'!$A$9:$A$1008,$I292-8)="","",INDEX('Fleet dates'!$A$9:$A$1008,$I292-8)))</x:f>
      </x:c>
      <x:c r="B292" s="50" t="str">
        <x:f>IF(284&gt;$H$4,"",IF(INDEX('Fleet dates'!$B$9:$B$1008,$I292-8)="","",INDEX('Fleet dates'!$B$9:$B$1008,$I292-8)))</x:f>
      </x:c>
      <x:c r="C292" s="51" t="str">
        <x:f>IF(284&gt;$H$4,"",IF(INDEX('Fleet dates'!$C$9:$C$1008,$I292-8)="","",INDEX('Fleet dates'!$C$9:$C$1008,$I292-8)))</x:f>
      </x:c>
      <x:c r="D292" s="51" t="str">
        <x:f>IF(284&gt;$H$4,"",IF(INDEX('Fleet dates'!$D$9:$D$1008,$I292-8)="","",INDEX('Fleet dates'!$D$9:$D$1008,$I292-8)))</x:f>
      </x:c>
      <x:c r="E292" s="51" t="str">
        <x:f>IF(284&gt;$H$4,"",IF(INDEX('Fleet dates'!$E$9:$E$1008,$I292-8)="","",INDEX('Fleet dates'!$E$9:$E$1008,$I292-8)))</x:f>
      </x:c>
      <x:c r="F292" s="51" t="str">
        <x:f>IF(284&gt;$H$4,"",IF(INDEX('Fleet dates'!$F$9:$F$1008,$I292-8)="","",INDEX('Fleet dates'!$F$9:$F$1008,$I292-8)))</x:f>
      </x:c>
      <x:c r="G292" s="50" t="str">
        <x:f>IF(284&gt;$H$4,"",IF(INDEX('Fleet dates'!$G$9:$G$1008,$I292-8)="","",INDEX('Fleet dates'!$G$9:$G$1008,$I292-8)))</x:f>
      </x:c>
      <x:c r="H292" s="50" t="str">
        <x:f>IF(284&gt;$H$4,"",IF(INDEX('Fleet dates'!$I$9:$I$1008,$I292-8)="","",INDEX('Fleet dates'!$I$9:$I$1008,$I292-8)))</x:f>
      </x:c>
      <x:c r="I292" t="str">
        <x:f>IF(284&gt;$H$4,"",MATCH(284,'Fleet dates'!$M$9:$M$1008,0)+8)</x:f>
      </x:c>
    </x:row>
    <x:row r="293" ht="36" customHeight="1">
      <x:c r="A293" s="50" t="str">
        <x:f>IF(285&gt;$H$4,"",IF(INDEX('Fleet dates'!$A$9:$A$1008,$I293-8)="","",INDEX('Fleet dates'!$A$9:$A$1008,$I293-8)))</x:f>
      </x:c>
      <x:c r="B293" s="50" t="str">
        <x:f>IF(285&gt;$H$4,"",IF(INDEX('Fleet dates'!$B$9:$B$1008,$I293-8)="","",INDEX('Fleet dates'!$B$9:$B$1008,$I293-8)))</x:f>
      </x:c>
      <x:c r="C293" s="51" t="str">
        <x:f>IF(285&gt;$H$4,"",IF(INDEX('Fleet dates'!$C$9:$C$1008,$I293-8)="","",INDEX('Fleet dates'!$C$9:$C$1008,$I293-8)))</x:f>
      </x:c>
      <x:c r="D293" s="51" t="str">
        <x:f>IF(285&gt;$H$4,"",IF(INDEX('Fleet dates'!$D$9:$D$1008,$I293-8)="","",INDEX('Fleet dates'!$D$9:$D$1008,$I293-8)))</x:f>
      </x:c>
      <x:c r="E293" s="51" t="str">
        <x:f>IF(285&gt;$H$4,"",IF(INDEX('Fleet dates'!$E$9:$E$1008,$I293-8)="","",INDEX('Fleet dates'!$E$9:$E$1008,$I293-8)))</x:f>
      </x:c>
      <x:c r="F293" s="51" t="str">
        <x:f>IF(285&gt;$H$4,"",IF(INDEX('Fleet dates'!$F$9:$F$1008,$I293-8)="","",INDEX('Fleet dates'!$F$9:$F$1008,$I293-8)))</x:f>
      </x:c>
      <x:c r="G293" s="50" t="str">
        <x:f>IF(285&gt;$H$4,"",IF(INDEX('Fleet dates'!$G$9:$G$1008,$I293-8)="","",INDEX('Fleet dates'!$G$9:$G$1008,$I293-8)))</x:f>
      </x:c>
      <x:c r="H293" s="50" t="str">
        <x:f>IF(285&gt;$H$4,"",IF(INDEX('Fleet dates'!$I$9:$I$1008,$I293-8)="","",INDEX('Fleet dates'!$I$9:$I$1008,$I293-8)))</x:f>
      </x:c>
      <x:c r="I293" t="str">
        <x:f>IF(285&gt;$H$4,"",MATCH(285,'Fleet dates'!$M$9:$M$1008,0)+8)</x:f>
      </x:c>
    </x:row>
    <x:row r="294" ht="36" customHeight="1">
      <x:c r="A294" s="50" t="str">
        <x:f>IF(286&gt;$H$4,"",IF(INDEX('Fleet dates'!$A$9:$A$1008,$I294-8)="","",INDEX('Fleet dates'!$A$9:$A$1008,$I294-8)))</x:f>
      </x:c>
      <x:c r="B294" s="50" t="str">
        <x:f>IF(286&gt;$H$4,"",IF(INDEX('Fleet dates'!$B$9:$B$1008,$I294-8)="","",INDEX('Fleet dates'!$B$9:$B$1008,$I294-8)))</x:f>
      </x:c>
      <x:c r="C294" s="51" t="str">
        <x:f>IF(286&gt;$H$4,"",IF(INDEX('Fleet dates'!$C$9:$C$1008,$I294-8)="","",INDEX('Fleet dates'!$C$9:$C$1008,$I294-8)))</x:f>
      </x:c>
      <x:c r="D294" s="51" t="str">
        <x:f>IF(286&gt;$H$4,"",IF(INDEX('Fleet dates'!$D$9:$D$1008,$I294-8)="","",INDEX('Fleet dates'!$D$9:$D$1008,$I294-8)))</x:f>
      </x:c>
      <x:c r="E294" s="51" t="str">
        <x:f>IF(286&gt;$H$4,"",IF(INDEX('Fleet dates'!$E$9:$E$1008,$I294-8)="","",INDEX('Fleet dates'!$E$9:$E$1008,$I294-8)))</x:f>
      </x:c>
      <x:c r="F294" s="51" t="str">
        <x:f>IF(286&gt;$H$4,"",IF(INDEX('Fleet dates'!$F$9:$F$1008,$I294-8)="","",INDEX('Fleet dates'!$F$9:$F$1008,$I294-8)))</x:f>
      </x:c>
      <x:c r="G294" s="50" t="str">
        <x:f>IF(286&gt;$H$4,"",IF(INDEX('Fleet dates'!$G$9:$G$1008,$I294-8)="","",INDEX('Fleet dates'!$G$9:$G$1008,$I294-8)))</x:f>
      </x:c>
      <x:c r="H294" s="50" t="str">
        <x:f>IF(286&gt;$H$4,"",IF(INDEX('Fleet dates'!$I$9:$I$1008,$I294-8)="","",INDEX('Fleet dates'!$I$9:$I$1008,$I294-8)))</x:f>
      </x:c>
      <x:c r="I294" t="str">
        <x:f>IF(286&gt;$H$4,"",MATCH(286,'Fleet dates'!$M$9:$M$1008,0)+8)</x:f>
      </x:c>
    </x:row>
    <x:row r="295" ht="36" customHeight="1">
      <x:c r="A295" s="50" t="str">
        <x:f>IF(287&gt;$H$4,"",IF(INDEX('Fleet dates'!$A$9:$A$1008,$I295-8)="","",INDEX('Fleet dates'!$A$9:$A$1008,$I295-8)))</x:f>
      </x:c>
      <x:c r="B295" s="50" t="str">
        <x:f>IF(287&gt;$H$4,"",IF(INDEX('Fleet dates'!$B$9:$B$1008,$I295-8)="","",INDEX('Fleet dates'!$B$9:$B$1008,$I295-8)))</x:f>
      </x:c>
      <x:c r="C295" s="51" t="str">
        <x:f>IF(287&gt;$H$4,"",IF(INDEX('Fleet dates'!$C$9:$C$1008,$I295-8)="","",INDEX('Fleet dates'!$C$9:$C$1008,$I295-8)))</x:f>
      </x:c>
      <x:c r="D295" s="51" t="str">
        <x:f>IF(287&gt;$H$4,"",IF(INDEX('Fleet dates'!$D$9:$D$1008,$I295-8)="","",INDEX('Fleet dates'!$D$9:$D$1008,$I295-8)))</x:f>
      </x:c>
      <x:c r="E295" s="51" t="str">
        <x:f>IF(287&gt;$H$4,"",IF(INDEX('Fleet dates'!$E$9:$E$1008,$I295-8)="","",INDEX('Fleet dates'!$E$9:$E$1008,$I295-8)))</x:f>
      </x:c>
      <x:c r="F295" s="51" t="str">
        <x:f>IF(287&gt;$H$4,"",IF(INDEX('Fleet dates'!$F$9:$F$1008,$I295-8)="","",INDEX('Fleet dates'!$F$9:$F$1008,$I295-8)))</x:f>
      </x:c>
      <x:c r="G295" s="50" t="str">
        <x:f>IF(287&gt;$H$4,"",IF(INDEX('Fleet dates'!$G$9:$G$1008,$I295-8)="","",INDEX('Fleet dates'!$G$9:$G$1008,$I295-8)))</x:f>
      </x:c>
      <x:c r="H295" s="50" t="str">
        <x:f>IF(287&gt;$H$4,"",IF(INDEX('Fleet dates'!$I$9:$I$1008,$I295-8)="","",INDEX('Fleet dates'!$I$9:$I$1008,$I295-8)))</x:f>
      </x:c>
      <x:c r="I295" t="str">
        <x:f>IF(287&gt;$H$4,"",MATCH(287,'Fleet dates'!$M$9:$M$1008,0)+8)</x:f>
      </x:c>
    </x:row>
    <x:row r="296" ht="36" customHeight="1">
      <x:c r="A296" s="50" t="str">
        <x:f>IF(288&gt;$H$4,"",IF(INDEX('Fleet dates'!$A$9:$A$1008,$I296-8)="","",INDEX('Fleet dates'!$A$9:$A$1008,$I296-8)))</x:f>
      </x:c>
      <x:c r="B296" s="50" t="str">
        <x:f>IF(288&gt;$H$4,"",IF(INDEX('Fleet dates'!$B$9:$B$1008,$I296-8)="","",INDEX('Fleet dates'!$B$9:$B$1008,$I296-8)))</x:f>
      </x:c>
      <x:c r="C296" s="51" t="str">
        <x:f>IF(288&gt;$H$4,"",IF(INDEX('Fleet dates'!$C$9:$C$1008,$I296-8)="","",INDEX('Fleet dates'!$C$9:$C$1008,$I296-8)))</x:f>
      </x:c>
      <x:c r="D296" s="51" t="str">
        <x:f>IF(288&gt;$H$4,"",IF(INDEX('Fleet dates'!$D$9:$D$1008,$I296-8)="","",INDEX('Fleet dates'!$D$9:$D$1008,$I296-8)))</x:f>
      </x:c>
      <x:c r="E296" s="51" t="str">
        <x:f>IF(288&gt;$H$4,"",IF(INDEX('Fleet dates'!$E$9:$E$1008,$I296-8)="","",INDEX('Fleet dates'!$E$9:$E$1008,$I296-8)))</x:f>
      </x:c>
      <x:c r="F296" s="51" t="str">
        <x:f>IF(288&gt;$H$4,"",IF(INDEX('Fleet dates'!$F$9:$F$1008,$I296-8)="","",INDEX('Fleet dates'!$F$9:$F$1008,$I296-8)))</x:f>
      </x:c>
      <x:c r="G296" s="50" t="str">
        <x:f>IF(288&gt;$H$4,"",IF(INDEX('Fleet dates'!$G$9:$G$1008,$I296-8)="","",INDEX('Fleet dates'!$G$9:$G$1008,$I296-8)))</x:f>
      </x:c>
      <x:c r="H296" s="50" t="str">
        <x:f>IF(288&gt;$H$4,"",IF(INDEX('Fleet dates'!$I$9:$I$1008,$I296-8)="","",INDEX('Fleet dates'!$I$9:$I$1008,$I296-8)))</x:f>
      </x:c>
      <x:c r="I296" t="str">
        <x:f>IF(288&gt;$H$4,"",MATCH(288,'Fleet dates'!$M$9:$M$1008,0)+8)</x:f>
      </x:c>
    </x:row>
    <x:row r="297" ht="36" customHeight="1">
      <x:c r="A297" s="50" t="str">
        <x:f>IF(289&gt;$H$4,"",IF(INDEX('Fleet dates'!$A$9:$A$1008,$I297-8)="","",INDEX('Fleet dates'!$A$9:$A$1008,$I297-8)))</x:f>
      </x:c>
      <x:c r="B297" s="50" t="str">
        <x:f>IF(289&gt;$H$4,"",IF(INDEX('Fleet dates'!$B$9:$B$1008,$I297-8)="","",INDEX('Fleet dates'!$B$9:$B$1008,$I297-8)))</x:f>
      </x:c>
      <x:c r="C297" s="51" t="str">
        <x:f>IF(289&gt;$H$4,"",IF(INDEX('Fleet dates'!$C$9:$C$1008,$I297-8)="","",INDEX('Fleet dates'!$C$9:$C$1008,$I297-8)))</x:f>
      </x:c>
      <x:c r="D297" s="51" t="str">
        <x:f>IF(289&gt;$H$4,"",IF(INDEX('Fleet dates'!$D$9:$D$1008,$I297-8)="","",INDEX('Fleet dates'!$D$9:$D$1008,$I297-8)))</x:f>
      </x:c>
      <x:c r="E297" s="51" t="str">
        <x:f>IF(289&gt;$H$4,"",IF(INDEX('Fleet dates'!$E$9:$E$1008,$I297-8)="","",INDEX('Fleet dates'!$E$9:$E$1008,$I297-8)))</x:f>
      </x:c>
      <x:c r="F297" s="51" t="str">
        <x:f>IF(289&gt;$H$4,"",IF(INDEX('Fleet dates'!$F$9:$F$1008,$I297-8)="","",INDEX('Fleet dates'!$F$9:$F$1008,$I297-8)))</x:f>
      </x:c>
      <x:c r="G297" s="50" t="str">
        <x:f>IF(289&gt;$H$4,"",IF(INDEX('Fleet dates'!$G$9:$G$1008,$I297-8)="","",INDEX('Fleet dates'!$G$9:$G$1008,$I297-8)))</x:f>
      </x:c>
      <x:c r="H297" s="50" t="str">
        <x:f>IF(289&gt;$H$4,"",IF(INDEX('Fleet dates'!$I$9:$I$1008,$I297-8)="","",INDEX('Fleet dates'!$I$9:$I$1008,$I297-8)))</x:f>
      </x:c>
      <x:c r="I297" t="str">
        <x:f>IF(289&gt;$H$4,"",MATCH(289,'Fleet dates'!$M$9:$M$1008,0)+8)</x:f>
      </x:c>
    </x:row>
    <x:row r="298" ht="36" customHeight="1">
      <x:c r="A298" s="50" t="str">
        <x:f>IF(290&gt;$H$4,"",IF(INDEX('Fleet dates'!$A$9:$A$1008,$I298-8)="","",INDEX('Fleet dates'!$A$9:$A$1008,$I298-8)))</x:f>
      </x:c>
      <x:c r="B298" s="50" t="str">
        <x:f>IF(290&gt;$H$4,"",IF(INDEX('Fleet dates'!$B$9:$B$1008,$I298-8)="","",INDEX('Fleet dates'!$B$9:$B$1008,$I298-8)))</x:f>
      </x:c>
      <x:c r="C298" s="51" t="str">
        <x:f>IF(290&gt;$H$4,"",IF(INDEX('Fleet dates'!$C$9:$C$1008,$I298-8)="","",INDEX('Fleet dates'!$C$9:$C$1008,$I298-8)))</x:f>
      </x:c>
      <x:c r="D298" s="51" t="str">
        <x:f>IF(290&gt;$H$4,"",IF(INDEX('Fleet dates'!$D$9:$D$1008,$I298-8)="","",INDEX('Fleet dates'!$D$9:$D$1008,$I298-8)))</x:f>
      </x:c>
      <x:c r="E298" s="51" t="str">
        <x:f>IF(290&gt;$H$4,"",IF(INDEX('Fleet dates'!$E$9:$E$1008,$I298-8)="","",INDEX('Fleet dates'!$E$9:$E$1008,$I298-8)))</x:f>
      </x:c>
      <x:c r="F298" s="51" t="str">
        <x:f>IF(290&gt;$H$4,"",IF(INDEX('Fleet dates'!$F$9:$F$1008,$I298-8)="","",INDEX('Fleet dates'!$F$9:$F$1008,$I298-8)))</x:f>
      </x:c>
      <x:c r="G298" s="50" t="str">
        <x:f>IF(290&gt;$H$4,"",IF(INDEX('Fleet dates'!$G$9:$G$1008,$I298-8)="","",INDEX('Fleet dates'!$G$9:$G$1008,$I298-8)))</x:f>
      </x:c>
      <x:c r="H298" s="50" t="str">
        <x:f>IF(290&gt;$H$4,"",IF(INDEX('Fleet dates'!$I$9:$I$1008,$I298-8)="","",INDEX('Fleet dates'!$I$9:$I$1008,$I298-8)))</x:f>
      </x:c>
      <x:c r="I298" t="str">
        <x:f>IF(290&gt;$H$4,"",MATCH(290,'Fleet dates'!$M$9:$M$1008,0)+8)</x:f>
      </x:c>
    </x:row>
    <x:row r="299" ht="36" customHeight="1">
      <x:c r="A299" s="50" t="str">
        <x:f>IF(291&gt;$H$4,"",IF(INDEX('Fleet dates'!$A$9:$A$1008,$I299-8)="","",INDEX('Fleet dates'!$A$9:$A$1008,$I299-8)))</x:f>
      </x:c>
      <x:c r="B299" s="50" t="str">
        <x:f>IF(291&gt;$H$4,"",IF(INDEX('Fleet dates'!$B$9:$B$1008,$I299-8)="","",INDEX('Fleet dates'!$B$9:$B$1008,$I299-8)))</x:f>
      </x:c>
      <x:c r="C299" s="51" t="str">
        <x:f>IF(291&gt;$H$4,"",IF(INDEX('Fleet dates'!$C$9:$C$1008,$I299-8)="","",INDEX('Fleet dates'!$C$9:$C$1008,$I299-8)))</x:f>
      </x:c>
      <x:c r="D299" s="51" t="str">
        <x:f>IF(291&gt;$H$4,"",IF(INDEX('Fleet dates'!$D$9:$D$1008,$I299-8)="","",INDEX('Fleet dates'!$D$9:$D$1008,$I299-8)))</x:f>
      </x:c>
      <x:c r="E299" s="51" t="str">
        <x:f>IF(291&gt;$H$4,"",IF(INDEX('Fleet dates'!$E$9:$E$1008,$I299-8)="","",INDEX('Fleet dates'!$E$9:$E$1008,$I299-8)))</x:f>
      </x:c>
      <x:c r="F299" s="51" t="str">
        <x:f>IF(291&gt;$H$4,"",IF(INDEX('Fleet dates'!$F$9:$F$1008,$I299-8)="","",INDEX('Fleet dates'!$F$9:$F$1008,$I299-8)))</x:f>
      </x:c>
      <x:c r="G299" s="50" t="str">
        <x:f>IF(291&gt;$H$4,"",IF(INDEX('Fleet dates'!$G$9:$G$1008,$I299-8)="","",INDEX('Fleet dates'!$G$9:$G$1008,$I299-8)))</x:f>
      </x:c>
      <x:c r="H299" s="50" t="str">
        <x:f>IF(291&gt;$H$4,"",IF(INDEX('Fleet dates'!$I$9:$I$1008,$I299-8)="","",INDEX('Fleet dates'!$I$9:$I$1008,$I299-8)))</x:f>
      </x:c>
      <x:c r="I299" t="str">
        <x:f>IF(291&gt;$H$4,"",MATCH(291,'Fleet dates'!$M$9:$M$1008,0)+8)</x:f>
      </x:c>
    </x:row>
    <x:row r="300" ht="36" customHeight="1">
      <x:c r="A300" s="50" t="str">
        <x:f>IF(292&gt;$H$4,"",IF(INDEX('Fleet dates'!$A$9:$A$1008,$I300-8)="","",INDEX('Fleet dates'!$A$9:$A$1008,$I300-8)))</x:f>
      </x:c>
      <x:c r="B300" s="50" t="str">
        <x:f>IF(292&gt;$H$4,"",IF(INDEX('Fleet dates'!$B$9:$B$1008,$I300-8)="","",INDEX('Fleet dates'!$B$9:$B$1008,$I300-8)))</x:f>
      </x:c>
      <x:c r="C300" s="51" t="str">
        <x:f>IF(292&gt;$H$4,"",IF(INDEX('Fleet dates'!$C$9:$C$1008,$I300-8)="","",INDEX('Fleet dates'!$C$9:$C$1008,$I300-8)))</x:f>
      </x:c>
      <x:c r="D300" s="51" t="str">
        <x:f>IF(292&gt;$H$4,"",IF(INDEX('Fleet dates'!$D$9:$D$1008,$I300-8)="","",INDEX('Fleet dates'!$D$9:$D$1008,$I300-8)))</x:f>
      </x:c>
      <x:c r="E300" s="51" t="str">
        <x:f>IF(292&gt;$H$4,"",IF(INDEX('Fleet dates'!$E$9:$E$1008,$I300-8)="","",INDEX('Fleet dates'!$E$9:$E$1008,$I300-8)))</x:f>
      </x:c>
      <x:c r="F300" s="51" t="str">
        <x:f>IF(292&gt;$H$4,"",IF(INDEX('Fleet dates'!$F$9:$F$1008,$I300-8)="","",INDEX('Fleet dates'!$F$9:$F$1008,$I300-8)))</x:f>
      </x:c>
      <x:c r="G300" s="50" t="str">
        <x:f>IF(292&gt;$H$4,"",IF(INDEX('Fleet dates'!$G$9:$G$1008,$I300-8)="","",INDEX('Fleet dates'!$G$9:$G$1008,$I300-8)))</x:f>
      </x:c>
      <x:c r="H300" s="50" t="str">
        <x:f>IF(292&gt;$H$4,"",IF(INDEX('Fleet dates'!$I$9:$I$1008,$I300-8)="","",INDEX('Fleet dates'!$I$9:$I$1008,$I300-8)))</x:f>
      </x:c>
      <x:c r="I300" t="str">
        <x:f>IF(292&gt;$H$4,"",MATCH(292,'Fleet dates'!$M$9:$M$1008,0)+8)</x:f>
      </x:c>
    </x:row>
    <x:row r="301" ht="36" customHeight="1">
      <x:c r="A301" s="50" t="str">
        <x:f>IF(293&gt;$H$4,"",IF(INDEX('Fleet dates'!$A$9:$A$1008,$I301-8)="","",INDEX('Fleet dates'!$A$9:$A$1008,$I301-8)))</x:f>
      </x:c>
      <x:c r="B301" s="50" t="str">
        <x:f>IF(293&gt;$H$4,"",IF(INDEX('Fleet dates'!$B$9:$B$1008,$I301-8)="","",INDEX('Fleet dates'!$B$9:$B$1008,$I301-8)))</x:f>
      </x:c>
      <x:c r="C301" s="51" t="str">
        <x:f>IF(293&gt;$H$4,"",IF(INDEX('Fleet dates'!$C$9:$C$1008,$I301-8)="","",INDEX('Fleet dates'!$C$9:$C$1008,$I301-8)))</x:f>
      </x:c>
      <x:c r="D301" s="51" t="str">
        <x:f>IF(293&gt;$H$4,"",IF(INDEX('Fleet dates'!$D$9:$D$1008,$I301-8)="","",INDEX('Fleet dates'!$D$9:$D$1008,$I301-8)))</x:f>
      </x:c>
      <x:c r="E301" s="51" t="str">
        <x:f>IF(293&gt;$H$4,"",IF(INDEX('Fleet dates'!$E$9:$E$1008,$I301-8)="","",INDEX('Fleet dates'!$E$9:$E$1008,$I301-8)))</x:f>
      </x:c>
      <x:c r="F301" s="51" t="str">
        <x:f>IF(293&gt;$H$4,"",IF(INDEX('Fleet dates'!$F$9:$F$1008,$I301-8)="","",INDEX('Fleet dates'!$F$9:$F$1008,$I301-8)))</x:f>
      </x:c>
      <x:c r="G301" s="50" t="str">
        <x:f>IF(293&gt;$H$4,"",IF(INDEX('Fleet dates'!$G$9:$G$1008,$I301-8)="","",INDEX('Fleet dates'!$G$9:$G$1008,$I301-8)))</x:f>
      </x:c>
      <x:c r="H301" s="50" t="str">
        <x:f>IF(293&gt;$H$4,"",IF(INDEX('Fleet dates'!$I$9:$I$1008,$I301-8)="","",INDEX('Fleet dates'!$I$9:$I$1008,$I301-8)))</x:f>
      </x:c>
      <x:c r="I301" t="str">
        <x:f>IF(293&gt;$H$4,"",MATCH(293,'Fleet dates'!$M$9:$M$1008,0)+8)</x:f>
      </x:c>
    </x:row>
    <x:row r="302" ht="36" customHeight="1">
      <x:c r="A302" s="50" t="str">
        <x:f>IF(294&gt;$H$4,"",IF(INDEX('Fleet dates'!$A$9:$A$1008,$I302-8)="","",INDEX('Fleet dates'!$A$9:$A$1008,$I302-8)))</x:f>
      </x:c>
      <x:c r="B302" s="50" t="str">
        <x:f>IF(294&gt;$H$4,"",IF(INDEX('Fleet dates'!$B$9:$B$1008,$I302-8)="","",INDEX('Fleet dates'!$B$9:$B$1008,$I302-8)))</x:f>
      </x:c>
      <x:c r="C302" s="51" t="str">
        <x:f>IF(294&gt;$H$4,"",IF(INDEX('Fleet dates'!$C$9:$C$1008,$I302-8)="","",INDEX('Fleet dates'!$C$9:$C$1008,$I302-8)))</x:f>
      </x:c>
      <x:c r="D302" s="51" t="str">
        <x:f>IF(294&gt;$H$4,"",IF(INDEX('Fleet dates'!$D$9:$D$1008,$I302-8)="","",INDEX('Fleet dates'!$D$9:$D$1008,$I302-8)))</x:f>
      </x:c>
      <x:c r="E302" s="51" t="str">
        <x:f>IF(294&gt;$H$4,"",IF(INDEX('Fleet dates'!$E$9:$E$1008,$I302-8)="","",INDEX('Fleet dates'!$E$9:$E$1008,$I302-8)))</x:f>
      </x:c>
      <x:c r="F302" s="51" t="str">
        <x:f>IF(294&gt;$H$4,"",IF(INDEX('Fleet dates'!$F$9:$F$1008,$I302-8)="","",INDEX('Fleet dates'!$F$9:$F$1008,$I302-8)))</x:f>
      </x:c>
      <x:c r="G302" s="50" t="str">
        <x:f>IF(294&gt;$H$4,"",IF(INDEX('Fleet dates'!$G$9:$G$1008,$I302-8)="","",INDEX('Fleet dates'!$G$9:$G$1008,$I302-8)))</x:f>
      </x:c>
      <x:c r="H302" s="50" t="str">
        <x:f>IF(294&gt;$H$4,"",IF(INDEX('Fleet dates'!$I$9:$I$1008,$I302-8)="","",INDEX('Fleet dates'!$I$9:$I$1008,$I302-8)))</x:f>
      </x:c>
      <x:c r="I302" t="str">
        <x:f>IF(294&gt;$H$4,"",MATCH(294,'Fleet dates'!$M$9:$M$1008,0)+8)</x:f>
      </x:c>
    </x:row>
    <x:row r="303" ht="36" customHeight="1">
      <x:c r="A303" s="50" t="str">
        <x:f>IF(295&gt;$H$4,"",IF(INDEX('Fleet dates'!$A$9:$A$1008,$I303-8)="","",INDEX('Fleet dates'!$A$9:$A$1008,$I303-8)))</x:f>
      </x:c>
      <x:c r="B303" s="50" t="str">
        <x:f>IF(295&gt;$H$4,"",IF(INDEX('Fleet dates'!$B$9:$B$1008,$I303-8)="","",INDEX('Fleet dates'!$B$9:$B$1008,$I303-8)))</x:f>
      </x:c>
      <x:c r="C303" s="51" t="str">
        <x:f>IF(295&gt;$H$4,"",IF(INDEX('Fleet dates'!$C$9:$C$1008,$I303-8)="","",INDEX('Fleet dates'!$C$9:$C$1008,$I303-8)))</x:f>
      </x:c>
      <x:c r="D303" s="51" t="str">
        <x:f>IF(295&gt;$H$4,"",IF(INDEX('Fleet dates'!$D$9:$D$1008,$I303-8)="","",INDEX('Fleet dates'!$D$9:$D$1008,$I303-8)))</x:f>
      </x:c>
      <x:c r="E303" s="51" t="str">
        <x:f>IF(295&gt;$H$4,"",IF(INDEX('Fleet dates'!$E$9:$E$1008,$I303-8)="","",INDEX('Fleet dates'!$E$9:$E$1008,$I303-8)))</x:f>
      </x:c>
      <x:c r="F303" s="51" t="str">
        <x:f>IF(295&gt;$H$4,"",IF(INDEX('Fleet dates'!$F$9:$F$1008,$I303-8)="","",INDEX('Fleet dates'!$F$9:$F$1008,$I303-8)))</x:f>
      </x:c>
      <x:c r="G303" s="50" t="str">
        <x:f>IF(295&gt;$H$4,"",IF(INDEX('Fleet dates'!$G$9:$G$1008,$I303-8)="","",INDEX('Fleet dates'!$G$9:$G$1008,$I303-8)))</x:f>
      </x:c>
      <x:c r="H303" s="50" t="str">
        <x:f>IF(295&gt;$H$4,"",IF(INDEX('Fleet dates'!$I$9:$I$1008,$I303-8)="","",INDEX('Fleet dates'!$I$9:$I$1008,$I303-8)))</x:f>
      </x:c>
      <x:c r="I303" t="str">
        <x:f>IF(295&gt;$H$4,"",MATCH(295,'Fleet dates'!$M$9:$M$1008,0)+8)</x:f>
      </x:c>
    </x:row>
    <x:row r="304" ht="36" customHeight="1">
      <x:c r="A304" s="50" t="str">
        <x:f>IF(296&gt;$H$4,"",IF(INDEX('Fleet dates'!$A$9:$A$1008,$I304-8)="","",INDEX('Fleet dates'!$A$9:$A$1008,$I304-8)))</x:f>
      </x:c>
      <x:c r="B304" s="50" t="str">
        <x:f>IF(296&gt;$H$4,"",IF(INDEX('Fleet dates'!$B$9:$B$1008,$I304-8)="","",INDEX('Fleet dates'!$B$9:$B$1008,$I304-8)))</x:f>
      </x:c>
      <x:c r="C304" s="51" t="str">
        <x:f>IF(296&gt;$H$4,"",IF(INDEX('Fleet dates'!$C$9:$C$1008,$I304-8)="","",INDEX('Fleet dates'!$C$9:$C$1008,$I304-8)))</x:f>
      </x:c>
      <x:c r="D304" s="51" t="str">
        <x:f>IF(296&gt;$H$4,"",IF(INDEX('Fleet dates'!$D$9:$D$1008,$I304-8)="","",INDEX('Fleet dates'!$D$9:$D$1008,$I304-8)))</x:f>
      </x:c>
      <x:c r="E304" s="51" t="str">
        <x:f>IF(296&gt;$H$4,"",IF(INDEX('Fleet dates'!$E$9:$E$1008,$I304-8)="","",INDEX('Fleet dates'!$E$9:$E$1008,$I304-8)))</x:f>
      </x:c>
      <x:c r="F304" s="51" t="str">
        <x:f>IF(296&gt;$H$4,"",IF(INDEX('Fleet dates'!$F$9:$F$1008,$I304-8)="","",INDEX('Fleet dates'!$F$9:$F$1008,$I304-8)))</x:f>
      </x:c>
      <x:c r="G304" s="50" t="str">
        <x:f>IF(296&gt;$H$4,"",IF(INDEX('Fleet dates'!$G$9:$G$1008,$I304-8)="","",INDEX('Fleet dates'!$G$9:$G$1008,$I304-8)))</x:f>
      </x:c>
      <x:c r="H304" s="50" t="str">
        <x:f>IF(296&gt;$H$4,"",IF(INDEX('Fleet dates'!$I$9:$I$1008,$I304-8)="","",INDEX('Fleet dates'!$I$9:$I$1008,$I304-8)))</x:f>
      </x:c>
      <x:c r="I304" t="str">
        <x:f>IF(296&gt;$H$4,"",MATCH(296,'Fleet dates'!$M$9:$M$1008,0)+8)</x:f>
      </x:c>
    </x:row>
    <x:row r="305" ht="36" customHeight="1">
      <x:c r="A305" s="50" t="str">
        <x:f>IF(297&gt;$H$4,"",IF(INDEX('Fleet dates'!$A$9:$A$1008,$I305-8)="","",INDEX('Fleet dates'!$A$9:$A$1008,$I305-8)))</x:f>
      </x:c>
      <x:c r="B305" s="50" t="str">
        <x:f>IF(297&gt;$H$4,"",IF(INDEX('Fleet dates'!$B$9:$B$1008,$I305-8)="","",INDEX('Fleet dates'!$B$9:$B$1008,$I305-8)))</x:f>
      </x:c>
      <x:c r="C305" s="51" t="str">
        <x:f>IF(297&gt;$H$4,"",IF(INDEX('Fleet dates'!$C$9:$C$1008,$I305-8)="","",INDEX('Fleet dates'!$C$9:$C$1008,$I305-8)))</x:f>
      </x:c>
      <x:c r="D305" s="51" t="str">
        <x:f>IF(297&gt;$H$4,"",IF(INDEX('Fleet dates'!$D$9:$D$1008,$I305-8)="","",INDEX('Fleet dates'!$D$9:$D$1008,$I305-8)))</x:f>
      </x:c>
      <x:c r="E305" s="51" t="str">
        <x:f>IF(297&gt;$H$4,"",IF(INDEX('Fleet dates'!$E$9:$E$1008,$I305-8)="","",INDEX('Fleet dates'!$E$9:$E$1008,$I305-8)))</x:f>
      </x:c>
      <x:c r="F305" s="51" t="str">
        <x:f>IF(297&gt;$H$4,"",IF(INDEX('Fleet dates'!$F$9:$F$1008,$I305-8)="","",INDEX('Fleet dates'!$F$9:$F$1008,$I305-8)))</x:f>
      </x:c>
      <x:c r="G305" s="50" t="str">
        <x:f>IF(297&gt;$H$4,"",IF(INDEX('Fleet dates'!$G$9:$G$1008,$I305-8)="","",INDEX('Fleet dates'!$G$9:$G$1008,$I305-8)))</x:f>
      </x:c>
      <x:c r="H305" s="50" t="str">
        <x:f>IF(297&gt;$H$4,"",IF(INDEX('Fleet dates'!$I$9:$I$1008,$I305-8)="","",INDEX('Fleet dates'!$I$9:$I$1008,$I305-8)))</x:f>
      </x:c>
      <x:c r="I305" t="str">
        <x:f>IF(297&gt;$H$4,"",MATCH(297,'Fleet dates'!$M$9:$M$1008,0)+8)</x:f>
      </x:c>
    </x:row>
    <x:row r="306" ht="36" customHeight="1">
      <x:c r="A306" s="50" t="str">
        <x:f>IF(298&gt;$H$4,"",IF(INDEX('Fleet dates'!$A$9:$A$1008,$I306-8)="","",INDEX('Fleet dates'!$A$9:$A$1008,$I306-8)))</x:f>
      </x:c>
      <x:c r="B306" s="50" t="str">
        <x:f>IF(298&gt;$H$4,"",IF(INDEX('Fleet dates'!$B$9:$B$1008,$I306-8)="","",INDEX('Fleet dates'!$B$9:$B$1008,$I306-8)))</x:f>
      </x:c>
      <x:c r="C306" s="51" t="str">
        <x:f>IF(298&gt;$H$4,"",IF(INDEX('Fleet dates'!$C$9:$C$1008,$I306-8)="","",INDEX('Fleet dates'!$C$9:$C$1008,$I306-8)))</x:f>
      </x:c>
      <x:c r="D306" s="51" t="str">
        <x:f>IF(298&gt;$H$4,"",IF(INDEX('Fleet dates'!$D$9:$D$1008,$I306-8)="","",INDEX('Fleet dates'!$D$9:$D$1008,$I306-8)))</x:f>
      </x:c>
      <x:c r="E306" s="51" t="str">
        <x:f>IF(298&gt;$H$4,"",IF(INDEX('Fleet dates'!$E$9:$E$1008,$I306-8)="","",INDEX('Fleet dates'!$E$9:$E$1008,$I306-8)))</x:f>
      </x:c>
      <x:c r="F306" s="51" t="str">
        <x:f>IF(298&gt;$H$4,"",IF(INDEX('Fleet dates'!$F$9:$F$1008,$I306-8)="","",INDEX('Fleet dates'!$F$9:$F$1008,$I306-8)))</x:f>
      </x:c>
      <x:c r="G306" s="50" t="str">
        <x:f>IF(298&gt;$H$4,"",IF(INDEX('Fleet dates'!$G$9:$G$1008,$I306-8)="","",INDEX('Fleet dates'!$G$9:$G$1008,$I306-8)))</x:f>
      </x:c>
      <x:c r="H306" s="50" t="str">
        <x:f>IF(298&gt;$H$4,"",IF(INDEX('Fleet dates'!$I$9:$I$1008,$I306-8)="","",INDEX('Fleet dates'!$I$9:$I$1008,$I306-8)))</x:f>
      </x:c>
      <x:c r="I306" t="str">
        <x:f>IF(298&gt;$H$4,"",MATCH(298,'Fleet dates'!$M$9:$M$1008,0)+8)</x:f>
      </x:c>
    </x:row>
    <x:row r="307" ht="36" customHeight="1">
      <x:c r="A307" s="50" t="str">
        <x:f>IF(299&gt;$H$4,"",IF(INDEX('Fleet dates'!$A$9:$A$1008,$I307-8)="","",INDEX('Fleet dates'!$A$9:$A$1008,$I307-8)))</x:f>
      </x:c>
      <x:c r="B307" s="50" t="str">
        <x:f>IF(299&gt;$H$4,"",IF(INDEX('Fleet dates'!$B$9:$B$1008,$I307-8)="","",INDEX('Fleet dates'!$B$9:$B$1008,$I307-8)))</x:f>
      </x:c>
      <x:c r="C307" s="51" t="str">
        <x:f>IF(299&gt;$H$4,"",IF(INDEX('Fleet dates'!$C$9:$C$1008,$I307-8)="","",INDEX('Fleet dates'!$C$9:$C$1008,$I307-8)))</x:f>
      </x:c>
      <x:c r="D307" s="51" t="str">
        <x:f>IF(299&gt;$H$4,"",IF(INDEX('Fleet dates'!$D$9:$D$1008,$I307-8)="","",INDEX('Fleet dates'!$D$9:$D$1008,$I307-8)))</x:f>
      </x:c>
      <x:c r="E307" s="51" t="str">
        <x:f>IF(299&gt;$H$4,"",IF(INDEX('Fleet dates'!$E$9:$E$1008,$I307-8)="","",INDEX('Fleet dates'!$E$9:$E$1008,$I307-8)))</x:f>
      </x:c>
      <x:c r="F307" s="51" t="str">
        <x:f>IF(299&gt;$H$4,"",IF(INDEX('Fleet dates'!$F$9:$F$1008,$I307-8)="","",INDEX('Fleet dates'!$F$9:$F$1008,$I307-8)))</x:f>
      </x:c>
      <x:c r="G307" s="50" t="str">
        <x:f>IF(299&gt;$H$4,"",IF(INDEX('Fleet dates'!$G$9:$G$1008,$I307-8)="","",INDEX('Fleet dates'!$G$9:$G$1008,$I307-8)))</x:f>
      </x:c>
      <x:c r="H307" s="50" t="str">
        <x:f>IF(299&gt;$H$4,"",IF(INDEX('Fleet dates'!$I$9:$I$1008,$I307-8)="","",INDEX('Fleet dates'!$I$9:$I$1008,$I307-8)))</x:f>
      </x:c>
      <x:c r="I307" t="str">
        <x:f>IF(299&gt;$H$4,"",MATCH(299,'Fleet dates'!$M$9:$M$1008,0)+8)</x:f>
      </x:c>
    </x:row>
    <x:row r="308" ht="36" customHeight="1">
      <x:c r="A308" s="50" t="str">
        <x:f>IF(300&gt;$H$4,"",IF(INDEX('Fleet dates'!$A$9:$A$1008,$I308-8)="","",INDEX('Fleet dates'!$A$9:$A$1008,$I308-8)))</x:f>
      </x:c>
      <x:c r="B308" s="50" t="str">
        <x:f>IF(300&gt;$H$4,"",IF(INDEX('Fleet dates'!$B$9:$B$1008,$I308-8)="","",INDEX('Fleet dates'!$B$9:$B$1008,$I308-8)))</x:f>
      </x:c>
      <x:c r="C308" s="51" t="str">
        <x:f>IF(300&gt;$H$4,"",IF(INDEX('Fleet dates'!$C$9:$C$1008,$I308-8)="","",INDEX('Fleet dates'!$C$9:$C$1008,$I308-8)))</x:f>
      </x:c>
      <x:c r="D308" s="51" t="str">
        <x:f>IF(300&gt;$H$4,"",IF(INDEX('Fleet dates'!$D$9:$D$1008,$I308-8)="","",INDEX('Fleet dates'!$D$9:$D$1008,$I308-8)))</x:f>
      </x:c>
      <x:c r="E308" s="51" t="str">
        <x:f>IF(300&gt;$H$4,"",IF(INDEX('Fleet dates'!$E$9:$E$1008,$I308-8)="","",INDEX('Fleet dates'!$E$9:$E$1008,$I308-8)))</x:f>
      </x:c>
      <x:c r="F308" s="51" t="str">
        <x:f>IF(300&gt;$H$4,"",IF(INDEX('Fleet dates'!$F$9:$F$1008,$I308-8)="","",INDEX('Fleet dates'!$F$9:$F$1008,$I308-8)))</x:f>
      </x:c>
      <x:c r="G308" s="50" t="str">
        <x:f>IF(300&gt;$H$4,"",IF(INDEX('Fleet dates'!$G$9:$G$1008,$I308-8)="","",INDEX('Fleet dates'!$G$9:$G$1008,$I308-8)))</x:f>
      </x:c>
      <x:c r="H308" s="50" t="str">
        <x:f>IF(300&gt;$H$4,"",IF(INDEX('Fleet dates'!$I$9:$I$1008,$I308-8)="","",INDEX('Fleet dates'!$I$9:$I$1008,$I308-8)))</x:f>
      </x:c>
      <x:c r="I308" t="str">
        <x:f>IF(300&gt;$H$4,"",MATCH(300,'Fleet dates'!$M$9:$M$1008,0)+8)</x:f>
      </x:c>
    </x:row>
    <x:row r="309" ht="36" customHeight="1">
      <x:c r="A309" s="50" t="str">
        <x:f>IF(301&gt;$H$4,"",IF(INDEX('Fleet dates'!$A$9:$A$1008,$I309-8)="","",INDEX('Fleet dates'!$A$9:$A$1008,$I309-8)))</x:f>
      </x:c>
      <x:c r="B309" s="50" t="str">
        <x:f>IF(301&gt;$H$4,"",IF(INDEX('Fleet dates'!$B$9:$B$1008,$I309-8)="","",INDEX('Fleet dates'!$B$9:$B$1008,$I309-8)))</x:f>
      </x:c>
      <x:c r="C309" s="51" t="str">
        <x:f>IF(301&gt;$H$4,"",IF(INDEX('Fleet dates'!$C$9:$C$1008,$I309-8)="","",INDEX('Fleet dates'!$C$9:$C$1008,$I309-8)))</x:f>
      </x:c>
      <x:c r="D309" s="51" t="str">
        <x:f>IF(301&gt;$H$4,"",IF(INDEX('Fleet dates'!$D$9:$D$1008,$I309-8)="","",INDEX('Fleet dates'!$D$9:$D$1008,$I309-8)))</x:f>
      </x:c>
      <x:c r="E309" s="51" t="str">
        <x:f>IF(301&gt;$H$4,"",IF(INDEX('Fleet dates'!$E$9:$E$1008,$I309-8)="","",INDEX('Fleet dates'!$E$9:$E$1008,$I309-8)))</x:f>
      </x:c>
      <x:c r="F309" s="51" t="str">
        <x:f>IF(301&gt;$H$4,"",IF(INDEX('Fleet dates'!$F$9:$F$1008,$I309-8)="","",INDEX('Fleet dates'!$F$9:$F$1008,$I309-8)))</x:f>
      </x:c>
      <x:c r="G309" s="50" t="str">
        <x:f>IF(301&gt;$H$4,"",IF(INDEX('Fleet dates'!$G$9:$G$1008,$I309-8)="","",INDEX('Fleet dates'!$G$9:$G$1008,$I309-8)))</x:f>
      </x:c>
      <x:c r="H309" s="50" t="str">
        <x:f>IF(301&gt;$H$4,"",IF(INDEX('Fleet dates'!$I$9:$I$1008,$I309-8)="","",INDEX('Fleet dates'!$I$9:$I$1008,$I309-8)))</x:f>
      </x:c>
      <x:c r="I309" t="str">
        <x:f>IF(301&gt;$H$4,"",MATCH(301,'Fleet dates'!$M$9:$M$1008,0)+8)</x:f>
      </x:c>
    </x:row>
    <x:row r="310" ht="36" customHeight="1">
      <x:c r="A310" s="50" t="str">
        <x:f>IF(302&gt;$H$4,"",IF(INDEX('Fleet dates'!$A$9:$A$1008,$I310-8)="","",INDEX('Fleet dates'!$A$9:$A$1008,$I310-8)))</x:f>
      </x:c>
      <x:c r="B310" s="50" t="str">
        <x:f>IF(302&gt;$H$4,"",IF(INDEX('Fleet dates'!$B$9:$B$1008,$I310-8)="","",INDEX('Fleet dates'!$B$9:$B$1008,$I310-8)))</x:f>
      </x:c>
      <x:c r="C310" s="51" t="str">
        <x:f>IF(302&gt;$H$4,"",IF(INDEX('Fleet dates'!$C$9:$C$1008,$I310-8)="","",INDEX('Fleet dates'!$C$9:$C$1008,$I310-8)))</x:f>
      </x:c>
      <x:c r="D310" s="51" t="str">
        <x:f>IF(302&gt;$H$4,"",IF(INDEX('Fleet dates'!$D$9:$D$1008,$I310-8)="","",INDEX('Fleet dates'!$D$9:$D$1008,$I310-8)))</x:f>
      </x:c>
      <x:c r="E310" s="51" t="str">
        <x:f>IF(302&gt;$H$4,"",IF(INDEX('Fleet dates'!$E$9:$E$1008,$I310-8)="","",INDEX('Fleet dates'!$E$9:$E$1008,$I310-8)))</x:f>
      </x:c>
      <x:c r="F310" s="51" t="str">
        <x:f>IF(302&gt;$H$4,"",IF(INDEX('Fleet dates'!$F$9:$F$1008,$I310-8)="","",INDEX('Fleet dates'!$F$9:$F$1008,$I310-8)))</x:f>
      </x:c>
      <x:c r="G310" s="50" t="str">
        <x:f>IF(302&gt;$H$4,"",IF(INDEX('Fleet dates'!$G$9:$G$1008,$I310-8)="","",INDEX('Fleet dates'!$G$9:$G$1008,$I310-8)))</x:f>
      </x:c>
      <x:c r="H310" s="50" t="str">
        <x:f>IF(302&gt;$H$4,"",IF(INDEX('Fleet dates'!$I$9:$I$1008,$I310-8)="","",INDEX('Fleet dates'!$I$9:$I$1008,$I310-8)))</x:f>
      </x:c>
      <x:c r="I310" t="str">
        <x:f>IF(302&gt;$H$4,"",MATCH(302,'Fleet dates'!$M$9:$M$1008,0)+8)</x:f>
      </x:c>
    </x:row>
    <x:row r="311" ht="36" customHeight="1">
      <x:c r="A311" s="50" t="str">
        <x:f>IF(303&gt;$H$4,"",IF(INDEX('Fleet dates'!$A$9:$A$1008,$I311-8)="","",INDEX('Fleet dates'!$A$9:$A$1008,$I311-8)))</x:f>
      </x:c>
      <x:c r="B311" s="50" t="str">
        <x:f>IF(303&gt;$H$4,"",IF(INDEX('Fleet dates'!$B$9:$B$1008,$I311-8)="","",INDEX('Fleet dates'!$B$9:$B$1008,$I311-8)))</x:f>
      </x:c>
      <x:c r="C311" s="51" t="str">
        <x:f>IF(303&gt;$H$4,"",IF(INDEX('Fleet dates'!$C$9:$C$1008,$I311-8)="","",INDEX('Fleet dates'!$C$9:$C$1008,$I311-8)))</x:f>
      </x:c>
      <x:c r="D311" s="51" t="str">
        <x:f>IF(303&gt;$H$4,"",IF(INDEX('Fleet dates'!$D$9:$D$1008,$I311-8)="","",INDEX('Fleet dates'!$D$9:$D$1008,$I311-8)))</x:f>
      </x:c>
      <x:c r="E311" s="51" t="str">
        <x:f>IF(303&gt;$H$4,"",IF(INDEX('Fleet dates'!$E$9:$E$1008,$I311-8)="","",INDEX('Fleet dates'!$E$9:$E$1008,$I311-8)))</x:f>
      </x:c>
      <x:c r="F311" s="51" t="str">
        <x:f>IF(303&gt;$H$4,"",IF(INDEX('Fleet dates'!$F$9:$F$1008,$I311-8)="","",INDEX('Fleet dates'!$F$9:$F$1008,$I311-8)))</x:f>
      </x:c>
      <x:c r="G311" s="50" t="str">
        <x:f>IF(303&gt;$H$4,"",IF(INDEX('Fleet dates'!$G$9:$G$1008,$I311-8)="","",INDEX('Fleet dates'!$G$9:$G$1008,$I311-8)))</x:f>
      </x:c>
      <x:c r="H311" s="50" t="str">
        <x:f>IF(303&gt;$H$4,"",IF(INDEX('Fleet dates'!$I$9:$I$1008,$I311-8)="","",INDEX('Fleet dates'!$I$9:$I$1008,$I311-8)))</x:f>
      </x:c>
      <x:c r="I311" t="str">
        <x:f>IF(303&gt;$H$4,"",MATCH(303,'Fleet dates'!$M$9:$M$1008,0)+8)</x:f>
      </x:c>
    </x:row>
    <x:row r="312" ht="36" customHeight="1">
      <x:c r="A312" s="50" t="str">
        <x:f>IF(304&gt;$H$4,"",IF(INDEX('Fleet dates'!$A$9:$A$1008,$I312-8)="","",INDEX('Fleet dates'!$A$9:$A$1008,$I312-8)))</x:f>
      </x:c>
      <x:c r="B312" s="50" t="str">
        <x:f>IF(304&gt;$H$4,"",IF(INDEX('Fleet dates'!$B$9:$B$1008,$I312-8)="","",INDEX('Fleet dates'!$B$9:$B$1008,$I312-8)))</x:f>
      </x:c>
      <x:c r="C312" s="51" t="str">
        <x:f>IF(304&gt;$H$4,"",IF(INDEX('Fleet dates'!$C$9:$C$1008,$I312-8)="","",INDEX('Fleet dates'!$C$9:$C$1008,$I312-8)))</x:f>
      </x:c>
      <x:c r="D312" s="51" t="str">
        <x:f>IF(304&gt;$H$4,"",IF(INDEX('Fleet dates'!$D$9:$D$1008,$I312-8)="","",INDEX('Fleet dates'!$D$9:$D$1008,$I312-8)))</x:f>
      </x:c>
      <x:c r="E312" s="51" t="str">
        <x:f>IF(304&gt;$H$4,"",IF(INDEX('Fleet dates'!$E$9:$E$1008,$I312-8)="","",INDEX('Fleet dates'!$E$9:$E$1008,$I312-8)))</x:f>
      </x:c>
      <x:c r="F312" s="51" t="str">
        <x:f>IF(304&gt;$H$4,"",IF(INDEX('Fleet dates'!$F$9:$F$1008,$I312-8)="","",INDEX('Fleet dates'!$F$9:$F$1008,$I312-8)))</x:f>
      </x:c>
      <x:c r="G312" s="50" t="str">
        <x:f>IF(304&gt;$H$4,"",IF(INDEX('Fleet dates'!$G$9:$G$1008,$I312-8)="","",INDEX('Fleet dates'!$G$9:$G$1008,$I312-8)))</x:f>
      </x:c>
      <x:c r="H312" s="50" t="str">
        <x:f>IF(304&gt;$H$4,"",IF(INDEX('Fleet dates'!$I$9:$I$1008,$I312-8)="","",INDEX('Fleet dates'!$I$9:$I$1008,$I312-8)))</x:f>
      </x:c>
      <x:c r="I312" t="str">
        <x:f>IF(304&gt;$H$4,"",MATCH(304,'Fleet dates'!$M$9:$M$1008,0)+8)</x:f>
      </x:c>
    </x:row>
    <x:row r="313" ht="36" customHeight="1">
      <x:c r="A313" s="50" t="str">
        <x:f>IF(305&gt;$H$4,"",IF(INDEX('Fleet dates'!$A$9:$A$1008,$I313-8)="","",INDEX('Fleet dates'!$A$9:$A$1008,$I313-8)))</x:f>
      </x:c>
      <x:c r="B313" s="50" t="str">
        <x:f>IF(305&gt;$H$4,"",IF(INDEX('Fleet dates'!$B$9:$B$1008,$I313-8)="","",INDEX('Fleet dates'!$B$9:$B$1008,$I313-8)))</x:f>
      </x:c>
      <x:c r="C313" s="51" t="str">
        <x:f>IF(305&gt;$H$4,"",IF(INDEX('Fleet dates'!$C$9:$C$1008,$I313-8)="","",INDEX('Fleet dates'!$C$9:$C$1008,$I313-8)))</x:f>
      </x:c>
      <x:c r="D313" s="51" t="str">
        <x:f>IF(305&gt;$H$4,"",IF(INDEX('Fleet dates'!$D$9:$D$1008,$I313-8)="","",INDEX('Fleet dates'!$D$9:$D$1008,$I313-8)))</x:f>
      </x:c>
      <x:c r="E313" s="51" t="str">
        <x:f>IF(305&gt;$H$4,"",IF(INDEX('Fleet dates'!$E$9:$E$1008,$I313-8)="","",INDEX('Fleet dates'!$E$9:$E$1008,$I313-8)))</x:f>
      </x:c>
      <x:c r="F313" s="51" t="str">
        <x:f>IF(305&gt;$H$4,"",IF(INDEX('Fleet dates'!$F$9:$F$1008,$I313-8)="","",INDEX('Fleet dates'!$F$9:$F$1008,$I313-8)))</x:f>
      </x:c>
      <x:c r="G313" s="50" t="str">
        <x:f>IF(305&gt;$H$4,"",IF(INDEX('Fleet dates'!$G$9:$G$1008,$I313-8)="","",INDEX('Fleet dates'!$G$9:$G$1008,$I313-8)))</x:f>
      </x:c>
      <x:c r="H313" s="50" t="str">
        <x:f>IF(305&gt;$H$4,"",IF(INDEX('Fleet dates'!$I$9:$I$1008,$I313-8)="","",INDEX('Fleet dates'!$I$9:$I$1008,$I313-8)))</x:f>
      </x:c>
      <x:c r="I313" t="str">
        <x:f>IF(305&gt;$H$4,"",MATCH(305,'Fleet dates'!$M$9:$M$1008,0)+8)</x:f>
      </x:c>
    </x:row>
    <x:row r="314" ht="36" customHeight="1">
      <x:c r="A314" s="50" t="str">
        <x:f>IF(306&gt;$H$4,"",IF(INDEX('Fleet dates'!$A$9:$A$1008,$I314-8)="","",INDEX('Fleet dates'!$A$9:$A$1008,$I314-8)))</x:f>
      </x:c>
      <x:c r="B314" s="50" t="str">
        <x:f>IF(306&gt;$H$4,"",IF(INDEX('Fleet dates'!$B$9:$B$1008,$I314-8)="","",INDEX('Fleet dates'!$B$9:$B$1008,$I314-8)))</x:f>
      </x:c>
      <x:c r="C314" s="51" t="str">
        <x:f>IF(306&gt;$H$4,"",IF(INDEX('Fleet dates'!$C$9:$C$1008,$I314-8)="","",INDEX('Fleet dates'!$C$9:$C$1008,$I314-8)))</x:f>
      </x:c>
      <x:c r="D314" s="51" t="str">
        <x:f>IF(306&gt;$H$4,"",IF(INDEX('Fleet dates'!$D$9:$D$1008,$I314-8)="","",INDEX('Fleet dates'!$D$9:$D$1008,$I314-8)))</x:f>
      </x:c>
      <x:c r="E314" s="51" t="str">
        <x:f>IF(306&gt;$H$4,"",IF(INDEX('Fleet dates'!$E$9:$E$1008,$I314-8)="","",INDEX('Fleet dates'!$E$9:$E$1008,$I314-8)))</x:f>
      </x:c>
      <x:c r="F314" s="51" t="str">
        <x:f>IF(306&gt;$H$4,"",IF(INDEX('Fleet dates'!$F$9:$F$1008,$I314-8)="","",INDEX('Fleet dates'!$F$9:$F$1008,$I314-8)))</x:f>
      </x:c>
      <x:c r="G314" s="50" t="str">
        <x:f>IF(306&gt;$H$4,"",IF(INDEX('Fleet dates'!$G$9:$G$1008,$I314-8)="","",INDEX('Fleet dates'!$G$9:$G$1008,$I314-8)))</x:f>
      </x:c>
      <x:c r="H314" s="50" t="str">
        <x:f>IF(306&gt;$H$4,"",IF(INDEX('Fleet dates'!$I$9:$I$1008,$I314-8)="","",INDEX('Fleet dates'!$I$9:$I$1008,$I314-8)))</x:f>
      </x:c>
      <x:c r="I314" t="str">
        <x:f>IF(306&gt;$H$4,"",MATCH(306,'Fleet dates'!$M$9:$M$1008,0)+8)</x:f>
      </x:c>
    </x:row>
    <x:row r="315" ht="36" customHeight="1">
      <x:c r="A315" s="50" t="str">
        <x:f>IF(307&gt;$H$4,"",IF(INDEX('Fleet dates'!$A$9:$A$1008,$I315-8)="","",INDEX('Fleet dates'!$A$9:$A$1008,$I315-8)))</x:f>
      </x:c>
      <x:c r="B315" s="50" t="str">
        <x:f>IF(307&gt;$H$4,"",IF(INDEX('Fleet dates'!$B$9:$B$1008,$I315-8)="","",INDEX('Fleet dates'!$B$9:$B$1008,$I315-8)))</x:f>
      </x:c>
      <x:c r="C315" s="51" t="str">
        <x:f>IF(307&gt;$H$4,"",IF(INDEX('Fleet dates'!$C$9:$C$1008,$I315-8)="","",INDEX('Fleet dates'!$C$9:$C$1008,$I315-8)))</x:f>
      </x:c>
      <x:c r="D315" s="51" t="str">
        <x:f>IF(307&gt;$H$4,"",IF(INDEX('Fleet dates'!$D$9:$D$1008,$I315-8)="","",INDEX('Fleet dates'!$D$9:$D$1008,$I315-8)))</x:f>
      </x:c>
      <x:c r="E315" s="51" t="str">
        <x:f>IF(307&gt;$H$4,"",IF(INDEX('Fleet dates'!$E$9:$E$1008,$I315-8)="","",INDEX('Fleet dates'!$E$9:$E$1008,$I315-8)))</x:f>
      </x:c>
      <x:c r="F315" s="51" t="str">
        <x:f>IF(307&gt;$H$4,"",IF(INDEX('Fleet dates'!$F$9:$F$1008,$I315-8)="","",INDEX('Fleet dates'!$F$9:$F$1008,$I315-8)))</x:f>
      </x:c>
      <x:c r="G315" s="50" t="str">
        <x:f>IF(307&gt;$H$4,"",IF(INDEX('Fleet dates'!$G$9:$G$1008,$I315-8)="","",INDEX('Fleet dates'!$G$9:$G$1008,$I315-8)))</x:f>
      </x:c>
      <x:c r="H315" s="50" t="str">
        <x:f>IF(307&gt;$H$4,"",IF(INDEX('Fleet dates'!$I$9:$I$1008,$I315-8)="","",INDEX('Fleet dates'!$I$9:$I$1008,$I315-8)))</x:f>
      </x:c>
      <x:c r="I315" t="str">
        <x:f>IF(307&gt;$H$4,"",MATCH(307,'Fleet dates'!$M$9:$M$1008,0)+8)</x:f>
      </x:c>
    </x:row>
    <x:row r="316" ht="36" customHeight="1">
      <x:c r="A316" s="50" t="str">
        <x:f>IF(308&gt;$H$4,"",IF(INDEX('Fleet dates'!$A$9:$A$1008,$I316-8)="","",INDEX('Fleet dates'!$A$9:$A$1008,$I316-8)))</x:f>
      </x:c>
      <x:c r="B316" s="50" t="str">
        <x:f>IF(308&gt;$H$4,"",IF(INDEX('Fleet dates'!$B$9:$B$1008,$I316-8)="","",INDEX('Fleet dates'!$B$9:$B$1008,$I316-8)))</x:f>
      </x:c>
      <x:c r="C316" s="51" t="str">
        <x:f>IF(308&gt;$H$4,"",IF(INDEX('Fleet dates'!$C$9:$C$1008,$I316-8)="","",INDEX('Fleet dates'!$C$9:$C$1008,$I316-8)))</x:f>
      </x:c>
      <x:c r="D316" s="51" t="str">
        <x:f>IF(308&gt;$H$4,"",IF(INDEX('Fleet dates'!$D$9:$D$1008,$I316-8)="","",INDEX('Fleet dates'!$D$9:$D$1008,$I316-8)))</x:f>
      </x:c>
      <x:c r="E316" s="51" t="str">
        <x:f>IF(308&gt;$H$4,"",IF(INDEX('Fleet dates'!$E$9:$E$1008,$I316-8)="","",INDEX('Fleet dates'!$E$9:$E$1008,$I316-8)))</x:f>
      </x:c>
      <x:c r="F316" s="51" t="str">
        <x:f>IF(308&gt;$H$4,"",IF(INDEX('Fleet dates'!$F$9:$F$1008,$I316-8)="","",INDEX('Fleet dates'!$F$9:$F$1008,$I316-8)))</x:f>
      </x:c>
      <x:c r="G316" s="50" t="str">
        <x:f>IF(308&gt;$H$4,"",IF(INDEX('Fleet dates'!$G$9:$G$1008,$I316-8)="","",INDEX('Fleet dates'!$G$9:$G$1008,$I316-8)))</x:f>
      </x:c>
      <x:c r="H316" s="50" t="str">
        <x:f>IF(308&gt;$H$4,"",IF(INDEX('Fleet dates'!$I$9:$I$1008,$I316-8)="","",INDEX('Fleet dates'!$I$9:$I$1008,$I316-8)))</x:f>
      </x:c>
      <x:c r="I316" t="str">
        <x:f>IF(308&gt;$H$4,"",MATCH(308,'Fleet dates'!$M$9:$M$1008,0)+8)</x:f>
      </x:c>
    </x:row>
    <x:row r="317" ht="36" customHeight="1">
      <x:c r="A317" s="50" t="str">
        <x:f>IF(309&gt;$H$4,"",IF(INDEX('Fleet dates'!$A$9:$A$1008,$I317-8)="","",INDEX('Fleet dates'!$A$9:$A$1008,$I317-8)))</x:f>
      </x:c>
      <x:c r="B317" s="50" t="str">
        <x:f>IF(309&gt;$H$4,"",IF(INDEX('Fleet dates'!$B$9:$B$1008,$I317-8)="","",INDEX('Fleet dates'!$B$9:$B$1008,$I317-8)))</x:f>
      </x:c>
      <x:c r="C317" s="51" t="str">
        <x:f>IF(309&gt;$H$4,"",IF(INDEX('Fleet dates'!$C$9:$C$1008,$I317-8)="","",INDEX('Fleet dates'!$C$9:$C$1008,$I317-8)))</x:f>
      </x:c>
      <x:c r="D317" s="51" t="str">
        <x:f>IF(309&gt;$H$4,"",IF(INDEX('Fleet dates'!$D$9:$D$1008,$I317-8)="","",INDEX('Fleet dates'!$D$9:$D$1008,$I317-8)))</x:f>
      </x:c>
      <x:c r="E317" s="51" t="str">
        <x:f>IF(309&gt;$H$4,"",IF(INDEX('Fleet dates'!$E$9:$E$1008,$I317-8)="","",INDEX('Fleet dates'!$E$9:$E$1008,$I317-8)))</x:f>
      </x:c>
      <x:c r="F317" s="51" t="str">
        <x:f>IF(309&gt;$H$4,"",IF(INDEX('Fleet dates'!$F$9:$F$1008,$I317-8)="","",INDEX('Fleet dates'!$F$9:$F$1008,$I317-8)))</x:f>
      </x:c>
      <x:c r="G317" s="50" t="str">
        <x:f>IF(309&gt;$H$4,"",IF(INDEX('Fleet dates'!$G$9:$G$1008,$I317-8)="","",INDEX('Fleet dates'!$G$9:$G$1008,$I317-8)))</x:f>
      </x:c>
      <x:c r="H317" s="50" t="str">
        <x:f>IF(309&gt;$H$4,"",IF(INDEX('Fleet dates'!$I$9:$I$1008,$I317-8)="","",INDEX('Fleet dates'!$I$9:$I$1008,$I317-8)))</x:f>
      </x:c>
      <x:c r="I317" t="str">
        <x:f>IF(309&gt;$H$4,"",MATCH(309,'Fleet dates'!$M$9:$M$1008,0)+8)</x:f>
      </x:c>
    </x:row>
    <x:row r="318" ht="36" customHeight="1">
      <x:c r="A318" s="50" t="str">
        <x:f>IF(310&gt;$H$4,"",IF(INDEX('Fleet dates'!$A$9:$A$1008,$I318-8)="","",INDEX('Fleet dates'!$A$9:$A$1008,$I318-8)))</x:f>
      </x:c>
      <x:c r="B318" s="50" t="str">
        <x:f>IF(310&gt;$H$4,"",IF(INDEX('Fleet dates'!$B$9:$B$1008,$I318-8)="","",INDEX('Fleet dates'!$B$9:$B$1008,$I318-8)))</x:f>
      </x:c>
      <x:c r="C318" s="51" t="str">
        <x:f>IF(310&gt;$H$4,"",IF(INDEX('Fleet dates'!$C$9:$C$1008,$I318-8)="","",INDEX('Fleet dates'!$C$9:$C$1008,$I318-8)))</x:f>
      </x:c>
      <x:c r="D318" s="51" t="str">
        <x:f>IF(310&gt;$H$4,"",IF(INDEX('Fleet dates'!$D$9:$D$1008,$I318-8)="","",INDEX('Fleet dates'!$D$9:$D$1008,$I318-8)))</x:f>
      </x:c>
      <x:c r="E318" s="51" t="str">
        <x:f>IF(310&gt;$H$4,"",IF(INDEX('Fleet dates'!$E$9:$E$1008,$I318-8)="","",INDEX('Fleet dates'!$E$9:$E$1008,$I318-8)))</x:f>
      </x:c>
      <x:c r="F318" s="51" t="str">
        <x:f>IF(310&gt;$H$4,"",IF(INDEX('Fleet dates'!$F$9:$F$1008,$I318-8)="","",INDEX('Fleet dates'!$F$9:$F$1008,$I318-8)))</x:f>
      </x:c>
      <x:c r="G318" s="50" t="str">
        <x:f>IF(310&gt;$H$4,"",IF(INDEX('Fleet dates'!$G$9:$G$1008,$I318-8)="","",INDEX('Fleet dates'!$G$9:$G$1008,$I318-8)))</x:f>
      </x:c>
      <x:c r="H318" s="50" t="str">
        <x:f>IF(310&gt;$H$4,"",IF(INDEX('Fleet dates'!$I$9:$I$1008,$I318-8)="","",INDEX('Fleet dates'!$I$9:$I$1008,$I318-8)))</x:f>
      </x:c>
      <x:c r="I318" t="str">
        <x:f>IF(310&gt;$H$4,"",MATCH(310,'Fleet dates'!$M$9:$M$1008,0)+8)</x:f>
      </x:c>
    </x:row>
    <x:row r="319" ht="36" customHeight="1">
      <x:c r="A319" s="50" t="str">
        <x:f>IF(311&gt;$H$4,"",IF(INDEX('Fleet dates'!$A$9:$A$1008,$I319-8)="","",INDEX('Fleet dates'!$A$9:$A$1008,$I319-8)))</x:f>
      </x:c>
      <x:c r="B319" s="50" t="str">
        <x:f>IF(311&gt;$H$4,"",IF(INDEX('Fleet dates'!$B$9:$B$1008,$I319-8)="","",INDEX('Fleet dates'!$B$9:$B$1008,$I319-8)))</x:f>
      </x:c>
      <x:c r="C319" s="51" t="str">
        <x:f>IF(311&gt;$H$4,"",IF(INDEX('Fleet dates'!$C$9:$C$1008,$I319-8)="","",INDEX('Fleet dates'!$C$9:$C$1008,$I319-8)))</x:f>
      </x:c>
      <x:c r="D319" s="51" t="str">
        <x:f>IF(311&gt;$H$4,"",IF(INDEX('Fleet dates'!$D$9:$D$1008,$I319-8)="","",INDEX('Fleet dates'!$D$9:$D$1008,$I319-8)))</x:f>
      </x:c>
      <x:c r="E319" s="51" t="str">
        <x:f>IF(311&gt;$H$4,"",IF(INDEX('Fleet dates'!$E$9:$E$1008,$I319-8)="","",INDEX('Fleet dates'!$E$9:$E$1008,$I319-8)))</x:f>
      </x:c>
      <x:c r="F319" s="51" t="str">
        <x:f>IF(311&gt;$H$4,"",IF(INDEX('Fleet dates'!$F$9:$F$1008,$I319-8)="","",INDEX('Fleet dates'!$F$9:$F$1008,$I319-8)))</x:f>
      </x:c>
      <x:c r="G319" s="50" t="str">
        <x:f>IF(311&gt;$H$4,"",IF(INDEX('Fleet dates'!$G$9:$G$1008,$I319-8)="","",INDEX('Fleet dates'!$G$9:$G$1008,$I319-8)))</x:f>
      </x:c>
      <x:c r="H319" s="50" t="str">
        <x:f>IF(311&gt;$H$4,"",IF(INDEX('Fleet dates'!$I$9:$I$1008,$I319-8)="","",INDEX('Fleet dates'!$I$9:$I$1008,$I319-8)))</x:f>
      </x:c>
      <x:c r="I319" t="str">
        <x:f>IF(311&gt;$H$4,"",MATCH(311,'Fleet dates'!$M$9:$M$1008,0)+8)</x:f>
      </x:c>
    </x:row>
    <x:row r="320" ht="36" customHeight="1">
      <x:c r="A320" s="50" t="str">
        <x:f>IF(312&gt;$H$4,"",IF(INDEX('Fleet dates'!$A$9:$A$1008,$I320-8)="","",INDEX('Fleet dates'!$A$9:$A$1008,$I320-8)))</x:f>
      </x:c>
      <x:c r="B320" s="50" t="str">
        <x:f>IF(312&gt;$H$4,"",IF(INDEX('Fleet dates'!$B$9:$B$1008,$I320-8)="","",INDEX('Fleet dates'!$B$9:$B$1008,$I320-8)))</x:f>
      </x:c>
      <x:c r="C320" s="51" t="str">
        <x:f>IF(312&gt;$H$4,"",IF(INDEX('Fleet dates'!$C$9:$C$1008,$I320-8)="","",INDEX('Fleet dates'!$C$9:$C$1008,$I320-8)))</x:f>
      </x:c>
      <x:c r="D320" s="51" t="str">
        <x:f>IF(312&gt;$H$4,"",IF(INDEX('Fleet dates'!$D$9:$D$1008,$I320-8)="","",INDEX('Fleet dates'!$D$9:$D$1008,$I320-8)))</x:f>
      </x:c>
      <x:c r="E320" s="51" t="str">
        <x:f>IF(312&gt;$H$4,"",IF(INDEX('Fleet dates'!$E$9:$E$1008,$I320-8)="","",INDEX('Fleet dates'!$E$9:$E$1008,$I320-8)))</x:f>
      </x:c>
      <x:c r="F320" s="51" t="str">
        <x:f>IF(312&gt;$H$4,"",IF(INDEX('Fleet dates'!$F$9:$F$1008,$I320-8)="","",INDEX('Fleet dates'!$F$9:$F$1008,$I320-8)))</x:f>
      </x:c>
      <x:c r="G320" s="50" t="str">
        <x:f>IF(312&gt;$H$4,"",IF(INDEX('Fleet dates'!$G$9:$G$1008,$I320-8)="","",INDEX('Fleet dates'!$G$9:$G$1008,$I320-8)))</x:f>
      </x:c>
      <x:c r="H320" s="50" t="str">
        <x:f>IF(312&gt;$H$4,"",IF(INDEX('Fleet dates'!$I$9:$I$1008,$I320-8)="","",INDEX('Fleet dates'!$I$9:$I$1008,$I320-8)))</x:f>
      </x:c>
      <x:c r="I320" t="str">
        <x:f>IF(312&gt;$H$4,"",MATCH(312,'Fleet dates'!$M$9:$M$1008,0)+8)</x:f>
      </x:c>
    </x:row>
    <x:row r="321" ht="36" customHeight="1">
      <x:c r="A321" s="50" t="str">
        <x:f>IF(313&gt;$H$4,"",IF(INDEX('Fleet dates'!$A$9:$A$1008,$I321-8)="","",INDEX('Fleet dates'!$A$9:$A$1008,$I321-8)))</x:f>
      </x:c>
      <x:c r="B321" s="50" t="str">
        <x:f>IF(313&gt;$H$4,"",IF(INDEX('Fleet dates'!$B$9:$B$1008,$I321-8)="","",INDEX('Fleet dates'!$B$9:$B$1008,$I321-8)))</x:f>
      </x:c>
      <x:c r="C321" s="51" t="str">
        <x:f>IF(313&gt;$H$4,"",IF(INDEX('Fleet dates'!$C$9:$C$1008,$I321-8)="","",INDEX('Fleet dates'!$C$9:$C$1008,$I321-8)))</x:f>
      </x:c>
      <x:c r="D321" s="51" t="str">
        <x:f>IF(313&gt;$H$4,"",IF(INDEX('Fleet dates'!$D$9:$D$1008,$I321-8)="","",INDEX('Fleet dates'!$D$9:$D$1008,$I321-8)))</x:f>
      </x:c>
      <x:c r="E321" s="51" t="str">
        <x:f>IF(313&gt;$H$4,"",IF(INDEX('Fleet dates'!$E$9:$E$1008,$I321-8)="","",INDEX('Fleet dates'!$E$9:$E$1008,$I321-8)))</x:f>
      </x:c>
      <x:c r="F321" s="51" t="str">
        <x:f>IF(313&gt;$H$4,"",IF(INDEX('Fleet dates'!$F$9:$F$1008,$I321-8)="","",INDEX('Fleet dates'!$F$9:$F$1008,$I321-8)))</x:f>
      </x:c>
      <x:c r="G321" s="50" t="str">
        <x:f>IF(313&gt;$H$4,"",IF(INDEX('Fleet dates'!$G$9:$G$1008,$I321-8)="","",INDEX('Fleet dates'!$G$9:$G$1008,$I321-8)))</x:f>
      </x:c>
      <x:c r="H321" s="50" t="str">
        <x:f>IF(313&gt;$H$4,"",IF(INDEX('Fleet dates'!$I$9:$I$1008,$I321-8)="","",INDEX('Fleet dates'!$I$9:$I$1008,$I321-8)))</x:f>
      </x:c>
      <x:c r="I321" t="str">
        <x:f>IF(313&gt;$H$4,"",MATCH(313,'Fleet dates'!$M$9:$M$1008,0)+8)</x:f>
      </x:c>
    </x:row>
    <x:row r="322" ht="36" customHeight="1">
      <x:c r="A322" s="50" t="str">
        <x:f>IF(314&gt;$H$4,"",IF(INDEX('Fleet dates'!$A$9:$A$1008,$I322-8)="","",INDEX('Fleet dates'!$A$9:$A$1008,$I322-8)))</x:f>
      </x:c>
      <x:c r="B322" s="50" t="str">
        <x:f>IF(314&gt;$H$4,"",IF(INDEX('Fleet dates'!$B$9:$B$1008,$I322-8)="","",INDEX('Fleet dates'!$B$9:$B$1008,$I322-8)))</x:f>
      </x:c>
      <x:c r="C322" s="51" t="str">
        <x:f>IF(314&gt;$H$4,"",IF(INDEX('Fleet dates'!$C$9:$C$1008,$I322-8)="","",INDEX('Fleet dates'!$C$9:$C$1008,$I322-8)))</x:f>
      </x:c>
      <x:c r="D322" s="51" t="str">
        <x:f>IF(314&gt;$H$4,"",IF(INDEX('Fleet dates'!$D$9:$D$1008,$I322-8)="","",INDEX('Fleet dates'!$D$9:$D$1008,$I322-8)))</x:f>
      </x:c>
      <x:c r="E322" s="51" t="str">
        <x:f>IF(314&gt;$H$4,"",IF(INDEX('Fleet dates'!$E$9:$E$1008,$I322-8)="","",INDEX('Fleet dates'!$E$9:$E$1008,$I322-8)))</x:f>
      </x:c>
      <x:c r="F322" s="51" t="str">
        <x:f>IF(314&gt;$H$4,"",IF(INDEX('Fleet dates'!$F$9:$F$1008,$I322-8)="","",INDEX('Fleet dates'!$F$9:$F$1008,$I322-8)))</x:f>
      </x:c>
      <x:c r="G322" s="50" t="str">
        <x:f>IF(314&gt;$H$4,"",IF(INDEX('Fleet dates'!$G$9:$G$1008,$I322-8)="","",INDEX('Fleet dates'!$G$9:$G$1008,$I322-8)))</x:f>
      </x:c>
      <x:c r="H322" s="50" t="str">
        <x:f>IF(314&gt;$H$4,"",IF(INDEX('Fleet dates'!$I$9:$I$1008,$I322-8)="","",INDEX('Fleet dates'!$I$9:$I$1008,$I322-8)))</x:f>
      </x:c>
      <x:c r="I322" t="str">
        <x:f>IF(314&gt;$H$4,"",MATCH(314,'Fleet dates'!$M$9:$M$1008,0)+8)</x:f>
      </x:c>
    </x:row>
    <x:row r="323" ht="36" customHeight="1">
      <x:c r="A323" s="50" t="str">
        <x:f>IF(315&gt;$H$4,"",IF(INDEX('Fleet dates'!$A$9:$A$1008,$I323-8)="","",INDEX('Fleet dates'!$A$9:$A$1008,$I323-8)))</x:f>
      </x:c>
      <x:c r="B323" s="50" t="str">
        <x:f>IF(315&gt;$H$4,"",IF(INDEX('Fleet dates'!$B$9:$B$1008,$I323-8)="","",INDEX('Fleet dates'!$B$9:$B$1008,$I323-8)))</x:f>
      </x:c>
      <x:c r="C323" s="51" t="str">
        <x:f>IF(315&gt;$H$4,"",IF(INDEX('Fleet dates'!$C$9:$C$1008,$I323-8)="","",INDEX('Fleet dates'!$C$9:$C$1008,$I323-8)))</x:f>
      </x:c>
      <x:c r="D323" s="51" t="str">
        <x:f>IF(315&gt;$H$4,"",IF(INDEX('Fleet dates'!$D$9:$D$1008,$I323-8)="","",INDEX('Fleet dates'!$D$9:$D$1008,$I323-8)))</x:f>
      </x:c>
      <x:c r="E323" s="51" t="str">
        <x:f>IF(315&gt;$H$4,"",IF(INDEX('Fleet dates'!$E$9:$E$1008,$I323-8)="","",INDEX('Fleet dates'!$E$9:$E$1008,$I323-8)))</x:f>
      </x:c>
      <x:c r="F323" s="51" t="str">
        <x:f>IF(315&gt;$H$4,"",IF(INDEX('Fleet dates'!$F$9:$F$1008,$I323-8)="","",INDEX('Fleet dates'!$F$9:$F$1008,$I323-8)))</x:f>
      </x:c>
      <x:c r="G323" s="50" t="str">
        <x:f>IF(315&gt;$H$4,"",IF(INDEX('Fleet dates'!$G$9:$G$1008,$I323-8)="","",INDEX('Fleet dates'!$G$9:$G$1008,$I323-8)))</x:f>
      </x:c>
      <x:c r="H323" s="50" t="str">
        <x:f>IF(315&gt;$H$4,"",IF(INDEX('Fleet dates'!$I$9:$I$1008,$I323-8)="","",INDEX('Fleet dates'!$I$9:$I$1008,$I323-8)))</x:f>
      </x:c>
      <x:c r="I323" t="str">
        <x:f>IF(315&gt;$H$4,"",MATCH(315,'Fleet dates'!$M$9:$M$1008,0)+8)</x:f>
      </x:c>
    </x:row>
    <x:row r="324" ht="36" customHeight="1">
      <x:c r="A324" s="50" t="str">
        <x:f>IF(316&gt;$H$4,"",IF(INDEX('Fleet dates'!$A$9:$A$1008,$I324-8)="","",INDEX('Fleet dates'!$A$9:$A$1008,$I324-8)))</x:f>
      </x:c>
      <x:c r="B324" s="50" t="str">
        <x:f>IF(316&gt;$H$4,"",IF(INDEX('Fleet dates'!$B$9:$B$1008,$I324-8)="","",INDEX('Fleet dates'!$B$9:$B$1008,$I324-8)))</x:f>
      </x:c>
      <x:c r="C324" s="51" t="str">
        <x:f>IF(316&gt;$H$4,"",IF(INDEX('Fleet dates'!$C$9:$C$1008,$I324-8)="","",INDEX('Fleet dates'!$C$9:$C$1008,$I324-8)))</x:f>
      </x:c>
      <x:c r="D324" s="51" t="str">
        <x:f>IF(316&gt;$H$4,"",IF(INDEX('Fleet dates'!$D$9:$D$1008,$I324-8)="","",INDEX('Fleet dates'!$D$9:$D$1008,$I324-8)))</x:f>
      </x:c>
      <x:c r="E324" s="51" t="str">
        <x:f>IF(316&gt;$H$4,"",IF(INDEX('Fleet dates'!$E$9:$E$1008,$I324-8)="","",INDEX('Fleet dates'!$E$9:$E$1008,$I324-8)))</x:f>
      </x:c>
      <x:c r="F324" s="51" t="str">
        <x:f>IF(316&gt;$H$4,"",IF(INDEX('Fleet dates'!$F$9:$F$1008,$I324-8)="","",INDEX('Fleet dates'!$F$9:$F$1008,$I324-8)))</x:f>
      </x:c>
      <x:c r="G324" s="50" t="str">
        <x:f>IF(316&gt;$H$4,"",IF(INDEX('Fleet dates'!$G$9:$G$1008,$I324-8)="","",INDEX('Fleet dates'!$G$9:$G$1008,$I324-8)))</x:f>
      </x:c>
      <x:c r="H324" s="50" t="str">
        <x:f>IF(316&gt;$H$4,"",IF(INDEX('Fleet dates'!$I$9:$I$1008,$I324-8)="","",INDEX('Fleet dates'!$I$9:$I$1008,$I324-8)))</x:f>
      </x:c>
      <x:c r="I324" t="str">
        <x:f>IF(316&gt;$H$4,"",MATCH(316,'Fleet dates'!$M$9:$M$1008,0)+8)</x:f>
      </x:c>
    </x:row>
    <x:row r="325" ht="36" customHeight="1">
      <x:c r="A325" s="50" t="str">
        <x:f>IF(317&gt;$H$4,"",IF(INDEX('Fleet dates'!$A$9:$A$1008,$I325-8)="","",INDEX('Fleet dates'!$A$9:$A$1008,$I325-8)))</x:f>
      </x:c>
      <x:c r="B325" s="50" t="str">
        <x:f>IF(317&gt;$H$4,"",IF(INDEX('Fleet dates'!$B$9:$B$1008,$I325-8)="","",INDEX('Fleet dates'!$B$9:$B$1008,$I325-8)))</x:f>
      </x:c>
      <x:c r="C325" s="51" t="str">
        <x:f>IF(317&gt;$H$4,"",IF(INDEX('Fleet dates'!$C$9:$C$1008,$I325-8)="","",INDEX('Fleet dates'!$C$9:$C$1008,$I325-8)))</x:f>
      </x:c>
      <x:c r="D325" s="51" t="str">
        <x:f>IF(317&gt;$H$4,"",IF(INDEX('Fleet dates'!$D$9:$D$1008,$I325-8)="","",INDEX('Fleet dates'!$D$9:$D$1008,$I325-8)))</x:f>
      </x:c>
      <x:c r="E325" s="51" t="str">
        <x:f>IF(317&gt;$H$4,"",IF(INDEX('Fleet dates'!$E$9:$E$1008,$I325-8)="","",INDEX('Fleet dates'!$E$9:$E$1008,$I325-8)))</x:f>
      </x:c>
      <x:c r="F325" s="51" t="str">
        <x:f>IF(317&gt;$H$4,"",IF(INDEX('Fleet dates'!$F$9:$F$1008,$I325-8)="","",INDEX('Fleet dates'!$F$9:$F$1008,$I325-8)))</x:f>
      </x:c>
      <x:c r="G325" s="50" t="str">
        <x:f>IF(317&gt;$H$4,"",IF(INDEX('Fleet dates'!$G$9:$G$1008,$I325-8)="","",INDEX('Fleet dates'!$G$9:$G$1008,$I325-8)))</x:f>
      </x:c>
      <x:c r="H325" s="50" t="str">
        <x:f>IF(317&gt;$H$4,"",IF(INDEX('Fleet dates'!$I$9:$I$1008,$I325-8)="","",INDEX('Fleet dates'!$I$9:$I$1008,$I325-8)))</x:f>
      </x:c>
      <x:c r="I325" t="str">
        <x:f>IF(317&gt;$H$4,"",MATCH(317,'Fleet dates'!$M$9:$M$1008,0)+8)</x:f>
      </x:c>
    </x:row>
    <x:row r="326" ht="36" customHeight="1">
      <x:c r="A326" s="50" t="str">
        <x:f>IF(318&gt;$H$4,"",IF(INDEX('Fleet dates'!$A$9:$A$1008,$I326-8)="","",INDEX('Fleet dates'!$A$9:$A$1008,$I326-8)))</x:f>
      </x:c>
      <x:c r="B326" s="50" t="str">
        <x:f>IF(318&gt;$H$4,"",IF(INDEX('Fleet dates'!$B$9:$B$1008,$I326-8)="","",INDEX('Fleet dates'!$B$9:$B$1008,$I326-8)))</x:f>
      </x:c>
      <x:c r="C326" s="51" t="str">
        <x:f>IF(318&gt;$H$4,"",IF(INDEX('Fleet dates'!$C$9:$C$1008,$I326-8)="","",INDEX('Fleet dates'!$C$9:$C$1008,$I326-8)))</x:f>
      </x:c>
      <x:c r="D326" s="51" t="str">
        <x:f>IF(318&gt;$H$4,"",IF(INDEX('Fleet dates'!$D$9:$D$1008,$I326-8)="","",INDEX('Fleet dates'!$D$9:$D$1008,$I326-8)))</x:f>
      </x:c>
      <x:c r="E326" s="51" t="str">
        <x:f>IF(318&gt;$H$4,"",IF(INDEX('Fleet dates'!$E$9:$E$1008,$I326-8)="","",INDEX('Fleet dates'!$E$9:$E$1008,$I326-8)))</x:f>
      </x:c>
      <x:c r="F326" s="51" t="str">
        <x:f>IF(318&gt;$H$4,"",IF(INDEX('Fleet dates'!$F$9:$F$1008,$I326-8)="","",INDEX('Fleet dates'!$F$9:$F$1008,$I326-8)))</x:f>
      </x:c>
      <x:c r="G326" s="50" t="str">
        <x:f>IF(318&gt;$H$4,"",IF(INDEX('Fleet dates'!$G$9:$G$1008,$I326-8)="","",INDEX('Fleet dates'!$G$9:$G$1008,$I326-8)))</x:f>
      </x:c>
      <x:c r="H326" s="50" t="str">
        <x:f>IF(318&gt;$H$4,"",IF(INDEX('Fleet dates'!$I$9:$I$1008,$I326-8)="","",INDEX('Fleet dates'!$I$9:$I$1008,$I326-8)))</x:f>
      </x:c>
      <x:c r="I326" t="str">
        <x:f>IF(318&gt;$H$4,"",MATCH(318,'Fleet dates'!$M$9:$M$1008,0)+8)</x:f>
      </x:c>
    </x:row>
    <x:row r="327" ht="36" customHeight="1">
      <x:c r="A327" s="50" t="str">
        <x:f>IF(319&gt;$H$4,"",IF(INDEX('Fleet dates'!$A$9:$A$1008,$I327-8)="","",INDEX('Fleet dates'!$A$9:$A$1008,$I327-8)))</x:f>
      </x:c>
      <x:c r="B327" s="50" t="str">
        <x:f>IF(319&gt;$H$4,"",IF(INDEX('Fleet dates'!$B$9:$B$1008,$I327-8)="","",INDEX('Fleet dates'!$B$9:$B$1008,$I327-8)))</x:f>
      </x:c>
      <x:c r="C327" s="51" t="str">
        <x:f>IF(319&gt;$H$4,"",IF(INDEX('Fleet dates'!$C$9:$C$1008,$I327-8)="","",INDEX('Fleet dates'!$C$9:$C$1008,$I327-8)))</x:f>
      </x:c>
      <x:c r="D327" s="51" t="str">
        <x:f>IF(319&gt;$H$4,"",IF(INDEX('Fleet dates'!$D$9:$D$1008,$I327-8)="","",INDEX('Fleet dates'!$D$9:$D$1008,$I327-8)))</x:f>
      </x:c>
      <x:c r="E327" s="51" t="str">
        <x:f>IF(319&gt;$H$4,"",IF(INDEX('Fleet dates'!$E$9:$E$1008,$I327-8)="","",INDEX('Fleet dates'!$E$9:$E$1008,$I327-8)))</x:f>
      </x:c>
      <x:c r="F327" s="51" t="str">
        <x:f>IF(319&gt;$H$4,"",IF(INDEX('Fleet dates'!$F$9:$F$1008,$I327-8)="","",INDEX('Fleet dates'!$F$9:$F$1008,$I327-8)))</x:f>
      </x:c>
      <x:c r="G327" s="50" t="str">
        <x:f>IF(319&gt;$H$4,"",IF(INDEX('Fleet dates'!$G$9:$G$1008,$I327-8)="","",INDEX('Fleet dates'!$G$9:$G$1008,$I327-8)))</x:f>
      </x:c>
      <x:c r="H327" s="50" t="str">
        <x:f>IF(319&gt;$H$4,"",IF(INDEX('Fleet dates'!$I$9:$I$1008,$I327-8)="","",INDEX('Fleet dates'!$I$9:$I$1008,$I327-8)))</x:f>
      </x:c>
      <x:c r="I327" t="str">
        <x:f>IF(319&gt;$H$4,"",MATCH(319,'Fleet dates'!$M$9:$M$1008,0)+8)</x:f>
      </x:c>
    </x:row>
    <x:row r="328" ht="36" customHeight="1">
      <x:c r="A328" s="50" t="str">
        <x:f>IF(320&gt;$H$4,"",IF(INDEX('Fleet dates'!$A$9:$A$1008,$I328-8)="","",INDEX('Fleet dates'!$A$9:$A$1008,$I328-8)))</x:f>
      </x:c>
      <x:c r="B328" s="50" t="str">
        <x:f>IF(320&gt;$H$4,"",IF(INDEX('Fleet dates'!$B$9:$B$1008,$I328-8)="","",INDEX('Fleet dates'!$B$9:$B$1008,$I328-8)))</x:f>
      </x:c>
      <x:c r="C328" s="51" t="str">
        <x:f>IF(320&gt;$H$4,"",IF(INDEX('Fleet dates'!$C$9:$C$1008,$I328-8)="","",INDEX('Fleet dates'!$C$9:$C$1008,$I328-8)))</x:f>
      </x:c>
      <x:c r="D328" s="51" t="str">
        <x:f>IF(320&gt;$H$4,"",IF(INDEX('Fleet dates'!$D$9:$D$1008,$I328-8)="","",INDEX('Fleet dates'!$D$9:$D$1008,$I328-8)))</x:f>
      </x:c>
      <x:c r="E328" s="51" t="str">
        <x:f>IF(320&gt;$H$4,"",IF(INDEX('Fleet dates'!$E$9:$E$1008,$I328-8)="","",INDEX('Fleet dates'!$E$9:$E$1008,$I328-8)))</x:f>
      </x:c>
      <x:c r="F328" s="51" t="str">
        <x:f>IF(320&gt;$H$4,"",IF(INDEX('Fleet dates'!$F$9:$F$1008,$I328-8)="","",INDEX('Fleet dates'!$F$9:$F$1008,$I328-8)))</x:f>
      </x:c>
      <x:c r="G328" s="50" t="str">
        <x:f>IF(320&gt;$H$4,"",IF(INDEX('Fleet dates'!$G$9:$G$1008,$I328-8)="","",INDEX('Fleet dates'!$G$9:$G$1008,$I328-8)))</x:f>
      </x:c>
      <x:c r="H328" s="50" t="str">
        <x:f>IF(320&gt;$H$4,"",IF(INDEX('Fleet dates'!$I$9:$I$1008,$I328-8)="","",INDEX('Fleet dates'!$I$9:$I$1008,$I328-8)))</x:f>
      </x:c>
      <x:c r="I328" t="str">
        <x:f>IF(320&gt;$H$4,"",MATCH(320,'Fleet dates'!$M$9:$M$1008,0)+8)</x:f>
      </x:c>
    </x:row>
    <x:row r="329" ht="36" customHeight="1">
      <x:c r="A329" s="50" t="str">
        <x:f>IF(321&gt;$H$4,"",IF(INDEX('Fleet dates'!$A$9:$A$1008,$I329-8)="","",INDEX('Fleet dates'!$A$9:$A$1008,$I329-8)))</x:f>
      </x:c>
      <x:c r="B329" s="50" t="str">
        <x:f>IF(321&gt;$H$4,"",IF(INDEX('Fleet dates'!$B$9:$B$1008,$I329-8)="","",INDEX('Fleet dates'!$B$9:$B$1008,$I329-8)))</x:f>
      </x:c>
      <x:c r="C329" s="51" t="str">
        <x:f>IF(321&gt;$H$4,"",IF(INDEX('Fleet dates'!$C$9:$C$1008,$I329-8)="","",INDEX('Fleet dates'!$C$9:$C$1008,$I329-8)))</x:f>
      </x:c>
      <x:c r="D329" s="51" t="str">
        <x:f>IF(321&gt;$H$4,"",IF(INDEX('Fleet dates'!$D$9:$D$1008,$I329-8)="","",INDEX('Fleet dates'!$D$9:$D$1008,$I329-8)))</x:f>
      </x:c>
      <x:c r="E329" s="51" t="str">
        <x:f>IF(321&gt;$H$4,"",IF(INDEX('Fleet dates'!$E$9:$E$1008,$I329-8)="","",INDEX('Fleet dates'!$E$9:$E$1008,$I329-8)))</x:f>
      </x:c>
      <x:c r="F329" s="51" t="str">
        <x:f>IF(321&gt;$H$4,"",IF(INDEX('Fleet dates'!$F$9:$F$1008,$I329-8)="","",INDEX('Fleet dates'!$F$9:$F$1008,$I329-8)))</x:f>
      </x:c>
      <x:c r="G329" s="50" t="str">
        <x:f>IF(321&gt;$H$4,"",IF(INDEX('Fleet dates'!$G$9:$G$1008,$I329-8)="","",INDEX('Fleet dates'!$G$9:$G$1008,$I329-8)))</x:f>
      </x:c>
      <x:c r="H329" s="50" t="str">
        <x:f>IF(321&gt;$H$4,"",IF(INDEX('Fleet dates'!$I$9:$I$1008,$I329-8)="","",INDEX('Fleet dates'!$I$9:$I$1008,$I329-8)))</x:f>
      </x:c>
      <x:c r="I329" t="str">
        <x:f>IF(321&gt;$H$4,"",MATCH(321,'Fleet dates'!$M$9:$M$1008,0)+8)</x:f>
      </x:c>
    </x:row>
    <x:row r="330" ht="36" customHeight="1">
      <x:c r="A330" s="50" t="str">
        <x:f>IF(322&gt;$H$4,"",IF(INDEX('Fleet dates'!$A$9:$A$1008,$I330-8)="","",INDEX('Fleet dates'!$A$9:$A$1008,$I330-8)))</x:f>
      </x:c>
      <x:c r="B330" s="50" t="str">
        <x:f>IF(322&gt;$H$4,"",IF(INDEX('Fleet dates'!$B$9:$B$1008,$I330-8)="","",INDEX('Fleet dates'!$B$9:$B$1008,$I330-8)))</x:f>
      </x:c>
      <x:c r="C330" s="51" t="str">
        <x:f>IF(322&gt;$H$4,"",IF(INDEX('Fleet dates'!$C$9:$C$1008,$I330-8)="","",INDEX('Fleet dates'!$C$9:$C$1008,$I330-8)))</x:f>
      </x:c>
      <x:c r="D330" s="51" t="str">
        <x:f>IF(322&gt;$H$4,"",IF(INDEX('Fleet dates'!$D$9:$D$1008,$I330-8)="","",INDEX('Fleet dates'!$D$9:$D$1008,$I330-8)))</x:f>
      </x:c>
      <x:c r="E330" s="51" t="str">
        <x:f>IF(322&gt;$H$4,"",IF(INDEX('Fleet dates'!$E$9:$E$1008,$I330-8)="","",INDEX('Fleet dates'!$E$9:$E$1008,$I330-8)))</x:f>
      </x:c>
      <x:c r="F330" s="51" t="str">
        <x:f>IF(322&gt;$H$4,"",IF(INDEX('Fleet dates'!$F$9:$F$1008,$I330-8)="","",INDEX('Fleet dates'!$F$9:$F$1008,$I330-8)))</x:f>
      </x:c>
      <x:c r="G330" s="50" t="str">
        <x:f>IF(322&gt;$H$4,"",IF(INDEX('Fleet dates'!$G$9:$G$1008,$I330-8)="","",INDEX('Fleet dates'!$G$9:$G$1008,$I330-8)))</x:f>
      </x:c>
      <x:c r="H330" s="50" t="str">
        <x:f>IF(322&gt;$H$4,"",IF(INDEX('Fleet dates'!$I$9:$I$1008,$I330-8)="","",INDEX('Fleet dates'!$I$9:$I$1008,$I330-8)))</x:f>
      </x:c>
      <x:c r="I330" t="str">
        <x:f>IF(322&gt;$H$4,"",MATCH(322,'Fleet dates'!$M$9:$M$1008,0)+8)</x:f>
      </x:c>
    </x:row>
    <x:row r="331" ht="36" customHeight="1">
      <x:c r="A331" s="50" t="str">
        <x:f>IF(323&gt;$H$4,"",IF(INDEX('Fleet dates'!$A$9:$A$1008,$I331-8)="","",INDEX('Fleet dates'!$A$9:$A$1008,$I331-8)))</x:f>
      </x:c>
      <x:c r="B331" s="50" t="str">
        <x:f>IF(323&gt;$H$4,"",IF(INDEX('Fleet dates'!$B$9:$B$1008,$I331-8)="","",INDEX('Fleet dates'!$B$9:$B$1008,$I331-8)))</x:f>
      </x:c>
      <x:c r="C331" s="51" t="str">
        <x:f>IF(323&gt;$H$4,"",IF(INDEX('Fleet dates'!$C$9:$C$1008,$I331-8)="","",INDEX('Fleet dates'!$C$9:$C$1008,$I331-8)))</x:f>
      </x:c>
      <x:c r="D331" s="51" t="str">
        <x:f>IF(323&gt;$H$4,"",IF(INDEX('Fleet dates'!$D$9:$D$1008,$I331-8)="","",INDEX('Fleet dates'!$D$9:$D$1008,$I331-8)))</x:f>
      </x:c>
      <x:c r="E331" s="51" t="str">
        <x:f>IF(323&gt;$H$4,"",IF(INDEX('Fleet dates'!$E$9:$E$1008,$I331-8)="","",INDEX('Fleet dates'!$E$9:$E$1008,$I331-8)))</x:f>
      </x:c>
      <x:c r="F331" s="51" t="str">
        <x:f>IF(323&gt;$H$4,"",IF(INDEX('Fleet dates'!$F$9:$F$1008,$I331-8)="","",INDEX('Fleet dates'!$F$9:$F$1008,$I331-8)))</x:f>
      </x:c>
      <x:c r="G331" s="50" t="str">
        <x:f>IF(323&gt;$H$4,"",IF(INDEX('Fleet dates'!$G$9:$G$1008,$I331-8)="","",INDEX('Fleet dates'!$G$9:$G$1008,$I331-8)))</x:f>
      </x:c>
      <x:c r="H331" s="50" t="str">
        <x:f>IF(323&gt;$H$4,"",IF(INDEX('Fleet dates'!$I$9:$I$1008,$I331-8)="","",INDEX('Fleet dates'!$I$9:$I$1008,$I331-8)))</x:f>
      </x:c>
      <x:c r="I331" t="str">
        <x:f>IF(323&gt;$H$4,"",MATCH(323,'Fleet dates'!$M$9:$M$1008,0)+8)</x:f>
      </x:c>
    </x:row>
    <x:row r="332" ht="36" customHeight="1">
      <x:c r="A332" s="50" t="str">
        <x:f>IF(324&gt;$H$4,"",IF(INDEX('Fleet dates'!$A$9:$A$1008,$I332-8)="","",INDEX('Fleet dates'!$A$9:$A$1008,$I332-8)))</x:f>
      </x:c>
      <x:c r="B332" s="50" t="str">
        <x:f>IF(324&gt;$H$4,"",IF(INDEX('Fleet dates'!$B$9:$B$1008,$I332-8)="","",INDEX('Fleet dates'!$B$9:$B$1008,$I332-8)))</x:f>
      </x:c>
      <x:c r="C332" s="51" t="str">
        <x:f>IF(324&gt;$H$4,"",IF(INDEX('Fleet dates'!$C$9:$C$1008,$I332-8)="","",INDEX('Fleet dates'!$C$9:$C$1008,$I332-8)))</x:f>
      </x:c>
      <x:c r="D332" s="51" t="str">
        <x:f>IF(324&gt;$H$4,"",IF(INDEX('Fleet dates'!$D$9:$D$1008,$I332-8)="","",INDEX('Fleet dates'!$D$9:$D$1008,$I332-8)))</x:f>
      </x:c>
      <x:c r="E332" s="51" t="str">
        <x:f>IF(324&gt;$H$4,"",IF(INDEX('Fleet dates'!$E$9:$E$1008,$I332-8)="","",INDEX('Fleet dates'!$E$9:$E$1008,$I332-8)))</x:f>
      </x:c>
      <x:c r="F332" s="51" t="str">
        <x:f>IF(324&gt;$H$4,"",IF(INDEX('Fleet dates'!$F$9:$F$1008,$I332-8)="","",INDEX('Fleet dates'!$F$9:$F$1008,$I332-8)))</x:f>
      </x:c>
      <x:c r="G332" s="50" t="str">
        <x:f>IF(324&gt;$H$4,"",IF(INDEX('Fleet dates'!$G$9:$G$1008,$I332-8)="","",INDEX('Fleet dates'!$G$9:$G$1008,$I332-8)))</x:f>
      </x:c>
      <x:c r="H332" s="50" t="str">
        <x:f>IF(324&gt;$H$4,"",IF(INDEX('Fleet dates'!$I$9:$I$1008,$I332-8)="","",INDEX('Fleet dates'!$I$9:$I$1008,$I332-8)))</x:f>
      </x:c>
      <x:c r="I332" t="str">
        <x:f>IF(324&gt;$H$4,"",MATCH(324,'Fleet dates'!$M$9:$M$1008,0)+8)</x:f>
      </x:c>
    </x:row>
    <x:row r="333" ht="36" customHeight="1">
      <x:c r="A333" s="50" t="str">
        <x:f>IF(325&gt;$H$4,"",IF(INDEX('Fleet dates'!$A$9:$A$1008,$I333-8)="","",INDEX('Fleet dates'!$A$9:$A$1008,$I333-8)))</x:f>
      </x:c>
      <x:c r="B333" s="50" t="str">
        <x:f>IF(325&gt;$H$4,"",IF(INDEX('Fleet dates'!$B$9:$B$1008,$I333-8)="","",INDEX('Fleet dates'!$B$9:$B$1008,$I333-8)))</x:f>
      </x:c>
      <x:c r="C333" s="51" t="str">
        <x:f>IF(325&gt;$H$4,"",IF(INDEX('Fleet dates'!$C$9:$C$1008,$I333-8)="","",INDEX('Fleet dates'!$C$9:$C$1008,$I333-8)))</x:f>
      </x:c>
      <x:c r="D333" s="51" t="str">
        <x:f>IF(325&gt;$H$4,"",IF(INDEX('Fleet dates'!$D$9:$D$1008,$I333-8)="","",INDEX('Fleet dates'!$D$9:$D$1008,$I333-8)))</x:f>
      </x:c>
      <x:c r="E333" s="51" t="str">
        <x:f>IF(325&gt;$H$4,"",IF(INDEX('Fleet dates'!$E$9:$E$1008,$I333-8)="","",INDEX('Fleet dates'!$E$9:$E$1008,$I333-8)))</x:f>
      </x:c>
      <x:c r="F333" s="51" t="str">
        <x:f>IF(325&gt;$H$4,"",IF(INDEX('Fleet dates'!$F$9:$F$1008,$I333-8)="","",INDEX('Fleet dates'!$F$9:$F$1008,$I333-8)))</x:f>
      </x:c>
      <x:c r="G333" s="50" t="str">
        <x:f>IF(325&gt;$H$4,"",IF(INDEX('Fleet dates'!$G$9:$G$1008,$I333-8)="","",INDEX('Fleet dates'!$G$9:$G$1008,$I333-8)))</x:f>
      </x:c>
      <x:c r="H333" s="50" t="str">
        <x:f>IF(325&gt;$H$4,"",IF(INDEX('Fleet dates'!$I$9:$I$1008,$I333-8)="","",INDEX('Fleet dates'!$I$9:$I$1008,$I333-8)))</x:f>
      </x:c>
      <x:c r="I333" t="str">
        <x:f>IF(325&gt;$H$4,"",MATCH(325,'Fleet dates'!$M$9:$M$1008,0)+8)</x:f>
      </x:c>
    </x:row>
    <x:row r="334" ht="36" customHeight="1">
      <x:c r="A334" s="50" t="str">
        <x:f>IF(326&gt;$H$4,"",IF(INDEX('Fleet dates'!$A$9:$A$1008,$I334-8)="","",INDEX('Fleet dates'!$A$9:$A$1008,$I334-8)))</x:f>
      </x:c>
      <x:c r="B334" s="50" t="str">
        <x:f>IF(326&gt;$H$4,"",IF(INDEX('Fleet dates'!$B$9:$B$1008,$I334-8)="","",INDEX('Fleet dates'!$B$9:$B$1008,$I334-8)))</x:f>
      </x:c>
      <x:c r="C334" s="51" t="str">
        <x:f>IF(326&gt;$H$4,"",IF(INDEX('Fleet dates'!$C$9:$C$1008,$I334-8)="","",INDEX('Fleet dates'!$C$9:$C$1008,$I334-8)))</x:f>
      </x:c>
      <x:c r="D334" s="51" t="str">
        <x:f>IF(326&gt;$H$4,"",IF(INDEX('Fleet dates'!$D$9:$D$1008,$I334-8)="","",INDEX('Fleet dates'!$D$9:$D$1008,$I334-8)))</x:f>
      </x:c>
      <x:c r="E334" s="51" t="str">
        <x:f>IF(326&gt;$H$4,"",IF(INDEX('Fleet dates'!$E$9:$E$1008,$I334-8)="","",INDEX('Fleet dates'!$E$9:$E$1008,$I334-8)))</x:f>
      </x:c>
      <x:c r="F334" s="51" t="str">
        <x:f>IF(326&gt;$H$4,"",IF(INDEX('Fleet dates'!$F$9:$F$1008,$I334-8)="","",INDEX('Fleet dates'!$F$9:$F$1008,$I334-8)))</x:f>
      </x:c>
      <x:c r="G334" s="50" t="str">
        <x:f>IF(326&gt;$H$4,"",IF(INDEX('Fleet dates'!$G$9:$G$1008,$I334-8)="","",INDEX('Fleet dates'!$G$9:$G$1008,$I334-8)))</x:f>
      </x:c>
      <x:c r="H334" s="50" t="str">
        <x:f>IF(326&gt;$H$4,"",IF(INDEX('Fleet dates'!$I$9:$I$1008,$I334-8)="","",INDEX('Fleet dates'!$I$9:$I$1008,$I334-8)))</x:f>
      </x:c>
      <x:c r="I334" t="str">
        <x:f>IF(326&gt;$H$4,"",MATCH(326,'Fleet dates'!$M$9:$M$1008,0)+8)</x:f>
      </x:c>
    </x:row>
    <x:row r="335" ht="36" customHeight="1">
      <x:c r="A335" s="50" t="str">
        <x:f>IF(327&gt;$H$4,"",IF(INDEX('Fleet dates'!$A$9:$A$1008,$I335-8)="","",INDEX('Fleet dates'!$A$9:$A$1008,$I335-8)))</x:f>
      </x:c>
      <x:c r="B335" s="50" t="str">
        <x:f>IF(327&gt;$H$4,"",IF(INDEX('Fleet dates'!$B$9:$B$1008,$I335-8)="","",INDEX('Fleet dates'!$B$9:$B$1008,$I335-8)))</x:f>
      </x:c>
      <x:c r="C335" s="51" t="str">
        <x:f>IF(327&gt;$H$4,"",IF(INDEX('Fleet dates'!$C$9:$C$1008,$I335-8)="","",INDEX('Fleet dates'!$C$9:$C$1008,$I335-8)))</x:f>
      </x:c>
      <x:c r="D335" s="51" t="str">
        <x:f>IF(327&gt;$H$4,"",IF(INDEX('Fleet dates'!$D$9:$D$1008,$I335-8)="","",INDEX('Fleet dates'!$D$9:$D$1008,$I335-8)))</x:f>
      </x:c>
      <x:c r="E335" s="51" t="str">
        <x:f>IF(327&gt;$H$4,"",IF(INDEX('Fleet dates'!$E$9:$E$1008,$I335-8)="","",INDEX('Fleet dates'!$E$9:$E$1008,$I335-8)))</x:f>
      </x:c>
      <x:c r="F335" s="51" t="str">
        <x:f>IF(327&gt;$H$4,"",IF(INDEX('Fleet dates'!$F$9:$F$1008,$I335-8)="","",INDEX('Fleet dates'!$F$9:$F$1008,$I335-8)))</x:f>
      </x:c>
      <x:c r="G335" s="50" t="str">
        <x:f>IF(327&gt;$H$4,"",IF(INDEX('Fleet dates'!$G$9:$G$1008,$I335-8)="","",INDEX('Fleet dates'!$G$9:$G$1008,$I335-8)))</x:f>
      </x:c>
      <x:c r="H335" s="50" t="str">
        <x:f>IF(327&gt;$H$4,"",IF(INDEX('Fleet dates'!$I$9:$I$1008,$I335-8)="","",INDEX('Fleet dates'!$I$9:$I$1008,$I335-8)))</x:f>
      </x:c>
      <x:c r="I335" t="str">
        <x:f>IF(327&gt;$H$4,"",MATCH(327,'Fleet dates'!$M$9:$M$1008,0)+8)</x:f>
      </x:c>
    </x:row>
    <x:row r="336" ht="36" customHeight="1">
      <x:c r="A336" s="50" t="str">
        <x:f>IF(328&gt;$H$4,"",IF(INDEX('Fleet dates'!$A$9:$A$1008,$I336-8)="","",INDEX('Fleet dates'!$A$9:$A$1008,$I336-8)))</x:f>
      </x:c>
      <x:c r="B336" s="50" t="str">
        <x:f>IF(328&gt;$H$4,"",IF(INDEX('Fleet dates'!$B$9:$B$1008,$I336-8)="","",INDEX('Fleet dates'!$B$9:$B$1008,$I336-8)))</x:f>
      </x:c>
      <x:c r="C336" s="51" t="str">
        <x:f>IF(328&gt;$H$4,"",IF(INDEX('Fleet dates'!$C$9:$C$1008,$I336-8)="","",INDEX('Fleet dates'!$C$9:$C$1008,$I336-8)))</x:f>
      </x:c>
      <x:c r="D336" s="51" t="str">
        <x:f>IF(328&gt;$H$4,"",IF(INDEX('Fleet dates'!$D$9:$D$1008,$I336-8)="","",INDEX('Fleet dates'!$D$9:$D$1008,$I336-8)))</x:f>
      </x:c>
      <x:c r="E336" s="51" t="str">
        <x:f>IF(328&gt;$H$4,"",IF(INDEX('Fleet dates'!$E$9:$E$1008,$I336-8)="","",INDEX('Fleet dates'!$E$9:$E$1008,$I336-8)))</x:f>
      </x:c>
      <x:c r="F336" s="51" t="str">
        <x:f>IF(328&gt;$H$4,"",IF(INDEX('Fleet dates'!$F$9:$F$1008,$I336-8)="","",INDEX('Fleet dates'!$F$9:$F$1008,$I336-8)))</x:f>
      </x:c>
      <x:c r="G336" s="50" t="str">
        <x:f>IF(328&gt;$H$4,"",IF(INDEX('Fleet dates'!$G$9:$G$1008,$I336-8)="","",INDEX('Fleet dates'!$G$9:$G$1008,$I336-8)))</x:f>
      </x:c>
      <x:c r="H336" s="50" t="str">
        <x:f>IF(328&gt;$H$4,"",IF(INDEX('Fleet dates'!$I$9:$I$1008,$I336-8)="","",INDEX('Fleet dates'!$I$9:$I$1008,$I336-8)))</x:f>
      </x:c>
      <x:c r="I336" t="str">
        <x:f>IF(328&gt;$H$4,"",MATCH(328,'Fleet dates'!$M$9:$M$1008,0)+8)</x:f>
      </x:c>
    </x:row>
    <x:row r="337" ht="36" customHeight="1">
      <x:c r="A337" s="50" t="str">
        <x:f>IF(329&gt;$H$4,"",IF(INDEX('Fleet dates'!$A$9:$A$1008,$I337-8)="","",INDEX('Fleet dates'!$A$9:$A$1008,$I337-8)))</x:f>
      </x:c>
      <x:c r="B337" s="50" t="str">
        <x:f>IF(329&gt;$H$4,"",IF(INDEX('Fleet dates'!$B$9:$B$1008,$I337-8)="","",INDEX('Fleet dates'!$B$9:$B$1008,$I337-8)))</x:f>
      </x:c>
      <x:c r="C337" s="51" t="str">
        <x:f>IF(329&gt;$H$4,"",IF(INDEX('Fleet dates'!$C$9:$C$1008,$I337-8)="","",INDEX('Fleet dates'!$C$9:$C$1008,$I337-8)))</x:f>
      </x:c>
      <x:c r="D337" s="51" t="str">
        <x:f>IF(329&gt;$H$4,"",IF(INDEX('Fleet dates'!$D$9:$D$1008,$I337-8)="","",INDEX('Fleet dates'!$D$9:$D$1008,$I337-8)))</x:f>
      </x:c>
      <x:c r="E337" s="51" t="str">
        <x:f>IF(329&gt;$H$4,"",IF(INDEX('Fleet dates'!$E$9:$E$1008,$I337-8)="","",INDEX('Fleet dates'!$E$9:$E$1008,$I337-8)))</x:f>
      </x:c>
      <x:c r="F337" s="51" t="str">
        <x:f>IF(329&gt;$H$4,"",IF(INDEX('Fleet dates'!$F$9:$F$1008,$I337-8)="","",INDEX('Fleet dates'!$F$9:$F$1008,$I337-8)))</x:f>
      </x:c>
      <x:c r="G337" s="50" t="str">
        <x:f>IF(329&gt;$H$4,"",IF(INDEX('Fleet dates'!$G$9:$G$1008,$I337-8)="","",INDEX('Fleet dates'!$G$9:$G$1008,$I337-8)))</x:f>
      </x:c>
      <x:c r="H337" s="50" t="str">
        <x:f>IF(329&gt;$H$4,"",IF(INDEX('Fleet dates'!$I$9:$I$1008,$I337-8)="","",INDEX('Fleet dates'!$I$9:$I$1008,$I337-8)))</x:f>
      </x:c>
      <x:c r="I337" t="str">
        <x:f>IF(329&gt;$H$4,"",MATCH(329,'Fleet dates'!$M$9:$M$1008,0)+8)</x:f>
      </x:c>
    </x:row>
    <x:row r="338" ht="36" customHeight="1">
      <x:c r="A338" s="50" t="str">
        <x:f>IF(330&gt;$H$4,"",IF(INDEX('Fleet dates'!$A$9:$A$1008,$I338-8)="","",INDEX('Fleet dates'!$A$9:$A$1008,$I338-8)))</x:f>
      </x:c>
      <x:c r="B338" s="50" t="str">
        <x:f>IF(330&gt;$H$4,"",IF(INDEX('Fleet dates'!$B$9:$B$1008,$I338-8)="","",INDEX('Fleet dates'!$B$9:$B$1008,$I338-8)))</x:f>
      </x:c>
      <x:c r="C338" s="51" t="str">
        <x:f>IF(330&gt;$H$4,"",IF(INDEX('Fleet dates'!$C$9:$C$1008,$I338-8)="","",INDEX('Fleet dates'!$C$9:$C$1008,$I338-8)))</x:f>
      </x:c>
      <x:c r="D338" s="51" t="str">
        <x:f>IF(330&gt;$H$4,"",IF(INDEX('Fleet dates'!$D$9:$D$1008,$I338-8)="","",INDEX('Fleet dates'!$D$9:$D$1008,$I338-8)))</x:f>
      </x:c>
      <x:c r="E338" s="51" t="str">
        <x:f>IF(330&gt;$H$4,"",IF(INDEX('Fleet dates'!$E$9:$E$1008,$I338-8)="","",INDEX('Fleet dates'!$E$9:$E$1008,$I338-8)))</x:f>
      </x:c>
      <x:c r="F338" s="51" t="str">
        <x:f>IF(330&gt;$H$4,"",IF(INDEX('Fleet dates'!$F$9:$F$1008,$I338-8)="","",INDEX('Fleet dates'!$F$9:$F$1008,$I338-8)))</x:f>
      </x:c>
      <x:c r="G338" s="50" t="str">
        <x:f>IF(330&gt;$H$4,"",IF(INDEX('Fleet dates'!$G$9:$G$1008,$I338-8)="","",INDEX('Fleet dates'!$G$9:$G$1008,$I338-8)))</x:f>
      </x:c>
      <x:c r="H338" s="50" t="str">
        <x:f>IF(330&gt;$H$4,"",IF(INDEX('Fleet dates'!$I$9:$I$1008,$I338-8)="","",INDEX('Fleet dates'!$I$9:$I$1008,$I338-8)))</x:f>
      </x:c>
      <x:c r="I338" t="str">
        <x:f>IF(330&gt;$H$4,"",MATCH(330,'Fleet dates'!$M$9:$M$1008,0)+8)</x:f>
      </x:c>
    </x:row>
    <x:row r="339" ht="36" customHeight="1">
      <x:c r="A339" s="50" t="str">
        <x:f>IF(331&gt;$H$4,"",IF(INDEX('Fleet dates'!$A$9:$A$1008,$I339-8)="","",INDEX('Fleet dates'!$A$9:$A$1008,$I339-8)))</x:f>
      </x:c>
      <x:c r="B339" s="50" t="str">
        <x:f>IF(331&gt;$H$4,"",IF(INDEX('Fleet dates'!$B$9:$B$1008,$I339-8)="","",INDEX('Fleet dates'!$B$9:$B$1008,$I339-8)))</x:f>
      </x:c>
      <x:c r="C339" s="51" t="str">
        <x:f>IF(331&gt;$H$4,"",IF(INDEX('Fleet dates'!$C$9:$C$1008,$I339-8)="","",INDEX('Fleet dates'!$C$9:$C$1008,$I339-8)))</x:f>
      </x:c>
      <x:c r="D339" s="51" t="str">
        <x:f>IF(331&gt;$H$4,"",IF(INDEX('Fleet dates'!$D$9:$D$1008,$I339-8)="","",INDEX('Fleet dates'!$D$9:$D$1008,$I339-8)))</x:f>
      </x:c>
      <x:c r="E339" s="51" t="str">
        <x:f>IF(331&gt;$H$4,"",IF(INDEX('Fleet dates'!$E$9:$E$1008,$I339-8)="","",INDEX('Fleet dates'!$E$9:$E$1008,$I339-8)))</x:f>
      </x:c>
      <x:c r="F339" s="51" t="str">
        <x:f>IF(331&gt;$H$4,"",IF(INDEX('Fleet dates'!$F$9:$F$1008,$I339-8)="","",INDEX('Fleet dates'!$F$9:$F$1008,$I339-8)))</x:f>
      </x:c>
      <x:c r="G339" s="50" t="str">
        <x:f>IF(331&gt;$H$4,"",IF(INDEX('Fleet dates'!$G$9:$G$1008,$I339-8)="","",INDEX('Fleet dates'!$G$9:$G$1008,$I339-8)))</x:f>
      </x:c>
      <x:c r="H339" s="50" t="str">
        <x:f>IF(331&gt;$H$4,"",IF(INDEX('Fleet dates'!$I$9:$I$1008,$I339-8)="","",INDEX('Fleet dates'!$I$9:$I$1008,$I339-8)))</x:f>
      </x:c>
      <x:c r="I339" t="str">
        <x:f>IF(331&gt;$H$4,"",MATCH(331,'Fleet dates'!$M$9:$M$1008,0)+8)</x:f>
      </x:c>
    </x:row>
    <x:row r="340" ht="36" customHeight="1">
      <x:c r="A340" s="50" t="str">
        <x:f>IF(332&gt;$H$4,"",IF(INDEX('Fleet dates'!$A$9:$A$1008,$I340-8)="","",INDEX('Fleet dates'!$A$9:$A$1008,$I340-8)))</x:f>
      </x:c>
      <x:c r="B340" s="50" t="str">
        <x:f>IF(332&gt;$H$4,"",IF(INDEX('Fleet dates'!$B$9:$B$1008,$I340-8)="","",INDEX('Fleet dates'!$B$9:$B$1008,$I340-8)))</x:f>
      </x:c>
      <x:c r="C340" s="51" t="str">
        <x:f>IF(332&gt;$H$4,"",IF(INDEX('Fleet dates'!$C$9:$C$1008,$I340-8)="","",INDEX('Fleet dates'!$C$9:$C$1008,$I340-8)))</x:f>
      </x:c>
      <x:c r="D340" s="51" t="str">
        <x:f>IF(332&gt;$H$4,"",IF(INDEX('Fleet dates'!$D$9:$D$1008,$I340-8)="","",INDEX('Fleet dates'!$D$9:$D$1008,$I340-8)))</x:f>
      </x:c>
      <x:c r="E340" s="51" t="str">
        <x:f>IF(332&gt;$H$4,"",IF(INDEX('Fleet dates'!$E$9:$E$1008,$I340-8)="","",INDEX('Fleet dates'!$E$9:$E$1008,$I340-8)))</x:f>
      </x:c>
      <x:c r="F340" s="51" t="str">
        <x:f>IF(332&gt;$H$4,"",IF(INDEX('Fleet dates'!$F$9:$F$1008,$I340-8)="","",INDEX('Fleet dates'!$F$9:$F$1008,$I340-8)))</x:f>
      </x:c>
      <x:c r="G340" s="50" t="str">
        <x:f>IF(332&gt;$H$4,"",IF(INDEX('Fleet dates'!$G$9:$G$1008,$I340-8)="","",INDEX('Fleet dates'!$G$9:$G$1008,$I340-8)))</x:f>
      </x:c>
      <x:c r="H340" s="50" t="str">
        <x:f>IF(332&gt;$H$4,"",IF(INDEX('Fleet dates'!$I$9:$I$1008,$I340-8)="","",INDEX('Fleet dates'!$I$9:$I$1008,$I340-8)))</x:f>
      </x:c>
      <x:c r="I340" t="str">
        <x:f>IF(332&gt;$H$4,"",MATCH(332,'Fleet dates'!$M$9:$M$1008,0)+8)</x:f>
      </x:c>
    </x:row>
    <x:row r="341" ht="36" customHeight="1">
      <x:c r="A341" s="50" t="str">
        <x:f>IF(333&gt;$H$4,"",IF(INDEX('Fleet dates'!$A$9:$A$1008,$I341-8)="","",INDEX('Fleet dates'!$A$9:$A$1008,$I341-8)))</x:f>
      </x:c>
      <x:c r="B341" s="50" t="str">
        <x:f>IF(333&gt;$H$4,"",IF(INDEX('Fleet dates'!$B$9:$B$1008,$I341-8)="","",INDEX('Fleet dates'!$B$9:$B$1008,$I341-8)))</x:f>
      </x:c>
      <x:c r="C341" s="51" t="str">
        <x:f>IF(333&gt;$H$4,"",IF(INDEX('Fleet dates'!$C$9:$C$1008,$I341-8)="","",INDEX('Fleet dates'!$C$9:$C$1008,$I341-8)))</x:f>
      </x:c>
      <x:c r="D341" s="51" t="str">
        <x:f>IF(333&gt;$H$4,"",IF(INDEX('Fleet dates'!$D$9:$D$1008,$I341-8)="","",INDEX('Fleet dates'!$D$9:$D$1008,$I341-8)))</x:f>
      </x:c>
      <x:c r="E341" s="51" t="str">
        <x:f>IF(333&gt;$H$4,"",IF(INDEX('Fleet dates'!$E$9:$E$1008,$I341-8)="","",INDEX('Fleet dates'!$E$9:$E$1008,$I341-8)))</x:f>
      </x:c>
      <x:c r="F341" s="51" t="str">
        <x:f>IF(333&gt;$H$4,"",IF(INDEX('Fleet dates'!$F$9:$F$1008,$I341-8)="","",INDEX('Fleet dates'!$F$9:$F$1008,$I341-8)))</x:f>
      </x:c>
      <x:c r="G341" s="50" t="str">
        <x:f>IF(333&gt;$H$4,"",IF(INDEX('Fleet dates'!$G$9:$G$1008,$I341-8)="","",INDEX('Fleet dates'!$G$9:$G$1008,$I341-8)))</x:f>
      </x:c>
      <x:c r="H341" s="50" t="str">
        <x:f>IF(333&gt;$H$4,"",IF(INDEX('Fleet dates'!$I$9:$I$1008,$I341-8)="","",INDEX('Fleet dates'!$I$9:$I$1008,$I341-8)))</x:f>
      </x:c>
      <x:c r="I341" t="str">
        <x:f>IF(333&gt;$H$4,"",MATCH(333,'Fleet dates'!$M$9:$M$1008,0)+8)</x:f>
      </x:c>
    </x:row>
    <x:row r="342" ht="36" customHeight="1">
      <x:c r="A342" s="50" t="str">
        <x:f>IF(334&gt;$H$4,"",IF(INDEX('Fleet dates'!$A$9:$A$1008,$I342-8)="","",INDEX('Fleet dates'!$A$9:$A$1008,$I342-8)))</x:f>
      </x:c>
      <x:c r="B342" s="50" t="str">
        <x:f>IF(334&gt;$H$4,"",IF(INDEX('Fleet dates'!$B$9:$B$1008,$I342-8)="","",INDEX('Fleet dates'!$B$9:$B$1008,$I342-8)))</x:f>
      </x:c>
      <x:c r="C342" s="51" t="str">
        <x:f>IF(334&gt;$H$4,"",IF(INDEX('Fleet dates'!$C$9:$C$1008,$I342-8)="","",INDEX('Fleet dates'!$C$9:$C$1008,$I342-8)))</x:f>
      </x:c>
      <x:c r="D342" s="51" t="str">
        <x:f>IF(334&gt;$H$4,"",IF(INDEX('Fleet dates'!$D$9:$D$1008,$I342-8)="","",INDEX('Fleet dates'!$D$9:$D$1008,$I342-8)))</x:f>
      </x:c>
      <x:c r="E342" s="51" t="str">
        <x:f>IF(334&gt;$H$4,"",IF(INDEX('Fleet dates'!$E$9:$E$1008,$I342-8)="","",INDEX('Fleet dates'!$E$9:$E$1008,$I342-8)))</x:f>
      </x:c>
      <x:c r="F342" s="51" t="str">
        <x:f>IF(334&gt;$H$4,"",IF(INDEX('Fleet dates'!$F$9:$F$1008,$I342-8)="","",INDEX('Fleet dates'!$F$9:$F$1008,$I342-8)))</x:f>
      </x:c>
      <x:c r="G342" s="50" t="str">
        <x:f>IF(334&gt;$H$4,"",IF(INDEX('Fleet dates'!$G$9:$G$1008,$I342-8)="","",INDEX('Fleet dates'!$G$9:$G$1008,$I342-8)))</x:f>
      </x:c>
      <x:c r="H342" s="50" t="str">
        <x:f>IF(334&gt;$H$4,"",IF(INDEX('Fleet dates'!$I$9:$I$1008,$I342-8)="","",INDEX('Fleet dates'!$I$9:$I$1008,$I342-8)))</x:f>
      </x:c>
      <x:c r="I342" t="str">
        <x:f>IF(334&gt;$H$4,"",MATCH(334,'Fleet dates'!$M$9:$M$1008,0)+8)</x:f>
      </x:c>
    </x:row>
    <x:row r="343" ht="36" customHeight="1">
      <x:c r="A343" s="50" t="str">
        <x:f>IF(335&gt;$H$4,"",IF(INDEX('Fleet dates'!$A$9:$A$1008,$I343-8)="","",INDEX('Fleet dates'!$A$9:$A$1008,$I343-8)))</x:f>
      </x:c>
      <x:c r="B343" s="50" t="str">
        <x:f>IF(335&gt;$H$4,"",IF(INDEX('Fleet dates'!$B$9:$B$1008,$I343-8)="","",INDEX('Fleet dates'!$B$9:$B$1008,$I343-8)))</x:f>
      </x:c>
      <x:c r="C343" s="51" t="str">
        <x:f>IF(335&gt;$H$4,"",IF(INDEX('Fleet dates'!$C$9:$C$1008,$I343-8)="","",INDEX('Fleet dates'!$C$9:$C$1008,$I343-8)))</x:f>
      </x:c>
      <x:c r="D343" s="51" t="str">
        <x:f>IF(335&gt;$H$4,"",IF(INDEX('Fleet dates'!$D$9:$D$1008,$I343-8)="","",INDEX('Fleet dates'!$D$9:$D$1008,$I343-8)))</x:f>
      </x:c>
      <x:c r="E343" s="51" t="str">
        <x:f>IF(335&gt;$H$4,"",IF(INDEX('Fleet dates'!$E$9:$E$1008,$I343-8)="","",INDEX('Fleet dates'!$E$9:$E$1008,$I343-8)))</x:f>
      </x:c>
      <x:c r="F343" s="51" t="str">
        <x:f>IF(335&gt;$H$4,"",IF(INDEX('Fleet dates'!$F$9:$F$1008,$I343-8)="","",INDEX('Fleet dates'!$F$9:$F$1008,$I343-8)))</x:f>
      </x:c>
      <x:c r="G343" s="50" t="str">
        <x:f>IF(335&gt;$H$4,"",IF(INDEX('Fleet dates'!$G$9:$G$1008,$I343-8)="","",INDEX('Fleet dates'!$G$9:$G$1008,$I343-8)))</x:f>
      </x:c>
      <x:c r="H343" s="50" t="str">
        <x:f>IF(335&gt;$H$4,"",IF(INDEX('Fleet dates'!$I$9:$I$1008,$I343-8)="","",INDEX('Fleet dates'!$I$9:$I$1008,$I343-8)))</x:f>
      </x:c>
      <x:c r="I343" t="str">
        <x:f>IF(335&gt;$H$4,"",MATCH(335,'Fleet dates'!$M$9:$M$1008,0)+8)</x:f>
      </x:c>
    </x:row>
    <x:row r="344" ht="36" customHeight="1">
      <x:c r="A344" s="50" t="str">
        <x:f>IF(336&gt;$H$4,"",IF(INDEX('Fleet dates'!$A$9:$A$1008,$I344-8)="","",INDEX('Fleet dates'!$A$9:$A$1008,$I344-8)))</x:f>
      </x:c>
      <x:c r="B344" s="50" t="str">
        <x:f>IF(336&gt;$H$4,"",IF(INDEX('Fleet dates'!$B$9:$B$1008,$I344-8)="","",INDEX('Fleet dates'!$B$9:$B$1008,$I344-8)))</x:f>
      </x:c>
      <x:c r="C344" s="51" t="str">
        <x:f>IF(336&gt;$H$4,"",IF(INDEX('Fleet dates'!$C$9:$C$1008,$I344-8)="","",INDEX('Fleet dates'!$C$9:$C$1008,$I344-8)))</x:f>
      </x:c>
      <x:c r="D344" s="51" t="str">
        <x:f>IF(336&gt;$H$4,"",IF(INDEX('Fleet dates'!$D$9:$D$1008,$I344-8)="","",INDEX('Fleet dates'!$D$9:$D$1008,$I344-8)))</x:f>
      </x:c>
      <x:c r="E344" s="51" t="str">
        <x:f>IF(336&gt;$H$4,"",IF(INDEX('Fleet dates'!$E$9:$E$1008,$I344-8)="","",INDEX('Fleet dates'!$E$9:$E$1008,$I344-8)))</x:f>
      </x:c>
      <x:c r="F344" s="51" t="str">
        <x:f>IF(336&gt;$H$4,"",IF(INDEX('Fleet dates'!$F$9:$F$1008,$I344-8)="","",INDEX('Fleet dates'!$F$9:$F$1008,$I344-8)))</x:f>
      </x:c>
      <x:c r="G344" s="50" t="str">
        <x:f>IF(336&gt;$H$4,"",IF(INDEX('Fleet dates'!$G$9:$G$1008,$I344-8)="","",INDEX('Fleet dates'!$G$9:$G$1008,$I344-8)))</x:f>
      </x:c>
      <x:c r="H344" s="50" t="str">
        <x:f>IF(336&gt;$H$4,"",IF(INDEX('Fleet dates'!$I$9:$I$1008,$I344-8)="","",INDEX('Fleet dates'!$I$9:$I$1008,$I344-8)))</x:f>
      </x:c>
      <x:c r="I344" t="str">
        <x:f>IF(336&gt;$H$4,"",MATCH(336,'Fleet dates'!$M$9:$M$1008,0)+8)</x:f>
      </x:c>
    </x:row>
    <x:row r="345" ht="36" customHeight="1">
      <x:c r="A345" s="50" t="str">
        <x:f>IF(337&gt;$H$4,"",IF(INDEX('Fleet dates'!$A$9:$A$1008,$I345-8)="","",INDEX('Fleet dates'!$A$9:$A$1008,$I345-8)))</x:f>
      </x:c>
      <x:c r="B345" s="50" t="str">
        <x:f>IF(337&gt;$H$4,"",IF(INDEX('Fleet dates'!$B$9:$B$1008,$I345-8)="","",INDEX('Fleet dates'!$B$9:$B$1008,$I345-8)))</x:f>
      </x:c>
      <x:c r="C345" s="51" t="str">
        <x:f>IF(337&gt;$H$4,"",IF(INDEX('Fleet dates'!$C$9:$C$1008,$I345-8)="","",INDEX('Fleet dates'!$C$9:$C$1008,$I345-8)))</x:f>
      </x:c>
      <x:c r="D345" s="51" t="str">
        <x:f>IF(337&gt;$H$4,"",IF(INDEX('Fleet dates'!$D$9:$D$1008,$I345-8)="","",INDEX('Fleet dates'!$D$9:$D$1008,$I345-8)))</x:f>
      </x:c>
      <x:c r="E345" s="51" t="str">
        <x:f>IF(337&gt;$H$4,"",IF(INDEX('Fleet dates'!$E$9:$E$1008,$I345-8)="","",INDEX('Fleet dates'!$E$9:$E$1008,$I345-8)))</x:f>
      </x:c>
      <x:c r="F345" s="51" t="str">
        <x:f>IF(337&gt;$H$4,"",IF(INDEX('Fleet dates'!$F$9:$F$1008,$I345-8)="","",INDEX('Fleet dates'!$F$9:$F$1008,$I345-8)))</x:f>
      </x:c>
      <x:c r="G345" s="50" t="str">
        <x:f>IF(337&gt;$H$4,"",IF(INDEX('Fleet dates'!$G$9:$G$1008,$I345-8)="","",INDEX('Fleet dates'!$G$9:$G$1008,$I345-8)))</x:f>
      </x:c>
      <x:c r="H345" s="50" t="str">
        <x:f>IF(337&gt;$H$4,"",IF(INDEX('Fleet dates'!$I$9:$I$1008,$I345-8)="","",INDEX('Fleet dates'!$I$9:$I$1008,$I345-8)))</x:f>
      </x:c>
      <x:c r="I345" t="str">
        <x:f>IF(337&gt;$H$4,"",MATCH(337,'Fleet dates'!$M$9:$M$1008,0)+8)</x:f>
      </x:c>
    </x:row>
    <x:row r="346" ht="36" customHeight="1">
      <x:c r="A346" s="50" t="str">
        <x:f>IF(338&gt;$H$4,"",IF(INDEX('Fleet dates'!$A$9:$A$1008,$I346-8)="","",INDEX('Fleet dates'!$A$9:$A$1008,$I346-8)))</x:f>
      </x:c>
      <x:c r="B346" s="50" t="str">
        <x:f>IF(338&gt;$H$4,"",IF(INDEX('Fleet dates'!$B$9:$B$1008,$I346-8)="","",INDEX('Fleet dates'!$B$9:$B$1008,$I346-8)))</x:f>
      </x:c>
      <x:c r="C346" s="51" t="str">
        <x:f>IF(338&gt;$H$4,"",IF(INDEX('Fleet dates'!$C$9:$C$1008,$I346-8)="","",INDEX('Fleet dates'!$C$9:$C$1008,$I346-8)))</x:f>
      </x:c>
      <x:c r="D346" s="51" t="str">
        <x:f>IF(338&gt;$H$4,"",IF(INDEX('Fleet dates'!$D$9:$D$1008,$I346-8)="","",INDEX('Fleet dates'!$D$9:$D$1008,$I346-8)))</x:f>
      </x:c>
      <x:c r="E346" s="51" t="str">
        <x:f>IF(338&gt;$H$4,"",IF(INDEX('Fleet dates'!$E$9:$E$1008,$I346-8)="","",INDEX('Fleet dates'!$E$9:$E$1008,$I346-8)))</x:f>
      </x:c>
      <x:c r="F346" s="51" t="str">
        <x:f>IF(338&gt;$H$4,"",IF(INDEX('Fleet dates'!$F$9:$F$1008,$I346-8)="","",INDEX('Fleet dates'!$F$9:$F$1008,$I346-8)))</x:f>
      </x:c>
      <x:c r="G346" s="50" t="str">
        <x:f>IF(338&gt;$H$4,"",IF(INDEX('Fleet dates'!$G$9:$G$1008,$I346-8)="","",INDEX('Fleet dates'!$G$9:$G$1008,$I346-8)))</x:f>
      </x:c>
      <x:c r="H346" s="50" t="str">
        <x:f>IF(338&gt;$H$4,"",IF(INDEX('Fleet dates'!$I$9:$I$1008,$I346-8)="","",INDEX('Fleet dates'!$I$9:$I$1008,$I346-8)))</x:f>
      </x:c>
      <x:c r="I346" t="str">
        <x:f>IF(338&gt;$H$4,"",MATCH(338,'Fleet dates'!$M$9:$M$1008,0)+8)</x:f>
      </x:c>
    </x:row>
    <x:row r="347" ht="36" customHeight="1">
      <x:c r="A347" s="50" t="str">
        <x:f>IF(339&gt;$H$4,"",IF(INDEX('Fleet dates'!$A$9:$A$1008,$I347-8)="","",INDEX('Fleet dates'!$A$9:$A$1008,$I347-8)))</x:f>
      </x:c>
      <x:c r="B347" s="50" t="str">
        <x:f>IF(339&gt;$H$4,"",IF(INDEX('Fleet dates'!$B$9:$B$1008,$I347-8)="","",INDEX('Fleet dates'!$B$9:$B$1008,$I347-8)))</x:f>
      </x:c>
      <x:c r="C347" s="51" t="str">
        <x:f>IF(339&gt;$H$4,"",IF(INDEX('Fleet dates'!$C$9:$C$1008,$I347-8)="","",INDEX('Fleet dates'!$C$9:$C$1008,$I347-8)))</x:f>
      </x:c>
      <x:c r="D347" s="51" t="str">
        <x:f>IF(339&gt;$H$4,"",IF(INDEX('Fleet dates'!$D$9:$D$1008,$I347-8)="","",INDEX('Fleet dates'!$D$9:$D$1008,$I347-8)))</x:f>
      </x:c>
      <x:c r="E347" s="51" t="str">
        <x:f>IF(339&gt;$H$4,"",IF(INDEX('Fleet dates'!$E$9:$E$1008,$I347-8)="","",INDEX('Fleet dates'!$E$9:$E$1008,$I347-8)))</x:f>
      </x:c>
      <x:c r="F347" s="51" t="str">
        <x:f>IF(339&gt;$H$4,"",IF(INDEX('Fleet dates'!$F$9:$F$1008,$I347-8)="","",INDEX('Fleet dates'!$F$9:$F$1008,$I347-8)))</x:f>
      </x:c>
      <x:c r="G347" s="50" t="str">
        <x:f>IF(339&gt;$H$4,"",IF(INDEX('Fleet dates'!$G$9:$G$1008,$I347-8)="","",INDEX('Fleet dates'!$G$9:$G$1008,$I347-8)))</x:f>
      </x:c>
      <x:c r="H347" s="50" t="str">
        <x:f>IF(339&gt;$H$4,"",IF(INDEX('Fleet dates'!$I$9:$I$1008,$I347-8)="","",INDEX('Fleet dates'!$I$9:$I$1008,$I347-8)))</x:f>
      </x:c>
      <x:c r="I347" t="str">
        <x:f>IF(339&gt;$H$4,"",MATCH(339,'Fleet dates'!$M$9:$M$1008,0)+8)</x:f>
      </x:c>
    </x:row>
    <x:row r="348" ht="36" customHeight="1">
      <x:c r="A348" s="50" t="str">
        <x:f>IF(340&gt;$H$4,"",IF(INDEX('Fleet dates'!$A$9:$A$1008,$I348-8)="","",INDEX('Fleet dates'!$A$9:$A$1008,$I348-8)))</x:f>
      </x:c>
      <x:c r="B348" s="50" t="str">
        <x:f>IF(340&gt;$H$4,"",IF(INDEX('Fleet dates'!$B$9:$B$1008,$I348-8)="","",INDEX('Fleet dates'!$B$9:$B$1008,$I348-8)))</x:f>
      </x:c>
      <x:c r="C348" s="51" t="str">
        <x:f>IF(340&gt;$H$4,"",IF(INDEX('Fleet dates'!$C$9:$C$1008,$I348-8)="","",INDEX('Fleet dates'!$C$9:$C$1008,$I348-8)))</x:f>
      </x:c>
      <x:c r="D348" s="51" t="str">
        <x:f>IF(340&gt;$H$4,"",IF(INDEX('Fleet dates'!$D$9:$D$1008,$I348-8)="","",INDEX('Fleet dates'!$D$9:$D$1008,$I348-8)))</x:f>
      </x:c>
      <x:c r="E348" s="51" t="str">
        <x:f>IF(340&gt;$H$4,"",IF(INDEX('Fleet dates'!$E$9:$E$1008,$I348-8)="","",INDEX('Fleet dates'!$E$9:$E$1008,$I348-8)))</x:f>
      </x:c>
      <x:c r="F348" s="51" t="str">
        <x:f>IF(340&gt;$H$4,"",IF(INDEX('Fleet dates'!$F$9:$F$1008,$I348-8)="","",INDEX('Fleet dates'!$F$9:$F$1008,$I348-8)))</x:f>
      </x:c>
      <x:c r="G348" s="50" t="str">
        <x:f>IF(340&gt;$H$4,"",IF(INDEX('Fleet dates'!$G$9:$G$1008,$I348-8)="","",INDEX('Fleet dates'!$G$9:$G$1008,$I348-8)))</x:f>
      </x:c>
      <x:c r="H348" s="50" t="str">
        <x:f>IF(340&gt;$H$4,"",IF(INDEX('Fleet dates'!$I$9:$I$1008,$I348-8)="","",INDEX('Fleet dates'!$I$9:$I$1008,$I348-8)))</x:f>
      </x:c>
      <x:c r="I348" t="str">
        <x:f>IF(340&gt;$H$4,"",MATCH(340,'Fleet dates'!$M$9:$M$1008,0)+8)</x:f>
      </x:c>
    </x:row>
    <x:row r="349" ht="36" customHeight="1">
      <x:c r="A349" s="50" t="str">
        <x:f>IF(341&gt;$H$4,"",IF(INDEX('Fleet dates'!$A$9:$A$1008,$I349-8)="","",INDEX('Fleet dates'!$A$9:$A$1008,$I349-8)))</x:f>
      </x:c>
      <x:c r="B349" s="50" t="str">
        <x:f>IF(341&gt;$H$4,"",IF(INDEX('Fleet dates'!$B$9:$B$1008,$I349-8)="","",INDEX('Fleet dates'!$B$9:$B$1008,$I349-8)))</x:f>
      </x:c>
      <x:c r="C349" s="51" t="str">
        <x:f>IF(341&gt;$H$4,"",IF(INDEX('Fleet dates'!$C$9:$C$1008,$I349-8)="","",INDEX('Fleet dates'!$C$9:$C$1008,$I349-8)))</x:f>
      </x:c>
      <x:c r="D349" s="51" t="str">
        <x:f>IF(341&gt;$H$4,"",IF(INDEX('Fleet dates'!$D$9:$D$1008,$I349-8)="","",INDEX('Fleet dates'!$D$9:$D$1008,$I349-8)))</x:f>
      </x:c>
      <x:c r="E349" s="51" t="str">
        <x:f>IF(341&gt;$H$4,"",IF(INDEX('Fleet dates'!$E$9:$E$1008,$I349-8)="","",INDEX('Fleet dates'!$E$9:$E$1008,$I349-8)))</x:f>
      </x:c>
      <x:c r="F349" s="51" t="str">
        <x:f>IF(341&gt;$H$4,"",IF(INDEX('Fleet dates'!$F$9:$F$1008,$I349-8)="","",INDEX('Fleet dates'!$F$9:$F$1008,$I349-8)))</x:f>
      </x:c>
      <x:c r="G349" s="50" t="str">
        <x:f>IF(341&gt;$H$4,"",IF(INDEX('Fleet dates'!$G$9:$G$1008,$I349-8)="","",INDEX('Fleet dates'!$G$9:$G$1008,$I349-8)))</x:f>
      </x:c>
      <x:c r="H349" s="50" t="str">
        <x:f>IF(341&gt;$H$4,"",IF(INDEX('Fleet dates'!$I$9:$I$1008,$I349-8)="","",INDEX('Fleet dates'!$I$9:$I$1008,$I349-8)))</x:f>
      </x:c>
      <x:c r="I349" t="str">
        <x:f>IF(341&gt;$H$4,"",MATCH(341,'Fleet dates'!$M$9:$M$1008,0)+8)</x:f>
      </x:c>
    </x:row>
    <x:row r="350" ht="36" customHeight="1">
      <x:c r="A350" s="50" t="str">
        <x:f>IF(342&gt;$H$4,"",IF(INDEX('Fleet dates'!$A$9:$A$1008,$I350-8)="","",INDEX('Fleet dates'!$A$9:$A$1008,$I350-8)))</x:f>
      </x:c>
      <x:c r="B350" s="50" t="str">
        <x:f>IF(342&gt;$H$4,"",IF(INDEX('Fleet dates'!$B$9:$B$1008,$I350-8)="","",INDEX('Fleet dates'!$B$9:$B$1008,$I350-8)))</x:f>
      </x:c>
      <x:c r="C350" s="51" t="str">
        <x:f>IF(342&gt;$H$4,"",IF(INDEX('Fleet dates'!$C$9:$C$1008,$I350-8)="","",INDEX('Fleet dates'!$C$9:$C$1008,$I350-8)))</x:f>
      </x:c>
      <x:c r="D350" s="51" t="str">
        <x:f>IF(342&gt;$H$4,"",IF(INDEX('Fleet dates'!$D$9:$D$1008,$I350-8)="","",INDEX('Fleet dates'!$D$9:$D$1008,$I350-8)))</x:f>
      </x:c>
      <x:c r="E350" s="51" t="str">
        <x:f>IF(342&gt;$H$4,"",IF(INDEX('Fleet dates'!$E$9:$E$1008,$I350-8)="","",INDEX('Fleet dates'!$E$9:$E$1008,$I350-8)))</x:f>
      </x:c>
      <x:c r="F350" s="51" t="str">
        <x:f>IF(342&gt;$H$4,"",IF(INDEX('Fleet dates'!$F$9:$F$1008,$I350-8)="","",INDEX('Fleet dates'!$F$9:$F$1008,$I350-8)))</x:f>
      </x:c>
      <x:c r="G350" s="50" t="str">
        <x:f>IF(342&gt;$H$4,"",IF(INDEX('Fleet dates'!$G$9:$G$1008,$I350-8)="","",INDEX('Fleet dates'!$G$9:$G$1008,$I350-8)))</x:f>
      </x:c>
      <x:c r="H350" s="50" t="str">
        <x:f>IF(342&gt;$H$4,"",IF(INDEX('Fleet dates'!$I$9:$I$1008,$I350-8)="","",INDEX('Fleet dates'!$I$9:$I$1008,$I350-8)))</x:f>
      </x:c>
      <x:c r="I350" t="str">
        <x:f>IF(342&gt;$H$4,"",MATCH(342,'Fleet dates'!$M$9:$M$1008,0)+8)</x:f>
      </x:c>
    </x:row>
    <x:row r="351" ht="36" customHeight="1">
      <x:c r="A351" s="50" t="str">
        <x:f>IF(343&gt;$H$4,"",IF(INDEX('Fleet dates'!$A$9:$A$1008,$I351-8)="","",INDEX('Fleet dates'!$A$9:$A$1008,$I351-8)))</x:f>
      </x:c>
      <x:c r="B351" s="50" t="str">
        <x:f>IF(343&gt;$H$4,"",IF(INDEX('Fleet dates'!$B$9:$B$1008,$I351-8)="","",INDEX('Fleet dates'!$B$9:$B$1008,$I351-8)))</x:f>
      </x:c>
      <x:c r="C351" s="51" t="str">
        <x:f>IF(343&gt;$H$4,"",IF(INDEX('Fleet dates'!$C$9:$C$1008,$I351-8)="","",INDEX('Fleet dates'!$C$9:$C$1008,$I351-8)))</x:f>
      </x:c>
      <x:c r="D351" s="51" t="str">
        <x:f>IF(343&gt;$H$4,"",IF(INDEX('Fleet dates'!$D$9:$D$1008,$I351-8)="","",INDEX('Fleet dates'!$D$9:$D$1008,$I351-8)))</x:f>
      </x:c>
      <x:c r="E351" s="51" t="str">
        <x:f>IF(343&gt;$H$4,"",IF(INDEX('Fleet dates'!$E$9:$E$1008,$I351-8)="","",INDEX('Fleet dates'!$E$9:$E$1008,$I351-8)))</x:f>
      </x:c>
      <x:c r="F351" s="51" t="str">
        <x:f>IF(343&gt;$H$4,"",IF(INDEX('Fleet dates'!$F$9:$F$1008,$I351-8)="","",INDEX('Fleet dates'!$F$9:$F$1008,$I351-8)))</x:f>
      </x:c>
      <x:c r="G351" s="50" t="str">
        <x:f>IF(343&gt;$H$4,"",IF(INDEX('Fleet dates'!$G$9:$G$1008,$I351-8)="","",INDEX('Fleet dates'!$G$9:$G$1008,$I351-8)))</x:f>
      </x:c>
      <x:c r="H351" s="50" t="str">
        <x:f>IF(343&gt;$H$4,"",IF(INDEX('Fleet dates'!$I$9:$I$1008,$I351-8)="","",INDEX('Fleet dates'!$I$9:$I$1008,$I351-8)))</x:f>
      </x:c>
      <x:c r="I351" t="str">
        <x:f>IF(343&gt;$H$4,"",MATCH(343,'Fleet dates'!$M$9:$M$1008,0)+8)</x:f>
      </x:c>
    </x:row>
    <x:row r="352" ht="36" customHeight="1">
      <x:c r="A352" s="50" t="str">
        <x:f>IF(344&gt;$H$4,"",IF(INDEX('Fleet dates'!$A$9:$A$1008,$I352-8)="","",INDEX('Fleet dates'!$A$9:$A$1008,$I352-8)))</x:f>
      </x:c>
      <x:c r="B352" s="50" t="str">
        <x:f>IF(344&gt;$H$4,"",IF(INDEX('Fleet dates'!$B$9:$B$1008,$I352-8)="","",INDEX('Fleet dates'!$B$9:$B$1008,$I352-8)))</x:f>
      </x:c>
      <x:c r="C352" s="51" t="str">
        <x:f>IF(344&gt;$H$4,"",IF(INDEX('Fleet dates'!$C$9:$C$1008,$I352-8)="","",INDEX('Fleet dates'!$C$9:$C$1008,$I352-8)))</x:f>
      </x:c>
      <x:c r="D352" s="51" t="str">
        <x:f>IF(344&gt;$H$4,"",IF(INDEX('Fleet dates'!$D$9:$D$1008,$I352-8)="","",INDEX('Fleet dates'!$D$9:$D$1008,$I352-8)))</x:f>
      </x:c>
      <x:c r="E352" s="51" t="str">
        <x:f>IF(344&gt;$H$4,"",IF(INDEX('Fleet dates'!$E$9:$E$1008,$I352-8)="","",INDEX('Fleet dates'!$E$9:$E$1008,$I352-8)))</x:f>
      </x:c>
      <x:c r="F352" s="51" t="str">
        <x:f>IF(344&gt;$H$4,"",IF(INDEX('Fleet dates'!$F$9:$F$1008,$I352-8)="","",INDEX('Fleet dates'!$F$9:$F$1008,$I352-8)))</x:f>
      </x:c>
      <x:c r="G352" s="50" t="str">
        <x:f>IF(344&gt;$H$4,"",IF(INDEX('Fleet dates'!$G$9:$G$1008,$I352-8)="","",INDEX('Fleet dates'!$G$9:$G$1008,$I352-8)))</x:f>
      </x:c>
      <x:c r="H352" s="50" t="str">
        <x:f>IF(344&gt;$H$4,"",IF(INDEX('Fleet dates'!$I$9:$I$1008,$I352-8)="","",INDEX('Fleet dates'!$I$9:$I$1008,$I352-8)))</x:f>
      </x:c>
      <x:c r="I352" t="str">
        <x:f>IF(344&gt;$H$4,"",MATCH(344,'Fleet dates'!$M$9:$M$1008,0)+8)</x:f>
      </x:c>
    </x:row>
    <x:row r="353" ht="36" customHeight="1">
      <x:c r="A353" s="50" t="str">
        <x:f>IF(345&gt;$H$4,"",IF(INDEX('Fleet dates'!$A$9:$A$1008,$I353-8)="","",INDEX('Fleet dates'!$A$9:$A$1008,$I353-8)))</x:f>
      </x:c>
      <x:c r="B353" s="50" t="str">
        <x:f>IF(345&gt;$H$4,"",IF(INDEX('Fleet dates'!$B$9:$B$1008,$I353-8)="","",INDEX('Fleet dates'!$B$9:$B$1008,$I353-8)))</x:f>
      </x:c>
      <x:c r="C353" s="51" t="str">
        <x:f>IF(345&gt;$H$4,"",IF(INDEX('Fleet dates'!$C$9:$C$1008,$I353-8)="","",INDEX('Fleet dates'!$C$9:$C$1008,$I353-8)))</x:f>
      </x:c>
      <x:c r="D353" s="51" t="str">
        <x:f>IF(345&gt;$H$4,"",IF(INDEX('Fleet dates'!$D$9:$D$1008,$I353-8)="","",INDEX('Fleet dates'!$D$9:$D$1008,$I353-8)))</x:f>
      </x:c>
      <x:c r="E353" s="51" t="str">
        <x:f>IF(345&gt;$H$4,"",IF(INDEX('Fleet dates'!$E$9:$E$1008,$I353-8)="","",INDEX('Fleet dates'!$E$9:$E$1008,$I353-8)))</x:f>
      </x:c>
      <x:c r="F353" s="51" t="str">
        <x:f>IF(345&gt;$H$4,"",IF(INDEX('Fleet dates'!$F$9:$F$1008,$I353-8)="","",INDEX('Fleet dates'!$F$9:$F$1008,$I353-8)))</x:f>
      </x:c>
      <x:c r="G353" s="50" t="str">
        <x:f>IF(345&gt;$H$4,"",IF(INDEX('Fleet dates'!$G$9:$G$1008,$I353-8)="","",INDEX('Fleet dates'!$G$9:$G$1008,$I353-8)))</x:f>
      </x:c>
      <x:c r="H353" s="50" t="str">
        <x:f>IF(345&gt;$H$4,"",IF(INDEX('Fleet dates'!$I$9:$I$1008,$I353-8)="","",INDEX('Fleet dates'!$I$9:$I$1008,$I353-8)))</x:f>
      </x:c>
      <x:c r="I353" t="str">
        <x:f>IF(345&gt;$H$4,"",MATCH(345,'Fleet dates'!$M$9:$M$1008,0)+8)</x:f>
      </x:c>
    </x:row>
    <x:row r="354" ht="36" customHeight="1">
      <x:c r="A354" s="50" t="str">
        <x:f>IF(346&gt;$H$4,"",IF(INDEX('Fleet dates'!$A$9:$A$1008,$I354-8)="","",INDEX('Fleet dates'!$A$9:$A$1008,$I354-8)))</x:f>
      </x:c>
      <x:c r="B354" s="50" t="str">
        <x:f>IF(346&gt;$H$4,"",IF(INDEX('Fleet dates'!$B$9:$B$1008,$I354-8)="","",INDEX('Fleet dates'!$B$9:$B$1008,$I354-8)))</x:f>
      </x:c>
      <x:c r="C354" s="51" t="str">
        <x:f>IF(346&gt;$H$4,"",IF(INDEX('Fleet dates'!$C$9:$C$1008,$I354-8)="","",INDEX('Fleet dates'!$C$9:$C$1008,$I354-8)))</x:f>
      </x:c>
      <x:c r="D354" s="51" t="str">
        <x:f>IF(346&gt;$H$4,"",IF(INDEX('Fleet dates'!$D$9:$D$1008,$I354-8)="","",INDEX('Fleet dates'!$D$9:$D$1008,$I354-8)))</x:f>
      </x:c>
      <x:c r="E354" s="51" t="str">
        <x:f>IF(346&gt;$H$4,"",IF(INDEX('Fleet dates'!$E$9:$E$1008,$I354-8)="","",INDEX('Fleet dates'!$E$9:$E$1008,$I354-8)))</x:f>
      </x:c>
      <x:c r="F354" s="51" t="str">
        <x:f>IF(346&gt;$H$4,"",IF(INDEX('Fleet dates'!$F$9:$F$1008,$I354-8)="","",INDEX('Fleet dates'!$F$9:$F$1008,$I354-8)))</x:f>
      </x:c>
      <x:c r="G354" s="50" t="str">
        <x:f>IF(346&gt;$H$4,"",IF(INDEX('Fleet dates'!$G$9:$G$1008,$I354-8)="","",INDEX('Fleet dates'!$G$9:$G$1008,$I354-8)))</x:f>
      </x:c>
      <x:c r="H354" s="50" t="str">
        <x:f>IF(346&gt;$H$4,"",IF(INDEX('Fleet dates'!$I$9:$I$1008,$I354-8)="","",INDEX('Fleet dates'!$I$9:$I$1008,$I354-8)))</x:f>
      </x:c>
      <x:c r="I354" t="str">
        <x:f>IF(346&gt;$H$4,"",MATCH(346,'Fleet dates'!$M$9:$M$1008,0)+8)</x:f>
      </x:c>
    </x:row>
    <x:row r="355" ht="36" customHeight="1">
      <x:c r="A355" s="50" t="str">
        <x:f>IF(347&gt;$H$4,"",IF(INDEX('Fleet dates'!$A$9:$A$1008,$I355-8)="","",INDEX('Fleet dates'!$A$9:$A$1008,$I355-8)))</x:f>
      </x:c>
      <x:c r="B355" s="50" t="str">
        <x:f>IF(347&gt;$H$4,"",IF(INDEX('Fleet dates'!$B$9:$B$1008,$I355-8)="","",INDEX('Fleet dates'!$B$9:$B$1008,$I355-8)))</x:f>
      </x:c>
      <x:c r="C355" s="51" t="str">
        <x:f>IF(347&gt;$H$4,"",IF(INDEX('Fleet dates'!$C$9:$C$1008,$I355-8)="","",INDEX('Fleet dates'!$C$9:$C$1008,$I355-8)))</x:f>
      </x:c>
      <x:c r="D355" s="51" t="str">
        <x:f>IF(347&gt;$H$4,"",IF(INDEX('Fleet dates'!$D$9:$D$1008,$I355-8)="","",INDEX('Fleet dates'!$D$9:$D$1008,$I355-8)))</x:f>
      </x:c>
      <x:c r="E355" s="51" t="str">
        <x:f>IF(347&gt;$H$4,"",IF(INDEX('Fleet dates'!$E$9:$E$1008,$I355-8)="","",INDEX('Fleet dates'!$E$9:$E$1008,$I355-8)))</x:f>
      </x:c>
      <x:c r="F355" s="51" t="str">
        <x:f>IF(347&gt;$H$4,"",IF(INDEX('Fleet dates'!$F$9:$F$1008,$I355-8)="","",INDEX('Fleet dates'!$F$9:$F$1008,$I355-8)))</x:f>
      </x:c>
      <x:c r="G355" s="50" t="str">
        <x:f>IF(347&gt;$H$4,"",IF(INDEX('Fleet dates'!$G$9:$G$1008,$I355-8)="","",INDEX('Fleet dates'!$G$9:$G$1008,$I355-8)))</x:f>
      </x:c>
      <x:c r="H355" s="50" t="str">
        <x:f>IF(347&gt;$H$4,"",IF(INDEX('Fleet dates'!$I$9:$I$1008,$I355-8)="","",INDEX('Fleet dates'!$I$9:$I$1008,$I355-8)))</x:f>
      </x:c>
      <x:c r="I355" t="str">
        <x:f>IF(347&gt;$H$4,"",MATCH(347,'Fleet dates'!$M$9:$M$1008,0)+8)</x:f>
      </x:c>
    </x:row>
    <x:row r="356" ht="36" customHeight="1">
      <x:c r="A356" s="50" t="str">
        <x:f>IF(348&gt;$H$4,"",IF(INDEX('Fleet dates'!$A$9:$A$1008,$I356-8)="","",INDEX('Fleet dates'!$A$9:$A$1008,$I356-8)))</x:f>
      </x:c>
      <x:c r="B356" s="50" t="str">
        <x:f>IF(348&gt;$H$4,"",IF(INDEX('Fleet dates'!$B$9:$B$1008,$I356-8)="","",INDEX('Fleet dates'!$B$9:$B$1008,$I356-8)))</x:f>
      </x:c>
      <x:c r="C356" s="51" t="str">
        <x:f>IF(348&gt;$H$4,"",IF(INDEX('Fleet dates'!$C$9:$C$1008,$I356-8)="","",INDEX('Fleet dates'!$C$9:$C$1008,$I356-8)))</x:f>
      </x:c>
      <x:c r="D356" s="51" t="str">
        <x:f>IF(348&gt;$H$4,"",IF(INDEX('Fleet dates'!$D$9:$D$1008,$I356-8)="","",INDEX('Fleet dates'!$D$9:$D$1008,$I356-8)))</x:f>
      </x:c>
      <x:c r="E356" s="51" t="str">
        <x:f>IF(348&gt;$H$4,"",IF(INDEX('Fleet dates'!$E$9:$E$1008,$I356-8)="","",INDEX('Fleet dates'!$E$9:$E$1008,$I356-8)))</x:f>
      </x:c>
      <x:c r="F356" s="51" t="str">
        <x:f>IF(348&gt;$H$4,"",IF(INDEX('Fleet dates'!$F$9:$F$1008,$I356-8)="","",INDEX('Fleet dates'!$F$9:$F$1008,$I356-8)))</x:f>
      </x:c>
      <x:c r="G356" s="50" t="str">
        <x:f>IF(348&gt;$H$4,"",IF(INDEX('Fleet dates'!$G$9:$G$1008,$I356-8)="","",INDEX('Fleet dates'!$G$9:$G$1008,$I356-8)))</x:f>
      </x:c>
      <x:c r="H356" s="50" t="str">
        <x:f>IF(348&gt;$H$4,"",IF(INDEX('Fleet dates'!$I$9:$I$1008,$I356-8)="","",INDEX('Fleet dates'!$I$9:$I$1008,$I356-8)))</x:f>
      </x:c>
      <x:c r="I356" t="str">
        <x:f>IF(348&gt;$H$4,"",MATCH(348,'Fleet dates'!$M$9:$M$1008,0)+8)</x:f>
      </x:c>
    </x:row>
    <x:row r="357" ht="36" customHeight="1">
      <x:c r="A357" s="50" t="str">
        <x:f>IF(349&gt;$H$4,"",IF(INDEX('Fleet dates'!$A$9:$A$1008,$I357-8)="","",INDEX('Fleet dates'!$A$9:$A$1008,$I357-8)))</x:f>
      </x:c>
      <x:c r="B357" s="50" t="str">
        <x:f>IF(349&gt;$H$4,"",IF(INDEX('Fleet dates'!$B$9:$B$1008,$I357-8)="","",INDEX('Fleet dates'!$B$9:$B$1008,$I357-8)))</x:f>
      </x:c>
      <x:c r="C357" s="51" t="str">
        <x:f>IF(349&gt;$H$4,"",IF(INDEX('Fleet dates'!$C$9:$C$1008,$I357-8)="","",INDEX('Fleet dates'!$C$9:$C$1008,$I357-8)))</x:f>
      </x:c>
      <x:c r="D357" s="51" t="str">
        <x:f>IF(349&gt;$H$4,"",IF(INDEX('Fleet dates'!$D$9:$D$1008,$I357-8)="","",INDEX('Fleet dates'!$D$9:$D$1008,$I357-8)))</x:f>
      </x:c>
      <x:c r="E357" s="51" t="str">
        <x:f>IF(349&gt;$H$4,"",IF(INDEX('Fleet dates'!$E$9:$E$1008,$I357-8)="","",INDEX('Fleet dates'!$E$9:$E$1008,$I357-8)))</x:f>
      </x:c>
      <x:c r="F357" s="51" t="str">
        <x:f>IF(349&gt;$H$4,"",IF(INDEX('Fleet dates'!$F$9:$F$1008,$I357-8)="","",INDEX('Fleet dates'!$F$9:$F$1008,$I357-8)))</x:f>
      </x:c>
      <x:c r="G357" s="50" t="str">
        <x:f>IF(349&gt;$H$4,"",IF(INDEX('Fleet dates'!$G$9:$G$1008,$I357-8)="","",INDEX('Fleet dates'!$G$9:$G$1008,$I357-8)))</x:f>
      </x:c>
      <x:c r="H357" s="50" t="str">
        <x:f>IF(349&gt;$H$4,"",IF(INDEX('Fleet dates'!$I$9:$I$1008,$I357-8)="","",INDEX('Fleet dates'!$I$9:$I$1008,$I357-8)))</x:f>
      </x:c>
      <x:c r="I357" t="str">
        <x:f>IF(349&gt;$H$4,"",MATCH(349,'Fleet dates'!$M$9:$M$1008,0)+8)</x:f>
      </x:c>
    </x:row>
    <x:row r="358" ht="36" customHeight="1">
      <x:c r="A358" s="50" t="str">
        <x:f>IF(350&gt;$H$4,"",IF(INDEX('Fleet dates'!$A$9:$A$1008,$I358-8)="","",INDEX('Fleet dates'!$A$9:$A$1008,$I358-8)))</x:f>
      </x:c>
      <x:c r="B358" s="50" t="str">
        <x:f>IF(350&gt;$H$4,"",IF(INDEX('Fleet dates'!$B$9:$B$1008,$I358-8)="","",INDEX('Fleet dates'!$B$9:$B$1008,$I358-8)))</x:f>
      </x:c>
      <x:c r="C358" s="51" t="str">
        <x:f>IF(350&gt;$H$4,"",IF(INDEX('Fleet dates'!$C$9:$C$1008,$I358-8)="","",INDEX('Fleet dates'!$C$9:$C$1008,$I358-8)))</x:f>
      </x:c>
      <x:c r="D358" s="51" t="str">
        <x:f>IF(350&gt;$H$4,"",IF(INDEX('Fleet dates'!$D$9:$D$1008,$I358-8)="","",INDEX('Fleet dates'!$D$9:$D$1008,$I358-8)))</x:f>
      </x:c>
      <x:c r="E358" s="51" t="str">
        <x:f>IF(350&gt;$H$4,"",IF(INDEX('Fleet dates'!$E$9:$E$1008,$I358-8)="","",INDEX('Fleet dates'!$E$9:$E$1008,$I358-8)))</x:f>
      </x:c>
      <x:c r="F358" s="51" t="str">
        <x:f>IF(350&gt;$H$4,"",IF(INDEX('Fleet dates'!$F$9:$F$1008,$I358-8)="","",INDEX('Fleet dates'!$F$9:$F$1008,$I358-8)))</x:f>
      </x:c>
      <x:c r="G358" s="50" t="str">
        <x:f>IF(350&gt;$H$4,"",IF(INDEX('Fleet dates'!$G$9:$G$1008,$I358-8)="","",INDEX('Fleet dates'!$G$9:$G$1008,$I358-8)))</x:f>
      </x:c>
      <x:c r="H358" s="50" t="str">
        <x:f>IF(350&gt;$H$4,"",IF(INDEX('Fleet dates'!$I$9:$I$1008,$I358-8)="","",INDEX('Fleet dates'!$I$9:$I$1008,$I358-8)))</x:f>
      </x:c>
      <x:c r="I358" t="str">
        <x:f>IF(350&gt;$H$4,"",MATCH(350,'Fleet dates'!$M$9:$M$1008,0)+8)</x:f>
      </x:c>
    </x:row>
    <x:row r="359" ht="36" customHeight="1">
      <x:c r="A359" s="50" t="str">
        <x:f>IF(351&gt;$H$4,"",IF(INDEX('Fleet dates'!$A$9:$A$1008,$I359-8)="","",INDEX('Fleet dates'!$A$9:$A$1008,$I359-8)))</x:f>
      </x:c>
      <x:c r="B359" s="50" t="str">
        <x:f>IF(351&gt;$H$4,"",IF(INDEX('Fleet dates'!$B$9:$B$1008,$I359-8)="","",INDEX('Fleet dates'!$B$9:$B$1008,$I359-8)))</x:f>
      </x:c>
      <x:c r="C359" s="51" t="str">
        <x:f>IF(351&gt;$H$4,"",IF(INDEX('Fleet dates'!$C$9:$C$1008,$I359-8)="","",INDEX('Fleet dates'!$C$9:$C$1008,$I359-8)))</x:f>
      </x:c>
      <x:c r="D359" s="51" t="str">
        <x:f>IF(351&gt;$H$4,"",IF(INDEX('Fleet dates'!$D$9:$D$1008,$I359-8)="","",INDEX('Fleet dates'!$D$9:$D$1008,$I359-8)))</x:f>
      </x:c>
      <x:c r="E359" s="51" t="str">
        <x:f>IF(351&gt;$H$4,"",IF(INDEX('Fleet dates'!$E$9:$E$1008,$I359-8)="","",INDEX('Fleet dates'!$E$9:$E$1008,$I359-8)))</x:f>
      </x:c>
      <x:c r="F359" s="51" t="str">
        <x:f>IF(351&gt;$H$4,"",IF(INDEX('Fleet dates'!$F$9:$F$1008,$I359-8)="","",INDEX('Fleet dates'!$F$9:$F$1008,$I359-8)))</x:f>
      </x:c>
      <x:c r="G359" s="50" t="str">
        <x:f>IF(351&gt;$H$4,"",IF(INDEX('Fleet dates'!$G$9:$G$1008,$I359-8)="","",INDEX('Fleet dates'!$G$9:$G$1008,$I359-8)))</x:f>
      </x:c>
      <x:c r="H359" s="50" t="str">
        <x:f>IF(351&gt;$H$4,"",IF(INDEX('Fleet dates'!$I$9:$I$1008,$I359-8)="","",INDEX('Fleet dates'!$I$9:$I$1008,$I359-8)))</x:f>
      </x:c>
      <x:c r="I359" t="str">
        <x:f>IF(351&gt;$H$4,"",MATCH(351,'Fleet dates'!$M$9:$M$1008,0)+8)</x:f>
      </x:c>
    </x:row>
    <x:row r="360" ht="36" customHeight="1">
      <x:c r="A360" s="50" t="str">
        <x:f>IF(352&gt;$H$4,"",IF(INDEX('Fleet dates'!$A$9:$A$1008,$I360-8)="","",INDEX('Fleet dates'!$A$9:$A$1008,$I360-8)))</x:f>
      </x:c>
      <x:c r="B360" s="50" t="str">
        <x:f>IF(352&gt;$H$4,"",IF(INDEX('Fleet dates'!$B$9:$B$1008,$I360-8)="","",INDEX('Fleet dates'!$B$9:$B$1008,$I360-8)))</x:f>
      </x:c>
      <x:c r="C360" s="51" t="str">
        <x:f>IF(352&gt;$H$4,"",IF(INDEX('Fleet dates'!$C$9:$C$1008,$I360-8)="","",INDEX('Fleet dates'!$C$9:$C$1008,$I360-8)))</x:f>
      </x:c>
      <x:c r="D360" s="51" t="str">
        <x:f>IF(352&gt;$H$4,"",IF(INDEX('Fleet dates'!$D$9:$D$1008,$I360-8)="","",INDEX('Fleet dates'!$D$9:$D$1008,$I360-8)))</x:f>
      </x:c>
      <x:c r="E360" s="51" t="str">
        <x:f>IF(352&gt;$H$4,"",IF(INDEX('Fleet dates'!$E$9:$E$1008,$I360-8)="","",INDEX('Fleet dates'!$E$9:$E$1008,$I360-8)))</x:f>
      </x:c>
      <x:c r="F360" s="51" t="str">
        <x:f>IF(352&gt;$H$4,"",IF(INDEX('Fleet dates'!$F$9:$F$1008,$I360-8)="","",INDEX('Fleet dates'!$F$9:$F$1008,$I360-8)))</x:f>
      </x:c>
      <x:c r="G360" s="50" t="str">
        <x:f>IF(352&gt;$H$4,"",IF(INDEX('Fleet dates'!$G$9:$G$1008,$I360-8)="","",INDEX('Fleet dates'!$G$9:$G$1008,$I360-8)))</x:f>
      </x:c>
      <x:c r="H360" s="50" t="str">
        <x:f>IF(352&gt;$H$4,"",IF(INDEX('Fleet dates'!$I$9:$I$1008,$I360-8)="","",INDEX('Fleet dates'!$I$9:$I$1008,$I360-8)))</x:f>
      </x:c>
      <x:c r="I360" t="str">
        <x:f>IF(352&gt;$H$4,"",MATCH(352,'Fleet dates'!$M$9:$M$1008,0)+8)</x:f>
      </x:c>
    </x:row>
    <x:row r="361" ht="36" customHeight="1">
      <x:c r="A361" s="50" t="str">
        <x:f>IF(353&gt;$H$4,"",IF(INDEX('Fleet dates'!$A$9:$A$1008,$I361-8)="","",INDEX('Fleet dates'!$A$9:$A$1008,$I361-8)))</x:f>
      </x:c>
      <x:c r="B361" s="50" t="str">
        <x:f>IF(353&gt;$H$4,"",IF(INDEX('Fleet dates'!$B$9:$B$1008,$I361-8)="","",INDEX('Fleet dates'!$B$9:$B$1008,$I361-8)))</x:f>
      </x:c>
      <x:c r="C361" s="51" t="str">
        <x:f>IF(353&gt;$H$4,"",IF(INDEX('Fleet dates'!$C$9:$C$1008,$I361-8)="","",INDEX('Fleet dates'!$C$9:$C$1008,$I361-8)))</x:f>
      </x:c>
      <x:c r="D361" s="51" t="str">
        <x:f>IF(353&gt;$H$4,"",IF(INDEX('Fleet dates'!$D$9:$D$1008,$I361-8)="","",INDEX('Fleet dates'!$D$9:$D$1008,$I361-8)))</x:f>
      </x:c>
      <x:c r="E361" s="51" t="str">
        <x:f>IF(353&gt;$H$4,"",IF(INDEX('Fleet dates'!$E$9:$E$1008,$I361-8)="","",INDEX('Fleet dates'!$E$9:$E$1008,$I361-8)))</x:f>
      </x:c>
      <x:c r="F361" s="51" t="str">
        <x:f>IF(353&gt;$H$4,"",IF(INDEX('Fleet dates'!$F$9:$F$1008,$I361-8)="","",INDEX('Fleet dates'!$F$9:$F$1008,$I361-8)))</x:f>
      </x:c>
      <x:c r="G361" s="50" t="str">
        <x:f>IF(353&gt;$H$4,"",IF(INDEX('Fleet dates'!$G$9:$G$1008,$I361-8)="","",INDEX('Fleet dates'!$G$9:$G$1008,$I361-8)))</x:f>
      </x:c>
      <x:c r="H361" s="50" t="str">
        <x:f>IF(353&gt;$H$4,"",IF(INDEX('Fleet dates'!$I$9:$I$1008,$I361-8)="","",INDEX('Fleet dates'!$I$9:$I$1008,$I361-8)))</x:f>
      </x:c>
      <x:c r="I361" t="str">
        <x:f>IF(353&gt;$H$4,"",MATCH(353,'Fleet dates'!$M$9:$M$1008,0)+8)</x:f>
      </x:c>
    </x:row>
    <x:row r="362" ht="36" customHeight="1">
      <x:c r="A362" s="50" t="str">
        <x:f>IF(354&gt;$H$4,"",IF(INDEX('Fleet dates'!$A$9:$A$1008,$I362-8)="","",INDEX('Fleet dates'!$A$9:$A$1008,$I362-8)))</x:f>
      </x:c>
      <x:c r="B362" s="50" t="str">
        <x:f>IF(354&gt;$H$4,"",IF(INDEX('Fleet dates'!$B$9:$B$1008,$I362-8)="","",INDEX('Fleet dates'!$B$9:$B$1008,$I362-8)))</x:f>
      </x:c>
      <x:c r="C362" s="51" t="str">
        <x:f>IF(354&gt;$H$4,"",IF(INDEX('Fleet dates'!$C$9:$C$1008,$I362-8)="","",INDEX('Fleet dates'!$C$9:$C$1008,$I362-8)))</x:f>
      </x:c>
      <x:c r="D362" s="51" t="str">
        <x:f>IF(354&gt;$H$4,"",IF(INDEX('Fleet dates'!$D$9:$D$1008,$I362-8)="","",INDEX('Fleet dates'!$D$9:$D$1008,$I362-8)))</x:f>
      </x:c>
      <x:c r="E362" s="51" t="str">
        <x:f>IF(354&gt;$H$4,"",IF(INDEX('Fleet dates'!$E$9:$E$1008,$I362-8)="","",INDEX('Fleet dates'!$E$9:$E$1008,$I362-8)))</x:f>
      </x:c>
      <x:c r="F362" s="51" t="str">
        <x:f>IF(354&gt;$H$4,"",IF(INDEX('Fleet dates'!$F$9:$F$1008,$I362-8)="","",INDEX('Fleet dates'!$F$9:$F$1008,$I362-8)))</x:f>
      </x:c>
      <x:c r="G362" s="50" t="str">
        <x:f>IF(354&gt;$H$4,"",IF(INDEX('Fleet dates'!$G$9:$G$1008,$I362-8)="","",INDEX('Fleet dates'!$G$9:$G$1008,$I362-8)))</x:f>
      </x:c>
      <x:c r="H362" s="50" t="str">
        <x:f>IF(354&gt;$H$4,"",IF(INDEX('Fleet dates'!$I$9:$I$1008,$I362-8)="","",INDEX('Fleet dates'!$I$9:$I$1008,$I362-8)))</x:f>
      </x:c>
      <x:c r="I362" t="str">
        <x:f>IF(354&gt;$H$4,"",MATCH(354,'Fleet dates'!$M$9:$M$1008,0)+8)</x:f>
      </x:c>
    </x:row>
    <x:row r="363" ht="36" customHeight="1">
      <x:c r="A363" s="50" t="str">
        <x:f>IF(355&gt;$H$4,"",IF(INDEX('Fleet dates'!$A$9:$A$1008,$I363-8)="","",INDEX('Fleet dates'!$A$9:$A$1008,$I363-8)))</x:f>
      </x:c>
      <x:c r="B363" s="50" t="str">
        <x:f>IF(355&gt;$H$4,"",IF(INDEX('Fleet dates'!$B$9:$B$1008,$I363-8)="","",INDEX('Fleet dates'!$B$9:$B$1008,$I363-8)))</x:f>
      </x:c>
      <x:c r="C363" s="51" t="str">
        <x:f>IF(355&gt;$H$4,"",IF(INDEX('Fleet dates'!$C$9:$C$1008,$I363-8)="","",INDEX('Fleet dates'!$C$9:$C$1008,$I363-8)))</x:f>
      </x:c>
      <x:c r="D363" s="51" t="str">
        <x:f>IF(355&gt;$H$4,"",IF(INDEX('Fleet dates'!$D$9:$D$1008,$I363-8)="","",INDEX('Fleet dates'!$D$9:$D$1008,$I363-8)))</x:f>
      </x:c>
      <x:c r="E363" s="51" t="str">
        <x:f>IF(355&gt;$H$4,"",IF(INDEX('Fleet dates'!$E$9:$E$1008,$I363-8)="","",INDEX('Fleet dates'!$E$9:$E$1008,$I363-8)))</x:f>
      </x:c>
      <x:c r="F363" s="51" t="str">
        <x:f>IF(355&gt;$H$4,"",IF(INDEX('Fleet dates'!$F$9:$F$1008,$I363-8)="","",INDEX('Fleet dates'!$F$9:$F$1008,$I363-8)))</x:f>
      </x:c>
      <x:c r="G363" s="50" t="str">
        <x:f>IF(355&gt;$H$4,"",IF(INDEX('Fleet dates'!$G$9:$G$1008,$I363-8)="","",INDEX('Fleet dates'!$G$9:$G$1008,$I363-8)))</x:f>
      </x:c>
      <x:c r="H363" s="50" t="str">
        <x:f>IF(355&gt;$H$4,"",IF(INDEX('Fleet dates'!$I$9:$I$1008,$I363-8)="","",INDEX('Fleet dates'!$I$9:$I$1008,$I363-8)))</x:f>
      </x:c>
      <x:c r="I363" t="str">
        <x:f>IF(355&gt;$H$4,"",MATCH(355,'Fleet dates'!$M$9:$M$1008,0)+8)</x:f>
      </x:c>
    </x:row>
    <x:row r="364" ht="36" customHeight="1">
      <x:c r="A364" s="50" t="str">
        <x:f>IF(356&gt;$H$4,"",IF(INDEX('Fleet dates'!$A$9:$A$1008,$I364-8)="","",INDEX('Fleet dates'!$A$9:$A$1008,$I364-8)))</x:f>
      </x:c>
      <x:c r="B364" s="50" t="str">
        <x:f>IF(356&gt;$H$4,"",IF(INDEX('Fleet dates'!$B$9:$B$1008,$I364-8)="","",INDEX('Fleet dates'!$B$9:$B$1008,$I364-8)))</x:f>
      </x:c>
      <x:c r="C364" s="51" t="str">
        <x:f>IF(356&gt;$H$4,"",IF(INDEX('Fleet dates'!$C$9:$C$1008,$I364-8)="","",INDEX('Fleet dates'!$C$9:$C$1008,$I364-8)))</x:f>
      </x:c>
      <x:c r="D364" s="51" t="str">
        <x:f>IF(356&gt;$H$4,"",IF(INDEX('Fleet dates'!$D$9:$D$1008,$I364-8)="","",INDEX('Fleet dates'!$D$9:$D$1008,$I364-8)))</x:f>
      </x:c>
      <x:c r="E364" s="51" t="str">
        <x:f>IF(356&gt;$H$4,"",IF(INDEX('Fleet dates'!$E$9:$E$1008,$I364-8)="","",INDEX('Fleet dates'!$E$9:$E$1008,$I364-8)))</x:f>
      </x:c>
      <x:c r="F364" s="51" t="str">
        <x:f>IF(356&gt;$H$4,"",IF(INDEX('Fleet dates'!$F$9:$F$1008,$I364-8)="","",INDEX('Fleet dates'!$F$9:$F$1008,$I364-8)))</x:f>
      </x:c>
      <x:c r="G364" s="50" t="str">
        <x:f>IF(356&gt;$H$4,"",IF(INDEX('Fleet dates'!$G$9:$G$1008,$I364-8)="","",INDEX('Fleet dates'!$G$9:$G$1008,$I364-8)))</x:f>
      </x:c>
      <x:c r="H364" s="50" t="str">
        <x:f>IF(356&gt;$H$4,"",IF(INDEX('Fleet dates'!$I$9:$I$1008,$I364-8)="","",INDEX('Fleet dates'!$I$9:$I$1008,$I364-8)))</x:f>
      </x:c>
      <x:c r="I364" t="str">
        <x:f>IF(356&gt;$H$4,"",MATCH(356,'Fleet dates'!$M$9:$M$1008,0)+8)</x:f>
      </x:c>
    </x:row>
    <x:row r="365" ht="36" customHeight="1">
      <x:c r="A365" s="50" t="str">
        <x:f>IF(357&gt;$H$4,"",IF(INDEX('Fleet dates'!$A$9:$A$1008,$I365-8)="","",INDEX('Fleet dates'!$A$9:$A$1008,$I365-8)))</x:f>
      </x:c>
      <x:c r="B365" s="50" t="str">
        <x:f>IF(357&gt;$H$4,"",IF(INDEX('Fleet dates'!$B$9:$B$1008,$I365-8)="","",INDEX('Fleet dates'!$B$9:$B$1008,$I365-8)))</x:f>
      </x:c>
      <x:c r="C365" s="51" t="str">
        <x:f>IF(357&gt;$H$4,"",IF(INDEX('Fleet dates'!$C$9:$C$1008,$I365-8)="","",INDEX('Fleet dates'!$C$9:$C$1008,$I365-8)))</x:f>
      </x:c>
      <x:c r="D365" s="51" t="str">
        <x:f>IF(357&gt;$H$4,"",IF(INDEX('Fleet dates'!$D$9:$D$1008,$I365-8)="","",INDEX('Fleet dates'!$D$9:$D$1008,$I365-8)))</x:f>
      </x:c>
      <x:c r="E365" s="51" t="str">
        <x:f>IF(357&gt;$H$4,"",IF(INDEX('Fleet dates'!$E$9:$E$1008,$I365-8)="","",INDEX('Fleet dates'!$E$9:$E$1008,$I365-8)))</x:f>
      </x:c>
      <x:c r="F365" s="51" t="str">
        <x:f>IF(357&gt;$H$4,"",IF(INDEX('Fleet dates'!$F$9:$F$1008,$I365-8)="","",INDEX('Fleet dates'!$F$9:$F$1008,$I365-8)))</x:f>
      </x:c>
      <x:c r="G365" s="50" t="str">
        <x:f>IF(357&gt;$H$4,"",IF(INDEX('Fleet dates'!$G$9:$G$1008,$I365-8)="","",INDEX('Fleet dates'!$G$9:$G$1008,$I365-8)))</x:f>
      </x:c>
      <x:c r="H365" s="50" t="str">
        <x:f>IF(357&gt;$H$4,"",IF(INDEX('Fleet dates'!$I$9:$I$1008,$I365-8)="","",INDEX('Fleet dates'!$I$9:$I$1008,$I365-8)))</x:f>
      </x:c>
      <x:c r="I365" t="str">
        <x:f>IF(357&gt;$H$4,"",MATCH(357,'Fleet dates'!$M$9:$M$1008,0)+8)</x:f>
      </x:c>
    </x:row>
    <x:row r="366" ht="36" customHeight="1">
      <x:c r="A366" s="50" t="str">
        <x:f>IF(358&gt;$H$4,"",IF(INDEX('Fleet dates'!$A$9:$A$1008,$I366-8)="","",INDEX('Fleet dates'!$A$9:$A$1008,$I366-8)))</x:f>
      </x:c>
      <x:c r="B366" s="50" t="str">
        <x:f>IF(358&gt;$H$4,"",IF(INDEX('Fleet dates'!$B$9:$B$1008,$I366-8)="","",INDEX('Fleet dates'!$B$9:$B$1008,$I366-8)))</x:f>
      </x:c>
      <x:c r="C366" s="51" t="str">
        <x:f>IF(358&gt;$H$4,"",IF(INDEX('Fleet dates'!$C$9:$C$1008,$I366-8)="","",INDEX('Fleet dates'!$C$9:$C$1008,$I366-8)))</x:f>
      </x:c>
      <x:c r="D366" s="51" t="str">
        <x:f>IF(358&gt;$H$4,"",IF(INDEX('Fleet dates'!$D$9:$D$1008,$I366-8)="","",INDEX('Fleet dates'!$D$9:$D$1008,$I366-8)))</x:f>
      </x:c>
      <x:c r="E366" s="51" t="str">
        <x:f>IF(358&gt;$H$4,"",IF(INDEX('Fleet dates'!$E$9:$E$1008,$I366-8)="","",INDEX('Fleet dates'!$E$9:$E$1008,$I366-8)))</x:f>
      </x:c>
      <x:c r="F366" s="51" t="str">
        <x:f>IF(358&gt;$H$4,"",IF(INDEX('Fleet dates'!$F$9:$F$1008,$I366-8)="","",INDEX('Fleet dates'!$F$9:$F$1008,$I366-8)))</x:f>
      </x:c>
      <x:c r="G366" s="50" t="str">
        <x:f>IF(358&gt;$H$4,"",IF(INDEX('Fleet dates'!$G$9:$G$1008,$I366-8)="","",INDEX('Fleet dates'!$G$9:$G$1008,$I366-8)))</x:f>
      </x:c>
      <x:c r="H366" s="50" t="str">
        <x:f>IF(358&gt;$H$4,"",IF(INDEX('Fleet dates'!$I$9:$I$1008,$I366-8)="","",INDEX('Fleet dates'!$I$9:$I$1008,$I366-8)))</x:f>
      </x:c>
      <x:c r="I366" t="str">
        <x:f>IF(358&gt;$H$4,"",MATCH(358,'Fleet dates'!$M$9:$M$1008,0)+8)</x:f>
      </x:c>
    </x:row>
    <x:row r="367" ht="36" customHeight="1">
      <x:c r="A367" s="50" t="str">
        <x:f>IF(359&gt;$H$4,"",IF(INDEX('Fleet dates'!$A$9:$A$1008,$I367-8)="","",INDEX('Fleet dates'!$A$9:$A$1008,$I367-8)))</x:f>
      </x:c>
      <x:c r="B367" s="50" t="str">
        <x:f>IF(359&gt;$H$4,"",IF(INDEX('Fleet dates'!$B$9:$B$1008,$I367-8)="","",INDEX('Fleet dates'!$B$9:$B$1008,$I367-8)))</x:f>
      </x:c>
      <x:c r="C367" s="51" t="str">
        <x:f>IF(359&gt;$H$4,"",IF(INDEX('Fleet dates'!$C$9:$C$1008,$I367-8)="","",INDEX('Fleet dates'!$C$9:$C$1008,$I367-8)))</x:f>
      </x:c>
      <x:c r="D367" s="51" t="str">
        <x:f>IF(359&gt;$H$4,"",IF(INDEX('Fleet dates'!$D$9:$D$1008,$I367-8)="","",INDEX('Fleet dates'!$D$9:$D$1008,$I367-8)))</x:f>
      </x:c>
      <x:c r="E367" s="51" t="str">
        <x:f>IF(359&gt;$H$4,"",IF(INDEX('Fleet dates'!$E$9:$E$1008,$I367-8)="","",INDEX('Fleet dates'!$E$9:$E$1008,$I367-8)))</x:f>
      </x:c>
      <x:c r="F367" s="51" t="str">
        <x:f>IF(359&gt;$H$4,"",IF(INDEX('Fleet dates'!$F$9:$F$1008,$I367-8)="","",INDEX('Fleet dates'!$F$9:$F$1008,$I367-8)))</x:f>
      </x:c>
      <x:c r="G367" s="50" t="str">
        <x:f>IF(359&gt;$H$4,"",IF(INDEX('Fleet dates'!$G$9:$G$1008,$I367-8)="","",INDEX('Fleet dates'!$G$9:$G$1008,$I367-8)))</x:f>
      </x:c>
      <x:c r="H367" s="50" t="str">
        <x:f>IF(359&gt;$H$4,"",IF(INDEX('Fleet dates'!$I$9:$I$1008,$I367-8)="","",INDEX('Fleet dates'!$I$9:$I$1008,$I367-8)))</x:f>
      </x:c>
      <x:c r="I367" t="str">
        <x:f>IF(359&gt;$H$4,"",MATCH(359,'Fleet dates'!$M$9:$M$1008,0)+8)</x:f>
      </x:c>
    </x:row>
    <x:row r="368" ht="36" customHeight="1">
      <x:c r="A368" s="50" t="str">
        <x:f>IF(360&gt;$H$4,"",IF(INDEX('Fleet dates'!$A$9:$A$1008,$I368-8)="","",INDEX('Fleet dates'!$A$9:$A$1008,$I368-8)))</x:f>
      </x:c>
      <x:c r="B368" s="50" t="str">
        <x:f>IF(360&gt;$H$4,"",IF(INDEX('Fleet dates'!$B$9:$B$1008,$I368-8)="","",INDEX('Fleet dates'!$B$9:$B$1008,$I368-8)))</x:f>
      </x:c>
      <x:c r="C368" s="51" t="str">
        <x:f>IF(360&gt;$H$4,"",IF(INDEX('Fleet dates'!$C$9:$C$1008,$I368-8)="","",INDEX('Fleet dates'!$C$9:$C$1008,$I368-8)))</x:f>
      </x:c>
      <x:c r="D368" s="51" t="str">
        <x:f>IF(360&gt;$H$4,"",IF(INDEX('Fleet dates'!$D$9:$D$1008,$I368-8)="","",INDEX('Fleet dates'!$D$9:$D$1008,$I368-8)))</x:f>
      </x:c>
      <x:c r="E368" s="51" t="str">
        <x:f>IF(360&gt;$H$4,"",IF(INDEX('Fleet dates'!$E$9:$E$1008,$I368-8)="","",INDEX('Fleet dates'!$E$9:$E$1008,$I368-8)))</x:f>
      </x:c>
      <x:c r="F368" s="51" t="str">
        <x:f>IF(360&gt;$H$4,"",IF(INDEX('Fleet dates'!$F$9:$F$1008,$I368-8)="","",INDEX('Fleet dates'!$F$9:$F$1008,$I368-8)))</x:f>
      </x:c>
      <x:c r="G368" s="50" t="str">
        <x:f>IF(360&gt;$H$4,"",IF(INDEX('Fleet dates'!$G$9:$G$1008,$I368-8)="","",INDEX('Fleet dates'!$G$9:$G$1008,$I368-8)))</x:f>
      </x:c>
      <x:c r="H368" s="50" t="str">
        <x:f>IF(360&gt;$H$4,"",IF(INDEX('Fleet dates'!$I$9:$I$1008,$I368-8)="","",INDEX('Fleet dates'!$I$9:$I$1008,$I368-8)))</x:f>
      </x:c>
      <x:c r="I368" t="str">
        <x:f>IF(360&gt;$H$4,"",MATCH(360,'Fleet dates'!$M$9:$M$1008,0)+8)</x:f>
      </x:c>
    </x:row>
    <x:row r="369" ht="36" customHeight="1">
      <x:c r="A369" s="50" t="str">
        <x:f>IF(361&gt;$H$4,"",IF(INDEX('Fleet dates'!$A$9:$A$1008,$I369-8)="","",INDEX('Fleet dates'!$A$9:$A$1008,$I369-8)))</x:f>
      </x:c>
      <x:c r="B369" s="50" t="str">
        <x:f>IF(361&gt;$H$4,"",IF(INDEX('Fleet dates'!$B$9:$B$1008,$I369-8)="","",INDEX('Fleet dates'!$B$9:$B$1008,$I369-8)))</x:f>
      </x:c>
      <x:c r="C369" s="51" t="str">
        <x:f>IF(361&gt;$H$4,"",IF(INDEX('Fleet dates'!$C$9:$C$1008,$I369-8)="","",INDEX('Fleet dates'!$C$9:$C$1008,$I369-8)))</x:f>
      </x:c>
      <x:c r="D369" s="51" t="str">
        <x:f>IF(361&gt;$H$4,"",IF(INDEX('Fleet dates'!$D$9:$D$1008,$I369-8)="","",INDEX('Fleet dates'!$D$9:$D$1008,$I369-8)))</x:f>
      </x:c>
      <x:c r="E369" s="51" t="str">
        <x:f>IF(361&gt;$H$4,"",IF(INDEX('Fleet dates'!$E$9:$E$1008,$I369-8)="","",INDEX('Fleet dates'!$E$9:$E$1008,$I369-8)))</x:f>
      </x:c>
      <x:c r="F369" s="51" t="str">
        <x:f>IF(361&gt;$H$4,"",IF(INDEX('Fleet dates'!$F$9:$F$1008,$I369-8)="","",INDEX('Fleet dates'!$F$9:$F$1008,$I369-8)))</x:f>
      </x:c>
      <x:c r="G369" s="50" t="str">
        <x:f>IF(361&gt;$H$4,"",IF(INDEX('Fleet dates'!$G$9:$G$1008,$I369-8)="","",INDEX('Fleet dates'!$G$9:$G$1008,$I369-8)))</x:f>
      </x:c>
      <x:c r="H369" s="50" t="str">
        <x:f>IF(361&gt;$H$4,"",IF(INDEX('Fleet dates'!$I$9:$I$1008,$I369-8)="","",INDEX('Fleet dates'!$I$9:$I$1008,$I369-8)))</x:f>
      </x:c>
      <x:c r="I369" t="str">
        <x:f>IF(361&gt;$H$4,"",MATCH(361,'Fleet dates'!$M$9:$M$1008,0)+8)</x:f>
      </x:c>
    </x:row>
    <x:row r="370" ht="36" customHeight="1">
      <x:c r="A370" s="50" t="str">
        <x:f>IF(362&gt;$H$4,"",IF(INDEX('Fleet dates'!$A$9:$A$1008,$I370-8)="","",INDEX('Fleet dates'!$A$9:$A$1008,$I370-8)))</x:f>
      </x:c>
      <x:c r="B370" s="50" t="str">
        <x:f>IF(362&gt;$H$4,"",IF(INDEX('Fleet dates'!$B$9:$B$1008,$I370-8)="","",INDEX('Fleet dates'!$B$9:$B$1008,$I370-8)))</x:f>
      </x:c>
      <x:c r="C370" s="51" t="str">
        <x:f>IF(362&gt;$H$4,"",IF(INDEX('Fleet dates'!$C$9:$C$1008,$I370-8)="","",INDEX('Fleet dates'!$C$9:$C$1008,$I370-8)))</x:f>
      </x:c>
      <x:c r="D370" s="51" t="str">
        <x:f>IF(362&gt;$H$4,"",IF(INDEX('Fleet dates'!$D$9:$D$1008,$I370-8)="","",INDEX('Fleet dates'!$D$9:$D$1008,$I370-8)))</x:f>
      </x:c>
      <x:c r="E370" s="51" t="str">
        <x:f>IF(362&gt;$H$4,"",IF(INDEX('Fleet dates'!$E$9:$E$1008,$I370-8)="","",INDEX('Fleet dates'!$E$9:$E$1008,$I370-8)))</x:f>
      </x:c>
      <x:c r="F370" s="51" t="str">
        <x:f>IF(362&gt;$H$4,"",IF(INDEX('Fleet dates'!$F$9:$F$1008,$I370-8)="","",INDEX('Fleet dates'!$F$9:$F$1008,$I370-8)))</x:f>
      </x:c>
      <x:c r="G370" s="50" t="str">
        <x:f>IF(362&gt;$H$4,"",IF(INDEX('Fleet dates'!$G$9:$G$1008,$I370-8)="","",INDEX('Fleet dates'!$G$9:$G$1008,$I370-8)))</x:f>
      </x:c>
      <x:c r="H370" s="50" t="str">
        <x:f>IF(362&gt;$H$4,"",IF(INDEX('Fleet dates'!$I$9:$I$1008,$I370-8)="","",INDEX('Fleet dates'!$I$9:$I$1008,$I370-8)))</x:f>
      </x:c>
      <x:c r="I370" t="str">
        <x:f>IF(362&gt;$H$4,"",MATCH(362,'Fleet dates'!$M$9:$M$1008,0)+8)</x:f>
      </x:c>
    </x:row>
    <x:row r="371" ht="36" customHeight="1">
      <x:c r="A371" s="50" t="str">
        <x:f>IF(363&gt;$H$4,"",IF(INDEX('Fleet dates'!$A$9:$A$1008,$I371-8)="","",INDEX('Fleet dates'!$A$9:$A$1008,$I371-8)))</x:f>
      </x:c>
      <x:c r="B371" s="50" t="str">
        <x:f>IF(363&gt;$H$4,"",IF(INDEX('Fleet dates'!$B$9:$B$1008,$I371-8)="","",INDEX('Fleet dates'!$B$9:$B$1008,$I371-8)))</x:f>
      </x:c>
      <x:c r="C371" s="51" t="str">
        <x:f>IF(363&gt;$H$4,"",IF(INDEX('Fleet dates'!$C$9:$C$1008,$I371-8)="","",INDEX('Fleet dates'!$C$9:$C$1008,$I371-8)))</x:f>
      </x:c>
      <x:c r="D371" s="51" t="str">
        <x:f>IF(363&gt;$H$4,"",IF(INDEX('Fleet dates'!$D$9:$D$1008,$I371-8)="","",INDEX('Fleet dates'!$D$9:$D$1008,$I371-8)))</x:f>
      </x:c>
      <x:c r="E371" s="51" t="str">
        <x:f>IF(363&gt;$H$4,"",IF(INDEX('Fleet dates'!$E$9:$E$1008,$I371-8)="","",INDEX('Fleet dates'!$E$9:$E$1008,$I371-8)))</x:f>
      </x:c>
      <x:c r="F371" s="51" t="str">
        <x:f>IF(363&gt;$H$4,"",IF(INDEX('Fleet dates'!$F$9:$F$1008,$I371-8)="","",INDEX('Fleet dates'!$F$9:$F$1008,$I371-8)))</x:f>
      </x:c>
      <x:c r="G371" s="50" t="str">
        <x:f>IF(363&gt;$H$4,"",IF(INDEX('Fleet dates'!$G$9:$G$1008,$I371-8)="","",INDEX('Fleet dates'!$G$9:$G$1008,$I371-8)))</x:f>
      </x:c>
      <x:c r="H371" s="50" t="str">
        <x:f>IF(363&gt;$H$4,"",IF(INDEX('Fleet dates'!$I$9:$I$1008,$I371-8)="","",INDEX('Fleet dates'!$I$9:$I$1008,$I371-8)))</x:f>
      </x:c>
      <x:c r="I371" t="str">
        <x:f>IF(363&gt;$H$4,"",MATCH(363,'Fleet dates'!$M$9:$M$1008,0)+8)</x:f>
      </x:c>
    </x:row>
    <x:row r="372" ht="36" customHeight="1">
      <x:c r="A372" s="50" t="str">
        <x:f>IF(364&gt;$H$4,"",IF(INDEX('Fleet dates'!$A$9:$A$1008,$I372-8)="","",INDEX('Fleet dates'!$A$9:$A$1008,$I372-8)))</x:f>
      </x:c>
      <x:c r="B372" s="50" t="str">
        <x:f>IF(364&gt;$H$4,"",IF(INDEX('Fleet dates'!$B$9:$B$1008,$I372-8)="","",INDEX('Fleet dates'!$B$9:$B$1008,$I372-8)))</x:f>
      </x:c>
      <x:c r="C372" s="51" t="str">
        <x:f>IF(364&gt;$H$4,"",IF(INDEX('Fleet dates'!$C$9:$C$1008,$I372-8)="","",INDEX('Fleet dates'!$C$9:$C$1008,$I372-8)))</x:f>
      </x:c>
      <x:c r="D372" s="51" t="str">
        <x:f>IF(364&gt;$H$4,"",IF(INDEX('Fleet dates'!$D$9:$D$1008,$I372-8)="","",INDEX('Fleet dates'!$D$9:$D$1008,$I372-8)))</x:f>
      </x:c>
      <x:c r="E372" s="51" t="str">
        <x:f>IF(364&gt;$H$4,"",IF(INDEX('Fleet dates'!$E$9:$E$1008,$I372-8)="","",INDEX('Fleet dates'!$E$9:$E$1008,$I372-8)))</x:f>
      </x:c>
      <x:c r="F372" s="51" t="str">
        <x:f>IF(364&gt;$H$4,"",IF(INDEX('Fleet dates'!$F$9:$F$1008,$I372-8)="","",INDEX('Fleet dates'!$F$9:$F$1008,$I372-8)))</x:f>
      </x:c>
      <x:c r="G372" s="50" t="str">
        <x:f>IF(364&gt;$H$4,"",IF(INDEX('Fleet dates'!$G$9:$G$1008,$I372-8)="","",INDEX('Fleet dates'!$G$9:$G$1008,$I372-8)))</x:f>
      </x:c>
      <x:c r="H372" s="50" t="str">
        <x:f>IF(364&gt;$H$4,"",IF(INDEX('Fleet dates'!$I$9:$I$1008,$I372-8)="","",INDEX('Fleet dates'!$I$9:$I$1008,$I372-8)))</x:f>
      </x:c>
      <x:c r="I372" t="str">
        <x:f>IF(364&gt;$H$4,"",MATCH(364,'Fleet dates'!$M$9:$M$1008,0)+8)</x:f>
      </x:c>
    </x:row>
    <x:row r="373" ht="36" customHeight="1">
      <x:c r="A373" s="50" t="str">
        <x:f>IF(365&gt;$H$4,"",IF(INDEX('Fleet dates'!$A$9:$A$1008,$I373-8)="","",INDEX('Fleet dates'!$A$9:$A$1008,$I373-8)))</x:f>
      </x:c>
      <x:c r="B373" s="50" t="str">
        <x:f>IF(365&gt;$H$4,"",IF(INDEX('Fleet dates'!$B$9:$B$1008,$I373-8)="","",INDEX('Fleet dates'!$B$9:$B$1008,$I373-8)))</x:f>
      </x:c>
      <x:c r="C373" s="51" t="str">
        <x:f>IF(365&gt;$H$4,"",IF(INDEX('Fleet dates'!$C$9:$C$1008,$I373-8)="","",INDEX('Fleet dates'!$C$9:$C$1008,$I373-8)))</x:f>
      </x:c>
      <x:c r="D373" s="51" t="str">
        <x:f>IF(365&gt;$H$4,"",IF(INDEX('Fleet dates'!$D$9:$D$1008,$I373-8)="","",INDEX('Fleet dates'!$D$9:$D$1008,$I373-8)))</x:f>
      </x:c>
      <x:c r="E373" s="51" t="str">
        <x:f>IF(365&gt;$H$4,"",IF(INDEX('Fleet dates'!$E$9:$E$1008,$I373-8)="","",INDEX('Fleet dates'!$E$9:$E$1008,$I373-8)))</x:f>
      </x:c>
      <x:c r="F373" s="51" t="str">
        <x:f>IF(365&gt;$H$4,"",IF(INDEX('Fleet dates'!$F$9:$F$1008,$I373-8)="","",INDEX('Fleet dates'!$F$9:$F$1008,$I373-8)))</x:f>
      </x:c>
      <x:c r="G373" s="50" t="str">
        <x:f>IF(365&gt;$H$4,"",IF(INDEX('Fleet dates'!$G$9:$G$1008,$I373-8)="","",INDEX('Fleet dates'!$G$9:$G$1008,$I373-8)))</x:f>
      </x:c>
      <x:c r="H373" s="50" t="str">
        <x:f>IF(365&gt;$H$4,"",IF(INDEX('Fleet dates'!$I$9:$I$1008,$I373-8)="","",INDEX('Fleet dates'!$I$9:$I$1008,$I373-8)))</x:f>
      </x:c>
      <x:c r="I373" t="str">
        <x:f>IF(365&gt;$H$4,"",MATCH(365,'Fleet dates'!$M$9:$M$1008,0)+8)</x:f>
      </x:c>
    </x:row>
    <x:row r="374" ht="36" customHeight="1">
      <x:c r="A374" s="50" t="str">
        <x:f>IF(366&gt;$H$4,"",IF(INDEX('Fleet dates'!$A$9:$A$1008,$I374-8)="","",INDEX('Fleet dates'!$A$9:$A$1008,$I374-8)))</x:f>
      </x:c>
      <x:c r="B374" s="50" t="str">
        <x:f>IF(366&gt;$H$4,"",IF(INDEX('Fleet dates'!$B$9:$B$1008,$I374-8)="","",INDEX('Fleet dates'!$B$9:$B$1008,$I374-8)))</x:f>
      </x:c>
      <x:c r="C374" s="51" t="str">
        <x:f>IF(366&gt;$H$4,"",IF(INDEX('Fleet dates'!$C$9:$C$1008,$I374-8)="","",INDEX('Fleet dates'!$C$9:$C$1008,$I374-8)))</x:f>
      </x:c>
      <x:c r="D374" s="51" t="str">
        <x:f>IF(366&gt;$H$4,"",IF(INDEX('Fleet dates'!$D$9:$D$1008,$I374-8)="","",INDEX('Fleet dates'!$D$9:$D$1008,$I374-8)))</x:f>
      </x:c>
      <x:c r="E374" s="51" t="str">
        <x:f>IF(366&gt;$H$4,"",IF(INDEX('Fleet dates'!$E$9:$E$1008,$I374-8)="","",INDEX('Fleet dates'!$E$9:$E$1008,$I374-8)))</x:f>
      </x:c>
      <x:c r="F374" s="51" t="str">
        <x:f>IF(366&gt;$H$4,"",IF(INDEX('Fleet dates'!$F$9:$F$1008,$I374-8)="","",INDEX('Fleet dates'!$F$9:$F$1008,$I374-8)))</x:f>
      </x:c>
      <x:c r="G374" s="50" t="str">
        <x:f>IF(366&gt;$H$4,"",IF(INDEX('Fleet dates'!$G$9:$G$1008,$I374-8)="","",INDEX('Fleet dates'!$G$9:$G$1008,$I374-8)))</x:f>
      </x:c>
      <x:c r="H374" s="50" t="str">
        <x:f>IF(366&gt;$H$4,"",IF(INDEX('Fleet dates'!$I$9:$I$1008,$I374-8)="","",INDEX('Fleet dates'!$I$9:$I$1008,$I374-8)))</x:f>
      </x:c>
      <x:c r="I374" t="str">
        <x:f>IF(366&gt;$H$4,"",MATCH(366,'Fleet dates'!$M$9:$M$1008,0)+8)</x:f>
      </x:c>
    </x:row>
    <x:row r="375" ht="36" customHeight="1">
      <x:c r="A375" s="50" t="str">
        <x:f>IF(367&gt;$H$4,"",IF(INDEX('Fleet dates'!$A$9:$A$1008,$I375-8)="","",INDEX('Fleet dates'!$A$9:$A$1008,$I375-8)))</x:f>
      </x:c>
      <x:c r="B375" s="50" t="str">
        <x:f>IF(367&gt;$H$4,"",IF(INDEX('Fleet dates'!$B$9:$B$1008,$I375-8)="","",INDEX('Fleet dates'!$B$9:$B$1008,$I375-8)))</x:f>
      </x:c>
      <x:c r="C375" s="51" t="str">
        <x:f>IF(367&gt;$H$4,"",IF(INDEX('Fleet dates'!$C$9:$C$1008,$I375-8)="","",INDEX('Fleet dates'!$C$9:$C$1008,$I375-8)))</x:f>
      </x:c>
      <x:c r="D375" s="51" t="str">
        <x:f>IF(367&gt;$H$4,"",IF(INDEX('Fleet dates'!$D$9:$D$1008,$I375-8)="","",INDEX('Fleet dates'!$D$9:$D$1008,$I375-8)))</x:f>
      </x:c>
      <x:c r="E375" s="51" t="str">
        <x:f>IF(367&gt;$H$4,"",IF(INDEX('Fleet dates'!$E$9:$E$1008,$I375-8)="","",INDEX('Fleet dates'!$E$9:$E$1008,$I375-8)))</x:f>
      </x:c>
      <x:c r="F375" s="51" t="str">
        <x:f>IF(367&gt;$H$4,"",IF(INDEX('Fleet dates'!$F$9:$F$1008,$I375-8)="","",INDEX('Fleet dates'!$F$9:$F$1008,$I375-8)))</x:f>
      </x:c>
      <x:c r="G375" s="50" t="str">
        <x:f>IF(367&gt;$H$4,"",IF(INDEX('Fleet dates'!$G$9:$G$1008,$I375-8)="","",INDEX('Fleet dates'!$G$9:$G$1008,$I375-8)))</x:f>
      </x:c>
      <x:c r="H375" s="50" t="str">
        <x:f>IF(367&gt;$H$4,"",IF(INDEX('Fleet dates'!$I$9:$I$1008,$I375-8)="","",INDEX('Fleet dates'!$I$9:$I$1008,$I375-8)))</x:f>
      </x:c>
      <x:c r="I375" t="str">
        <x:f>IF(367&gt;$H$4,"",MATCH(367,'Fleet dates'!$M$9:$M$1008,0)+8)</x:f>
      </x:c>
    </x:row>
    <x:row r="376" ht="36" customHeight="1">
      <x:c r="A376" s="50" t="str">
        <x:f>IF(368&gt;$H$4,"",IF(INDEX('Fleet dates'!$A$9:$A$1008,$I376-8)="","",INDEX('Fleet dates'!$A$9:$A$1008,$I376-8)))</x:f>
      </x:c>
      <x:c r="B376" s="50" t="str">
        <x:f>IF(368&gt;$H$4,"",IF(INDEX('Fleet dates'!$B$9:$B$1008,$I376-8)="","",INDEX('Fleet dates'!$B$9:$B$1008,$I376-8)))</x:f>
      </x:c>
      <x:c r="C376" s="51" t="str">
        <x:f>IF(368&gt;$H$4,"",IF(INDEX('Fleet dates'!$C$9:$C$1008,$I376-8)="","",INDEX('Fleet dates'!$C$9:$C$1008,$I376-8)))</x:f>
      </x:c>
      <x:c r="D376" s="51" t="str">
        <x:f>IF(368&gt;$H$4,"",IF(INDEX('Fleet dates'!$D$9:$D$1008,$I376-8)="","",INDEX('Fleet dates'!$D$9:$D$1008,$I376-8)))</x:f>
      </x:c>
      <x:c r="E376" s="51" t="str">
        <x:f>IF(368&gt;$H$4,"",IF(INDEX('Fleet dates'!$E$9:$E$1008,$I376-8)="","",INDEX('Fleet dates'!$E$9:$E$1008,$I376-8)))</x:f>
      </x:c>
      <x:c r="F376" s="51" t="str">
        <x:f>IF(368&gt;$H$4,"",IF(INDEX('Fleet dates'!$F$9:$F$1008,$I376-8)="","",INDEX('Fleet dates'!$F$9:$F$1008,$I376-8)))</x:f>
      </x:c>
      <x:c r="G376" s="50" t="str">
        <x:f>IF(368&gt;$H$4,"",IF(INDEX('Fleet dates'!$G$9:$G$1008,$I376-8)="","",INDEX('Fleet dates'!$G$9:$G$1008,$I376-8)))</x:f>
      </x:c>
      <x:c r="H376" s="50" t="str">
        <x:f>IF(368&gt;$H$4,"",IF(INDEX('Fleet dates'!$I$9:$I$1008,$I376-8)="","",INDEX('Fleet dates'!$I$9:$I$1008,$I376-8)))</x:f>
      </x:c>
      <x:c r="I376" t="str">
        <x:f>IF(368&gt;$H$4,"",MATCH(368,'Fleet dates'!$M$9:$M$1008,0)+8)</x:f>
      </x:c>
    </x:row>
    <x:row r="377" ht="36" customHeight="1">
      <x:c r="A377" s="50" t="str">
        <x:f>IF(369&gt;$H$4,"",IF(INDEX('Fleet dates'!$A$9:$A$1008,$I377-8)="","",INDEX('Fleet dates'!$A$9:$A$1008,$I377-8)))</x:f>
      </x:c>
      <x:c r="B377" s="50" t="str">
        <x:f>IF(369&gt;$H$4,"",IF(INDEX('Fleet dates'!$B$9:$B$1008,$I377-8)="","",INDEX('Fleet dates'!$B$9:$B$1008,$I377-8)))</x:f>
      </x:c>
      <x:c r="C377" s="51" t="str">
        <x:f>IF(369&gt;$H$4,"",IF(INDEX('Fleet dates'!$C$9:$C$1008,$I377-8)="","",INDEX('Fleet dates'!$C$9:$C$1008,$I377-8)))</x:f>
      </x:c>
      <x:c r="D377" s="51" t="str">
        <x:f>IF(369&gt;$H$4,"",IF(INDEX('Fleet dates'!$D$9:$D$1008,$I377-8)="","",INDEX('Fleet dates'!$D$9:$D$1008,$I377-8)))</x:f>
      </x:c>
      <x:c r="E377" s="51" t="str">
        <x:f>IF(369&gt;$H$4,"",IF(INDEX('Fleet dates'!$E$9:$E$1008,$I377-8)="","",INDEX('Fleet dates'!$E$9:$E$1008,$I377-8)))</x:f>
      </x:c>
      <x:c r="F377" s="51" t="str">
        <x:f>IF(369&gt;$H$4,"",IF(INDEX('Fleet dates'!$F$9:$F$1008,$I377-8)="","",INDEX('Fleet dates'!$F$9:$F$1008,$I377-8)))</x:f>
      </x:c>
      <x:c r="G377" s="50" t="str">
        <x:f>IF(369&gt;$H$4,"",IF(INDEX('Fleet dates'!$G$9:$G$1008,$I377-8)="","",INDEX('Fleet dates'!$G$9:$G$1008,$I377-8)))</x:f>
      </x:c>
      <x:c r="H377" s="50" t="str">
        <x:f>IF(369&gt;$H$4,"",IF(INDEX('Fleet dates'!$I$9:$I$1008,$I377-8)="","",INDEX('Fleet dates'!$I$9:$I$1008,$I377-8)))</x:f>
      </x:c>
      <x:c r="I377" t="str">
        <x:f>IF(369&gt;$H$4,"",MATCH(369,'Fleet dates'!$M$9:$M$1008,0)+8)</x:f>
      </x:c>
    </x:row>
    <x:row r="378" ht="36" customHeight="1">
      <x:c r="A378" s="50" t="str">
        <x:f>IF(370&gt;$H$4,"",IF(INDEX('Fleet dates'!$A$9:$A$1008,$I378-8)="","",INDEX('Fleet dates'!$A$9:$A$1008,$I378-8)))</x:f>
      </x:c>
      <x:c r="B378" s="50" t="str">
        <x:f>IF(370&gt;$H$4,"",IF(INDEX('Fleet dates'!$B$9:$B$1008,$I378-8)="","",INDEX('Fleet dates'!$B$9:$B$1008,$I378-8)))</x:f>
      </x:c>
      <x:c r="C378" s="51" t="str">
        <x:f>IF(370&gt;$H$4,"",IF(INDEX('Fleet dates'!$C$9:$C$1008,$I378-8)="","",INDEX('Fleet dates'!$C$9:$C$1008,$I378-8)))</x:f>
      </x:c>
      <x:c r="D378" s="51" t="str">
        <x:f>IF(370&gt;$H$4,"",IF(INDEX('Fleet dates'!$D$9:$D$1008,$I378-8)="","",INDEX('Fleet dates'!$D$9:$D$1008,$I378-8)))</x:f>
      </x:c>
      <x:c r="E378" s="51" t="str">
        <x:f>IF(370&gt;$H$4,"",IF(INDEX('Fleet dates'!$E$9:$E$1008,$I378-8)="","",INDEX('Fleet dates'!$E$9:$E$1008,$I378-8)))</x:f>
      </x:c>
      <x:c r="F378" s="51" t="str">
        <x:f>IF(370&gt;$H$4,"",IF(INDEX('Fleet dates'!$F$9:$F$1008,$I378-8)="","",INDEX('Fleet dates'!$F$9:$F$1008,$I378-8)))</x:f>
      </x:c>
      <x:c r="G378" s="50" t="str">
        <x:f>IF(370&gt;$H$4,"",IF(INDEX('Fleet dates'!$G$9:$G$1008,$I378-8)="","",INDEX('Fleet dates'!$G$9:$G$1008,$I378-8)))</x:f>
      </x:c>
      <x:c r="H378" s="50" t="str">
        <x:f>IF(370&gt;$H$4,"",IF(INDEX('Fleet dates'!$I$9:$I$1008,$I378-8)="","",INDEX('Fleet dates'!$I$9:$I$1008,$I378-8)))</x:f>
      </x:c>
      <x:c r="I378" t="str">
        <x:f>IF(370&gt;$H$4,"",MATCH(370,'Fleet dates'!$M$9:$M$1008,0)+8)</x:f>
      </x:c>
    </x:row>
    <x:row r="379" ht="36" customHeight="1">
      <x:c r="A379" s="50" t="str">
        <x:f>IF(371&gt;$H$4,"",IF(INDEX('Fleet dates'!$A$9:$A$1008,$I379-8)="","",INDEX('Fleet dates'!$A$9:$A$1008,$I379-8)))</x:f>
      </x:c>
      <x:c r="B379" s="50" t="str">
        <x:f>IF(371&gt;$H$4,"",IF(INDEX('Fleet dates'!$B$9:$B$1008,$I379-8)="","",INDEX('Fleet dates'!$B$9:$B$1008,$I379-8)))</x:f>
      </x:c>
      <x:c r="C379" s="51" t="str">
        <x:f>IF(371&gt;$H$4,"",IF(INDEX('Fleet dates'!$C$9:$C$1008,$I379-8)="","",INDEX('Fleet dates'!$C$9:$C$1008,$I379-8)))</x:f>
      </x:c>
      <x:c r="D379" s="51" t="str">
        <x:f>IF(371&gt;$H$4,"",IF(INDEX('Fleet dates'!$D$9:$D$1008,$I379-8)="","",INDEX('Fleet dates'!$D$9:$D$1008,$I379-8)))</x:f>
      </x:c>
      <x:c r="E379" s="51" t="str">
        <x:f>IF(371&gt;$H$4,"",IF(INDEX('Fleet dates'!$E$9:$E$1008,$I379-8)="","",INDEX('Fleet dates'!$E$9:$E$1008,$I379-8)))</x:f>
      </x:c>
      <x:c r="F379" s="51" t="str">
        <x:f>IF(371&gt;$H$4,"",IF(INDEX('Fleet dates'!$F$9:$F$1008,$I379-8)="","",INDEX('Fleet dates'!$F$9:$F$1008,$I379-8)))</x:f>
      </x:c>
      <x:c r="G379" s="50" t="str">
        <x:f>IF(371&gt;$H$4,"",IF(INDEX('Fleet dates'!$G$9:$G$1008,$I379-8)="","",INDEX('Fleet dates'!$G$9:$G$1008,$I379-8)))</x:f>
      </x:c>
      <x:c r="H379" s="50" t="str">
        <x:f>IF(371&gt;$H$4,"",IF(INDEX('Fleet dates'!$I$9:$I$1008,$I379-8)="","",INDEX('Fleet dates'!$I$9:$I$1008,$I379-8)))</x:f>
      </x:c>
      <x:c r="I379" t="str">
        <x:f>IF(371&gt;$H$4,"",MATCH(371,'Fleet dates'!$M$9:$M$1008,0)+8)</x:f>
      </x:c>
    </x:row>
    <x:row r="380" ht="36" customHeight="1">
      <x:c r="A380" s="50" t="str">
        <x:f>IF(372&gt;$H$4,"",IF(INDEX('Fleet dates'!$A$9:$A$1008,$I380-8)="","",INDEX('Fleet dates'!$A$9:$A$1008,$I380-8)))</x:f>
      </x:c>
      <x:c r="B380" s="50" t="str">
        <x:f>IF(372&gt;$H$4,"",IF(INDEX('Fleet dates'!$B$9:$B$1008,$I380-8)="","",INDEX('Fleet dates'!$B$9:$B$1008,$I380-8)))</x:f>
      </x:c>
      <x:c r="C380" s="51" t="str">
        <x:f>IF(372&gt;$H$4,"",IF(INDEX('Fleet dates'!$C$9:$C$1008,$I380-8)="","",INDEX('Fleet dates'!$C$9:$C$1008,$I380-8)))</x:f>
      </x:c>
      <x:c r="D380" s="51" t="str">
        <x:f>IF(372&gt;$H$4,"",IF(INDEX('Fleet dates'!$D$9:$D$1008,$I380-8)="","",INDEX('Fleet dates'!$D$9:$D$1008,$I380-8)))</x:f>
      </x:c>
      <x:c r="E380" s="51" t="str">
        <x:f>IF(372&gt;$H$4,"",IF(INDEX('Fleet dates'!$E$9:$E$1008,$I380-8)="","",INDEX('Fleet dates'!$E$9:$E$1008,$I380-8)))</x:f>
      </x:c>
      <x:c r="F380" s="51" t="str">
        <x:f>IF(372&gt;$H$4,"",IF(INDEX('Fleet dates'!$F$9:$F$1008,$I380-8)="","",INDEX('Fleet dates'!$F$9:$F$1008,$I380-8)))</x:f>
      </x:c>
      <x:c r="G380" s="50" t="str">
        <x:f>IF(372&gt;$H$4,"",IF(INDEX('Fleet dates'!$G$9:$G$1008,$I380-8)="","",INDEX('Fleet dates'!$G$9:$G$1008,$I380-8)))</x:f>
      </x:c>
      <x:c r="H380" s="50" t="str">
        <x:f>IF(372&gt;$H$4,"",IF(INDEX('Fleet dates'!$I$9:$I$1008,$I380-8)="","",INDEX('Fleet dates'!$I$9:$I$1008,$I380-8)))</x:f>
      </x:c>
      <x:c r="I380" t="str">
        <x:f>IF(372&gt;$H$4,"",MATCH(372,'Fleet dates'!$M$9:$M$1008,0)+8)</x:f>
      </x:c>
    </x:row>
    <x:row r="381" ht="36" customHeight="1">
      <x:c r="A381" s="50" t="str">
        <x:f>IF(373&gt;$H$4,"",IF(INDEX('Fleet dates'!$A$9:$A$1008,$I381-8)="","",INDEX('Fleet dates'!$A$9:$A$1008,$I381-8)))</x:f>
      </x:c>
      <x:c r="B381" s="50" t="str">
        <x:f>IF(373&gt;$H$4,"",IF(INDEX('Fleet dates'!$B$9:$B$1008,$I381-8)="","",INDEX('Fleet dates'!$B$9:$B$1008,$I381-8)))</x:f>
      </x:c>
      <x:c r="C381" s="51" t="str">
        <x:f>IF(373&gt;$H$4,"",IF(INDEX('Fleet dates'!$C$9:$C$1008,$I381-8)="","",INDEX('Fleet dates'!$C$9:$C$1008,$I381-8)))</x:f>
      </x:c>
      <x:c r="D381" s="51" t="str">
        <x:f>IF(373&gt;$H$4,"",IF(INDEX('Fleet dates'!$D$9:$D$1008,$I381-8)="","",INDEX('Fleet dates'!$D$9:$D$1008,$I381-8)))</x:f>
      </x:c>
      <x:c r="E381" s="51" t="str">
        <x:f>IF(373&gt;$H$4,"",IF(INDEX('Fleet dates'!$E$9:$E$1008,$I381-8)="","",INDEX('Fleet dates'!$E$9:$E$1008,$I381-8)))</x:f>
      </x:c>
      <x:c r="F381" s="51" t="str">
        <x:f>IF(373&gt;$H$4,"",IF(INDEX('Fleet dates'!$F$9:$F$1008,$I381-8)="","",INDEX('Fleet dates'!$F$9:$F$1008,$I381-8)))</x:f>
      </x:c>
      <x:c r="G381" s="50" t="str">
        <x:f>IF(373&gt;$H$4,"",IF(INDEX('Fleet dates'!$G$9:$G$1008,$I381-8)="","",INDEX('Fleet dates'!$G$9:$G$1008,$I381-8)))</x:f>
      </x:c>
      <x:c r="H381" s="50" t="str">
        <x:f>IF(373&gt;$H$4,"",IF(INDEX('Fleet dates'!$I$9:$I$1008,$I381-8)="","",INDEX('Fleet dates'!$I$9:$I$1008,$I381-8)))</x:f>
      </x:c>
      <x:c r="I381" t="str">
        <x:f>IF(373&gt;$H$4,"",MATCH(373,'Fleet dates'!$M$9:$M$1008,0)+8)</x:f>
      </x:c>
    </x:row>
    <x:row r="382" ht="36" customHeight="1">
      <x:c r="A382" s="50" t="str">
        <x:f>IF(374&gt;$H$4,"",IF(INDEX('Fleet dates'!$A$9:$A$1008,$I382-8)="","",INDEX('Fleet dates'!$A$9:$A$1008,$I382-8)))</x:f>
      </x:c>
      <x:c r="B382" s="50" t="str">
        <x:f>IF(374&gt;$H$4,"",IF(INDEX('Fleet dates'!$B$9:$B$1008,$I382-8)="","",INDEX('Fleet dates'!$B$9:$B$1008,$I382-8)))</x:f>
      </x:c>
      <x:c r="C382" s="51" t="str">
        <x:f>IF(374&gt;$H$4,"",IF(INDEX('Fleet dates'!$C$9:$C$1008,$I382-8)="","",INDEX('Fleet dates'!$C$9:$C$1008,$I382-8)))</x:f>
      </x:c>
      <x:c r="D382" s="51" t="str">
        <x:f>IF(374&gt;$H$4,"",IF(INDEX('Fleet dates'!$D$9:$D$1008,$I382-8)="","",INDEX('Fleet dates'!$D$9:$D$1008,$I382-8)))</x:f>
      </x:c>
      <x:c r="E382" s="51" t="str">
        <x:f>IF(374&gt;$H$4,"",IF(INDEX('Fleet dates'!$E$9:$E$1008,$I382-8)="","",INDEX('Fleet dates'!$E$9:$E$1008,$I382-8)))</x:f>
      </x:c>
      <x:c r="F382" s="51" t="str">
        <x:f>IF(374&gt;$H$4,"",IF(INDEX('Fleet dates'!$F$9:$F$1008,$I382-8)="","",INDEX('Fleet dates'!$F$9:$F$1008,$I382-8)))</x:f>
      </x:c>
      <x:c r="G382" s="50" t="str">
        <x:f>IF(374&gt;$H$4,"",IF(INDEX('Fleet dates'!$G$9:$G$1008,$I382-8)="","",INDEX('Fleet dates'!$G$9:$G$1008,$I382-8)))</x:f>
      </x:c>
      <x:c r="H382" s="50" t="str">
        <x:f>IF(374&gt;$H$4,"",IF(INDEX('Fleet dates'!$I$9:$I$1008,$I382-8)="","",INDEX('Fleet dates'!$I$9:$I$1008,$I382-8)))</x:f>
      </x:c>
      <x:c r="I382" t="str">
        <x:f>IF(374&gt;$H$4,"",MATCH(374,'Fleet dates'!$M$9:$M$1008,0)+8)</x:f>
      </x:c>
    </x:row>
    <x:row r="383" ht="36" customHeight="1">
      <x:c r="A383" s="50" t="str">
        <x:f>IF(375&gt;$H$4,"",IF(INDEX('Fleet dates'!$A$9:$A$1008,$I383-8)="","",INDEX('Fleet dates'!$A$9:$A$1008,$I383-8)))</x:f>
      </x:c>
      <x:c r="B383" s="50" t="str">
        <x:f>IF(375&gt;$H$4,"",IF(INDEX('Fleet dates'!$B$9:$B$1008,$I383-8)="","",INDEX('Fleet dates'!$B$9:$B$1008,$I383-8)))</x:f>
      </x:c>
      <x:c r="C383" s="51" t="str">
        <x:f>IF(375&gt;$H$4,"",IF(INDEX('Fleet dates'!$C$9:$C$1008,$I383-8)="","",INDEX('Fleet dates'!$C$9:$C$1008,$I383-8)))</x:f>
      </x:c>
      <x:c r="D383" s="51" t="str">
        <x:f>IF(375&gt;$H$4,"",IF(INDEX('Fleet dates'!$D$9:$D$1008,$I383-8)="","",INDEX('Fleet dates'!$D$9:$D$1008,$I383-8)))</x:f>
      </x:c>
      <x:c r="E383" s="51" t="str">
        <x:f>IF(375&gt;$H$4,"",IF(INDEX('Fleet dates'!$E$9:$E$1008,$I383-8)="","",INDEX('Fleet dates'!$E$9:$E$1008,$I383-8)))</x:f>
      </x:c>
      <x:c r="F383" s="51" t="str">
        <x:f>IF(375&gt;$H$4,"",IF(INDEX('Fleet dates'!$F$9:$F$1008,$I383-8)="","",INDEX('Fleet dates'!$F$9:$F$1008,$I383-8)))</x:f>
      </x:c>
      <x:c r="G383" s="50" t="str">
        <x:f>IF(375&gt;$H$4,"",IF(INDEX('Fleet dates'!$G$9:$G$1008,$I383-8)="","",INDEX('Fleet dates'!$G$9:$G$1008,$I383-8)))</x:f>
      </x:c>
      <x:c r="H383" s="50" t="str">
        <x:f>IF(375&gt;$H$4,"",IF(INDEX('Fleet dates'!$I$9:$I$1008,$I383-8)="","",INDEX('Fleet dates'!$I$9:$I$1008,$I383-8)))</x:f>
      </x:c>
      <x:c r="I383" t="str">
        <x:f>IF(375&gt;$H$4,"",MATCH(375,'Fleet dates'!$M$9:$M$1008,0)+8)</x:f>
      </x:c>
    </x:row>
    <x:row r="384" ht="36" customHeight="1">
      <x:c r="A384" s="50" t="str">
        <x:f>IF(376&gt;$H$4,"",IF(INDEX('Fleet dates'!$A$9:$A$1008,$I384-8)="","",INDEX('Fleet dates'!$A$9:$A$1008,$I384-8)))</x:f>
      </x:c>
      <x:c r="B384" s="50" t="str">
        <x:f>IF(376&gt;$H$4,"",IF(INDEX('Fleet dates'!$B$9:$B$1008,$I384-8)="","",INDEX('Fleet dates'!$B$9:$B$1008,$I384-8)))</x:f>
      </x:c>
      <x:c r="C384" s="51" t="str">
        <x:f>IF(376&gt;$H$4,"",IF(INDEX('Fleet dates'!$C$9:$C$1008,$I384-8)="","",INDEX('Fleet dates'!$C$9:$C$1008,$I384-8)))</x:f>
      </x:c>
      <x:c r="D384" s="51" t="str">
        <x:f>IF(376&gt;$H$4,"",IF(INDEX('Fleet dates'!$D$9:$D$1008,$I384-8)="","",INDEX('Fleet dates'!$D$9:$D$1008,$I384-8)))</x:f>
      </x:c>
      <x:c r="E384" s="51" t="str">
        <x:f>IF(376&gt;$H$4,"",IF(INDEX('Fleet dates'!$E$9:$E$1008,$I384-8)="","",INDEX('Fleet dates'!$E$9:$E$1008,$I384-8)))</x:f>
      </x:c>
      <x:c r="F384" s="51" t="str">
        <x:f>IF(376&gt;$H$4,"",IF(INDEX('Fleet dates'!$F$9:$F$1008,$I384-8)="","",INDEX('Fleet dates'!$F$9:$F$1008,$I384-8)))</x:f>
      </x:c>
      <x:c r="G384" s="50" t="str">
        <x:f>IF(376&gt;$H$4,"",IF(INDEX('Fleet dates'!$G$9:$G$1008,$I384-8)="","",INDEX('Fleet dates'!$G$9:$G$1008,$I384-8)))</x:f>
      </x:c>
      <x:c r="H384" s="50" t="str">
        <x:f>IF(376&gt;$H$4,"",IF(INDEX('Fleet dates'!$I$9:$I$1008,$I384-8)="","",INDEX('Fleet dates'!$I$9:$I$1008,$I384-8)))</x:f>
      </x:c>
      <x:c r="I384" t="str">
        <x:f>IF(376&gt;$H$4,"",MATCH(376,'Fleet dates'!$M$9:$M$1008,0)+8)</x:f>
      </x:c>
    </x:row>
    <x:row r="385" ht="36" customHeight="1">
      <x:c r="A385" s="50" t="str">
        <x:f>IF(377&gt;$H$4,"",IF(INDEX('Fleet dates'!$A$9:$A$1008,$I385-8)="","",INDEX('Fleet dates'!$A$9:$A$1008,$I385-8)))</x:f>
      </x:c>
      <x:c r="B385" s="50" t="str">
        <x:f>IF(377&gt;$H$4,"",IF(INDEX('Fleet dates'!$B$9:$B$1008,$I385-8)="","",INDEX('Fleet dates'!$B$9:$B$1008,$I385-8)))</x:f>
      </x:c>
      <x:c r="C385" s="51" t="str">
        <x:f>IF(377&gt;$H$4,"",IF(INDEX('Fleet dates'!$C$9:$C$1008,$I385-8)="","",INDEX('Fleet dates'!$C$9:$C$1008,$I385-8)))</x:f>
      </x:c>
      <x:c r="D385" s="51" t="str">
        <x:f>IF(377&gt;$H$4,"",IF(INDEX('Fleet dates'!$D$9:$D$1008,$I385-8)="","",INDEX('Fleet dates'!$D$9:$D$1008,$I385-8)))</x:f>
      </x:c>
      <x:c r="E385" s="51" t="str">
        <x:f>IF(377&gt;$H$4,"",IF(INDEX('Fleet dates'!$E$9:$E$1008,$I385-8)="","",INDEX('Fleet dates'!$E$9:$E$1008,$I385-8)))</x:f>
      </x:c>
      <x:c r="F385" s="51" t="str">
        <x:f>IF(377&gt;$H$4,"",IF(INDEX('Fleet dates'!$F$9:$F$1008,$I385-8)="","",INDEX('Fleet dates'!$F$9:$F$1008,$I385-8)))</x:f>
      </x:c>
      <x:c r="G385" s="50" t="str">
        <x:f>IF(377&gt;$H$4,"",IF(INDEX('Fleet dates'!$G$9:$G$1008,$I385-8)="","",INDEX('Fleet dates'!$G$9:$G$1008,$I385-8)))</x:f>
      </x:c>
      <x:c r="H385" s="50" t="str">
        <x:f>IF(377&gt;$H$4,"",IF(INDEX('Fleet dates'!$I$9:$I$1008,$I385-8)="","",INDEX('Fleet dates'!$I$9:$I$1008,$I385-8)))</x:f>
      </x:c>
      <x:c r="I385" t="str">
        <x:f>IF(377&gt;$H$4,"",MATCH(377,'Fleet dates'!$M$9:$M$1008,0)+8)</x:f>
      </x:c>
    </x:row>
    <x:row r="386" ht="36" customHeight="1">
      <x:c r="A386" s="50" t="str">
        <x:f>IF(378&gt;$H$4,"",IF(INDEX('Fleet dates'!$A$9:$A$1008,$I386-8)="","",INDEX('Fleet dates'!$A$9:$A$1008,$I386-8)))</x:f>
      </x:c>
      <x:c r="B386" s="50" t="str">
        <x:f>IF(378&gt;$H$4,"",IF(INDEX('Fleet dates'!$B$9:$B$1008,$I386-8)="","",INDEX('Fleet dates'!$B$9:$B$1008,$I386-8)))</x:f>
      </x:c>
      <x:c r="C386" s="51" t="str">
        <x:f>IF(378&gt;$H$4,"",IF(INDEX('Fleet dates'!$C$9:$C$1008,$I386-8)="","",INDEX('Fleet dates'!$C$9:$C$1008,$I386-8)))</x:f>
      </x:c>
      <x:c r="D386" s="51" t="str">
        <x:f>IF(378&gt;$H$4,"",IF(INDEX('Fleet dates'!$D$9:$D$1008,$I386-8)="","",INDEX('Fleet dates'!$D$9:$D$1008,$I386-8)))</x:f>
      </x:c>
      <x:c r="E386" s="51" t="str">
        <x:f>IF(378&gt;$H$4,"",IF(INDEX('Fleet dates'!$E$9:$E$1008,$I386-8)="","",INDEX('Fleet dates'!$E$9:$E$1008,$I386-8)))</x:f>
      </x:c>
      <x:c r="F386" s="51" t="str">
        <x:f>IF(378&gt;$H$4,"",IF(INDEX('Fleet dates'!$F$9:$F$1008,$I386-8)="","",INDEX('Fleet dates'!$F$9:$F$1008,$I386-8)))</x:f>
      </x:c>
      <x:c r="G386" s="50" t="str">
        <x:f>IF(378&gt;$H$4,"",IF(INDEX('Fleet dates'!$G$9:$G$1008,$I386-8)="","",INDEX('Fleet dates'!$G$9:$G$1008,$I386-8)))</x:f>
      </x:c>
      <x:c r="H386" s="50" t="str">
        <x:f>IF(378&gt;$H$4,"",IF(INDEX('Fleet dates'!$I$9:$I$1008,$I386-8)="","",INDEX('Fleet dates'!$I$9:$I$1008,$I386-8)))</x:f>
      </x:c>
      <x:c r="I386" t="str">
        <x:f>IF(378&gt;$H$4,"",MATCH(378,'Fleet dates'!$M$9:$M$1008,0)+8)</x:f>
      </x:c>
    </x:row>
    <x:row r="387" ht="36" customHeight="1">
      <x:c r="A387" s="50" t="str">
        <x:f>IF(379&gt;$H$4,"",IF(INDEX('Fleet dates'!$A$9:$A$1008,$I387-8)="","",INDEX('Fleet dates'!$A$9:$A$1008,$I387-8)))</x:f>
      </x:c>
      <x:c r="B387" s="50" t="str">
        <x:f>IF(379&gt;$H$4,"",IF(INDEX('Fleet dates'!$B$9:$B$1008,$I387-8)="","",INDEX('Fleet dates'!$B$9:$B$1008,$I387-8)))</x:f>
      </x:c>
      <x:c r="C387" s="51" t="str">
        <x:f>IF(379&gt;$H$4,"",IF(INDEX('Fleet dates'!$C$9:$C$1008,$I387-8)="","",INDEX('Fleet dates'!$C$9:$C$1008,$I387-8)))</x:f>
      </x:c>
      <x:c r="D387" s="51" t="str">
        <x:f>IF(379&gt;$H$4,"",IF(INDEX('Fleet dates'!$D$9:$D$1008,$I387-8)="","",INDEX('Fleet dates'!$D$9:$D$1008,$I387-8)))</x:f>
      </x:c>
      <x:c r="E387" s="51" t="str">
        <x:f>IF(379&gt;$H$4,"",IF(INDEX('Fleet dates'!$E$9:$E$1008,$I387-8)="","",INDEX('Fleet dates'!$E$9:$E$1008,$I387-8)))</x:f>
      </x:c>
      <x:c r="F387" s="51" t="str">
        <x:f>IF(379&gt;$H$4,"",IF(INDEX('Fleet dates'!$F$9:$F$1008,$I387-8)="","",INDEX('Fleet dates'!$F$9:$F$1008,$I387-8)))</x:f>
      </x:c>
      <x:c r="G387" s="50" t="str">
        <x:f>IF(379&gt;$H$4,"",IF(INDEX('Fleet dates'!$G$9:$G$1008,$I387-8)="","",INDEX('Fleet dates'!$G$9:$G$1008,$I387-8)))</x:f>
      </x:c>
      <x:c r="H387" s="50" t="str">
        <x:f>IF(379&gt;$H$4,"",IF(INDEX('Fleet dates'!$I$9:$I$1008,$I387-8)="","",INDEX('Fleet dates'!$I$9:$I$1008,$I387-8)))</x:f>
      </x:c>
      <x:c r="I387" t="str">
        <x:f>IF(379&gt;$H$4,"",MATCH(379,'Fleet dates'!$M$9:$M$1008,0)+8)</x:f>
      </x:c>
    </x:row>
    <x:row r="388" ht="36" customHeight="1">
      <x:c r="A388" s="50" t="str">
        <x:f>IF(380&gt;$H$4,"",IF(INDEX('Fleet dates'!$A$9:$A$1008,$I388-8)="","",INDEX('Fleet dates'!$A$9:$A$1008,$I388-8)))</x:f>
      </x:c>
      <x:c r="B388" s="50" t="str">
        <x:f>IF(380&gt;$H$4,"",IF(INDEX('Fleet dates'!$B$9:$B$1008,$I388-8)="","",INDEX('Fleet dates'!$B$9:$B$1008,$I388-8)))</x:f>
      </x:c>
      <x:c r="C388" s="51" t="str">
        <x:f>IF(380&gt;$H$4,"",IF(INDEX('Fleet dates'!$C$9:$C$1008,$I388-8)="","",INDEX('Fleet dates'!$C$9:$C$1008,$I388-8)))</x:f>
      </x:c>
      <x:c r="D388" s="51" t="str">
        <x:f>IF(380&gt;$H$4,"",IF(INDEX('Fleet dates'!$D$9:$D$1008,$I388-8)="","",INDEX('Fleet dates'!$D$9:$D$1008,$I388-8)))</x:f>
      </x:c>
      <x:c r="E388" s="51" t="str">
        <x:f>IF(380&gt;$H$4,"",IF(INDEX('Fleet dates'!$E$9:$E$1008,$I388-8)="","",INDEX('Fleet dates'!$E$9:$E$1008,$I388-8)))</x:f>
      </x:c>
      <x:c r="F388" s="51" t="str">
        <x:f>IF(380&gt;$H$4,"",IF(INDEX('Fleet dates'!$F$9:$F$1008,$I388-8)="","",INDEX('Fleet dates'!$F$9:$F$1008,$I388-8)))</x:f>
      </x:c>
      <x:c r="G388" s="50" t="str">
        <x:f>IF(380&gt;$H$4,"",IF(INDEX('Fleet dates'!$G$9:$G$1008,$I388-8)="","",INDEX('Fleet dates'!$G$9:$G$1008,$I388-8)))</x:f>
      </x:c>
      <x:c r="H388" s="50" t="str">
        <x:f>IF(380&gt;$H$4,"",IF(INDEX('Fleet dates'!$I$9:$I$1008,$I388-8)="","",INDEX('Fleet dates'!$I$9:$I$1008,$I388-8)))</x:f>
      </x:c>
      <x:c r="I388" t="str">
        <x:f>IF(380&gt;$H$4,"",MATCH(380,'Fleet dates'!$M$9:$M$1008,0)+8)</x:f>
      </x:c>
    </x:row>
    <x:row r="389" ht="36" customHeight="1">
      <x:c r="A389" s="50" t="str">
        <x:f>IF(381&gt;$H$4,"",IF(INDEX('Fleet dates'!$A$9:$A$1008,$I389-8)="","",INDEX('Fleet dates'!$A$9:$A$1008,$I389-8)))</x:f>
      </x:c>
      <x:c r="B389" s="50" t="str">
        <x:f>IF(381&gt;$H$4,"",IF(INDEX('Fleet dates'!$B$9:$B$1008,$I389-8)="","",INDEX('Fleet dates'!$B$9:$B$1008,$I389-8)))</x:f>
      </x:c>
      <x:c r="C389" s="51" t="str">
        <x:f>IF(381&gt;$H$4,"",IF(INDEX('Fleet dates'!$C$9:$C$1008,$I389-8)="","",INDEX('Fleet dates'!$C$9:$C$1008,$I389-8)))</x:f>
      </x:c>
      <x:c r="D389" s="51" t="str">
        <x:f>IF(381&gt;$H$4,"",IF(INDEX('Fleet dates'!$D$9:$D$1008,$I389-8)="","",INDEX('Fleet dates'!$D$9:$D$1008,$I389-8)))</x:f>
      </x:c>
      <x:c r="E389" s="51" t="str">
        <x:f>IF(381&gt;$H$4,"",IF(INDEX('Fleet dates'!$E$9:$E$1008,$I389-8)="","",INDEX('Fleet dates'!$E$9:$E$1008,$I389-8)))</x:f>
      </x:c>
      <x:c r="F389" s="51" t="str">
        <x:f>IF(381&gt;$H$4,"",IF(INDEX('Fleet dates'!$F$9:$F$1008,$I389-8)="","",INDEX('Fleet dates'!$F$9:$F$1008,$I389-8)))</x:f>
      </x:c>
      <x:c r="G389" s="50" t="str">
        <x:f>IF(381&gt;$H$4,"",IF(INDEX('Fleet dates'!$G$9:$G$1008,$I389-8)="","",INDEX('Fleet dates'!$G$9:$G$1008,$I389-8)))</x:f>
      </x:c>
      <x:c r="H389" s="50" t="str">
        <x:f>IF(381&gt;$H$4,"",IF(INDEX('Fleet dates'!$I$9:$I$1008,$I389-8)="","",INDEX('Fleet dates'!$I$9:$I$1008,$I389-8)))</x:f>
      </x:c>
      <x:c r="I389" t="str">
        <x:f>IF(381&gt;$H$4,"",MATCH(381,'Fleet dates'!$M$9:$M$1008,0)+8)</x:f>
      </x:c>
    </x:row>
    <x:row r="390" ht="36" customHeight="1">
      <x:c r="A390" s="50" t="str">
        <x:f>IF(382&gt;$H$4,"",IF(INDEX('Fleet dates'!$A$9:$A$1008,$I390-8)="","",INDEX('Fleet dates'!$A$9:$A$1008,$I390-8)))</x:f>
      </x:c>
      <x:c r="B390" s="50" t="str">
        <x:f>IF(382&gt;$H$4,"",IF(INDEX('Fleet dates'!$B$9:$B$1008,$I390-8)="","",INDEX('Fleet dates'!$B$9:$B$1008,$I390-8)))</x:f>
      </x:c>
      <x:c r="C390" s="51" t="str">
        <x:f>IF(382&gt;$H$4,"",IF(INDEX('Fleet dates'!$C$9:$C$1008,$I390-8)="","",INDEX('Fleet dates'!$C$9:$C$1008,$I390-8)))</x:f>
      </x:c>
      <x:c r="D390" s="51" t="str">
        <x:f>IF(382&gt;$H$4,"",IF(INDEX('Fleet dates'!$D$9:$D$1008,$I390-8)="","",INDEX('Fleet dates'!$D$9:$D$1008,$I390-8)))</x:f>
      </x:c>
      <x:c r="E390" s="51" t="str">
        <x:f>IF(382&gt;$H$4,"",IF(INDEX('Fleet dates'!$E$9:$E$1008,$I390-8)="","",INDEX('Fleet dates'!$E$9:$E$1008,$I390-8)))</x:f>
      </x:c>
      <x:c r="F390" s="51" t="str">
        <x:f>IF(382&gt;$H$4,"",IF(INDEX('Fleet dates'!$F$9:$F$1008,$I390-8)="","",INDEX('Fleet dates'!$F$9:$F$1008,$I390-8)))</x:f>
      </x:c>
      <x:c r="G390" s="50" t="str">
        <x:f>IF(382&gt;$H$4,"",IF(INDEX('Fleet dates'!$G$9:$G$1008,$I390-8)="","",INDEX('Fleet dates'!$G$9:$G$1008,$I390-8)))</x:f>
      </x:c>
      <x:c r="H390" s="50" t="str">
        <x:f>IF(382&gt;$H$4,"",IF(INDEX('Fleet dates'!$I$9:$I$1008,$I390-8)="","",INDEX('Fleet dates'!$I$9:$I$1008,$I390-8)))</x:f>
      </x:c>
      <x:c r="I390" t="str">
        <x:f>IF(382&gt;$H$4,"",MATCH(382,'Fleet dates'!$M$9:$M$1008,0)+8)</x:f>
      </x:c>
    </x:row>
    <x:row r="391" ht="36" customHeight="1">
      <x:c r="A391" s="50" t="str">
        <x:f>IF(383&gt;$H$4,"",IF(INDEX('Fleet dates'!$A$9:$A$1008,$I391-8)="","",INDEX('Fleet dates'!$A$9:$A$1008,$I391-8)))</x:f>
      </x:c>
      <x:c r="B391" s="50" t="str">
        <x:f>IF(383&gt;$H$4,"",IF(INDEX('Fleet dates'!$B$9:$B$1008,$I391-8)="","",INDEX('Fleet dates'!$B$9:$B$1008,$I391-8)))</x:f>
      </x:c>
      <x:c r="C391" s="51" t="str">
        <x:f>IF(383&gt;$H$4,"",IF(INDEX('Fleet dates'!$C$9:$C$1008,$I391-8)="","",INDEX('Fleet dates'!$C$9:$C$1008,$I391-8)))</x:f>
      </x:c>
      <x:c r="D391" s="51" t="str">
        <x:f>IF(383&gt;$H$4,"",IF(INDEX('Fleet dates'!$D$9:$D$1008,$I391-8)="","",INDEX('Fleet dates'!$D$9:$D$1008,$I391-8)))</x:f>
      </x:c>
      <x:c r="E391" s="51" t="str">
        <x:f>IF(383&gt;$H$4,"",IF(INDEX('Fleet dates'!$E$9:$E$1008,$I391-8)="","",INDEX('Fleet dates'!$E$9:$E$1008,$I391-8)))</x:f>
      </x:c>
      <x:c r="F391" s="51" t="str">
        <x:f>IF(383&gt;$H$4,"",IF(INDEX('Fleet dates'!$F$9:$F$1008,$I391-8)="","",INDEX('Fleet dates'!$F$9:$F$1008,$I391-8)))</x:f>
      </x:c>
      <x:c r="G391" s="50" t="str">
        <x:f>IF(383&gt;$H$4,"",IF(INDEX('Fleet dates'!$G$9:$G$1008,$I391-8)="","",INDEX('Fleet dates'!$G$9:$G$1008,$I391-8)))</x:f>
      </x:c>
      <x:c r="H391" s="50" t="str">
        <x:f>IF(383&gt;$H$4,"",IF(INDEX('Fleet dates'!$I$9:$I$1008,$I391-8)="","",INDEX('Fleet dates'!$I$9:$I$1008,$I391-8)))</x:f>
      </x:c>
      <x:c r="I391" t="str">
        <x:f>IF(383&gt;$H$4,"",MATCH(383,'Fleet dates'!$M$9:$M$1008,0)+8)</x:f>
      </x:c>
    </x:row>
    <x:row r="392" ht="36" customHeight="1">
      <x:c r="A392" s="50" t="str">
        <x:f>IF(384&gt;$H$4,"",IF(INDEX('Fleet dates'!$A$9:$A$1008,$I392-8)="","",INDEX('Fleet dates'!$A$9:$A$1008,$I392-8)))</x:f>
      </x:c>
      <x:c r="B392" s="50" t="str">
        <x:f>IF(384&gt;$H$4,"",IF(INDEX('Fleet dates'!$B$9:$B$1008,$I392-8)="","",INDEX('Fleet dates'!$B$9:$B$1008,$I392-8)))</x:f>
      </x:c>
      <x:c r="C392" s="51" t="str">
        <x:f>IF(384&gt;$H$4,"",IF(INDEX('Fleet dates'!$C$9:$C$1008,$I392-8)="","",INDEX('Fleet dates'!$C$9:$C$1008,$I392-8)))</x:f>
      </x:c>
      <x:c r="D392" s="51" t="str">
        <x:f>IF(384&gt;$H$4,"",IF(INDEX('Fleet dates'!$D$9:$D$1008,$I392-8)="","",INDEX('Fleet dates'!$D$9:$D$1008,$I392-8)))</x:f>
      </x:c>
      <x:c r="E392" s="51" t="str">
        <x:f>IF(384&gt;$H$4,"",IF(INDEX('Fleet dates'!$E$9:$E$1008,$I392-8)="","",INDEX('Fleet dates'!$E$9:$E$1008,$I392-8)))</x:f>
      </x:c>
      <x:c r="F392" s="51" t="str">
        <x:f>IF(384&gt;$H$4,"",IF(INDEX('Fleet dates'!$F$9:$F$1008,$I392-8)="","",INDEX('Fleet dates'!$F$9:$F$1008,$I392-8)))</x:f>
      </x:c>
      <x:c r="G392" s="50" t="str">
        <x:f>IF(384&gt;$H$4,"",IF(INDEX('Fleet dates'!$G$9:$G$1008,$I392-8)="","",INDEX('Fleet dates'!$G$9:$G$1008,$I392-8)))</x:f>
      </x:c>
      <x:c r="H392" s="50" t="str">
        <x:f>IF(384&gt;$H$4,"",IF(INDEX('Fleet dates'!$I$9:$I$1008,$I392-8)="","",INDEX('Fleet dates'!$I$9:$I$1008,$I392-8)))</x:f>
      </x:c>
      <x:c r="I392" t="str">
        <x:f>IF(384&gt;$H$4,"",MATCH(384,'Fleet dates'!$M$9:$M$1008,0)+8)</x:f>
      </x:c>
    </x:row>
    <x:row r="393" ht="36" customHeight="1">
      <x:c r="A393" s="50" t="str">
        <x:f>IF(385&gt;$H$4,"",IF(INDEX('Fleet dates'!$A$9:$A$1008,$I393-8)="","",INDEX('Fleet dates'!$A$9:$A$1008,$I393-8)))</x:f>
      </x:c>
      <x:c r="B393" s="50" t="str">
        <x:f>IF(385&gt;$H$4,"",IF(INDEX('Fleet dates'!$B$9:$B$1008,$I393-8)="","",INDEX('Fleet dates'!$B$9:$B$1008,$I393-8)))</x:f>
      </x:c>
      <x:c r="C393" s="51" t="str">
        <x:f>IF(385&gt;$H$4,"",IF(INDEX('Fleet dates'!$C$9:$C$1008,$I393-8)="","",INDEX('Fleet dates'!$C$9:$C$1008,$I393-8)))</x:f>
      </x:c>
      <x:c r="D393" s="51" t="str">
        <x:f>IF(385&gt;$H$4,"",IF(INDEX('Fleet dates'!$D$9:$D$1008,$I393-8)="","",INDEX('Fleet dates'!$D$9:$D$1008,$I393-8)))</x:f>
      </x:c>
      <x:c r="E393" s="51" t="str">
        <x:f>IF(385&gt;$H$4,"",IF(INDEX('Fleet dates'!$E$9:$E$1008,$I393-8)="","",INDEX('Fleet dates'!$E$9:$E$1008,$I393-8)))</x:f>
      </x:c>
      <x:c r="F393" s="51" t="str">
        <x:f>IF(385&gt;$H$4,"",IF(INDEX('Fleet dates'!$F$9:$F$1008,$I393-8)="","",INDEX('Fleet dates'!$F$9:$F$1008,$I393-8)))</x:f>
      </x:c>
      <x:c r="G393" s="50" t="str">
        <x:f>IF(385&gt;$H$4,"",IF(INDEX('Fleet dates'!$G$9:$G$1008,$I393-8)="","",INDEX('Fleet dates'!$G$9:$G$1008,$I393-8)))</x:f>
      </x:c>
      <x:c r="H393" s="50" t="str">
        <x:f>IF(385&gt;$H$4,"",IF(INDEX('Fleet dates'!$I$9:$I$1008,$I393-8)="","",INDEX('Fleet dates'!$I$9:$I$1008,$I393-8)))</x:f>
      </x:c>
      <x:c r="I393" t="str">
        <x:f>IF(385&gt;$H$4,"",MATCH(385,'Fleet dates'!$M$9:$M$1008,0)+8)</x:f>
      </x:c>
    </x:row>
    <x:row r="394" ht="36" customHeight="1">
      <x:c r="A394" s="50" t="str">
        <x:f>IF(386&gt;$H$4,"",IF(INDEX('Fleet dates'!$A$9:$A$1008,$I394-8)="","",INDEX('Fleet dates'!$A$9:$A$1008,$I394-8)))</x:f>
      </x:c>
      <x:c r="B394" s="50" t="str">
        <x:f>IF(386&gt;$H$4,"",IF(INDEX('Fleet dates'!$B$9:$B$1008,$I394-8)="","",INDEX('Fleet dates'!$B$9:$B$1008,$I394-8)))</x:f>
      </x:c>
      <x:c r="C394" s="51" t="str">
        <x:f>IF(386&gt;$H$4,"",IF(INDEX('Fleet dates'!$C$9:$C$1008,$I394-8)="","",INDEX('Fleet dates'!$C$9:$C$1008,$I394-8)))</x:f>
      </x:c>
      <x:c r="D394" s="51" t="str">
        <x:f>IF(386&gt;$H$4,"",IF(INDEX('Fleet dates'!$D$9:$D$1008,$I394-8)="","",INDEX('Fleet dates'!$D$9:$D$1008,$I394-8)))</x:f>
      </x:c>
      <x:c r="E394" s="51" t="str">
        <x:f>IF(386&gt;$H$4,"",IF(INDEX('Fleet dates'!$E$9:$E$1008,$I394-8)="","",INDEX('Fleet dates'!$E$9:$E$1008,$I394-8)))</x:f>
      </x:c>
      <x:c r="F394" s="51" t="str">
        <x:f>IF(386&gt;$H$4,"",IF(INDEX('Fleet dates'!$F$9:$F$1008,$I394-8)="","",INDEX('Fleet dates'!$F$9:$F$1008,$I394-8)))</x:f>
      </x:c>
      <x:c r="G394" s="50" t="str">
        <x:f>IF(386&gt;$H$4,"",IF(INDEX('Fleet dates'!$G$9:$G$1008,$I394-8)="","",INDEX('Fleet dates'!$G$9:$G$1008,$I394-8)))</x:f>
      </x:c>
      <x:c r="H394" s="50" t="str">
        <x:f>IF(386&gt;$H$4,"",IF(INDEX('Fleet dates'!$I$9:$I$1008,$I394-8)="","",INDEX('Fleet dates'!$I$9:$I$1008,$I394-8)))</x:f>
      </x:c>
      <x:c r="I394" t="str">
        <x:f>IF(386&gt;$H$4,"",MATCH(386,'Fleet dates'!$M$9:$M$1008,0)+8)</x:f>
      </x:c>
    </x:row>
    <x:row r="395" ht="36" customHeight="1">
      <x:c r="A395" s="50" t="str">
        <x:f>IF(387&gt;$H$4,"",IF(INDEX('Fleet dates'!$A$9:$A$1008,$I395-8)="","",INDEX('Fleet dates'!$A$9:$A$1008,$I395-8)))</x:f>
      </x:c>
      <x:c r="B395" s="50" t="str">
        <x:f>IF(387&gt;$H$4,"",IF(INDEX('Fleet dates'!$B$9:$B$1008,$I395-8)="","",INDEX('Fleet dates'!$B$9:$B$1008,$I395-8)))</x:f>
      </x:c>
      <x:c r="C395" s="51" t="str">
        <x:f>IF(387&gt;$H$4,"",IF(INDEX('Fleet dates'!$C$9:$C$1008,$I395-8)="","",INDEX('Fleet dates'!$C$9:$C$1008,$I395-8)))</x:f>
      </x:c>
      <x:c r="D395" s="51" t="str">
        <x:f>IF(387&gt;$H$4,"",IF(INDEX('Fleet dates'!$D$9:$D$1008,$I395-8)="","",INDEX('Fleet dates'!$D$9:$D$1008,$I395-8)))</x:f>
      </x:c>
      <x:c r="E395" s="51" t="str">
        <x:f>IF(387&gt;$H$4,"",IF(INDEX('Fleet dates'!$E$9:$E$1008,$I395-8)="","",INDEX('Fleet dates'!$E$9:$E$1008,$I395-8)))</x:f>
      </x:c>
      <x:c r="F395" s="51" t="str">
        <x:f>IF(387&gt;$H$4,"",IF(INDEX('Fleet dates'!$F$9:$F$1008,$I395-8)="","",INDEX('Fleet dates'!$F$9:$F$1008,$I395-8)))</x:f>
      </x:c>
      <x:c r="G395" s="50" t="str">
        <x:f>IF(387&gt;$H$4,"",IF(INDEX('Fleet dates'!$G$9:$G$1008,$I395-8)="","",INDEX('Fleet dates'!$G$9:$G$1008,$I395-8)))</x:f>
      </x:c>
      <x:c r="H395" s="50" t="str">
        <x:f>IF(387&gt;$H$4,"",IF(INDEX('Fleet dates'!$I$9:$I$1008,$I395-8)="","",INDEX('Fleet dates'!$I$9:$I$1008,$I395-8)))</x:f>
      </x:c>
      <x:c r="I395" t="str">
        <x:f>IF(387&gt;$H$4,"",MATCH(387,'Fleet dates'!$M$9:$M$1008,0)+8)</x:f>
      </x:c>
    </x:row>
    <x:row r="396" ht="36" customHeight="1">
      <x:c r="A396" s="50" t="str">
        <x:f>IF(388&gt;$H$4,"",IF(INDEX('Fleet dates'!$A$9:$A$1008,$I396-8)="","",INDEX('Fleet dates'!$A$9:$A$1008,$I396-8)))</x:f>
      </x:c>
      <x:c r="B396" s="50" t="str">
        <x:f>IF(388&gt;$H$4,"",IF(INDEX('Fleet dates'!$B$9:$B$1008,$I396-8)="","",INDEX('Fleet dates'!$B$9:$B$1008,$I396-8)))</x:f>
      </x:c>
      <x:c r="C396" s="51" t="str">
        <x:f>IF(388&gt;$H$4,"",IF(INDEX('Fleet dates'!$C$9:$C$1008,$I396-8)="","",INDEX('Fleet dates'!$C$9:$C$1008,$I396-8)))</x:f>
      </x:c>
      <x:c r="D396" s="51" t="str">
        <x:f>IF(388&gt;$H$4,"",IF(INDEX('Fleet dates'!$D$9:$D$1008,$I396-8)="","",INDEX('Fleet dates'!$D$9:$D$1008,$I396-8)))</x:f>
      </x:c>
      <x:c r="E396" s="51" t="str">
        <x:f>IF(388&gt;$H$4,"",IF(INDEX('Fleet dates'!$E$9:$E$1008,$I396-8)="","",INDEX('Fleet dates'!$E$9:$E$1008,$I396-8)))</x:f>
      </x:c>
      <x:c r="F396" s="51" t="str">
        <x:f>IF(388&gt;$H$4,"",IF(INDEX('Fleet dates'!$F$9:$F$1008,$I396-8)="","",INDEX('Fleet dates'!$F$9:$F$1008,$I396-8)))</x:f>
      </x:c>
      <x:c r="G396" s="50" t="str">
        <x:f>IF(388&gt;$H$4,"",IF(INDEX('Fleet dates'!$G$9:$G$1008,$I396-8)="","",INDEX('Fleet dates'!$G$9:$G$1008,$I396-8)))</x:f>
      </x:c>
      <x:c r="H396" s="50" t="str">
        <x:f>IF(388&gt;$H$4,"",IF(INDEX('Fleet dates'!$I$9:$I$1008,$I396-8)="","",INDEX('Fleet dates'!$I$9:$I$1008,$I396-8)))</x:f>
      </x:c>
      <x:c r="I396" t="str">
        <x:f>IF(388&gt;$H$4,"",MATCH(388,'Fleet dates'!$M$9:$M$1008,0)+8)</x:f>
      </x:c>
    </x:row>
    <x:row r="397" ht="36" customHeight="1">
      <x:c r="A397" s="50" t="str">
        <x:f>IF(389&gt;$H$4,"",IF(INDEX('Fleet dates'!$A$9:$A$1008,$I397-8)="","",INDEX('Fleet dates'!$A$9:$A$1008,$I397-8)))</x:f>
      </x:c>
      <x:c r="B397" s="50" t="str">
        <x:f>IF(389&gt;$H$4,"",IF(INDEX('Fleet dates'!$B$9:$B$1008,$I397-8)="","",INDEX('Fleet dates'!$B$9:$B$1008,$I397-8)))</x:f>
      </x:c>
      <x:c r="C397" s="51" t="str">
        <x:f>IF(389&gt;$H$4,"",IF(INDEX('Fleet dates'!$C$9:$C$1008,$I397-8)="","",INDEX('Fleet dates'!$C$9:$C$1008,$I397-8)))</x:f>
      </x:c>
      <x:c r="D397" s="51" t="str">
        <x:f>IF(389&gt;$H$4,"",IF(INDEX('Fleet dates'!$D$9:$D$1008,$I397-8)="","",INDEX('Fleet dates'!$D$9:$D$1008,$I397-8)))</x:f>
      </x:c>
      <x:c r="E397" s="51" t="str">
        <x:f>IF(389&gt;$H$4,"",IF(INDEX('Fleet dates'!$E$9:$E$1008,$I397-8)="","",INDEX('Fleet dates'!$E$9:$E$1008,$I397-8)))</x:f>
      </x:c>
      <x:c r="F397" s="51" t="str">
        <x:f>IF(389&gt;$H$4,"",IF(INDEX('Fleet dates'!$F$9:$F$1008,$I397-8)="","",INDEX('Fleet dates'!$F$9:$F$1008,$I397-8)))</x:f>
      </x:c>
      <x:c r="G397" s="50" t="str">
        <x:f>IF(389&gt;$H$4,"",IF(INDEX('Fleet dates'!$G$9:$G$1008,$I397-8)="","",INDEX('Fleet dates'!$G$9:$G$1008,$I397-8)))</x:f>
      </x:c>
      <x:c r="H397" s="50" t="str">
        <x:f>IF(389&gt;$H$4,"",IF(INDEX('Fleet dates'!$I$9:$I$1008,$I397-8)="","",INDEX('Fleet dates'!$I$9:$I$1008,$I397-8)))</x:f>
      </x:c>
      <x:c r="I397" t="str">
        <x:f>IF(389&gt;$H$4,"",MATCH(389,'Fleet dates'!$M$9:$M$1008,0)+8)</x:f>
      </x:c>
    </x:row>
    <x:row r="398" ht="36" customHeight="1">
      <x:c r="A398" s="50" t="str">
        <x:f>IF(390&gt;$H$4,"",IF(INDEX('Fleet dates'!$A$9:$A$1008,$I398-8)="","",INDEX('Fleet dates'!$A$9:$A$1008,$I398-8)))</x:f>
      </x:c>
      <x:c r="B398" s="50" t="str">
        <x:f>IF(390&gt;$H$4,"",IF(INDEX('Fleet dates'!$B$9:$B$1008,$I398-8)="","",INDEX('Fleet dates'!$B$9:$B$1008,$I398-8)))</x:f>
      </x:c>
      <x:c r="C398" s="51" t="str">
        <x:f>IF(390&gt;$H$4,"",IF(INDEX('Fleet dates'!$C$9:$C$1008,$I398-8)="","",INDEX('Fleet dates'!$C$9:$C$1008,$I398-8)))</x:f>
      </x:c>
      <x:c r="D398" s="51" t="str">
        <x:f>IF(390&gt;$H$4,"",IF(INDEX('Fleet dates'!$D$9:$D$1008,$I398-8)="","",INDEX('Fleet dates'!$D$9:$D$1008,$I398-8)))</x:f>
      </x:c>
      <x:c r="E398" s="51" t="str">
        <x:f>IF(390&gt;$H$4,"",IF(INDEX('Fleet dates'!$E$9:$E$1008,$I398-8)="","",INDEX('Fleet dates'!$E$9:$E$1008,$I398-8)))</x:f>
      </x:c>
      <x:c r="F398" s="51" t="str">
        <x:f>IF(390&gt;$H$4,"",IF(INDEX('Fleet dates'!$F$9:$F$1008,$I398-8)="","",INDEX('Fleet dates'!$F$9:$F$1008,$I398-8)))</x:f>
      </x:c>
      <x:c r="G398" s="50" t="str">
        <x:f>IF(390&gt;$H$4,"",IF(INDEX('Fleet dates'!$G$9:$G$1008,$I398-8)="","",INDEX('Fleet dates'!$G$9:$G$1008,$I398-8)))</x:f>
      </x:c>
      <x:c r="H398" s="50" t="str">
        <x:f>IF(390&gt;$H$4,"",IF(INDEX('Fleet dates'!$I$9:$I$1008,$I398-8)="","",INDEX('Fleet dates'!$I$9:$I$1008,$I398-8)))</x:f>
      </x:c>
      <x:c r="I398" t="str">
        <x:f>IF(390&gt;$H$4,"",MATCH(390,'Fleet dates'!$M$9:$M$1008,0)+8)</x:f>
      </x:c>
    </x:row>
    <x:row r="399" ht="36" customHeight="1">
      <x:c r="A399" s="50" t="str">
        <x:f>IF(391&gt;$H$4,"",IF(INDEX('Fleet dates'!$A$9:$A$1008,$I399-8)="","",INDEX('Fleet dates'!$A$9:$A$1008,$I399-8)))</x:f>
      </x:c>
      <x:c r="B399" s="50" t="str">
        <x:f>IF(391&gt;$H$4,"",IF(INDEX('Fleet dates'!$B$9:$B$1008,$I399-8)="","",INDEX('Fleet dates'!$B$9:$B$1008,$I399-8)))</x:f>
      </x:c>
      <x:c r="C399" s="51" t="str">
        <x:f>IF(391&gt;$H$4,"",IF(INDEX('Fleet dates'!$C$9:$C$1008,$I399-8)="","",INDEX('Fleet dates'!$C$9:$C$1008,$I399-8)))</x:f>
      </x:c>
      <x:c r="D399" s="51" t="str">
        <x:f>IF(391&gt;$H$4,"",IF(INDEX('Fleet dates'!$D$9:$D$1008,$I399-8)="","",INDEX('Fleet dates'!$D$9:$D$1008,$I399-8)))</x:f>
      </x:c>
      <x:c r="E399" s="51" t="str">
        <x:f>IF(391&gt;$H$4,"",IF(INDEX('Fleet dates'!$E$9:$E$1008,$I399-8)="","",INDEX('Fleet dates'!$E$9:$E$1008,$I399-8)))</x:f>
      </x:c>
      <x:c r="F399" s="51" t="str">
        <x:f>IF(391&gt;$H$4,"",IF(INDEX('Fleet dates'!$F$9:$F$1008,$I399-8)="","",INDEX('Fleet dates'!$F$9:$F$1008,$I399-8)))</x:f>
      </x:c>
      <x:c r="G399" s="50" t="str">
        <x:f>IF(391&gt;$H$4,"",IF(INDEX('Fleet dates'!$G$9:$G$1008,$I399-8)="","",INDEX('Fleet dates'!$G$9:$G$1008,$I399-8)))</x:f>
      </x:c>
      <x:c r="H399" s="50" t="str">
        <x:f>IF(391&gt;$H$4,"",IF(INDEX('Fleet dates'!$I$9:$I$1008,$I399-8)="","",INDEX('Fleet dates'!$I$9:$I$1008,$I399-8)))</x:f>
      </x:c>
      <x:c r="I399" t="str">
        <x:f>IF(391&gt;$H$4,"",MATCH(391,'Fleet dates'!$M$9:$M$1008,0)+8)</x:f>
      </x:c>
    </x:row>
    <x:row r="400" ht="36" customHeight="1">
      <x:c r="A400" s="50" t="str">
        <x:f>IF(392&gt;$H$4,"",IF(INDEX('Fleet dates'!$A$9:$A$1008,$I400-8)="","",INDEX('Fleet dates'!$A$9:$A$1008,$I400-8)))</x:f>
      </x:c>
      <x:c r="B400" s="50" t="str">
        <x:f>IF(392&gt;$H$4,"",IF(INDEX('Fleet dates'!$B$9:$B$1008,$I400-8)="","",INDEX('Fleet dates'!$B$9:$B$1008,$I400-8)))</x:f>
      </x:c>
      <x:c r="C400" s="51" t="str">
        <x:f>IF(392&gt;$H$4,"",IF(INDEX('Fleet dates'!$C$9:$C$1008,$I400-8)="","",INDEX('Fleet dates'!$C$9:$C$1008,$I400-8)))</x:f>
      </x:c>
      <x:c r="D400" s="51" t="str">
        <x:f>IF(392&gt;$H$4,"",IF(INDEX('Fleet dates'!$D$9:$D$1008,$I400-8)="","",INDEX('Fleet dates'!$D$9:$D$1008,$I400-8)))</x:f>
      </x:c>
      <x:c r="E400" s="51" t="str">
        <x:f>IF(392&gt;$H$4,"",IF(INDEX('Fleet dates'!$E$9:$E$1008,$I400-8)="","",INDEX('Fleet dates'!$E$9:$E$1008,$I400-8)))</x:f>
      </x:c>
      <x:c r="F400" s="51" t="str">
        <x:f>IF(392&gt;$H$4,"",IF(INDEX('Fleet dates'!$F$9:$F$1008,$I400-8)="","",INDEX('Fleet dates'!$F$9:$F$1008,$I400-8)))</x:f>
      </x:c>
      <x:c r="G400" s="50" t="str">
        <x:f>IF(392&gt;$H$4,"",IF(INDEX('Fleet dates'!$G$9:$G$1008,$I400-8)="","",INDEX('Fleet dates'!$G$9:$G$1008,$I400-8)))</x:f>
      </x:c>
      <x:c r="H400" s="50" t="str">
        <x:f>IF(392&gt;$H$4,"",IF(INDEX('Fleet dates'!$I$9:$I$1008,$I400-8)="","",INDEX('Fleet dates'!$I$9:$I$1008,$I400-8)))</x:f>
      </x:c>
      <x:c r="I400" t="str">
        <x:f>IF(392&gt;$H$4,"",MATCH(392,'Fleet dates'!$M$9:$M$1008,0)+8)</x:f>
      </x:c>
    </x:row>
    <x:row r="401" ht="36" customHeight="1">
      <x:c r="A401" s="50" t="str">
        <x:f>IF(393&gt;$H$4,"",IF(INDEX('Fleet dates'!$A$9:$A$1008,$I401-8)="","",INDEX('Fleet dates'!$A$9:$A$1008,$I401-8)))</x:f>
      </x:c>
      <x:c r="B401" s="50" t="str">
        <x:f>IF(393&gt;$H$4,"",IF(INDEX('Fleet dates'!$B$9:$B$1008,$I401-8)="","",INDEX('Fleet dates'!$B$9:$B$1008,$I401-8)))</x:f>
      </x:c>
      <x:c r="C401" s="51" t="str">
        <x:f>IF(393&gt;$H$4,"",IF(INDEX('Fleet dates'!$C$9:$C$1008,$I401-8)="","",INDEX('Fleet dates'!$C$9:$C$1008,$I401-8)))</x:f>
      </x:c>
      <x:c r="D401" s="51" t="str">
        <x:f>IF(393&gt;$H$4,"",IF(INDEX('Fleet dates'!$D$9:$D$1008,$I401-8)="","",INDEX('Fleet dates'!$D$9:$D$1008,$I401-8)))</x:f>
      </x:c>
      <x:c r="E401" s="51" t="str">
        <x:f>IF(393&gt;$H$4,"",IF(INDEX('Fleet dates'!$E$9:$E$1008,$I401-8)="","",INDEX('Fleet dates'!$E$9:$E$1008,$I401-8)))</x:f>
      </x:c>
      <x:c r="F401" s="51" t="str">
        <x:f>IF(393&gt;$H$4,"",IF(INDEX('Fleet dates'!$F$9:$F$1008,$I401-8)="","",INDEX('Fleet dates'!$F$9:$F$1008,$I401-8)))</x:f>
      </x:c>
      <x:c r="G401" s="50" t="str">
        <x:f>IF(393&gt;$H$4,"",IF(INDEX('Fleet dates'!$G$9:$G$1008,$I401-8)="","",INDEX('Fleet dates'!$G$9:$G$1008,$I401-8)))</x:f>
      </x:c>
      <x:c r="H401" s="50" t="str">
        <x:f>IF(393&gt;$H$4,"",IF(INDEX('Fleet dates'!$I$9:$I$1008,$I401-8)="","",INDEX('Fleet dates'!$I$9:$I$1008,$I401-8)))</x:f>
      </x:c>
      <x:c r="I401" t="str">
        <x:f>IF(393&gt;$H$4,"",MATCH(393,'Fleet dates'!$M$9:$M$1008,0)+8)</x:f>
      </x:c>
    </x:row>
    <x:row r="402" ht="36" customHeight="1">
      <x:c r="A402" s="50" t="str">
        <x:f>IF(394&gt;$H$4,"",IF(INDEX('Fleet dates'!$A$9:$A$1008,$I402-8)="","",INDEX('Fleet dates'!$A$9:$A$1008,$I402-8)))</x:f>
      </x:c>
      <x:c r="B402" s="50" t="str">
        <x:f>IF(394&gt;$H$4,"",IF(INDEX('Fleet dates'!$B$9:$B$1008,$I402-8)="","",INDEX('Fleet dates'!$B$9:$B$1008,$I402-8)))</x:f>
      </x:c>
      <x:c r="C402" s="51" t="str">
        <x:f>IF(394&gt;$H$4,"",IF(INDEX('Fleet dates'!$C$9:$C$1008,$I402-8)="","",INDEX('Fleet dates'!$C$9:$C$1008,$I402-8)))</x:f>
      </x:c>
      <x:c r="D402" s="51" t="str">
        <x:f>IF(394&gt;$H$4,"",IF(INDEX('Fleet dates'!$D$9:$D$1008,$I402-8)="","",INDEX('Fleet dates'!$D$9:$D$1008,$I402-8)))</x:f>
      </x:c>
      <x:c r="E402" s="51" t="str">
        <x:f>IF(394&gt;$H$4,"",IF(INDEX('Fleet dates'!$E$9:$E$1008,$I402-8)="","",INDEX('Fleet dates'!$E$9:$E$1008,$I402-8)))</x:f>
      </x:c>
      <x:c r="F402" s="51" t="str">
        <x:f>IF(394&gt;$H$4,"",IF(INDEX('Fleet dates'!$F$9:$F$1008,$I402-8)="","",INDEX('Fleet dates'!$F$9:$F$1008,$I402-8)))</x:f>
      </x:c>
      <x:c r="G402" s="50" t="str">
        <x:f>IF(394&gt;$H$4,"",IF(INDEX('Fleet dates'!$G$9:$G$1008,$I402-8)="","",INDEX('Fleet dates'!$G$9:$G$1008,$I402-8)))</x:f>
      </x:c>
      <x:c r="H402" s="50" t="str">
        <x:f>IF(394&gt;$H$4,"",IF(INDEX('Fleet dates'!$I$9:$I$1008,$I402-8)="","",INDEX('Fleet dates'!$I$9:$I$1008,$I402-8)))</x:f>
      </x:c>
      <x:c r="I402" t="str">
        <x:f>IF(394&gt;$H$4,"",MATCH(394,'Fleet dates'!$M$9:$M$1008,0)+8)</x:f>
      </x:c>
    </x:row>
    <x:row r="403" ht="36" customHeight="1">
      <x:c r="A403" s="50" t="str">
        <x:f>IF(395&gt;$H$4,"",IF(INDEX('Fleet dates'!$A$9:$A$1008,$I403-8)="","",INDEX('Fleet dates'!$A$9:$A$1008,$I403-8)))</x:f>
      </x:c>
      <x:c r="B403" s="50" t="str">
        <x:f>IF(395&gt;$H$4,"",IF(INDEX('Fleet dates'!$B$9:$B$1008,$I403-8)="","",INDEX('Fleet dates'!$B$9:$B$1008,$I403-8)))</x:f>
      </x:c>
      <x:c r="C403" s="51" t="str">
        <x:f>IF(395&gt;$H$4,"",IF(INDEX('Fleet dates'!$C$9:$C$1008,$I403-8)="","",INDEX('Fleet dates'!$C$9:$C$1008,$I403-8)))</x:f>
      </x:c>
      <x:c r="D403" s="51" t="str">
        <x:f>IF(395&gt;$H$4,"",IF(INDEX('Fleet dates'!$D$9:$D$1008,$I403-8)="","",INDEX('Fleet dates'!$D$9:$D$1008,$I403-8)))</x:f>
      </x:c>
      <x:c r="E403" s="51" t="str">
        <x:f>IF(395&gt;$H$4,"",IF(INDEX('Fleet dates'!$E$9:$E$1008,$I403-8)="","",INDEX('Fleet dates'!$E$9:$E$1008,$I403-8)))</x:f>
      </x:c>
      <x:c r="F403" s="51" t="str">
        <x:f>IF(395&gt;$H$4,"",IF(INDEX('Fleet dates'!$F$9:$F$1008,$I403-8)="","",INDEX('Fleet dates'!$F$9:$F$1008,$I403-8)))</x:f>
      </x:c>
      <x:c r="G403" s="50" t="str">
        <x:f>IF(395&gt;$H$4,"",IF(INDEX('Fleet dates'!$G$9:$G$1008,$I403-8)="","",INDEX('Fleet dates'!$G$9:$G$1008,$I403-8)))</x:f>
      </x:c>
      <x:c r="H403" s="50" t="str">
        <x:f>IF(395&gt;$H$4,"",IF(INDEX('Fleet dates'!$I$9:$I$1008,$I403-8)="","",INDEX('Fleet dates'!$I$9:$I$1008,$I403-8)))</x:f>
      </x:c>
      <x:c r="I403" t="str">
        <x:f>IF(395&gt;$H$4,"",MATCH(395,'Fleet dates'!$M$9:$M$1008,0)+8)</x:f>
      </x:c>
    </x:row>
    <x:row r="404" ht="36" customHeight="1">
      <x:c r="A404" s="50" t="str">
        <x:f>IF(396&gt;$H$4,"",IF(INDEX('Fleet dates'!$A$9:$A$1008,$I404-8)="","",INDEX('Fleet dates'!$A$9:$A$1008,$I404-8)))</x:f>
      </x:c>
      <x:c r="B404" s="50" t="str">
        <x:f>IF(396&gt;$H$4,"",IF(INDEX('Fleet dates'!$B$9:$B$1008,$I404-8)="","",INDEX('Fleet dates'!$B$9:$B$1008,$I404-8)))</x:f>
      </x:c>
      <x:c r="C404" s="51" t="str">
        <x:f>IF(396&gt;$H$4,"",IF(INDEX('Fleet dates'!$C$9:$C$1008,$I404-8)="","",INDEX('Fleet dates'!$C$9:$C$1008,$I404-8)))</x:f>
      </x:c>
      <x:c r="D404" s="51" t="str">
        <x:f>IF(396&gt;$H$4,"",IF(INDEX('Fleet dates'!$D$9:$D$1008,$I404-8)="","",INDEX('Fleet dates'!$D$9:$D$1008,$I404-8)))</x:f>
      </x:c>
      <x:c r="E404" s="51" t="str">
        <x:f>IF(396&gt;$H$4,"",IF(INDEX('Fleet dates'!$E$9:$E$1008,$I404-8)="","",INDEX('Fleet dates'!$E$9:$E$1008,$I404-8)))</x:f>
      </x:c>
      <x:c r="F404" s="51" t="str">
        <x:f>IF(396&gt;$H$4,"",IF(INDEX('Fleet dates'!$F$9:$F$1008,$I404-8)="","",INDEX('Fleet dates'!$F$9:$F$1008,$I404-8)))</x:f>
      </x:c>
      <x:c r="G404" s="50" t="str">
        <x:f>IF(396&gt;$H$4,"",IF(INDEX('Fleet dates'!$G$9:$G$1008,$I404-8)="","",INDEX('Fleet dates'!$G$9:$G$1008,$I404-8)))</x:f>
      </x:c>
      <x:c r="H404" s="50" t="str">
        <x:f>IF(396&gt;$H$4,"",IF(INDEX('Fleet dates'!$I$9:$I$1008,$I404-8)="","",INDEX('Fleet dates'!$I$9:$I$1008,$I404-8)))</x:f>
      </x:c>
      <x:c r="I404" t="str">
        <x:f>IF(396&gt;$H$4,"",MATCH(396,'Fleet dates'!$M$9:$M$1008,0)+8)</x:f>
      </x:c>
    </x:row>
    <x:row r="405" ht="36" customHeight="1">
      <x:c r="A405" s="50" t="str">
        <x:f>IF(397&gt;$H$4,"",IF(INDEX('Fleet dates'!$A$9:$A$1008,$I405-8)="","",INDEX('Fleet dates'!$A$9:$A$1008,$I405-8)))</x:f>
      </x:c>
      <x:c r="B405" s="50" t="str">
        <x:f>IF(397&gt;$H$4,"",IF(INDEX('Fleet dates'!$B$9:$B$1008,$I405-8)="","",INDEX('Fleet dates'!$B$9:$B$1008,$I405-8)))</x:f>
      </x:c>
      <x:c r="C405" s="51" t="str">
        <x:f>IF(397&gt;$H$4,"",IF(INDEX('Fleet dates'!$C$9:$C$1008,$I405-8)="","",INDEX('Fleet dates'!$C$9:$C$1008,$I405-8)))</x:f>
      </x:c>
      <x:c r="D405" s="51" t="str">
        <x:f>IF(397&gt;$H$4,"",IF(INDEX('Fleet dates'!$D$9:$D$1008,$I405-8)="","",INDEX('Fleet dates'!$D$9:$D$1008,$I405-8)))</x:f>
      </x:c>
      <x:c r="E405" s="51" t="str">
        <x:f>IF(397&gt;$H$4,"",IF(INDEX('Fleet dates'!$E$9:$E$1008,$I405-8)="","",INDEX('Fleet dates'!$E$9:$E$1008,$I405-8)))</x:f>
      </x:c>
      <x:c r="F405" s="51" t="str">
        <x:f>IF(397&gt;$H$4,"",IF(INDEX('Fleet dates'!$F$9:$F$1008,$I405-8)="","",INDEX('Fleet dates'!$F$9:$F$1008,$I405-8)))</x:f>
      </x:c>
      <x:c r="G405" s="50" t="str">
        <x:f>IF(397&gt;$H$4,"",IF(INDEX('Fleet dates'!$G$9:$G$1008,$I405-8)="","",INDEX('Fleet dates'!$G$9:$G$1008,$I405-8)))</x:f>
      </x:c>
      <x:c r="H405" s="50" t="str">
        <x:f>IF(397&gt;$H$4,"",IF(INDEX('Fleet dates'!$I$9:$I$1008,$I405-8)="","",INDEX('Fleet dates'!$I$9:$I$1008,$I405-8)))</x:f>
      </x:c>
      <x:c r="I405" t="str">
        <x:f>IF(397&gt;$H$4,"",MATCH(397,'Fleet dates'!$M$9:$M$1008,0)+8)</x:f>
      </x:c>
    </x:row>
    <x:row r="406" ht="36" customHeight="1">
      <x:c r="A406" s="50" t="str">
        <x:f>IF(398&gt;$H$4,"",IF(INDEX('Fleet dates'!$A$9:$A$1008,$I406-8)="","",INDEX('Fleet dates'!$A$9:$A$1008,$I406-8)))</x:f>
      </x:c>
      <x:c r="B406" s="50" t="str">
        <x:f>IF(398&gt;$H$4,"",IF(INDEX('Fleet dates'!$B$9:$B$1008,$I406-8)="","",INDEX('Fleet dates'!$B$9:$B$1008,$I406-8)))</x:f>
      </x:c>
      <x:c r="C406" s="51" t="str">
        <x:f>IF(398&gt;$H$4,"",IF(INDEX('Fleet dates'!$C$9:$C$1008,$I406-8)="","",INDEX('Fleet dates'!$C$9:$C$1008,$I406-8)))</x:f>
      </x:c>
      <x:c r="D406" s="51" t="str">
        <x:f>IF(398&gt;$H$4,"",IF(INDEX('Fleet dates'!$D$9:$D$1008,$I406-8)="","",INDEX('Fleet dates'!$D$9:$D$1008,$I406-8)))</x:f>
      </x:c>
      <x:c r="E406" s="51" t="str">
        <x:f>IF(398&gt;$H$4,"",IF(INDEX('Fleet dates'!$E$9:$E$1008,$I406-8)="","",INDEX('Fleet dates'!$E$9:$E$1008,$I406-8)))</x:f>
      </x:c>
      <x:c r="F406" s="51" t="str">
        <x:f>IF(398&gt;$H$4,"",IF(INDEX('Fleet dates'!$F$9:$F$1008,$I406-8)="","",INDEX('Fleet dates'!$F$9:$F$1008,$I406-8)))</x:f>
      </x:c>
      <x:c r="G406" s="50" t="str">
        <x:f>IF(398&gt;$H$4,"",IF(INDEX('Fleet dates'!$G$9:$G$1008,$I406-8)="","",INDEX('Fleet dates'!$G$9:$G$1008,$I406-8)))</x:f>
      </x:c>
      <x:c r="H406" s="50" t="str">
        <x:f>IF(398&gt;$H$4,"",IF(INDEX('Fleet dates'!$I$9:$I$1008,$I406-8)="","",INDEX('Fleet dates'!$I$9:$I$1008,$I406-8)))</x:f>
      </x:c>
      <x:c r="I406" t="str">
        <x:f>IF(398&gt;$H$4,"",MATCH(398,'Fleet dates'!$M$9:$M$1008,0)+8)</x:f>
      </x:c>
    </x:row>
    <x:row r="407" ht="36" customHeight="1">
      <x:c r="A407" s="50" t="str">
        <x:f>IF(399&gt;$H$4,"",IF(INDEX('Fleet dates'!$A$9:$A$1008,$I407-8)="","",INDEX('Fleet dates'!$A$9:$A$1008,$I407-8)))</x:f>
      </x:c>
      <x:c r="B407" s="50" t="str">
        <x:f>IF(399&gt;$H$4,"",IF(INDEX('Fleet dates'!$B$9:$B$1008,$I407-8)="","",INDEX('Fleet dates'!$B$9:$B$1008,$I407-8)))</x:f>
      </x:c>
      <x:c r="C407" s="51" t="str">
        <x:f>IF(399&gt;$H$4,"",IF(INDEX('Fleet dates'!$C$9:$C$1008,$I407-8)="","",INDEX('Fleet dates'!$C$9:$C$1008,$I407-8)))</x:f>
      </x:c>
      <x:c r="D407" s="51" t="str">
        <x:f>IF(399&gt;$H$4,"",IF(INDEX('Fleet dates'!$D$9:$D$1008,$I407-8)="","",INDEX('Fleet dates'!$D$9:$D$1008,$I407-8)))</x:f>
      </x:c>
      <x:c r="E407" s="51" t="str">
        <x:f>IF(399&gt;$H$4,"",IF(INDEX('Fleet dates'!$E$9:$E$1008,$I407-8)="","",INDEX('Fleet dates'!$E$9:$E$1008,$I407-8)))</x:f>
      </x:c>
      <x:c r="F407" s="51" t="str">
        <x:f>IF(399&gt;$H$4,"",IF(INDEX('Fleet dates'!$F$9:$F$1008,$I407-8)="","",INDEX('Fleet dates'!$F$9:$F$1008,$I407-8)))</x:f>
      </x:c>
      <x:c r="G407" s="50" t="str">
        <x:f>IF(399&gt;$H$4,"",IF(INDEX('Fleet dates'!$G$9:$G$1008,$I407-8)="","",INDEX('Fleet dates'!$G$9:$G$1008,$I407-8)))</x:f>
      </x:c>
      <x:c r="H407" s="50" t="str">
        <x:f>IF(399&gt;$H$4,"",IF(INDEX('Fleet dates'!$I$9:$I$1008,$I407-8)="","",INDEX('Fleet dates'!$I$9:$I$1008,$I407-8)))</x:f>
      </x:c>
      <x:c r="I407" t="str">
        <x:f>IF(399&gt;$H$4,"",MATCH(399,'Fleet dates'!$M$9:$M$1008,0)+8)</x:f>
      </x:c>
    </x:row>
    <x:row r="408" ht="36" customHeight="1">
      <x:c r="A408" s="50" t="str">
        <x:f>IF(400&gt;$H$4,"",IF(INDEX('Fleet dates'!$A$9:$A$1008,$I408-8)="","",INDEX('Fleet dates'!$A$9:$A$1008,$I408-8)))</x:f>
      </x:c>
      <x:c r="B408" s="50" t="str">
        <x:f>IF(400&gt;$H$4,"",IF(INDEX('Fleet dates'!$B$9:$B$1008,$I408-8)="","",INDEX('Fleet dates'!$B$9:$B$1008,$I408-8)))</x:f>
      </x:c>
      <x:c r="C408" s="51" t="str">
        <x:f>IF(400&gt;$H$4,"",IF(INDEX('Fleet dates'!$C$9:$C$1008,$I408-8)="","",INDEX('Fleet dates'!$C$9:$C$1008,$I408-8)))</x:f>
      </x:c>
      <x:c r="D408" s="51" t="str">
        <x:f>IF(400&gt;$H$4,"",IF(INDEX('Fleet dates'!$D$9:$D$1008,$I408-8)="","",INDEX('Fleet dates'!$D$9:$D$1008,$I408-8)))</x:f>
      </x:c>
      <x:c r="E408" s="51" t="str">
        <x:f>IF(400&gt;$H$4,"",IF(INDEX('Fleet dates'!$E$9:$E$1008,$I408-8)="","",INDEX('Fleet dates'!$E$9:$E$1008,$I408-8)))</x:f>
      </x:c>
      <x:c r="F408" s="51" t="str">
        <x:f>IF(400&gt;$H$4,"",IF(INDEX('Fleet dates'!$F$9:$F$1008,$I408-8)="","",INDEX('Fleet dates'!$F$9:$F$1008,$I408-8)))</x:f>
      </x:c>
      <x:c r="G408" s="50" t="str">
        <x:f>IF(400&gt;$H$4,"",IF(INDEX('Fleet dates'!$G$9:$G$1008,$I408-8)="","",INDEX('Fleet dates'!$G$9:$G$1008,$I408-8)))</x:f>
      </x:c>
      <x:c r="H408" s="50" t="str">
        <x:f>IF(400&gt;$H$4,"",IF(INDEX('Fleet dates'!$I$9:$I$1008,$I408-8)="","",INDEX('Fleet dates'!$I$9:$I$1008,$I408-8)))</x:f>
      </x:c>
      <x:c r="I408" t="str">
        <x:f>IF(400&gt;$H$4,"",MATCH(400,'Fleet dates'!$M$9:$M$1008,0)+8)</x:f>
      </x:c>
    </x:row>
    <x:row r="409" ht="36" customHeight="1">
      <x:c r="A409" s="50" t="str">
        <x:f>IF(401&gt;$H$4,"",IF(INDEX('Fleet dates'!$A$9:$A$1008,$I409-8)="","",INDEX('Fleet dates'!$A$9:$A$1008,$I409-8)))</x:f>
      </x:c>
      <x:c r="B409" s="50" t="str">
        <x:f>IF(401&gt;$H$4,"",IF(INDEX('Fleet dates'!$B$9:$B$1008,$I409-8)="","",INDEX('Fleet dates'!$B$9:$B$1008,$I409-8)))</x:f>
      </x:c>
      <x:c r="C409" s="51" t="str">
        <x:f>IF(401&gt;$H$4,"",IF(INDEX('Fleet dates'!$C$9:$C$1008,$I409-8)="","",INDEX('Fleet dates'!$C$9:$C$1008,$I409-8)))</x:f>
      </x:c>
      <x:c r="D409" s="51" t="str">
        <x:f>IF(401&gt;$H$4,"",IF(INDEX('Fleet dates'!$D$9:$D$1008,$I409-8)="","",INDEX('Fleet dates'!$D$9:$D$1008,$I409-8)))</x:f>
      </x:c>
      <x:c r="E409" s="51" t="str">
        <x:f>IF(401&gt;$H$4,"",IF(INDEX('Fleet dates'!$E$9:$E$1008,$I409-8)="","",INDEX('Fleet dates'!$E$9:$E$1008,$I409-8)))</x:f>
      </x:c>
      <x:c r="F409" s="51" t="str">
        <x:f>IF(401&gt;$H$4,"",IF(INDEX('Fleet dates'!$F$9:$F$1008,$I409-8)="","",INDEX('Fleet dates'!$F$9:$F$1008,$I409-8)))</x:f>
      </x:c>
      <x:c r="G409" s="50" t="str">
        <x:f>IF(401&gt;$H$4,"",IF(INDEX('Fleet dates'!$G$9:$G$1008,$I409-8)="","",INDEX('Fleet dates'!$G$9:$G$1008,$I409-8)))</x:f>
      </x:c>
      <x:c r="H409" s="50" t="str">
        <x:f>IF(401&gt;$H$4,"",IF(INDEX('Fleet dates'!$I$9:$I$1008,$I409-8)="","",INDEX('Fleet dates'!$I$9:$I$1008,$I409-8)))</x:f>
      </x:c>
      <x:c r="I409" t="str">
        <x:f>IF(401&gt;$H$4,"",MATCH(401,'Fleet dates'!$M$9:$M$1008,0)+8)</x:f>
      </x:c>
    </x:row>
    <x:row r="410" ht="36" customHeight="1">
      <x:c r="A410" s="50" t="str">
        <x:f>IF(402&gt;$H$4,"",IF(INDEX('Fleet dates'!$A$9:$A$1008,$I410-8)="","",INDEX('Fleet dates'!$A$9:$A$1008,$I410-8)))</x:f>
      </x:c>
      <x:c r="B410" s="50" t="str">
        <x:f>IF(402&gt;$H$4,"",IF(INDEX('Fleet dates'!$B$9:$B$1008,$I410-8)="","",INDEX('Fleet dates'!$B$9:$B$1008,$I410-8)))</x:f>
      </x:c>
      <x:c r="C410" s="51" t="str">
        <x:f>IF(402&gt;$H$4,"",IF(INDEX('Fleet dates'!$C$9:$C$1008,$I410-8)="","",INDEX('Fleet dates'!$C$9:$C$1008,$I410-8)))</x:f>
      </x:c>
      <x:c r="D410" s="51" t="str">
        <x:f>IF(402&gt;$H$4,"",IF(INDEX('Fleet dates'!$D$9:$D$1008,$I410-8)="","",INDEX('Fleet dates'!$D$9:$D$1008,$I410-8)))</x:f>
      </x:c>
      <x:c r="E410" s="51" t="str">
        <x:f>IF(402&gt;$H$4,"",IF(INDEX('Fleet dates'!$E$9:$E$1008,$I410-8)="","",INDEX('Fleet dates'!$E$9:$E$1008,$I410-8)))</x:f>
      </x:c>
      <x:c r="F410" s="51" t="str">
        <x:f>IF(402&gt;$H$4,"",IF(INDEX('Fleet dates'!$F$9:$F$1008,$I410-8)="","",INDEX('Fleet dates'!$F$9:$F$1008,$I410-8)))</x:f>
      </x:c>
      <x:c r="G410" s="50" t="str">
        <x:f>IF(402&gt;$H$4,"",IF(INDEX('Fleet dates'!$G$9:$G$1008,$I410-8)="","",INDEX('Fleet dates'!$G$9:$G$1008,$I410-8)))</x:f>
      </x:c>
      <x:c r="H410" s="50" t="str">
        <x:f>IF(402&gt;$H$4,"",IF(INDEX('Fleet dates'!$I$9:$I$1008,$I410-8)="","",INDEX('Fleet dates'!$I$9:$I$1008,$I410-8)))</x:f>
      </x:c>
      <x:c r="I410" t="str">
        <x:f>IF(402&gt;$H$4,"",MATCH(402,'Fleet dates'!$M$9:$M$1008,0)+8)</x:f>
      </x:c>
    </x:row>
    <x:row r="411" ht="36" customHeight="1">
      <x:c r="A411" s="50" t="str">
        <x:f>IF(403&gt;$H$4,"",IF(INDEX('Fleet dates'!$A$9:$A$1008,$I411-8)="","",INDEX('Fleet dates'!$A$9:$A$1008,$I411-8)))</x:f>
      </x:c>
      <x:c r="B411" s="50" t="str">
        <x:f>IF(403&gt;$H$4,"",IF(INDEX('Fleet dates'!$B$9:$B$1008,$I411-8)="","",INDEX('Fleet dates'!$B$9:$B$1008,$I411-8)))</x:f>
      </x:c>
      <x:c r="C411" s="51" t="str">
        <x:f>IF(403&gt;$H$4,"",IF(INDEX('Fleet dates'!$C$9:$C$1008,$I411-8)="","",INDEX('Fleet dates'!$C$9:$C$1008,$I411-8)))</x:f>
      </x:c>
      <x:c r="D411" s="51" t="str">
        <x:f>IF(403&gt;$H$4,"",IF(INDEX('Fleet dates'!$D$9:$D$1008,$I411-8)="","",INDEX('Fleet dates'!$D$9:$D$1008,$I411-8)))</x:f>
      </x:c>
      <x:c r="E411" s="51" t="str">
        <x:f>IF(403&gt;$H$4,"",IF(INDEX('Fleet dates'!$E$9:$E$1008,$I411-8)="","",INDEX('Fleet dates'!$E$9:$E$1008,$I411-8)))</x:f>
      </x:c>
      <x:c r="F411" s="51" t="str">
        <x:f>IF(403&gt;$H$4,"",IF(INDEX('Fleet dates'!$F$9:$F$1008,$I411-8)="","",INDEX('Fleet dates'!$F$9:$F$1008,$I411-8)))</x:f>
      </x:c>
      <x:c r="G411" s="50" t="str">
        <x:f>IF(403&gt;$H$4,"",IF(INDEX('Fleet dates'!$G$9:$G$1008,$I411-8)="","",INDEX('Fleet dates'!$G$9:$G$1008,$I411-8)))</x:f>
      </x:c>
      <x:c r="H411" s="50" t="str">
        <x:f>IF(403&gt;$H$4,"",IF(INDEX('Fleet dates'!$I$9:$I$1008,$I411-8)="","",INDEX('Fleet dates'!$I$9:$I$1008,$I411-8)))</x:f>
      </x:c>
      <x:c r="I411" t="str">
        <x:f>IF(403&gt;$H$4,"",MATCH(403,'Fleet dates'!$M$9:$M$1008,0)+8)</x:f>
      </x:c>
    </x:row>
    <x:row r="412" ht="36" customHeight="1">
      <x:c r="A412" s="50" t="str">
        <x:f>IF(404&gt;$H$4,"",IF(INDEX('Fleet dates'!$A$9:$A$1008,$I412-8)="","",INDEX('Fleet dates'!$A$9:$A$1008,$I412-8)))</x:f>
      </x:c>
      <x:c r="B412" s="50" t="str">
        <x:f>IF(404&gt;$H$4,"",IF(INDEX('Fleet dates'!$B$9:$B$1008,$I412-8)="","",INDEX('Fleet dates'!$B$9:$B$1008,$I412-8)))</x:f>
      </x:c>
      <x:c r="C412" s="51" t="str">
        <x:f>IF(404&gt;$H$4,"",IF(INDEX('Fleet dates'!$C$9:$C$1008,$I412-8)="","",INDEX('Fleet dates'!$C$9:$C$1008,$I412-8)))</x:f>
      </x:c>
      <x:c r="D412" s="51" t="str">
        <x:f>IF(404&gt;$H$4,"",IF(INDEX('Fleet dates'!$D$9:$D$1008,$I412-8)="","",INDEX('Fleet dates'!$D$9:$D$1008,$I412-8)))</x:f>
      </x:c>
      <x:c r="E412" s="51" t="str">
        <x:f>IF(404&gt;$H$4,"",IF(INDEX('Fleet dates'!$E$9:$E$1008,$I412-8)="","",INDEX('Fleet dates'!$E$9:$E$1008,$I412-8)))</x:f>
      </x:c>
      <x:c r="F412" s="51" t="str">
        <x:f>IF(404&gt;$H$4,"",IF(INDEX('Fleet dates'!$F$9:$F$1008,$I412-8)="","",INDEX('Fleet dates'!$F$9:$F$1008,$I412-8)))</x:f>
      </x:c>
      <x:c r="G412" s="50" t="str">
        <x:f>IF(404&gt;$H$4,"",IF(INDEX('Fleet dates'!$G$9:$G$1008,$I412-8)="","",INDEX('Fleet dates'!$G$9:$G$1008,$I412-8)))</x:f>
      </x:c>
      <x:c r="H412" s="50" t="str">
        <x:f>IF(404&gt;$H$4,"",IF(INDEX('Fleet dates'!$I$9:$I$1008,$I412-8)="","",INDEX('Fleet dates'!$I$9:$I$1008,$I412-8)))</x:f>
      </x:c>
      <x:c r="I412" t="str">
        <x:f>IF(404&gt;$H$4,"",MATCH(404,'Fleet dates'!$M$9:$M$1008,0)+8)</x:f>
      </x:c>
    </x:row>
    <x:row r="413" ht="36" customHeight="1">
      <x:c r="A413" s="50" t="str">
        <x:f>IF(405&gt;$H$4,"",IF(INDEX('Fleet dates'!$A$9:$A$1008,$I413-8)="","",INDEX('Fleet dates'!$A$9:$A$1008,$I413-8)))</x:f>
      </x:c>
      <x:c r="B413" s="50" t="str">
        <x:f>IF(405&gt;$H$4,"",IF(INDEX('Fleet dates'!$B$9:$B$1008,$I413-8)="","",INDEX('Fleet dates'!$B$9:$B$1008,$I413-8)))</x:f>
      </x:c>
      <x:c r="C413" s="51" t="str">
        <x:f>IF(405&gt;$H$4,"",IF(INDEX('Fleet dates'!$C$9:$C$1008,$I413-8)="","",INDEX('Fleet dates'!$C$9:$C$1008,$I413-8)))</x:f>
      </x:c>
      <x:c r="D413" s="51" t="str">
        <x:f>IF(405&gt;$H$4,"",IF(INDEX('Fleet dates'!$D$9:$D$1008,$I413-8)="","",INDEX('Fleet dates'!$D$9:$D$1008,$I413-8)))</x:f>
      </x:c>
      <x:c r="E413" s="51" t="str">
        <x:f>IF(405&gt;$H$4,"",IF(INDEX('Fleet dates'!$E$9:$E$1008,$I413-8)="","",INDEX('Fleet dates'!$E$9:$E$1008,$I413-8)))</x:f>
      </x:c>
      <x:c r="F413" s="51" t="str">
        <x:f>IF(405&gt;$H$4,"",IF(INDEX('Fleet dates'!$F$9:$F$1008,$I413-8)="","",INDEX('Fleet dates'!$F$9:$F$1008,$I413-8)))</x:f>
      </x:c>
      <x:c r="G413" s="50" t="str">
        <x:f>IF(405&gt;$H$4,"",IF(INDEX('Fleet dates'!$G$9:$G$1008,$I413-8)="","",INDEX('Fleet dates'!$G$9:$G$1008,$I413-8)))</x:f>
      </x:c>
      <x:c r="H413" s="50" t="str">
        <x:f>IF(405&gt;$H$4,"",IF(INDEX('Fleet dates'!$I$9:$I$1008,$I413-8)="","",INDEX('Fleet dates'!$I$9:$I$1008,$I413-8)))</x:f>
      </x:c>
      <x:c r="I413" t="str">
        <x:f>IF(405&gt;$H$4,"",MATCH(405,'Fleet dates'!$M$9:$M$1008,0)+8)</x:f>
      </x:c>
    </x:row>
    <x:row r="414" ht="36" customHeight="1">
      <x:c r="A414" s="50" t="str">
        <x:f>IF(406&gt;$H$4,"",IF(INDEX('Fleet dates'!$A$9:$A$1008,$I414-8)="","",INDEX('Fleet dates'!$A$9:$A$1008,$I414-8)))</x:f>
      </x:c>
      <x:c r="B414" s="50" t="str">
        <x:f>IF(406&gt;$H$4,"",IF(INDEX('Fleet dates'!$B$9:$B$1008,$I414-8)="","",INDEX('Fleet dates'!$B$9:$B$1008,$I414-8)))</x:f>
      </x:c>
      <x:c r="C414" s="51" t="str">
        <x:f>IF(406&gt;$H$4,"",IF(INDEX('Fleet dates'!$C$9:$C$1008,$I414-8)="","",INDEX('Fleet dates'!$C$9:$C$1008,$I414-8)))</x:f>
      </x:c>
      <x:c r="D414" s="51" t="str">
        <x:f>IF(406&gt;$H$4,"",IF(INDEX('Fleet dates'!$D$9:$D$1008,$I414-8)="","",INDEX('Fleet dates'!$D$9:$D$1008,$I414-8)))</x:f>
      </x:c>
      <x:c r="E414" s="51" t="str">
        <x:f>IF(406&gt;$H$4,"",IF(INDEX('Fleet dates'!$E$9:$E$1008,$I414-8)="","",INDEX('Fleet dates'!$E$9:$E$1008,$I414-8)))</x:f>
      </x:c>
      <x:c r="F414" s="51" t="str">
        <x:f>IF(406&gt;$H$4,"",IF(INDEX('Fleet dates'!$F$9:$F$1008,$I414-8)="","",INDEX('Fleet dates'!$F$9:$F$1008,$I414-8)))</x:f>
      </x:c>
      <x:c r="G414" s="50" t="str">
        <x:f>IF(406&gt;$H$4,"",IF(INDEX('Fleet dates'!$G$9:$G$1008,$I414-8)="","",INDEX('Fleet dates'!$G$9:$G$1008,$I414-8)))</x:f>
      </x:c>
      <x:c r="H414" s="50" t="str">
        <x:f>IF(406&gt;$H$4,"",IF(INDEX('Fleet dates'!$I$9:$I$1008,$I414-8)="","",INDEX('Fleet dates'!$I$9:$I$1008,$I414-8)))</x:f>
      </x:c>
      <x:c r="I414" t="str">
        <x:f>IF(406&gt;$H$4,"",MATCH(406,'Fleet dates'!$M$9:$M$1008,0)+8)</x:f>
      </x:c>
    </x:row>
    <x:row r="415" ht="36" customHeight="1">
      <x:c r="A415" s="50" t="str">
        <x:f>IF(407&gt;$H$4,"",IF(INDEX('Fleet dates'!$A$9:$A$1008,$I415-8)="","",INDEX('Fleet dates'!$A$9:$A$1008,$I415-8)))</x:f>
      </x:c>
      <x:c r="B415" s="50" t="str">
        <x:f>IF(407&gt;$H$4,"",IF(INDEX('Fleet dates'!$B$9:$B$1008,$I415-8)="","",INDEX('Fleet dates'!$B$9:$B$1008,$I415-8)))</x:f>
      </x:c>
      <x:c r="C415" s="51" t="str">
        <x:f>IF(407&gt;$H$4,"",IF(INDEX('Fleet dates'!$C$9:$C$1008,$I415-8)="","",INDEX('Fleet dates'!$C$9:$C$1008,$I415-8)))</x:f>
      </x:c>
      <x:c r="D415" s="51" t="str">
        <x:f>IF(407&gt;$H$4,"",IF(INDEX('Fleet dates'!$D$9:$D$1008,$I415-8)="","",INDEX('Fleet dates'!$D$9:$D$1008,$I415-8)))</x:f>
      </x:c>
      <x:c r="E415" s="51" t="str">
        <x:f>IF(407&gt;$H$4,"",IF(INDEX('Fleet dates'!$E$9:$E$1008,$I415-8)="","",INDEX('Fleet dates'!$E$9:$E$1008,$I415-8)))</x:f>
      </x:c>
      <x:c r="F415" s="51" t="str">
        <x:f>IF(407&gt;$H$4,"",IF(INDEX('Fleet dates'!$F$9:$F$1008,$I415-8)="","",INDEX('Fleet dates'!$F$9:$F$1008,$I415-8)))</x:f>
      </x:c>
      <x:c r="G415" s="50" t="str">
        <x:f>IF(407&gt;$H$4,"",IF(INDEX('Fleet dates'!$G$9:$G$1008,$I415-8)="","",INDEX('Fleet dates'!$G$9:$G$1008,$I415-8)))</x:f>
      </x:c>
      <x:c r="H415" s="50" t="str">
        <x:f>IF(407&gt;$H$4,"",IF(INDEX('Fleet dates'!$I$9:$I$1008,$I415-8)="","",INDEX('Fleet dates'!$I$9:$I$1008,$I415-8)))</x:f>
      </x:c>
      <x:c r="I415" t="str">
        <x:f>IF(407&gt;$H$4,"",MATCH(407,'Fleet dates'!$M$9:$M$1008,0)+8)</x:f>
      </x:c>
    </x:row>
    <x:row r="416" ht="36" customHeight="1">
      <x:c r="A416" s="50" t="str">
        <x:f>IF(408&gt;$H$4,"",IF(INDEX('Fleet dates'!$A$9:$A$1008,$I416-8)="","",INDEX('Fleet dates'!$A$9:$A$1008,$I416-8)))</x:f>
      </x:c>
      <x:c r="B416" s="50" t="str">
        <x:f>IF(408&gt;$H$4,"",IF(INDEX('Fleet dates'!$B$9:$B$1008,$I416-8)="","",INDEX('Fleet dates'!$B$9:$B$1008,$I416-8)))</x:f>
      </x:c>
      <x:c r="C416" s="51" t="str">
        <x:f>IF(408&gt;$H$4,"",IF(INDEX('Fleet dates'!$C$9:$C$1008,$I416-8)="","",INDEX('Fleet dates'!$C$9:$C$1008,$I416-8)))</x:f>
      </x:c>
      <x:c r="D416" s="51" t="str">
        <x:f>IF(408&gt;$H$4,"",IF(INDEX('Fleet dates'!$D$9:$D$1008,$I416-8)="","",INDEX('Fleet dates'!$D$9:$D$1008,$I416-8)))</x:f>
      </x:c>
      <x:c r="E416" s="51" t="str">
        <x:f>IF(408&gt;$H$4,"",IF(INDEX('Fleet dates'!$E$9:$E$1008,$I416-8)="","",INDEX('Fleet dates'!$E$9:$E$1008,$I416-8)))</x:f>
      </x:c>
      <x:c r="F416" s="51" t="str">
        <x:f>IF(408&gt;$H$4,"",IF(INDEX('Fleet dates'!$F$9:$F$1008,$I416-8)="","",INDEX('Fleet dates'!$F$9:$F$1008,$I416-8)))</x:f>
      </x:c>
      <x:c r="G416" s="50" t="str">
        <x:f>IF(408&gt;$H$4,"",IF(INDEX('Fleet dates'!$G$9:$G$1008,$I416-8)="","",INDEX('Fleet dates'!$G$9:$G$1008,$I416-8)))</x:f>
      </x:c>
      <x:c r="H416" s="50" t="str">
        <x:f>IF(408&gt;$H$4,"",IF(INDEX('Fleet dates'!$I$9:$I$1008,$I416-8)="","",INDEX('Fleet dates'!$I$9:$I$1008,$I416-8)))</x:f>
      </x:c>
      <x:c r="I416" t="str">
        <x:f>IF(408&gt;$H$4,"",MATCH(408,'Fleet dates'!$M$9:$M$1008,0)+8)</x:f>
      </x:c>
    </x:row>
    <x:row r="417" ht="36" customHeight="1">
      <x:c r="A417" s="50" t="str">
        <x:f>IF(409&gt;$H$4,"",IF(INDEX('Fleet dates'!$A$9:$A$1008,$I417-8)="","",INDEX('Fleet dates'!$A$9:$A$1008,$I417-8)))</x:f>
      </x:c>
      <x:c r="B417" s="50" t="str">
        <x:f>IF(409&gt;$H$4,"",IF(INDEX('Fleet dates'!$B$9:$B$1008,$I417-8)="","",INDEX('Fleet dates'!$B$9:$B$1008,$I417-8)))</x:f>
      </x:c>
      <x:c r="C417" s="51" t="str">
        <x:f>IF(409&gt;$H$4,"",IF(INDEX('Fleet dates'!$C$9:$C$1008,$I417-8)="","",INDEX('Fleet dates'!$C$9:$C$1008,$I417-8)))</x:f>
      </x:c>
      <x:c r="D417" s="51" t="str">
        <x:f>IF(409&gt;$H$4,"",IF(INDEX('Fleet dates'!$D$9:$D$1008,$I417-8)="","",INDEX('Fleet dates'!$D$9:$D$1008,$I417-8)))</x:f>
      </x:c>
      <x:c r="E417" s="51" t="str">
        <x:f>IF(409&gt;$H$4,"",IF(INDEX('Fleet dates'!$E$9:$E$1008,$I417-8)="","",INDEX('Fleet dates'!$E$9:$E$1008,$I417-8)))</x:f>
      </x:c>
      <x:c r="F417" s="51" t="str">
        <x:f>IF(409&gt;$H$4,"",IF(INDEX('Fleet dates'!$F$9:$F$1008,$I417-8)="","",INDEX('Fleet dates'!$F$9:$F$1008,$I417-8)))</x:f>
      </x:c>
      <x:c r="G417" s="50" t="str">
        <x:f>IF(409&gt;$H$4,"",IF(INDEX('Fleet dates'!$G$9:$G$1008,$I417-8)="","",INDEX('Fleet dates'!$G$9:$G$1008,$I417-8)))</x:f>
      </x:c>
      <x:c r="H417" s="50" t="str">
        <x:f>IF(409&gt;$H$4,"",IF(INDEX('Fleet dates'!$I$9:$I$1008,$I417-8)="","",INDEX('Fleet dates'!$I$9:$I$1008,$I417-8)))</x:f>
      </x:c>
      <x:c r="I417" t="str">
        <x:f>IF(409&gt;$H$4,"",MATCH(409,'Fleet dates'!$M$9:$M$1008,0)+8)</x:f>
      </x:c>
    </x:row>
    <x:row r="418" ht="36" customHeight="1">
      <x:c r="A418" s="50" t="str">
        <x:f>IF(410&gt;$H$4,"",IF(INDEX('Fleet dates'!$A$9:$A$1008,$I418-8)="","",INDEX('Fleet dates'!$A$9:$A$1008,$I418-8)))</x:f>
      </x:c>
      <x:c r="B418" s="50" t="str">
        <x:f>IF(410&gt;$H$4,"",IF(INDEX('Fleet dates'!$B$9:$B$1008,$I418-8)="","",INDEX('Fleet dates'!$B$9:$B$1008,$I418-8)))</x:f>
      </x:c>
      <x:c r="C418" s="51" t="str">
        <x:f>IF(410&gt;$H$4,"",IF(INDEX('Fleet dates'!$C$9:$C$1008,$I418-8)="","",INDEX('Fleet dates'!$C$9:$C$1008,$I418-8)))</x:f>
      </x:c>
      <x:c r="D418" s="51" t="str">
        <x:f>IF(410&gt;$H$4,"",IF(INDEX('Fleet dates'!$D$9:$D$1008,$I418-8)="","",INDEX('Fleet dates'!$D$9:$D$1008,$I418-8)))</x:f>
      </x:c>
      <x:c r="E418" s="51" t="str">
        <x:f>IF(410&gt;$H$4,"",IF(INDEX('Fleet dates'!$E$9:$E$1008,$I418-8)="","",INDEX('Fleet dates'!$E$9:$E$1008,$I418-8)))</x:f>
      </x:c>
      <x:c r="F418" s="51" t="str">
        <x:f>IF(410&gt;$H$4,"",IF(INDEX('Fleet dates'!$F$9:$F$1008,$I418-8)="","",INDEX('Fleet dates'!$F$9:$F$1008,$I418-8)))</x:f>
      </x:c>
      <x:c r="G418" s="50" t="str">
        <x:f>IF(410&gt;$H$4,"",IF(INDEX('Fleet dates'!$G$9:$G$1008,$I418-8)="","",INDEX('Fleet dates'!$G$9:$G$1008,$I418-8)))</x:f>
      </x:c>
      <x:c r="H418" s="50" t="str">
        <x:f>IF(410&gt;$H$4,"",IF(INDEX('Fleet dates'!$I$9:$I$1008,$I418-8)="","",INDEX('Fleet dates'!$I$9:$I$1008,$I418-8)))</x:f>
      </x:c>
      <x:c r="I418" t="str">
        <x:f>IF(410&gt;$H$4,"",MATCH(410,'Fleet dates'!$M$9:$M$1008,0)+8)</x:f>
      </x:c>
    </x:row>
    <x:row r="419" ht="36" customHeight="1">
      <x:c r="A419" s="50" t="str">
        <x:f>IF(411&gt;$H$4,"",IF(INDEX('Fleet dates'!$A$9:$A$1008,$I419-8)="","",INDEX('Fleet dates'!$A$9:$A$1008,$I419-8)))</x:f>
      </x:c>
      <x:c r="B419" s="50" t="str">
        <x:f>IF(411&gt;$H$4,"",IF(INDEX('Fleet dates'!$B$9:$B$1008,$I419-8)="","",INDEX('Fleet dates'!$B$9:$B$1008,$I419-8)))</x:f>
      </x:c>
      <x:c r="C419" s="51" t="str">
        <x:f>IF(411&gt;$H$4,"",IF(INDEX('Fleet dates'!$C$9:$C$1008,$I419-8)="","",INDEX('Fleet dates'!$C$9:$C$1008,$I419-8)))</x:f>
      </x:c>
      <x:c r="D419" s="51" t="str">
        <x:f>IF(411&gt;$H$4,"",IF(INDEX('Fleet dates'!$D$9:$D$1008,$I419-8)="","",INDEX('Fleet dates'!$D$9:$D$1008,$I419-8)))</x:f>
      </x:c>
      <x:c r="E419" s="51" t="str">
        <x:f>IF(411&gt;$H$4,"",IF(INDEX('Fleet dates'!$E$9:$E$1008,$I419-8)="","",INDEX('Fleet dates'!$E$9:$E$1008,$I419-8)))</x:f>
      </x:c>
      <x:c r="F419" s="51" t="str">
        <x:f>IF(411&gt;$H$4,"",IF(INDEX('Fleet dates'!$F$9:$F$1008,$I419-8)="","",INDEX('Fleet dates'!$F$9:$F$1008,$I419-8)))</x:f>
      </x:c>
      <x:c r="G419" s="50" t="str">
        <x:f>IF(411&gt;$H$4,"",IF(INDEX('Fleet dates'!$G$9:$G$1008,$I419-8)="","",INDEX('Fleet dates'!$G$9:$G$1008,$I419-8)))</x:f>
      </x:c>
      <x:c r="H419" s="50" t="str">
        <x:f>IF(411&gt;$H$4,"",IF(INDEX('Fleet dates'!$I$9:$I$1008,$I419-8)="","",INDEX('Fleet dates'!$I$9:$I$1008,$I419-8)))</x:f>
      </x:c>
      <x:c r="I419" t="str">
        <x:f>IF(411&gt;$H$4,"",MATCH(411,'Fleet dates'!$M$9:$M$1008,0)+8)</x:f>
      </x:c>
    </x:row>
    <x:row r="420" ht="36" customHeight="1">
      <x:c r="A420" s="50" t="str">
        <x:f>IF(412&gt;$H$4,"",IF(INDEX('Fleet dates'!$A$9:$A$1008,$I420-8)="","",INDEX('Fleet dates'!$A$9:$A$1008,$I420-8)))</x:f>
      </x:c>
      <x:c r="B420" s="50" t="str">
        <x:f>IF(412&gt;$H$4,"",IF(INDEX('Fleet dates'!$B$9:$B$1008,$I420-8)="","",INDEX('Fleet dates'!$B$9:$B$1008,$I420-8)))</x:f>
      </x:c>
      <x:c r="C420" s="51" t="str">
        <x:f>IF(412&gt;$H$4,"",IF(INDEX('Fleet dates'!$C$9:$C$1008,$I420-8)="","",INDEX('Fleet dates'!$C$9:$C$1008,$I420-8)))</x:f>
      </x:c>
      <x:c r="D420" s="51" t="str">
        <x:f>IF(412&gt;$H$4,"",IF(INDEX('Fleet dates'!$D$9:$D$1008,$I420-8)="","",INDEX('Fleet dates'!$D$9:$D$1008,$I420-8)))</x:f>
      </x:c>
      <x:c r="E420" s="51" t="str">
        <x:f>IF(412&gt;$H$4,"",IF(INDEX('Fleet dates'!$E$9:$E$1008,$I420-8)="","",INDEX('Fleet dates'!$E$9:$E$1008,$I420-8)))</x:f>
      </x:c>
      <x:c r="F420" s="51" t="str">
        <x:f>IF(412&gt;$H$4,"",IF(INDEX('Fleet dates'!$F$9:$F$1008,$I420-8)="","",INDEX('Fleet dates'!$F$9:$F$1008,$I420-8)))</x:f>
      </x:c>
      <x:c r="G420" s="50" t="str">
        <x:f>IF(412&gt;$H$4,"",IF(INDEX('Fleet dates'!$G$9:$G$1008,$I420-8)="","",INDEX('Fleet dates'!$G$9:$G$1008,$I420-8)))</x:f>
      </x:c>
      <x:c r="H420" s="50" t="str">
        <x:f>IF(412&gt;$H$4,"",IF(INDEX('Fleet dates'!$I$9:$I$1008,$I420-8)="","",INDEX('Fleet dates'!$I$9:$I$1008,$I420-8)))</x:f>
      </x:c>
      <x:c r="I420" t="str">
        <x:f>IF(412&gt;$H$4,"",MATCH(412,'Fleet dates'!$M$9:$M$1008,0)+8)</x:f>
      </x:c>
    </x:row>
    <x:row r="421" ht="36" customHeight="1">
      <x:c r="A421" s="50" t="str">
        <x:f>IF(413&gt;$H$4,"",IF(INDEX('Fleet dates'!$A$9:$A$1008,$I421-8)="","",INDEX('Fleet dates'!$A$9:$A$1008,$I421-8)))</x:f>
      </x:c>
      <x:c r="B421" s="50" t="str">
        <x:f>IF(413&gt;$H$4,"",IF(INDEX('Fleet dates'!$B$9:$B$1008,$I421-8)="","",INDEX('Fleet dates'!$B$9:$B$1008,$I421-8)))</x:f>
      </x:c>
      <x:c r="C421" s="51" t="str">
        <x:f>IF(413&gt;$H$4,"",IF(INDEX('Fleet dates'!$C$9:$C$1008,$I421-8)="","",INDEX('Fleet dates'!$C$9:$C$1008,$I421-8)))</x:f>
      </x:c>
      <x:c r="D421" s="51" t="str">
        <x:f>IF(413&gt;$H$4,"",IF(INDEX('Fleet dates'!$D$9:$D$1008,$I421-8)="","",INDEX('Fleet dates'!$D$9:$D$1008,$I421-8)))</x:f>
      </x:c>
      <x:c r="E421" s="51" t="str">
        <x:f>IF(413&gt;$H$4,"",IF(INDEX('Fleet dates'!$E$9:$E$1008,$I421-8)="","",INDEX('Fleet dates'!$E$9:$E$1008,$I421-8)))</x:f>
      </x:c>
      <x:c r="F421" s="51" t="str">
        <x:f>IF(413&gt;$H$4,"",IF(INDEX('Fleet dates'!$F$9:$F$1008,$I421-8)="","",INDEX('Fleet dates'!$F$9:$F$1008,$I421-8)))</x:f>
      </x:c>
      <x:c r="G421" s="50" t="str">
        <x:f>IF(413&gt;$H$4,"",IF(INDEX('Fleet dates'!$G$9:$G$1008,$I421-8)="","",INDEX('Fleet dates'!$G$9:$G$1008,$I421-8)))</x:f>
      </x:c>
      <x:c r="H421" s="50" t="str">
        <x:f>IF(413&gt;$H$4,"",IF(INDEX('Fleet dates'!$I$9:$I$1008,$I421-8)="","",INDEX('Fleet dates'!$I$9:$I$1008,$I421-8)))</x:f>
      </x:c>
      <x:c r="I421" t="str">
        <x:f>IF(413&gt;$H$4,"",MATCH(413,'Fleet dates'!$M$9:$M$1008,0)+8)</x:f>
      </x:c>
    </x:row>
    <x:row r="422" ht="36" customHeight="1">
      <x:c r="A422" s="50" t="str">
        <x:f>IF(414&gt;$H$4,"",IF(INDEX('Fleet dates'!$A$9:$A$1008,$I422-8)="","",INDEX('Fleet dates'!$A$9:$A$1008,$I422-8)))</x:f>
      </x:c>
      <x:c r="B422" s="50" t="str">
        <x:f>IF(414&gt;$H$4,"",IF(INDEX('Fleet dates'!$B$9:$B$1008,$I422-8)="","",INDEX('Fleet dates'!$B$9:$B$1008,$I422-8)))</x:f>
      </x:c>
      <x:c r="C422" s="51" t="str">
        <x:f>IF(414&gt;$H$4,"",IF(INDEX('Fleet dates'!$C$9:$C$1008,$I422-8)="","",INDEX('Fleet dates'!$C$9:$C$1008,$I422-8)))</x:f>
      </x:c>
      <x:c r="D422" s="51" t="str">
        <x:f>IF(414&gt;$H$4,"",IF(INDEX('Fleet dates'!$D$9:$D$1008,$I422-8)="","",INDEX('Fleet dates'!$D$9:$D$1008,$I422-8)))</x:f>
      </x:c>
      <x:c r="E422" s="51" t="str">
        <x:f>IF(414&gt;$H$4,"",IF(INDEX('Fleet dates'!$E$9:$E$1008,$I422-8)="","",INDEX('Fleet dates'!$E$9:$E$1008,$I422-8)))</x:f>
      </x:c>
      <x:c r="F422" s="51" t="str">
        <x:f>IF(414&gt;$H$4,"",IF(INDEX('Fleet dates'!$F$9:$F$1008,$I422-8)="","",INDEX('Fleet dates'!$F$9:$F$1008,$I422-8)))</x:f>
      </x:c>
      <x:c r="G422" s="50" t="str">
        <x:f>IF(414&gt;$H$4,"",IF(INDEX('Fleet dates'!$G$9:$G$1008,$I422-8)="","",INDEX('Fleet dates'!$G$9:$G$1008,$I422-8)))</x:f>
      </x:c>
      <x:c r="H422" s="50" t="str">
        <x:f>IF(414&gt;$H$4,"",IF(INDEX('Fleet dates'!$I$9:$I$1008,$I422-8)="","",INDEX('Fleet dates'!$I$9:$I$1008,$I422-8)))</x:f>
      </x:c>
      <x:c r="I422" t="str">
        <x:f>IF(414&gt;$H$4,"",MATCH(414,'Fleet dates'!$M$9:$M$1008,0)+8)</x:f>
      </x:c>
    </x:row>
    <x:row r="423" ht="36" customHeight="1">
      <x:c r="A423" s="50" t="str">
        <x:f>IF(415&gt;$H$4,"",IF(INDEX('Fleet dates'!$A$9:$A$1008,$I423-8)="","",INDEX('Fleet dates'!$A$9:$A$1008,$I423-8)))</x:f>
      </x:c>
      <x:c r="B423" s="50" t="str">
        <x:f>IF(415&gt;$H$4,"",IF(INDEX('Fleet dates'!$B$9:$B$1008,$I423-8)="","",INDEX('Fleet dates'!$B$9:$B$1008,$I423-8)))</x:f>
      </x:c>
      <x:c r="C423" s="51" t="str">
        <x:f>IF(415&gt;$H$4,"",IF(INDEX('Fleet dates'!$C$9:$C$1008,$I423-8)="","",INDEX('Fleet dates'!$C$9:$C$1008,$I423-8)))</x:f>
      </x:c>
      <x:c r="D423" s="51" t="str">
        <x:f>IF(415&gt;$H$4,"",IF(INDEX('Fleet dates'!$D$9:$D$1008,$I423-8)="","",INDEX('Fleet dates'!$D$9:$D$1008,$I423-8)))</x:f>
      </x:c>
      <x:c r="E423" s="51" t="str">
        <x:f>IF(415&gt;$H$4,"",IF(INDEX('Fleet dates'!$E$9:$E$1008,$I423-8)="","",INDEX('Fleet dates'!$E$9:$E$1008,$I423-8)))</x:f>
      </x:c>
      <x:c r="F423" s="51" t="str">
        <x:f>IF(415&gt;$H$4,"",IF(INDEX('Fleet dates'!$F$9:$F$1008,$I423-8)="","",INDEX('Fleet dates'!$F$9:$F$1008,$I423-8)))</x:f>
      </x:c>
      <x:c r="G423" s="50" t="str">
        <x:f>IF(415&gt;$H$4,"",IF(INDEX('Fleet dates'!$G$9:$G$1008,$I423-8)="","",INDEX('Fleet dates'!$G$9:$G$1008,$I423-8)))</x:f>
      </x:c>
      <x:c r="H423" s="50" t="str">
        <x:f>IF(415&gt;$H$4,"",IF(INDEX('Fleet dates'!$I$9:$I$1008,$I423-8)="","",INDEX('Fleet dates'!$I$9:$I$1008,$I423-8)))</x:f>
      </x:c>
      <x:c r="I423" t="str">
        <x:f>IF(415&gt;$H$4,"",MATCH(415,'Fleet dates'!$M$9:$M$1008,0)+8)</x:f>
      </x:c>
    </x:row>
    <x:row r="424" ht="36" customHeight="1">
      <x:c r="A424" s="50" t="str">
        <x:f>IF(416&gt;$H$4,"",IF(INDEX('Fleet dates'!$A$9:$A$1008,$I424-8)="","",INDEX('Fleet dates'!$A$9:$A$1008,$I424-8)))</x:f>
      </x:c>
      <x:c r="B424" s="50" t="str">
        <x:f>IF(416&gt;$H$4,"",IF(INDEX('Fleet dates'!$B$9:$B$1008,$I424-8)="","",INDEX('Fleet dates'!$B$9:$B$1008,$I424-8)))</x:f>
      </x:c>
      <x:c r="C424" s="51" t="str">
        <x:f>IF(416&gt;$H$4,"",IF(INDEX('Fleet dates'!$C$9:$C$1008,$I424-8)="","",INDEX('Fleet dates'!$C$9:$C$1008,$I424-8)))</x:f>
      </x:c>
      <x:c r="D424" s="51" t="str">
        <x:f>IF(416&gt;$H$4,"",IF(INDEX('Fleet dates'!$D$9:$D$1008,$I424-8)="","",INDEX('Fleet dates'!$D$9:$D$1008,$I424-8)))</x:f>
      </x:c>
      <x:c r="E424" s="51" t="str">
        <x:f>IF(416&gt;$H$4,"",IF(INDEX('Fleet dates'!$E$9:$E$1008,$I424-8)="","",INDEX('Fleet dates'!$E$9:$E$1008,$I424-8)))</x:f>
      </x:c>
      <x:c r="F424" s="51" t="str">
        <x:f>IF(416&gt;$H$4,"",IF(INDEX('Fleet dates'!$F$9:$F$1008,$I424-8)="","",INDEX('Fleet dates'!$F$9:$F$1008,$I424-8)))</x:f>
      </x:c>
      <x:c r="G424" s="50" t="str">
        <x:f>IF(416&gt;$H$4,"",IF(INDEX('Fleet dates'!$G$9:$G$1008,$I424-8)="","",INDEX('Fleet dates'!$G$9:$G$1008,$I424-8)))</x:f>
      </x:c>
      <x:c r="H424" s="50" t="str">
        <x:f>IF(416&gt;$H$4,"",IF(INDEX('Fleet dates'!$I$9:$I$1008,$I424-8)="","",INDEX('Fleet dates'!$I$9:$I$1008,$I424-8)))</x:f>
      </x:c>
      <x:c r="I424" t="str">
        <x:f>IF(416&gt;$H$4,"",MATCH(416,'Fleet dates'!$M$9:$M$1008,0)+8)</x:f>
      </x:c>
    </x:row>
    <x:row r="425" ht="36" customHeight="1">
      <x:c r="A425" s="50" t="str">
        <x:f>IF(417&gt;$H$4,"",IF(INDEX('Fleet dates'!$A$9:$A$1008,$I425-8)="","",INDEX('Fleet dates'!$A$9:$A$1008,$I425-8)))</x:f>
      </x:c>
      <x:c r="B425" s="50" t="str">
        <x:f>IF(417&gt;$H$4,"",IF(INDEX('Fleet dates'!$B$9:$B$1008,$I425-8)="","",INDEX('Fleet dates'!$B$9:$B$1008,$I425-8)))</x:f>
      </x:c>
      <x:c r="C425" s="51" t="str">
        <x:f>IF(417&gt;$H$4,"",IF(INDEX('Fleet dates'!$C$9:$C$1008,$I425-8)="","",INDEX('Fleet dates'!$C$9:$C$1008,$I425-8)))</x:f>
      </x:c>
      <x:c r="D425" s="51" t="str">
        <x:f>IF(417&gt;$H$4,"",IF(INDEX('Fleet dates'!$D$9:$D$1008,$I425-8)="","",INDEX('Fleet dates'!$D$9:$D$1008,$I425-8)))</x:f>
      </x:c>
      <x:c r="E425" s="51" t="str">
        <x:f>IF(417&gt;$H$4,"",IF(INDEX('Fleet dates'!$E$9:$E$1008,$I425-8)="","",INDEX('Fleet dates'!$E$9:$E$1008,$I425-8)))</x:f>
      </x:c>
      <x:c r="F425" s="51" t="str">
        <x:f>IF(417&gt;$H$4,"",IF(INDEX('Fleet dates'!$F$9:$F$1008,$I425-8)="","",INDEX('Fleet dates'!$F$9:$F$1008,$I425-8)))</x:f>
      </x:c>
      <x:c r="G425" s="50" t="str">
        <x:f>IF(417&gt;$H$4,"",IF(INDEX('Fleet dates'!$G$9:$G$1008,$I425-8)="","",INDEX('Fleet dates'!$G$9:$G$1008,$I425-8)))</x:f>
      </x:c>
      <x:c r="H425" s="50" t="str">
        <x:f>IF(417&gt;$H$4,"",IF(INDEX('Fleet dates'!$I$9:$I$1008,$I425-8)="","",INDEX('Fleet dates'!$I$9:$I$1008,$I425-8)))</x:f>
      </x:c>
      <x:c r="I425" t="str">
        <x:f>IF(417&gt;$H$4,"",MATCH(417,'Fleet dates'!$M$9:$M$1008,0)+8)</x:f>
      </x:c>
    </x:row>
    <x:row r="426" ht="36" customHeight="1">
      <x:c r="A426" s="50" t="str">
        <x:f>IF(418&gt;$H$4,"",IF(INDEX('Fleet dates'!$A$9:$A$1008,$I426-8)="","",INDEX('Fleet dates'!$A$9:$A$1008,$I426-8)))</x:f>
      </x:c>
      <x:c r="B426" s="50" t="str">
        <x:f>IF(418&gt;$H$4,"",IF(INDEX('Fleet dates'!$B$9:$B$1008,$I426-8)="","",INDEX('Fleet dates'!$B$9:$B$1008,$I426-8)))</x:f>
      </x:c>
      <x:c r="C426" s="51" t="str">
        <x:f>IF(418&gt;$H$4,"",IF(INDEX('Fleet dates'!$C$9:$C$1008,$I426-8)="","",INDEX('Fleet dates'!$C$9:$C$1008,$I426-8)))</x:f>
      </x:c>
      <x:c r="D426" s="51" t="str">
        <x:f>IF(418&gt;$H$4,"",IF(INDEX('Fleet dates'!$D$9:$D$1008,$I426-8)="","",INDEX('Fleet dates'!$D$9:$D$1008,$I426-8)))</x:f>
      </x:c>
      <x:c r="E426" s="51" t="str">
        <x:f>IF(418&gt;$H$4,"",IF(INDEX('Fleet dates'!$E$9:$E$1008,$I426-8)="","",INDEX('Fleet dates'!$E$9:$E$1008,$I426-8)))</x:f>
      </x:c>
      <x:c r="F426" s="51" t="str">
        <x:f>IF(418&gt;$H$4,"",IF(INDEX('Fleet dates'!$F$9:$F$1008,$I426-8)="","",INDEX('Fleet dates'!$F$9:$F$1008,$I426-8)))</x:f>
      </x:c>
      <x:c r="G426" s="50" t="str">
        <x:f>IF(418&gt;$H$4,"",IF(INDEX('Fleet dates'!$G$9:$G$1008,$I426-8)="","",INDEX('Fleet dates'!$G$9:$G$1008,$I426-8)))</x:f>
      </x:c>
      <x:c r="H426" s="50" t="str">
        <x:f>IF(418&gt;$H$4,"",IF(INDEX('Fleet dates'!$I$9:$I$1008,$I426-8)="","",INDEX('Fleet dates'!$I$9:$I$1008,$I426-8)))</x:f>
      </x:c>
      <x:c r="I426" t="str">
        <x:f>IF(418&gt;$H$4,"",MATCH(418,'Fleet dates'!$M$9:$M$1008,0)+8)</x:f>
      </x:c>
    </x:row>
    <x:row r="427" ht="36" customHeight="1">
      <x:c r="A427" s="50" t="str">
        <x:f>IF(419&gt;$H$4,"",IF(INDEX('Fleet dates'!$A$9:$A$1008,$I427-8)="","",INDEX('Fleet dates'!$A$9:$A$1008,$I427-8)))</x:f>
      </x:c>
      <x:c r="B427" s="50" t="str">
        <x:f>IF(419&gt;$H$4,"",IF(INDEX('Fleet dates'!$B$9:$B$1008,$I427-8)="","",INDEX('Fleet dates'!$B$9:$B$1008,$I427-8)))</x:f>
      </x:c>
      <x:c r="C427" s="51" t="str">
        <x:f>IF(419&gt;$H$4,"",IF(INDEX('Fleet dates'!$C$9:$C$1008,$I427-8)="","",INDEX('Fleet dates'!$C$9:$C$1008,$I427-8)))</x:f>
      </x:c>
      <x:c r="D427" s="51" t="str">
        <x:f>IF(419&gt;$H$4,"",IF(INDEX('Fleet dates'!$D$9:$D$1008,$I427-8)="","",INDEX('Fleet dates'!$D$9:$D$1008,$I427-8)))</x:f>
      </x:c>
      <x:c r="E427" s="51" t="str">
        <x:f>IF(419&gt;$H$4,"",IF(INDEX('Fleet dates'!$E$9:$E$1008,$I427-8)="","",INDEX('Fleet dates'!$E$9:$E$1008,$I427-8)))</x:f>
      </x:c>
      <x:c r="F427" s="51" t="str">
        <x:f>IF(419&gt;$H$4,"",IF(INDEX('Fleet dates'!$F$9:$F$1008,$I427-8)="","",INDEX('Fleet dates'!$F$9:$F$1008,$I427-8)))</x:f>
      </x:c>
      <x:c r="G427" s="50" t="str">
        <x:f>IF(419&gt;$H$4,"",IF(INDEX('Fleet dates'!$G$9:$G$1008,$I427-8)="","",INDEX('Fleet dates'!$G$9:$G$1008,$I427-8)))</x:f>
      </x:c>
      <x:c r="H427" s="50" t="str">
        <x:f>IF(419&gt;$H$4,"",IF(INDEX('Fleet dates'!$I$9:$I$1008,$I427-8)="","",INDEX('Fleet dates'!$I$9:$I$1008,$I427-8)))</x:f>
      </x:c>
      <x:c r="I427" t="str">
        <x:f>IF(419&gt;$H$4,"",MATCH(419,'Fleet dates'!$M$9:$M$1008,0)+8)</x:f>
      </x:c>
    </x:row>
    <x:row r="428" ht="36" customHeight="1">
      <x:c r="A428" s="50" t="str">
        <x:f>IF(420&gt;$H$4,"",IF(INDEX('Fleet dates'!$A$9:$A$1008,$I428-8)="","",INDEX('Fleet dates'!$A$9:$A$1008,$I428-8)))</x:f>
      </x:c>
      <x:c r="B428" s="50" t="str">
        <x:f>IF(420&gt;$H$4,"",IF(INDEX('Fleet dates'!$B$9:$B$1008,$I428-8)="","",INDEX('Fleet dates'!$B$9:$B$1008,$I428-8)))</x:f>
      </x:c>
      <x:c r="C428" s="51" t="str">
        <x:f>IF(420&gt;$H$4,"",IF(INDEX('Fleet dates'!$C$9:$C$1008,$I428-8)="","",INDEX('Fleet dates'!$C$9:$C$1008,$I428-8)))</x:f>
      </x:c>
      <x:c r="D428" s="51" t="str">
        <x:f>IF(420&gt;$H$4,"",IF(INDEX('Fleet dates'!$D$9:$D$1008,$I428-8)="","",INDEX('Fleet dates'!$D$9:$D$1008,$I428-8)))</x:f>
      </x:c>
      <x:c r="E428" s="51" t="str">
        <x:f>IF(420&gt;$H$4,"",IF(INDEX('Fleet dates'!$E$9:$E$1008,$I428-8)="","",INDEX('Fleet dates'!$E$9:$E$1008,$I428-8)))</x:f>
      </x:c>
      <x:c r="F428" s="51" t="str">
        <x:f>IF(420&gt;$H$4,"",IF(INDEX('Fleet dates'!$F$9:$F$1008,$I428-8)="","",INDEX('Fleet dates'!$F$9:$F$1008,$I428-8)))</x:f>
      </x:c>
      <x:c r="G428" s="50" t="str">
        <x:f>IF(420&gt;$H$4,"",IF(INDEX('Fleet dates'!$G$9:$G$1008,$I428-8)="","",INDEX('Fleet dates'!$G$9:$G$1008,$I428-8)))</x:f>
      </x:c>
      <x:c r="H428" s="50" t="str">
        <x:f>IF(420&gt;$H$4,"",IF(INDEX('Fleet dates'!$I$9:$I$1008,$I428-8)="","",INDEX('Fleet dates'!$I$9:$I$1008,$I428-8)))</x:f>
      </x:c>
      <x:c r="I428" t="str">
        <x:f>IF(420&gt;$H$4,"",MATCH(420,'Fleet dates'!$M$9:$M$1008,0)+8)</x:f>
      </x:c>
    </x:row>
    <x:row r="429" ht="36" customHeight="1">
      <x:c r="A429" s="50" t="str">
        <x:f>IF(421&gt;$H$4,"",IF(INDEX('Fleet dates'!$A$9:$A$1008,$I429-8)="","",INDEX('Fleet dates'!$A$9:$A$1008,$I429-8)))</x:f>
      </x:c>
      <x:c r="B429" s="50" t="str">
        <x:f>IF(421&gt;$H$4,"",IF(INDEX('Fleet dates'!$B$9:$B$1008,$I429-8)="","",INDEX('Fleet dates'!$B$9:$B$1008,$I429-8)))</x:f>
      </x:c>
      <x:c r="C429" s="51" t="str">
        <x:f>IF(421&gt;$H$4,"",IF(INDEX('Fleet dates'!$C$9:$C$1008,$I429-8)="","",INDEX('Fleet dates'!$C$9:$C$1008,$I429-8)))</x:f>
      </x:c>
      <x:c r="D429" s="51" t="str">
        <x:f>IF(421&gt;$H$4,"",IF(INDEX('Fleet dates'!$D$9:$D$1008,$I429-8)="","",INDEX('Fleet dates'!$D$9:$D$1008,$I429-8)))</x:f>
      </x:c>
      <x:c r="E429" s="51" t="str">
        <x:f>IF(421&gt;$H$4,"",IF(INDEX('Fleet dates'!$E$9:$E$1008,$I429-8)="","",INDEX('Fleet dates'!$E$9:$E$1008,$I429-8)))</x:f>
      </x:c>
      <x:c r="F429" s="51" t="str">
        <x:f>IF(421&gt;$H$4,"",IF(INDEX('Fleet dates'!$F$9:$F$1008,$I429-8)="","",INDEX('Fleet dates'!$F$9:$F$1008,$I429-8)))</x:f>
      </x:c>
      <x:c r="G429" s="50" t="str">
        <x:f>IF(421&gt;$H$4,"",IF(INDEX('Fleet dates'!$G$9:$G$1008,$I429-8)="","",INDEX('Fleet dates'!$G$9:$G$1008,$I429-8)))</x:f>
      </x:c>
      <x:c r="H429" s="50" t="str">
        <x:f>IF(421&gt;$H$4,"",IF(INDEX('Fleet dates'!$I$9:$I$1008,$I429-8)="","",INDEX('Fleet dates'!$I$9:$I$1008,$I429-8)))</x:f>
      </x:c>
      <x:c r="I429" t="str">
        <x:f>IF(421&gt;$H$4,"",MATCH(421,'Fleet dates'!$M$9:$M$1008,0)+8)</x:f>
      </x:c>
    </x:row>
    <x:row r="430" ht="36" customHeight="1">
      <x:c r="A430" s="50" t="str">
        <x:f>IF(422&gt;$H$4,"",IF(INDEX('Fleet dates'!$A$9:$A$1008,$I430-8)="","",INDEX('Fleet dates'!$A$9:$A$1008,$I430-8)))</x:f>
      </x:c>
      <x:c r="B430" s="50" t="str">
        <x:f>IF(422&gt;$H$4,"",IF(INDEX('Fleet dates'!$B$9:$B$1008,$I430-8)="","",INDEX('Fleet dates'!$B$9:$B$1008,$I430-8)))</x:f>
      </x:c>
      <x:c r="C430" s="51" t="str">
        <x:f>IF(422&gt;$H$4,"",IF(INDEX('Fleet dates'!$C$9:$C$1008,$I430-8)="","",INDEX('Fleet dates'!$C$9:$C$1008,$I430-8)))</x:f>
      </x:c>
      <x:c r="D430" s="51" t="str">
        <x:f>IF(422&gt;$H$4,"",IF(INDEX('Fleet dates'!$D$9:$D$1008,$I430-8)="","",INDEX('Fleet dates'!$D$9:$D$1008,$I430-8)))</x:f>
      </x:c>
      <x:c r="E430" s="51" t="str">
        <x:f>IF(422&gt;$H$4,"",IF(INDEX('Fleet dates'!$E$9:$E$1008,$I430-8)="","",INDEX('Fleet dates'!$E$9:$E$1008,$I430-8)))</x:f>
      </x:c>
      <x:c r="F430" s="51" t="str">
        <x:f>IF(422&gt;$H$4,"",IF(INDEX('Fleet dates'!$F$9:$F$1008,$I430-8)="","",INDEX('Fleet dates'!$F$9:$F$1008,$I430-8)))</x:f>
      </x:c>
      <x:c r="G430" s="50" t="str">
        <x:f>IF(422&gt;$H$4,"",IF(INDEX('Fleet dates'!$G$9:$G$1008,$I430-8)="","",INDEX('Fleet dates'!$G$9:$G$1008,$I430-8)))</x:f>
      </x:c>
      <x:c r="H430" s="50" t="str">
        <x:f>IF(422&gt;$H$4,"",IF(INDEX('Fleet dates'!$I$9:$I$1008,$I430-8)="","",INDEX('Fleet dates'!$I$9:$I$1008,$I430-8)))</x:f>
      </x:c>
      <x:c r="I430" t="str">
        <x:f>IF(422&gt;$H$4,"",MATCH(422,'Fleet dates'!$M$9:$M$1008,0)+8)</x:f>
      </x:c>
    </x:row>
    <x:row r="431" ht="36" customHeight="1">
      <x:c r="A431" s="50" t="str">
        <x:f>IF(423&gt;$H$4,"",IF(INDEX('Fleet dates'!$A$9:$A$1008,$I431-8)="","",INDEX('Fleet dates'!$A$9:$A$1008,$I431-8)))</x:f>
      </x:c>
      <x:c r="B431" s="50" t="str">
        <x:f>IF(423&gt;$H$4,"",IF(INDEX('Fleet dates'!$B$9:$B$1008,$I431-8)="","",INDEX('Fleet dates'!$B$9:$B$1008,$I431-8)))</x:f>
      </x:c>
      <x:c r="C431" s="51" t="str">
        <x:f>IF(423&gt;$H$4,"",IF(INDEX('Fleet dates'!$C$9:$C$1008,$I431-8)="","",INDEX('Fleet dates'!$C$9:$C$1008,$I431-8)))</x:f>
      </x:c>
      <x:c r="D431" s="51" t="str">
        <x:f>IF(423&gt;$H$4,"",IF(INDEX('Fleet dates'!$D$9:$D$1008,$I431-8)="","",INDEX('Fleet dates'!$D$9:$D$1008,$I431-8)))</x:f>
      </x:c>
      <x:c r="E431" s="51" t="str">
        <x:f>IF(423&gt;$H$4,"",IF(INDEX('Fleet dates'!$E$9:$E$1008,$I431-8)="","",INDEX('Fleet dates'!$E$9:$E$1008,$I431-8)))</x:f>
      </x:c>
      <x:c r="F431" s="51" t="str">
        <x:f>IF(423&gt;$H$4,"",IF(INDEX('Fleet dates'!$F$9:$F$1008,$I431-8)="","",INDEX('Fleet dates'!$F$9:$F$1008,$I431-8)))</x:f>
      </x:c>
      <x:c r="G431" s="50" t="str">
        <x:f>IF(423&gt;$H$4,"",IF(INDEX('Fleet dates'!$G$9:$G$1008,$I431-8)="","",INDEX('Fleet dates'!$G$9:$G$1008,$I431-8)))</x:f>
      </x:c>
      <x:c r="H431" s="50" t="str">
        <x:f>IF(423&gt;$H$4,"",IF(INDEX('Fleet dates'!$I$9:$I$1008,$I431-8)="","",INDEX('Fleet dates'!$I$9:$I$1008,$I431-8)))</x:f>
      </x:c>
      <x:c r="I431" t="str">
        <x:f>IF(423&gt;$H$4,"",MATCH(423,'Fleet dates'!$M$9:$M$1008,0)+8)</x:f>
      </x:c>
    </x:row>
    <x:row r="432" ht="36" customHeight="1">
      <x:c r="A432" s="50" t="str">
        <x:f>IF(424&gt;$H$4,"",IF(INDEX('Fleet dates'!$A$9:$A$1008,$I432-8)="","",INDEX('Fleet dates'!$A$9:$A$1008,$I432-8)))</x:f>
      </x:c>
      <x:c r="B432" s="50" t="str">
        <x:f>IF(424&gt;$H$4,"",IF(INDEX('Fleet dates'!$B$9:$B$1008,$I432-8)="","",INDEX('Fleet dates'!$B$9:$B$1008,$I432-8)))</x:f>
      </x:c>
      <x:c r="C432" s="51" t="str">
        <x:f>IF(424&gt;$H$4,"",IF(INDEX('Fleet dates'!$C$9:$C$1008,$I432-8)="","",INDEX('Fleet dates'!$C$9:$C$1008,$I432-8)))</x:f>
      </x:c>
      <x:c r="D432" s="51" t="str">
        <x:f>IF(424&gt;$H$4,"",IF(INDEX('Fleet dates'!$D$9:$D$1008,$I432-8)="","",INDEX('Fleet dates'!$D$9:$D$1008,$I432-8)))</x:f>
      </x:c>
      <x:c r="E432" s="51" t="str">
        <x:f>IF(424&gt;$H$4,"",IF(INDEX('Fleet dates'!$E$9:$E$1008,$I432-8)="","",INDEX('Fleet dates'!$E$9:$E$1008,$I432-8)))</x:f>
      </x:c>
      <x:c r="F432" s="51" t="str">
        <x:f>IF(424&gt;$H$4,"",IF(INDEX('Fleet dates'!$F$9:$F$1008,$I432-8)="","",INDEX('Fleet dates'!$F$9:$F$1008,$I432-8)))</x:f>
      </x:c>
      <x:c r="G432" s="50" t="str">
        <x:f>IF(424&gt;$H$4,"",IF(INDEX('Fleet dates'!$G$9:$G$1008,$I432-8)="","",INDEX('Fleet dates'!$G$9:$G$1008,$I432-8)))</x:f>
      </x:c>
      <x:c r="H432" s="50" t="str">
        <x:f>IF(424&gt;$H$4,"",IF(INDEX('Fleet dates'!$I$9:$I$1008,$I432-8)="","",INDEX('Fleet dates'!$I$9:$I$1008,$I432-8)))</x:f>
      </x:c>
      <x:c r="I432" t="str">
        <x:f>IF(424&gt;$H$4,"",MATCH(424,'Fleet dates'!$M$9:$M$1008,0)+8)</x:f>
      </x:c>
    </x:row>
    <x:row r="433" ht="36" customHeight="1">
      <x:c r="A433" s="50" t="str">
        <x:f>IF(425&gt;$H$4,"",IF(INDEX('Fleet dates'!$A$9:$A$1008,$I433-8)="","",INDEX('Fleet dates'!$A$9:$A$1008,$I433-8)))</x:f>
      </x:c>
      <x:c r="B433" s="50" t="str">
        <x:f>IF(425&gt;$H$4,"",IF(INDEX('Fleet dates'!$B$9:$B$1008,$I433-8)="","",INDEX('Fleet dates'!$B$9:$B$1008,$I433-8)))</x:f>
      </x:c>
      <x:c r="C433" s="51" t="str">
        <x:f>IF(425&gt;$H$4,"",IF(INDEX('Fleet dates'!$C$9:$C$1008,$I433-8)="","",INDEX('Fleet dates'!$C$9:$C$1008,$I433-8)))</x:f>
      </x:c>
      <x:c r="D433" s="51" t="str">
        <x:f>IF(425&gt;$H$4,"",IF(INDEX('Fleet dates'!$D$9:$D$1008,$I433-8)="","",INDEX('Fleet dates'!$D$9:$D$1008,$I433-8)))</x:f>
      </x:c>
      <x:c r="E433" s="51" t="str">
        <x:f>IF(425&gt;$H$4,"",IF(INDEX('Fleet dates'!$E$9:$E$1008,$I433-8)="","",INDEX('Fleet dates'!$E$9:$E$1008,$I433-8)))</x:f>
      </x:c>
      <x:c r="F433" s="51" t="str">
        <x:f>IF(425&gt;$H$4,"",IF(INDEX('Fleet dates'!$F$9:$F$1008,$I433-8)="","",INDEX('Fleet dates'!$F$9:$F$1008,$I433-8)))</x:f>
      </x:c>
      <x:c r="G433" s="50" t="str">
        <x:f>IF(425&gt;$H$4,"",IF(INDEX('Fleet dates'!$G$9:$G$1008,$I433-8)="","",INDEX('Fleet dates'!$G$9:$G$1008,$I433-8)))</x:f>
      </x:c>
      <x:c r="H433" s="50" t="str">
        <x:f>IF(425&gt;$H$4,"",IF(INDEX('Fleet dates'!$I$9:$I$1008,$I433-8)="","",INDEX('Fleet dates'!$I$9:$I$1008,$I433-8)))</x:f>
      </x:c>
      <x:c r="I433" t="str">
        <x:f>IF(425&gt;$H$4,"",MATCH(425,'Fleet dates'!$M$9:$M$1008,0)+8)</x:f>
      </x:c>
    </x:row>
    <x:row r="434" ht="36" customHeight="1">
      <x:c r="A434" s="50" t="str">
        <x:f>IF(426&gt;$H$4,"",IF(INDEX('Fleet dates'!$A$9:$A$1008,$I434-8)="","",INDEX('Fleet dates'!$A$9:$A$1008,$I434-8)))</x:f>
      </x:c>
      <x:c r="B434" s="50" t="str">
        <x:f>IF(426&gt;$H$4,"",IF(INDEX('Fleet dates'!$B$9:$B$1008,$I434-8)="","",INDEX('Fleet dates'!$B$9:$B$1008,$I434-8)))</x:f>
      </x:c>
      <x:c r="C434" s="51" t="str">
        <x:f>IF(426&gt;$H$4,"",IF(INDEX('Fleet dates'!$C$9:$C$1008,$I434-8)="","",INDEX('Fleet dates'!$C$9:$C$1008,$I434-8)))</x:f>
      </x:c>
      <x:c r="D434" s="51" t="str">
        <x:f>IF(426&gt;$H$4,"",IF(INDEX('Fleet dates'!$D$9:$D$1008,$I434-8)="","",INDEX('Fleet dates'!$D$9:$D$1008,$I434-8)))</x:f>
      </x:c>
      <x:c r="E434" s="51" t="str">
        <x:f>IF(426&gt;$H$4,"",IF(INDEX('Fleet dates'!$E$9:$E$1008,$I434-8)="","",INDEX('Fleet dates'!$E$9:$E$1008,$I434-8)))</x:f>
      </x:c>
      <x:c r="F434" s="51" t="str">
        <x:f>IF(426&gt;$H$4,"",IF(INDEX('Fleet dates'!$F$9:$F$1008,$I434-8)="","",INDEX('Fleet dates'!$F$9:$F$1008,$I434-8)))</x:f>
      </x:c>
      <x:c r="G434" s="50" t="str">
        <x:f>IF(426&gt;$H$4,"",IF(INDEX('Fleet dates'!$G$9:$G$1008,$I434-8)="","",INDEX('Fleet dates'!$G$9:$G$1008,$I434-8)))</x:f>
      </x:c>
      <x:c r="H434" s="50" t="str">
        <x:f>IF(426&gt;$H$4,"",IF(INDEX('Fleet dates'!$I$9:$I$1008,$I434-8)="","",INDEX('Fleet dates'!$I$9:$I$1008,$I434-8)))</x:f>
      </x:c>
      <x:c r="I434" t="str">
        <x:f>IF(426&gt;$H$4,"",MATCH(426,'Fleet dates'!$M$9:$M$1008,0)+8)</x:f>
      </x:c>
    </x:row>
    <x:row r="435" ht="36" customHeight="1">
      <x:c r="A435" s="50" t="str">
        <x:f>IF(427&gt;$H$4,"",IF(INDEX('Fleet dates'!$A$9:$A$1008,$I435-8)="","",INDEX('Fleet dates'!$A$9:$A$1008,$I435-8)))</x:f>
      </x:c>
      <x:c r="B435" s="50" t="str">
        <x:f>IF(427&gt;$H$4,"",IF(INDEX('Fleet dates'!$B$9:$B$1008,$I435-8)="","",INDEX('Fleet dates'!$B$9:$B$1008,$I435-8)))</x:f>
      </x:c>
      <x:c r="C435" s="51" t="str">
        <x:f>IF(427&gt;$H$4,"",IF(INDEX('Fleet dates'!$C$9:$C$1008,$I435-8)="","",INDEX('Fleet dates'!$C$9:$C$1008,$I435-8)))</x:f>
      </x:c>
      <x:c r="D435" s="51" t="str">
        <x:f>IF(427&gt;$H$4,"",IF(INDEX('Fleet dates'!$D$9:$D$1008,$I435-8)="","",INDEX('Fleet dates'!$D$9:$D$1008,$I435-8)))</x:f>
      </x:c>
      <x:c r="E435" s="51" t="str">
        <x:f>IF(427&gt;$H$4,"",IF(INDEX('Fleet dates'!$E$9:$E$1008,$I435-8)="","",INDEX('Fleet dates'!$E$9:$E$1008,$I435-8)))</x:f>
      </x:c>
      <x:c r="F435" s="51" t="str">
        <x:f>IF(427&gt;$H$4,"",IF(INDEX('Fleet dates'!$F$9:$F$1008,$I435-8)="","",INDEX('Fleet dates'!$F$9:$F$1008,$I435-8)))</x:f>
      </x:c>
      <x:c r="G435" s="50" t="str">
        <x:f>IF(427&gt;$H$4,"",IF(INDEX('Fleet dates'!$G$9:$G$1008,$I435-8)="","",INDEX('Fleet dates'!$G$9:$G$1008,$I435-8)))</x:f>
      </x:c>
      <x:c r="H435" s="50" t="str">
        <x:f>IF(427&gt;$H$4,"",IF(INDEX('Fleet dates'!$I$9:$I$1008,$I435-8)="","",INDEX('Fleet dates'!$I$9:$I$1008,$I435-8)))</x:f>
      </x:c>
      <x:c r="I435" t="str">
        <x:f>IF(427&gt;$H$4,"",MATCH(427,'Fleet dates'!$M$9:$M$1008,0)+8)</x:f>
      </x:c>
    </x:row>
    <x:row r="436" ht="36" customHeight="1">
      <x:c r="A436" s="50" t="str">
        <x:f>IF(428&gt;$H$4,"",IF(INDEX('Fleet dates'!$A$9:$A$1008,$I436-8)="","",INDEX('Fleet dates'!$A$9:$A$1008,$I436-8)))</x:f>
      </x:c>
      <x:c r="B436" s="50" t="str">
        <x:f>IF(428&gt;$H$4,"",IF(INDEX('Fleet dates'!$B$9:$B$1008,$I436-8)="","",INDEX('Fleet dates'!$B$9:$B$1008,$I436-8)))</x:f>
      </x:c>
      <x:c r="C436" s="51" t="str">
        <x:f>IF(428&gt;$H$4,"",IF(INDEX('Fleet dates'!$C$9:$C$1008,$I436-8)="","",INDEX('Fleet dates'!$C$9:$C$1008,$I436-8)))</x:f>
      </x:c>
      <x:c r="D436" s="51" t="str">
        <x:f>IF(428&gt;$H$4,"",IF(INDEX('Fleet dates'!$D$9:$D$1008,$I436-8)="","",INDEX('Fleet dates'!$D$9:$D$1008,$I436-8)))</x:f>
      </x:c>
      <x:c r="E436" s="51" t="str">
        <x:f>IF(428&gt;$H$4,"",IF(INDEX('Fleet dates'!$E$9:$E$1008,$I436-8)="","",INDEX('Fleet dates'!$E$9:$E$1008,$I436-8)))</x:f>
      </x:c>
      <x:c r="F436" s="51" t="str">
        <x:f>IF(428&gt;$H$4,"",IF(INDEX('Fleet dates'!$F$9:$F$1008,$I436-8)="","",INDEX('Fleet dates'!$F$9:$F$1008,$I436-8)))</x:f>
      </x:c>
      <x:c r="G436" s="50" t="str">
        <x:f>IF(428&gt;$H$4,"",IF(INDEX('Fleet dates'!$G$9:$G$1008,$I436-8)="","",INDEX('Fleet dates'!$G$9:$G$1008,$I436-8)))</x:f>
      </x:c>
      <x:c r="H436" s="50" t="str">
        <x:f>IF(428&gt;$H$4,"",IF(INDEX('Fleet dates'!$I$9:$I$1008,$I436-8)="","",INDEX('Fleet dates'!$I$9:$I$1008,$I436-8)))</x:f>
      </x:c>
      <x:c r="I436" t="str">
        <x:f>IF(428&gt;$H$4,"",MATCH(428,'Fleet dates'!$M$9:$M$1008,0)+8)</x:f>
      </x:c>
    </x:row>
    <x:row r="437" ht="36" customHeight="1">
      <x:c r="A437" s="50" t="str">
        <x:f>IF(429&gt;$H$4,"",IF(INDEX('Fleet dates'!$A$9:$A$1008,$I437-8)="","",INDEX('Fleet dates'!$A$9:$A$1008,$I437-8)))</x:f>
      </x:c>
      <x:c r="B437" s="50" t="str">
        <x:f>IF(429&gt;$H$4,"",IF(INDEX('Fleet dates'!$B$9:$B$1008,$I437-8)="","",INDEX('Fleet dates'!$B$9:$B$1008,$I437-8)))</x:f>
      </x:c>
      <x:c r="C437" s="51" t="str">
        <x:f>IF(429&gt;$H$4,"",IF(INDEX('Fleet dates'!$C$9:$C$1008,$I437-8)="","",INDEX('Fleet dates'!$C$9:$C$1008,$I437-8)))</x:f>
      </x:c>
      <x:c r="D437" s="51" t="str">
        <x:f>IF(429&gt;$H$4,"",IF(INDEX('Fleet dates'!$D$9:$D$1008,$I437-8)="","",INDEX('Fleet dates'!$D$9:$D$1008,$I437-8)))</x:f>
      </x:c>
      <x:c r="E437" s="51" t="str">
        <x:f>IF(429&gt;$H$4,"",IF(INDEX('Fleet dates'!$E$9:$E$1008,$I437-8)="","",INDEX('Fleet dates'!$E$9:$E$1008,$I437-8)))</x:f>
      </x:c>
      <x:c r="F437" s="51" t="str">
        <x:f>IF(429&gt;$H$4,"",IF(INDEX('Fleet dates'!$F$9:$F$1008,$I437-8)="","",INDEX('Fleet dates'!$F$9:$F$1008,$I437-8)))</x:f>
      </x:c>
      <x:c r="G437" s="50" t="str">
        <x:f>IF(429&gt;$H$4,"",IF(INDEX('Fleet dates'!$G$9:$G$1008,$I437-8)="","",INDEX('Fleet dates'!$G$9:$G$1008,$I437-8)))</x:f>
      </x:c>
      <x:c r="H437" s="50" t="str">
        <x:f>IF(429&gt;$H$4,"",IF(INDEX('Fleet dates'!$I$9:$I$1008,$I437-8)="","",INDEX('Fleet dates'!$I$9:$I$1008,$I437-8)))</x:f>
      </x:c>
      <x:c r="I437" t="str">
        <x:f>IF(429&gt;$H$4,"",MATCH(429,'Fleet dates'!$M$9:$M$1008,0)+8)</x:f>
      </x:c>
    </x:row>
    <x:row r="438" ht="36" customHeight="1">
      <x:c r="A438" s="50" t="str">
        <x:f>IF(430&gt;$H$4,"",IF(INDEX('Fleet dates'!$A$9:$A$1008,$I438-8)="","",INDEX('Fleet dates'!$A$9:$A$1008,$I438-8)))</x:f>
      </x:c>
      <x:c r="B438" s="50" t="str">
        <x:f>IF(430&gt;$H$4,"",IF(INDEX('Fleet dates'!$B$9:$B$1008,$I438-8)="","",INDEX('Fleet dates'!$B$9:$B$1008,$I438-8)))</x:f>
      </x:c>
      <x:c r="C438" s="51" t="str">
        <x:f>IF(430&gt;$H$4,"",IF(INDEX('Fleet dates'!$C$9:$C$1008,$I438-8)="","",INDEX('Fleet dates'!$C$9:$C$1008,$I438-8)))</x:f>
      </x:c>
      <x:c r="D438" s="51" t="str">
        <x:f>IF(430&gt;$H$4,"",IF(INDEX('Fleet dates'!$D$9:$D$1008,$I438-8)="","",INDEX('Fleet dates'!$D$9:$D$1008,$I438-8)))</x:f>
      </x:c>
      <x:c r="E438" s="51" t="str">
        <x:f>IF(430&gt;$H$4,"",IF(INDEX('Fleet dates'!$E$9:$E$1008,$I438-8)="","",INDEX('Fleet dates'!$E$9:$E$1008,$I438-8)))</x:f>
      </x:c>
      <x:c r="F438" s="51" t="str">
        <x:f>IF(430&gt;$H$4,"",IF(INDEX('Fleet dates'!$F$9:$F$1008,$I438-8)="","",INDEX('Fleet dates'!$F$9:$F$1008,$I438-8)))</x:f>
      </x:c>
      <x:c r="G438" s="50" t="str">
        <x:f>IF(430&gt;$H$4,"",IF(INDEX('Fleet dates'!$G$9:$G$1008,$I438-8)="","",INDEX('Fleet dates'!$G$9:$G$1008,$I438-8)))</x:f>
      </x:c>
      <x:c r="H438" s="50" t="str">
        <x:f>IF(430&gt;$H$4,"",IF(INDEX('Fleet dates'!$I$9:$I$1008,$I438-8)="","",INDEX('Fleet dates'!$I$9:$I$1008,$I438-8)))</x:f>
      </x:c>
      <x:c r="I438" t="str">
        <x:f>IF(430&gt;$H$4,"",MATCH(430,'Fleet dates'!$M$9:$M$1008,0)+8)</x:f>
      </x:c>
    </x:row>
    <x:row r="439" ht="36" customHeight="1">
      <x:c r="A439" s="50" t="str">
        <x:f>IF(431&gt;$H$4,"",IF(INDEX('Fleet dates'!$A$9:$A$1008,$I439-8)="","",INDEX('Fleet dates'!$A$9:$A$1008,$I439-8)))</x:f>
      </x:c>
      <x:c r="B439" s="50" t="str">
        <x:f>IF(431&gt;$H$4,"",IF(INDEX('Fleet dates'!$B$9:$B$1008,$I439-8)="","",INDEX('Fleet dates'!$B$9:$B$1008,$I439-8)))</x:f>
      </x:c>
      <x:c r="C439" s="51" t="str">
        <x:f>IF(431&gt;$H$4,"",IF(INDEX('Fleet dates'!$C$9:$C$1008,$I439-8)="","",INDEX('Fleet dates'!$C$9:$C$1008,$I439-8)))</x:f>
      </x:c>
      <x:c r="D439" s="51" t="str">
        <x:f>IF(431&gt;$H$4,"",IF(INDEX('Fleet dates'!$D$9:$D$1008,$I439-8)="","",INDEX('Fleet dates'!$D$9:$D$1008,$I439-8)))</x:f>
      </x:c>
      <x:c r="E439" s="51" t="str">
        <x:f>IF(431&gt;$H$4,"",IF(INDEX('Fleet dates'!$E$9:$E$1008,$I439-8)="","",INDEX('Fleet dates'!$E$9:$E$1008,$I439-8)))</x:f>
      </x:c>
      <x:c r="F439" s="51" t="str">
        <x:f>IF(431&gt;$H$4,"",IF(INDEX('Fleet dates'!$F$9:$F$1008,$I439-8)="","",INDEX('Fleet dates'!$F$9:$F$1008,$I439-8)))</x:f>
      </x:c>
      <x:c r="G439" s="50" t="str">
        <x:f>IF(431&gt;$H$4,"",IF(INDEX('Fleet dates'!$G$9:$G$1008,$I439-8)="","",INDEX('Fleet dates'!$G$9:$G$1008,$I439-8)))</x:f>
      </x:c>
      <x:c r="H439" s="50" t="str">
        <x:f>IF(431&gt;$H$4,"",IF(INDEX('Fleet dates'!$I$9:$I$1008,$I439-8)="","",INDEX('Fleet dates'!$I$9:$I$1008,$I439-8)))</x:f>
      </x:c>
      <x:c r="I439" t="str">
        <x:f>IF(431&gt;$H$4,"",MATCH(431,'Fleet dates'!$M$9:$M$1008,0)+8)</x:f>
      </x:c>
    </x:row>
    <x:row r="440" ht="36" customHeight="1">
      <x:c r="A440" s="50" t="str">
        <x:f>IF(432&gt;$H$4,"",IF(INDEX('Fleet dates'!$A$9:$A$1008,$I440-8)="","",INDEX('Fleet dates'!$A$9:$A$1008,$I440-8)))</x:f>
      </x:c>
      <x:c r="B440" s="50" t="str">
        <x:f>IF(432&gt;$H$4,"",IF(INDEX('Fleet dates'!$B$9:$B$1008,$I440-8)="","",INDEX('Fleet dates'!$B$9:$B$1008,$I440-8)))</x:f>
      </x:c>
      <x:c r="C440" s="51" t="str">
        <x:f>IF(432&gt;$H$4,"",IF(INDEX('Fleet dates'!$C$9:$C$1008,$I440-8)="","",INDEX('Fleet dates'!$C$9:$C$1008,$I440-8)))</x:f>
      </x:c>
      <x:c r="D440" s="51" t="str">
        <x:f>IF(432&gt;$H$4,"",IF(INDEX('Fleet dates'!$D$9:$D$1008,$I440-8)="","",INDEX('Fleet dates'!$D$9:$D$1008,$I440-8)))</x:f>
      </x:c>
      <x:c r="E440" s="51" t="str">
        <x:f>IF(432&gt;$H$4,"",IF(INDEX('Fleet dates'!$E$9:$E$1008,$I440-8)="","",INDEX('Fleet dates'!$E$9:$E$1008,$I440-8)))</x:f>
      </x:c>
      <x:c r="F440" s="51" t="str">
        <x:f>IF(432&gt;$H$4,"",IF(INDEX('Fleet dates'!$F$9:$F$1008,$I440-8)="","",INDEX('Fleet dates'!$F$9:$F$1008,$I440-8)))</x:f>
      </x:c>
      <x:c r="G440" s="50" t="str">
        <x:f>IF(432&gt;$H$4,"",IF(INDEX('Fleet dates'!$G$9:$G$1008,$I440-8)="","",INDEX('Fleet dates'!$G$9:$G$1008,$I440-8)))</x:f>
      </x:c>
      <x:c r="H440" s="50" t="str">
        <x:f>IF(432&gt;$H$4,"",IF(INDEX('Fleet dates'!$I$9:$I$1008,$I440-8)="","",INDEX('Fleet dates'!$I$9:$I$1008,$I440-8)))</x:f>
      </x:c>
      <x:c r="I440" t="str">
        <x:f>IF(432&gt;$H$4,"",MATCH(432,'Fleet dates'!$M$9:$M$1008,0)+8)</x:f>
      </x:c>
    </x:row>
    <x:row r="441" ht="36" customHeight="1">
      <x:c r="A441" s="50" t="str">
        <x:f>IF(433&gt;$H$4,"",IF(INDEX('Fleet dates'!$A$9:$A$1008,$I441-8)="","",INDEX('Fleet dates'!$A$9:$A$1008,$I441-8)))</x:f>
      </x:c>
      <x:c r="B441" s="50" t="str">
        <x:f>IF(433&gt;$H$4,"",IF(INDEX('Fleet dates'!$B$9:$B$1008,$I441-8)="","",INDEX('Fleet dates'!$B$9:$B$1008,$I441-8)))</x:f>
      </x:c>
      <x:c r="C441" s="51" t="str">
        <x:f>IF(433&gt;$H$4,"",IF(INDEX('Fleet dates'!$C$9:$C$1008,$I441-8)="","",INDEX('Fleet dates'!$C$9:$C$1008,$I441-8)))</x:f>
      </x:c>
      <x:c r="D441" s="51" t="str">
        <x:f>IF(433&gt;$H$4,"",IF(INDEX('Fleet dates'!$D$9:$D$1008,$I441-8)="","",INDEX('Fleet dates'!$D$9:$D$1008,$I441-8)))</x:f>
      </x:c>
      <x:c r="E441" s="51" t="str">
        <x:f>IF(433&gt;$H$4,"",IF(INDEX('Fleet dates'!$E$9:$E$1008,$I441-8)="","",INDEX('Fleet dates'!$E$9:$E$1008,$I441-8)))</x:f>
      </x:c>
      <x:c r="F441" s="51" t="str">
        <x:f>IF(433&gt;$H$4,"",IF(INDEX('Fleet dates'!$F$9:$F$1008,$I441-8)="","",INDEX('Fleet dates'!$F$9:$F$1008,$I441-8)))</x:f>
      </x:c>
      <x:c r="G441" s="50" t="str">
        <x:f>IF(433&gt;$H$4,"",IF(INDEX('Fleet dates'!$G$9:$G$1008,$I441-8)="","",INDEX('Fleet dates'!$G$9:$G$1008,$I441-8)))</x:f>
      </x:c>
      <x:c r="H441" s="50" t="str">
        <x:f>IF(433&gt;$H$4,"",IF(INDEX('Fleet dates'!$I$9:$I$1008,$I441-8)="","",INDEX('Fleet dates'!$I$9:$I$1008,$I441-8)))</x:f>
      </x:c>
      <x:c r="I441" t="str">
        <x:f>IF(433&gt;$H$4,"",MATCH(433,'Fleet dates'!$M$9:$M$1008,0)+8)</x:f>
      </x:c>
    </x:row>
    <x:row r="442" ht="36" customHeight="1">
      <x:c r="A442" s="50" t="str">
        <x:f>IF(434&gt;$H$4,"",IF(INDEX('Fleet dates'!$A$9:$A$1008,$I442-8)="","",INDEX('Fleet dates'!$A$9:$A$1008,$I442-8)))</x:f>
      </x:c>
      <x:c r="B442" s="50" t="str">
        <x:f>IF(434&gt;$H$4,"",IF(INDEX('Fleet dates'!$B$9:$B$1008,$I442-8)="","",INDEX('Fleet dates'!$B$9:$B$1008,$I442-8)))</x:f>
      </x:c>
      <x:c r="C442" s="51" t="str">
        <x:f>IF(434&gt;$H$4,"",IF(INDEX('Fleet dates'!$C$9:$C$1008,$I442-8)="","",INDEX('Fleet dates'!$C$9:$C$1008,$I442-8)))</x:f>
      </x:c>
      <x:c r="D442" s="51" t="str">
        <x:f>IF(434&gt;$H$4,"",IF(INDEX('Fleet dates'!$D$9:$D$1008,$I442-8)="","",INDEX('Fleet dates'!$D$9:$D$1008,$I442-8)))</x:f>
      </x:c>
      <x:c r="E442" s="51" t="str">
        <x:f>IF(434&gt;$H$4,"",IF(INDEX('Fleet dates'!$E$9:$E$1008,$I442-8)="","",INDEX('Fleet dates'!$E$9:$E$1008,$I442-8)))</x:f>
      </x:c>
      <x:c r="F442" s="51" t="str">
        <x:f>IF(434&gt;$H$4,"",IF(INDEX('Fleet dates'!$F$9:$F$1008,$I442-8)="","",INDEX('Fleet dates'!$F$9:$F$1008,$I442-8)))</x:f>
      </x:c>
      <x:c r="G442" s="50" t="str">
        <x:f>IF(434&gt;$H$4,"",IF(INDEX('Fleet dates'!$G$9:$G$1008,$I442-8)="","",INDEX('Fleet dates'!$G$9:$G$1008,$I442-8)))</x:f>
      </x:c>
      <x:c r="H442" s="50" t="str">
        <x:f>IF(434&gt;$H$4,"",IF(INDEX('Fleet dates'!$I$9:$I$1008,$I442-8)="","",INDEX('Fleet dates'!$I$9:$I$1008,$I442-8)))</x:f>
      </x:c>
      <x:c r="I442" t="str">
        <x:f>IF(434&gt;$H$4,"",MATCH(434,'Fleet dates'!$M$9:$M$1008,0)+8)</x:f>
      </x:c>
    </x:row>
    <x:row r="443" ht="36" customHeight="1">
      <x:c r="A443" s="50" t="str">
        <x:f>IF(435&gt;$H$4,"",IF(INDEX('Fleet dates'!$A$9:$A$1008,$I443-8)="","",INDEX('Fleet dates'!$A$9:$A$1008,$I443-8)))</x:f>
      </x:c>
      <x:c r="B443" s="50" t="str">
        <x:f>IF(435&gt;$H$4,"",IF(INDEX('Fleet dates'!$B$9:$B$1008,$I443-8)="","",INDEX('Fleet dates'!$B$9:$B$1008,$I443-8)))</x:f>
      </x:c>
      <x:c r="C443" s="51" t="str">
        <x:f>IF(435&gt;$H$4,"",IF(INDEX('Fleet dates'!$C$9:$C$1008,$I443-8)="","",INDEX('Fleet dates'!$C$9:$C$1008,$I443-8)))</x:f>
      </x:c>
      <x:c r="D443" s="51" t="str">
        <x:f>IF(435&gt;$H$4,"",IF(INDEX('Fleet dates'!$D$9:$D$1008,$I443-8)="","",INDEX('Fleet dates'!$D$9:$D$1008,$I443-8)))</x:f>
      </x:c>
      <x:c r="E443" s="51" t="str">
        <x:f>IF(435&gt;$H$4,"",IF(INDEX('Fleet dates'!$E$9:$E$1008,$I443-8)="","",INDEX('Fleet dates'!$E$9:$E$1008,$I443-8)))</x:f>
      </x:c>
      <x:c r="F443" s="51" t="str">
        <x:f>IF(435&gt;$H$4,"",IF(INDEX('Fleet dates'!$F$9:$F$1008,$I443-8)="","",INDEX('Fleet dates'!$F$9:$F$1008,$I443-8)))</x:f>
      </x:c>
      <x:c r="G443" s="50" t="str">
        <x:f>IF(435&gt;$H$4,"",IF(INDEX('Fleet dates'!$G$9:$G$1008,$I443-8)="","",INDEX('Fleet dates'!$G$9:$G$1008,$I443-8)))</x:f>
      </x:c>
      <x:c r="H443" s="50" t="str">
        <x:f>IF(435&gt;$H$4,"",IF(INDEX('Fleet dates'!$I$9:$I$1008,$I443-8)="","",INDEX('Fleet dates'!$I$9:$I$1008,$I443-8)))</x:f>
      </x:c>
      <x:c r="I443" t="str">
        <x:f>IF(435&gt;$H$4,"",MATCH(435,'Fleet dates'!$M$9:$M$1008,0)+8)</x:f>
      </x:c>
    </x:row>
    <x:row r="444" ht="36" customHeight="1">
      <x:c r="A444" s="50" t="str">
        <x:f>IF(436&gt;$H$4,"",IF(INDEX('Fleet dates'!$A$9:$A$1008,$I444-8)="","",INDEX('Fleet dates'!$A$9:$A$1008,$I444-8)))</x:f>
      </x:c>
      <x:c r="B444" s="50" t="str">
        <x:f>IF(436&gt;$H$4,"",IF(INDEX('Fleet dates'!$B$9:$B$1008,$I444-8)="","",INDEX('Fleet dates'!$B$9:$B$1008,$I444-8)))</x:f>
      </x:c>
      <x:c r="C444" s="51" t="str">
        <x:f>IF(436&gt;$H$4,"",IF(INDEX('Fleet dates'!$C$9:$C$1008,$I444-8)="","",INDEX('Fleet dates'!$C$9:$C$1008,$I444-8)))</x:f>
      </x:c>
      <x:c r="D444" s="51" t="str">
        <x:f>IF(436&gt;$H$4,"",IF(INDEX('Fleet dates'!$D$9:$D$1008,$I444-8)="","",INDEX('Fleet dates'!$D$9:$D$1008,$I444-8)))</x:f>
      </x:c>
      <x:c r="E444" s="51" t="str">
        <x:f>IF(436&gt;$H$4,"",IF(INDEX('Fleet dates'!$E$9:$E$1008,$I444-8)="","",INDEX('Fleet dates'!$E$9:$E$1008,$I444-8)))</x:f>
      </x:c>
      <x:c r="F444" s="51" t="str">
        <x:f>IF(436&gt;$H$4,"",IF(INDEX('Fleet dates'!$F$9:$F$1008,$I444-8)="","",INDEX('Fleet dates'!$F$9:$F$1008,$I444-8)))</x:f>
      </x:c>
      <x:c r="G444" s="50" t="str">
        <x:f>IF(436&gt;$H$4,"",IF(INDEX('Fleet dates'!$G$9:$G$1008,$I444-8)="","",INDEX('Fleet dates'!$G$9:$G$1008,$I444-8)))</x:f>
      </x:c>
      <x:c r="H444" s="50" t="str">
        <x:f>IF(436&gt;$H$4,"",IF(INDEX('Fleet dates'!$I$9:$I$1008,$I444-8)="","",INDEX('Fleet dates'!$I$9:$I$1008,$I444-8)))</x:f>
      </x:c>
      <x:c r="I444" t="str">
        <x:f>IF(436&gt;$H$4,"",MATCH(436,'Fleet dates'!$M$9:$M$1008,0)+8)</x:f>
      </x:c>
    </x:row>
    <x:row r="445" ht="36" customHeight="1">
      <x:c r="A445" s="50" t="str">
        <x:f>IF(437&gt;$H$4,"",IF(INDEX('Fleet dates'!$A$9:$A$1008,$I445-8)="","",INDEX('Fleet dates'!$A$9:$A$1008,$I445-8)))</x:f>
      </x:c>
      <x:c r="B445" s="50" t="str">
        <x:f>IF(437&gt;$H$4,"",IF(INDEX('Fleet dates'!$B$9:$B$1008,$I445-8)="","",INDEX('Fleet dates'!$B$9:$B$1008,$I445-8)))</x:f>
      </x:c>
      <x:c r="C445" s="51" t="str">
        <x:f>IF(437&gt;$H$4,"",IF(INDEX('Fleet dates'!$C$9:$C$1008,$I445-8)="","",INDEX('Fleet dates'!$C$9:$C$1008,$I445-8)))</x:f>
      </x:c>
      <x:c r="D445" s="51" t="str">
        <x:f>IF(437&gt;$H$4,"",IF(INDEX('Fleet dates'!$D$9:$D$1008,$I445-8)="","",INDEX('Fleet dates'!$D$9:$D$1008,$I445-8)))</x:f>
      </x:c>
      <x:c r="E445" s="51" t="str">
        <x:f>IF(437&gt;$H$4,"",IF(INDEX('Fleet dates'!$E$9:$E$1008,$I445-8)="","",INDEX('Fleet dates'!$E$9:$E$1008,$I445-8)))</x:f>
      </x:c>
      <x:c r="F445" s="51" t="str">
        <x:f>IF(437&gt;$H$4,"",IF(INDEX('Fleet dates'!$F$9:$F$1008,$I445-8)="","",INDEX('Fleet dates'!$F$9:$F$1008,$I445-8)))</x:f>
      </x:c>
      <x:c r="G445" s="50" t="str">
        <x:f>IF(437&gt;$H$4,"",IF(INDEX('Fleet dates'!$G$9:$G$1008,$I445-8)="","",INDEX('Fleet dates'!$G$9:$G$1008,$I445-8)))</x:f>
      </x:c>
      <x:c r="H445" s="50" t="str">
        <x:f>IF(437&gt;$H$4,"",IF(INDEX('Fleet dates'!$I$9:$I$1008,$I445-8)="","",INDEX('Fleet dates'!$I$9:$I$1008,$I445-8)))</x:f>
      </x:c>
      <x:c r="I445" t="str">
        <x:f>IF(437&gt;$H$4,"",MATCH(437,'Fleet dates'!$M$9:$M$1008,0)+8)</x:f>
      </x:c>
    </x:row>
    <x:row r="446" ht="36" customHeight="1">
      <x:c r="A446" s="50" t="str">
        <x:f>IF(438&gt;$H$4,"",IF(INDEX('Fleet dates'!$A$9:$A$1008,$I446-8)="","",INDEX('Fleet dates'!$A$9:$A$1008,$I446-8)))</x:f>
      </x:c>
      <x:c r="B446" s="50" t="str">
        <x:f>IF(438&gt;$H$4,"",IF(INDEX('Fleet dates'!$B$9:$B$1008,$I446-8)="","",INDEX('Fleet dates'!$B$9:$B$1008,$I446-8)))</x:f>
      </x:c>
      <x:c r="C446" s="51" t="str">
        <x:f>IF(438&gt;$H$4,"",IF(INDEX('Fleet dates'!$C$9:$C$1008,$I446-8)="","",INDEX('Fleet dates'!$C$9:$C$1008,$I446-8)))</x:f>
      </x:c>
      <x:c r="D446" s="51" t="str">
        <x:f>IF(438&gt;$H$4,"",IF(INDEX('Fleet dates'!$D$9:$D$1008,$I446-8)="","",INDEX('Fleet dates'!$D$9:$D$1008,$I446-8)))</x:f>
      </x:c>
      <x:c r="E446" s="51" t="str">
        <x:f>IF(438&gt;$H$4,"",IF(INDEX('Fleet dates'!$E$9:$E$1008,$I446-8)="","",INDEX('Fleet dates'!$E$9:$E$1008,$I446-8)))</x:f>
      </x:c>
      <x:c r="F446" s="51" t="str">
        <x:f>IF(438&gt;$H$4,"",IF(INDEX('Fleet dates'!$F$9:$F$1008,$I446-8)="","",INDEX('Fleet dates'!$F$9:$F$1008,$I446-8)))</x:f>
      </x:c>
      <x:c r="G446" s="50" t="str">
        <x:f>IF(438&gt;$H$4,"",IF(INDEX('Fleet dates'!$G$9:$G$1008,$I446-8)="","",INDEX('Fleet dates'!$G$9:$G$1008,$I446-8)))</x:f>
      </x:c>
      <x:c r="H446" s="50" t="str">
        <x:f>IF(438&gt;$H$4,"",IF(INDEX('Fleet dates'!$I$9:$I$1008,$I446-8)="","",INDEX('Fleet dates'!$I$9:$I$1008,$I446-8)))</x:f>
      </x:c>
      <x:c r="I446" t="str">
        <x:f>IF(438&gt;$H$4,"",MATCH(438,'Fleet dates'!$M$9:$M$1008,0)+8)</x:f>
      </x:c>
    </x:row>
    <x:row r="447" ht="36" customHeight="1">
      <x:c r="A447" s="50" t="str">
        <x:f>IF(439&gt;$H$4,"",IF(INDEX('Fleet dates'!$A$9:$A$1008,$I447-8)="","",INDEX('Fleet dates'!$A$9:$A$1008,$I447-8)))</x:f>
      </x:c>
      <x:c r="B447" s="50" t="str">
        <x:f>IF(439&gt;$H$4,"",IF(INDEX('Fleet dates'!$B$9:$B$1008,$I447-8)="","",INDEX('Fleet dates'!$B$9:$B$1008,$I447-8)))</x:f>
      </x:c>
      <x:c r="C447" s="51" t="str">
        <x:f>IF(439&gt;$H$4,"",IF(INDEX('Fleet dates'!$C$9:$C$1008,$I447-8)="","",INDEX('Fleet dates'!$C$9:$C$1008,$I447-8)))</x:f>
      </x:c>
      <x:c r="D447" s="51" t="str">
        <x:f>IF(439&gt;$H$4,"",IF(INDEX('Fleet dates'!$D$9:$D$1008,$I447-8)="","",INDEX('Fleet dates'!$D$9:$D$1008,$I447-8)))</x:f>
      </x:c>
      <x:c r="E447" s="51" t="str">
        <x:f>IF(439&gt;$H$4,"",IF(INDEX('Fleet dates'!$E$9:$E$1008,$I447-8)="","",INDEX('Fleet dates'!$E$9:$E$1008,$I447-8)))</x:f>
      </x:c>
      <x:c r="F447" s="51" t="str">
        <x:f>IF(439&gt;$H$4,"",IF(INDEX('Fleet dates'!$F$9:$F$1008,$I447-8)="","",INDEX('Fleet dates'!$F$9:$F$1008,$I447-8)))</x:f>
      </x:c>
      <x:c r="G447" s="50" t="str">
        <x:f>IF(439&gt;$H$4,"",IF(INDEX('Fleet dates'!$G$9:$G$1008,$I447-8)="","",INDEX('Fleet dates'!$G$9:$G$1008,$I447-8)))</x:f>
      </x:c>
      <x:c r="H447" s="50" t="str">
        <x:f>IF(439&gt;$H$4,"",IF(INDEX('Fleet dates'!$I$9:$I$1008,$I447-8)="","",INDEX('Fleet dates'!$I$9:$I$1008,$I447-8)))</x:f>
      </x:c>
      <x:c r="I447" t="str">
        <x:f>IF(439&gt;$H$4,"",MATCH(439,'Fleet dates'!$M$9:$M$1008,0)+8)</x:f>
      </x:c>
    </x:row>
    <x:row r="448" ht="36" customHeight="1">
      <x:c r="A448" s="50" t="str">
        <x:f>IF(440&gt;$H$4,"",IF(INDEX('Fleet dates'!$A$9:$A$1008,$I448-8)="","",INDEX('Fleet dates'!$A$9:$A$1008,$I448-8)))</x:f>
      </x:c>
      <x:c r="B448" s="50" t="str">
        <x:f>IF(440&gt;$H$4,"",IF(INDEX('Fleet dates'!$B$9:$B$1008,$I448-8)="","",INDEX('Fleet dates'!$B$9:$B$1008,$I448-8)))</x:f>
      </x:c>
      <x:c r="C448" s="51" t="str">
        <x:f>IF(440&gt;$H$4,"",IF(INDEX('Fleet dates'!$C$9:$C$1008,$I448-8)="","",INDEX('Fleet dates'!$C$9:$C$1008,$I448-8)))</x:f>
      </x:c>
      <x:c r="D448" s="51" t="str">
        <x:f>IF(440&gt;$H$4,"",IF(INDEX('Fleet dates'!$D$9:$D$1008,$I448-8)="","",INDEX('Fleet dates'!$D$9:$D$1008,$I448-8)))</x:f>
      </x:c>
      <x:c r="E448" s="51" t="str">
        <x:f>IF(440&gt;$H$4,"",IF(INDEX('Fleet dates'!$E$9:$E$1008,$I448-8)="","",INDEX('Fleet dates'!$E$9:$E$1008,$I448-8)))</x:f>
      </x:c>
      <x:c r="F448" s="51" t="str">
        <x:f>IF(440&gt;$H$4,"",IF(INDEX('Fleet dates'!$F$9:$F$1008,$I448-8)="","",INDEX('Fleet dates'!$F$9:$F$1008,$I448-8)))</x:f>
      </x:c>
      <x:c r="G448" s="50" t="str">
        <x:f>IF(440&gt;$H$4,"",IF(INDEX('Fleet dates'!$G$9:$G$1008,$I448-8)="","",INDEX('Fleet dates'!$G$9:$G$1008,$I448-8)))</x:f>
      </x:c>
      <x:c r="H448" s="50" t="str">
        <x:f>IF(440&gt;$H$4,"",IF(INDEX('Fleet dates'!$I$9:$I$1008,$I448-8)="","",INDEX('Fleet dates'!$I$9:$I$1008,$I448-8)))</x:f>
      </x:c>
      <x:c r="I448" t="str">
        <x:f>IF(440&gt;$H$4,"",MATCH(440,'Fleet dates'!$M$9:$M$1008,0)+8)</x:f>
      </x:c>
    </x:row>
    <x:row r="449" ht="36" customHeight="1">
      <x:c r="A449" s="50" t="str">
        <x:f>IF(441&gt;$H$4,"",IF(INDEX('Fleet dates'!$A$9:$A$1008,$I449-8)="","",INDEX('Fleet dates'!$A$9:$A$1008,$I449-8)))</x:f>
      </x:c>
      <x:c r="B449" s="50" t="str">
        <x:f>IF(441&gt;$H$4,"",IF(INDEX('Fleet dates'!$B$9:$B$1008,$I449-8)="","",INDEX('Fleet dates'!$B$9:$B$1008,$I449-8)))</x:f>
      </x:c>
      <x:c r="C449" s="51" t="str">
        <x:f>IF(441&gt;$H$4,"",IF(INDEX('Fleet dates'!$C$9:$C$1008,$I449-8)="","",INDEX('Fleet dates'!$C$9:$C$1008,$I449-8)))</x:f>
      </x:c>
      <x:c r="D449" s="51" t="str">
        <x:f>IF(441&gt;$H$4,"",IF(INDEX('Fleet dates'!$D$9:$D$1008,$I449-8)="","",INDEX('Fleet dates'!$D$9:$D$1008,$I449-8)))</x:f>
      </x:c>
      <x:c r="E449" s="51" t="str">
        <x:f>IF(441&gt;$H$4,"",IF(INDEX('Fleet dates'!$E$9:$E$1008,$I449-8)="","",INDEX('Fleet dates'!$E$9:$E$1008,$I449-8)))</x:f>
      </x:c>
      <x:c r="F449" s="51" t="str">
        <x:f>IF(441&gt;$H$4,"",IF(INDEX('Fleet dates'!$F$9:$F$1008,$I449-8)="","",INDEX('Fleet dates'!$F$9:$F$1008,$I449-8)))</x:f>
      </x:c>
      <x:c r="G449" s="50" t="str">
        <x:f>IF(441&gt;$H$4,"",IF(INDEX('Fleet dates'!$G$9:$G$1008,$I449-8)="","",INDEX('Fleet dates'!$G$9:$G$1008,$I449-8)))</x:f>
      </x:c>
      <x:c r="H449" s="50" t="str">
        <x:f>IF(441&gt;$H$4,"",IF(INDEX('Fleet dates'!$I$9:$I$1008,$I449-8)="","",INDEX('Fleet dates'!$I$9:$I$1008,$I449-8)))</x:f>
      </x:c>
      <x:c r="I449" t="str">
        <x:f>IF(441&gt;$H$4,"",MATCH(441,'Fleet dates'!$M$9:$M$1008,0)+8)</x:f>
      </x:c>
    </x:row>
    <x:row r="450" ht="36" customHeight="1">
      <x:c r="A450" s="50" t="str">
        <x:f>IF(442&gt;$H$4,"",IF(INDEX('Fleet dates'!$A$9:$A$1008,$I450-8)="","",INDEX('Fleet dates'!$A$9:$A$1008,$I450-8)))</x:f>
      </x:c>
      <x:c r="B450" s="50" t="str">
        <x:f>IF(442&gt;$H$4,"",IF(INDEX('Fleet dates'!$B$9:$B$1008,$I450-8)="","",INDEX('Fleet dates'!$B$9:$B$1008,$I450-8)))</x:f>
      </x:c>
      <x:c r="C450" s="51" t="str">
        <x:f>IF(442&gt;$H$4,"",IF(INDEX('Fleet dates'!$C$9:$C$1008,$I450-8)="","",INDEX('Fleet dates'!$C$9:$C$1008,$I450-8)))</x:f>
      </x:c>
      <x:c r="D450" s="51" t="str">
        <x:f>IF(442&gt;$H$4,"",IF(INDEX('Fleet dates'!$D$9:$D$1008,$I450-8)="","",INDEX('Fleet dates'!$D$9:$D$1008,$I450-8)))</x:f>
      </x:c>
      <x:c r="E450" s="51" t="str">
        <x:f>IF(442&gt;$H$4,"",IF(INDEX('Fleet dates'!$E$9:$E$1008,$I450-8)="","",INDEX('Fleet dates'!$E$9:$E$1008,$I450-8)))</x:f>
      </x:c>
      <x:c r="F450" s="51" t="str">
        <x:f>IF(442&gt;$H$4,"",IF(INDEX('Fleet dates'!$F$9:$F$1008,$I450-8)="","",INDEX('Fleet dates'!$F$9:$F$1008,$I450-8)))</x:f>
      </x:c>
      <x:c r="G450" s="50" t="str">
        <x:f>IF(442&gt;$H$4,"",IF(INDEX('Fleet dates'!$G$9:$G$1008,$I450-8)="","",INDEX('Fleet dates'!$G$9:$G$1008,$I450-8)))</x:f>
      </x:c>
      <x:c r="H450" s="50" t="str">
        <x:f>IF(442&gt;$H$4,"",IF(INDEX('Fleet dates'!$I$9:$I$1008,$I450-8)="","",INDEX('Fleet dates'!$I$9:$I$1008,$I450-8)))</x:f>
      </x:c>
      <x:c r="I450" t="str">
        <x:f>IF(442&gt;$H$4,"",MATCH(442,'Fleet dates'!$M$9:$M$1008,0)+8)</x:f>
      </x:c>
    </x:row>
    <x:row r="451" ht="36" customHeight="1">
      <x:c r="A451" s="50" t="str">
        <x:f>IF(443&gt;$H$4,"",IF(INDEX('Fleet dates'!$A$9:$A$1008,$I451-8)="","",INDEX('Fleet dates'!$A$9:$A$1008,$I451-8)))</x:f>
      </x:c>
      <x:c r="B451" s="50" t="str">
        <x:f>IF(443&gt;$H$4,"",IF(INDEX('Fleet dates'!$B$9:$B$1008,$I451-8)="","",INDEX('Fleet dates'!$B$9:$B$1008,$I451-8)))</x:f>
      </x:c>
      <x:c r="C451" s="51" t="str">
        <x:f>IF(443&gt;$H$4,"",IF(INDEX('Fleet dates'!$C$9:$C$1008,$I451-8)="","",INDEX('Fleet dates'!$C$9:$C$1008,$I451-8)))</x:f>
      </x:c>
      <x:c r="D451" s="51" t="str">
        <x:f>IF(443&gt;$H$4,"",IF(INDEX('Fleet dates'!$D$9:$D$1008,$I451-8)="","",INDEX('Fleet dates'!$D$9:$D$1008,$I451-8)))</x:f>
      </x:c>
      <x:c r="E451" s="51" t="str">
        <x:f>IF(443&gt;$H$4,"",IF(INDEX('Fleet dates'!$E$9:$E$1008,$I451-8)="","",INDEX('Fleet dates'!$E$9:$E$1008,$I451-8)))</x:f>
      </x:c>
      <x:c r="F451" s="51" t="str">
        <x:f>IF(443&gt;$H$4,"",IF(INDEX('Fleet dates'!$F$9:$F$1008,$I451-8)="","",INDEX('Fleet dates'!$F$9:$F$1008,$I451-8)))</x:f>
      </x:c>
      <x:c r="G451" s="50" t="str">
        <x:f>IF(443&gt;$H$4,"",IF(INDEX('Fleet dates'!$G$9:$G$1008,$I451-8)="","",INDEX('Fleet dates'!$G$9:$G$1008,$I451-8)))</x:f>
      </x:c>
      <x:c r="H451" s="50" t="str">
        <x:f>IF(443&gt;$H$4,"",IF(INDEX('Fleet dates'!$I$9:$I$1008,$I451-8)="","",INDEX('Fleet dates'!$I$9:$I$1008,$I451-8)))</x:f>
      </x:c>
      <x:c r="I451" t="str">
        <x:f>IF(443&gt;$H$4,"",MATCH(443,'Fleet dates'!$M$9:$M$1008,0)+8)</x:f>
      </x:c>
    </x:row>
    <x:row r="452" ht="36" customHeight="1">
      <x:c r="A452" s="50" t="str">
        <x:f>IF(444&gt;$H$4,"",IF(INDEX('Fleet dates'!$A$9:$A$1008,$I452-8)="","",INDEX('Fleet dates'!$A$9:$A$1008,$I452-8)))</x:f>
      </x:c>
      <x:c r="B452" s="50" t="str">
        <x:f>IF(444&gt;$H$4,"",IF(INDEX('Fleet dates'!$B$9:$B$1008,$I452-8)="","",INDEX('Fleet dates'!$B$9:$B$1008,$I452-8)))</x:f>
      </x:c>
      <x:c r="C452" s="51" t="str">
        <x:f>IF(444&gt;$H$4,"",IF(INDEX('Fleet dates'!$C$9:$C$1008,$I452-8)="","",INDEX('Fleet dates'!$C$9:$C$1008,$I452-8)))</x:f>
      </x:c>
      <x:c r="D452" s="51" t="str">
        <x:f>IF(444&gt;$H$4,"",IF(INDEX('Fleet dates'!$D$9:$D$1008,$I452-8)="","",INDEX('Fleet dates'!$D$9:$D$1008,$I452-8)))</x:f>
      </x:c>
      <x:c r="E452" s="51" t="str">
        <x:f>IF(444&gt;$H$4,"",IF(INDEX('Fleet dates'!$E$9:$E$1008,$I452-8)="","",INDEX('Fleet dates'!$E$9:$E$1008,$I452-8)))</x:f>
      </x:c>
      <x:c r="F452" s="51" t="str">
        <x:f>IF(444&gt;$H$4,"",IF(INDEX('Fleet dates'!$F$9:$F$1008,$I452-8)="","",INDEX('Fleet dates'!$F$9:$F$1008,$I452-8)))</x:f>
      </x:c>
      <x:c r="G452" s="50" t="str">
        <x:f>IF(444&gt;$H$4,"",IF(INDEX('Fleet dates'!$G$9:$G$1008,$I452-8)="","",INDEX('Fleet dates'!$G$9:$G$1008,$I452-8)))</x:f>
      </x:c>
      <x:c r="H452" s="50" t="str">
        <x:f>IF(444&gt;$H$4,"",IF(INDEX('Fleet dates'!$I$9:$I$1008,$I452-8)="","",INDEX('Fleet dates'!$I$9:$I$1008,$I452-8)))</x:f>
      </x:c>
      <x:c r="I452" t="str">
        <x:f>IF(444&gt;$H$4,"",MATCH(444,'Fleet dates'!$M$9:$M$1008,0)+8)</x:f>
      </x:c>
    </x:row>
    <x:row r="453" ht="36" customHeight="1">
      <x:c r="A453" s="50" t="str">
        <x:f>IF(445&gt;$H$4,"",IF(INDEX('Fleet dates'!$A$9:$A$1008,$I453-8)="","",INDEX('Fleet dates'!$A$9:$A$1008,$I453-8)))</x:f>
      </x:c>
      <x:c r="B453" s="50" t="str">
        <x:f>IF(445&gt;$H$4,"",IF(INDEX('Fleet dates'!$B$9:$B$1008,$I453-8)="","",INDEX('Fleet dates'!$B$9:$B$1008,$I453-8)))</x:f>
      </x:c>
      <x:c r="C453" s="51" t="str">
        <x:f>IF(445&gt;$H$4,"",IF(INDEX('Fleet dates'!$C$9:$C$1008,$I453-8)="","",INDEX('Fleet dates'!$C$9:$C$1008,$I453-8)))</x:f>
      </x:c>
      <x:c r="D453" s="51" t="str">
        <x:f>IF(445&gt;$H$4,"",IF(INDEX('Fleet dates'!$D$9:$D$1008,$I453-8)="","",INDEX('Fleet dates'!$D$9:$D$1008,$I453-8)))</x:f>
      </x:c>
      <x:c r="E453" s="51" t="str">
        <x:f>IF(445&gt;$H$4,"",IF(INDEX('Fleet dates'!$E$9:$E$1008,$I453-8)="","",INDEX('Fleet dates'!$E$9:$E$1008,$I453-8)))</x:f>
      </x:c>
      <x:c r="F453" s="51" t="str">
        <x:f>IF(445&gt;$H$4,"",IF(INDEX('Fleet dates'!$F$9:$F$1008,$I453-8)="","",INDEX('Fleet dates'!$F$9:$F$1008,$I453-8)))</x:f>
      </x:c>
      <x:c r="G453" s="50" t="str">
        <x:f>IF(445&gt;$H$4,"",IF(INDEX('Fleet dates'!$G$9:$G$1008,$I453-8)="","",INDEX('Fleet dates'!$G$9:$G$1008,$I453-8)))</x:f>
      </x:c>
      <x:c r="H453" s="50" t="str">
        <x:f>IF(445&gt;$H$4,"",IF(INDEX('Fleet dates'!$I$9:$I$1008,$I453-8)="","",INDEX('Fleet dates'!$I$9:$I$1008,$I453-8)))</x:f>
      </x:c>
      <x:c r="I453" t="str">
        <x:f>IF(445&gt;$H$4,"",MATCH(445,'Fleet dates'!$M$9:$M$1008,0)+8)</x:f>
      </x:c>
    </x:row>
    <x:row r="454" ht="36" customHeight="1">
      <x:c r="A454" s="50" t="str">
        <x:f>IF(446&gt;$H$4,"",IF(INDEX('Fleet dates'!$A$9:$A$1008,$I454-8)="","",INDEX('Fleet dates'!$A$9:$A$1008,$I454-8)))</x:f>
      </x:c>
      <x:c r="B454" s="50" t="str">
        <x:f>IF(446&gt;$H$4,"",IF(INDEX('Fleet dates'!$B$9:$B$1008,$I454-8)="","",INDEX('Fleet dates'!$B$9:$B$1008,$I454-8)))</x:f>
      </x:c>
      <x:c r="C454" s="51" t="str">
        <x:f>IF(446&gt;$H$4,"",IF(INDEX('Fleet dates'!$C$9:$C$1008,$I454-8)="","",INDEX('Fleet dates'!$C$9:$C$1008,$I454-8)))</x:f>
      </x:c>
      <x:c r="D454" s="51" t="str">
        <x:f>IF(446&gt;$H$4,"",IF(INDEX('Fleet dates'!$D$9:$D$1008,$I454-8)="","",INDEX('Fleet dates'!$D$9:$D$1008,$I454-8)))</x:f>
      </x:c>
      <x:c r="E454" s="51" t="str">
        <x:f>IF(446&gt;$H$4,"",IF(INDEX('Fleet dates'!$E$9:$E$1008,$I454-8)="","",INDEX('Fleet dates'!$E$9:$E$1008,$I454-8)))</x:f>
      </x:c>
      <x:c r="F454" s="51" t="str">
        <x:f>IF(446&gt;$H$4,"",IF(INDEX('Fleet dates'!$F$9:$F$1008,$I454-8)="","",INDEX('Fleet dates'!$F$9:$F$1008,$I454-8)))</x:f>
      </x:c>
      <x:c r="G454" s="50" t="str">
        <x:f>IF(446&gt;$H$4,"",IF(INDEX('Fleet dates'!$G$9:$G$1008,$I454-8)="","",INDEX('Fleet dates'!$G$9:$G$1008,$I454-8)))</x:f>
      </x:c>
      <x:c r="H454" s="50" t="str">
        <x:f>IF(446&gt;$H$4,"",IF(INDEX('Fleet dates'!$I$9:$I$1008,$I454-8)="","",INDEX('Fleet dates'!$I$9:$I$1008,$I454-8)))</x:f>
      </x:c>
      <x:c r="I454" t="str">
        <x:f>IF(446&gt;$H$4,"",MATCH(446,'Fleet dates'!$M$9:$M$1008,0)+8)</x:f>
      </x:c>
    </x:row>
    <x:row r="455" ht="36" customHeight="1">
      <x:c r="A455" s="50" t="str">
        <x:f>IF(447&gt;$H$4,"",IF(INDEX('Fleet dates'!$A$9:$A$1008,$I455-8)="","",INDEX('Fleet dates'!$A$9:$A$1008,$I455-8)))</x:f>
      </x:c>
      <x:c r="B455" s="50" t="str">
        <x:f>IF(447&gt;$H$4,"",IF(INDEX('Fleet dates'!$B$9:$B$1008,$I455-8)="","",INDEX('Fleet dates'!$B$9:$B$1008,$I455-8)))</x:f>
      </x:c>
      <x:c r="C455" s="51" t="str">
        <x:f>IF(447&gt;$H$4,"",IF(INDEX('Fleet dates'!$C$9:$C$1008,$I455-8)="","",INDEX('Fleet dates'!$C$9:$C$1008,$I455-8)))</x:f>
      </x:c>
      <x:c r="D455" s="51" t="str">
        <x:f>IF(447&gt;$H$4,"",IF(INDEX('Fleet dates'!$D$9:$D$1008,$I455-8)="","",INDEX('Fleet dates'!$D$9:$D$1008,$I455-8)))</x:f>
      </x:c>
      <x:c r="E455" s="51" t="str">
        <x:f>IF(447&gt;$H$4,"",IF(INDEX('Fleet dates'!$E$9:$E$1008,$I455-8)="","",INDEX('Fleet dates'!$E$9:$E$1008,$I455-8)))</x:f>
      </x:c>
      <x:c r="F455" s="51" t="str">
        <x:f>IF(447&gt;$H$4,"",IF(INDEX('Fleet dates'!$F$9:$F$1008,$I455-8)="","",INDEX('Fleet dates'!$F$9:$F$1008,$I455-8)))</x:f>
      </x:c>
      <x:c r="G455" s="50" t="str">
        <x:f>IF(447&gt;$H$4,"",IF(INDEX('Fleet dates'!$G$9:$G$1008,$I455-8)="","",INDEX('Fleet dates'!$G$9:$G$1008,$I455-8)))</x:f>
      </x:c>
      <x:c r="H455" s="50" t="str">
        <x:f>IF(447&gt;$H$4,"",IF(INDEX('Fleet dates'!$I$9:$I$1008,$I455-8)="","",INDEX('Fleet dates'!$I$9:$I$1008,$I455-8)))</x:f>
      </x:c>
      <x:c r="I455" t="str">
        <x:f>IF(447&gt;$H$4,"",MATCH(447,'Fleet dates'!$M$9:$M$1008,0)+8)</x:f>
      </x:c>
    </x:row>
    <x:row r="456" ht="36" customHeight="1">
      <x:c r="A456" s="50" t="str">
        <x:f>IF(448&gt;$H$4,"",IF(INDEX('Fleet dates'!$A$9:$A$1008,$I456-8)="","",INDEX('Fleet dates'!$A$9:$A$1008,$I456-8)))</x:f>
      </x:c>
      <x:c r="B456" s="50" t="str">
        <x:f>IF(448&gt;$H$4,"",IF(INDEX('Fleet dates'!$B$9:$B$1008,$I456-8)="","",INDEX('Fleet dates'!$B$9:$B$1008,$I456-8)))</x:f>
      </x:c>
      <x:c r="C456" s="51" t="str">
        <x:f>IF(448&gt;$H$4,"",IF(INDEX('Fleet dates'!$C$9:$C$1008,$I456-8)="","",INDEX('Fleet dates'!$C$9:$C$1008,$I456-8)))</x:f>
      </x:c>
      <x:c r="D456" s="51" t="str">
        <x:f>IF(448&gt;$H$4,"",IF(INDEX('Fleet dates'!$D$9:$D$1008,$I456-8)="","",INDEX('Fleet dates'!$D$9:$D$1008,$I456-8)))</x:f>
      </x:c>
      <x:c r="E456" s="51" t="str">
        <x:f>IF(448&gt;$H$4,"",IF(INDEX('Fleet dates'!$E$9:$E$1008,$I456-8)="","",INDEX('Fleet dates'!$E$9:$E$1008,$I456-8)))</x:f>
      </x:c>
      <x:c r="F456" s="51" t="str">
        <x:f>IF(448&gt;$H$4,"",IF(INDEX('Fleet dates'!$F$9:$F$1008,$I456-8)="","",INDEX('Fleet dates'!$F$9:$F$1008,$I456-8)))</x:f>
      </x:c>
      <x:c r="G456" s="50" t="str">
        <x:f>IF(448&gt;$H$4,"",IF(INDEX('Fleet dates'!$G$9:$G$1008,$I456-8)="","",INDEX('Fleet dates'!$G$9:$G$1008,$I456-8)))</x:f>
      </x:c>
      <x:c r="H456" s="50" t="str">
        <x:f>IF(448&gt;$H$4,"",IF(INDEX('Fleet dates'!$I$9:$I$1008,$I456-8)="","",INDEX('Fleet dates'!$I$9:$I$1008,$I456-8)))</x:f>
      </x:c>
      <x:c r="I456" t="str">
        <x:f>IF(448&gt;$H$4,"",MATCH(448,'Fleet dates'!$M$9:$M$1008,0)+8)</x:f>
      </x:c>
    </x:row>
    <x:row r="457" ht="36" customHeight="1">
      <x:c r="A457" s="50" t="str">
        <x:f>IF(449&gt;$H$4,"",IF(INDEX('Fleet dates'!$A$9:$A$1008,$I457-8)="","",INDEX('Fleet dates'!$A$9:$A$1008,$I457-8)))</x:f>
      </x:c>
      <x:c r="B457" s="50" t="str">
        <x:f>IF(449&gt;$H$4,"",IF(INDEX('Fleet dates'!$B$9:$B$1008,$I457-8)="","",INDEX('Fleet dates'!$B$9:$B$1008,$I457-8)))</x:f>
      </x:c>
      <x:c r="C457" s="51" t="str">
        <x:f>IF(449&gt;$H$4,"",IF(INDEX('Fleet dates'!$C$9:$C$1008,$I457-8)="","",INDEX('Fleet dates'!$C$9:$C$1008,$I457-8)))</x:f>
      </x:c>
      <x:c r="D457" s="51" t="str">
        <x:f>IF(449&gt;$H$4,"",IF(INDEX('Fleet dates'!$D$9:$D$1008,$I457-8)="","",INDEX('Fleet dates'!$D$9:$D$1008,$I457-8)))</x:f>
      </x:c>
      <x:c r="E457" s="51" t="str">
        <x:f>IF(449&gt;$H$4,"",IF(INDEX('Fleet dates'!$E$9:$E$1008,$I457-8)="","",INDEX('Fleet dates'!$E$9:$E$1008,$I457-8)))</x:f>
      </x:c>
      <x:c r="F457" s="51" t="str">
        <x:f>IF(449&gt;$H$4,"",IF(INDEX('Fleet dates'!$F$9:$F$1008,$I457-8)="","",INDEX('Fleet dates'!$F$9:$F$1008,$I457-8)))</x:f>
      </x:c>
      <x:c r="G457" s="50" t="str">
        <x:f>IF(449&gt;$H$4,"",IF(INDEX('Fleet dates'!$G$9:$G$1008,$I457-8)="","",INDEX('Fleet dates'!$G$9:$G$1008,$I457-8)))</x:f>
      </x:c>
      <x:c r="H457" s="50" t="str">
        <x:f>IF(449&gt;$H$4,"",IF(INDEX('Fleet dates'!$I$9:$I$1008,$I457-8)="","",INDEX('Fleet dates'!$I$9:$I$1008,$I457-8)))</x:f>
      </x:c>
      <x:c r="I457" t="str">
        <x:f>IF(449&gt;$H$4,"",MATCH(449,'Fleet dates'!$M$9:$M$1008,0)+8)</x:f>
      </x:c>
    </x:row>
    <x:row r="458" ht="36" customHeight="1">
      <x:c r="A458" s="50" t="str">
        <x:f>IF(450&gt;$H$4,"",IF(INDEX('Fleet dates'!$A$9:$A$1008,$I458-8)="","",INDEX('Fleet dates'!$A$9:$A$1008,$I458-8)))</x:f>
      </x:c>
      <x:c r="B458" s="50" t="str">
        <x:f>IF(450&gt;$H$4,"",IF(INDEX('Fleet dates'!$B$9:$B$1008,$I458-8)="","",INDEX('Fleet dates'!$B$9:$B$1008,$I458-8)))</x:f>
      </x:c>
      <x:c r="C458" s="51" t="str">
        <x:f>IF(450&gt;$H$4,"",IF(INDEX('Fleet dates'!$C$9:$C$1008,$I458-8)="","",INDEX('Fleet dates'!$C$9:$C$1008,$I458-8)))</x:f>
      </x:c>
      <x:c r="D458" s="51" t="str">
        <x:f>IF(450&gt;$H$4,"",IF(INDEX('Fleet dates'!$D$9:$D$1008,$I458-8)="","",INDEX('Fleet dates'!$D$9:$D$1008,$I458-8)))</x:f>
      </x:c>
      <x:c r="E458" s="51" t="str">
        <x:f>IF(450&gt;$H$4,"",IF(INDEX('Fleet dates'!$E$9:$E$1008,$I458-8)="","",INDEX('Fleet dates'!$E$9:$E$1008,$I458-8)))</x:f>
      </x:c>
      <x:c r="F458" s="51" t="str">
        <x:f>IF(450&gt;$H$4,"",IF(INDEX('Fleet dates'!$F$9:$F$1008,$I458-8)="","",INDEX('Fleet dates'!$F$9:$F$1008,$I458-8)))</x:f>
      </x:c>
      <x:c r="G458" s="50" t="str">
        <x:f>IF(450&gt;$H$4,"",IF(INDEX('Fleet dates'!$G$9:$G$1008,$I458-8)="","",INDEX('Fleet dates'!$G$9:$G$1008,$I458-8)))</x:f>
      </x:c>
      <x:c r="H458" s="50" t="str">
        <x:f>IF(450&gt;$H$4,"",IF(INDEX('Fleet dates'!$I$9:$I$1008,$I458-8)="","",INDEX('Fleet dates'!$I$9:$I$1008,$I458-8)))</x:f>
      </x:c>
      <x:c r="I458" t="str">
        <x:f>IF(450&gt;$H$4,"",MATCH(450,'Fleet dates'!$M$9:$M$1008,0)+8)</x:f>
      </x:c>
    </x:row>
    <x:row r="459" ht="36" customHeight="1">
      <x:c r="A459" s="50" t="str">
        <x:f>IF(451&gt;$H$4,"",IF(INDEX('Fleet dates'!$A$9:$A$1008,$I459-8)="","",INDEX('Fleet dates'!$A$9:$A$1008,$I459-8)))</x:f>
      </x:c>
      <x:c r="B459" s="50" t="str">
        <x:f>IF(451&gt;$H$4,"",IF(INDEX('Fleet dates'!$B$9:$B$1008,$I459-8)="","",INDEX('Fleet dates'!$B$9:$B$1008,$I459-8)))</x:f>
      </x:c>
      <x:c r="C459" s="51" t="str">
        <x:f>IF(451&gt;$H$4,"",IF(INDEX('Fleet dates'!$C$9:$C$1008,$I459-8)="","",INDEX('Fleet dates'!$C$9:$C$1008,$I459-8)))</x:f>
      </x:c>
      <x:c r="D459" s="51" t="str">
        <x:f>IF(451&gt;$H$4,"",IF(INDEX('Fleet dates'!$D$9:$D$1008,$I459-8)="","",INDEX('Fleet dates'!$D$9:$D$1008,$I459-8)))</x:f>
      </x:c>
      <x:c r="E459" s="51" t="str">
        <x:f>IF(451&gt;$H$4,"",IF(INDEX('Fleet dates'!$E$9:$E$1008,$I459-8)="","",INDEX('Fleet dates'!$E$9:$E$1008,$I459-8)))</x:f>
      </x:c>
      <x:c r="F459" s="51" t="str">
        <x:f>IF(451&gt;$H$4,"",IF(INDEX('Fleet dates'!$F$9:$F$1008,$I459-8)="","",INDEX('Fleet dates'!$F$9:$F$1008,$I459-8)))</x:f>
      </x:c>
      <x:c r="G459" s="50" t="str">
        <x:f>IF(451&gt;$H$4,"",IF(INDEX('Fleet dates'!$G$9:$G$1008,$I459-8)="","",INDEX('Fleet dates'!$G$9:$G$1008,$I459-8)))</x:f>
      </x:c>
      <x:c r="H459" s="50" t="str">
        <x:f>IF(451&gt;$H$4,"",IF(INDEX('Fleet dates'!$I$9:$I$1008,$I459-8)="","",INDEX('Fleet dates'!$I$9:$I$1008,$I459-8)))</x:f>
      </x:c>
      <x:c r="I459" t="str">
        <x:f>IF(451&gt;$H$4,"",MATCH(451,'Fleet dates'!$M$9:$M$1008,0)+8)</x:f>
      </x:c>
    </x:row>
    <x:row r="460" ht="36" customHeight="1">
      <x:c r="A460" s="50" t="str">
        <x:f>IF(452&gt;$H$4,"",IF(INDEX('Fleet dates'!$A$9:$A$1008,$I460-8)="","",INDEX('Fleet dates'!$A$9:$A$1008,$I460-8)))</x:f>
      </x:c>
      <x:c r="B460" s="50" t="str">
        <x:f>IF(452&gt;$H$4,"",IF(INDEX('Fleet dates'!$B$9:$B$1008,$I460-8)="","",INDEX('Fleet dates'!$B$9:$B$1008,$I460-8)))</x:f>
      </x:c>
      <x:c r="C460" s="51" t="str">
        <x:f>IF(452&gt;$H$4,"",IF(INDEX('Fleet dates'!$C$9:$C$1008,$I460-8)="","",INDEX('Fleet dates'!$C$9:$C$1008,$I460-8)))</x:f>
      </x:c>
      <x:c r="D460" s="51" t="str">
        <x:f>IF(452&gt;$H$4,"",IF(INDEX('Fleet dates'!$D$9:$D$1008,$I460-8)="","",INDEX('Fleet dates'!$D$9:$D$1008,$I460-8)))</x:f>
      </x:c>
      <x:c r="E460" s="51" t="str">
        <x:f>IF(452&gt;$H$4,"",IF(INDEX('Fleet dates'!$E$9:$E$1008,$I460-8)="","",INDEX('Fleet dates'!$E$9:$E$1008,$I460-8)))</x:f>
      </x:c>
      <x:c r="F460" s="51" t="str">
        <x:f>IF(452&gt;$H$4,"",IF(INDEX('Fleet dates'!$F$9:$F$1008,$I460-8)="","",INDEX('Fleet dates'!$F$9:$F$1008,$I460-8)))</x:f>
      </x:c>
      <x:c r="G460" s="50" t="str">
        <x:f>IF(452&gt;$H$4,"",IF(INDEX('Fleet dates'!$G$9:$G$1008,$I460-8)="","",INDEX('Fleet dates'!$G$9:$G$1008,$I460-8)))</x:f>
      </x:c>
      <x:c r="H460" s="50" t="str">
        <x:f>IF(452&gt;$H$4,"",IF(INDEX('Fleet dates'!$I$9:$I$1008,$I460-8)="","",INDEX('Fleet dates'!$I$9:$I$1008,$I460-8)))</x:f>
      </x:c>
      <x:c r="I460" t="str">
        <x:f>IF(452&gt;$H$4,"",MATCH(452,'Fleet dates'!$M$9:$M$1008,0)+8)</x:f>
      </x:c>
    </x:row>
    <x:row r="461" ht="36" customHeight="1">
      <x:c r="A461" s="50" t="str">
        <x:f>IF(453&gt;$H$4,"",IF(INDEX('Fleet dates'!$A$9:$A$1008,$I461-8)="","",INDEX('Fleet dates'!$A$9:$A$1008,$I461-8)))</x:f>
      </x:c>
      <x:c r="B461" s="50" t="str">
        <x:f>IF(453&gt;$H$4,"",IF(INDEX('Fleet dates'!$B$9:$B$1008,$I461-8)="","",INDEX('Fleet dates'!$B$9:$B$1008,$I461-8)))</x:f>
      </x:c>
      <x:c r="C461" s="51" t="str">
        <x:f>IF(453&gt;$H$4,"",IF(INDEX('Fleet dates'!$C$9:$C$1008,$I461-8)="","",INDEX('Fleet dates'!$C$9:$C$1008,$I461-8)))</x:f>
      </x:c>
      <x:c r="D461" s="51" t="str">
        <x:f>IF(453&gt;$H$4,"",IF(INDEX('Fleet dates'!$D$9:$D$1008,$I461-8)="","",INDEX('Fleet dates'!$D$9:$D$1008,$I461-8)))</x:f>
      </x:c>
      <x:c r="E461" s="51" t="str">
        <x:f>IF(453&gt;$H$4,"",IF(INDEX('Fleet dates'!$E$9:$E$1008,$I461-8)="","",INDEX('Fleet dates'!$E$9:$E$1008,$I461-8)))</x:f>
      </x:c>
      <x:c r="F461" s="51" t="str">
        <x:f>IF(453&gt;$H$4,"",IF(INDEX('Fleet dates'!$F$9:$F$1008,$I461-8)="","",INDEX('Fleet dates'!$F$9:$F$1008,$I461-8)))</x:f>
      </x:c>
      <x:c r="G461" s="50" t="str">
        <x:f>IF(453&gt;$H$4,"",IF(INDEX('Fleet dates'!$G$9:$G$1008,$I461-8)="","",INDEX('Fleet dates'!$G$9:$G$1008,$I461-8)))</x:f>
      </x:c>
      <x:c r="H461" s="50" t="str">
        <x:f>IF(453&gt;$H$4,"",IF(INDEX('Fleet dates'!$I$9:$I$1008,$I461-8)="","",INDEX('Fleet dates'!$I$9:$I$1008,$I461-8)))</x:f>
      </x:c>
      <x:c r="I461" t="str">
        <x:f>IF(453&gt;$H$4,"",MATCH(453,'Fleet dates'!$M$9:$M$1008,0)+8)</x:f>
      </x:c>
    </x:row>
    <x:row r="462" ht="36" customHeight="1">
      <x:c r="A462" s="50" t="str">
        <x:f>IF(454&gt;$H$4,"",IF(INDEX('Fleet dates'!$A$9:$A$1008,$I462-8)="","",INDEX('Fleet dates'!$A$9:$A$1008,$I462-8)))</x:f>
      </x:c>
      <x:c r="B462" s="50" t="str">
        <x:f>IF(454&gt;$H$4,"",IF(INDEX('Fleet dates'!$B$9:$B$1008,$I462-8)="","",INDEX('Fleet dates'!$B$9:$B$1008,$I462-8)))</x:f>
      </x:c>
      <x:c r="C462" s="51" t="str">
        <x:f>IF(454&gt;$H$4,"",IF(INDEX('Fleet dates'!$C$9:$C$1008,$I462-8)="","",INDEX('Fleet dates'!$C$9:$C$1008,$I462-8)))</x:f>
      </x:c>
      <x:c r="D462" s="51" t="str">
        <x:f>IF(454&gt;$H$4,"",IF(INDEX('Fleet dates'!$D$9:$D$1008,$I462-8)="","",INDEX('Fleet dates'!$D$9:$D$1008,$I462-8)))</x:f>
      </x:c>
      <x:c r="E462" s="51" t="str">
        <x:f>IF(454&gt;$H$4,"",IF(INDEX('Fleet dates'!$E$9:$E$1008,$I462-8)="","",INDEX('Fleet dates'!$E$9:$E$1008,$I462-8)))</x:f>
      </x:c>
      <x:c r="F462" s="51" t="str">
        <x:f>IF(454&gt;$H$4,"",IF(INDEX('Fleet dates'!$F$9:$F$1008,$I462-8)="","",INDEX('Fleet dates'!$F$9:$F$1008,$I462-8)))</x:f>
      </x:c>
      <x:c r="G462" s="50" t="str">
        <x:f>IF(454&gt;$H$4,"",IF(INDEX('Fleet dates'!$G$9:$G$1008,$I462-8)="","",INDEX('Fleet dates'!$G$9:$G$1008,$I462-8)))</x:f>
      </x:c>
      <x:c r="H462" s="50" t="str">
        <x:f>IF(454&gt;$H$4,"",IF(INDEX('Fleet dates'!$I$9:$I$1008,$I462-8)="","",INDEX('Fleet dates'!$I$9:$I$1008,$I462-8)))</x:f>
      </x:c>
      <x:c r="I462" t="str">
        <x:f>IF(454&gt;$H$4,"",MATCH(454,'Fleet dates'!$M$9:$M$1008,0)+8)</x:f>
      </x:c>
    </x:row>
    <x:row r="463" ht="36" customHeight="1">
      <x:c r="A463" s="50" t="str">
        <x:f>IF(455&gt;$H$4,"",IF(INDEX('Fleet dates'!$A$9:$A$1008,$I463-8)="","",INDEX('Fleet dates'!$A$9:$A$1008,$I463-8)))</x:f>
      </x:c>
      <x:c r="B463" s="50" t="str">
        <x:f>IF(455&gt;$H$4,"",IF(INDEX('Fleet dates'!$B$9:$B$1008,$I463-8)="","",INDEX('Fleet dates'!$B$9:$B$1008,$I463-8)))</x:f>
      </x:c>
      <x:c r="C463" s="51" t="str">
        <x:f>IF(455&gt;$H$4,"",IF(INDEX('Fleet dates'!$C$9:$C$1008,$I463-8)="","",INDEX('Fleet dates'!$C$9:$C$1008,$I463-8)))</x:f>
      </x:c>
      <x:c r="D463" s="51" t="str">
        <x:f>IF(455&gt;$H$4,"",IF(INDEX('Fleet dates'!$D$9:$D$1008,$I463-8)="","",INDEX('Fleet dates'!$D$9:$D$1008,$I463-8)))</x:f>
      </x:c>
      <x:c r="E463" s="51" t="str">
        <x:f>IF(455&gt;$H$4,"",IF(INDEX('Fleet dates'!$E$9:$E$1008,$I463-8)="","",INDEX('Fleet dates'!$E$9:$E$1008,$I463-8)))</x:f>
      </x:c>
      <x:c r="F463" s="51" t="str">
        <x:f>IF(455&gt;$H$4,"",IF(INDEX('Fleet dates'!$F$9:$F$1008,$I463-8)="","",INDEX('Fleet dates'!$F$9:$F$1008,$I463-8)))</x:f>
      </x:c>
      <x:c r="G463" s="50" t="str">
        <x:f>IF(455&gt;$H$4,"",IF(INDEX('Fleet dates'!$G$9:$G$1008,$I463-8)="","",INDEX('Fleet dates'!$G$9:$G$1008,$I463-8)))</x:f>
      </x:c>
      <x:c r="H463" s="50" t="str">
        <x:f>IF(455&gt;$H$4,"",IF(INDEX('Fleet dates'!$I$9:$I$1008,$I463-8)="","",INDEX('Fleet dates'!$I$9:$I$1008,$I463-8)))</x:f>
      </x:c>
      <x:c r="I463" t="str">
        <x:f>IF(455&gt;$H$4,"",MATCH(455,'Fleet dates'!$M$9:$M$1008,0)+8)</x:f>
      </x:c>
    </x:row>
    <x:row r="464" ht="36" customHeight="1">
      <x:c r="A464" s="50" t="str">
        <x:f>IF(456&gt;$H$4,"",IF(INDEX('Fleet dates'!$A$9:$A$1008,$I464-8)="","",INDEX('Fleet dates'!$A$9:$A$1008,$I464-8)))</x:f>
      </x:c>
      <x:c r="B464" s="50" t="str">
        <x:f>IF(456&gt;$H$4,"",IF(INDEX('Fleet dates'!$B$9:$B$1008,$I464-8)="","",INDEX('Fleet dates'!$B$9:$B$1008,$I464-8)))</x:f>
      </x:c>
      <x:c r="C464" s="51" t="str">
        <x:f>IF(456&gt;$H$4,"",IF(INDEX('Fleet dates'!$C$9:$C$1008,$I464-8)="","",INDEX('Fleet dates'!$C$9:$C$1008,$I464-8)))</x:f>
      </x:c>
      <x:c r="D464" s="51" t="str">
        <x:f>IF(456&gt;$H$4,"",IF(INDEX('Fleet dates'!$D$9:$D$1008,$I464-8)="","",INDEX('Fleet dates'!$D$9:$D$1008,$I464-8)))</x:f>
      </x:c>
      <x:c r="E464" s="51" t="str">
        <x:f>IF(456&gt;$H$4,"",IF(INDEX('Fleet dates'!$E$9:$E$1008,$I464-8)="","",INDEX('Fleet dates'!$E$9:$E$1008,$I464-8)))</x:f>
      </x:c>
      <x:c r="F464" s="51" t="str">
        <x:f>IF(456&gt;$H$4,"",IF(INDEX('Fleet dates'!$F$9:$F$1008,$I464-8)="","",INDEX('Fleet dates'!$F$9:$F$1008,$I464-8)))</x:f>
      </x:c>
      <x:c r="G464" s="50" t="str">
        <x:f>IF(456&gt;$H$4,"",IF(INDEX('Fleet dates'!$G$9:$G$1008,$I464-8)="","",INDEX('Fleet dates'!$G$9:$G$1008,$I464-8)))</x:f>
      </x:c>
      <x:c r="H464" s="50" t="str">
        <x:f>IF(456&gt;$H$4,"",IF(INDEX('Fleet dates'!$I$9:$I$1008,$I464-8)="","",INDEX('Fleet dates'!$I$9:$I$1008,$I464-8)))</x:f>
      </x:c>
      <x:c r="I464" t="str">
        <x:f>IF(456&gt;$H$4,"",MATCH(456,'Fleet dates'!$M$9:$M$1008,0)+8)</x:f>
      </x:c>
    </x:row>
    <x:row r="465" ht="36" customHeight="1">
      <x:c r="A465" s="50" t="str">
        <x:f>IF(457&gt;$H$4,"",IF(INDEX('Fleet dates'!$A$9:$A$1008,$I465-8)="","",INDEX('Fleet dates'!$A$9:$A$1008,$I465-8)))</x:f>
      </x:c>
      <x:c r="B465" s="50" t="str">
        <x:f>IF(457&gt;$H$4,"",IF(INDEX('Fleet dates'!$B$9:$B$1008,$I465-8)="","",INDEX('Fleet dates'!$B$9:$B$1008,$I465-8)))</x:f>
      </x:c>
      <x:c r="C465" s="51" t="str">
        <x:f>IF(457&gt;$H$4,"",IF(INDEX('Fleet dates'!$C$9:$C$1008,$I465-8)="","",INDEX('Fleet dates'!$C$9:$C$1008,$I465-8)))</x:f>
      </x:c>
      <x:c r="D465" s="51" t="str">
        <x:f>IF(457&gt;$H$4,"",IF(INDEX('Fleet dates'!$D$9:$D$1008,$I465-8)="","",INDEX('Fleet dates'!$D$9:$D$1008,$I465-8)))</x:f>
      </x:c>
      <x:c r="E465" s="51" t="str">
        <x:f>IF(457&gt;$H$4,"",IF(INDEX('Fleet dates'!$E$9:$E$1008,$I465-8)="","",INDEX('Fleet dates'!$E$9:$E$1008,$I465-8)))</x:f>
      </x:c>
      <x:c r="F465" s="51" t="str">
        <x:f>IF(457&gt;$H$4,"",IF(INDEX('Fleet dates'!$F$9:$F$1008,$I465-8)="","",INDEX('Fleet dates'!$F$9:$F$1008,$I465-8)))</x:f>
      </x:c>
      <x:c r="G465" s="50" t="str">
        <x:f>IF(457&gt;$H$4,"",IF(INDEX('Fleet dates'!$G$9:$G$1008,$I465-8)="","",INDEX('Fleet dates'!$G$9:$G$1008,$I465-8)))</x:f>
      </x:c>
      <x:c r="H465" s="50" t="str">
        <x:f>IF(457&gt;$H$4,"",IF(INDEX('Fleet dates'!$I$9:$I$1008,$I465-8)="","",INDEX('Fleet dates'!$I$9:$I$1008,$I465-8)))</x:f>
      </x:c>
      <x:c r="I465" t="str">
        <x:f>IF(457&gt;$H$4,"",MATCH(457,'Fleet dates'!$M$9:$M$1008,0)+8)</x:f>
      </x:c>
    </x:row>
    <x:row r="466" ht="36" customHeight="1">
      <x:c r="A466" s="50" t="str">
        <x:f>IF(458&gt;$H$4,"",IF(INDEX('Fleet dates'!$A$9:$A$1008,$I466-8)="","",INDEX('Fleet dates'!$A$9:$A$1008,$I466-8)))</x:f>
      </x:c>
      <x:c r="B466" s="50" t="str">
        <x:f>IF(458&gt;$H$4,"",IF(INDEX('Fleet dates'!$B$9:$B$1008,$I466-8)="","",INDEX('Fleet dates'!$B$9:$B$1008,$I466-8)))</x:f>
      </x:c>
      <x:c r="C466" s="51" t="str">
        <x:f>IF(458&gt;$H$4,"",IF(INDEX('Fleet dates'!$C$9:$C$1008,$I466-8)="","",INDEX('Fleet dates'!$C$9:$C$1008,$I466-8)))</x:f>
      </x:c>
      <x:c r="D466" s="51" t="str">
        <x:f>IF(458&gt;$H$4,"",IF(INDEX('Fleet dates'!$D$9:$D$1008,$I466-8)="","",INDEX('Fleet dates'!$D$9:$D$1008,$I466-8)))</x:f>
      </x:c>
      <x:c r="E466" s="51" t="str">
        <x:f>IF(458&gt;$H$4,"",IF(INDEX('Fleet dates'!$E$9:$E$1008,$I466-8)="","",INDEX('Fleet dates'!$E$9:$E$1008,$I466-8)))</x:f>
      </x:c>
      <x:c r="F466" s="51" t="str">
        <x:f>IF(458&gt;$H$4,"",IF(INDEX('Fleet dates'!$F$9:$F$1008,$I466-8)="","",INDEX('Fleet dates'!$F$9:$F$1008,$I466-8)))</x:f>
      </x:c>
      <x:c r="G466" s="50" t="str">
        <x:f>IF(458&gt;$H$4,"",IF(INDEX('Fleet dates'!$G$9:$G$1008,$I466-8)="","",INDEX('Fleet dates'!$G$9:$G$1008,$I466-8)))</x:f>
      </x:c>
      <x:c r="H466" s="50" t="str">
        <x:f>IF(458&gt;$H$4,"",IF(INDEX('Fleet dates'!$I$9:$I$1008,$I466-8)="","",INDEX('Fleet dates'!$I$9:$I$1008,$I466-8)))</x:f>
      </x:c>
      <x:c r="I466" t="str">
        <x:f>IF(458&gt;$H$4,"",MATCH(458,'Fleet dates'!$M$9:$M$1008,0)+8)</x:f>
      </x:c>
    </x:row>
    <x:row r="467" ht="36" customHeight="1">
      <x:c r="A467" s="50" t="str">
        <x:f>IF(459&gt;$H$4,"",IF(INDEX('Fleet dates'!$A$9:$A$1008,$I467-8)="","",INDEX('Fleet dates'!$A$9:$A$1008,$I467-8)))</x:f>
      </x:c>
      <x:c r="B467" s="50" t="str">
        <x:f>IF(459&gt;$H$4,"",IF(INDEX('Fleet dates'!$B$9:$B$1008,$I467-8)="","",INDEX('Fleet dates'!$B$9:$B$1008,$I467-8)))</x:f>
      </x:c>
      <x:c r="C467" s="51" t="str">
        <x:f>IF(459&gt;$H$4,"",IF(INDEX('Fleet dates'!$C$9:$C$1008,$I467-8)="","",INDEX('Fleet dates'!$C$9:$C$1008,$I467-8)))</x:f>
      </x:c>
      <x:c r="D467" s="51" t="str">
        <x:f>IF(459&gt;$H$4,"",IF(INDEX('Fleet dates'!$D$9:$D$1008,$I467-8)="","",INDEX('Fleet dates'!$D$9:$D$1008,$I467-8)))</x:f>
      </x:c>
      <x:c r="E467" s="51" t="str">
        <x:f>IF(459&gt;$H$4,"",IF(INDEX('Fleet dates'!$E$9:$E$1008,$I467-8)="","",INDEX('Fleet dates'!$E$9:$E$1008,$I467-8)))</x:f>
      </x:c>
      <x:c r="F467" s="51" t="str">
        <x:f>IF(459&gt;$H$4,"",IF(INDEX('Fleet dates'!$F$9:$F$1008,$I467-8)="","",INDEX('Fleet dates'!$F$9:$F$1008,$I467-8)))</x:f>
      </x:c>
      <x:c r="G467" s="50" t="str">
        <x:f>IF(459&gt;$H$4,"",IF(INDEX('Fleet dates'!$G$9:$G$1008,$I467-8)="","",INDEX('Fleet dates'!$G$9:$G$1008,$I467-8)))</x:f>
      </x:c>
      <x:c r="H467" s="50" t="str">
        <x:f>IF(459&gt;$H$4,"",IF(INDEX('Fleet dates'!$I$9:$I$1008,$I467-8)="","",INDEX('Fleet dates'!$I$9:$I$1008,$I467-8)))</x:f>
      </x:c>
      <x:c r="I467" t="str">
        <x:f>IF(459&gt;$H$4,"",MATCH(459,'Fleet dates'!$M$9:$M$1008,0)+8)</x:f>
      </x:c>
    </x:row>
    <x:row r="468" ht="36" customHeight="1">
      <x:c r="A468" s="50" t="str">
        <x:f>IF(460&gt;$H$4,"",IF(INDEX('Fleet dates'!$A$9:$A$1008,$I468-8)="","",INDEX('Fleet dates'!$A$9:$A$1008,$I468-8)))</x:f>
      </x:c>
      <x:c r="B468" s="50" t="str">
        <x:f>IF(460&gt;$H$4,"",IF(INDEX('Fleet dates'!$B$9:$B$1008,$I468-8)="","",INDEX('Fleet dates'!$B$9:$B$1008,$I468-8)))</x:f>
      </x:c>
      <x:c r="C468" s="51" t="str">
        <x:f>IF(460&gt;$H$4,"",IF(INDEX('Fleet dates'!$C$9:$C$1008,$I468-8)="","",INDEX('Fleet dates'!$C$9:$C$1008,$I468-8)))</x:f>
      </x:c>
      <x:c r="D468" s="51" t="str">
        <x:f>IF(460&gt;$H$4,"",IF(INDEX('Fleet dates'!$D$9:$D$1008,$I468-8)="","",INDEX('Fleet dates'!$D$9:$D$1008,$I468-8)))</x:f>
      </x:c>
      <x:c r="E468" s="51" t="str">
        <x:f>IF(460&gt;$H$4,"",IF(INDEX('Fleet dates'!$E$9:$E$1008,$I468-8)="","",INDEX('Fleet dates'!$E$9:$E$1008,$I468-8)))</x:f>
      </x:c>
      <x:c r="F468" s="51" t="str">
        <x:f>IF(460&gt;$H$4,"",IF(INDEX('Fleet dates'!$F$9:$F$1008,$I468-8)="","",INDEX('Fleet dates'!$F$9:$F$1008,$I468-8)))</x:f>
      </x:c>
      <x:c r="G468" s="50" t="str">
        <x:f>IF(460&gt;$H$4,"",IF(INDEX('Fleet dates'!$G$9:$G$1008,$I468-8)="","",INDEX('Fleet dates'!$G$9:$G$1008,$I468-8)))</x:f>
      </x:c>
      <x:c r="H468" s="50" t="str">
        <x:f>IF(460&gt;$H$4,"",IF(INDEX('Fleet dates'!$I$9:$I$1008,$I468-8)="","",INDEX('Fleet dates'!$I$9:$I$1008,$I468-8)))</x:f>
      </x:c>
      <x:c r="I468" t="str">
        <x:f>IF(460&gt;$H$4,"",MATCH(460,'Fleet dates'!$M$9:$M$1008,0)+8)</x:f>
      </x:c>
    </x:row>
    <x:row r="469" ht="36" customHeight="1">
      <x:c r="A469" s="50" t="str">
        <x:f>IF(461&gt;$H$4,"",IF(INDEX('Fleet dates'!$A$9:$A$1008,$I469-8)="","",INDEX('Fleet dates'!$A$9:$A$1008,$I469-8)))</x:f>
      </x:c>
      <x:c r="B469" s="50" t="str">
        <x:f>IF(461&gt;$H$4,"",IF(INDEX('Fleet dates'!$B$9:$B$1008,$I469-8)="","",INDEX('Fleet dates'!$B$9:$B$1008,$I469-8)))</x:f>
      </x:c>
      <x:c r="C469" s="51" t="str">
        <x:f>IF(461&gt;$H$4,"",IF(INDEX('Fleet dates'!$C$9:$C$1008,$I469-8)="","",INDEX('Fleet dates'!$C$9:$C$1008,$I469-8)))</x:f>
      </x:c>
      <x:c r="D469" s="51" t="str">
        <x:f>IF(461&gt;$H$4,"",IF(INDEX('Fleet dates'!$D$9:$D$1008,$I469-8)="","",INDEX('Fleet dates'!$D$9:$D$1008,$I469-8)))</x:f>
      </x:c>
      <x:c r="E469" s="51" t="str">
        <x:f>IF(461&gt;$H$4,"",IF(INDEX('Fleet dates'!$E$9:$E$1008,$I469-8)="","",INDEX('Fleet dates'!$E$9:$E$1008,$I469-8)))</x:f>
      </x:c>
      <x:c r="F469" s="51" t="str">
        <x:f>IF(461&gt;$H$4,"",IF(INDEX('Fleet dates'!$F$9:$F$1008,$I469-8)="","",INDEX('Fleet dates'!$F$9:$F$1008,$I469-8)))</x:f>
      </x:c>
      <x:c r="G469" s="50" t="str">
        <x:f>IF(461&gt;$H$4,"",IF(INDEX('Fleet dates'!$G$9:$G$1008,$I469-8)="","",INDEX('Fleet dates'!$G$9:$G$1008,$I469-8)))</x:f>
      </x:c>
      <x:c r="H469" s="50" t="str">
        <x:f>IF(461&gt;$H$4,"",IF(INDEX('Fleet dates'!$I$9:$I$1008,$I469-8)="","",INDEX('Fleet dates'!$I$9:$I$1008,$I469-8)))</x:f>
      </x:c>
      <x:c r="I469" t="str">
        <x:f>IF(461&gt;$H$4,"",MATCH(461,'Fleet dates'!$M$9:$M$1008,0)+8)</x:f>
      </x:c>
    </x:row>
    <x:row r="470" ht="36" customHeight="1">
      <x:c r="A470" s="50" t="str">
        <x:f>IF(462&gt;$H$4,"",IF(INDEX('Fleet dates'!$A$9:$A$1008,$I470-8)="","",INDEX('Fleet dates'!$A$9:$A$1008,$I470-8)))</x:f>
      </x:c>
      <x:c r="B470" s="50" t="str">
        <x:f>IF(462&gt;$H$4,"",IF(INDEX('Fleet dates'!$B$9:$B$1008,$I470-8)="","",INDEX('Fleet dates'!$B$9:$B$1008,$I470-8)))</x:f>
      </x:c>
      <x:c r="C470" s="51" t="str">
        <x:f>IF(462&gt;$H$4,"",IF(INDEX('Fleet dates'!$C$9:$C$1008,$I470-8)="","",INDEX('Fleet dates'!$C$9:$C$1008,$I470-8)))</x:f>
      </x:c>
      <x:c r="D470" s="51" t="str">
        <x:f>IF(462&gt;$H$4,"",IF(INDEX('Fleet dates'!$D$9:$D$1008,$I470-8)="","",INDEX('Fleet dates'!$D$9:$D$1008,$I470-8)))</x:f>
      </x:c>
      <x:c r="E470" s="51" t="str">
        <x:f>IF(462&gt;$H$4,"",IF(INDEX('Fleet dates'!$E$9:$E$1008,$I470-8)="","",INDEX('Fleet dates'!$E$9:$E$1008,$I470-8)))</x:f>
      </x:c>
      <x:c r="F470" s="51" t="str">
        <x:f>IF(462&gt;$H$4,"",IF(INDEX('Fleet dates'!$F$9:$F$1008,$I470-8)="","",INDEX('Fleet dates'!$F$9:$F$1008,$I470-8)))</x:f>
      </x:c>
      <x:c r="G470" s="50" t="str">
        <x:f>IF(462&gt;$H$4,"",IF(INDEX('Fleet dates'!$G$9:$G$1008,$I470-8)="","",INDEX('Fleet dates'!$G$9:$G$1008,$I470-8)))</x:f>
      </x:c>
      <x:c r="H470" s="50" t="str">
        <x:f>IF(462&gt;$H$4,"",IF(INDEX('Fleet dates'!$I$9:$I$1008,$I470-8)="","",INDEX('Fleet dates'!$I$9:$I$1008,$I470-8)))</x:f>
      </x:c>
      <x:c r="I470" t="str">
        <x:f>IF(462&gt;$H$4,"",MATCH(462,'Fleet dates'!$M$9:$M$1008,0)+8)</x:f>
      </x:c>
    </x:row>
    <x:row r="471" ht="36" customHeight="1">
      <x:c r="A471" s="50" t="str">
        <x:f>IF(463&gt;$H$4,"",IF(INDEX('Fleet dates'!$A$9:$A$1008,$I471-8)="","",INDEX('Fleet dates'!$A$9:$A$1008,$I471-8)))</x:f>
      </x:c>
      <x:c r="B471" s="50" t="str">
        <x:f>IF(463&gt;$H$4,"",IF(INDEX('Fleet dates'!$B$9:$B$1008,$I471-8)="","",INDEX('Fleet dates'!$B$9:$B$1008,$I471-8)))</x:f>
      </x:c>
      <x:c r="C471" s="51" t="str">
        <x:f>IF(463&gt;$H$4,"",IF(INDEX('Fleet dates'!$C$9:$C$1008,$I471-8)="","",INDEX('Fleet dates'!$C$9:$C$1008,$I471-8)))</x:f>
      </x:c>
      <x:c r="D471" s="51" t="str">
        <x:f>IF(463&gt;$H$4,"",IF(INDEX('Fleet dates'!$D$9:$D$1008,$I471-8)="","",INDEX('Fleet dates'!$D$9:$D$1008,$I471-8)))</x:f>
      </x:c>
      <x:c r="E471" s="51" t="str">
        <x:f>IF(463&gt;$H$4,"",IF(INDEX('Fleet dates'!$E$9:$E$1008,$I471-8)="","",INDEX('Fleet dates'!$E$9:$E$1008,$I471-8)))</x:f>
      </x:c>
      <x:c r="F471" s="51" t="str">
        <x:f>IF(463&gt;$H$4,"",IF(INDEX('Fleet dates'!$F$9:$F$1008,$I471-8)="","",INDEX('Fleet dates'!$F$9:$F$1008,$I471-8)))</x:f>
      </x:c>
      <x:c r="G471" s="50" t="str">
        <x:f>IF(463&gt;$H$4,"",IF(INDEX('Fleet dates'!$G$9:$G$1008,$I471-8)="","",INDEX('Fleet dates'!$G$9:$G$1008,$I471-8)))</x:f>
      </x:c>
      <x:c r="H471" s="50" t="str">
        <x:f>IF(463&gt;$H$4,"",IF(INDEX('Fleet dates'!$I$9:$I$1008,$I471-8)="","",INDEX('Fleet dates'!$I$9:$I$1008,$I471-8)))</x:f>
      </x:c>
      <x:c r="I471" t="str">
        <x:f>IF(463&gt;$H$4,"",MATCH(463,'Fleet dates'!$M$9:$M$1008,0)+8)</x:f>
      </x:c>
    </x:row>
    <x:row r="472" ht="36" customHeight="1">
      <x:c r="A472" s="50" t="str">
        <x:f>IF(464&gt;$H$4,"",IF(INDEX('Fleet dates'!$A$9:$A$1008,$I472-8)="","",INDEX('Fleet dates'!$A$9:$A$1008,$I472-8)))</x:f>
      </x:c>
      <x:c r="B472" s="50" t="str">
        <x:f>IF(464&gt;$H$4,"",IF(INDEX('Fleet dates'!$B$9:$B$1008,$I472-8)="","",INDEX('Fleet dates'!$B$9:$B$1008,$I472-8)))</x:f>
      </x:c>
      <x:c r="C472" s="51" t="str">
        <x:f>IF(464&gt;$H$4,"",IF(INDEX('Fleet dates'!$C$9:$C$1008,$I472-8)="","",INDEX('Fleet dates'!$C$9:$C$1008,$I472-8)))</x:f>
      </x:c>
      <x:c r="D472" s="51" t="str">
        <x:f>IF(464&gt;$H$4,"",IF(INDEX('Fleet dates'!$D$9:$D$1008,$I472-8)="","",INDEX('Fleet dates'!$D$9:$D$1008,$I472-8)))</x:f>
      </x:c>
      <x:c r="E472" s="51" t="str">
        <x:f>IF(464&gt;$H$4,"",IF(INDEX('Fleet dates'!$E$9:$E$1008,$I472-8)="","",INDEX('Fleet dates'!$E$9:$E$1008,$I472-8)))</x:f>
      </x:c>
      <x:c r="F472" s="51" t="str">
        <x:f>IF(464&gt;$H$4,"",IF(INDEX('Fleet dates'!$F$9:$F$1008,$I472-8)="","",INDEX('Fleet dates'!$F$9:$F$1008,$I472-8)))</x:f>
      </x:c>
      <x:c r="G472" s="50" t="str">
        <x:f>IF(464&gt;$H$4,"",IF(INDEX('Fleet dates'!$G$9:$G$1008,$I472-8)="","",INDEX('Fleet dates'!$G$9:$G$1008,$I472-8)))</x:f>
      </x:c>
      <x:c r="H472" s="50" t="str">
        <x:f>IF(464&gt;$H$4,"",IF(INDEX('Fleet dates'!$I$9:$I$1008,$I472-8)="","",INDEX('Fleet dates'!$I$9:$I$1008,$I472-8)))</x:f>
      </x:c>
      <x:c r="I472" t="str">
        <x:f>IF(464&gt;$H$4,"",MATCH(464,'Fleet dates'!$M$9:$M$1008,0)+8)</x:f>
      </x:c>
    </x:row>
    <x:row r="473" ht="36" customHeight="1">
      <x:c r="A473" s="50" t="str">
        <x:f>IF(465&gt;$H$4,"",IF(INDEX('Fleet dates'!$A$9:$A$1008,$I473-8)="","",INDEX('Fleet dates'!$A$9:$A$1008,$I473-8)))</x:f>
      </x:c>
      <x:c r="B473" s="50" t="str">
        <x:f>IF(465&gt;$H$4,"",IF(INDEX('Fleet dates'!$B$9:$B$1008,$I473-8)="","",INDEX('Fleet dates'!$B$9:$B$1008,$I473-8)))</x:f>
      </x:c>
      <x:c r="C473" s="51" t="str">
        <x:f>IF(465&gt;$H$4,"",IF(INDEX('Fleet dates'!$C$9:$C$1008,$I473-8)="","",INDEX('Fleet dates'!$C$9:$C$1008,$I473-8)))</x:f>
      </x:c>
      <x:c r="D473" s="51" t="str">
        <x:f>IF(465&gt;$H$4,"",IF(INDEX('Fleet dates'!$D$9:$D$1008,$I473-8)="","",INDEX('Fleet dates'!$D$9:$D$1008,$I473-8)))</x:f>
      </x:c>
      <x:c r="E473" s="51" t="str">
        <x:f>IF(465&gt;$H$4,"",IF(INDEX('Fleet dates'!$E$9:$E$1008,$I473-8)="","",INDEX('Fleet dates'!$E$9:$E$1008,$I473-8)))</x:f>
      </x:c>
      <x:c r="F473" s="51" t="str">
        <x:f>IF(465&gt;$H$4,"",IF(INDEX('Fleet dates'!$F$9:$F$1008,$I473-8)="","",INDEX('Fleet dates'!$F$9:$F$1008,$I473-8)))</x:f>
      </x:c>
      <x:c r="G473" s="50" t="str">
        <x:f>IF(465&gt;$H$4,"",IF(INDEX('Fleet dates'!$G$9:$G$1008,$I473-8)="","",INDEX('Fleet dates'!$G$9:$G$1008,$I473-8)))</x:f>
      </x:c>
      <x:c r="H473" s="50" t="str">
        <x:f>IF(465&gt;$H$4,"",IF(INDEX('Fleet dates'!$I$9:$I$1008,$I473-8)="","",INDEX('Fleet dates'!$I$9:$I$1008,$I473-8)))</x:f>
      </x:c>
      <x:c r="I473" t="str">
        <x:f>IF(465&gt;$H$4,"",MATCH(465,'Fleet dates'!$M$9:$M$1008,0)+8)</x:f>
      </x:c>
    </x:row>
    <x:row r="474" ht="36" customHeight="1">
      <x:c r="A474" s="50" t="str">
        <x:f>IF(466&gt;$H$4,"",IF(INDEX('Fleet dates'!$A$9:$A$1008,$I474-8)="","",INDEX('Fleet dates'!$A$9:$A$1008,$I474-8)))</x:f>
      </x:c>
      <x:c r="B474" s="50" t="str">
        <x:f>IF(466&gt;$H$4,"",IF(INDEX('Fleet dates'!$B$9:$B$1008,$I474-8)="","",INDEX('Fleet dates'!$B$9:$B$1008,$I474-8)))</x:f>
      </x:c>
      <x:c r="C474" s="51" t="str">
        <x:f>IF(466&gt;$H$4,"",IF(INDEX('Fleet dates'!$C$9:$C$1008,$I474-8)="","",INDEX('Fleet dates'!$C$9:$C$1008,$I474-8)))</x:f>
      </x:c>
      <x:c r="D474" s="51" t="str">
        <x:f>IF(466&gt;$H$4,"",IF(INDEX('Fleet dates'!$D$9:$D$1008,$I474-8)="","",INDEX('Fleet dates'!$D$9:$D$1008,$I474-8)))</x:f>
      </x:c>
      <x:c r="E474" s="51" t="str">
        <x:f>IF(466&gt;$H$4,"",IF(INDEX('Fleet dates'!$E$9:$E$1008,$I474-8)="","",INDEX('Fleet dates'!$E$9:$E$1008,$I474-8)))</x:f>
      </x:c>
      <x:c r="F474" s="51" t="str">
        <x:f>IF(466&gt;$H$4,"",IF(INDEX('Fleet dates'!$F$9:$F$1008,$I474-8)="","",INDEX('Fleet dates'!$F$9:$F$1008,$I474-8)))</x:f>
      </x:c>
      <x:c r="G474" s="50" t="str">
        <x:f>IF(466&gt;$H$4,"",IF(INDEX('Fleet dates'!$G$9:$G$1008,$I474-8)="","",INDEX('Fleet dates'!$G$9:$G$1008,$I474-8)))</x:f>
      </x:c>
      <x:c r="H474" s="50" t="str">
        <x:f>IF(466&gt;$H$4,"",IF(INDEX('Fleet dates'!$I$9:$I$1008,$I474-8)="","",INDEX('Fleet dates'!$I$9:$I$1008,$I474-8)))</x:f>
      </x:c>
      <x:c r="I474" t="str">
        <x:f>IF(466&gt;$H$4,"",MATCH(466,'Fleet dates'!$M$9:$M$1008,0)+8)</x:f>
      </x:c>
    </x:row>
    <x:row r="475" ht="36" customHeight="1">
      <x:c r="A475" s="50" t="str">
        <x:f>IF(467&gt;$H$4,"",IF(INDEX('Fleet dates'!$A$9:$A$1008,$I475-8)="","",INDEX('Fleet dates'!$A$9:$A$1008,$I475-8)))</x:f>
      </x:c>
      <x:c r="B475" s="50" t="str">
        <x:f>IF(467&gt;$H$4,"",IF(INDEX('Fleet dates'!$B$9:$B$1008,$I475-8)="","",INDEX('Fleet dates'!$B$9:$B$1008,$I475-8)))</x:f>
      </x:c>
      <x:c r="C475" s="51" t="str">
        <x:f>IF(467&gt;$H$4,"",IF(INDEX('Fleet dates'!$C$9:$C$1008,$I475-8)="","",INDEX('Fleet dates'!$C$9:$C$1008,$I475-8)))</x:f>
      </x:c>
      <x:c r="D475" s="51" t="str">
        <x:f>IF(467&gt;$H$4,"",IF(INDEX('Fleet dates'!$D$9:$D$1008,$I475-8)="","",INDEX('Fleet dates'!$D$9:$D$1008,$I475-8)))</x:f>
      </x:c>
      <x:c r="E475" s="51" t="str">
        <x:f>IF(467&gt;$H$4,"",IF(INDEX('Fleet dates'!$E$9:$E$1008,$I475-8)="","",INDEX('Fleet dates'!$E$9:$E$1008,$I475-8)))</x:f>
      </x:c>
      <x:c r="F475" s="51" t="str">
        <x:f>IF(467&gt;$H$4,"",IF(INDEX('Fleet dates'!$F$9:$F$1008,$I475-8)="","",INDEX('Fleet dates'!$F$9:$F$1008,$I475-8)))</x:f>
      </x:c>
      <x:c r="G475" s="50" t="str">
        <x:f>IF(467&gt;$H$4,"",IF(INDEX('Fleet dates'!$G$9:$G$1008,$I475-8)="","",INDEX('Fleet dates'!$G$9:$G$1008,$I475-8)))</x:f>
      </x:c>
      <x:c r="H475" s="50" t="str">
        <x:f>IF(467&gt;$H$4,"",IF(INDEX('Fleet dates'!$I$9:$I$1008,$I475-8)="","",INDEX('Fleet dates'!$I$9:$I$1008,$I475-8)))</x:f>
      </x:c>
      <x:c r="I475" t="str">
        <x:f>IF(467&gt;$H$4,"",MATCH(467,'Fleet dates'!$M$9:$M$1008,0)+8)</x:f>
      </x:c>
    </x:row>
    <x:row r="476" ht="36" customHeight="1">
      <x:c r="A476" s="50" t="str">
        <x:f>IF(468&gt;$H$4,"",IF(INDEX('Fleet dates'!$A$9:$A$1008,$I476-8)="","",INDEX('Fleet dates'!$A$9:$A$1008,$I476-8)))</x:f>
      </x:c>
      <x:c r="B476" s="50" t="str">
        <x:f>IF(468&gt;$H$4,"",IF(INDEX('Fleet dates'!$B$9:$B$1008,$I476-8)="","",INDEX('Fleet dates'!$B$9:$B$1008,$I476-8)))</x:f>
      </x:c>
      <x:c r="C476" s="51" t="str">
        <x:f>IF(468&gt;$H$4,"",IF(INDEX('Fleet dates'!$C$9:$C$1008,$I476-8)="","",INDEX('Fleet dates'!$C$9:$C$1008,$I476-8)))</x:f>
      </x:c>
      <x:c r="D476" s="51" t="str">
        <x:f>IF(468&gt;$H$4,"",IF(INDEX('Fleet dates'!$D$9:$D$1008,$I476-8)="","",INDEX('Fleet dates'!$D$9:$D$1008,$I476-8)))</x:f>
      </x:c>
      <x:c r="E476" s="51" t="str">
        <x:f>IF(468&gt;$H$4,"",IF(INDEX('Fleet dates'!$E$9:$E$1008,$I476-8)="","",INDEX('Fleet dates'!$E$9:$E$1008,$I476-8)))</x:f>
      </x:c>
      <x:c r="F476" s="51" t="str">
        <x:f>IF(468&gt;$H$4,"",IF(INDEX('Fleet dates'!$F$9:$F$1008,$I476-8)="","",INDEX('Fleet dates'!$F$9:$F$1008,$I476-8)))</x:f>
      </x:c>
      <x:c r="G476" s="50" t="str">
        <x:f>IF(468&gt;$H$4,"",IF(INDEX('Fleet dates'!$G$9:$G$1008,$I476-8)="","",INDEX('Fleet dates'!$G$9:$G$1008,$I476-8)))</x:f>
      </x:c>
      <x:c r="H476" s="50" t="str">
        <x:f>IF(468&gt;$H$4,"",IF(INDEX('Fleet dates'!$I$9:$I$1008,$I476-8)="","",INDEX('Fleet dates'!$I$9:$I$1008,$I476-8)))</x:f>
      </x:c>
      <x:c r="I476" t="str">
        <x:f>IF(468&gt;$H$4,"",MATCH(468,'Fleet dates'!$M$9:$M$1008,0)+8)</x:f>
      </x:c>
    </x:row>
    <x:row r="477" ht="36" customHeight="1">
      <x:c r="A477" s="50" t="str">
        <x:f>IF(469&gt;$H$4,"",IF(INDEX('Fleet dates'!$A$9:$A$1008,$I477-8)="","",INDEX('Fleet dates'!$A$9:$A$1008,$I477-8)))</x:f>
      </x:c>
      <x:c r="B477" s="50" t="str">
        <x:f>IF(469&gt;$H$4,"",IF(INDEX('Fleet dates'!$B$9:$B$1008,$I477-8)="","",INDEX('Fleet dates'!$B$9:$B$1008,$I477-8)))</x:f>
      </x:c>
      <x:c r="C477" s="51" t="str">
        <x:f>IF(469&gt;$H$4,"",IF(INDEX('Fleet dates'!$C$9:$C$1008,$I477-8)="","",INDEX('Fleet dates'!$C$9:$C$1008,$I477-8)))</x:f>
      </x:c>
      <x:c r="D477" s="51" t="str">
        <x:f>IF(469&gt;$H$4,"",IF(INDEX('Fleet dates'!$D$9:$D$1008,$I477-8)="","",INDEX('Fleet dates'!$D$9:$D$1008,$I477-8)))</x:f>
      </x:c>
      <x:c r="E477" s="51" t="str">
        <x:f>IF(469&gt;$H$4,"",IF(INDEX('Fleet dates'!$E$9:$E$1008,$I477-8)="","",INDEX('Fleet dates'!$E$9:$E$1008,$I477-8)))</x:f>
      </x:c>
      <x:c r="F477" s="51" t="str">
        <x:f>IF(469&gt;$H$4,"",IF(INDEX('Fleet dates'!$F$9:$F$1008,$I477-8)="","",INDEX('Fleet dates'!$F$9:$F$1008,$I477-8)))</x:f>
      </x:c>
      <x:c r="G477" s="50" t="str">
        <x:f>IF(469&gt;$H$4,"",IF(INDEX('Fleet dates'!$G$9:$G$1008,$I477-8)="","",INDEX('Fleet dates'!$G$9:$G$1008,$I477-8)))</x:f>
      </x:c>
      <x:c r="H477" s="50" t="str">
        <x:f>IF(469&gt;$H$4,"",IF(INDEX('Fleet dates'!$I$9:$I$1008,$I477-8)="","",INDEX('Fleet dates'!$I$9:$I$1008,$I477-8)))</x:f>
      </x:c>
      <x:c r="I477" t="str">
        <x:f>IF(469&gt;$H$4,"",MATCH(469,'Fleet dates'!$M$9:$M$1008,0)+8)</x:f>
      </x:c>
    </x:row>
    <x:row r="478" ht="36" customHeight="1">
      <x:c r="A478" s="50" t="str">
        <x:f>IF(470&gt;$H$4,"",IF(INDEX('Fleet dates'!$A$9:$A$1008,$I478-8)="","",INDEX('Fleet dates'!$A$9:$A$1008,$I478-8)))</x:f>
      </x:c>
      <x:c r="B478" s="50" t="str">
        <x:f>IF(470&gt;$H$4,"",IF(INDEX('Fleet dates'!$B$9:$B$1008,$I478-8)="","",INDEX('Fleet dates'!$B$9:$B$1008,$I478-8)))</x:f>
      </x:c>
      <x:c r="C478" s="51" t="str">
        <x:f>IF(470&gt;$H$4,"",IF(INDEX('Fleet dates'!$C$9:$C$1008,$I478-8)="","",INDEX('Fleet dates'!$C$9:$C$1008,$I478-8)))</x:f>
      </x:c>
      <x:c r="D478" s="51" t="str">
        <x:f>IF(470&gt;$H$4,"",IF(INDEX('Fleet dates'!$D$9:$D$1008,$I478-8)="","",INDEX('Fleet dates'!$D$9:$D$1008,$I478-8)))</x:f>
      </x:c>
      <x:c r="E478" s="51" t="str">
        <x:f>IF(470&gt;$H$4,"",IF(INDEX('Fleet dates'!$E$9:$E$1008,$I478-8)="","",INDEX('Fleet dates'!$E$9:$E$1008,$I478-8)))</x:f>
      </x:c>
      <x:c r="F478" s="51" t="str">
        <x:f>IF(470&gt;$H$4,"",IF(INDEX('Fleet dates'!$F$9:$F$1008,$I478-8)="","",INDEX('Fleet dates'!$F$9:$F$1008,$I478-8)))</x:f>
      </x:c>
      <x:c r="G478" s="50" t="str">
        <x:f>IF(470&gt;$H$4,"",IF(INDEX('Fleet dates'!$G$9:$G$1008,$I478-8)="","",INDEX('Fleet dates'!$G$9:$G$1008,$I478-8)))</x:f>
      </x:c>
      <x:c r="H478" s="50" t="str">
        <x:f>IF(470&gt;$H$4,"",IF(INDEX('Fleet dates'!$I$9:$I$1008,$I478-8)="","",INDEX('Fleet dates'!$I$9:$I$1008,$I478-8)))</x:f>
      </x:c>
      <x:c r="I478" t="str">
        <x:f>IF(470&gt;$H$4,"",MATCH(470,'Fleet dates'!$M$9:$M$1008,0)+8)</x:f>
      </x:c>
    </x:row>
    <x:row r="479" ht="36" customHeight="1">
      <x:c r="A479" s="50" t="str">
        <x:f>IF(471&gt;$H$4,"",IF(INDEX('Fleet dates'!$A$9:$A$1008,$I479-8)="","",INDEX('Fleet dates'!$A$9:$A$1008,$I479-8)))</x:f>
      </x:c>
      <x:c r="B479" s="50" t="str">
        <x:f>IF(471&gt;$H$4,"",IF(INDEX('Fleet dates'!$B$9:$B$1008,$I479-8)="","",INDEX('Fleet dates'!$B$9:$B$1008,$I479-8)))</x:f>
      </x:c>
      <x:c r="C479" s="51" t="str">
        <x:f>IF(471&gt;$H$4,"",IF(INDEX('Fleet dates'!$C$9:$C$1008,$I479-8)="","",INDEX('Fleet dates'!$C$9:$C$1008,$I479-8)))</x:f>
      </x:c>
      <x:c r="D479" s="51" t="str">
        <x:f>IF(471&gt;$H$4,"",IF(INDEX('Fleet dates'!$D$9:$D$1008,$I479-8)="","",INDEX('Fleet dates'!$D$9:$D$1008,$I479-8)))</x:f>
      </x:c>
      <x:c r="E479" s="51" t="str">
        <x:f>IF(471&gt;$H$4,"",IF(INDEX('Fleet dates'!$E$9:$E$1008,$I479-8)="","",INDEX('Fleet dates'!$E$9:$E$1008,$I479-8)))</x:f>
      </x:c>
      <x:c r="F479" s="51" t="str">
        <x:f>IF(471&gt;$H$4,"",IF(INDEX('Fleet dates'!$F$9:$F$1008,$I479-8)="","",INDEX('Fleet dates'!$F$9:$F$1008,$I479-8)))</x:f>
      </x:c>
      <x:c r="G479" s="50" t="str">
        <x:f>IF(471&gt;$H$4,"",IF(INDEX('Fleet dates'!$G$9:$G$1008,$I479-8)="","",INDEX('Fleet dates'!$G$9:$G$1008,$I479-8)))</x:f>
      </x:c>
      <x:c r="H479" s="50" t="str">
        <x:f>IF(471&gt;$H$4,"",IF(INDEX('Fleet dates'!$I$9:$I$1008,$I479-8)="","",INDEX('Fleet dates'!$I$9:$I$1008,$I479-8)))</x:f>
      </x:c>
      <x:c r="I479" t="str">
        <x:f>IF(471&gt;$H$4,"",MATCH(471,'Fleet dates'!$M$9:$M$1008,0)+8)</x:f>
      </x:c>
    </x:row>
    <x:row r="480" ht="36" customHeight="1">
      <x:c r="A480" s="50" t="str">
        <x:f>IF(472&gt;$H$4,"",IF(INDEX('Fleet dates'!$A$9:$A$1008,$I480-8)="","",INDEX('Fleet dates'!$A$9:$A$1008,$I480-8)))</x:f>
      </x:c>
      <x:c r="B480" s="50" t="str">
        <x:f>IF(472&gt;$H$4,"",IF(INDEX('Fleet dates'!$B$9:$B$1008,$I480-8)="","",INDEX('Fleet dates'!$B$9:$B$1008,$I480-8)))</x:f>
      </x:c>
      <x:c r="C480" s="51" t="str">
        <x:f>IF(472&gt;$H$4,"",IF(INDEX('Fleet dates'!$C$9:$C$1008,$I480-8)="","",INDEX('Fleet dates'!$C$9:$C$1008,$I480-8)))</x:f>
      </x:c>
      <x:c r="D480" s="51" t="str">
        <x:f>IF(472&gt;$H$4,"",IF(INDEX('Fleet dates'!$D$9:$D$1008,$I480-8)="","",INDEX('Fleet dates'!$D$9:$D$1008,$I480-8)))</x:f>
      </x:c>
      <x:c r="E480" s="51" t="str">
        <x:f>IF(472&gt;$H$4,"",IF(INDEX('Fleet dates'!$E$9:$E$1008,$I480-8)="","",INDEX('Fleet dates'!$E$9:$E$1008,$I480-8)))</x:f>
      </x:c>
      <x:c r="F480" s="51" t="str">
        <x:f>IF(472&gt;$H$4,"",IF(INDEX('Fleet dates'!$F$9:$F$1008,$I480-8)="","",INDEX('Fleet dates'!$F$9:$F$1008,$I480-8)))</x:f>
      </x:c>
      <x:c r="G480" s="50" t="str">
        <x:f>IF(472&gt;$H$4,"",IF(INDEX('Fleet dates'!$G$9:$G$1008,$I480-8)="","",INDEX('Fleet dates'!$G$9:$G$1008,$I480-8)))</x:f>
      </x:c>
      <x:c r="H480" s="50" t="str">
        <x:f>IF(472&gt;$H$4,"",IF(INDEX('Fleet dates'!$I$9:$I$1008,$I480-8)="","",INDEX('Fleet dates'!$I$9:$I$1008,$I480-8)))</x:f>
      </x:c>
      <x:c r="I480" t="str">
        <x:f>IF(472&gt;$H$4,"",MATCH(472,'Fleet dates'!$M$9:$M$1008,0)+8)</x:f>
      </x:c>
    </x:row>
    <x:row r="481" ht="36" customHeight="1">
      <x:c r="A481" s="50" t="str">
        <x:f>IF(473&gt;$H$4,"",IF(INDEX('Fleet dates'!$A$9:$A$1008,$I481-8)="","",INDEX('Fleet dates'!$A$9:$A$1008,$I481-8)))</x:f>
      </x:c>
      <x:c r="B481" s="50" t="str">
        <x:f>IF(473&gt;$H$4,"",IF(INDEX('Fleet dates'!$B$9:$B$1008,$I481-8)="","",INDEX('Fleet dates'!$B$9:$B$1008,$I481-8)))</x:f>
      </x:c>
      <x:c r="C481" s="51" t="str">
        <x:f>IF(473&gt;$H$4,"",IF(INDEX('Fleet dates'!$C$9:$C$1008,$I481-8)="","",INDEX('Fleet dates'!$C$9:$C$1008,$I481-8)))</x:f>
      </x:c>
      <x:c r="D481" s="51" t="str">
        <x:f>IF(473&gt;$H$4,"",IF(INDEX('Fleet dates'!$D$9:$D$1008,$I481-8)="","",INDEX('Fleet dates'!$D$9:$D$1008,$I481-8)))</x:f>
      </x:c>
      <x:c r="E481" s="51" t="str">
        <x:f>IF(473&gt;$H$4,"",IF(INDEX('Fleet dates'!$E$9:$E$1008,$I481-8)="","",INDEX('Fleet dates'!$E$9:$E$1008,$I481-8)))</x:f>
      </x:c>
      <x:c r="F481" s="51" t="str">
        <x:f>IF(473&gt;$H$4,"",IF(INDEX('Fleet dates'!$F$9:$F$1008,$I481-8)="","",INDEX('Fleet dates'!$F$9:$F$1008,$I481-8)))</x:f>
      </x:c>
      <x:c r="G481" s="50" t="str">
        <x:f>IF(473&gt;$H$4,"",IF(INDEX('Fleet dates'!$G$9:$G$1008,$I481-8)="","",INDEX('Fleet dates'!$G$9:$G$1008,$I481-8)))</x:f>
      </x:c>
      <x:c r="H481" s="50" t="str">
        <x:f>IF(473&gt;$H$4,"",IF(INDEX('Fleet dates'!$I$9:$I$1008,$I481-8)="","",INDEX('Fleet dates'!$I$9:$I$1008,$I481-8)))</x:f>
      </x:c>
      <x:c r="I481" t="str">
        <x:f>IF(473&gt;$H$4,"",MATCH(473,'Fleet dates'!$M$9:$M$1008,0)+8)</x:f>
      </x:c>
    </x:row>
    <x:row r="482" ht="36" customHeight="1">
      <x:c r="A482" s="50" t="str">
        <x:f>IF(474&gt;$H$4,"",IF(INDEX('Fleet dates'!$A$9:$A$1008,$I482-8)="","",INDEX('Fleet dates'!$A$9:$A$1008,$I482-8)))</x:f>
      </x:c>
      <x:c r="B482" s="50" t="str">
        <x:f>IF(474&gt;$H$4,"",IF(INDEX('Fleet dates'!$B$9:$B$1008,$I482-8)="","",INDEX('Fleet dates'!$B$9:$B$1008,$I482-8)))</x:f>
      </x:c>
      <x:c r="C482" s="51" t="str">
        <x:f>IF(474&gt;$H$4,"",IF(INDEX('Fleet dates'!$C$9:$C$1008,$I482-8)="","",INDEX('Fleet dates'!$C$9:$C$1008,$I482-8)))</x:f>
      </x:c>
      <x:c r="D482" s="51" t="str">
        <x:f>IF(474&gt;$H$4,"",IF(INDEX('Fleet dates'!$D$9:$D$1008,$I482-8)="","",INDEX('Fleet dates'!$D$9:$D$1008,$I482-8)))</x:f>
      </x:c>
      <x:c r="E482" s="51" t="str">
        <x:f>IF(474&gt;$H$4,"",IF(INDEX('Fleet dates'!$E$9:$E$1008,$I482-8)="","",INDEX('Fleet dates'!$E$9:$E$1008,$I482-8)))</x:f>
      </x:c>
      <x:c r="F482" s="51" t="str">
        <x:f>IF(474&gt;$H$4,"",IF(INDEX('Fleet dates'!$F$9:$F$1008,$I482-8)="","",INDEX('Fleet dates'!$F$9:$F$1008,$I482-8)))</x:f>
      </x:c>
      <x:c r="G482" s="50" t="str">
        <x:f>IF(474&gt;$H$4,"",IF(INDEX('Fleet dates'!$G$9:$G$1008,$I482-8)="","",INDEX('Fleet dates'!$G$9:$G$1008,$I482-8)))</x:f>
      </x:c>
      <x:c r="H482" s="50" t="str">
        <x:f>IF(474&gt;$H$4,"",IF(INDEX('Fleet dates'!$I$9:$I$1008,$I482-8)="","",INDEX('Fleet dates'!$I$9:$I$1008,$I482-8)))</x:f>
      </x:c>
      <x:c r="I482" t="str">
        <x:f>IF(474&gt;$H$4,"",MATCH(474,'Fleet dates'!$M$9:$M$1008,0)+8)</x:f>
      </x:c>
    </x:row>
    <x:row r="483" ht="36" customHeight="1">
      <x:c r="A483" s="50" t="str">
        <x:f>IF(475&gt;$H$4,"",IF(INDEX('Fleet dates'!$A$9:$A$1008,$I483-8)="","",INDEX('Fleet dates'!$A$9:$A$1008,$I483-8)))</x:f>
      </x:c>
      <x:c r="B483" s="50" t="str">
        <x:f>IF(475&gt;$H$4,"",IF(INDEX('Fleet dates'!$B$9:$B$1008,$I483-8)="","",INDEX('Fleet dates'!$B$9:$B$1008,$I483-8)))</x:f>
      </x:c>
      <x:c r="C483" s="51" t="str">
        <x:f>IF(475&gt;$H$4,"",IF(INDEX('Fleet dates'!$C$9:$C$1008,$I483-8)="","",INDEX('Fleet dates'!$C$9:$C$1008,$I483-8)))</x:f>
      </x:c>
      <x:c r="D483" s="51" t="str">
        <x:f>IF(475&gt;$H$4,"",IF(INDEX('Fleet dates'!$D$9:$D$1008,$I483-8)="","",INDEX('Fleet dates'!$D$9:$D$1008,$I483-8)))</x:f>
      </x:c>
      <x:c r="E483" s="51" t="str">
        <x:f>IF(475&gt;$H$4,"",IF(INDEX('Fleet dates'!$E$9:$E$1008,$I483-8)="","",INDEX('Fleet dates'!$E$9:$E$1008,$I483-8)))</x:f>
      </x:c>
      <x:c r="F483" s="51" t="str">
        <x:f>IF(475&gt;$H$4,"",IF(INDEX('Fleet dates'!$F$9:$F$1008,$I483-8)="","",INDEX('Fleet dates'!$F$9:$F$1008,$I483-8)))</x:f>
      </x:c>
      <x:c r="G483" s="50" t="str">
        <x:f>IF(475&gt;$H$4,"",IF(INDEX('Fleet dates'!$G$9:$G$1008,$I483-8)="","",INDEX('Fleet dates'!$G$9:$G$1008,$I483-8)))</x:f>
      </x:c>
      <x:c r="H483" s="50" t="str">
        <x:f>IF(475&gt;$H$4,"",IF(INDEX('Fleet dates'!$I$9:$I$1008,$I483-8)="","",INDEX('Fleet dates'!$I$9:$I$1008,$I483-8)))</x:f>
      </x:c>
      <x:c r="I483" t="str">
        <x:f>IF(475&gt;$H$4,"",MATCH(475,'Fleet dates'!$M$9:$M$1008,0)+8)</x:f>
      </x:c>
    </x:row>
    <x:row r="484" ht="36" customHeight="1">
      <x:c r="A484" s="50" t="str">
        <x:f>IF(476&gt;$H$4,"",IF(INDEX('Fleet dates'!$A$9:$A$1008,$I484-8)="","",INDEX('Fleet dates'!$A$9:$A$1008,$I484-8)))</x:f>
      </x:c>
      <x:c r="B484" s="50" t="str">
        <x:f>IF(476&gt;$H$4,"",IF(INDEX('Fleet dates'!$B$9:$B$1008,$I484-8)="","",INDEX('Fleet dates'!$B$9:$B$1008,$I484-8)))</x:f>
      </x:c>
      <x:c r="C484" s="51" t="str">
        <x:f>IF(476&gt;$H$4,"",IF(INDEX('Fleet dates'!$C$9:$C$1008,$I484-8)="","",INDEX('Fleet dates'!$C$9:$C$1008,$I484-8)))</x:f>
      </x:c>
      <x:c r="D484" s="51" t="str">
        <x:f>IF(476&gt;$H$4,"",IF(INDEX('Fleet dates'!$D$9:$D$1008,$I484-8)="","",INDEX('Fleet dates'!$D$9:$D$1008,$I484-8)))</x:f>
      </x:c>
      <x:c r="E484" s="51" t="str">
        <x:f>IF(476&gt;$H$4,"",IF(INDEX('Fleet dates'!$E$9:$E$1008,$I484-8)="","",INDEX('Fleet dates'!$E$9:$E$1008,$I484-8)))</x:f>
      </x:c>
      <x:c r="F484" s="51" t="str">
        <x:f>IF(476&gt;$H$4,"",IF(INDEX('Fleet dates'!$F$9:$F$1008,$I484-8)="","",INDEX('Fleet dates'!$F$9:$F$1008,$I484-8)))</x:f>
      </x:c>
      <x:c r="G484" s="50" t="str">
        <x:f>IF(476&gt;$H$4,"",IF(INDEX('Fleet dates'!$G$9:$G$1008,$I484-8)="","",INDEX('Fleet dates'!$G$9:$G$1008,$I484-8)))</x:f>
      </x:c>
      <x:c r="H484" s="50" t="str">
        <x:f>IF(476&gt;$H$4,"",IF(INDEX('Fleet dates'!$I$9:$I$1008,$I484-8)="","",INDEX('Fleet dates'!$I$9:$I$1008,$I484-8)))</x:f>
      </x:c>
      <x:c r="I484" t="str">
        <x:f>IF(476&gt;$H$4,"",MATCH(476,'Fleet dates'!$M$9:$M$1008,0)+8)</x:f>
      </x:c>
    </x:row>
    <x:row r="485" ht="36" customHeight="1">
      <x:c r="A485" s="50" t="str">
        <x:f>IF(477&gt;$H$4,"",IF(INDEX('Fleet dates'!$A$9:$A$1008,$I485-8)="","",INDEX('Fleet dates'!$A$9:$A$1008,$I485-8)))</x:f>
      </x:c>
      <x:c r="B485" s="50" t="str">
        <x:f>IF(477&gt;$H$4,"",IF(INDEX('Fleet dates'!$B$9:$B$1008,$I485-8)="","",INDEX('Fleet dates'!$B$9:$B$1008,$I485-8)))</x:f>
      </x:c>
      <x:c r="C485" s="51" t="str">
        <x:f>IF(477&gt;$H$4,"",IF(INDEX('Fleet dates'!$C$9:$C$1008,$I485-8)="","",INDEX('Fleet dates'!$C$9:$C$1008,$I485-8)))</x:f>
      </x:c>
      <x:c r="D485" s="51" t="str">
        <x:f>IF(477&gt;$H$4,"",IF(INDEX('Fleet dates'!$D$9:$D$1008,$I485-8)="","",INDEX('Fleet dates'!$D$9:$D$1008,$I485-8)))</x:f>
      </x:c>
      <x:c r="E485" s="51" t="str">
        <x:f>IF(477&gt;$H$4,"",IF(INDEX('Fleet dates'!$E$9:$E$1008,$I485-8)="","",INDEX('Fleet dates'!$E$9:$E$1008,$I485-8)))</x:f>
      </x:c>
      <x:c r="F485" s="51" t="str">
        <x:f>IF(477&gt;$H$4,"",IF(INDEX('Fleet dates'!$F$9:$F$1008,$I485-8)="","",INDEX('Fleet dates'!$F$9:$F$1008,$I485-8)))</x:f>
      </x:c>
      <x:c r="G485" s="50" t="str">
        <x:f>IF(477&gt;$H$4,"",IF(INDEX('Fleet dates'!$G$9:$G$1008,$I485-8)="","",INDEX('Fleet dates'!$G$9:$G$1008,$I485-8)))</x:f>
      </x:c>
      <x:c r="H485" s="50" t="str">
        <x:f>IF(477&gt;$H$4,"",IF(INDEX('Fleet dates'!$I$9:$I$1008,$I485-8)="","",INDEX('Fleet dates'!$I$9:$I$1008,$I485-8)))</x:f>
      </x:c>
      <x:c r="I485" t="str">
        <x:f>IF(477&gt;$H$4,"",MATCH(477,'Fleet dates'!$M$9:$M$1008,0)+8)</x:f>
      </x:c>
    </x:row>
    <x:row r="486" ht="36" customHeight="1">
      <x:c r="A486" s="50" t="str">
        <x:f>IF(478&gt;$H$4,"",IF(INDEX('Fleet dates'!$A$9:$A$1008,$I486-8)="","",INDEX('Fleet dates'!$A$9:$A$1008,$I486-8)))</x:f>
      </x:c>
      <x:c r="B486" s="50" t="str">
        <x:f>IF(478&gt;$H$4,"",IF(INDEX('Fleet dates'!$B$9:$B$1008,$I486-8)="","",INDEX('Fleet dates'!$B$9:$B$1008,$I486-8)))</x:f>
      </x:c>
      <x:c r="C486" s="51" t="str">
        <x:f>IF(478&gt;$H$4,"",IF(INDEX('Fleet dates'!$C$9:$C$1008,$I486-8)="","",INDEX('Fleet dates'!$C$9:$C$1008,$I486-8)))</x:f>
      </x:c>
      <x:c r="D486" s="51" t="str">
        <x:f>IF(478&gt;$H$4,"",IF(INDEX('Fleet dates'!$D$9:$D$1008,$I486-8)="","",INDEX('Fleet dates'!$D$9:$D$1008,$I486-8)))</x:f>
      </x:c>
      <x:c r="E486" s="51" t="str">
        <x:f>IF(478&gt;$H$4,"",IF(INDEX('Fleet dates'!$E$9:$E$1008,$I486-8)="","",INDEX('Fleet dates'!$E$9:$E$1008,$I486-8)))</x:f>
      </x:c>
      <x:c r="F486" s="51" t="str">
        <x:f>IF(478&gt;$H$4,"",IF(INDEX('Fleet dates'!$F$9:$F$1008,$I486-8)="","",INDEX('Fleet dates'!$F$9:$F$1008,$I486-8)))</x:f>
      </x:c>
      <x:c r="G486" s="50" t="str">
        <x:f>IF(478&gt;$H$4,"",IF(INDEX('Fleet dates'!$G$9:$G$1008,$I486-8)="","",INDEX('Fleet dates'!$G$9:$G$1008,$I486-8)))</x:f>
      </x:c>
      <x:c r="H486" s="50" t="str">
        <x:f>IF(478&gt;$H$4,"",IF(INDEX('Fleet dates'!$I$9:$I$1008,$I486-8)="","",INDEX('Fleet dates'!$I$9:$I$1008,$I486-8)))</x:f>
      </x:c>
      <x:c r="I486" t="str">
        <x:f>IF(478&gt;$H$4,"",MATCH(478,'Fleet dates'!$M$9:$M$1008,0)+8)</x:f>
      </x:c>
    </x:row>
    <x:row r="487" ht="36" customHeight="1">
      <x:c r="A487" s="50" t="str">
        <x:f>IF(479&gt;$H$4,"",IF(INDEX('Fleet dates'!$A$9:$A$1008,$I487-8)="","",INDEX('Fleet dates'!$A$9:$A$1008,$I487-8)))</x:f>
      </x:c>
      <x:c r="B487" s="50" t="str">
        <x:f>IF(479&gt;$H$4,"",IF(INDEX('Fleet dates'!$B$9:$B$1008,$I487-8)="","",INDEX('Fleet dates'!$B$9:$B$1008,$I487-8)))</x:f>
      </x:c>
      <x:c r="C487" s="51" t="str">
        <x:f>IF(479&gt;$H$4,"",IF(INDEX('Fleet dates'!$C$9:$C$1008,$I487-8)="","",INDEX('Fleet dates'!$C$9:$C$1008,$I487-8)))</x:f>
      </x:c>
      <x:c r="D487" s="51" t="str">
        <x:f>IF(479&gt;$H$4,"",IF(INDEX('Fleet dates'!$D$9:$D$1008,$I487-8)="","",INDEX('Fleet dates'!$D$9:$D$1008,$I487-8)))</x:f>
      </x:c>
      <x:c r="E487" s="51" t="str">
        <x:f>IF(479&gt;$H$4,"",IF(INDEX('Fleet dates'!$E$9:$E$1008,$I487-8)="","",INDEX('Fleet dates'!$E$9:$E$1008,$I487-8)))</x:f>
      </x:c>
      <x:c r="F487" s="51" t="str">
        <x:f>IF(479&gt;$H$4,"",IF(INDEX('Fleet dates'!$F$9:$F$1008,$I487-8)="","",INDEX('Fleet dates'!$F$9:$F$1008,$I487-8)))</x:f>
      </x:c>
      <x:c r="G487" s="50" t="str">
        <x:f>IF(479&gt;$H$4,"",IF(INDEX('Fleet dates'!$G$9:$G$1008,$I487-8)="","",INDEX('Fleet dates'!$G$9:$G$1008,$I487-8)))</x:f>
      </x:c>
      <x:c r="H487" s="50" t="str">
        <x:f>IF(479&gt;$H$4,"",IF(INDEX('Fleet dates'!$I$9:$I$1008,$I487-8)="","",INDEX('Fleet dates'!$I$9:$I$1008,$I487-8)))</x:f>
      </x:c>
      <x:c r="I487" t="str">
        <x:f>IF(479&gt;$H$4,"",MATCH(479,'Fleet dates'!$M$9:$M$1008,0)+8)</x:f>
      </x:c>
    </x:row>
    <x:row r="488" ht="36" customHeight="1">
      <x:c r="A488" s="50" t="str">
        <x:f>IF(480&gt;$H$4,"",IF(INDEX('Fleet dates'!$A$9:$A$1008,$I488-8)="","",INDEX('Fleet dates'!$A$9:$A$1008,$I488-8)))</x:f>
      </x:c>
      <x:c r="B488" s="50" t="str">
        <x:f>IF(480&gt;$H$4,"",IF(INDEX('Fleet dates'!$B$9:$B$1008,$I488-8)="","",INDEX('Fleet dates'!$B$9:$B$1008,$I488-8)))</x:f>
      </x:c>
      <x:c r="C488" s="51" t="str">
        <x:f>IF(480&gt;$H$4,"",IF(INDEX('Fleet dates'!$C$9:$C$1008,$I488-8)="","",INDEX('Fleet dates'!$C$9:$C$1008,$I488-8)))</x:f>
      </x:c>
      <x:c r="D488" s="51" t="str">
        <x:f>IF(480&gt;$H$4,"",IF(INDEX('Fleet dates'!$D$9:$D$1008,$I488-8)="","",INDEX('Fleet dates'!$D$9:$D$1008,$I488-8)))</x:f>
      </x:c>
      <x:c r="E488" s="51" t="str">
        <x:f>IF(480&gt;$H$4,"",IF(INDEX('Fleet dates'!$E$9:$E$1008,$I488-8)="","",INDEX('Fleet dates'!$E$9:$E$1008,$I488-8)))</x:f>
      </x:c>
      <x:c r="F488" s="51" t="str">
        <x:f>IF(480&gt;$H$4,"",IF(INDEX('Fleet dates'!$F$9:$F$1008,$I488-8)="","",INDEX('Fleet dates'!$F$9:$F$1008,$I488-8)))</x:f>
      </x:c>
      <x:c r="G488" s="50" t="str">
        <x:f>IF(480&gt;$H$4,"",IF(INDEX('Fleet dates'!$G$9:$G$1008,$I488-8)="","",INDEX('Fleet dates'!$G$9:$G$1008,$I488-8)))</x:f>
      </x:c>
      <x:c r="H488" s="50" t="str">
        <x:f>IF(480&gt;$H$4,"",IF(INDEX('Fleet dates'!$I$9:$I$1008,$I488-8)="","",INDEX('Fleet dates'!$I$9:$I$1008,$I488-8)))</x:f>
      </x:c>
      <x:c r="I488" t="str">
        <x:f>IF(480&gt;$H$4,"",MATCH(480,'Fleet dates'!$M$9:$M$1008,0)+8)</x:f>
      </x:c>
    </x:row>
    <x:row r="489" ht="36" customHeight="1">
      <x:c r="A489" s="50" t="str">
        <x:f>IF(481&gt;$H$4,"",IF(INDEX('Fleet dates'!$A$9:$A$1008,$I489-8)="","",INDEX('Fleet dates'!$A$9:$A$1008,$I489-8)))</x:f>
      </x:c>
      <x:c r="B489" s="50" t="str">
        <x:f>IF(481&gt;$H$4,"",IF(INDEX('Fleet dates'!$B$9:$B$1008,$I489-8)="","",INDEX('Fleet dates'!$B$9:$B$1008,$I489-8)))</x:f>
      </x:c>
      <x:c r="C489" s="51" t="str">
        <x:f>IF(481&gt;$H$4,"",IF(INDEX('Fleet dates'!$C$9:$C$1008,$I489-8)="","",INDEX('Fleet dates'!$C$9:$C$1008,$I489-8)))</x:f>
      </x:c>
      <x:c r="D489" s="51" t="str">
        <x:f>IF(481&gt;$H$4,"",IF(INDEX('Fleet dates'!$D$9:$D$1008,$I489-8)="","",INDEX('Fleet dates'!$D$9:$D$1008,$I489-8)))</x:f>
      </x:c>
      <x:c r="E489" s="51" t="str">
        <x:f>IF(481&gt;$H$4,"",IF(INDEX('Fleet dates'!$E$9:$E$1008,$I489-8)="","",INDEX('Fleet dates'!$E$9:$E$1008,$I489-8)))</x:f>
      </x:c>
      <x:c r="F489" s="51" t="str">
        <x:f>IF(481&gt;$H$4,"",IF(INDEX('Fleet dates'!$F$9:$F$1008,$I489-8)="","",INDEX('Fleet dates'!$F$9:$F$1008,$I489-8)))</x:f>
      </x:c>
      <x:c r="G489" s="50" t="str">
        <x:f>IF(481&gt;$H$4,"",IF(INDEX('Fleet dates'!$G$9:$G$1008,$I489-8)="","",INDEX('Fleet dates'!$G$9:$G$1008,$I489-8)))</x:f>
      </x:c>
      <x:c r="H489" s="50" t="str">
        <x:f>IF(481&gt;$H$4,"",IF(INDEX('Fleet dates'!$I$9:$I$1008,$I489-8)="","",INDEX('Fleet dates'!$I$9:$I$1008,$I489-8)))</x:f>
      </x:c>
      <x:c r="I489" t="str">
        <x:f>IF(481&gt;$H$4,"",MATCH(481,'Fleet dates'!$M$9:$M$1008,0)+8)</x:f>
      </x:c>
    </x:row>
    <x:row r="490" ht="36" customHeight="1">
      <x:c r="A490" s="50" t="str">
        <x:f>IF(482&gt;$H$4,"",IF(INDEX('Fleet dates'!$A$9:$A$1008,$I490-8)="","",INDEX('Fleet dates'!$A$9:$A$1008,$I490-8)))</x:f>
      </x:c>
      <x:c r="B490" s="50" t="str">
        <x:f>IF(482&gt;$H$4,"",IF(INDEX('Fleet dates'!$B$9:$B$1008,$I490-8)="","",INDEX('Fleet dates'!$B$9:$B$1008,$I490-8)))</x:f>
      </x:c>
      <x:c r="C490" s="51" t="str">
        <x:f>IF(482&gt;$H$4,"",IF(INDEX('Fleet dates'!$C$9:$C$1008,$I490-8)="","",INDEX('Fleet dates'!$C$9:$C$1008,$I490-8)))</x:f>
      </x:c>
      <x:c r="D490" s="51" t="str">
        <x:f>IF(482&gt;$H$4,"",IF(INDEX('Fleet dates'!$D$9:$D$1008,$I490-8)="","",INDEX('Fleet dates'!$D$9:$D$1008,$I490-8)))</x:f>
      </x:c>
      <x:c r="E490" s="51" t="str">
        <x:f>IF(482&gt;$H$4,"",IF(INDEX('Fleet dates'!$E$9:$E$1008,$I490-8)="","",INDEX('Fleet dates'!$E$9:$E$1008,$I490-8)))</x:f>
      </x:c>
      <x:c r="F490" s="51" t="str">
        <x:f>IF(482&gt;$H$4,"",IF(INDEX('Fleet dates'!$F$9:$F$1008,$I490-8)="","",INDEX('Fleet dates'!$F$9:$F$1008,$I490-8)))</x:f>
      </x:c>
      <x:c r="G490" s="50" t="str">
        <x:f>IF(482&gt;$H$4,"",IF(INDEX('Fleet dates'!$G$9:$G$1008,$I490-8)="","",INDEX('Fleet dates'!$G$9:$G$1008,$I490-8)))</x:f>
      </x:c>
      <x:c r="H490" s="50" t="str">
        <x:f>IF(482&gt;$H$4,"",IF(INDEX('Fleet dates'!$I$9:$I$1008,$I490-8)="","",INDEX('Fleet dates'!$I$9:$I$1008,$I490-8)))</x:f>
      </x:c>
      <x:c r="I490" t="str">
        <x:f>IF(482&gt;$H$4,"",MATCH(482,'Fleet dates'!$M$9:$M$1008,0)+8)</x:f>
      </x:c>
    </x:row>
    <x:row r="491" ht="36" customHeight="1">
      <x:c r="A491" s="50" t="str">
        <x:f>IF(483&gt;$H$4,"",IF(INDEX('Fleet dates'!$A$9:$A$1008,$I491-8)="","",INDEX('Fleet dates'!$A$9:$A$1008,$I491-8)))</x:f>
      </x:c>
      <x:c r="B491" s="50" t="str">
        <x:f>IF(483&gt;$H$4,"",IF(INDEX('Fleet dates'!$B$9:$B$1008,$I491-8)="","",INDEX('Fleet dates'!$B$9:$B$1008,$I491-8)))</x:f>
      </x:c>
      <x:c r="C491" s="51" t="str">
        <x:f>IF(483&gt;$H$4,"",IF(INDEX('Fleet dates'!$C$9:$C$1008,$I491-8)="","",INDEX('Fleet dates'!$C$9:$C$1008,$I491-8)))</x:f>
      </x:c>
      <x:c r="D491" s="51" t="str">
        <x:f>IF(483&gt;$H$4,"",IF(INDEX('Fleet dates'!$D$9:$D$1008,$I491-8)="","",INDEX('Fleet dates'!$D$9:$D$1008,$I491-8)))</x:f>
      </x:c>
      <x:c r="E491" s="51" t="str">
        <x:f>IF(483&gt;$H$4,"",IF(INDEX('Fleet dates'!$E$9:$E$1008,$I491-8)="","",INDEX('Fleet dates'!$E$9:$E$1008,$I491-8)))</x:f>
      </x:c>
      <x:c r="F491" s="51" t="str">
        <x:f>IF(483&gt;$H$4,"",IF(INDEX('Fleet dates'!$F$9:$F$1008,$I491-8)="","",INDEX('Fleet dates'!$F$9:$F$1008,$I491-8)))</x:f>
      </x:c>
      <x:c r="G491" s="50" t="str">
        <x:f>IF(483&gt;$H$4,"",IF(INDEX('Fleet dates'!$G$9:$G$1008,$I491-8)="","",INDEX('Fleet dates'!$G$9:$G$1008,$I491-8)))</x:f>
      </x:c>
      <x:c r="H491" s="50" t="str">
        <x:f>IF(483&gt;$H$4,"",IF(INDEX('Fleet dates'!$I$9:$I$1008,$I491-8)="","",INDEX('Fleet dates'!$I$9:$I$1008,$I491-8)))</x:f>
      </x:c>
      <x:c r="I491" t="str">
        <x:f>IF(483&gt;$H$4,"",MATCH(483,'Fleet dates'!$M$9:$M$1008,0)+8)</x:f>
      </x:c>
    </x:row>
    <x:row r="492" ht="36" customHeight="1">
      <x:c r="A492" s="50" t="str">
        <x:f>IF(484&gt;$H$4,"",IF(INDEX('Fleet dates'!$A$9:$A$1008,$I492-8)="","",INDEX('Fleet dates'!$A$9:$A$1008,$I492-8)))</x:f>
      </x:c>
      <x:c r="B492" s="50" t="str">
        <x:f>IF(484&gt;$H$4,"",IF(INDEX('Fleet dates'!$B$9:$B$1008,$I492-8)="","",INDEX('Fleet dates'!$B$9:$B$1008,$I492-8)))</x:f>
      </x:c>
      <x:c r="C492" s="51" t="str">
        <x:f>IF(484&gt;$H$4,"",IF(INDEX('Fleet dates'!$C$9:$C$1008,$I492-8)="","",INDEX('Fleet dates'!$C$9:$C$1008,$I492-8)))</x:f>
      </x:c>
      <x:c r="D492" s="51" t="str">
        <x:f>IF(484&gt;$H$4,"",IF(INDEX('Fleet dates'!$D$9:$D$1008,$I492-8)="","",INDEX('Fleet dates'!$D$9:$D$1008,$I492-8)))</x:f>
      </x:c>
      <x:c r="E492" s="51" t="str">
        <x:f>IF(484&gt;$H$4,"",IF(INDEX('Fleet dates'!$E$9:$E$1008,$I492-8)="","",INDEX('Fleet dates'!$E$9:$E$1008,$I492-8)))</x:f>
      </x:c>
      <x:c r="F492" s="51" t="str">
        <x:f>IF(484&gt;$H$4,"",IF(INDEX('Fleet dates'!$F$9:$F$1008,$I492-8)="","",INDEX('Fleet dates'!$F$9:$F$1008,$I492-8)))</x:f>
      </x:c>
      <x:c r="G492" s="50" t="str">
        <x:f>IF(484&gt;$H$4,"",IF(INDEX('Fleet dates'!$G$9:$G$1008,$I492-8)="","",INDEX('Fleet dates'!$G$9:$G$1008,$I492-8)))</x:f>
      </x:c>
      <x:c r="H492" s="50" t="str">
        <x:f>IF(484&gt;$H$4,"",IF(INDEX('Fleet dates'!$I$9:$I$1008,$I492-8)="","",INDEX('Fleet dates'!$I$9:$I$1008,$I492-8)))</x:f>
      </x:c>
      <x:c r="I492" t="str">
        <x:f>IF(484&gt;$H$4,"",MATCH(484,'Fleet dates'!$M$9:$M$1008,0)+8)</x:f>
      </x:c>
    </x:row>
    <x:row r="493" ht="36" customHeight="1">
      <x:c r="A493" s="50" t="str">
        <x:f>IF(485&gt;$H$4,"",IF(INDEX('Fleet dates'!$A$9:$A$1008,$I493-8)="","",INDEX('Fleet dates'!$A$9:$A$1008,$I493-8)))</x:f>
      </x:c>
      <x:c r="B493" s="50" t="str">
        <x:f>IF(485&gt;$H$4,"",IF(INDEX('Fleet dates'!$B$9:$B$1008,$I493-8)="","",INDEX('Fleet dates'!$B$9:$B$1008,$I493-8)))</x:f>
      </x:c>
      <x:c r="C493" s="51" t="str">
        <x:f>IF(485&gt;$H$4,"",IF(INDEX('Fleet dates'!$C$9:$C$1008,$I493-8)="","",INDEX('Fleet dates'!$C$9:$C$1008,$I493-8)))</x:f>
      </x:c>
      <x:c r="D493" s="51" t="str">
        <x:f>IF(485&gt;$H$4,"",IF(INDEX('Fleet dates'!$D$9:$D$1008,$I493-8)="","",INDEX('Fleet dates'!$D$9:$D$1008,$I493-8)))</x:f>
      </x:c>
      <x:c r="E493" s="51" t="str">
        <x:f>IF(485&gt;$H$4,"",IF(INDEX('Fleet dates'!$E$9:$E$1008,$I493-8)="","",INDEX('Fleet dates'!$E$9:$E$1008,$I493-8)))</x:f>
      </x:c>
      <x:c r="F493" s="51" t="str">
        <x:f>IF(485&gt;$H$4,"",IF(INDEX('Fleet dates'!$F$9:$F$1008,$I493-8)="","",INDEX('Fleet dates'!$F$9:$F$1008,$I493-8)))</x:f>
      </x:c>
      <x:c r="G493" s="50" t="str">
        <x:f>IF(485&gt;$H$4,"",IF(INDEX('Fleet dates'!$G$9:$G$1008,$I493-8)="","",INDEX('Fleet dates'!$G$9:$G$1008,$I493-8)))</x:f>
      </x:c>
      <x:c r="H493" s="50" t="str">
        <x:f>IF(485&gt;$H$4,"",IF(INDEX('Fleet dates'!$I$9:$I$1008,$I493-8)="","",INDEX('Fleet dates'!$I$9:$I$1008,$I493-8)))</x:f>
      </x:c>
      <x:c r="I493" t="str">
        <x:f>IF(485&gt;$H$4,"",MATCH(485,'Fleet dates'!$M$9:$M$1008,0)+8)</x:f>
      </x:c>
    </x:row>
    <x:row r="494" ht="36" customHeight="1">
      <x:c r="A494" s="50" t="str">
        <x:f>IF(486&gt;$H$4,"",IF(INDEX('Fleet dates'!$A$9:$A$1008,$I494-8)="","",INDEX('Fleet dates'!$A$9:$A$1008,$I494-8)))</x:f>
      </x:c>
      <x:c r="B494" s="50" t="str">
        <x:f>IF(486&gt;$H$4,"",IF(INDEX('Fleet dates'!$B$9:$B$1008,$I494-8)="","",INDEX('Fleet dates'!$B$9:$B$1008,$I494-8)))</x:f>
      </x:c>
      <x:c r="C494" s="51" t="str">
        <x:f>IF(486&gt;$H$4,"",IF(INDEX('Fleet dates'!$C$9:$C$1008,$I494-8)="","",INDEX('Fleet dates'!$C$9:$C$1008,$I494-8)))</x:f>
      </x:c>
      <x:c r="D494" s="51" t="str">
        <x:f>IF(486&gt;$H$4,"",IF(INDEX('Fleet dates'!$D$9:$D$1008,$I494-8)="","",INDEX('Fleet dates'!$D$9:$D$1008,$I494-8)))</x:f>
      </x:c>
      <x:c r="E494" s="51" t="str">
        <x:f>IF(486&gt;$H$4,"",IF(INDEX('Fleet dates'!$E$9:$E$1008,$I494-8)="","",INDEX('Fleet dates'!$E$9:$E$1008,$I494-8)))</x:f>
      </x:c>
      <x:c r="F494" s="51" t="str">
        <x:f>IF(486&gt;$H$4,"",IF(INDEX('Fleet dates'!$F$9:$F$1008,$I494-8)="","",INDEX('Fleet dates'!$F$9:$F$1008,$I494-8)))</x:f>
      </x:c>
      <x:c r="G494" s="50" t="str">
        <x:f>IF(486&gt;$H$4,"",IF(INDEX('Fleet dates'!$G$9:$G$1008,$I494-8)="","",INDEX('Fleet dates'!$G$9:$G$1008,$I494-8)))</x:f>
      </x:c>
      <x:c r="H494" s="50" t="str">
        <x:f>IF(486&gt;$H$4,"",IF(INDEX('Fleet dates'!$I$9:$I$1008,$I494-8)="","",INDEX('Fleet dates'!$I$9:$I$1008,$I494-8)))</x:f>
      </x:c>
      <x:c r="I494" t="str">
        <x:f>IF(486&gt;$H$4,"",MATCH(486,'Fleet dates'!$M$9:$M$1008,0)+8)</x:f>
      </x:c>
    </x:row>
    <x:row r="495" ht="36" customHeight="1">
      <x:c r="A495" s="50" t="str">
        <x:f>IF(487&gt;$H$4,"",IF(INDEX('Fleet dates'!$A$9:$A$1008,$I495-8)="","",INDEX('Fleet dates'!$A$9:$A$1008,$I495-8)))</x:f>
      </x:c>
      <x:c r="B495" s="50" t="str">
        <x:f>IF(487&gt;$H$4,"",IF(INDEX('Fleet dates'!$B$9:$B$1008,$I495-8)="","",INDEX('Fleet dates'!$B$9:$B$1008,$I495-8)))</x:f>
      </x:c>
      <x:c r="C495" s="51" t="str">
        <x:f>IF(487&gt;$H$4,"",IF(INDEX('Fleet dates'!$C$9:$C$1008,$I495-8)="","",INDEX('Fleet dates'!$C$9:$C$1008,$I495-8)))</x:f>
      </x:c>
      <x:c r="D495" s="51" t="str">
        <x:f>IF(487&gt;$H$4,"",IF(INDEX('Fleet dates'!$D$9:$D$1008,$I495-8)="","",INDEX('Fleet dates'!$D$9:$D$1008,$I495-8)))</x:f>
      </x:c>
      <x:c r="E495" s="51" t="str">
        <x:f>IF(487&gt;$H$4,"",IF(INDEX('Fleet dates'!$E$9:$E$1008,$I495-8)="","",INDEX('Fleet dates'!$E$9:$E$1008,$I495-8)))</x:f>
      </x:c>
      <x:c r="F495" s="51" t="str">
        <x:f>IF(487&gt;$H$4,"",IF(INDEX('Fleet dates'!$F$9:$F$1008,$I495-8)="","",INDEX('Fleet dates'!$F$9:$F$1008,$I495-8)))</x:f>
      </x:c>
      <x:c r="G495" s="50" t="str">
        <x:f>IF(487&gt;$H$4,"",IF(INDEX('Fleet dates'!$G$9:$G$1008,$I495-8)="","",INDEX('Fleet dates'!$G$9:$G$1008,$I495-8)))</x:f>
      </x:c>
      <x:c r="H495" s="50" t="str">
        <x:f>IF(487&gt;$H$4,"",IF(INDEX('Fleet dates'!$I$9:$I$1008,$I495-8)="","",INDEX('Fleet dates'!$I$9:$I$1008,$I495-8)))</x:f>
      </x:c>
      <x:c r="I495" t="str">
        <x:f>IF(487&gt;$H$4,"",MATCH(487,'Fleet dates'!$M$9:$M$1008,0)+8)</x:f>
      </x:c>
    </x:row>
    <x:row r="496" ht="36" customHeight="1">
      <x:c r="A496" s="50" t="str">
        <x:f>IF(488&gt;$H$4,"",IF(INDEX('Fleet dates'!$A$9:$A$1008,$I496-8)="","",INDEX('Fleet dates'!$A$9:$A$1008,$I496-8)))</x:f>
      </x:c>
      <x:c r="B496" s="50" t="str">
        <x:f>IF(488&gt;$H$4,"",IF(INDEX('Fleet dates'!$B$9:$B$1008,$I496-8)="","",INDEX('Fleet dates'!$B$9:$B$1008,$I496-8)))</x:f>
      </x:c>
      <x:c r="C496" s="51" t="str">
        <x:f>IF(488&gt;$H$4,"",IF(INDEX('Fleet dates'!$C$9:$C$1008,$I496-8)="","",INDEX('Fleet dates'!$C$9:$C$1008,$I496-8)))</x:f>
      </x:c>
      <x:c r="D496" s="51" t="str">
        <x:f>IF(488&gt;$H$4,"",IF(INDEX('Fleet dates'!$D$9:$D$1008,$I496-8)="","",INDEX('Fleet dates'!$D$9:$D$1008,$I496-8)))</x:f>
      </x:c>
      <x:c r="E496" s="51" t="str">
        <x:f>IF(488&gt;$H$4,"",IF(INDEX('Fleet dates'!$E$9:$E$1008,$I496-8)="","",INDEX('Fleet dates'!$E$9:$E$1008,$I496-8)))</x:f>
      </x:c>
      <x:c r="F496" s="51" t="str">
        <x:f>IF(488&gt;$H$4,"",IF(INDEX('Fleet dates'!$F$9:$F$1008,$I496-8)="","",INDEX('Fleet dates'!$F$9:$F$1008,$I496-8)))</x:f>
      </x:c>
      <x:c r="G496" s="50" t="str">
        <x:f>IF(488&gt;$H$4,"",IF(INDEX('Fleet dates'!$G$9:$G$1008,$I496-8)="","",INDEX('Fleet dates'!$G$9:$G$1008,$I496-8)))</x:f>
      </x:c>
      <x:c r="H496" s="50" t="str">
        <x:f>IF(488&gt;$H$4,"",IF(INDEX('Fleet dates'!$I$9:$I$1008,$I496-8)="","",INDEX('Fleet dates'!$I$9:$I$1008,$I496-8)))</x:f>
      </x:c>
      <x:c r="I496" t="str">
        <x:f>IF(488&gt;$H$4,"",MATCH(488,'Fleet dates'!$M$9:$M$1008,0)+8)</x:f>
      </x:c>
    </x:row>
    <x:row r="497" ht="36" customHeight="1">
      <x:c r="A497" s="50" t="str">
        <x:f>IF(489&gt;$H$4,"",IF(INDEX('Fleet dates'!$A$9:$A$1008,$I497-8)="","",INDEX('Fleet dates'!$A$9:$A$1008,$I497-8)))</x:f>
      </x:c>
      <x:c r="B497" s="50" t="str">
        <x:f>IF(489&gt;$H$4,"",IF(INDEX('Fleet dates'!$B$9:$B$1008,$I497-8)="","",INDEX('Fleet dates'!$B$9:$B$1008,$I497-8)))</x:f>
      </x:c>
      <x:c r="C497" s="51" t="str">
        <x:f>IF(489&gt;$H$4,"",IF(INDEX('Fleet dates'!$C$9:$C$1008,$I497-8)="","",INDEX('Fleet dates'!$C$9:$C$1008,$I497-8)))</x:f>
      </x:c>
      <x:c r="D497" s="51" t="str">
        <x:f>IF(489&gt;$H$4,"",IF(INDEX('Fleet dates'!$D$9:$D$1008,$I497-8)="","",INDEX('Fleet dates'!$D$9:$D$1008,$I497-8)))</x:f>
      </x:c>
      <x:c r="E497" s="51" t="str">
        <x:f>IF(489&gt;$H$4,"",IF(INDEX('Fleet dates'!$E$9:$E$1008,$I497-8)="","",INDEX('Fleet dates'!$E$9:$E$1008,$I497-8)))</x:f>
      </x:c>
      <x:c r="F497" s="51" t="str">
        <x:f>IF(489&gt;$H$4,"",IF(INDEX('Fleet dates'!$F$9:$F$1008,$I497-8)="","",INDEX('Fleet dates'!$F$9:$F$1008,$I497-8)))</x:f>
      </x:c>
      <x:c r="G497" s="50" t="str">
        <x:f>IF(489&gt;$H$4,"",IF(INDEX('Fleet dates'!$G$9:$G$1008,$I497-8)="","",INDEX('Fleet dates'!$G$9:$G$1008,$I497-8)))</x:f>
      </x:c>
      <x:c r="H497" s="50" t="str">
        <x:f>IF(489&gt;$H$4,"",IF(INDEX('Fleet dates'!$I$9:$I$1008,$I497-8)="","",INDEX('Fleet dates'!$I$9:$I$1008,$I497-8)))</x:f>
      </x:c>
      <x:c r="I497" t="str">
        <x:f>IF(489&gt;$H$4,"",MATCH(489,'Fleet dates'!$M$9:$M$1008,0)+8)</x:f>
      </x:c>
    </x:row>
    <x:row r="498" ht="36" customHeight="1">
      <x:c r="A498" s="50" t="str">
        <x:f>IF(490&gt;$H$4,"",IF(INDEX('Fleet dates'!$A$9:$A$1008,$I498-8)="","",INDEX('Fleet dates'!$A$9:$A$1008,$I498-8)))</x:f>
      </x:c>
      <x:c r="B498" s="50" t="str">
        <x:f>IF(490&gt;$H$4,"",IF(INDEX('Fleet dates'!$B$9:$B$1008,$I498-8)="","",INDEX('Fleet dates'!$B$9:$B$1008,$I498-8)))</x:f>
      </x:c>
      <x:c r="C498" s="51" t="str">
        <x:f>IF(490&gt;$H$4,"",IF(INDEX('Fleet dates'!$C$9:$C$1008,$I498-8)="","",INDEX('Fleet dates'!$C$9:$C$1008,$I498-8)))</x:f>
      </x:c>
      <x:c r="D498" s="51" t="str">
        <x:f>IF(490&gt;$H$4,"",IF(INDEX('Fleet dates'!$D$9:$D$1008,$I498-8)="","",INDEX('Fleet dates'!$D$9:$D$1008,$I498-8)))</x:f>
      </x:c>
      <x:c r="E498" s="51" t="str">
        <x:f>IF(490&gt;$H$4,"",IF(INDEX('Fleet dates'!$E$9:$E$1008,$I498-8)="","",INDEX('Fleet dates'!$E$9:$E$1008,$I498-8)))</x:f>
      </x:c>
      <x:c r="F498" s="51" t="str">
        <x:f>IF(490&gt;$H$4,"",IF(INDEX('Fleet dates'!$F$9:$F$1008,$I498-8)="","",INDEX('Fleet dates'!$F$9:$F$1008,$I498-8)))</x:f>
      </x:c>
      <x:c r="G498" s="50" t="str">
        <x:f>IF(490&gt;$H$4,"",IF(INDEX('Fleet dates'!$G$9:$G$1008,$I498-8)="","",INDEX('Fleet dates'!$G$9:$G$1008,$I498-8)))</x:f>
      </x:c>
      <x:c r="H498" s="50" t="str">
        <x:f>IF(490&gt;$H$4,"",IF(INDEX('Fleet dates'!$I$9:$I$1008,$I498-8)="","",INDEX('Fleet dates'!$I$9:$I$1008,$I498-8)))</x:f>
      </x:c>
      <x:c r="I498" t="str">
        <x:f>IF(490&gt;$H$4,"",MATCH(490,'Fleet dates'!$M$9:$M$1008,0)+8)</x:f>
      </x:c>
    </x:row>
    <x:row r="499" ht="36" customHeight="1">
      <x:c r="A499" s="50" t="str">
        <x:f>IF(491&gt;$H$4,"",IF(INDEX('Fleet dates'!$A$9:$A$1008,$I499-8)="","",INDEX('Fleet dates'!$A$9:$A$1008,$I499-8)))</x:f>
      </x:c>
      <x:c r="B499" s="50" t="str">
        <x:f>IF(491&gt;$H$4,"",IF(INDEX('Fleet dates'!$B$9:$B$1008,$I499-8)="","",INDEX('Fleet dates'!$B$9:$B$1008,$I499-8)))</x:f>
      </x:c>
      <x:c r="C499" s="51" t="str">
        <x:f>IF(491&gt;$H$4,"",IF(INDEX('Fleet dates'!$C$9:$C$1008,$I499-8)="","",INDEX('Fleet dates'!$C$9:$C$1008,$I499-8)))</x:f>
      </x:c>
      <x:c r="D499" s="51" t="str">
        <x:f>IF(491&gt;$H$4,"",IF(INDEX('Fleet dates'!$D$9:$D$1008,$I499-8)="","",INDEX('Fleet dates'!$D$9:$D$1008,$I499-8)))</x:f>
      </x:c>
      <x:c r="E499" s="51" t="str">
        <x:f>IF(491&gt;$H$4,"",IF(INDEX('Fleet dates'!$E$9:$E$1008,$I499-8)="","",INDEX('Fleet dates'!$E$9:$E$1008,$I499-8)))</x:f>
      </x:c>
      <x:c r="F499" s="51" t="str">
        <x:f>IF(491&gt;$H$4,"",IF(INDEX('Fleet dates'!$F$9:$F$1008,$I499-8)="","",INDEX('Fleet dates'!$F$9:$F$1008,$I499-8)))</x:f>
      </x:c>
      <x:c r="G499" s="50" t="str">
        <x:f>IF(491&gt;$H$4,"",IF(INDEX('Fleet dates'!$G$9:$G$1008,$I499-8)="","",INDEX('Fleet dates'!$G$9:$G$1008,$I499-8)))</x:f>
      </x:c>
      <x:c r="H499" s="50" t="str">
        <x:f>IF(491&gt;$H$4,"",IF(INDEX('Fleet dates'!$I$9:$I$1008,$I499-8)="","",INDEX('Fleet dates'!$I$9:$I$1008,$I499-8)))</x:f>
      </x:c>
      <x:c r="I499" t="str">
        <x:f>IF(491&gt;$H$4,"",MATCH(491,'Fleet dates'!$M$9:$M$1008,0)+8)</x:f>
      </x:c>
    </x:row>
    <x:row r="500" ht="36" customHeight="1">
      <x:c r="A500" s="50" t="str">
        <x:f>IF(492&gt;$H$4,"",IF(INDEX('Fleet dates'!$A$9:$A$1008,$I500-8)="","",INDEX('Fleet dates'!$A$9:$A$1008,$I500-8)))</x:f>
      </x:c>
      <x:c r="B500" s="50" t="str">
        <x:f>IF(492&gt;$H$4,"",IF(INDEX('Fleet dates'!$B$9:$B$1008,$I500-8)="","",INDEX('Fleet dates'!$B$9:$B$1008,$I500-8)))</x:f>
      </x:c>
      <x:c r="C500" s="51" t="str">
        <x:f>IF(492&gt;$H$4,"",IF(INDEX('Fleet dates'!$C$9:$C$1008,$I500-8)="","",INDEX('Fleet dates'!$C$9:$C$1008,$I500-8)))</x:f>
      </x:c>
      <x:c r="D500" s="51" t="str">
        <x:f>IF(492&gt;$H$4,"",IF(INDEX('Fleet dates'!$D$9:$D$1008,$I500-8)="","",INDEX('Fleet dates'!$D$9:$D$1008,$I500-8)))</x:f>
      </x:c>
      <x:c r="E500" s="51" t="str">
        <x:f>IF(492&gt;$H$4,"",IF(INDEX('Fleet dates'!$E$9:$E$1008,$I500-8)="","",INDEX('Fleet dates'!$E$9:$E$1008,$I500-8)))</x:f>
      </x:c>
      <x:c r="F500" s="51" t="str">
        <x:f>IF(492&gt;$H$4,"",IF(INDEX('Fleet dates'!$F$9:$F$1008,$I500-8)="","",INDEX('Fleet dates'!$F$9:$F$1008,$I500-8)))</x:f>
      </x:c>
      <x:c r="G500" s="50" t="str">
        <x:f>IF(492&gt;$H$4,"",IF(INDEX('Fleet dates'!$G$9:$G$1008,$I500-8)="","",INDEX('Fleet dates'!$G$9:$G$1008,$I500-8)))</x:f>
      </x:c>
      <x:c r="H500" s="50" t="str">
        <x:f>IF(492&gt;$H$4,"",IF(INDEX('Fleet dates'!$I$9:$I$1008,$I500-8)="","",INDEX('Fleet dates'!$I$9:$I$1008,$I500-8)))</x:f>
      </x:c>
      <x:c r="I500" t="str">
        <x:f>IF(492&gt;$H$4,"",MATCH(492,'Fleet dates'!$M$9:$M$1008,0)+8)</x:f>
      </x:c>
    </x:row>
    <x:row r="501" ht="36" customHeight="1">
      <x:c r="A501" s="50" t="str">
        <x:f>IF(493&gt;$H$4,"",IF(INDEX('Fleet dates'!$A$9:$A$1008,$I501-8)="","",INDEX('Fleet dates'!$A$9:$A$1008,$I501-8)))</x:f>
      </x:c>
      <x:c r="B501" s="50" t="str">
        <x:f>IF(493&gt;$H$4,"",IF(INDEX('Fleet dates'!$B$9:$B$1008,$I501-8)="","",INDEX('Fleet dates'!$B$9:$B$1008,$I501-8)))</x:f>
      </x:c>
      <x:c r="C501" s="51" t="str">
        <x:f>IF(493&gt;$H$4,"",IF(INDEX('Fleet dates'!$C$9:$C$1008,$I501-8)="","",INDEX('Fleet dates'!$C$9:$C$1008,$I501-8)))</x:f>
      </x:c>
      <x:c r="D501" s="51" t="str">
        <x:f>IF(493&gt;$H$4,"",IF(INDEX('Fleet dates'!$D$9:$D$1008,$I501-8)="","",INDEX('Fleet dates'!$D$9:$D$1008,$I501-8)))</x:f>
      </x:c>
      <x:c r="E501" s="51" t="str">
        <x:f>IF(493&gt;$H$4,"",IF(INDEX('Fleet dates'!$E$9:$E$1008,$I501-8)="","",INDEX('Fleet dates'!$E$9:$E$1008,$I501-8)))</x:f>
      </x:c>
      <x:c r="F501" s="51" t="str">
        <x:f>IF(493&gt;$H$4,"",IF(INDEX('Fleet dates'!$F$9:$F$1008,$I501-8)="","",INDEX('Fleet dates'!$F$9:$F$1008,$I501-8)))</x:f>
      </x:c>
      <x:c r="G501" s="50" t="str">
        <x:f>IF(493&gt;$H$4,"",IF(INDEX('Fleet dates'!$G$9:$G$1008,$I501-8)="","",INDEX('Fleet dates'!$G$9:$G$1008,$I501-8)))</x:f>
      </x:c>
      <x:c r="H501" s="50" t="str">
        <x:f>IF(493&gt;$H$4,"",IF(INDEX('Fleet dates'!$I$9:$I$1008,$I501-8)="","",INDEX('Fleet dates'!$I$9:$I$1008,$I501-8)))</x:f>
      </x:c>
      <x:c r="I501" t="str">
        <x:f>IF(493&gt;$H$4,"",MATCH(493,'Fleet dates'!$M$9:$M$1008,0)+8)</x:f>
      </x:c>
    </x:row>
    <x:row r="502" ht="36" customHeight="1">
      <x:c r="A502" s="50" t="str">
        <x:f>IF(494&gt;$H$4,"",IF(INDEX('Fleet dates'!$A$9:$A$1008,$I502-8)="","",INDEX('Fleet dates'!$A$9:$A$1008,$I502-8)))</x:f>
      </x:c>
      <x:c r="B502" s="50" t="str">
        <x:f>IF(494&gt;$H$4,"",IF(INDEX('Fleet dates'!$B$9:$B$1008,$I502-8)="","",INDEX('Fleet dates'!$B$9:$B$1008,$I502-8)))</x:f>
      </x:c>
      <x:c r="C502" s="51" t="str">
        <x:f>IF(494&gt;$H$4,"",IF(INDEX('Fleet dates'!$C$9:$C$1008,$I502-8)="","",INDEX('Fleet dates'!$C$9:$C$1008,$I502-8)))</x:f>
      </x:c>
      <x:c r="D502" s="51" t="str">
        <x:f>IF(494&gt;$H$4,"",IF(INDEX('Fleet dates'!$D$9:$D$1008,$I502-8)="","",INDEX('Fleet dates'!$D$9:$D$1008,$I502-8)))</x:f>
      </x:c>
      <x:c r="E502" s="51" t="str">
        <x:f>IF(494&gt;$H$4,"",IF(INDEX('Fleet dates'!$E$9:$E$1008,$I502-8)="","",INDEX('Fleet dates'!$E$9:$E$1008,$I502-8)))</x:f>
      </x:c>
      <x:c r="F502" s="51" t="str">
        <x:f>IF(494&gt;$H$4,"",IF(INDEX('Fleet dates'!$F$9:$F$1008,$I502-8)="","",INDEX('Fleet dates'!$F$9:$F$1008,$I502-8)))</x:f>
      </x:c>
      <x:c r="G502" s="50" t="str">
        <x:f>IF(494&gt;$H$4,"",IF(INDEX('Fleet dates'!$G$9:$G$1008,$I502-8)="","",INDEX('Fleet dates'!$G$9:$G$1008,$I502-8)))</x:f>
      </x:c>
      <x:c r="H502" s="50" t="str">
        <x:f>IF(494&gt;$H$4,"",IF(INDEX('Fleet dates'!$I$9:$I$1008,$I502-8)="","",INDEX('Fleet dates'!$I$9:$I$1008,$I502-8)))</x:f>
      </x:c>
      <x:c r="I502" t="str">
        <x:f>IF(494&gt;$H$4,"",MATCH(494,'Fleet dates'!$M$9:$M$1008,0)+8)</x:f>
      </x:c>
    </x:row>
    <x:row r="503" ht="36" customHeight="1">
      <x:c r="A503" s="50" t="str">
        <x:f>IF(495&gt;$H$4,"",IF(INDEX('Fleet dates'!$A$9:$A$1008,$I503-8)="","",INDEX('Fleet dates'!$A$9:$A$1008,$I503-8)))</x:f>
      </x:c>
      <x:c r="B503" s="50" t="str">
        <x:f>IF(495&gt;$H$4,"",IF(INDEX('Fleet dates'!$B$9:$B$1008,$I503-8)="","",INDEX('Fleet dates'!$B$9:$B$1008,$I503-8)))</x:f>
      </x:c>
      <x:c r="C503" s="51" t="str">
        <x:f>IF(495&gt;$H$4,"",IF(INDEX('Fleet dates'!$C$9:$C$1008,$I503-8)="","",INDEX('Fleet dates'!$C$9:$C$1008,$I503-8)))</x:f>
      </x:c>
      <x:c r="D503" s="51" t="str">
        <x:f>IF(495&gt;$H$4,"",IF(INDEX('Fleet dates'!$D$9:$D$1008,$I503-8)="","",INDEX('Fleet dates'!$D$9:$D$1008,$I503-8)))</x:f>
      </x:c>
      <x:c r="E503" s="51" t="str">
        <x:f>IF(495&gt;$H$4,"",IF(INDEX('Fleet dates'!$E$9:$E$1008,$I503-8)="","",INDEX('Fleet dates'!$E$9:$E$1008,$I503-8)))</x:f>
      </x:c>
      <x:c r="F503" s="51" t="str">
        <x:f>IF(495&gt;$H$4,"",IF(INDEX('Fleet dates'!$F$9:$F$1008,$I503-8)="","",INDEX('Fleet dates'!$F$9:$F$1008,$I503-8)))</x:f>
      </x:c>
      <x:c r="G503" s="50" t="str">
        <x:f>IF(495&gt;$H$4,"",IF(INDEX('Fleet dates'!$G$9:$G$1008,$I503-8)="","",INDEX('Fleet dates'!$G$9:$G$1008,$I503-8)))</x:f>
      </x:c>
      <x:c r="H503" s="50" t="str">
        <x:f>IF(495&gt;$H$4,"",IF(INDEX('Fleet dates'!$I$9:$I$1008,$I503-8)="","",INDEX('Fleet dates'!$I$9:$I$1008,$I503-8)))</x:f>
      </x:c>
      <x:c r="I503" t="str">
        <x:f>IF(495&gt;$H$4,"",MATCH(495,'Fleet dates'!$M$9:$M$1008,0)+8)</x:f>
      </x:c>
    </x:row>
    <x:row r="504" ht="36" customHeight="1">
      <x:c r="A504" s="50" t="str">
        <x:f>IF(496&gt;$H$4,"",IF(INDEX('Fleet dates'!$A$9:$A$1008,$I504-8)="","",INDEX('Fleet dates'!$A$9:$A$1008,$I504-8)))</x:f>
      </x:c>
      <x:c r="B504" s="50" t="str">
        <x:f>IF(496&gt;$H$4,"",IF(INDEX('Fleet dates'!$B$9:$B$1008,$I504-8)="","",INDEX('Fleet dates'!$B$9:$B$1008,$I504-8)))</x:f>
      </x:c>
      <x:c r="C504" s="51" t="str">
        <x:f>IF(496&gt;$H$4,"",IF(INDEX('Fleet dates'!$C$9:$C$1008,$I504-8)="","",INDEX('Fleet dates'!$C$9:$C$1008,$I504-8)))</x:f>
      </x:c>
      <x:c r="D504" s="51" t="str">
        <x:f>IF(496&gt;$H$4,"",IF(INDEX('Fleet dates'!$D$9:$D$1008,$I504-8)="","",INDEX('Fleet dates'!$D$9:$D$1008,$I504-8)))</x:f>
      </x:c>
      <x:c r="E504" s="51" t="str">
        <x:f>IF(496&gt;$H$4,"",IF(INDEX('Fleet dates'!$E$9:$E$1008,$I504-8)="","",INDEX('Fleet dates'!$E$9:$E$1008,$I504-8)))</x:f>
      </x:c>
      <x:c r="F504" s="51" t="str">
        <x:f>IF(496&gt;$H$4,"",IF(INDEX('Fleet dates'!$F$9:$F$1008,$I504-8)="","",INDEX('Fleet dates'!$F$9:$F$1008,$I504-8)))</x:f>
      </x:c>
      <x:c r="G504" s="50" t="str">
        <x:f>IF(496&gt;$H$4,"",IF(INDEX('Fleet dates'!$G$9:$G$1008,$I504-8)="","",INDEX('Fleet dates'!$G$9:$G$1008,$I504-8)))</x:f>
      </x:c>
      <x:c r="H504" s="50" t="str">
        <x:f>IF(496&gt;$H$4,"",IF(INDEX('Fleet dates'!$I$9:$I$1008,$I504-8)="","",INDEX('Fleet dates'!$I$9:$I$1008,$I504-8)))</x:f>
      </x:c>
      <x:c r="I504" t="str">
        <x:f>IF(496&gt;$H$4,"",MATCH(496,'Fleet dates'!$M$9:$M$1008,0)+8)</x:f>
      </x:c>
    </x:row>
    <x:row r="505" ht="36" customHeight="1">
      <x:c r="A505" s="50" t="str">
        <x:f>IF(497&gt;$H$4,"",IF(INDEX('Fleet dates'!$A$9:$A$1008,$I505-8)="","",INDEX('Fleet dates'!$A$9:$A$1008,$I505-8)))</x:f>
      </x:c>
      <x:c r="B505" s="50" t="str">
        <x:f>IF(497&gt;$H$4,"",IF(INDEX('Fleet dates'!$B$9:$B$1008,$I505-8)="","",INDEX('Fleet dates'!$B$9:$B$1008,$I505-8)))</x:f>
      </x:c>
      <x:c r="C505" s="51" t="str">
        <x:f>IF(497&gt;$H$4,"",IF(INDEX('Fleet dates'!$C$9:$C$1008,$I505-8)="","",INDEX('Fleet dates'!$C$9:$C$1008,$I505-8)))</x:f>
      </x:c>
      <x:c r="D505" s="51" t="str">
        <x:f>IF(497&gt;$H$4,"",IF(INDEX('Fleet dates'!$D$9:$D$1008,$I505-8)="","",INDEX('Fleet dates'!$D$9:$D$1008,$I505-8)))</x:f>
      </x:c>
      <x:c r="E505" s="51" t="str">
        <x:f>IF(497&gt;$H$4,"",IF(INDEX('Fleet dates'!$E$9:$E$1008,$I505-8)="","",INDEX('Fleet dates'!$E$9:$E$1008,$I505-8)))</x:f>
      </x:c>
      <x:c r="F505" s="51" t="str">
        <x:f>IF(497&gt;$H$4,"",IF(INDEX('Fleet dates'!$F$9:$F$1008,$I505-8)="","",INDEX('Fleet dates'!$F$9:$F$1008,$I505-8)))</x:f>
      </x:c>
      <x:c r="G505" s="50" t="str">
        <x:f>IF(497&gt;$H$4,"",IF(INDEX('Fleet dates'!$G$9:$G$1008,$I505-8)="","",INDEX('Fleet dates'!$G$9:$G$1008,$I505-8)))</x:f>
      </x:c>
      <x:c r="H505" s="50" t="str">
        <x:f>IF(497&gt;$H$4,"",IF(INDEX('Fleet dates'!$I$9:$I$1008,$I505-8)="","",INDEX('Fleet dates'!$I$9:$I$1008,$I505-8)))</x:f>
      </x:c>
      <x:c r="I505" t="str">
        <x:f>IF(497&gt;$H$4,"",MATCH(497,'Fleet dates'!$M$9:$M$1008,0)+8)</x:f>
      </x:c>
    </x:row>
    <x:row r="506" ht="36" customHeight="1">
      <x:c r="A506" s="50" t="str">
        <x:f>IF(498&gt;$H$4,"",IF(INDEX('Fleet dates'!$A$9:$A$1008,$I506-8)="","",INDEX('Fleet dates'!$A$9:$A$1008,$I506-8)))</x:f>
      </x:c>
      <x:c r="B506" s="50" t="str">
        <x:f>IF(498&gt;$H$4,"",IF(INDEX('Fleet dates'!$B$9:$B$1008,$I506-8)="","",INDEX('Fleet dates'!$B$9:$B$1008,$I506-8)))</x:f>
      </x:c>
      <x:c r="C506" s="51" t="str">
        <x:f>IF(498&gt;$H$4,"",IF(INDEX('Fleet dates'!$C$9:$C$1008,$I506-8)="","",INDEX('Fleet dates'!$C$9:$C$1008,$I506-8)))</x:f>
      </x:c>
      <x:c r="D506" s="51" t="str">
        <x:f>IF(498&gt;$H$4,"",IF(INDEX('Fleet dates'!$D$9:$D$1008,$I506-8)="","",INDEX('Fleet dates'!$D$9:$D$1008,$I506-8)))</x:f>
      </x:c>
      <x:c r="E506" s="51" t="str">
        <x:f>IF(498&gt;$H$4,"",IF(INDEX('Fleet dates'!$E$9:$E$1008,$I506-8)="","",INDEX('Fleet dates'!$E$9:$E$1008,$I506-8)))</x:f>
      </x:c>
      <x:c r="F506" s="51" t="str">
        <x:f>IF(498&gt;$H$4,"",IF(INDEX('Fleet dates'!$F$9:$F$1008,$I506-8)="","",INDEX('Fleet dates'!$F$9:$F$1008,$I506-8)))</x:f>
      </x:c>
      <x:c r="G506" s="50" t="str">
        <x:f>IF(498&gt;$H$4,"",IF(INDEX('Fleet dates'!$G$9:$G$1008,$I506-8)="","",INDEX('Fleet dates'!$G$9:$G$1008,$I506-8)))</x:f>
      </x:c>
      <x:c r="H506" s="50" t="str">
        <x:f>IF(498&gt;$H$4,"",IF(INDEX('Fleet dates'!$I$9:$I$1008,$I506-8)="","",INDEX('Fleet dates'!$I$9:$I$1008,$I506-8)))</x:f>
      </x:c>
      <x:c r="I506" t="str">
        <x:f>IF(498&gt;$H$4,"",MATCH(498,'Fleet dates'!$M$9:$M$1008,0)+8)</x:f>
      </x:c>
    </x:row>
    <x:row r="507" ht="36" customHeight="1">
      <x:c r="A507" s="50" t="str">
        <x:f>IF(499&gt;$H$4,"",IF(INDEX('Fleet dates'!$A$9:$A$1008,$I507-8)="","",INDEX('Fleet dates'!$A$9:$A$1008,$I507-8)))</x:f>
      </x:c>
      <x:c r="B507" s="50" t="str">
        <x:f>IF(499&gt;$H$4,"",IF(INDEX('Fleet dates'!$B$9:$B$1008,$I507-8)="","",INDEX('Fleet dates'!$B$9:$B$1008,$I507-8)))</x:f>
      </x:c>
      <x:c r="C507" s="51" t="str">
        <x:f>IF(499&gt;$H$4,"",IF(INDEX('Fleet dates'!$C$9:$C$1008,$I507-8)="","",INDEX('Fleet dates'!$C$9:$C$1008,$I507-8)))</x:f>
      </x:c>
      <x:c r="D507" s="51" t="str">
        <x:f>IF(499&gt;$H$4,"",IF(INDEX('Fleet dates'!$D$9:$D$1008,$I507-8)="","",INDEX('Fleet dates'!$D$9:$D$1008,$I507-8)))</x:f>
      </x:c>
      <x:c r="E507" s="51" t="str">
        <x:f>IF(499&gt;$H$4,"",IF(INDEX('Fleet dates'!$E$9:$E$1008,$I507-8)="","",INDEX('Fleet dates'!$E$9:$E$1008,$I507-8)))</x:f>
      </x:c>
      <x:c r="F507" s="51" t="str">
        <x:f>IF(499&gt;$H$4,"",IF(INDEX('Fleet dates'!$F$9:$F$1008,$I507-8)="","",INDEX('Fleet dates'!$F$9:$F$1008,$I507-8)))</x:f>
      </x:c>
      <x:c r="G507" s="50" t="str">
        <x:f>IF(499&gt;$H$4,"",IF(INDEX('Fleet dates'!$G$9:$G$1008,$I507-8)="","",INDEX('Fleet dates'!$G$9:$G$1008,$I507-8)))</x:f>
      </x:c>
      <x:c r="H507" s="50" t="str">
        <x:f>IF(499&gt;$H$4,"",IF(INDEX('Fleet dates'!$I$9:$I$1008,$I507-8)="","",INDEX('Fleet dates'!$I$9:$I$1008,$I507-8)))</x:f>
      </x:c>
      <x:c r="I507" t="str">
        <x:f>IF(499&gt;$H$4,"",MATCH(499,'Fleet dates'!$M$9:$M$1008,0)+8)</x:f>
      </x:c>
    </x:row>
    <x:row r="508" ht="36" customHeight="1">
      <x:c r="A508" s="50" t="str">
        <x:f>IF(500&gt;$H$4,"",IF(INDEX('Fleet dates'!$A$9:$A$1008,$I508-8)="","",INDEX('Fleet dates'!$A$9:$A$1008,$I508-8)))</x:f>
      </x:c>
      <x:c r="B508" s="50" t="str">
        <x:f>IF(500&gt;$H$4,"",IF(INDEX('Fleet dates'!$B$9:$B$1008,$I508-8)="","",INDEX('Fleet dates'!$B$9:$B$1008,$I508-8)))</x:f>
      </x:c>
      <x:c r="C508" s="51" t="str">
        <x:f>IF(500&gt;$H$4,"",IF(INDEX('Fleet dates'!$C$9:$C$1008,$I508-8)="","",INDEX('Fleet dates'!$C$9:$C$1008,$I508-8)))</x:f>
      </x:c>
      <x:c r="D508" s="51" t="str">
        <x:f>IF(500&gt;$H$4,"",IF(INDEX('Fleet dates'!$D$9:$D$1008,$I508-8)="","",INDEX('Fleet dates'!$D$9:$D$1008,$I508-8)))</x:f>
      </x:c>
      <x:c r="E508" s="51" t="str">
        <x:f>IF(500&gt;$H$4,"",IF(INDEX('Fleet dates'!$E$9:$E$1008,$I508-8)="","",INDEX('Fleet dates'!$E$9:$E$1008,$I508-8)))</x:f>
      </x:c>
      <x:c r="F508" s="51" t="str">
        <x:f>IF(500&gt;$H$4,"",IF(INDEX('Fleet dates'!$F$9:$F$1008,$I508-8)="","",INDEX('Fleet dates'!$F$9:$F$1008,$I508-8)))</x:f>
      </x:c>
      <x:c r="G508" s="50" t="str">
        <x:f>IF(500&gt;$H$4,"",IF(INDEX('Fleet dates'!$G$9:$G$1008,$I508-8)="","",INDEX('Fleet dates'!$G$9:$G$1008,$I508-8)))</x:f>
      </x:c>
      <x:c r="H508" s="50" t="str">
        <x:f>IF(500&gt;$H$4,"",IF(INDEX('Fleet dates'!$I$9:$I$1008,$I508-8)="","",INDEX('Fleet dates'!$I$9:$I$1008,$I508-8)))</x:f>
      </x:c>
      <x:c r="I508" t="str">
        <x:f>IF(500&gt;$H$4,"",MATCH(500,'Fleet dates'!$M$9:$M$1008,0)+8)</x:f>
      </x:c>
    </x:row>
    <x:row r="509" ht="36" customHeight="1">
      <x:c r="A509" s="50" t="str">
        <x:f>IF(501&gt;$H$4,"",IF(INDEX('Fleet dates'!$A$9:$A$1008,$I509-8)="","",INDEX('Fleet dates'!$A$9:$A$1008,$I509-8)))</x:f>
      </x:c>
      <x:c r="B509" s="50" t="str">
        <x:f>IF(501&gt;$H$4,"",IF(INDEX('Fleet dates'!$B$9:$B$1008,$I509-8)="","",INDEX('Fleet dates'!$B$9:$B$1008,$I509-8)))</x:f>
      </x:c>
      <x:c r="C509" s="51" t="str">
        <x:f>IF(501&gt;$H$4,"",IF(INDEX('Fleet dates'!$C$9:$C$1008,$I509-8)="","",INDEX('Fleet dates'!$C$9:$C$1008,$I509-8)))</x:f>
      </x:c>
      <x:c r="D509" s="51" t="str">
        <x:f>IF(501&gt;$H$4,"",IF(INDEX('Fleet dates'!$D$9:$D$1008,$I509-8)="","",INDEX('Fleet dates'!$D$9:$D$1008,$I509-8)))</x:f>
      </x:c>
      <x:c r="E509" s="51" t="str">
        <x:f>IF(501&gt;$H$4,"",IF(INDEX('Fleet dates'!$E$9:$E$1008,$I509-8)="","",INDEX('Fleet dates'!$E$9:$E$1008,$I509-8)))</x:f>
      </x:c>
      <x:c r="F509" s="51" t="str">
        <x:f>IF(501&gt;$H$4,"",IF(INDEX('Fleet dates'!$F$9:$F$1008,$I509-8)="","",INDEX('Fleet dates'!$F$9:$F$1008,$I509-8)))</x:f>
      </x:c>
      <x:c r="G509" s="50" t="str">
        <x:f>IF(501&gt;$H$4,"",IF(INDEX('Fleet dates'!$G$9:$G$1008,$I509-8)="","",INDEX('Fleet dates'!$G$9:$G$1008,$I509-8)))</x:f>
      </x:c>
      <x:c r="H509" s="50" t="str">
        <x:f>IF(501&gt;$H$4,"",IF(INDEX('Fleet dates'!$I$9:$I$1008,$I509-8)="","",INDEX('Fleet dates'!$I$9:$I$1008,$I509-8)))</x:f>
      </x:c>
      <x:c r="I509" t="str">
        <x:f>IF(501&gt;$H$4,"",MATCH(501,'Fleet dates'!$M$9:$M$1008,0)+8)</x:f>
      </x:c>
    </x:row>
    <x:row r="510" ht="36" customHeight="1">
      <x:c r="A510" s="50" t="str">
        <x:f>IF(502&gt;$H$4,"",IF(INDEX('Fleet dates'!$A$9:$A$1008,$I510-8)="","",INDEX('Fleet dates'!$A$9:$A$1008,$I510-8)))</x:f>
      </x:c>
      <x:c r="B510" s="50" t="str">
        <x:f>IF(502&gt;$H$4,"",IF(INDEX('Fleet dates'!$B$9:$B$1008,$I510-8)="","",INDEX('Fleet dates'!$B$9:$B$1008,$I510-8)))</x:f>
      </x:c>
      <x:c r="C510" s="51" t="str">
        <x:f>IF(502&gt;$H$4,"",IF(INDEX('Fleet dates'!$C$9:$C$1008,$I510-8)="","",INDEX('Fleet dates'!$C$9:$C$1008,$I510-8)))</x:f>
      </x:c>
      <x:c r="D510" s="51" t="str">
        <x:f>IF(502&gt;$H$4,"",IF(INDEX('Fleet dates'!$D$9:$D$1008,$I510-8)="","",INDEX('Fleet dates'!$D$9:$D$1008,$I510-8)))</x:f>
      </x:c>
      <x:c r="E510" s="51" t="str">
        <x:f>IF(502&gt;$H$4,"",IF(INDEX('Fleet dates'!$E$9:$E$1008,$I510-8)="","",INDEX('Fleet dates'!$E$9:$E$1008,$I510-8)))</x:f>
      </x:c>
      <x:c r="F510" s="51" t="str">
        <x:f>IF(502&gt;$H$4,"",IF(INDEX('Fleet dates'!$F$9:$F$1008,$I510-8)="","",INDEX('Fleet dates'!$F$9:$F$1008,$I510-8)))</x:f>
      </x:c>
      <x:c r="G510" s="50" t="str">
        <x:f>IF(502&gt;$H$4,"",IF(INDEX('Fleet dates'!$G$9:$G$1008,$I510-8)="","",INDEX('Fleet dates'!$G$9:$G$1008,$I510-8)))</x:f>
      </x:c>
      <x:c r="H510" s="50" t="str">
        <x:f>IF(502&gt;$H$4,"",IF(INDEX('Fleet dates'!$I$9:$I$1008,$I510-8)="","",INDEX('Fleet dates'!$I$9:$I$1008,$I510-8)))</x:f>
      </x:c>
      <x:c r="I510" t="str">
        <x:f>IF(502&gt;$H$4,"",MATCH(502,'Fleet dates'!$M$9:$M$1008,0)+8)</x:f>
      </x:c>
    </x:row>
    <x:row r="511" ht="36" customHeight="1">
      <x:c r="A511" s="50" t="str">
        <x:f>IF(503&gt;$H$4,"",IF(INDEX('Fleet dates'!$A$9:$A$1008,$I511-8)="","",INDEX('Fleet dates'!$A$9:$A$1008,$I511-8)))</x:f>
      </x:c>
      <x:c r="B511" s="50" t="str">
        <x:f>IF(503&gt;$H$4,"",IF(INDEX('Fleet dates'!$B$9:$B$1008,$I511-8)="","",INDEX('Fleet dates'!$B$9:$B$1008,$I511-8)))</x:f>
      </x:c>
      <x:c r="C511" s="51" t="str">
        <x:f>IF(503&gt;$H$4,"",IF(INDEX('Fleet dates'!$C$9:$C$1008,$I511-8)="","",INDEX('Fleet dates'!$C$9:$C$1008,$I511-8)))</x:f>
      </x:c>
      <x:c r="D511" s="51" t="str">
        <x:f>IF(503&gt;$H$4,"",IF(INDEX('Fleet dates'!$D$9:$D$1008,$I511-8)="","",INDEX('Fleet dates'!$D$9:$D$1008,$I511-8)))</x:f>
      </x:c>
      <x:c r="E511" s="51" t="str">
        <x:f>IF(503&gt;$H$4,"",IF(INDEX('Fleet dates'!$E$9:$E$1008,$I511-8)="","",INDEX('Fleet dates'!$E$9:$E$1008,$I511-8)))</x:f>
      </x:c>
      <x:c r="F511" s="51" t="str">
        <x:f>IF(503&gt;$H$4,"",IF(INDEX('Fleet dates'!$F$9:$F$1008,$I511-8)="","",INDEX('Fleet dates'!$F$9:$F$1008,$I511-8)))</x:f>
      </x:c>
      <x:c r="G511" s="50" t="str">
        <x:f>IF(503&gt;$H$4,"",IF(INDEX('Fleet dates'!$G$9:$G$1008,$I511-8)="","",INDEX('Fleet dates'!$G$9:$G$1008,$I511-8)))</x:f>
      </x:c>
      <x:c r="H511" s="50" t="str">
        <x:f>IF(503&gt;$H$4,"",IF(INDEX('Fleet dates'!$I$9:$I$1008,$I511-8)="","",INDEX('Fleet dates'!$I$9:$I$1008,$I511-8)))</x:f>
      </x:c>
      <x:c r="I511" t="str">
        <x:f>IF(503&gt;$H$4,"",MATCH(503,'Fleet dates'!$M$9:$M$1008,0)+8)</x:f>
      </x:c>
    </x:row>
    <x:row r="512" ht="36" customHeight="1">
      <x:c r="A512" s="50" t="str">
        <x:f>IF(504&gt;$H$4,"",IF(INDEX('Fleet dates'!$A$9:$A$1008,$I512-8)="","",INDEX('Fleet dates'!$A$9:$A$1008,$I512-8)))</x:f>
      </x:c>
      <x:c r="B512" s="50" t="str">
        <x:f>IF(504&gt;$H$4,"",IF(INDEX('Fleet dates'!$B$9:$B$1008,$I512-8)="","",INDEX('Fleet dates'!$B$9:$B$1008,$I512-8)))</x:f>
      </x:c>
      <x:c r="C512" s="51" t="str">
        <x:f>IF(504&gt;$H$4,"",IF(INDEX('Fleet dates'!$C$9:$C$1008,$I512-8)="","",INDEX('Fleet dates'!$C$9:$C$1008,$I512-8)))</x:f>
      </x:c>
      <x:c r="D512" s="51" t="str">
        <x:f>IF(504&gt;$H$4,"",IF(INDEX('Fleet dates'!$D$9:$D$1008,$I512-8)="","",INDEX('Fleet dates'!$D$9:$D$1008,$I512-8)))</x:f>
      </x:c>
      <x:c r="E512" s="51" t="str">
        <x:f>IF(504&gt;$H$4,"",IF(INDEX('Fleet dates'!$E$9:$E$1008,$I512-8)="","",INDEX('Fleet dates'!$E$9:$E$1008,$I512-8)))</x:f>
      </x:c>
      <x:c r="F512" s="51" t="str">
        <x:f>IF(504&gt;$H$4,"",IF(INDEX('Fleet dates'!$F$9:$F$1008,$I512-8)="","",INDEX('Fleet dates'!$F$9:$F$1008,$I512-8)))</x:f>
      </x:c>
      <x:c r="G512" s="50" t="str">
        <x:f>IF(504&gt;$H$4,"",IF(INDEX('Fleet dates'!$G$9:$G$1008,$I512-8)="","",INDEX('Fleet dates'!$G$9:$G$1008,$I512-8)))</x:f>
      </x:c>
      <x:c r="H512" s="50" t="str">
        <x:f>IF(504&gt;$H$4,"",IF(INDEX('Fleet dates'!$I$9:$I$1008,$I512-8)="","",INDEX('Fleet dates'!$I$9:$I$1008,$I512-8)))</x:f>
      </x:c>
      <x:c r="I512" t="str">
        <x:f>IF(504&gt;$H$4,"",MATCH(504,'Fleet dates'!$M$9:$M$1008,0)+8)</x:f>
      </x:c>
    </x:row>
    <x:row r="513" ht="36" customHeight="1">
      <x:c r="A513" s="50" t="str">
        <x:f>IF(505&gt;$H$4,"",IF(INDEX('Fleet dates'!$A$9:$A$1008,$I513-8)="","",INDEX('Fleet dates'!$A$9:$A$1008,$I513-8)))</x:f>
      </x:c>
      <x:c r="B513" s="50" t="str">
        <x:f>IF(505&gt;$H$4,"",IF(INDEX('Fleet dates'!$B$9:$B$1008,$I513-8)="","",INDEX('Fleet dates'!$B$9:$B$1008,$I513-8)))</x:f>
      </x:c>
      <x:c r="C513" s="51" t="str">
        <x:f>IF(505&gt;$H$4,"",IF(INDEX('Fleet dates'!$C$9:$C$1008,$I513-8)="","",INDEX('Fleet dates'!$C$9:$C$1008,$I513-8)))</x:f>
      </x:c>
      <x:c r="D513" s="51" t="str">
        <x:f>IF(505&gt;$H$4,"",IF(INDEX('Fleet dates'!$D$9:$D$1008,$I513-8)="","",INDEX('Fleet dates'!$D$9:$D$1008,$I513-8)))</x:f>
      </x:c>
      <x:c r="E513" s="51" t="str">
        <x:f>IF(505&gt;$H$4,"",IF(INDEX('Fleet dates'!$E$9:$E$1008,$I513-8)="","",INDEX('Fleet dates'!$E$9:$E$1008,$I513-8)))</x:f>
      </x:c>
      <x:c r="F513" s="51" t="str">
        <x:f>IF(505&gt;$H$4,"",IF(INDEX('Fleet dates'!$F$9:$F$1008,$I513-8)="","",INDEX('Fleet dates'!$F$9:$F$1008,$I513-8)))</x:f>
      </x:c>
      <x:c r="G513" s="50" t="str">
        <x:f>IF(505&gt;$H$4,"",IF(INDEX('Fleet dates'!$G$9:$G$1008,$I513-8)="","",INDEX('Fleet dates'!$G$9:$G$1008,$I513-8)))</x:f>
      </x:c>
      <x:c r="H513" s="50" t="str">
        <x:f>IF(505&gt;$H$4,"",IF(INDEX('Fleet dates'!$I$9:$I$1008,$I513-8)="","",INDEX('Fleet dates'!$I$9:$I$1008,$I513-8)))</x:f>
      </x:c>
      <x:c r="I513" t="str">
        <x:f>IF(505&gt;$H$4,"",MATCH(505,'Fleet dates'!$M$9:$M$1008,0)+8)</x:f>
      </x:c>
    </x:row>
    <x:row r="514" ht="36" customHeight="1">
      <x:c r="A514" s="50" t="str">
        <x:f>IF(506&gt;$H$4,"",IF(INDEX('Fleet dates'!$A$9:$A$1008,$I514-8)="","",INDEX('Fleet dates'!$A$9:$A$1008,$I514-8)))</x:f>
      </x:c>
      <x:c r="B514" s="50" t="str">
        <x:f>IF(506&gt;$H$4,"",IF(INDEX('Fleet dates'!$B$9:$B$1008,$I514-8)="","",INDEX('Fleet dates'!$B$9:$B$1008,$I514-8)))</x:f>
      </x:c>
      <x:c r="C514" s="51" t="str">
        <x:f>IF(506&gt;$H$4,"",IF(INDEX('Fleet dates'!$C$9:$C$1008,$I514-8)="","",INDEX('Fleet dates'!$C$9:$C$1008,$I514-8)))</x:f>
      </x:c>
      <x:c r="D514" s="51" t="str">
        <x:f>IF(506&gt;$H$4,"",IF(INDEX('Fleet dates'!$D$9:$D$1008,$I514-8)="","",INDEX('Fleet dates'!$D$9:$D$1008,$I514-8)))</x:f>
      </x:c>
      <x:c r="E514" s="51" t="str">
        <x:f>IF(506&gt;$H$4,"",IF(INDEX('Fleet dates'!$E$9:$E$1008,$I514-8)="","",INDEX('Fleet dates'!$E$9:$E$1008,$I514-8)))</x:f>
      </x:c>
      <x:c r="F514" s="51" t="str">
        <x:f>IF(506&gt;$H$4,"",IF(INDEX('Fleet dates'!$F$9:$F$1008,$I514-8)="","",INDEX('Fleet dates'!$F$9:$F$1008,$I514-8)))</x:f>
      </x:c>
      <x:c r="G514" s="50" t="str">
        <x:f>IF(506&gt;$H$4,"",IF(INDEX('Fleet dates'!$G$9:$G$1008,$I514-8)="","",INDEX('Fleet dates'!$G$9:$G$1008,$I514-8)))</x:f>
      </x:c>
      <x:c r="H514" s="50" t="str">
        <x:f>IF(506&gt;$H$4,"",IF(INDEX('Fleet dates'!$I$9:$I$1008,$I514-8)="","",INDEX('Fleet dates'!$I$9:$I$1008,$I514-8)))</x:f>
      </x:c>
      <x:c r="I514" t="str">
        <x:f>IF(506&gt;$H$4,"",MATCH(506,'Fleet dates'!$M$9:$M$1008,0)+8)</x:f>
      </x:c>
    </x:row>
    <x:row r="515" ht="36" customHeight="1">
      <x:c r="A515" s="50" t="str">
        <x:f>IF(507&gt;$H$4,"",IF(INDEX('Fleet dates'!$A$9:$A$1008,$I515-8)="","",INDEX('Fleet dates'!$A$9:$A$1008,$I515-8)))</x:f>
      </x:c>
      <x:c r="B515" s="50" t="str">
        <x:f>IF(507&gt;$H$4,"",IF(INDEX('Fleet dates'!$B$9:$B$1008,$I515-8)="","",INDEX('Fleet dates'!$B$9:$B$1008,$I515-8)))</x:f>
      </x:c>
      <x:c r="C515" s="51" t="str">
        <x:f>IF(507&gt;$H$4,"",IF(INDEX('Fleet dates'!$C$9:$C$1008,$I515-8)="","",INDEX('Fleet dates'!$C$9:$C$1008,$I515-8)))</x:f>
      </x:c>
      <x:c r="D515" s="51" t="str">
        <x:f>IF(507&gt;$H$4,"",IF(INDEX('Fleet dates'!$D$9:$D$1008,$I515-8)="","",INDEX('Fleet dates'!$D$9:$D$1008,$I515-8)))</x:f>
      </x:c>
      <x:c r="E515" s="51" t="str">
        <x:f>IF(507&gt;$H$4,"",IF(INDEX('Fleet dates'!$E$9:$E$1008,$I515-8)="","",INDEX('Fleet dates'!$E$9:$E$1008,$I515-8)))</x:f>
      </x:c>
      <x:c r="F515" s="51" t="str">
        <x:f>IF(507&gt;$H$4,"",IF(INDEX('Fleet dates'!$F$9:$F$1008,$I515-8)="","",INDEX('Fleet dates'!$F$9:$F$1008,$I515-8)))</x:f>
      </x:c>
      <x:c r="G515" s="50" t="str">
        <x:f>IF(507&gt;$H$4,"",IF(INDEX('Fleet dates'!$G$9:$G$1008,$I515-8)="","",INDEX('Fleet dates'!$G$9:$G$1008,$I515-8)))</x:f>
      </x:c>
      <x:c r="H515" s="50" t="str">
        <x:f>IF(507&gt;$H$4,"",IF(INDEX('Fleet dates'!$I$9:$I$1008,$I515-8)="","",INDEX('Fleet dates'!$I$9:$I$1008,$I515-8)))</x:f>
      </x:c>
      <x:c r="I515" t="str">
        <x:f>IF(507&gt;$H$4,"",MATCH(507,'Fleet dates'!$M$9:$M$1008,0)+8)</x:f>
      </x:c>
    </x:row>
    <x:row r="516" ht="36" customHeight="1">
      <x:c r="A516" s="50" t="str">
        <x:f>IF(508&gt;$H$4,"",IF(INDEX('Fleet dates'!$A$9:$A$1008,$I516-8)="","",INDEX('Fleet dates'!$A$9:$A$1008,$I516-8)))</x:f>
      </x:c>
      <x:c r="B516" s="50" t="str">
        <x:f>IF(508&gt;$H$4,"",IF(INDEX('Fleet dates'!$B$9:$B$1008,$I516-8)="","",INDEX('Fleet dates'!$B$9:$B$1008,$I516-8)))</x:f>
      </x:c>
      <x:c r="C516" s="51" t="str">
        <x:f>IF(508&gt;$H$4,"",IF(INDEX('Fleet dates'!$C$9:$C$1008,$I516-8)="","",INDEX('Fleet dates'!$C$9:$C$1008,$I516-8)))</x:f>
      </x:c>
      <x:c r="D516" s="51" t="str">
        <x:f>IF(508&gt;$H$4,"",IF(INDEX('Fleet dates'!$D$9:$D$1008,$I516-8)="","",INDEX('Fleet dates'!$D$9:$D$1008,$I516-8)))</x:f>
      </x:c>
      <x:c r="E516" s="51" t="str">
        <x:f>IF(508&gt;$H$4,"",IF(INDEX('Fleet dates'!$E$9:$E$1008,$I516-8)="","",INDEX('Fleet dates'!$E$9:$E$1008,$I516-8)))</x:f>
      </x:c>
      <x:c r="F516" s="51" t="str">
        <x:f>IF(508&gt;$H$4,"",IF(INDEX('Fleet dates'!$F$9:$F$1008,$I516-8)="","",INDEX('Fleet dates'!$F$9:$F$1008,$I516-8)))</x:f>
      </x:c>
      <x:c r="G516" s="50" t="str">
        <x:f>IF(508&gt;$H$4,"",IF(INDEX('Fleet dates'!$G$9:$G$1008,$I516-8)="","",INDEX('Fleet dates'!$G$9:$G$1008,$I516-8)))</x:f>
      </x:c>
      <x:c r="H516" s="50" t="str">
        <x:f>IF(508&gt;$H$4,"",IF(INDEX('Fleet dates'!$I$9:$I$1008,$I516-8)="","",INDEX('Fleet dates'!$I$9:$I$1008,$I516-8)))</x:f>
      </x:c>
      <x:c r="I516" t="str">
        <x:f>IF(508&gt;$H$4,"",MATCH(508,'Fleet dates'!$M$9:$M$1008,0)+8)</x:f>
      </x:c>
    </x:row>
    <x:row r="517" ht="36" customHeight="1">
      <x:c r="A517" s="50" t="str">
        <x:f>IF(509&gt;$H$4,"",IF(INDEX('Fleet dates'!$A$9:$A$1008,$I517-8)="","",INDEX('Fleet dates'!$A$9:$A$1008,$I517-8)))</x:f>
      </x:c>
      <x:c r="B517" s="50" t="str">
        <x:f>IF(509&gt;$H$4,"",IF(INDEX('Fleet dates'!$B$9:$B$1008,$I517-8)="","",INDEX('Fleet dates'!$B$9:$B$1008,$I517-8)))</x:f>
      </x:c>
      <x:c r="C517" s="51" t="str">
        <x:f>IF(509&gt;$H$4,"",IF(INDEX('Fleet dates'!$C$9:$C$1008,$I517-8)="","",INDEX('Fleet dates'!$C$9:$C$1008,$I517-8)))</x:f>
      </x:c>
      <x:c r="D517" s="51" t="str">
        <x:f>IF(509&gt;$H$4,"",IF(INDEX('Fleet dates'!$D$9:$D$1008,$I517-8)="","",INDEX('Fleet dates'!$D$9:$D$1008,$I517-8)))</x:f>
      </x:c>
      <x:c r="E517" s="51" t="str">
        <x:f>IF(509&gt;$H$4,"",IF(INDEX('Fleet dates'!$E$9:$E$1008,$I517-8)="","",INDEX('Fleet dates'!$E$9:$E$1008,$I517-8)))</x:f>
      </x:c>
      <x:c r="F517" s="51" t="str">
        <x:f>IF(509&gt;$H$4,"",IF(INDEX('Fleet dates'!$F$9:$F$1008,$I517-8)="","",INDEX('Fleet dates'!$F$9:$F$1008,$I517-8)))</x:f>
      </x:c>
      <x:c r="G517" s="50" t="str">
        <x:f>IF(509&gt;$H$4,"",IF(INDEX('Fleet dates'!$G$9:$G$1008,$I517-8)="","",INDEX('Fleet dates'!$G$9:$G$1008,$I517-8)))</x:f>
      </x:c>
      <x:c r="H517" s="50" t="str">
        <x:f>IF(509&gt;$H$4,"",IF(INDEX('Fleet dates'!$I$9:$I$1008,$I517-8)="","",INDEX('Fleet dates'!$I$9:$I$1008,$I517-8)))</x:f>
      </x:c>
      <x:c r="I517" t="str">
        <x:f>IF(509&gt;$H$4,"",MATCH(509,'Fleet dates'!$M$9:$M$1008,0)+8)</x:f>
      </x:c>
    </x:row>
    <x:row r="518" ht="36" customHeight="1">
      <x:c r="A518" s="50" t="str">
        <x:f>IF(510&gt;$H$4,"",IF(INDEX('Fleet dates'!$A$9:$A$1008,$I518-8)="","",INDEX('Fleet dates'!$A$9:$A$1008,$I518-8)))</x:f>
      </x:c>
      <x:c r="B518" s="50" t="str">
        <x:f>IF(510&gt;$H$4,"",IF(INDEX('Fleet dates'!$B$9:$B$1008,$I518-8)="","",INDEX('Fleet dates'!$B$9:$B$1008,$I518-8)))</x:f>
      </x:c>
      <x:c r="C518" s="51" t="str">
        <x:f>IF(510&gt;$H$4,"",IF(INDEX('Fleet dates'!$C$9:$C$1008,$I518-8)="","",INDEX('Fleet dates'!$C$9:$C$1008,$I518-8)))</x:f>
      </x:c>
      <x:c r="D518" s="51" t="str">
        <x:f>IF(510&gt;$H$4,"",IF(INDEX('Fleet dates'!$D$9:$D$1008,$I518-8)="","",INDEX('Fleet dates'!$D$9:$D$1008,$I518-8)))</x:f>
      </x:c>
      <x:c r="E518" s="51" t="str">
        <x:f>IF(510&gt;$H$4,"",IF(INDEX('Fleet dates'!$E$9:$E$1008,$I518-8)="","",INDEX('Fleet dates'!$E$9:$E$1008,$I518-8)))</x:f>
      </x:c>
      <x:c r="F518" s="51" t="str">
        <x:f>IF(510&gt;$H$4,"",IF(INDEX('Fleet dates'!$F$9:$F$1008,$I518-8)="","",INDEX('Fleet dates'!$F$9:$F$1008,$I518-8)))</x:f>
      </x:c>
      <x:c r="G518" s="50" t="str">
        <x:f>IF(510&gt;$H$4,"",IF(INDEX('Fleet dates'!$G$9:$G$1008,$I518-8)="","",INDEX('Fleet dates'!$G$9:$G$1008,$I518-8)))</x:f>
      </x:c>
      <x:c r="H518" s="50" t="str">
        <x:f>IF(510&gt;$H$4,"",IF(INDEX('Fleet dates'!$I$9:$I$1008,$I518-8)="","",INDEX('Fleet dates'!$I$9:$I$1008,$I518-8)))</x:f>
      </x:c>
      <x:c r="I518" t="str">
        <x:f>IF(510&gt;$H$4,"",MATCH(510,'Fleet dates'!$M$9:$M$1008,0)+8)</x:f>
      </x:c>
    </x:row>
    <x:row r="519" ht="36" customHeight="1">
      <x:c r="A519" s="50" t="str">
        <x:f>IF(511&gt;$H$4,"",IF(INDEX('Fleet dates'!$A$9:$A$1008,$I519-8)="","",INDEX('Fleet dates'!$A$9:$A$1008,$I519-8)))</x:f>
      </x:c>
      <x:c r="B519" s="50" t="str">
        <x:f>IF(511&gt;$H$4,"",IF(INDEX('Fleet dates'!$B$9:$B$1008,$I519-8)="","",INDEX('Fleet dates'!$B$9:$B$1008,$I519-8)))</x:f>
      </x:c>
      <x:c r="C519" s="51" t="str">
        <x:f>IF(511&gt;$H$4,"",IF(INDEX('Fleet dates'!$C$9:$C$1008,$I519-8)="","",INDEX('Fleet dates'!$C$9:$C$1008,$I519-8)))</x:f>
      </x:c>
      <x:c r="D519" s="51" t="str">
        <x:f>IF(511&gt;$H$4,"",IF(INDEX('Fleet dates'!$D$9:$D$1008,$I519-8)="","",INDEX('Fleet dates'!$D$9:$D$1008,$I519-8)))</x:f>
      </x:c>
      <x:c r="E519" s="51" t="str">
        <x:f>IF(511&gt;$H$4,"",IF(INDEX('Fleet dates'!$E$9:$E$1008,$I519-8)="","",INDEX('Fleet dates'!$E$9:$E$1008,$I519-8)))</x:f>
      </x:c>
      <x:c r="F519" s="51" t="str">
        <x:f>IF(511&gt;$H$4,"",IF(INDEX('Fleet dates'!$F$9:$F$1008,$I519-8)="","",INDEX('Fleet dates'!$F$9:$F$1008,$I519-8)))</x:f>
      </x:c>
      <x:c r="G519" s="50" t="str">
        <x:f>IF(511&gt;$H$4,"",IF(INDEX('Fleet dates'!$G$9:$G$1008,$I519-8)="","",INDEX('Fleet dates'!$G$9:$G$1008,$I519-8)))</x:f>
      </x:c>
      <x:c r="H519" s="50" t="str">
        <x:f>IF(511&gt;$H$4,"",IF(INDEX('Fleet dates'!$I$9:$I$1008,$I519-8)="","",INDEX('Fleet dates'!$I$9:$I$1008,$I519-8)))</x:f>
      </x:c>
      <x:c r="I519" t="str">
        <x:f>IF(511&gt;$H$4,"",MATCH(511,'Fleet dates'!$M$9:$M$1008,0)+8)</x:f>
      </x:c>
    </x:row>
    <x:row r="520" ht="36" customHeight="1">
      <x:c r="A520" s="50" t="str">
        <x:f>IF(512&gt;$H$4,"",IF(INDEX('Fleet dates'!$A$9:$A$1008,$I520-8)="","",INDEX('Fleet dates'!$A$9:$A$1008,$I520-8)))</x:f>
      </x:c>
      <x:c r="B520" s="50" t="str">
        <x:f>IF(512&gt;$H$4,"",IF(INDEX('Fleet dates'!$B$9:$B$1008,$I520-8)="","",INDEX('Fleet dates'!$B$9:$B$1008,$I520-8)))</x:f>
      </x:c>
      <x:c r="C520" s="51" t="str">
        <x:f>IF(512&gt;$H$4,"",IF(INDEX('Fleet dates'!$C$9:$C$1008,$I520-8)="","",INDEX('Fleet dates'!$C$9:$C$1008,$I520-8)))</x:f>
      </x:c>
      <x:c r="D520" s="51" t="str">
        <x:f>IF(512&gt;$H$4,"",IF(INDEX('Fleet dates'!$D$9:$D$1008,$I520-8)="","",INDEX('Fleet dates'!$D$9:$D$1008,$I520-8)))</x:f>
      </x:c>
      <x:c r="E520" s="51" t="str">
        <x:f>IF(512&gt;$H$4,"",IF(INDEX('Fleet dates'!$E$9:$E$1008,$I520-8)="","",INDEX('Fleet dates'!$E$9:$E$1008,$I520-8)))</x:f>
      </x:c>
      <x:c r="F520" s="51" t="str">
        <x:f>IF(512&gt;$H$4,"",IF(INDEX('Fleet dates'!$F$9:$F$1008,$I520-8)="","",INDEX('Fleet dates'!$F$9:$F$1008,$I520-8)))</x:f>
      </x:c>
      <x:c r="G520" s="50" t="str">
        <x:f>IF(512&gt;$H$4,"",IF(INDEX('Fleet dates'!$G$9:$G$1008,$I520-8)="","",INDEX('Fleet dates'!$G$9:$G$1008,$I520-8)))</x:f>
      </x:c>
      <x:c r="H520" s="50" t="str">
        <x:f>IF(512&gt;$H$4,"",IF(INDEX('Fleet dates'!$I$9:$I$1008,$I520-8)="","",INDEX('Fleet dates'!$I$9:$I$1008,$I520-8)))</x:f>
      </x:c>
      <x:c r="I520" t="str">
        <x:f>IF(512&gt;$H$4,"",MATCH(512,'Fleet dates'!$M$9:$M$1008,0)+8)</x:f>
      </x:c>
    </x:row>
    <x:row r="521" ht="36" customHeight="1">
      <x:c r="A521" s="50" t="str">
        <x:f>IF(513&gt;$H$4,"",IF(INDEX('Fleet dates'!$A$9:$A$1008,$I521-8)="","",INDEX('Fleet dates'!$A$9:$A$1008,$I521-8)))</x:f>
      </x:c>
      <x:c r="B521" s="50" t="str">
        <x:f>IF(513&gt;$H$4,"",IF(INDEX('Fleet dates'!$B$9:$B$1008,$I521-8)="","",INDEX('Fleet dates'!$B$9:$B$1008,$I521-8)))</x:f>
      </x:c>
      <x:c r="C521" s="51" t="str">
        <x:f>IF(513&gt;$H$4,"",IF(INDEX('Fleet dates'!$C$9:$C$1008,$I521-8)="","",INDEX('Fleet dates'!$C$9:$C$1008,$I521-8)))</x:f>
      </x:c>
      <x:c r="D521" s="51" t="str">
        <x:f>IF(513&gt;$H$4,"",IF(INDEX('Fleet dates'!$D$9:$D$1008,$I521-8)="","",INDEX('Fleet dates'!$D$9:$D$1008,$I521-8)))</x:f>
      </x:c>
      <x:c r="E521" s="51" t="str">
        <x:f>IF(513&gt;$H$4,"",IF(INDEX('Fleet dates'!$E$9:$E$1008,$I521-8)="","",INDEX('Fleet dates'!$E$9:$E$1008,$I521-8)))</x:f>
      </x:c>
      <x:c r="F521" s="51" t="str">
        <x:f>IF(513&gt;$H$4,"",IF(INDEX('Fleet dates'!$F$9:$F$1008,$I521-8)="","",INDEX('Fleet dates'!$F$9:$F$1008,$I521-8)))</x:f>
      </x:c>
      <x:c r="G521" s="50" t="str">
        <x:f>IF(513&gt;$H$4,"",IF(INDEX('Fleet dates'!$G$9:$G$1008,$I521-8)="","",INDEX('Fleet dates'!$G$9:$G$1008,$I521-8)))</x:f>
      </x:c>
      <x:c r="H521" s="50" t="str">
        <x:f>IF(513&gt;$H$4,"",IF(INDEX('Fleet dates'!$I$9:$I$1008,$I521-8)="","",INDEX('Fleet dates'!$I$9:$I$1008,$I521-8)))</x:f>
      </x:c>
      <x:c r="I521" t="str">
        <x:f>IF(513&gt;$H$4,"",MATCH(513,'Fleet dates'!$M$9:$M$1008,0)+8)</x:f>
      </x:c>
    </x:row>
    <x:row r="522" ht="36" customHeight="1">
      <x:c r="A522" s="50" t="str">
        <x:f>IF(514&gt;$H$4,"",IF(INDEX('Fleet dates'!$A$9:$A$1008,$I522-8)="","",INDEX('Fleet dates'!$A$9:$A$1008,$I522-8)))</x:f>
      </x:c>
      <x:c r="B522" s="50" t="str">
        <x:f>IF(514&gt;$H$4,"",IF(INDEX('Fleet dates'!$B$9:$B$1008,$I522-8)="","",INDEX('Fleet dates'!$B$9:$B$1008,$I522-8)))</x:f>
      </x:c>
      <x:c r="C522" s="51" t="str">
        <x:f>IF(514&gt;$H$4,"",IF(INDEX('Fleet dates'!$C$9:$C$1008,$I522-8)="","",INDEX('Fleet dates'!$C$9:$C$1008,$I522-8)))</x:f>
      </x:c>
      <x:c r="D522" s="51" t="str">
        <x:f>IF(514&gt;$H$4,"",IF(INDEX('Fleet dates'!$D$9:$D$1008,$I522-8)="","",INDEX('Fleet dates'!$D$9:$D$1008,$I522-8)))</x:f>
      </x:c>
      <x:c r="E522" s="51" t="str">
        <x:f>IF(514&gt;$H$4,"",IF(INDEX('Fleet dates'!$E$9:$E$1008,$I522-8)="","",INDEX('Fleet dates'!$E$9:$E$1008,$I522-8)))</x:f>
      </x:c>
      <x:c r="F522" s="51" t="str">
        <x:f>IF(514&gt;$H$4,"",IF(INDEX('Fleet dates'!$F$9:$F$1008,$I522-8)="","",INDEX('Fleet dates'!$F$9:$F$1008,$I522-8)))</x:f>
      </x:c>
      <x:c r="G522" s="50" t="str">
        <x:f>IF(514&gt;$H$4,"",IF(INDEX('Fleet dates'!$G$9:$G$1008,$I522-8)="","",INDEX('Fleet dates'!$G$9:$G$1008,$I522-8)))</x:f>
      </x:c>
      <x:c r="H522" s="50" t="str">
        <x:f>IF(514&gt;$H$4,"",IF(INDEX('Fleet dates'!$I$9:$I$1008,$I522-8)="","",INDEX('Fleet dates'!$I$9:$I$1008,$I522-8)))</x:f>
      </x:c>
      <x:c r="I522" t="str">
        <x:f>IF(514&gt;$H$4,"",MATCH(514,'Fleet dates'!$M$9:$M$1008,0)+8)</x:f>
      </x:c>
    </x:row>
    <x:row r="523" ht="36" customHeight="1">
      <x:c r="A523" s="50" t="str">
        <x:f>IF(515&gt;$H$4,"",IF(INDEX('Fleet dates'!$A$9:$A$1008,$I523-8)="","",INDEX('Fleet dates'!$A$9:$A$1008,$I523-8)))</x:f>
      </x:c>
      <x:c r="B523" s="50" t="str">
        <x:f>IF(515&gt;$H$4,"",IF(INDEX('Fleet dates'!$B$9:$B$1008,$I523-8)="","",INDEX('Fleet dates'!$B$9:$B$1008,$I523-8)))</x:f>
      </x:c>
      <x:c r="C523" s="51" t="str">
        <x:f>IF(515&gt;$H$4,"",IF(INDEX('Fleet dates'!$C$9:$C$1008,$I523-8)="","",INDEX('Fleet dates'!$C$9:$C$1008,$I523-8)))</x:f>
      </x:c>
      <x:c r="D523" s="51" t="str">
        <x:f>IF(515&gt;$H$4,"",IF(INDEX('Fleet dates'!$D$9:$D$1008,$I523-8)="","",INDEX('Fleet dates'!$D$9:$D$1008,$I523-8)))</x:f>
      </x:c>
      <x:c r="E523" s="51" t="str">
        <x:f>IF(515&gt;$H$4,"",IF(INDEX('Fleet dates'!$E$9:$E$1008,$I523-8)="","",INDEX('Fleet dates'!$E$9:$E$1008,$I523-8)))</x:f>
      </x:c>
      <x:c r="F523" s="51" t="str">
        <x:f>IF(515&gt;$H$4,"",IF(INDEX('Fleet dates'!$F$9:$F$1008,$I523-8)="","",INDEX('Fleet dates'!$F$9:$F$1008,$I523-8)))</x:f>
      </x:c>
      <x:c r="G523" s="50" t="str">
        <x:f>IF(515&gt;$H$4,"",IF(INDEX('Fleet dates'!$G$9:$G$1008,$I523-8)="","",INDEX('Fleet dates'!$G$9:$G$1008,$I523-8)))</x:f>
      </x:c>
      <x:c r="H523" s="50" t="str">
        <x:f>IF(515&gt;$H$4,"",IF(INDEX('Fleet dates'!$I$9:$I$1008,$I523-8)="","",INDEX('Fleet dates'!$I$9:$I$1008,$I523-8)))</x:f>
      </x:c>
      <x:c r="I523" t="str">
        <x:f>IF(515&gt;$H$4,"",MATCH(515,'Fleet dates'!$M$9:$M$1008,0)+8)</x:f>
      </x:c>
    </x:row>
    <x:row r="524" ht="36" customHeight="1">
      <x:c r="A524" s="50" t="str">
        <x:f>IF(516&gt;$H$4,"",IF(INDEX('Fleet dates'!$A$9:$A$1008,$I524-8)="","",INDEX('Fleet dates'!$A$9:$A$1008,$I524-8)))</x:f>
      </x:c>
      <x:c r="B524" s="50" t="str">
        <x:f>IF(516&gt;$H$4,"",IF(INDEX('Fleet dates'!$B$9:$B$1008,$I524-8)="","",INDEX('Fleet dates'!$B$9:$B$1008,$I524-8)))</x:f>
      </x:c>
      <x:c r="C524" s="51" t="str">
        <x:f>IF(516&gt;$H$4,"",IF(INDEX('Fleet dates'!$C$9:$C$1008,$I524-8)="","",INDEX('Fleet dates'!$C$9:$C$1008,$I524-8)))</x:f>
      </x:c>
      <x:c r="D524" s="51" t="str">
        <x:f>IF(516&gt;$H$4,"",IF(INDEX('Fleet dates'!$D$9:$D$1008,$I524-8)="","",INDEX('Fleet dates'!$D$9:$D$1008,$I524-8)))</x:f>
      </x:c>
      <x:c r="E524" s="51" t="str">
        <x:f>IF(516&gt;$H$4,"",IF(INDEX('Fleet dates'!$E$9:$E$1008,$I524-8)="","",INDEX('Fleet dates'!$E$9:$E$1008,$I524-8)))</x:f>
      </x:c>
      <x:c r="F524" s="51" t="str">
        <x:f>IF(516&gt;$H$4,"",IF(INDEX('Fleet dates'!$F$9:$F$1008,$I524-8)="","",INDEX('Fleet dates'!$F$9:$F$1008,$I524-8)))</x:f>
      </x:c>
      <x:c r="G524" s="50" t="str">
        <x:f>IF(516&gt;$H$4,"",IF(INDEX('Fleet dates'!$G$9:$G$1008,$I524-8)="","",INDEX('Fleet dates'!$G$9:$G$1008,$I524-8)))</x:f>
      </x:c>
      <x:c r="H524" s="50" t="str">
        <x:f>IF(516&gt;$H$4,"",IF(INDEX('Fleet dates'!$I$9:$I$1008,$I524-8)="","",INDEX('Fleet dates'!$I$9:$I$1008,$I524-8)))</x:f>
      </x:c>
      <x:c r="I524" t="str">
        <x:f>IF(516&gt;$H$4,"",MATCH(516,'Fleet dates'!$M$9:$M$1008,0)+8)</x:f>
      </x:c>
    </x:row>
    <x:row r="525" ht="36" customHeight="1">
      <x:c r="A525" s="50" t="str">
        <x:f>IF(517&gt;$H$4,"",IF(INDEX('Fleet dates'!$A$9:$A$1008,$I525-8)="","",INDEX('Fleet dates'!$A$9:$A$1008,$I525-8)))</x:f>
      </x:c>
      <x:c r="B525" s="50" t="str">
        <x:f>IF(517&gt;$H$4,"",IF(INDEX('Fleet dates'!$B$9:$B$1008,$I525-8)="","",INDEX('Fleet dates'!$B$9:$B$1008,$I525-8)))</x:f>
      </x:c>
      <x:c r="C525" s="51" t="str">
        <x:f>IF(517&gt;$H$4,"",IF(INDEX('Fleet dates'!$C$9:$C$1008,$I525-8)="","",INDEX('Fleet dates'!$C$9:$C$1008,$I525-8)))</x:f>
      </x:c>
      <x:c r="D525" s="51" t="str">
        <x:f>IF(517&gt;$H$4,"",IF(INDEX('Fleet dates'!$D$9:$D$1008,$I525-8)="","",INDEX('Fleet dates'!$D$9:$D$1008,$I525-8)))</x:f>
      </x:c>
      <x:c r="E525" s="51" t="str">
        <x:f>IF(517&gt;$H$4,"",IF(INDEX('Fleet dates'!$E$9:$E$1008,$I525-8)="","",INDEX('Fleet dates'!$E$9:$E$1008,$I525-8)))</x:f>
      </x:c>
      <x:c r="F525" s="51" t="str">
        <x:f>IF(517&gt;$H$4,"",IF(INDEX('Fleet dates'!$F$9:$F$1008,$I525-8)="","",INDEX('Fleet dates'!$F$9:$F$1008,$I525-8)))</x:f>
      </x:c>
      <x:c r="G525" s="50" t="str">
        <x:f>IF(517&gt;$H$4,"",IF(INDEX('Fleet dates'!$G$9:$G$1008,$I525-8)="","",INDEX('Fleet dates'!$G$9:$G$1008,$I525-8)))</x:f>
      </x:c>
      <x:c r="H525" s="50" t="str">
        <x:f>IF(517&gt;$H$4,"",IF(INDEX('Fleet dates'!$I$9:$I$1008,$I525-8)="","",INDEX('Fleet dates'!$I$9:$I$1008,$I525-8)))</x:f>
      </x:c>
      <x:c r="I525" t="str">
        <x:f>IF(517&gt;$H$4,"",MATCH(517,'Fleet dates'!$M$9:$M$1008,0)+8)</x:f>
      </x:c>
    </x:row>
    <x:row r="526" ht="36" customHeight="1">
      <x:c r="A526" s="50" t="str">
        <x:f>IF(518&gt;$H$4,"",IF(INDEX('Fleet dates'!$A$9:$A$1008,$I526-8)="","",INDEX('Fleet dates'!$A$9:$A$1008,$I526-8)))</x:f>
      </x:c>
      <x:c r="B526" s="50" t="str">
        <x:f>IF(518&gt;$H$4,"",IF(INDEX('Fleet dates'!$B$9:$B$1008,$I526-8)="","",INDEX('Fleet dates'!$B$9:$B$1008,$I526-8)))</x:f>
      </x:c>
      <x:c r="C526" s="51" t="str">
        <x:f>IF(518&gt;$H$4,"",IF(INDEX('Fleet dates'!$C$9:$C$1008,$I526-8)="","",INDEX('Fleet dates'!$C$9:$C$1008,$I526-8)))</x:f>
      </x:c>
      <x:c r="D526" s="51" t="str">
        <x:f>IF(518&gt;$H$4,"",IF(INDEX('Fleet dates'!$D$9:$D$1008,$I526-8)="","",INDEX('Fleet dates'!$D$9:$D$1008,$I526-8)))</x:f>
      </x:c>
      <x:c r="E526" s="51" t="str">
        <x:f>IF(518&gt;$H$4,"",IF(INDEX('Fleet dates'!$E$9:$E$1008,$I526-8)="","",INDEX('Fleet dates'!$E$9:$E$1008,$I526-8)))</x:f>
      </x:c>
      <x:c r="F526" s="51" t="str">
        <x:f>IF(518&gt;$H$4,"",IF(INDEX('Fleet dates'!$F$9:$F$1008,$I526-8)="","",INDEX('Fleet dates'!$F$9:$F$1008,$I526-8)))</x:f>
      </x:c>
      <x:c r="G526" s="50" t="str">
        <x:f>IF(518&gt;$H$4,"",IF(INDEX('Fleet dates'!$G$9:$G$1008,$I526-8)="","",INDEX('Fleet dates'!$G$9:$G$1008,$I526-8)))</x:f>
      </x:c>
      <x:c r="H526" s="50" t="str">
        <x:f>IF(518&gt;$H$4,"",IF(INDEX('Fleet dates'!$I$9:$I$1008,$I526-8)="","",INDEX('Fleet dates'!$I$9:$I$1008,$I526-8)))</x:f>
      </x:c>
      <x:c r="I526" t="str">
        <x:f>IF(518&gt;$H$4,"",MATCH(518,'Fleet dates'!$M$9:$M$1008,0)+8)</x:f>
      </x:c>
    </x:row>
    <x:row r="527" ht="36" customHeight="1">
      <x:c r="A527" s="50" t="str">
        <x:f>IF(519&gt;$H$4,"",IF(INDEX('Fleet dates'!$A$9:$A$1008,$I527-8)="","",INDEX('Fleet dates'!$A$9:$A$1008,$I527-8)))</x:f>
      </x:c>
      <x:c r="B527" s="50" t="str">
        <x:f>IF(519&gt;$H$4,"",IF(INDEX('Fleet dates'!$B$9:$B$1008,$I527-8)="","",INDEX('Fleet dates'!$B$9:$B$1008,$I527-8)))</x:f>
      </x:c>
      <x:c r="C527" s="51" t="str">
        <x:f>IF(519&gt;$H$4,"",IF(INDEX('Fleet dates'!$C$9:$C$1008,$I527-8)="","",INDEX('Fleet dates'!$C$9:$C$1008,$I527-8)))</x:f>
      </x:c>
      <x:c r="D527" s="51" t="str">
        <x:f>IF(519&gt;$H$4,"",IF(INDEX('Fleet dates'!$D$9:$D$1008,$I527-8)="","",INDEX('Fleet dates'!$D$9:$D$1008,$I527-8)))</x:f>
      </x:c>
      <x:c r="E527" s="51" t="str">
        <x:f>IF(519&gt;$H$4,"",IF(INDEX('Fleet dates'!$E$9:$E$1008,$I527-8)="","",INDEX('Fleet dates'!$E$9:$E$1008,$I527-8)))</x:f>
      </x:c>
      <x:c r="F527" s="51" t="str">
        <x:f>IF(519&gt;$H$4,"",IF(INDEX('Fleet dates'!$F$9:$F$1008,$I527-8)="","",INDEX('Fleet dates'!$F$9:$F$1008,$I527-8)))</x:f>
      </x:c>
      <x:c r="G527" s="50" t="str">
        <x:f>IF(519&gt;$H$4,"",IF(INDEX('Fleet dates'!$G$9:$G$1008,$I527-8)="","",INDEX('Fleet dates'!$G$9:$G$1008,$I527-8)))</x:f>
      </x:c>
      <x:c r="H527" s="50" t="str">
        <x:f>IF(519&gt;$H$4,"",IF(INDEX('Fleet dates'!$I$9:$I$1008,$I527-8)="","",INDEX('Fleet dates'!$I$9:$I$1008,$I527-8)))</x:f>
      </x:c>
      <x:c r="I527" t="str">
        <x:f>IF(519&gt;$H$4,"",MATCH(519,'Fleet dates'!$M$9:$M$1008,0)+8)</x:f>
      </x:c>
    </x:row>
    <x:row r="528" ht="36" customHeight="1">
      <x:c r="A528" s="50" t="str">
        <x:f>IF(520&gt;$H$4,"",IF(INDEX('Fleet dates'!$A$9:$A$1008,$I528-8)="","",INDEX('Fleet dates'!$A$9:$A$1008,$I528-8)))</x:f>
      </x:c>
      <x:c r="B528" s="50" t="str">
        <x:f>IF(520&gt;$H$4,"",IF(INDEX('Fleet dates'!$B$9:$B$1008,$I528-8)="","",INDEX('Fleet dates'!$B$9:$B$1008,$I528-8)))</x:f>
      </x:c>
      <x:c r="C528" s="51" t="str">
        <x:f>IF(520&gt;$H$4,"",IF(INDEX('Fleet dates'!$C$9:$C$1008,$I528-8)="","",INDEX('Fleet dates'!$C$9:$C$1008,$I528-8)))</x:f>
      </x:c>
      <x:c r="D528" s="51" t="str">
        <x:f>IF(520&gt;$H$4,"",IF(INDEX('Fleet dates'!$D$9:$D$1008,$I528-8)="","",INDEX('Fleet dates'!$D$9:$D$1008,$I528-8)))</x:f>
      </x:c>
      <x:c r="E528" s="51" t="str">
        <x:f>IF(520&gt;$H$4,"",IF(INDEX('Fleet dates'!$E$9:$E$1008,$I528-8)="","",INDEX('Fleet dates'!$E$9:$E$1008,$I528-8)))</x:f>
      </x:c>
      <x:c r="F528" s="51" t="str">
        <x:f>IF(520&gt;$H$4,"",IF(INDEX('Fleet dates'!$F$9:$F$1008,$I528-8)="","",INDEX('Fleet dates'!$F$9:$F$1008,$I528-8)))</x:f>
      </x:c>
      <x:c r="G528" s="50" t="str">
        <x:f>IF(520&gt;$H$4,"",IF(INDEX('Fleet dates'!$G$9:$G$1008,$I528-8)="","",INDEX('Fleet dates'!$G$9:$G$1008,$I528-8)))</x:f>
      </x:c>
      <x:c r="H528" s="50" t="str">
        <x:f>IF(520&gt;$H$4,"",IF(INDEX('Fleet dates'!$I$9:$I$1008,$I528-8)="","",INDEX('Fleet dates'!$I$9:$I$1008,$I528-8)))</x:f>
      </x:c>
      <x:c r="I528" t="str">
        <x:f>IF(520&gt;$H$4,"",MATCH(520,'Fleet dates'!$M$9:$M$1008,0)+8)</x:f>
      </x:c>
    </x:row>
    <x:row r="529" ht="36" customHeight="1">
      <x:c r="A529" s="50" t="str">
        <x:f>IF(521&gt;$H$4,"",IF(INDEX('Fleet dates'!$A$9:$A$1008,$I529-8)="","",INDEX('Fleet dates'!$A$9:$A$1008,$I529-8)))</x:f>
      </x:c>
      <x:c r="B529" s="50" t="str">
        <x:f>IF(521&gt;$H$4,"",IF(INDEX('Fleet dates'!$B$9:$B$1008,$I529-8)="","",INDEX('Fleet dates'!$B$9:$B$1008,$I529-8)))</x:f>
      </x:c>
      <x:c r="C529" s="51" t="str">
        <x:f>IF(521&gt;$H$4,"",IF(INDEX('Fleet dates'!$C$9:$C$1008,$I529-8)="","",INDEX('Fleet dates'!$C$9:$C$1008,$I529-8)))</x:f>
      </x:c>
      <x:c r="D529" s="51" t="str">
        <x:f>IF(521&gt;$H$4,"",IF(INDEX('Fleet dates'!$D$9:$D$1008,$I529-8)="","",INDEX('Fleet dates'!$D$9:$D$1008,$I529-8)))</x:f>
      </x:c>
      <x:c r="E529" s="51" t="str">
        <x:f>IF(521&gt;$H$4,"",IF(INDEX('Fleet dates'!$E$9:$E$1008,$I529-8)="","",INDEX('Fleet dates'!$E$9:$E$1008,$I529-8)))</x:f>
      </x:c>
      <x:c r="F529" s="51" t="str">
        <x:f>IF(521&gt;$H$4,"",IF(INDEX('Fleet dates'!$F$9:$F$1008,$I529-8)="","",INDEX('Fleet dates'!$F$9:$F$1008,$I529-8)))</x:f>
      </x:c>
      <x:c r="G529" s="50" t="str">
        <x:f>IF(521&gt;$H$4,"",IF(INDEX('Fleet dates'!$G$9:$G$1008,$I529-8)="","",INDEX('Fleet dates'!$G$9:$G$1008,$I529-8)))</x:f>
      </x:c>
      <x:c r="H529" s="50" t="str">
        <x:f>IF(521&gt;$H$4,"",IF(INDEX('Fleet dates'!$I$9:$I$1008,$I529-8)="","",INDEX('Fleet dates'!$I$9:$I$1008,$I529-8)))</x:f>
      </x:c>
      <x:c r="I529" t="str">
        <x:f>IF(521&gt;$H$4,"",MATCH(521,'Fleet dates'!$M$9:$M$1008,0)+8)</x:f>
      </x:c>
    </x:row>
    <x:row r="530" ht="36" customHeight="1">
      <x:c r="A530" s="50" t="str">
        <x:f>IF(522&gt;$H$4,"",IF(INDEX('Fleet dates'!$A$9:$A$1008,$I530-8)="","",INDEX('Fleet dates'!$A$9:$A$1008,$I530-8)))</x:f>
      </x:c>
      <x:c r="B530" s="50" t="str">
        <x:f>IF(522&gt;$H$4,"",IF(INDEX('Fleet dates'!$B$9:$B$1008,$I530-8)="","",INDEX('Fleet dates'!$B$9:$B$1008,$I530-8)))</x:f>
      </x:c>
      <x:c r="C530" s="51" t="str">
        <x:f>IF(522&gt;$H$4,"",IF(INDEX('Fleet dates'!$C$9:$C$1008,$I530-8)="","",INDEX('Fleet dates'!$C$9:$C$1008,$I530-8)))</x:f>
      </x:c>
      <x:c r="D530" s="51" t="str">
        <x:f>IF(522&gt;$H$4,"",IF(INDEX('Fleet dates'!$D$9:$D$1008,$I530-8)="","",INDEX('Fleet dates'!$D$9:$D$1008,$I530-8)))</x:f>
      </x:c>
      <x:c r="E530" s="51" t="str">
        <x:f>IF(522&gt;$H$4,"",IF(INDEX('Fleet dates'!$E$9:$E$1008,$I530-8)="","",INDEX('Fleet dates'!$E$9:$E$1008,$I530-8)))</x:f>
      </x:c>
      <x:c r="F530" s="51" t="str">
        <x:f>IF(522&gt;$H$4,"",IF(INDEX('Fleet dates'!$F$9:$F$1008,$I530-8)="","",INDEX('Fleet dates'!$F$9:$F$1008,$I530-8)))</x:f>
      </x:c>
      <x:c r="G530" s="50" t="str">
        <x:f>IF(522&gt;$H$4,"",IF(INDEX('Fleet dates'!$G$9:$G$1008,$I530-8)="","",INDEX('Fleet dates'!$G$9:$G$1008,$I530-8)))</x:f>
      </x:c>
      <x:c r="H530" s="50" t="str">
        <x:f>IF(522&gt;$H$4,"",IF(INDEX('Fleet dates'!$I$9:$I$1008,$I530-8)="","",INDEX('Fleet dates'!$I$9:$I$1008,$I530-8)))</x:f>
      </x:c>
      <x:c r="I530" t="str">
        <x:f>IF(522&gt;$H$4,"",MATCH(522,'Fleet dates'!$M$9:$M$1008,0)+8)</x:f>
      </x:c>
    </x:row>
    <x:row r="531" ht="36" customHeight="1">
      <x:c r="A531" s="50" t="str">
        <x:f>IF(523&gt;$H$4,"",IF(INDEX('Fleet dates'!$A$9:$A$1008,$I531-8)="","",INDEX('Fleet dates'!$A$9:$A$1008,$I531-8)))</x:f>
      </x:c>
      <x:c r="B531" s="50" t="str">
        <x:f>IF(523&gt;$H$4,"",IF(INDEX('Fleet dates'!$B$9:$B$1008,$I531-8)="","",INDEX('Fleet dates'!$B$9:$B$1008,$I531-8)))</x:f>
      </x:c>
      <x:c r="C531" s="51" t="str">
        <x:f>IF(523&gt;$H$4,"",IF(INDEX('Fleet dates'!$C$9:$C$1008,$I531-8)="","",INDEX('Fleet dates'!$C$9:$C$1008,$I531-8)))</x:f>
      </x:c>
      <x:c r="D531" s="51" t="str">
        <x:f>IF(523&gt;$H$4,"",IF(INDEX('Fleet dates'!$D$9:$D$1008,$I531-8)="","",INDEX('Fleet dates'!$D$9:$D$1008,$I531-8)))</x:f>
      </x:c>
      <x:c r="E531" s="51" t="str">
        <x:f>IF(523&gt;$H$4,"",IF(INDEX('Fleet dates'!$E$9:$E$1008,$I531-8)="","",INDEX('Fleet dates'!$E$9:$E$1008,$I531-8)))</x:f>
      </x:c>
      <x:c r="F531" s="51" t="str">
        <x:f>IF(523&gt;$H$4,"",IF(INDEX('Fleet dates'!$F$9:$F$1008,$I531-8)="","",INDEX('Fleet dates'!$F$9:$F$1008,$I531-8)))</x:f>
      </x:c>
      <x:c r="G531" s="50" t="str">
        <x:f>IF(523&gt;$H$4,"",IF(INDEX('Fleet dates'!$G$9:$G$1008,$I531-8)="","",INDEX('Fleet dates'!$G$9:$G$1008,$I531-8)))</x:f>
      </x:c>
      <x:c r="H531" s="50" t="str">
        <x:f>IF(523&gt;$H$4,"",IF(INDEX('Fleet dates'!$I$9:$I$1008,$I531-8)="","",INDEX('Fleet dates'!$I$9:$I$1008,$I531-8)))</x:f>
      </x:c>
      <x:c r="I531" t="str">
        <x:f>IF(523&gt;$H$4,"",MATCH(523,'Fleet dates'!$M$9:$M$1008,0)+8)</x:f>
      </x:c>
    </x:row>
    <x:row r="532" ht="36" customHeight="1">
      <x:c r="A532" s="50" t="str">
        <x:f>IF(524&gt;$H$4,"",IF(INDEX('Fleet dates'!$A$9:$A$1008,$I532-8)="","",INDEX('Fleet dates'!$A$9:$A$1008,$I532-8)))</x:f>
      </x:c>
      <x:c r="B532" s="50" t="str">
        <x:f>IF(524&gt;$H$4,"",IF(INDEX('Fleet dates'!$B$9:$B$1008,$I532-8)="","",INDEX('Fleet dates'!$B$9:$B$1008,$I532-8)))</x:f>
      </x:c>
      <x:c r="C532" s="51" t="str">
        <x:f>IF(524&gt;$H$4,"",IF(INDEX('Fleet dates'!$C$9:$C$1008,$I532-8)="","",INDEX('Fleet dates'!$C$9:$C$1008,$I532-8)))</x:f>
      </x:c>
      <x:c r="D532" s="51" t="str">
        <x:f>IF(524&gt;$H$4,"",IF(INDEX('Fleet dates'!$D$9:$D$1008,$I532-8)="","",INDEX('Fleet dates'!$D$9:$D$1008,$I532-8)))</x:f>
      </x:c>
      <x:c r="E532" s="51" t="str">
        <x:f>IF(524&gt;$H$4,"",IF(INDEX('Fleet dates'!$E$9:$E$1008,$I532-8)="","",INDEX('Fleet dates'!$E$9:$E$1008,$I532-8)))</x:f>
      </x:c>
      <x:c r="F532" s="51" t="str">
        <x:f>IF(524&gt;$H$4,"",IF(INDEX('Fleet dates'!$F$9:$F$1008,$I532-8)="","",INDEX('Fleet dates'!$F$9:$F$1008,$I532-8)))</x:f>
      </x:c>
      <x:c r="G532" s="50" t="str">
        <x:f>IF(524&gt;$H$4,"",IF(INDEX('Fleet dates'!$G$9:$G$1008,$I532-8)="","",INDEX('Fleet dates'!$G$9:$G$1008,$I532-8)))</x:f>
      </x:c>
      <x:c r="H532" s="50" t="str">
        <x:f>IF(524&gt;$H$4,"",IF(INDEX('Fleet dates'!$I$9:$I$1008,$I532-8)="","",INDEX('Fleet dates'!$I$9:$I$1008,$I532-8)))</x:f>
      </x:c>
      <x:c r="I532" t="str">
        <x:f>IF(524&gt;$H$4,"",MATCH(524,'Fleet dates'!$M$9:$M$1008,0)+8)</x:f>
      </x:c>
    </x:row>
    <x:row r="533" ht="36" customHeight="1">
      <x:c r="A533" s="50" t="str">
        <x:f>IF(525&gt;$H$4,"",IF(INDEX('Fleet dates'!$A$9:$A$1008,$I533-8)="","",INDEX('Fleet dates'!$A$9:$A$1008,$I533-8)))</x:f>
      </x:c>
      <x:c r="B533" s="50" t="str">
        <x:f>IF(525&gt;$H$4,"",IF(INDEX('Fleet dates'!$B$9:$B$1008,$I533-8)="","",INDEX('Fleet dates'!$B$9:$B$1008,$I533-8)))</x:f>
      </x:c>
      <x:c r="C533" s="51" t="str">
        <x:f>IF(525&gt;$H$4,"",IF(INDEX('Fleet dates'!$C$9:$C$1008,$I533-8)="","",INDEX('Fleet dates'!$C$9:$C$1008,$I533-8)))</x:f>
      </x:c>
      <x:c r="D533" s="51" t="str">
        <x:f>IF(525&gt;$H$4,"",IF(INDEX('Fleet dates'!$D$9:$D$1008,$I533-8)="","",INDEX('Fleet dates'!$D$9:$D$1008,$I533-8)))</x:f>
      </x:c>
      <x:c r="E533" s="51" t="str">
        <x:f>IF(525&gt;$H$4,"",IF(INDEX('Fleet dates'!$E$9:$E$1008,$I533-8)="","",INDEX('Fleet dates'!$E$9:$E$1008,$I533-8)))</x:f>
      </x:c>
      <x:c r="F533" s="51" t="str">
        <x:f>IF(525&gt;$H$4,"",IF(INDEX('Fleet dates'!$F$9:$F$1008,$I533-8)="","",INDEX('Fleet dates'!$F$9:$F$1008,$I533-8)))</x:f>
      </x:c>
      <x:c r="G533" s="50" t="str">
        <x:f>IF(525&gt;$H$4,"",IF(INDEX('Fleet dates'!$G$9:$G$1008,$I533-8)="","",INDEX('Fleet dates'!$G$9:$G$1008,$I533-8)))</x:f>
      </x:c>
      <x:c r="H533" s="50" t="str">
        <x:f>IF(525&gt;$H$4,"",IF(INDEX('Fleet dates'!$I$9:$I$1008,$I533-8)="","",INDEX('Fleet dates'!$I$9:$I$1008,$I533-8)))</x:f>
      </x:c>
      <x:c r="I533" t="str">
        <x:f>IF(525&gt;$H$4,"",MATCH(525,'Fleet dates'!$M$9:$M$1008,0)+8)</x:f>
      </x:c>
    </x:row>
    <x:row r="534" ht="36" customHeight="1">
      <x:c r="A534" s="50" t="str">
        <x:f>IF(526&gt;$H$4,"",IF(INDEX('Fleet dates'!$A$9:$A$1008,$I534-8)="","",INDEX('Fleet dates'!$A$9:$A$1008,$I534-8)))</x:f>
      </x:c>
      <x:c r="B534" s="50" t="str">
        <x:f>IF(526&gt;$H$4,"",IF(INDEX('Fleet dates'!$B$9:$B$1008,$I534-8)="","",INDEX('Fleet dates'!$B$9:$B$1008,$I534-8)))</x:f>
      </x:c>
      <x:c r="C534" s="51" t="str">
        <x:f>IF(526&gt;$H$4,"",IF(INDEX('Fleet dates'!$C$9:$C$1008,$I534-8)="","",INDEX('Fleet dates'!$C$9:$C$1008,$I534-8)))</x:f>
      </x:c>
      <x:c r="D534" s="51" t="str">
        <x:f>IF(526&gt;$H$4,"",IF(INDEX('Fleet dates'!$D$9:$D$1008,$I534-8)="","",INDEX('Fleet dates'!$D$9:$D$1008,$I534-8)))</x:f>
      </x:c>
      <x:c r="E534" s="51" t="str">
        <x:f>IF(526&gt;$H$4,"",IF(INDEX('Fleet dates'!$E$9:$E$1008,$I534-8)="","",INDEX('Fleet dates'!$E$9:$E$1008,$I534-8)))</x:f>
      </x:c>
      <x:c r="F534" s="51" t="str">
        <x:f>IF(526&gt;$H$4,"",IF(INDEX('Fleet dates'!$F$9:$F$1008,$I534-8)="","",INDEX('Fleet dates'!$F$9:$F$1008,$I534-8)))</x:f>
      </x:c>
      <x:c r="G534" s="50" t="str">
        <x:f>IF(526&gt;$H$4,"",IF(INDEX('Fleet dates'!$G$9:$G$1008,$I534-8)="","",INDEX('Fleet dates'!$G$9:$G$1008,$I534-8)))</x:f>
      </x:c>
      <x:c r="H534" s="50" t="str">
        <x:f>IF(526&gt;$H$4,"",IF(INDEX('Fleet dates'!$I$9:$I$1008,$I534-8)="","",INDEX('Fleet dates'!$I$9:$I$1008,$I534-8)))</x:f>
      </x:c>
      <x:c r="I534" t="str">
        <x:f>IF(526&gt;$H$4,"",MATCH(526,'Fleet dates'!$M$9:$M$1008,0)+8)</x:f>
      </x:c>
    </x:row>
    <x:row r="535" ht="36" customHeight="1">
      <x:c r="A535" s="50" t="str">
        <x:f>IF(527&gt;$H$4,"",IF(INDEX('Fleet dates'!$A$9:$A$1008,$I535-8)="","",INDEX('Fleet dates'!$A$9:$A$1008,$I535-8)))</x:f>
      </x:c>
      <x:c r="B535" s="50" t="str">
        <x:f>IF(527&gt;$H$4,"",IF(INDEX('Fleet dates'!$B$9:$B$1008,$I535-8)="","",INDEX('Fleet dates'!$B$9:$B$1008,$I535-8)))</x:f>
      </x:c>
      <x:c r="C535" s="51" t="str">
        <x:f>IF(527&gt;$H$4,"",IF(INDEX('Fleet dates'!$C$9:$C$1008,$I535-8)="","",INDEX('Fleet dates'!$C$9:$C$1008,$I535-8)))</x:f>
      </x:c>
      <x:c r="D535" s="51" t="str">
        <x:f>IF(527&gt;$H$4,"",IF(INDEX('Fleet dates'!$D$9:$D$1008,$I535-8)="","",INDEX('Fleet dates'!$D$9:$D$1008,$I535-8)))</x:f>
      </x:c>
      <x:c r="E535" s="51" t="str">
        <x:f>IF(527&gt;$H$4,"",IF(INDEX('Fleet dates'!$E$9:$E$1008,$I535-8)="","",INDEX('Fleet dates'!$E$9:$E$1008,$I535-8)))</x:f>
      </x:c>
      <x:c r="F535" s="51" t="str">
        <x:f>IF(527&gt;$H$4,"",IF(INDEX('Fleet dates'!$F$9:$F$1008,$I535-8)="","",INDEX('Fleet dates'!$F$9:$F$1008,$I535-8)))</x:f>
      </x:c>
      <x:c r="G535" s="50" t="str">
        <x:f>IF(527&gt;$H$4,"",IF(INDEX('Fleet dates'!$G$9:$G$1008,$I535-8)="","",INDEX('Fleet dates'!$G$9:$G$1008,$I535-8)))</x:f>
      </x:c>
      <x:c r="H535" s="50" t="str">
        <x:f>IF(527&gt;$H$4,"",IF(INDEX('Fleet dates'!$I$9:$I$1008,$I535-8)="","",INDEX('Fleet dates'!$I$9:$I$1008,$I535-8)))</x:f>
      </x:c>
      <x:c r="I535" t="str">
        <x:f>IF(527&gt;$H$4,"",MATCH(527,'Fleet dates'!$M$9:$M$1008,0)+8)</x:f>
      </x:c>
    </x:row>
    <x:row r="536" ht="36" customHeight="1">
      <x:c r="A536" s="50" t="str">
        <x:f>IF(528&gt;$H$4,"",IF(INDEX('Fleet dates'!$A$9:$A$1008,$I536-8)="","",INDEX('Fleet dates'!$A$9:$A$1008,$I536-8)))</x:f>
      </x:c>
      <x:c r="B536" s="50" t="str">
        <x:f>IF(528&gt;$H$4,"",IF(INDEX('Fleet dates'!$B$9:$B$1008,$I536-8)="","",INDEX('Fleet dates'!$B$9:$B$1008,$I536-8)))</x:f>
      </x:c>
      <x:c r="C536" s="51" t="str">
        <x:f>IF(528&gt;$H$4,"",IF(INDEX('Fleet dates'!$C$9:$C$1008,$I536-8)="","",INDEX('Fleet dates'!$C$9:$C$1008,$I536-8)))</x:f>
      </x:c>
      <x:c r="D536" s="51" t="str">
        <x:f>IF(528&gt;$H$4,"",IF(INDEX('Fleet dates'!$D$9:$D$1008,$I536-8)="","",INDEX('Fleet dates'!$D$9:$D$1008,$I536-8)))</x:f>
      </x:c>
      <x:c r="E536" s="51" t="str">
        <x:f>IF(528&gt;$H$4,"",IF(INDEX('Fleet dates'!$E$9:$E$1008,$I536-8)="","",INDEX('Fleet dates'!$E$9:$E$1008,$I536-8)))</x:f>
      </x:c>
      <x:c r="F536" s="51" t="str">
        <x:f>IF(528&gt;$H$4,"",IF(INDEX('Fleet dates'!$F$9:$F$1008,$I536-8)="","",INDEX('Fleet dates'!$F$9:$F$1008,$I536-8)))</x:f>
      </x:c>
      <x:c r="G536" s="50" t="str">
        <x:f>IF(528&gt;$H$4,"",IF(INDEX('Fleet dates'!$G$9:$G$1008,$I536-8)="","",INDEX('Fleet dates'!$G$9:$G$1008,$I536-8)))</x:f>
      </x:c>
      <x:c r="H536" s="50" t="str">
        <x:f>IF(528&gt;$H$4,"",IF(INDEX('Fleet dates'!$I$9:$I$1008,$I536-8)="","",INDEX('Fleet dates'!$I$9:$I$1008,$I536-8)))</x:f>
      </x:c>
      <x:c r="I536" t="str">
        <x:f>IF(528&gt;$H$4,"",MATCH(528,'Fleet dates'!$M$9:$M$1008,0)+8)</x:f>
      </x:c>
    </x:row>
    <x:row r="537" ht="36" customHeight="1">
      <x:c r="A537" s="50" t="str">
        <x:f>IF(529&gt;$H$4,"",IF(INDEX('Fleet dates'!$A$9:$A$1008,$I537-8)="","",INDEX('Fleet dates'!$A$9:$A$1008,$I537-8)))</x:f>
      </x:c>
      <x:c r="B537" s="50" t="str">
        <x:f>IF(529&gt;$H$4,"",IF(INDEX('Fleet dates'!$B$9:$B$1008,$I537-8)="","",INDEX('Fleet dates'!$B$9:$B$1008,$I537-8)))</x:f>
      </x:c>
      <x:c r="C537" s="51" t="str">
        <x:f>IF(529&gt;$H$4,"",IF(INDEX('Fleet dates'!$C$9:$C$1008,$I537-8)="","",INDEX('Fleet dates'!$C$9:$C$1008,$I537-8)))</x:f>
      </x:c>
      <x:c r="D537" s="51" t="str">
        <x:f>IF(529&gt;$H$4,"",IF(INDEX('Fleet dates'!$D$9:$D$1008,$I537-8)="","",INDEX('Fleet dates'!$D$9:$D$1008,$I537-8)))</x:f>
      </x:c>
      <x:c r="E537" s="51" t="str">
        <x:f>IF(529&gt;$H$4,"",IF(INDEX('Fleet dates'!$E$9:$E$1008,$I537-8)="","",INDEX('Fleet dates'!$E$9:$E$1008,$I537-8)))</x:f>
      </x:c>
      <x:c r="F537" s="51" t="str">
        <x:f>IF(529&gt;$H$4,"",IF(INDEX('Fleet dates'!$F$9:$F$1008,$I537-8)="","",INDEX('Fleet dates'!$F$9:$F$1008,$I537-8)))</x:f>
      </x:c>
      <x:c r="G537" s="50" t="str">
        <x:f>IF(529&gt;$H$4,"",IF(INDEX('Fleet dates'!$G$9:$G$1008,$I537-8)="","",INDEX('Fleet dates'!$G$9:$G$1008,$I537-8)))</x:f>
      </x:c>
      <x:c r="H537" s="50" t="str">
        <x:f>IF(529&gt;$H$4,"",IF(INDEX('Fleet dates'!$I$9:$I$1008,$I537-8)="","",INDEX('Fleet dates'!$I$9:$I$1008,$I537-8)))</x:f>
      </x:c>
      <x:c r="I537" t="str">
        <x:f>IF(529&gt;$H$4,"",MATCH(529,'Fleet dates'!$M$9:$M$1008,0)+8)</x:f>
      </x:c>
    </x:row>
    <x:row r="538" ht="36" customHeight="1">
      <x:c r="A538" s="50" t="str">
        <x:f>IF(530&gt;$H$4,"",IF(INDEX('Fleet dates'!$A$9:$A$1008,$I538-8)="","",INDEX('Fleet dates'!$A$9:$A$1008,$I538-8)))</x:f>
      </x:c>
      <x:c r="B538" s="50" t="str">
        <x:f>IF(530&gt;$H$4,"",IF(INDEX('Fleet dates'!$B$9:$B$1008,$I538-8)="","",INDEX('Fleet dates'!$B$9:$B$1008,$I538-8)))</x:f>
      </x:c>
      <x:c r="C538" s="51" t="str">
        <x:f>IF(530&gt;$H$4,"",IF(INDEX('Fleet dates'!$C$9:$C$1008,$I538-8)="","",INDEX('Fleet dates'!$C$9:$C$1008,$I538-8)))</x:f>
      </x:c>
      <x:c r="D538" s="51" t="str">
        <x:f>IF(530&gt;$H$4,"",IF(INDEX('Fleet dates'!$D$9:$D$1008,$I538-8)="","",INDEX('Fleet dates'!$D$9:$D$1008,$I538-8)))</x:f>
      </x:c>
      <x:c r="E538" s="51" t="str">
        <x:f>IF(530&gt;$H$4,"",IF(INDEX('Fleet dates'!$E$9:$E$1008,$I538-8)="","",INDEX('Fleet dates'!$E$9:$E$1008,$I538-8)))</x:f>
      </x:c>
      <x:c r="F538" s="51" t="str">
        <x:f>IF(530&gt;$H$4,"",IF(INDEX('Fleet dates'!$F$9:$F$1008,$I538-8)="","",INDEX('Fleet dates'!$F$9:$F$1008,$I538-8)))</x:f>
      </x:c>
      <x:c r="G538" s="50" t="str">
        <x:f>IF(530&gt;$H$4,"",IF(INDEX('Fleet dates'!$G$9:$G$1008,$I538-8)="","",INDEX('Fleet dates'!$G$9:$G$1008,$I538-8)))</x:f>
      </x:c>
      <x:c r="H538" s="50" t="str">
        <x:f>IF(530&gt;$H$4,"",IF(INDEX('Fleet dates'!$I$9:$I$1008,$I538-8)="","",INDEX('Fleet dates'!$I$9:$I$1008,$I538-8)))</x:f>
      </x:c>
      <x:c r="I538" t="str">
        <x:f>IF(530&gt;$H$4,"",MATCH(530,'Fleet dates'!$M$9:$M$1008,0)+8)</x:f>
      </x:c>
    </x:row>
    <x:row r="539" ht="36" customHeight="1">
      <x:c r="A539" s="50" t="str">
        <x:f>IF(531&gt;$H$4,"",IF(INDEX('Fleet dates'!$A$9:$A$1008,$I539-8)="","",INDEX('Fleet dates'!$A$9:$A$1008,$I539-8)))</x:f>
      </x:c>
      <x:c r="B539" s="50" t="str">
        <x:f>IF(531&gt;$H$4,"",IF(INDEX('Fleet dates'!$B$9:$B$1008,$I539-8)="","",INDEX('Fleet dates'!$B$9:$B$1008,$I539-8)))</x:f>
      </x:c>
      <x:c r="C539" s="51" t="str">
        <x:f>IF(531&gt;$H$4,"",IF(INDEX('Fleet dates'!$C$9:$C$1008,$I539-8)="","",INDEX('Fleet dates'!$C$9:$C$1008,$I539-8)))</x:f>
      </x:c>
      <x:c r="D539" s="51" t="str">
        <x:f>IF(531&gt;$H$4,"",IF(INDEX('Fleet dates'!$D$9:$D$1008,$I539-8)="","",INDEX('Fleet dates'!$D$9:$D$1008,$I539-8)))</x:f>
      </x:c>
      <x:c r="E539" s="51" t="str">
        <x:f>IF(531&gt;$H$4,"",IF(INDEX('Fleet dates'!$E$9:$E$1008,$I539-8)="","",INDEX('Fleet dates'!$E$9:$E$1008,$I539-8)))</x:f>
      </x:c>
      <x:c r="F539" s="51" t="str">
        <x:f>IF(531&gt;$H$4,"",IF(INDEX('Fleet dates'!$F$9:$F$1008,$I539-8)="","",INDEX('Fleet dates'!$F$9:$F$1008,$I539-8)))</x:f>
      </x:c>
      <x:c r="G539" s="50" t="str">
        <x:f>IF(531&gt;$H$4,"",IF(INDEX('Fleet dates'!$G$9:$G$1008,$I539-8)="","",INDEX('Fleet dates'!$G$9:$G$1008,$I539-8)))</x:f>
      </x:c>
      <x:c r="H539" s="50" t="str">
        <x:f>IF(531&gt;$H$4,"",IF(INDEX('Fleet dates'!$I$9:$I$1008,$I539-8)="","",INDEX('Fleet dates'!$I$9:$I$1008,$I539-8)))</x:f>
      </x:c>
      <x:c r="I539" t="str">
        <x:f>IF(531&gt;$H$4,"",MATCH(531,'Fleet dates'!$M$9:$M$1008,0)+8)</x:f>
      </x:c>
    </x:row>
    <x:row r="540" ht="36" customHeight="1">
      <x:c r="A540" s="50" t="str">
        <x:f>IF(532&gt;$H$4,"",IF(INDEX('Fleet dates'!$A$9:$A$1008,$I540-8)="","",INDEX('Fleet dates'!$A$9:$A$1008,$I540-8)))</x:f>
      </x:c>
      <x:c r="B540" s="50" t="str">
        <x:f>IF(532&gt;$H$4,"",IF(INDEX('Fleet dates'!$B$9:$B$1008,$I540-8)="","",INDEX('Fleet dates'!$B$9:$B$1008,$I540-8)))</x:f>
      </x:c>
      <x:c r="C540" s="51" t="str">
        <x:f>IF(532&gt;$H$4,"",IF(INDEX('Fleet dates'!$C$9:$C$1008,$I540-8)="","",INDEX('Fleet dates'!$C$9:$C$1008,$I540-8)))</x:f>
      </x:c>
      <x:c r="D540" s="51" t="str">
        <x:f>IF(532&gt;$H$4,"",IF(INDEX('Fleet dates'!$D$9:$D$1008,$I540-8)="","",INDEX('Fleet dates'!$D$9:$D$1008,$I540-8)))</x:f>
      </x:c>
      <x:c r="E540" s="51" t="str">
        <x:f>IF(532&gt;$H$4,"",IF(INDEX('Fleet dates'!$E$9:$E$1008,$I540-8)="","",INDEX('Fleet dates'!$E$9:$E$1008,$I540-8)))</x:f>
      </x:c>
      <x:c r="F540" s="51" t="str">
        <x:f>IF(532&gt;$H$4,"",IF(INDEX('Fleet dates'!$F$9:$F$1008,$I540-8)="","",INDEX('Fleet dates'!$F$9:$F$1008,$I540-8)))</x:f>
      </x:c>
      <x:c r="G540" s="50" t="str">
        <x:f>IF(532&gt;$H$4,"",IF(INDEX('Fleet dates'!$G$9:$G$1008,$I540-8)="","",INDEX('Fleet dates'!$G$9:$G$1008,$I540-8)))</x:f>
      </x:c>
      <x:c r="H540" s="50" t="str">
        <x:f>IF(532&gt;$H$4,"",IF(INDEX('Fleet dates'!$I$9:$I$1008,$I540-8)="","",INDEX('Fleet dates'!$I$9:$I$1008,$I540-8)))</x:f>
      </x:c>
      <x:c r="I540" t="str">
        <x:f>IF(532&gt;$H$4,"",MATCH(532,'Fleet dates'!$M$9:$M$1008,0)+8)</x:f>
      </x:c>
    </x:row>
    <x:row r="541" ht="36" customHeight="1">
      <x:c r="A541" s="50" t="str">
        <x:f>IF(533&gt;$H$4,"",IF(INDEX('Fleet dates'!$A$9:$A$1008,$I541-8)="","",INDEX('Fleet dates'!$A$9:$A$1008,$I541-8)))</x:f>
      </x:c>
      <x:c r="B541" s="50" t="str">
        <x:f>IF(533&gt;$H$4,"",IF(INDEX('Fleet dates'!$B$9:$B$1008,$I541-8)="","",INDEX('Fleet dates'!$B$9:$B$1008,$I541-8)))</x:f>
      </x:c>
      <x:c r="C541" s="51" t="str">
        <x:f>IF(533&gt;$H$4,"",IF(INDEX('Fleet dates'!$C$9:$C$1008,$I541-8)="","",INDEX('Fleet dates'!$C$9:$C$1008,$I541-8)))</x:f>
      </x:c>
      <x:c r="D541" s="51" t="str">
        <x:f>IF(533&gt;$H$4,"",IF(INDEX('Fleet dates'!$D$9:$D$1008,$I541-8)="","",INDEX('Fleet dates'!$D$9:$D$1008,$I541-8)))</x:f>
      </x:c>
      <x:c r="E541" s="51" t="str">
        <x:f>IF(533&gt;$H$4,"",IF(INDEX('Fleet dates'!$E$9:$E$1008,$I541-8)="","",INDEX('Fleet dates'!$E$9:$E$1008,$I541-8)))</x:f>
      </x:c>
      <x:c r="F541" s="51" t="str">
        <x:f>IF(533&gt;$H$4,"",IF(INDEX('Fleet dates'!$F$9:$F$1008,$I541-8)="","",INDEX('Fleet dates'!$F$9:$F$1008,$I541-8)))</x:f>
      </x:c>
      <x:c r="G541" s="50" t="str">
        <x:f>IF(533&gt;$H$4,"",IF(INDEX('Fleet dates'!$G$9:$G$1008,$I541-8)="","",INDEX('Fleet dates'!$G$9:$G$1008,$I541-8)))</x:f>
      </x:c>
      <x:c r="H541" s="50" t="str">
        <x:f>IF(533&gt;$H$4,"",IF(INDEX('Fleet dates'!$I$9:$I$1008,$I541-8)="","",INDEX('Fleet dates'!$I$9:$I$1008,$I541-8)))</x:f>
      </x:c>
      <x:c r="I541" t="str">
        <x:f>IF(533&gt;$H$4,"",MATCH(533,'Fleet dates'!$M$9:$M$1008,0)+8)</x:f>
      </x:c>
    </x:row>
    <x:row r="542" ht="36" customHeight="1">
      <x:c r="A542" s="50" t="str">
        <x:f>IF(534&gt;$H$4,"",IF(INDEX('Fleet dates'!$A$9:$A$1008,$I542-8)="","",INDEX('Fleet dates'!$A$9:$A$1008,$I542-8)))</x:f>
      </x:c>
      <x:c r="B542" s="50" t="str">
        <x:f>IF(534&gt;$H$4,"",IF(INDEX('Fleet dates'!$B$9:$B$1008,$I542-8)="","",INDEX('Fleet dates'!$B$9:$B$1008,$I542-8)))</x:f>
      </x:c>
      <x:c r="C542" s="51" t="str">
        <x:f>IF(534&gt;$H$4,"",IF(INDEX('Fleet dates'!$C$9:$C$1008,$I542-8)="","",INDEX('Fleet dates'!$C$9:$C$1008,$I542-8)))</x:f>
      </x:c>
      <x:c r="D542" s="51" t="str">
        <x:f>IF(534&gt;$H$4,"",IF(INDEX('Fleet dates'!$D$9:$D$1008,$I542-8)="","",INDEX('Fleet dates'!$D$9:$D$1008,$I542-8)))</x:f>
      </x:c>
      <x:c r="E542" s="51" t="str">
        <x:f>IF(534&gt;$H$4,"",IF(INDEX('Fleet dates'!$E$9:$E$1008,$I542-8)="","",INDEX('Fleet dates'!$E$9:$E$1008,$I542-8)))</x:f>
      </x:c>
      <x:c r="F542" s="51" t="str">
        <x:f>IF(534&gt;$H$4,"",IF(INDEX('Fleet dates'!$F$9:$F$1008,$I542-8)="","",INDEX('Fleet dates'!$F$9:$F$1008,$I542-8)))</x:f>
      </x:c>
      <x:c r="G542" s="50" t="str">
        <x:f>IF(534&gt;$H$4,"",IF(INDEX('Fleet dates'!$G$9:$G$1008,$I542-8)="","",INDEX('Fleet dates'!$G$9:$G$1008,$I542-8)))</x:f>
      </x:c>
      <x:c r="H542" s="50" t="str">
        <x:f>IF(534&gt;$H$4,"",IF(INDEX('Fleet dates'!$I$9:$I$1008,$I542-8)="","",INDEX('Fleet dates'!$I$9:$I$1008,$I542-8)))</x:f>
      </x:c>
      <x:c r="I542" t="str">
        <x:f>IF(534&gt;$H$4,"",MATCH(534,'Fleet dates'!$M$9:$M$1008,0)+8)</x:f>
      </x:c>
    </x:row>
    <x:row r="543" ht="36" customHeight="1">
      <x:c r="A543" s="50" t="str">
        <x:f>IF(535&gt;$H$4,"",IF(INDEX('Fleet dates'!$A$9:$A$1008,$I543-8)="","",INDEX('Fleet dates'!$A$9:$A$1008,$I543-8)))</x:f>
      </x:c>
      <x:c r="B543" s="50" t="str">
        <x:f>IF(535&gt;$H$4,"",IF(INDEX('Fleet dates'!$B$9:$B$1008,$I543-8)="","",INDEX('Fleet dates'!$B$9:$B$1008,$I543-8)))</x:f>
      </x:c>
      <x:c r="C543" s="51" t="str">
        <x:f>IF(535&gt;$H$4,"",IF(INDEX('Fleet dates'!$C$9:$C$1008,$I543-8)="","",INDEX('Fleet dates'!$C$9:$C$1008,$I543-8)))</x:f>
      </x:c>
      <x:c r="D543" s="51" t="str">
        <x:f>IF(535&gt;$H$4,"",IF(INDEX('Fleet dates'!$D$9:$D$1008,$I543-8)="","",INDEX('Fleet dates'!$D$9:$D$1008,$I543-8)))</x:f>
      </x:c>
      <x:c r="E543" s="51" t="str">
        <x:f>IF(535&gt;$H$4,"",IF(INDEX('Fleet dates'!$E$9:$E$1008,$I543-8)="","",INDEX('Fleet dates'!$E$9:$E$1008,$I543-8)))</x:f>
      </x:c>
      <x:c r="F543" s="51" t="str">
        <x:f>IF(535&gt;$H$4,"",IF(INDEX('Fleet dates'!$F$9:$F$1008,$I543-8)="","",INDEX('Fleet dates'!$F$9:$F$1008,$I543-8)))</x:f>
      </x:c>
      <x:c r="G543" s="50" t="str">
        <x:f>IF(535&gt;$H$4,"",IF(INDEX('Fleet dates'!$G$9:$G$1008,$I543-8)="","",INDEX('Fleet dates'!$G$9:$G$1008,$I543-8)))</x:f>
      </x:c>
      <x:c r="H543" s="50" t="str">
        <x:f>IF(535&gt;$H$4,"",IF(INDEX('Fleet dates'!$I$9:$I$1008,$I543-8)="","",INDEX('Fleet dates'!$I$9:$I$1008,$I543-8)))</x:f>
      </x:c>
      <x:c r="I543" t="str">
        <x:f>IF(535&gt;$H$4,"",MATCH(535,'Fleet dates'!$M$9:$M$1008,0)+8)</x:f>
      </x:c>
    </x:row>
    <x:row r="544" ht="36" customHeight="1">
      <x:c r="A544" s="50" t="str">
        <x:f>IF(536&gt;$H$4,"",IF(INDEX('Fleet dates'!$A$9:$A$1008,$I544-8)="","",INDEX('Fleet dates'!$A$9:$A$1008,$I544-8)))</x:f>
      </x:c>
      <x:c r="B544" s="50" t="str">
        <x:f>IF(536&gt;$H$4,"",IF(INDEX('Fleet dates'!$B$9:$B$1008,$I544-8)="","",INDEX('Fleet dates'!$B$9:$B$1008,$I544-8)))</x:f>
      </x:c>
      <x:c r="C544" s="51" t="str">
        <x:f>IF(536&gt;$H$4,"",IF(INDEX('Fleet dates'!$C$9:$C$1008,$I544-8)="","",INDEX('Fleet dates'!$C$9:$C$1008,$I544-8)))</x:f>
      </x:c>
      <x:c r="D544" s="51" t="str">
        <x:f>IF(536&gt;$H$4,"",IF(INDEX('Fleet dates'!$D$9:$D$1008,$I544-8)="","",INDEX('Fleet dates'!$D$9:$D$1008,$I544-8)))</x:f>
      </x:c>
      <x:c r="E544" s="51" t="str">
        <x:f>IF(536&gt;$H$4,"",IF(INDEX('Fleet dates'!$E$9:$E$1008,$I544-8)="","",INDEX('Fleet dates'!$E$9:$E$1008,$I544-8)))</x:f>
      </x:c>
      <x:c r="F544" s="51" t="str">
        <x:f>IF(536&gt;$H$4,"",IF(INDEX('Fleet dates'!$F$9:$F$1008,$I544-8)="","",INDEX('Fleet dates'!$F$9:$F$1008,$I544-8)))</x:f>
      </x:c>
      <x:c r="G544" s="50" t="str">
        <x:f>IF(536&gt;$H$4,"",IF(INDEX('Fleet dates'!$G$9:$G$1008,$I544-8)="","",INDEX('Fleet dates'!$G$9:$G$1008,$I544-8)))</x:f>
      </x:c>
      <x:c r="H544" s="50" t="str">
        <x:f>IF(536&gt;$H$4,"",IF(INDEX('Fleet dates'!$I$9:$I$1008,$I544-8)="","",INDEX('Fleet dates'!$I$9:$I$1008,$I544-8)))</x:f>
      </x:c>
      <x:c r="I544" t="str">
        <x:f>IF(536&gt;$H$4,"",MATCH(536,'Fleet dates'!$M$9:$M$1008,0)+8)</x:f>
      </x:c>
    </x:row>
    <x:row r="545" ht="36" customHeight="1">
      <x:c r="A545" s="50" t="str">
        <x:f>IF(537&gt;$H$4,"",IF(INDEX('Fleet dates'!$A$9:$A$1008,$I545-8)="","",INDEX('Fleet dates'!$A$9:$A$1008,$I545-8)))</x:f>
      </x:c>
      <x:c r="B545" s="50" t="str">
        <x:f>IF(537&gt;$H$4,"",IF(INDEX('Fleet dates'!$B$9:$B$1008,$I545-8)="","",INDEX('Fleet dates'!$B$9:$B$1008,$I545-8)))</x:f>
      </x:c>
      <x:c r="C545" s="51" t="str">
        <x:f>IF(537&gt;$H$4,"",IF(INDEX('Fleet dates'!$C$9:$C$1008,$I545-8)="","",INDEX('Fleet dates'!$C$9:$C$1008,$I545-8)))</x:f>
      </x:c>
      <x:c r="D545" s="51" t="str">
        <x:f>IF(537&gt;$H$4,"",IF(INDEX('Fleet dates'!$D$9:$D$1008,$I545-8)="","",INDEX('Fleet dates'!$D$9:$D$1008,$I545-8)))</x:f>
      </x:c>
      <x:c r="E545" s="51" t="str">
        <x:f>IF(537&gt;$H$4,"",IF(INDEX('Fleet dates'!$E$9:$E$1008,$I545-8)="","",INDEX('Fleet dates'!$E$9:$E$1008,$I545-8)))</x:f>
      </x:c>
      <x:c r="F545" s="51" t="str">
        <x:f>IF(537&gt;$H$4,"",IF(INDEX('Fleet dates'!$F$9:$F$1008,$I545-8)="","",INDEX('Fleet dates'!$F$9:$F$1008,$I545-8)))</x:f>
      </x:c>
      <x:c r="G545" s="50" t="str">
        <x:f>IF(537&gt;$H$4,"",IF(INDEX('Fleet dates'!$G$9:$G$1008,$I545-8)="","",INDEX('Fleet dates'!$G$9:$G$1008,$I545-8)))</x:f>
      </x:c>
      <x:c r="H545" s="50" t="str">
        <x:f>IF(537&gt;$H$4,"",IF(INDEX('Fleet dates'!$I$9:$I$1008,$I545-8)="","",INDEX('Fleet dates'!$I$9:$I$1008,$I545-8)))</x:f>
      </x:c>
      <x:c r="I545" t="str">
        <x:f>IF(537&gt;$H$4,"",MATCH(537,'Fleet dates'!$M$9:$M$1008,0)+8)</x:f>
      </x:c>
    </x:row>
    <x:row r="546" ht="36" customHeight="1">
      <x:c r="A546" s="50" t="str">
        <x:f>IF(538&gt;$H$4,"",IF(INDEX('Fleet dates'!$A$9:$A$1008,$I546-8)="","",INDEX('Fleet dates'!$A$9:$A$1008,$I546-8)))</x:f>
      </x:c>
      <x:c r="B546" s="50" t="str">
        <x:f>IF(538&gt;$H$4,"",IF(INDEX('Fleet dates'!$B$9:$B$1008,$I546-8)="","",INDEX('Fleet dates'!$B$9:$B$1008,$I546-8)))</x:f>
      </x:c>
      <x:c r="C546" s="51" t="str">
        <x:f>IF(538&gt;$H$4,"",IF(INDEX('Fleet dates'!$C$9:$C$1008,$I546-8)="","",INDEX('Fleet dates'!$C$9:$C$1008,$I546-8)))</x:f>
      </x:c>
      <x:c r="D546" s="51" t="str">
        <x:f>IF(538&gt;$H$4,"",IF(INDEX('Fleet dates'!$D$9:$D$1008,$I546-8)="","",INDEX('Fleet dates'!$D$9:$D$1008,$I546-8)))</x:f>
      </x:c>
      <x:c r="E546" s="51" t="str">
        <x:f>IF(538&gt;$H$4,"",IF(INDEX('Fleet dates'!$E$9:$E$1008,$I546-8)="","",INDEX('Fleet dates'!$E$9:$E$1008,$I546-8)))</x:f>
      </x:c>
      <x:c r="F546" s="51" t="str">
        <x:f>IF(538&gt;$H$4,"",IF(INDEX('Fleet dates'!$F$9:$F$1008,$I546-8)="","",INDEX('Fleet dates'!$F$9:$F$1008,$I546-8)))</x:f>
      </x:c>
      <x:c r="G546" s="50" t="str">
        <x:f>IF(538&gt;$H$4,"",IF(INDEX('Fleet dates'!$G$9:$G$1008,$I546-8)="","",INDEX('Fleet dates'!$G$9:$G$1008,$I546-8)))</x:f>
      </x:c>
      <x:c r="H546" s="50" t="str">
        <x:f>IF(538&gt;$H$4,"",IF(INDEX('Fleet dates'!$I$9:$I$1008,$I546-8)="","",INDEX('Fleet dates'!$I$9:$I$1008,$I546-8)))</x:f>
      </x:c>
      <x:c r="I546" t="str">
        <x:f>IF(538&gt;$H$4,"",MATCH(538,'Fleet dates'!$M$9:$M$1008,0)+8)</x:f>
      </x:c>
    </x:row>
    <x:row r="547" ht="36" customHeight="1">
      <x:c r="A547" s="50" t="str">
        <x:f>IF(539&gt;$H$4,"",IF(INDEX('Fleet dates'!$A$9:$A$1008,$I547-8)="","",INDEX('Fleet dates'!$A$9:$A$1008,$I547-8)))</x:f>
      </x:c>
      <x:c r="B547" s="50" t="str">
        <x:f>IF(539&gt;$H$4,"",IF(INDEX('Fleet dates'!$B$9:$B$1008,$I547-8)="","",INDEX('Fleet dates'!$B$9:$B$1008,$I547-8)))</x:f>
      </x:c>
      <x:c r="C547" s="51" t="str">
        <x:f>IF(539&gt;$H$4,"",IF(INDEX('Fleet dates'!$C$9:$C$1008,$I547-8)="","",INDEX('Fleet dates'!$C$9:$C$1008,$I547-8)))</x:f>
      </x:c>
      <x:c r="D547" s="51" t="str">
        <x:f>IF(539&gt;$H$4,"",IF(INDEX('Fleet dates'!$D$9:$D$1008,$I547-8)="","",INDEX('Fleet dates'!$D$9:$D$1008,$I547-8)))</x:f>
      </x:c>
      <x:c r="E547" s="51" t="str">
        <x:f>IF(539&gt;$H$4,"",IF(INDEX('Fleet dates'!$E$9:$E$1008,$I547-8)="","",INDEX('Fleet dates'!$E$9:$E$1008,$I547-8)))</x:f>
      </x:c>
      <x:c r="F547" s="51" t="str">
        <x:f>IF(539&gt;$H$4,"",IF(INDEX('Fleet dates'!$F$9:$F$1008,$I547-8)="","",INDEX('Fleet dates'!$F$9:$F$1008,$I547-8)))</x:f>
      </x:c>
      <x:c r="G547" s="50" t="str">
        <x:f>IF(539&gt;$H$4,"",IF(INDEX('Fleet dates'!$G$9:$G$1008,$I547-8)="","",INDEX('Fleet dates'!$G$9:$G$1008,$I547-8)))</x:f>
      </x:c>
      <x:c r="H547" s="50" t="str">
        <x:f>IF(539&gt;$H$4,"",IF(INDEX('Fleet dates'!$I$9:$I$1008,$I547-8)="","",INDEX('Fleet dates'!$I$9:$I$1008,$I547-8)))</x:f>
      </x:c>
      <x:c r="I547" t="str">
        <x:f>IF(539&gt;$H$4,"",MATCH(539,'Fleet dates'!$M$9:$M$1008,0)+8)</x:f>
      </x:c>
    </x:row>
    <x:row r="548" ht="36" customHeight="1">
      <x:c r="A548" s="50" t="str">
        <x:f>IF(540&gt;$H$4,"",IF(INDEX('Fleet dates'!$A$9:$A$1008,$I548-8)="","",INDEX('Fleet dates'!$A$9:$A$1008,$I548-8)))</x:f>
      </x:c>
      <x:c r="B548" s="50" t="str">
        <x:f>IF(540&gt;$H$4,"",IF(INDEX('Fleet dates'!$B$9:$B$1008,$I548-8)="","",INDEX('Fleet dates'!$B$9:$B$1008,$I548-8)))</x:f>
      </x:c>
      <x:c r="C548" s="51" t="str">
        <x:f>IF(540&gt;$H$4,"",IF(INDEX('Fleet dates'!$C$9:$C$1008,$I548-8)="","",INDEX('Fleet dates'!$C$9:$C$1008,$I548-8)))</x:f>
      </x:c>
      <x:c r="D548" s="51" t="str">
        <x:f>IF(540&gt;$H$4,"",IF(INDEX('Fleet dates'!$D$9:$D$1008,$I548-8)="","",INDEX('Fleet dates'!$D$9:$D$1008,$I548-8)))</x:f>
      </x:c>
      <x:c r="E548" s="51" t="str">
        <x:f>IF(540&gt;$H$4,"",IF(INDEX('Fleet dates'!$E$9:$E$1008,$I548-8)="","",INDEX('Fleet dates'!$E$9:$E$1008,$I548-8)))</x:f>
      </x:c>
      <x:c r="F548" s="51" t="str">
        <x:f>IF(540&gt;$H$4,"",IF(INDEX('Fleet dates'!$F$9:$F$1008,$I548-8)="","",INDEX('Fleet dates'!$F$9:$F$1008,$I548-8)))</x:f>
      </x:c>
      <x:c r="G548" s="50" t="str">
        <x:f>IF(540&gt;$H$4,"",IF(INDEX('Fleet dates'!$G$9:$G$1008,$I548-8)="","",INDEX('Fleet dates'!$G$9:$G$1008,$I548-8)))</x:f>
      </x:c>
      <x:c r="H548" s="50" t="str">
        <x:f>IF(540&gt;$H$4,"",IF(INDEX('Fleet dates'!$I$9:$I$1008,$I548-8)="","",INDEX('Fleet dates'!$I$9:$I$1008,$I548-8)))</x:f>
      </x:c>
      <x:c r="I548" t="str">
        <x:f>IF(540&gt;$H$4,"",MATCH(540,'Fleet dates'!$M$9:$M$1008,0)+8)</x:f>
      </x:c>
    </x:row>
    <x:row r="549" ht="36" customHeight="1">
      <x:c r="A549" s="50" t="str">
        <x:f>IF(541&gt;$H$4,"",IF(INDEX('Fleet dates'!$A$9:$A$1008,$I549-8)="","",INDEX('Fleet dates'!$A$9:$A$1008,$I549-8)))</x:f>
      </x:c>
      <x:c r="B549" s="50" t="str">
        <x:f>IF(541&gt;$H$4,"",IF(INDEX('Fleet dates'!$B$9:$B$1008,$I549-8)="","",INDEX('Fleet dates'!$B$9:$B$1008,$I549-8)))</x:f>
      </x:c>
      <x:c r="C549" s="51" t="str">
        <x:f>IF(541&gt;$H$4,"",IF(INDEX('Fleet dates'!$C$9:$C$1008,$I549-8)="","",INDEX('Fleet dates'!$C$9:$C$1008,$I549-8)))</x:f>
      </x:c>
      <x:c r="D549" s="51" t="str">
        <x:f>IF(541&gt;$H$4,"",IF(INDEX('Fleet dates'!$D$9:$D$1008,$I549-8)="","",INDEX('Fleet dates'!$D$9:$D$1008,$I549-8)))</x:f>
      </x:c>
      <x:c r="E549" s="51" t="str">
        <x:f>IF(541&gt;$H$4,"",IF(INDEX('Fleet dates'!$E$9:$E$1008,$I549-8)="","",INDEX('Fleet dates'!$E$9:$E$1008,$I549-8)))</x:f>
      </x:c>
      <x:c r="F549" s="51" t="str">
        <x:f>IF(541&gt;$H$4,"",IF(INDEX('Fleet dates'!$F$9:$F$1008,$I549-8)="","",INDEX('Fleet dates'!$F$9:$F$1008,$I549-8)))</x:f>
      </x:c>
      <x:c r="G549" s="50" t="str">
        <x:f>IF(541&gt;$H$4,"",IF(INDEX('Fleet dates'!$G$9:$G$1008,$I549-8)="","",INDEX('Fleet dates'!$G$9:$G$1008,$I549-8)))</x:f>
      </x:c>
      <x:c r="H549" s="50" t="str">
        <x:f>IF(541&gt;$H$4,"",IF(INDEX('Fleet dates'!$I$9:$I$1008,$I549-8)="","",INDEX('Fleet dates'!$I$9:$I$1008,$I549-8)))</x:f>
      </x:c>
      <x:c r="I549" t="str">
        <x:f>IF(541&gt;$H$4,"",MATCH(541,'Fleet dates'!$M$9:$M$1008,0)+8)</x:f>
      </x:c>
    </x:row>
    <x:row r="550" ht="36" customHeight="1">
      <x:c r="A550" s="50" t="str">
        <x:f>IF(542&gt;$H$4,"",IF(INDEX('Fleet dates'!$A$9:$A$1008,$I550-8)="","",INDEX('Fleet dates'!$A$9:$A$1008,$I550-8)))</x:f>
      </x:c>
      <x:c r="B550" s="50" t="str">
        <x:f>IF(542&gt;$H$4,"",IF(INDEX('Fleet dates'!$B$9:$B$1008,$I550-8)="","",INDEX('Fleet dates'!$B$9:$B$1008,$I550-8)))</x:f>
      </x:c>
      <x:c r="C550" s="51" t="str">
        <x:f>IF(542&gt;$H$4,"",IF(INDEX('Fleet dates'!$C$9:$C$1008,$I550-8)="","",INDEX('Fleet dates'!$C$9:$C$1008,$I550-8)))</x:f>
      </x:c>
      <x:c r="D550" s="51" t="str">
        <x:f>IF(542&gt;$H$4,"",IF(INDEX('Fleet dates'!$D$9:$D$1008,$I550-8)="","",INDEX('Fleet dates'!$D$9:$D$1008,$I550-8)))</x:f>
      </x:c>
      <x:c r="E550" s="51" t="str">
        <x:f>IF(542&gt;$H$4,"",IF(INDEX('Fleet dates'!$E$9:$E$1008,$I550-8)="","",INDEX('Fleet dates'!$E$9:$E$1008,$I550-8)))</x:f>
      </x:c>
      <x:c r="F550" s="51" t="str">
        <x:f>IF(542&gt;$H$4,"",IF(INDEX('Fleet dates'!$F$9:$F$1008,$I550-8)="","",INDEX('Fleet dates'!$F$9:$F$1008,$I550-8)))</x:f>
      </x:c>
      <x:c r="G550" s="50" t="str">
        <x:f>IF(542&gt;$H$4,"",IF(INDEX('Fleet dates'!$G$9:$G$1008,$I550-8)="","",INDEX('Fleet dates'!$G$9:$G$1008,$I550-8)))</x:f>
      </x:c>
      <x:c r="H550" s="50" t="str">
        <x:f>IF(542&gt;$H$4,"",IF(INDEX('Fleet dates'!$I$9:$I$1008,$I550-8)="","",INDEX('Fleet dates'!$I$9:$I$1008,$I550-8)))</x:f>
      </x:c>
      <x:c r="I550" t="str">
        <x:f>IF(542&gt;$H$4,"",MATCH(542,'Fleet dates'!$M$9:$M$1008,0)+8)</x:f>
      </x:c>
    </x:row>
    <x:row r="551" ht="36" customHeight="1">
      <x:c r="A551" s="50" t="str">
        <x:f>IF(543&gt;$H$4,"",IF(INDEX('Fleet dates'!$A$9:$A$1008,$I551-8)="","",INDEX('Fleet dates'!$A$9:$A$1008,$I551-8)))</x:f>
      </x:c>
      <x:c r="B551" s="50" t="str">
        <x:f>IF(543&gt;$H$4,"",IF(INDEX('Fleet dates'!$B$9:$B$1008,$I551-8)="","",INDEX('Fleet dates'!$B$9:$B$1008,$I551-8)))</x:f>
      </x:c>
      <x:c r="C551" s="51" t="str">
        <x:f>IF(543&gt;$H$4,"",IF(INDEX('Fleet dates'!$C$9:$C$1008,$I551-8)="","",INDEX('Fleet dates'!$C$9:$C$1008,$I551-8)))</x:f>
      </x:c>
      <x:c r="D551" s="51" t="str">
        <x:f>IF(543&gt;$H$4,"",IF(INDEX('Fleet dates'!$D$9:$D$1008,$I551-8)="","",INDEX('Fleet dates'!$D$9:$D$1008,$I551-8)))</x:f>
      </x:c>
      <x:c r="E551" s="51" t="str">
        <x:f>IF(543&gt;$H$4,"",IF(INDEX('Fleet dates'!$E$9:$E$1008,$I551-8)="","",INDEX('Fleet dates'!$E$9:$E$1008,$I551-8)))</x:f>
      </x:c>
      <x:c r="F551" s="51" t="str">
        <x:f>IF(543&gt;$H$4,"",IF(INDEX('Fleet dates'!$F$9:$F$1008,$I551-8)="","",INDEX('Fleet dates'!$F$9:$F$1008,$I551-8)))</x:f>
      </x:c>
      <x:c r="G551" s="50" t="str">
        <x:f>IF(543&gt;$H$4,"",IF(INDEX('Fleet dates'!$G$9:$G$1008,$I551-8)="","",INDEX('Fleet dates'!$G$9:$G$1008,$I551-8)))</x:f>
      </x:c>
      <x:c r="H551" s="50" t="str">
        <x:f>IF(543&gt;$H$4,"",IF(INDEX('Fleet dates'!$I$9:$I$1008,$I551-8)="","",INDEX('Fleet dates'!$I$9:$I$1008,$I551-8)))</x:f>
      </x:c>
      <x:c r="I551" t="str">
        <x:f>IF(543&gt;$H$4,"",MATCH(543,'Fleet dates'!$M$9:$M$1008,0)+8)</x:f>
      </x:c>
    </x:row>
    <x:row r="552" ht="36" customHeight="1">
      <x:c r="A552" s="50" t="str">
        <x:f>IF(544&gt;$H$4,"",IF(INDEX('Fleet dates'!$A$9:$A$1008,$I552-8)="","",INDEX('Fleet dates'!$A$9:$A$1008,$I552-8)))</x:f>
      </x:c>
      <x:c r="B552" s="50" t="str">
        <x:f>IF(544&gt;$H$4,"",IF(INDEX('Fleet dates'!$B$9:$B$1008,$I552-8)="","",INDEX('Fleet dates'!$B$9:$B$1008,$I552-8)))</x:f>
      </x:c>
      <x:c r="C552" s="51" t="str">
        <x:f>IF(544&gt;$H$4,"",IF(INDEX('Fleet dates'!$C$9:$C$1008,$I552-8)="","",INDEX('Fleet dates'!$C$9:$C$1008,$I552-8)))</x:f>
      </x:c>
      <x:c r="D552" s="51" t="str">
        <x:f>IF(544&gt;$H$4,"",IF(INDEX('Fleet dates'!$D$9:$D$1008,$I552-8)="","",INDEX('Fleet dates'!$D$9:$D$1008,$I552-8)))</x:f>
      </x:c>
      <x:c r="E552" s="51" t="str">
        <x:f>IF(544&gt;$H$4,"",IF(INDEX('Fleet dates'!$E$9:$E$1008,$I552-8)="","",INDEX('Fleet dates'!$E$9:$E$1008,$I552-8)))</x:f>
      </x:c>
      <x:c r="F552" s="51" t="str">
        <x:f>IF(544&gt;$H$4,"",IF(INDEX('Fleet dates'!$F$9:$F$1008,$I552-8)="","",INDEX('Fleet dates'!$F$9:$F$1008,$I552-8)))</x:f>
      </x:c>
      <x:c r="G552" s="50" t="str">
        <x:f>IF(544&gt;$H$4,"",IF(INDEX('Fleet dates'!$G$9:$G$1008,$I552-8)="","",INDEX('Fleet dates'!$G$9:$G$1008,$I552-8)))</x:f>
      </x:c>
      <x:c r="H552" s="50" t="str">
        <x:f>IF(544&gt;$H$4,"",IF(INDEX('Fleet dates'!$I$9:$I$1008,$I552-8)="","",INDEX('Fleet dates'!$I$9:$I$1008,$I552-8)))</x:f>
      </x:c>
      <x:c r="I552" t="str">
        <x:f>IF(544&gt;$H$4,"",MATCH(544,'Fleet dates'!$M$9:$M$1008,0)+8)</x:f>
      </x:c>
    </x:row>
    <x:row r="553" ht="36" customHeight="1">
      <x:c r="A553" s="50" t="str">
        <x:f>IF(545&gt;$H$4,"",IF(INDEX('Fleet dates'!$A$9:$A$1008,$I553-8)="","",INDEX('Fleet dates'!$A$9:$A$1008,$I553-8)))</x:f>
      </x:c>
      <x:c r="B553" s="50" t="str">
        <x:f>IF(545&gt;$H$4,"",IF(INDEX('Fleet dates'!$B$9:$B$1008,$I553-8)="","",INDEX('Fleet dates'!$B$9:$B$1008,$I553-8)))</x:f>
      </x:c>
      <x:c r="C553" s="51" t="str">
        <x:f>IF(545&gt;$H$4,"",IF(INDEX('Fleet dates'!$C$9:$C$1008,$I553-8)="","",INDEX('Fleet dates'!$C$9:$C$1008,$I553-8)))</x:f>
      </x:c>
      <x:c r="D553" s="51" t="str">
        <x:f>IF(545&gt;$H$4,"",IF(INDEX('Fleet dates'!$D$9:$D$1008,$I553-8)="","",INDEX('Fleet dates'!$D$9:$D$1008,$I553-8)))</x:f>
      </x:c>
      <x:c r="E553" s="51" t="str">
        <x:f>IF(545&gt;$H$4,"",IF(INDEX('Fleet dates'!$E$9:$E$1008,$I553-8)="","",INDEX('Fleet dates'!$E$9:$E$1008,$I553-8)))</x:f>
      </x:c>
      <x:c r="F553" s="51" t="str">
        <x:f>IF(545&gt;$H$4,"",IF(INDEX('Fleet dates'!$F$9:$F$1008,$I553-8)="","",INDEX('Fleet dates'!$F$9:$F$1008,$I553-8)))</x:f>
      </x:c>
      <x:c r="G553" s="50" t="str">
        <x:f>IF(545&gt;$H$4,"",IF(INDEX('Fleet dates'!$G$9:$G$1008,$I553-8)="","",INDEX('Fleet dates'!$G$9:$G$1008,$I553-8)))</x:f>
      </x:c>
      <x:c r="H553" s="50" t="str">
        <x:f>IF(545&gt;$H$4,"",IF(INDEX('Fleet dates'!$I$9:$I$1008,$I553-8)="","",INDEX('Fleet dates'!$I$9:$I$1008,$I553-8)))</x:f>
      </x:c>
      <x:c r="I553" t="str">
        <x:f>IF(545&gt;$H$4,"",MATCH(545,'Fleet dates'!$M$9:$M$1008,0)+8)</x:f>
      </x:c>
    </x:row>
    <x:row r="554" ht="36" customHeight="1">
      <x:c r="A554" s="50" t="str">
        <x:f>IF(546&gt;$H$4,"",IF(INDEX('Fleet dates'!$A$9:$A$1008,$I554-8)="","",INDEX('Fleet dates'!$A$9:$A$1008,$I554-8)))</x:f>
      </x:c>
      <x:c r="B554" s="50" t="str">
        <x:f>IF(546&gt;$H$4,"",IF(INDEX('Fleet dates'!$B$9:$B$1008,$I554-8)="","",INDEX('Fleet dates'!$B$9:$B$1008,$I554-8)))</x:f>
      </x:c>
      <x:c r="C554" s="51" t="str">
        <x:f>IF(546&gt;$H$4,"",IF(INDEX('Fleet dates'!$C$9:$C$1008,$I554-8)="","",INDEX('Fleet dates'!$C$9:$C$1008,$I554-8)))</x:f>
      </x:c>
      <x:c r="D554" s="51" t="str">
        <x:f>IF(546&gt;$H$4,"",IF(INDEX('Fleet dates'!$D$9:$D$1008,$I554-8)="","",INDEX('Fleet dates'!$D$9:$D$1008,$I554-8)))</x:f>
      </x:c>
      <x:c r="E554" s="51" t="str">
        <x:f>IF(546&gt;$H$4,"",IF(INDEX('Fleet dates'!$E$9:$E$1008,$I554-8)="","",INDEX('Fleet dates'!$E$9:$E$1008,$I554-8)))</x:f>
      </x:c>
      <x:c r="F554" s="51" t="str">
        <x:f>IF(546&gt;$H$4,"",IF(INDEX('Fleet dates'!$F$9:$F$1008,$I554-8)="","",INDEX('Fleet dates'!$F$9:$F$1008,$I554-8)))</x:f>
      </x:c>
      <x:c r="G554" s="50" t="str">
        <x:f>IF(546&gt;$H$4,"",IF(INDEX('Fleet dates'!$G$9:$G$1008,$I554-8)="","",INDEX('Fleet dates'!$G$9:$G$1008,$I554-8)))</x:f>
      </x:c>
      <x:c r="H554" s="50" t="str">
        <x:f>IF(546&gt;$H$4,"",IF(INDEX('Fleet dates'!$I$9:$I$1008,$I554-8)="","",INDEX('Fleet dates'!$I$9:$I$1008,$I554-8)))</x:f>
      </x:c>
      <x:c r="I554" t="str">
        <x:f>IF(546&gt;$H$4,"",MATCH(546,'Fleet dates'!$M$9:$M$1008,0)+8)</x:f>
      </x:c>
    </x:row>
    <x:row r="555" ht="36" customHeight="1">
      <x:c r="A555" s="50" t="str">
        <x:f>IF(547&gt;$H$4,"",IF(INDEX('Fleet dates'!$A$9:$A$1008,$I555-8)="","",INDEX('Fleet dates'!$A$9:$A$1008,$I555-8)))</x:f>
      </x:c>
      <x:c r="B555" s="50" t="str">
        <x:f>IF(547&gt;$H$4,"",IF(INDEX('Fleet dates'!$B$9:$B$1008,$I555-8)="","",INDEX('Fleet dates'!$B$9:$B$1008,$I555-8)))</x:f>
      </x:c>
      <x:c r="C555" s="51" t="str">
        <x:f>IF(547&gt;$H$4,"",IF(INDEX('Fleet dates'!$C$9:$C$1008,$I555-8)="","",INDEX('Fleet dates'!$C$9:$C$1008,$I555-8)))</x:f>
      </x:c>
      <x:c r="D555" s="51" t="str">
        <x:f>IF(547&gt;$H$4,"",IF(INDEX('Fleet dates'!$D$9:$D$1008,$I555-8)="","",INDEX('Fleet dates'!$D$9:$D$1008,$I555-8)))</x:f>
      </x:c>
      <x:c r="E555" s="51" t="str">
        <x:f>IF(547&gt;$H$4,"",IF(INDEX('Fleet dates'!$E$9:$E$1008,$I555-8)="","",INDEX('Fleet dates'!$E$9:$E$1008,$I555-8)))</x:f>
      </x:c>
      <x:c r="F555" s="51" t="str">
        <x:f>IF(547&gt;$H$4,"",IF(INDEX('Fleet dates'!$F$9:$F$1008,$I555-8)="","",INDEX('Fleet dates'!$F$9:$F$1008,$I555-8)))</x:f>
      </x:c>
      <x:c r="G555" s="50" t="str">
        <x:f>IF(547&gt;$H$4,"",IF(INDEX('Fleet dates'!$G$9:$G$1008,$I555-8)="","",INDEX('Fleet dates'!$G$9:$G$1008,$I555-8)))</x:f>
      </x:c>
      <x:c r="H555" s="50" t="str">
        <x:f>IF(547&gt;$H$4,"",IF(INDEX('Fleet dates'!$I$9:$I$1008,$I555-8)="","",INDEX('Fleet dates'!$I$9:$I$1008,$I555-8)))</x:f>
      </x:c>
      <x:c r="I555" t="str">
        <x:f>IF(547&gt;$H$4,"",MATCH(547,'Fleet dates'!$M$9:$M$1008,0)+8)</x:f>
      </x:c>
    </x:row>
    <x:row r="556" ht="36" customHeight="1">
      <x:c r="A556" s="50" t="str">
        <x:f>IF(548&gt;$H$4,"",IF(INDEX('Fleet dates'!$A$9:$A$1008,$I556-8)="","",INDEX('Fleet dates'!$A$9:$A$1008,$I556-8)))</x:f>
      </x:c>
      <x:c r="B556" s="50" t="str">
        <x:f>IF(548&gt;$H$4,"",IF(INDEX('Fleet dates'!$B$9:$B$1008,$I556-8)="","",INDEX('Fleet dates'!$B$9:$B$1008,$I556-8)))</x:f>
      </x:c>
      <x:c r="C556" s="51" t="str">
        <x:f>IF(548&gt;$H$4,"",IF(INDEX('Fleet dates'!$C$9:$C$1008,$I556-8)="","",INDEX('Fleet dates'!$C$9:$C$1008,$I556-8)))</x:f>
      </x:c>
      <x:c r="D556" s="51" t="str">
        <x:f>IF(548&gt;$H$4,"",IF(INDEX('Fleet dates'!$D$9:$D$1008,$I556-8)="","",INDEX('Fleet dates'!$D$9:$D$1008,$I556-8)))</x:f>
      </x:c>
      <x:c r="E556" s="51" t="str">
        <x:f>IF(548&gt;$H$4,"",IF(INDEX('Fleet dates'!$E$9:$E$1008,$I556-8)="","",INDEX('Fleet dates'!$E$9:$E$1008,$I556-8)))</x:f>
      </x:c>
      <x:c r="F556" s="51" t="str">
        <x:f>IF(548&gt;$H$4,"",IF(INDEX('Fleet dates'!$F$9:$F$1008,$I556-8)="","",INDEX('Fleet dates'!$F$9:$F$1008,$I556-8)))</x:f>
      </x:c>
      <x:c r="G556" s="50" t="str">
        <x:f>IF(548&gt;$H$4,"",IF(INDEX('Fleet dates'!$G$9:$G$1008,$I556-8)="","",INDEX('Fleet dates'!$G$9:$G$1008,$I556-8)))</x:f>
      </x:c>
      <x:c r="H556" s="50" t="str">
        <x:f>IF(548&gt;$H$4,"",IF(INDEX('Fleet dates'!$I$9:$I$1008,$I556-8)="","",INDEX('Fleet dates'!$I$9:$I$1008,$I556-8)))</x:f>
      </x:c>
      <x:c r="I556" t="str">
        <x:f>IF(548&gt;$H$4,"",MATCH(548,'Fleet dates'!$M$9:$M$1008,0)+8)</x:f>
      </x:c>
    </x:row>
    <x:row r="557" ht="36" customHeight="1">
      <x:c r="A557" s="50" t="str">
        <x:f>IF(549&gt;$H$4,"",IF(INDEX('Fleet dates'!$A$9:$A$1008,$I557-8)="","",INDEX('Fleet dates'!$A$9:$A$1008,$I557-8)))</x:f>
      </x:c>
      <x:c r="B557" s="50" t="str">
        <x:f>IF(549&gt;$H$4,"",IF(INDEX('Fleet dates'!$B$9:$B$1008,$I557-8)="","",INDEX('Fleet dates'!$B$9:$B$1008,$I557-8)))</x:f>
      </x:c>
      <x:c r="C557" s="51" t="str">
        <x:f>IF(549&gt;$H$4,"",IF(INDEX('Fleet dates'!$C$9:$C$1008,$I557-8)="","",INDEX('Fleet dates'!$C$9:$C$1008,$I557-8)))</x:f>
      </x:c>
      <x:c r="D557" s="51" t="str">
        <x:f>IF(549&gt;$H$4,"",IF(INDEX('Fleet dates'!$D$9:$D$1008,$I557-8)="","",INDEX('Fleet dates'!$D$9:$D$1008,$I557-8)))</x:f>
      </x:c>
      <x:c r="E557" s="51" t="str">
        <x:f>IF(549&gt;$H$4,"",IF(INDEX('Fleet dates'!$E$9:$E$1008,$I557-8)="","",INDEX('Fleet dates'!$E$9:$E$1008,$I557-8)))</x:f>
      </x:c>
      <x:c r="F557" s="51" t="str">
        <x:f>IF(549&gt;$H$4,"",IF(INDEX('Fleet dates'!$F$9:$F$1008,$I557-8)="","",INDEX('Fleet dates'!$F$9:$F$1008,$I557-8)))</x:f>
      </x:c>
      <x:c r="G557" s="50" t="str">
        <x:f>IF(549&gt;$H$4,"",IF(INDEX('Fleet dates'!$G$9:$G$1008,$I557-8)="","",INDEX('Fleet dates'!$G$9:$G$1008,$I557-8)))</x:f>
      </x:c>
      <x:c r="H557" s="50" t="str">
        <x:f>IF(549&gt;$H$4,"",IF(INDEX('Fleet dates'!$I$9:$I$1008,$I557-8)="","",INDEX('Fleet dates'!$I$9:$I$1008,$I557-8)))</x:f>
      </x:c>
      <x:c r="I557" t="str">
        <x:f>IF(549&gt;$H$4,"",MATCH(549,'Fleet dates'!$M$9:$M$1008,0)+8)</x:f>
      </x:c>
    </x:row>
    <x:row r="558" ht="36" customHeight="1">
      <x:c r="A558" s="50" t="str">
        <x:f>IF(550&gt;$H$4,"",IF(INDEX('Fleet dates'!$A$9:$A$1008,$I558-8)="","",INDEX('Fleet dates'!$A$9:$A$1008,$I558-8)))</x:f>
      </x:c>
      <x:c r="B558" s="50" t="str">
        <x:f>IF(550&gt;$H$4,"",IF(INDEX('Fleet dates'!$B$9:$B$1008,$I558-8)="","",INDEX('Fleet dates'!$B$9:$B$1008,$I558-8)))</x:f>
      </x:c>
      <x:c r="C558" s="51" t="str">
        <x:f>IF(550&gt;$H$4,"",IF(INDEX('Fleet dates'!$C$9:$C$1008,$I558-8)="","",INDEX('Fleet dates'!$C$9:$C$1008,$I558-8)))</x:f>
      </x:c>
      <x:c r="D558" s="51" t="str">
        <x:f>IF(550&gt;$H$4,"",IF(INDEX('Fleet dates'!$D$9:$D$1008,$I558-8)="","",INDEX('Fleet dates'!$D$9:$D$1008,$I558-8)))</x:f>
      </x:c>
      <x:c r="E558" s="51" t="str">
        <x:f>IF(550&gt;$H$4,"",IF(INDEX('Fleet dates'!$E$9:$E$1008,$I558-8)="","",INDEX('Fleet dates'!$E$9:$E$1008,$I558-8)))</x:f>
      </x:c>
      <x:c r="F558" s="51" t="str">
        <x:f>IF(550&gt;$H$4,"",IF(INDEX('Fleet dates'!$F$9:$F$1008,$I558-8)="","",INDEX('Fleet dates'!$F$9:$F$1008,$I558-8)))</x:f>
      </x:c>
      <x:c r="G558" s="50" t="str">
        <x:f>IF(550&gt;$H$4,"",IF(INDEX('Fleet dates'!$G$9:$G$1008,$I558-8)="","",INDEX('Fleet dates'!$G$9:$G$1008,$I558-8)))</x:f>
      </x:c>
      <x:c r="H558" s="50" t="str">
        <x:f>IF(550&gt;$H$4,"",IF(INDEX('Fleet dates'!$I$9:$I$1008,$I558-8)="","",INDEX('Fleet dates'!$I$9:$I$1008,$I558-8)))</x:f>
      </x:c>
      <x:c r="I558" t="str">
        <x:f>IF(550&gt;$H$4,"",MATCH(550,'Fleet dates'!$M$9:$M$1008,0)+8)</x:f>
      </x:c>
    </x:row>
    <x:row r="559" ht="36" customHeight="1">
      <x:c r="A559" s="50" t="str">
        <x:f>IF(551&gt;$H$4,"",IF(INDEX('Fleet dates'!$A$9:$A$1008,$I559-8)="","",INDEX('Fleet dates'!$A$9:$A$1008,$I559-8)))</x:f>
      </x:c>
      <x:c r="B559" s="50" t="str">
        <x:f>IF(551&gt;$H$4,"",IF(INDEX('Fleet dates'!$B$9:$B$1008,$I559-8)="","",INDEX('Fleet dates'!$B$9:$B$1008,$I559-8)))</x:f>
      </x:c>
      <x:c r="C559" s="51" t="str">
        <x:f>IF(551&gt;$H$4,"",IF(INDEX('Fleet dates'!$C$9:$C$1008,$I559-8)="","",INDEX('Fleet dates'!$C$9:$C$1008,$I559-8)))</x:f>
      </x:c>
      <x:c r="D559" s="51" t="str">
        <x:f>IF(551&gt;$H$4,"",IF(INDEX('Fleet dates'!$D$9:$D$1008,$I559-8)="","",INDEX('Fleet dates'!$D$9:$D$1008,$I559-8)))</x:f>
      </x:c>
      <x:c r="E559" s="51" t="str">
        <x:f>IF(551&gt;$H$4,"",IF(INDEX('Fleet dates'!$E$9:$E$1008,$I559-8)="","",INDEX('Fleet dates'!$E$9:$E$1008,$I559-8)))</x:f>
      </x:c>
      <x:c r="F559" s="51" t="str">
        <x:f>IF(551&gt;$H$4,"",IF(INDEX('Fleet dates'!$F$9:$F$1008,$I559-8)="","",INDEX('Fleet dates'!$F$9:$F$1008,$I559-8)))</x:f>
      </x:c>
      <x:c r="G559" s="50" t="str">
        <x:f>IF(551&gt;$H$4,"",IF(INDEX('Fleet dates'!$G$9:$G$1008,$I559-8)="","",INDEX('Fleet dates'!$G$9:$G$1008,$I559-8)))</x:f>
      </x:c>
      <x:c r="H559" s="50" t="str">
        <x:f>IF(551&gt;$H$4,"",IF(INDEX('Fleet dates'!$I$9:$I$1008,$I559-8)="","",INDEX('Fleet dates'!$I$9:$I$1008,$I559-8)))</x:f>
      </x:c>
      <x:c r="I559" t="str">
        <x:f>IF(551&gt;$H$4,"",MATCH(551,'Fleet dates'!$M$9:$M$1008,0)+8)</x:f>
      </x:c>
    </x:row>
    <x:row r="560" ht="36" customHeight="1">
      <x:c r="A560" s="50" t="str">
        <x:f>IF(552&gt;$H$4,"",IF(INDEX('Fleet dates'!$A$9:$A$1008,$I560-8)="","",INDEX('Fleet dates'!$A$9:$A$1008,$I560-8)))</x:f>
      </x:c>
      <x:c r="B560" s="50" t="str">
        <x:f>IF(552&gt;$H$4,"",IF(INDEX('Fleet dates'!$B$9:$B$1008,$I560-8)="","",INDEX('Fleet dates'!$B$9:$B$1008,$I560-8)))</x:f>
      </x:c>
      <x:c r="C560" s="51" t="str">
        <x:f>IF(552&gt;$H$4,"",IF(INDEX('Fleet dates'!$C$9:$C$1008,$I560-8)="","",INDEX('Fleet dates'!$C$9:$C$1008,$I560-8)))</x:f>
      </x:c>
      <x:c r="D560" s="51" t="str">
        <x:f>IF(552&gt;$H$4,"",IF(INDEX('Fleet dates'!$D$9:$D$1008,$I560-8)="","",INDEX('Fleet dates'!$D$9:$D$1008,$I560-8)))</x:f>
      </x:c>
      <x:c r="E560" s="51" t="str">
        <x:f>IF(552&gt;$H$4,"",IF(INDEX('Fleet dates'!$E$9:$E$1008,$I560-8)="","",INDEX('Fleet dates'!$E$9:$E$1008,$I560-8)))</x:f>
      </x:c>
      <x:c r="F560" s="51" t="str">
        <x:f>IF(552&gt;$H$4,"",IF(INDEX('Fleet dates'!$F$9:$F$1008,$I560-8)="","",INDEX('Fleet dates'!$F$9:$F$1008,$I560-8)))</x:f>
      </x:c>
      <x:c r="G560" s="50" t="str">
        <x:f>IF(552&gt;$H$4,"",IF(INDEX('Fleet dates'!$G$9:$G$1008,$I560-8)="","",INDEX('Fleet dates'!$G$9:$G$1008,$I560-8)))</x:f>
      </x:c>
      <x:c r="H560" s="50" t="str">
        <x:f>IF(552&gt;$H$4,"",IF(INDEX('Fleet dates'!$I$9:$I$1008,$I560-8)="","",INDEX('Fleet dates'!$I$9:$I$1008,$I560-8)))</x:f>
      </x:c>
      <x:c r="I560" t="str">
        <x:f>IF(552&gt;$H$4,"",MATCH(552,'Fleet dates'!$M$9:$M$1008,0)+8)</x:f>
      </x:c>
    </x:row>
    <x:row r="561" ht="36" customHeight="1">
      <x:c r="A561" s="50" t="str">
        <x:f>IF(553&gt;$H$4,"",IF(INDEX('Fleet dates'!$A$9:$A$1008,$I561-8)="","",INDEX('Fleet dates'!$A$9:$A$1008,$I561-8)))</x:f>
      </x:c>
      <x:c r="B561" s="50" t="str">
        <x:f>IF(553&gt;$H$4,"",IF(INDEX('Fleet dates'!$B$9:$B$1008,$I561-8)="","",INDEX('Fleet dates'!$B$9:$B$1008,$I561-8)))</x:f>
      </x:c>
      <x:c r="C561" s="51" t="str">
        <x:f>IF(553&gt;$H$4,"",IF(INDEX('Fleet dates'!$C$9:$C$1008,$I561-8)="","",INDEX('Fleet dates'!$C$9:$C$1008,$I561-8)))</x:f>
      </x:c>
      <x:c r="D561" s="51" t="str">
        <x:f>IF(553&gt;$H$4,"",IF(INDEX('Fleet dates'!$D$9:$D$1008,$I561-8)="","",INDEX('Fleet dates'!$D$9:$D$1008,$I561-8)))</x:f>
      </x:c>
      <x:c r="E561" s="51" t="str">
        <x:f>IF(553&gt;$H$4,"",IF(INDEX('Fleet dates'!$E$9:$E$1008,$I561-8)="","",INDEX('Fleet dates'!$E$9:$E$1008,$I561-8)))</x:f>
      </x:c>
      <x:c r="F561" s="51" t="str">
        <x:f>IF(553&gt;$H$4,"",IF(INDEX('Fleet dates'!$F$9:$F$1008,$I561-8)="","",INDEX('Fleet dates'!$F$9:$F$1008,$I561-8)))</x:f>
      </x:c>
      <x:c r="G561" s="50" t="str">
        <x:f>IF(553&gt;$H$4,"",IF(INDEX('Fleet dates'!$G$9:$G$1008,$I561-8)="","",INDEX('Fleet dates'!$G$9:$G$1008,$I561-8)))</x:f>
      </x:c>
      <x:c r="H561" s="50" t="str">
        <x:f>IF(553&gt;$H$4,"",IF(INDEX('Fleet dates'!$I$9:$I$1008,$I561-8)="","",INDEX('Fleet dates'!$I$9:$I$1008,$I561-8)))</x:f>
      </x:c>
      <x:c r="I561" t="str">
        <x:f>IF(553&gt;$H$4,"",MATCH(553,'Fleet dates'!$M$9:$M$1008,0)+8)</x:f>
      </x:c>
    </x:row>
    <x:row r="562" ht="36" customHeight="1">
      <x:c r="A562" s="50" t="str">
        <x:f>IF(554&gt;$H$4,"",IF(INDEX('Fleet dates'!$A$9:$A$1008,$I562-8)="","",INDEX('Fleet dates'!$A$9:$A$1008,$I562-8)))</x:f>
      </x:c>
      <x:c r="B562" s="50" t="str">
        <x:f>IF(554&gt;$H$4,"",IF(INDEX('Fleet dates'!$B$9:$B$1008,$I562-8)="","",INDEX('Fleet dates'!$B$9:$B$1008,$I562-8)))</x:f>
      </x:c>
      <x:c r="C562" s="51" t="str">
        <x:f>IF(554&gt;$H$4,"",IF(INDEX('Fleet dates'!$C$9:$C$1008,$I562-8)="","",INDEX('Fleet dates'!$C$9:$C$1008,$I562-8)))</x:f>
      </x:c>
      <x:c r="D562" s="51" t="str">
        <x:f>IF(554&gt;$H$4,"",IF(INDEX('Fleet dates'!$D$9:$D$1008,$I562-8)="","",INDEX('Fleet dates'!$D$9:$D$1008,$I562-8)))</x:f>
      </x:c>
      <x:c r="E562" s="51" t="str">
        <x:f>IF(554&gt;$H$4,"",IF(INDEX('Fleet dates'!$E$9:$E$1008,$I562-8)="","",INDEX('Fleet dates'!$E$9:$E$1008,$I562-8)))</x:f>
      </x:c>
      <x:c r="F562" s="51" t="str">
        <x:f>IF(554&gt;$H$4,"",IF(INDEX('Fleet dates'!$F$9:$F$1008,$I562-8)="","",INDEX('Fleet dates'!$F$9:$F$1008,$I562-8)))</x:f>
      </x:c>
      <x:c r="G562" s="50" t="str">
        <x:f>IF(554&gt;$H$4,"",IF(INDEX('Fleet dates'!$G$9:$G$1008,$I562-8)="","",INDEX('Fleet dates'!$G$9:$G$1008,$I562-8)))</x:f>
      </x:c>
      <x:c r="H562" s="50" t="str">
        <x:f>IF(554&gt;$H$4,"",IF(INDEX('Fleet dates'!$I$9:$I$1008,$I562-8)="","",INDEX('Fleet dates'!$I$9:$I$1008,$I562-8)))</x:f>
      </x:c>
      <x:c r="I562" t="str">
        <x:f>IF(554&gt;$H$4,"",MATCH(554,'Fleet dates'!$M$9:$M$1008,0)+8)</x:f>
      </x:c>
    </x:row>
    <x:row r="563" ht="36" customHeight="1">
      <x:c r="A563" s="50" t="str">
        <x:f>IF(555&gt;$H$4,"",IF(INDEX('Fleet dates'!$A$9:$A$1008,$I563-8)="","",INDEX('Fleet dates'!$A$9:$A$1008,$I563-8)))</x:f>
      </x:c>
      <x:c r="B563" s="50" t="str">
        <x:f>IF(555&gt;$H$4,"",IF(INDEX('Fleet dates'!$B$9:$B$1008,$I563-8)="","",INDEX('Fleet dates'!$B$9:$B$1008,$I563-8)))</x:f>
      </x:c>
      <x:c r="C563" s="51" t="str">
        <x:f>IF(555&gt;$H$4,"",IF(INDEX('Fleet dates'!$C$9:$C$1008,$I563-8)="","",INDEX('Fleet dates'!$C$9:$C$1008,$I563-8)))</x:f>
      </x:c>
      <x:c r="D563" s="51" t="str">
        <x:f>IF(555&gt;$H$4,"",IF(INDEX('Fleet dates'!$D$9:$D$1008,$I563-8)="","",INDEX('Fleet dates'!$D$9:$D$1008,$I563-8)))</x:f>
      </x:c>
      <x:c r="E563" s="51" t="str">
        <x:f>IF(555&gt;$H$4,"",IF(INDEX('Fleet dates'!$E$9:$E$1008,$I563-8)="","",INDEX('Fleet dates'!$E$9:$E$1008,$I563-8)))</x:f>
      </x:c>
      <x:c r="F563" s="51" t="str">
        <x:f>IF(555&gt;$H$4,"",IF(INDEX('Fleet dates'!$F$9:$F$1008,$I563-8)="","",INDEX('Fleet dates'!$F$9:$F$1008,$I563-8)))</x:f>
      </x:c>
      <x:c r="G563" s="50" t="str">
        <x:f>IF(555&gt;$H$4,"",IF(INDEX('Fleet dates'!$G$9:$G$1008,$I563-8)="","",INDEX('Fleet dates'!$G$9:$G$1008,$I563-8)))</x:f>
      </x:c>
      <x:c r="H563" s="50" t="str">
        <x:f>IF(555&gt;$H$4,"",IF(INDEX('Fleet dates'!$I$9:$I$1008,$I563-8)="","",INDEX('Fleet dates'!$I$9:$I$1008,$I563-8)))</x:f>
      </x:c>
      <x:c r="I563" t="str">
        <x:f>IF(555&gt;$H$4,"",MATCH(555,'Fleet dates'!$M$9:$M$1008,0)+8)</x:f>
      </x:c>
    </x:row>
    <x:row r="564" ht="36" customHeight="1">
      <x:c r="A564" s="50" t="str">
        <x:f>IF(556&gt;$H$4,"",IF(INDEX('Fleet dates'!$A$9:$A$1008,$I564-8)="","",INDEX('Fleet dates'!$A$9:$A$1008,$I564-8)))</x:f>
      </x:c>
      <x:c r="B564" s="50" t="str">
        <x:f>IF(556&gt;$H$4,"",IF(INDEX('Fleet dates'!$B$9:$B$1008,$I564-8)="","",INDEX('Fleet dates'!$B$9:$B$1008,$I564-8)))</x:f>
      </x:c>
      <x:c r="C564" s="51" t="str">
        <x:f>IF(556&gt;$H$4,"",IF(INDEX('Fleet dates'!$C$9:$C$1008,$I564-8)="","",INDEX('Fleet dates'!$C$9:$C$1008,$I564-8)))</x:f>
      </x:c>
      <x:c r="D564" s="51" t="str">
        <x:f>IF(556&gt;$H$4,"",IF(INDEX('Fleet dates'!$D$9:$D$1008,$I564-8)="","",INDEX('Fleet dates'!$D$9:$D$1008,$I564-8)))</x:f>
      </x:c>
      <x:c r="E564" s="51" t="str">
        <x:f>IF(556&gt;$H$4,"",IF(INDEX('Fleet dates'!$E$9:$E$1008,$I564-8)="","",INDEX('Fleet dates'!$E$9:$E$1008,$I564-8)))</x:f>
      </x:c>
      <x:c r="F564" s="51" t="str">
        <x:f>IF(556&gt;$H$4,"",IF(INDEX('Fleet dates'!$F$9:$F$1008,$I564-8)="","",INDEX('Fleet dates'!$F$9:$F$1008,$I564-8)))</x:f>
      </x:c>
      <x:c r="G564" s="50" t="str">
        <x:f>IF(556&gt;$H$4,"",IF(INDEX('Fleet dates'!$G$9:$G$1008,$I564-8)="","",INDEX('Fleet dates'!$G$9:$G$1008,$I564-8)))</x:f>
      </x:c>
      <x:c r="H564" s="50" t="str">
        <x:f>IF(556&gt;$H$4,"",IF(INDEX('Fleet dates'!$I$9:$I$1008,$I564-8)="","",INDEX('Fleet dates'!$I$9:$I$1008,$I564-8)))</x:f>
      </x:c>
      <x:c r="I564" t="str">
        <x:f>IF(556&gt;$H$4,"",MATCH(556,'Fleet dates'!$M$9:$M$1008,0)+8)</x:f>
      </x:c>
    </x:row>
    <x:row r="565" ht="36" customHeight="1">
      <x:c r="A565" s="50" t="str">
        <x:f>IF(557&gt;$H$4,"",IF(INDEX('Fleet dates'!$A$9:$A$1008,$I565-8)="","",INDEX('Fleet dates'!$A$9:$A$1008,$I565-8)))</x:f>
      </x:c>
      <x:c r="B565" s="50" t="str">
        <x:f>IF(557&gt;$H$4,"",IF(INDEX('Fleet dates'!$B$9:$B$1008,$I565-8)="","",INDEX('Fleet dates'!$B$9:$B$1008,$I565-8)))</x:f>
      </x:c>
      <x:c r="C565" s="51" t="str">
        <x:f>IF(557&gt;$H$4,"",IF(INDEX('Fleet dates'!$C$9:$C$1008,$I565-8)="","",INDEX('Fleet dates'!$C$9:$C$1008,$I565-8)))</x:f>
      </x:c>
      <x:c r="D565" s="51" t="str">
        <x:f>IF(557&gt;$H$4,"",IF(INDEX('Fleet dates'!$D$9:$D$1008,$I565-8)="","",INDEX('Fleet dates'!$D$9:$D$1008,$I565-8)))</x:f>
      </x:c>
      <x:c r="E565" s="51" t="str">
        <x:f>IF(557&gt;$H$4,"",IF(INDEX('Fleet dates'!$E$9:$E$1008,$I565-8)="","",INDEX('Fleet dates'!$E$9:$E$1008,$I565-8)))</x:f>
      </x:c>
      <x:c r="F565" s="51" t="str">
        <x:f>IF(557&gt;$H$4,"",IF(INDEX('Fleet dates'!$F$9:$F$1008,$I565-8)="","",INDEX('Fleet dates'!$F$9:$F$1008,$I565-8)))</x:f>
      </x:c>
      <x:c r="G565" s="50" t="str">
        <x:f>IF(557&gt;$H$4,"",IF(INDEX('Fleet dates'!$G$9:$G$1008,$I565-8)="","",INDEX('Fleet dates'!$G$9:$G$1008,$I565-8)))</x:f>
      </x:c>
      <x:c r="H565" s="50" t="str">
        <x:f>IF(557&gt;$H$4,"",IF(INDEX('Fleet dates'!$I$9:$I$1008,$I565-8)="","",INDEX('Fleet dates'!$I$9:$I$1008,$I565-8)))</x:f>
      </x:c>
      <x:c r="I565" t="str">
        <x:f>IF(557&gt;$H$4,"",MATCH(557,'Fleet dates'!$M$9:$M$1008,0)+8)</x:f>
      </x:c>
    </x:row>
    <x:row r="566" ht="36" customHeight="1">
      <x:c r="A566" s="50" t="str">
        <x:f>IF(558&gt;$H$4,"",IF(INDEX('Fleet dates'!$A$9:$A$1008,$I566-8)="","",INDEX('Fleet dates'!$A$9:$A$1008,$I566-8)))</x:f>
      </x:c>
      <x:c r="B566" s="50" t="str">
        <x:f>IF(558&gt;$H$4,"",IF(INDEX('Fleet dates'!$B$9:$B$1008,$I566-8)="","",INDEX('Fleet dates'!$B$9:$B$1008,$I566-8)))</x:f>
      </x:c>
      <x:c r="C566" s="51" t="str">
        <x:f>IF(558&gt;$H$4,"",IF(INDEX('Fleet dates'!$C$9:$C$1008,$I566-8)="","",INDEX('Fleet dates'!$C$9:$C$1008,$I566-8)))</x:f>
      </x:c>
      <x:c r="D566" s="51" t="str">
        <x:f>IF(558&gt;$H$4,"",IF(INDEX('Fleet dates'!$D$9:$D$1008,$I566-8)="","",INDEX('Fleet dates'!$D$9:$D$1008,$I566-8)))</x:f>
      </x:c>
      <x:c r="E566" s="51" t="str">
        <x:f>IF(558&gt;$H$4,"",IF(INDEX('Fleet dates'!$E$9:$E$1008,$I566-8)="","",INDEX('Fleet dates'!$E$9:$E$1008,$I566-8)))</x:f>
      </x:c>
      <x:c r="F566" s="51" t="str">
        <x:f>IF(558&gt;$H$4,"",IF(INDEX('Fleet dates'!$F$9:$F$1008,$I566-8)="","",INDEX('Fleet dates'!$F$9:$F$1008,$I566-8)))</x:f>
      </x:c>
      <x:c r="G566" s="50" t="str">
        <x:f>IF(558&gt;$H$4,"",IF(INDEX('Fleet dates'!$G$9:$G$1008,$I566-8)="","",INDEX('Fleet dates'!$G$9:$G$1008,$I566-8)))</x:f>
      </x:c>
      <x:c r="H566" s="50" t="str">
        <x:f>IF(558&gt;$H$4,"",IF(INDEX('Fleet dates'!$I$9:$I$1008,$I566-8)="","",INDEX('Fleet dates'!$I$9:$I$1008,$I566-8)))</x:f>
      </x:c>
      <x:c r="I566" t="str">
        <x:f>IF(558&gt;$H$4,"",MATCH(558,'Fleet dates'!$M$9:$M$1008,0)+8)</x:f>
      </x:c>
    </x:row>
    <x:row r="567" ht="36" customHeight="1">
      <x:c r="A567" s="50" t="str">
        <x:f>IF(559&gt;$H$4,"",IF(INDEX('Fleet dates'!$A$9:$A$1008,$I567-8)="","",INDEX('Fleet dates'!$A$9:$A$1008,$I567-8)))</x:f>
      </x:c>
      <x:c r="B567" s="50" t="str">
        <x:f>IF(559&gt;$H$4,"",IF(INDEX('Fleet dates'!$B$9:$B$1008,$I567-8)="","",INDEX('Fleet dates'!$B$9:$B$1008,$I567-8)))</x:f>
      </x:c>
      <x:c r="C567" s="51" t="str">
        <x:f>IF(559&gt;$H$4,"",IF(INDEX('Fleet dates'!$C$9:$C$1008,$I567-8)="","",INDEX('Fleet dates'!$C$9:$C$1008,$I567-8)))</x:f>
      </x:c>
      <x:c r="D567" s="51" t="str">
        <x:f>IF(559&gt;$H$4,"",IF(INDEX('Fleet dates'!$D$9:$D$1008,$I567-8)="","",INDEX('Fleet dates'!$D$9:$D$1008,$I567-8)))</x:f>
      </x:c>
      <x:c r="E567" s="51" t="str">
        <x:f>IF(559&gt;$H$4,"",IF(INDEX('Fleet dates'!$E$9:$E$1008,$I567-8)="","",INDEX('Fleet dates'!$E$9:$E$1008,$I567-8)))</x:f>
      </x:c>
      <x:c r="F567" s="51" t="str">
        <x:f>IF(559&gt;$H$4,"",IF(INDEX('Fleet dates'!$F$9:$F$1008,$I567-8)="","",INDEX('Fleet dates'!$F$9:$F$1008,$I567-8)))</x:f>
      </x:c>
      <x:c r="G567" s="50" t="str">
        <x:f>IF(559&gt;$H$4,"",IF(INDEX('Fleet dates'!$G$9:$G$1008,$I567-8)="","",INDEX('Fleet dates'!$G$9:$G$1008,$I567-8)))</x:f>
      </x:c>
      <x:c r="H567" s="50" t="str">
        <x:f>IF(559&gt;$H$4,"",IF(INDEX('Fleet dates'!$I$9:$I$1008,$I567-8)="","",INDEX('Fleet dates'!$I$9:$I$1008,$I567-8)))</x:f>
      </x:c>
      <x:c r="I567" t="str">
        <x:f>IF(559&gt;$H$4,"",MATCH(559,'Fleet dates'!$M$9:$M$1008,0)+8)</x:f>
      </x:c>
    </x:row>
    <x:row r="568" ht="36" customHeight="1">
      <x:c r="A568" s="50" t="str">
        <x:f>IF(560&gt;$H$4,"",IF(INDEX('Fleet dates'!$A$9:$A$1008,$I568-8)="","",INDEX('Fleet dates'!$A$9:$A$1008,$I568-8)))</x:f>
      </x:c>
      <x:c r="B568" s="50" t="str">
        <x:f>IF(560&gt;$H$4,"",IF(INDEX('Fleet dates'!$B$9:$B$1008,$I568-8)="","",INDEX('Fleet dates'!$B$9:$B$1008,$I568-8)))</x:f>
      </x:c>
      <x:c r="C568" s="51" t="str">
        <x:f>IF(560&gt;$H$4,"",IF(INDEX('Fleet dates'!$C$9:$C$1008,$I568-8)="","",INDEX('Fleet dates'!$C$9:$C$1008,$I568-8)))</x:f>
      </x:c>
      <x:c r="D568" s="51" t="str">
        <x:f>IF(560&gt;$H$4,"",IF(INDEX('Fleet dates'!$D$9:$D$1008,$I568-8)="","",INDEX('Fleet dates'!$D$9:$D$1008,$I568-8)))</x:f>
      </x:c>
      <x:c r="E568" s="51" t="str">
        <x:f>IF(560&gt;$H$4,"",IF(INDEX('Fleet dates'!$E$9:$E$1008,$I568-8)="","",INDEX('Fleet dates'!$E$9:$E$1008,$I568-8)))</x:f>
      </x:c>
      <x:c r="F568" s="51" t="str">
        <x:f>IF(560&gt;$H$4,"",IF(INDEX('Fleet dates'!$F$9:$F$1008,$I568-8)="","",INDEX('Fleet dates'!$F$9:$F$1008,$I568-8)))</x:f>
      </x:c>
      <x:c r="G568" s="50" t="str">
        <x:f>IF(560&gt;$H$4,"",IF(INDEX('Fleet dates'!$G$9:$G$1008,$I568-8)="","",INDEX('Fleet dates'!$G$9:$G$1008,$I568-8)))</x:f>
      </x:c>
      <x:c r="H568" s="50" t="str">
        <x:f>IF(560&gt;$H$4,"",IF(INDEX('Fleet dates'!$I$9:$I$1008,$I568-8)="","",INDEX('Fleet dates'!$I$9:$I$1008,$I568-8)))</x:f>
      </x:c>
      <x:c r="I568" t="str">
        <x:f>IF(560&gt;$H$4,"",MATCH(560,'Fleet dates'!$M$9:$M$1008,0)+8)</x:f>
      </x:c>
    </x:row>
    <x:row r="569" ht="36" customHeight="1">
      <x:c r="A569" s="50" t="str">
        <x:f>IF(561&gt;$H$4,"",IF(INDEX('Fleet dates'!$A$9:$A$1008,$I569-8)="","",INDEX('Fleet dates'!$A$9:$A$1008,$I569-8)))</x:f>
      </x:c>
      <x:c r="B569" s="50" t="str">
        <x:f>IF(561&gt;$H$4,"",IF(INDEX('Fleet dates'!$B$9:$B$1008,$I569-8)="","",INDEX('Fleet dates'!$B$9:$B$1008,$I569-8)))</x:f>
      </x:c>
      <x:c r="C569" s="51" t="str">
        <x:f>IF(561&gt;$H$4,"",IF(INDEX('Fleet dates'!$C$9:$C$1008,$I569-8)="","",INDEX('Fleet dates'!$C$9:$C$1008,$I569-8)))</x:f>
      </x:c>
      <x:c r="D569" s="51" t="str">
        <x:f>IF(561&gt;$H$4,"",IF(INDEX('Fleet dates'!$D$9:$D$1008,$I569-8)="","",INDEX('Fleet dates'!$D$9:$D$1008,$I569-8)))</x:f>
      </x:c>
      <x:c r="E569" s="51" t="str">
        <x:f>IF(561&gt;$H$4,"",IF(INDEX('Fleet dates'!$E$9:$E$1008,$I569-8)="","",INDEX('Fleet dates'!$E$9:$E$1008,$I569-8)))</x:f>
      </x:c>
      <x:c r="F569" s="51" t="str">
        <x:f>IF(561&gt;$H$4,"",IF(INDEX('Fleet dates'!$F$9:$F$1008,$I569-8)="","",INDEX('Fleet dates'!$F$9:$F$1008,$I569-8)))</x:f>
      </x:c>
      <x:c r="G569" s="50" t="str">
        <x:f>IF(561&gt;$H$4,"",IF(INDEX('Fleet dates'!$G$9:$G$1008,$I569-8)="","",INDEX('Fleet dates'!$G$9:$G$1008,$I569-8)))</x:f>
      </x:c>
      <x:c r="H569" s="50" t="str">
        <x:f>IF(561&gt;$H$4,"",IF(INDEX('Fleet dates'!$I$9:$I$1008,$I569-8)="","",INDEX('Fleet dates'!$I$9:$I$1008,$I569-8)))</x:f>
      </x:c>
      <x:c r="I569" t="str">
        <x:f>IF(561&gt;$H$4,"",MATCH(561,'Fleet dates'!$M$9:$M$1008,0)+8)</x:f>
      </x:c>
    </x:row>
    <x:row r="570" ht="36" customHeight="1">
      <x:c r="A570" s="50" t="str">
        <x:f>IF(562&gt;$H$4,"",IF(INDEX('Fleet dates'!$A$9:$A$1008,$I570-8)="","",INDEX('Fleet dates'!$A$9:$A$1008,$I570-8)))</x:f>
      </x:c>
      <x:c r="B570" s="50" t="str">
        <x:f>IF(562&gt;$H$4,"",IF(INDEX('Fleet dates'!$B$9:$B$1008,$I570-8)="","",INDEX('Fleet dates'!$B$9:$B$1008,$I570-8)))</x:f>
      </x:c>
      <x:c r="C570" s="51" t="str">
        <x:f>IF(562&gt;$H$4,"",IF(INDEX('Fleet dates'!$C$9:$C$1008,$I570-8)="","",INDEX('Fleet dates'!$C$9:$C$1008,$I570-8)))</x:f>
      </x:c>
      <x:c r="D570" s="51" t="str">
        <x:f>IF(562&gt;$H$4,"",IF(INDEX('Fleet dates'!$D$9:$D$1008,$I570-8)="","",INDEX('Fleet dates'!$D$9:$D$1008,$I570-8)))</x:f>
      </x:c>
      <x:c r="E570" s="51" t="str">
        <x:f>IF(562&gt;$H$4,"",IF(INDEX('Fleet dates'!$E$9:$E$1008,$I570-8)="","",INDEX('Fleet dates'!$E$9:$E$1008,$I570-8)))</x:f>
      </x:c>
      <x:c r="F570" s="51" t="str">
        <x:f>IF(562&gt;$H$4,"",IF(INDEX('Fleet dates'!$F$9:$F$1008,$I570-8)="","",INDEX('Fleet dates'!$F$9:$F$1008,$I570-8)))</x:f>
      </x:c>
      <x:c r="G570" s="50" t="str">
        <x:f>IF(562&gt;$H$4,"",IF(INDEX('Fleet dates'!$G$9:$G$1008,$I570-8)="","",INDEX('Fleet dates'!$G$9:$G$1008,$I570-8)))</x:f>
      </x:c>
      <x:c r="H570" s="50" t="str">
        <x:f>IF(562&gt;$H$4,"",IF(INDEX('Fleet dates'!$I$9:$I$1008,$I570-8)="","",INDEX('Fleet dates'!$I$9:$I$1008,$I570-8)))</x:f>
      </x:c>
      <x:c r="I570" t="str">
        <x:f>IF(562&gt;$H$4,"",MATCH(562,'Fleet dates'!$M$9:$M$1008,0)+8)</x:f>
      </x:c>
    </x:row>
    <x:row r="571" ht="36" customHeight="1">
      <x:c r="A571" s="50" t="str">
        <x:f>IF(563&gt;$H$4,"",IF(INDEX('Fleet dates'!$A$9:$A$1008,$I571-8)="","",INDEX('Fleet dates'!$A$9:$A$1008,$I571-8)))</x:f>
      </x:c>
      <x:c r="B571" s="50" t="str">
        <x:f>IF(563&gt;$H$4,"",IF(INDEX('Fleet dates'!$B$9:$B$1008,$I571-8)="","",INDEX('Fleet dates'!$B$9:$B$1008,$I571-8)))</x:f>
      </x:c>
      <x:c r="C571" s="51" t="str">
        <x:f>IF(563&gt;$H$4,"",IF(INDEX('Fleet dates'!$C$9:$C$1008,$I571-8)="","",INDEX('Fleet dates'!$C$9:$C$1008,$I571-8)))</x:f>
      </x:c>
      <x:c r="D571" s="51" t="str">
        <x:f>IF(563&gt;$H$4,"",IF(INDEX('Fleet dates'!$D$9:$D$1008,$I571-8)="","",INDEX('Fleet dates'!$D$9:$D$1008,$I571-8)))</x:f>
      </x:c>
      <x:c r="E571" s="51" t="str">
        <x:f>IF(563&gt;$H$4,"",IF(INDEX('Fleet dates'!$E$9:$E$1008,$I571-8)="","",INDEX('Fleet dates'!$E$9:$E$1008,$I571-8)))</x:f>
      </x:c>
      <x:c r="F571" s="51" t="str">
        <x:f>IF(563&gt;$H$4,"",IF(INDEX('Fleet dates'!$F$9:$F$1008,$I571-8)="","",INDEX('Fleet dates'!$F$9:$F$1008,$I571-8)))</x:f>
      </x:c>
      <x:c r="G571" s="50" t="str">
        <x:f>IF(563&gt;$H$4,"",IF(INDEX('Fleet dates'!$G$9:$G$1008,$I571-8)="","",INDEX('Fleet dates'!$G$9:$G$1008,$I571-8)))</x:f>
      </x:c>
      <x:c r="H571" s="50" t="str">
        <x:f>IF(563&gt;$H$4,"",IF(INDEX('Fleet dates'!$I$9:$I$1008,$I571-8)="","",INDEX('Fleet dates'!$I$9:$I$1008,$I571-8)))</x:f>
      </x:c>
      <x:c r="I571" t="str">
        <x:f>IF(563&gt;$H$4,"",MATCH(563,'Fleet dates'!$M$9:$M$1008,0)+8)</x:f>
      </x:c>
    </x:row>
    <x:row r="572" ht="36" customHeight="1">
      <x:c r="A572" s="50" t="str">
        <x:f>IF(564&gt;$H$4,"",IF(INDEX('Fleet dates'!$A$9:$A$1008,$I572-8)="","",INDEX('Fleet dates'!$A$9:$A$1008,$I572-8)))</x:f>
      </x:c>
      <x:c r="B572" s="50" t="str">
        <x:f>IF(564&gt;$H$4,"",IF(INDEX('Fleet dates'!$B$9:$B$1008,$I572-8)="","",INDEX('Fleet dates'!$B$9:$B$1008,$I572-8)))</x:f>
      </x:c>
      <x:c r="C572" s="51" t="str">
        <x:f>IF(564&gt;$H$4,"",IF(INDEX('Fleet dates'!$C$9:$C$1008,$I572-8)="","",INDEX('Fleet dates'!$C$9:$C$1008,$I572-8)))</x:f>
      </x:c>
      <x:c r="D572" s="51" t="str">
        <x:f>IF(564&gt;$H$4,"",IF(INDEX('Fleet dates'!$D$9:$D$1008,$I572-8)="","",INDEX('Fleet dates'!$D$9:$D$1008,$I572-8)))</x:f>
      </x:c>
      <x:c r="E572" s="51" t="str">
        <x:f>IF(564&gt;$H$4,"",IF(INDEX('Fleet dates'!$E$9:$E$1008,$I572-8)="","",INDEX('Fleet dates'!$E$9:$E$1008,$I572-8)))</x:f>
      </x:c>
      <x:c r="F572" s="51" t="str">
        <x:f>IF(564&gt;$H$4,"",IF(INDEX('Fleet dates'!$F$9:$F$1008,$I572-8)="","",INDEX('Fleet dates'!$F$9:$F$1008,$I572-8)))</x:f>
      </x:c>
      <x:c r="G572" s="50" t="str">
        <x:f>IF(564&gt;$H$4,"",IF(INDEX('Fleet dates'!$G$9:$G$1008,$I572-8)="","",INDEX('Fleet dates'!$G$9:$G$1008,$I572-8)))</x:f>
      </x:c>
      <x:c r="H572" s="50" t="str">
        <x:f>IF(564&gt;$H$4,"",IF(INDEX('Fleet dates'!$I$9:$I$1008,$I572-8)="","",INDEX('Fleet dates'!$I$9:$I$1008,$I572-8)))</x:f>
      </x:c>
      <x:c r="I572" t="str">
        <x:f>IF(564&gt;$H$4,"",MATCH(564,'Fleet dates'!$M$9:$M$1008,0)+8)</x:f>
      </x:c>
    </x:row>
    <x:row r="573" ht="36" customHeight="1">
      <x:c r="A573" s="50" t="str">
        <x:f>IF(565&gt;$H$4,"",IF(INDEX('Fleet dates'!$A$9:$A$1008,$I573-8)="","",INDEX('Fleet dates'!$A$9:$A$1008,$I573-8)))</x:f>
      </x:c>
      <x:c r="B573" s="50" t="str">
        <x:f>IF(565&gt;$H$4,"",IF(INDEX('Fleet dates'!$B$9:$B$1008,$I573-8)="","",INDEX('Fleet dates'!$B$9:$B$1008,$I573-8)))</x:f>
      </x:c>
      <x:c r="C573" s="51" t="str">
        <x:f>IF(565&gt;$H$4,"",IF(INDEX('Fleet dates'!$C$9:$C$1008,$I573-8)="","",INDEX('Fleet dates'!$C$9:$C$1008,$I573-8)))</x:f>
      </x:c>
      <x:c r="D573" s="51" t="str">
        <x:f>IF(565&gt;$H$4,"",IF(INDEX('Fleet dates'!$D$9:$D$1008,$I573-8)="","",INDEX('Fleet dates'!$D$9:$D$1008,$I573-8)))</x:f>
      </x:c>
      <x:c r="E573" s="51" t="str">
        <x:f>IF(565&gt;$H$4,"",IF(INDEX('Fleet dates'!$E$9:$E$1008,$I573-8)="","",INDEX('Fleet dates'!$E$9:$E$1008,$I573-8)))</x:f>
      </x:c>
      <x:c r="F573" s="51" t="str">
        <x:f>IF(565&gt;$H$4,"",IF(INDEX('Fleet dates'!$F$9:$F$1008,$I573-8)="","",INDEX('Fleet dates'!$F$9:$F$1008,$I573-8)))</x:f>
      </x:c>
      <x:c r="G573" s="50" t="str">
        <x:f>IF(565&gt;$H$4,"",IF(INDEX('Fleet dates'!$G$9:$G$1008,$I573-8)="","",INDEX('Fleet dates'!$G$9:$G$1008,$I573-8)))</x:f>
      </x:c>
      <x:c r="H573" s="50" t="str">
        <x:f>IF(565&gt;$H$4,"",IF(INDEX('Fleet dates'!$I$9:$I$1008,$I573-8)="","",INDEX('Fleet dates'!$I$9:$I$1008,$I573-8)))</x:f>
      </x:c>
      <x:c r="I573" t="str">
        <x:f>IF(565&gt;$H$4,"",MATCH(565,'Fleet dates'!$M$9:$M$1008,0)+8)</x:f>
      </x:c>
    </x:row>
    <x:row r="574" ht="36" customHeight="1">
      <x:c r="A574" s="50" t="str">
        <x:f>IF(566&gt;$H$4,"",IF(INDEX('Fleet dates'!$A$9:$A$1008,$I574-8)="","",INDEX('Fleet dates'!$A$9:$A$1008,$I574-8)))</x:f>
      </x:c>
      <x:c r="B574" s="50" t="str">
        <x:f>IF(566&gt;$H$4,"",IF(INDEX('Fleet dates'!$B$9:$B$1008,$I574-8)="","",INDEX('Fleet dates'!$B$9:$B$1008,$I574-8)))</x:f>
      </x:c>
      <x:c r="C574" s="51" t="str">
        <x:f>IF(566&gt;$H$4,"",IF(INDEX('Fleet dates'!$C$9:$C$1008,$I574-8)="","",INDEX('Fleet dates'!$C$9:$C$1008,$I574-8)))</x:f>
      </x:c>
      <x:c r="D574" s="51" t="str">
        <x:f>IF(566&gt;$H$4,"",IF(INDEX('Fleet dates'!$D$9:$D$1008,$I574-8)="","",INDEX('Fleet dates'!$D$9:$D$1008,$I574-8)))</x:f>
      </x:c>
      <x:c r="E574" s="51" t="str">
        <x:f>IF(566&gt;$H$4,"",IF(INDEX('Fleet dates'!$E$9:$E$1008,$I574-8)="","",INDEX('Fleet dates'!$E$9:$E$1008,$I574-8)))</x:f>
      </x:c>
      <x:c r="F574" s="51" t="str">
        <x:f>IF(566&gt;$H$4,"",IF(INDEX('Fleet dates'!$F$9:$F$1008,$I574-8)="","",INDEX('Fleet dates'!$F$9:$F$1008,$I574-8)))</x:f>
      </x:c>
      <x:c r="G574" s="50" t="str">
        <x:f>IF(566&gt;$H$4,"",IF(INDEX('Fleet dates'!$G$9:$G$1008,$I574-8)="","",INDEX('Fleet dates'!$G$9:$G$1008,$I574-8)))</x:f>
      </x:c>
      <x:c r="H574" s="50" t="str">
        <x:f>IF(566&gt;$H$4,"",IF(INDEX('Fleet dates'!$I$9:$I$1008,$I574-8)="","",INDEX('Fleet dates'!$I$9:$I$1008,$I574-8)))</x:f>
      </x:c>
      <x:c r="I574" t="str">
        <x:f>IF(566&gt;$H$4,"",MATCH(566,'Fleet dates'!$M$9:$M$1008,0)+8)</x:f>
      </x:c>
    </x:row>
    <x:row r="575" ht="36" customHeight="1">
      <x:c r="A575" s="50" t="str">
        <x:f>IF(567&gt;$H$4,"",IF(INDEX('Fleet dates'!$A$9:$A$1008,$I575-8)="","",INDEX('Fleet dates'!$A$9:$A$1008,$I575-8)))</x:f>
      </x:c>
      <x:c r="B575" s="50" t="str">
        <x:f>IF(567&gt;$H$4,"",IF(INDEX('Fleet dates'!$B$9:$B$1008,$I575-8)="","",INDEX('Fleet dates'!$B$9:$B$1008,$I575-8)))</x:f>
      </x:c>
      <x:c r="C575" s="51" t="str">
        <x:f>IF(567&gt;$H$4,"",IF(INDEX('Fleet dates'!$C$9:$C$1008,$I575-8)="","",INDEX('Fleet dates'!$C$9:$C$1008,$I575-8)))</x:f>
      </x:c>
      <x:c r="D575" s="51" t="str">
        <x:f>IF(567&gt;$H$4,"",IF(INDEX('Fleet dates'!$D$9:$D$1008,$I575-8)="","",INDEX('Fleet dates'!$D$9:$D$1008,$I575-8)))</x:f>
      </x:c>
      <x:c r="E575" s="51" t="str">
        <x:f>IF(567&gt;$H$4,"",IF(INDEX('Fleet dates'!$E$9:$E$1008,$I575-8)="","",INDEX('Fleet dates'!$E$9:$E$1008,$I575-8)))</x:f>
      </x:c>
      <x:c r="F575" s="51" t="str">
        <x:f>IF(567&gt;$H$4,"",IF(INDEX('Fleet dates'!$F$9:$F$1008,$I575-8)="","",INDEX('Fleet dates'!$F$9:$F$1008,$I575-8)))</x:f>
      </x:c>
      <x:c r="G575" s="50" t="str">
        <x:f>IF(567&gt;$H$4,"",IF(INDEX('Fleet dates'!$G$9:$G$1008,$I575-8)="","",INDEX('Fleet dates'!$G$9:$G$1008,$I575-8)))</x:f>
      </x:c>
      <x:c r="H575" s="50" t="str">
        <x:f>IF(567&gt;$H$4,"",IF(INDEX('Fleet dates'!$I$9:$I$1008,$I575-8)="","",INDEX('Fleet dates'!$I$9:$I$1008,$I575-8)))</x:f>
      </x:c>
      <x:c r="I575" t="str">
        <x:f>IF(567&gt;$H$4,"",MATCH(567,'Fleet dates'!$M$9:$M$1008,0)+8)</x:f>
      </x:c>
    </x:row>
    <x:row r="576" ht="36" customHeight="1">
      <x:c r="A576" s="50" t="str">
        <x:f>IF(568&gt;$H$4,"",IF(INDEX('Fleet dates'!$A$9:$A$1008,$I576-8)="","",INDEX('Fleet dates'!$A$9:$A$1008,$I576-8)))</x:f>
      </x:c>
      <x:c r="B576" s="50" t="str">
        <x:f>IF(568&gt;$H$4,"",IF(INDEX('Fleet dates'!$B$9:$B$1008,$I576-8)="","",INDEX('Fleet dates'!$B$9:$B$1008,$I576-8)))</x:f>
      </x:c>
      <x:c r="C576" s="51" t="str">
        <x:f>IF(568&gt;$H$4,"",IF(INDEX('Fleet dates'!$C$9:$C$1008,$I576-8)="","",INDEX('Fleet dates'!$C$9:$C$1008,$I576-8)))</x:f>
      </x:c>
      <x:c r="D576" s="51" t="str">
        <x:f>IF(568&gt;$H$4,"",IF(INDEX('Fleet dates'!$D$9:$D$1008,$I576-8)="","",INDEX('Fleet dates'!$D$9:$D$1008,$I576-8)))</x:f>
      </x:c>
      <x:c r="E576" s="51" t="str">
        <x:f>IF(568&gt;$H$4,"",IF(INDEX('Fleet dates'!$E$9:$E$1008,$I576-8)="","",INDEX('Fleet dates'!$E$9:$E$1008,$I576-8)))</x:f>
      </x:c>
      <x:c r="F576" s="51" t="str">
        <x:f>IF(568&gt;$H$4,"",IF(INDEX('Fleet dates'!$F$9:$F$1008,$I576-8)="","",INDEX('Fleet dates'!$F$9:$F$1008,$I576-8)))</x:f>
      </x:c>
      <x:c r="G576" s="50" t="str">
        <x:f>IF(568&gt;$H$4,"",IF(INDEX('Fleet dates'!$G$9:$G$1008,$I576-8)="","",INDEX('Fleet dates'!$G$9:$G$1008,$I576-8)))</x:f>
      </x:c>
      <x:c r="H576" s="50" t="str">
        <x:f>IF(568&gt;$H$4,"",IF(INDEX('Fleet dates'!$I$9:$I$1008,$I576-8)="","",INDEX('Fleet dates'!$I$9:$I$1008,$I576-8)))</x:f>
      </x:c>
      <x:c r="I576" t="str">
        <x:f>IF(568&gt;$H$4,"",MATCH(568,'Fleet dates'!$M$9:$M$1008,0)+8)</x:f>
      </x:c>
    </x:row>
    <x:row r="577" ht="36" customHeight="1">
      <x:c r="A577" s="50" t="str">
        <x:f>IF(569&gt;$H$4,"",IF(INDEX('Fleet dates'!$A$9:$A$1008,$I577-8)="","",INDEX('Fleet dates'!$A$9:$A$1008,$I577-8)))</x:f>
      </x:c>
      <x:c r="B577" s="50" t="str">
        <x:f>IF(569&gt;$H$4,"",IF(INDEX('Fleet dates'!$B$9:$B$1008,$I577-8)="","",INDEX('Fleet dates'!$B$9:$B$1008,$I577-8)))</x:f>
      </x:c>
      <x:c r="C577" s="51" t="str">
        <x:f>IF(569&gt;$H$4,"",IF(INDEX('Fleet dates'!$C$9:$C$1008,$I577-8)="","",INDEX('Fleet dates'!$C$9:$C$1008,$I577-8)))</x:f>
      </x:c>
      <x:c r="D577" s="51" t="str">
        <x:f>IF(569&gt;$H$4,"",IF(INDEX('Fleet dates'!$D$9:$D$1008,$I577-8)="","",INDEX('Fleet dates'!$D$9:$D$1008,$I577-8)))</x:f>
      </x:c>
      <x:c r="E577" s="51" t="str">
        <x:f>IF(569&gt;$H$4,"",IF(INDEX('Fleet dates'!$E$9:$E$1008,$I577-8)="","",INDEX('Fleet dates'!$E$9:$E$1008,$I577-8)))</x:f>
      </x:c>
      <x:c r="F577" s="51" t="str">
        <x:f>IF(569&gt;$H$4,"",IF(INDEX('Fleet dates'!$F$9:$F$1008,$I577-8)="","",INDEX('Fleet dates'!$F$9:$F$1008,$I577-8)))</x:f>
      </x:c>
      <x:c r="G577" s="50" t="str">
        <x:f>IF(569&gt;$H$4,"",IF(INDEX('Fleet dates'!$G$9:$G$1008,$I577-8)="","",INDEX('Fleet dates'!$G$9:$G$1008,$I577-8)))</x:f>
      </x:c>
      <x:c r="H577" s="50" t="str">
        <x:f>IF(569&gt;$H$4,"",IF(INDEX('Fleet dates'!$I$9:$I$1008,$I577-8)="","",INDEX('Fleet dates'!$I$9:$I$1008,$I577-8)))</x:f>
      </x:c>
      <x:c r="I577" t="str">
        <x:f>IF(569&gt;$H$4,"",MATCH(569,'Fleet dates'!$M$9:$M$1008,0)+8)</x:f>
      </x:c>
    </x:row>
    <x:row r="578" ht="36" customHeight="1">
      <x:c r="A578" s="50" t="str">
        <x:f>IF(570&gt;$H$4,"",IF(INDEX('Fleet dates'!$A$9:$A$1008,$I578-8)="","",INDEX('Fleet dates'!$A$9:$A$1008,$I578-8)))</x:f>
      </x:c>
      <x:c r="B578" s="50" t="str">
        <x:f>IF(570&gt;$H$4,"",IF(INDEX('Fleet dates'!$B$9:$B$1008,$I578-8)="","",INDEX('Fleet dates'!$B$9:$B$1008,$I578-8)))</x:f>
      </x:c>
      <x:c r="C578" s="51" t="str">
        <x:f>IF(570&gt;$H$4,"",IF(INDEX('Fleet dates'!$C$9:$C$1008,$I578-8)="","",INDEX('Fleet dates'!$C$9:$C$1008,$I578-8)))</x:f>
      </x:c>
      <x:c r="D578" s="51" t="str">
        <x:f>IF(570&gt;$H$4,"",IF(INDEX('Fleet dates'!$D$9:$D$1008,$I578-8)="","",INDEX('Fleet dates'!$D$9:$D$1008,$I578-8)))</x:f>
      </x:c>
      <x:c r="E578" s="51" t="str">
        <x:f>IF(570&gt;$H$4,"",IF(INDEX('Fleet dates'!$E$9:$E$1008,$I578-8)="","",INDEX('Fleet dates'!$E$9:$E$1008,$I578-8)))</x:f>
      </x:c>
      <x:c r="F578" s="51" t="str">
        <x:f>IF(570&gt;$H$4,"",IF(INDEX('Fleet dates'!$F$9:$F$1008,$I578-8)="","",INDEX('Fleet dates'!$F$9:$F$1008,$I578-8)))</x:f>
      </x:c>
      <x:c r="G578" s="50" t="str">
        <x:f>IF(570&gt;$H$4,"",IF(INDEX('Fleet dates'!$G$9:$G$1008,$I578-8)="","",INDEX('Fleet dates'!$G$9:$G$1008,$I578-8)))</x:f>
      </x:c>
      <x:c r="H578" s="50" t="str">
        <x:f>IF(570&gt;$H$4,"",IF(INDEX('Fleet dates'!$I$9:$I$1008,$I578-8)="","",INDEX('Fleet dates'!$I$9:$I$1008,$I578-8)))</x:f>
      </x:c>
      <x:c r="I578" t="str">
        <x:f>IF(570&gt;$H$4,"",MATCH(570,'Fleet dates'!$M$9:$M$1008,0)+8)</x:f>
      </x:c>
    </x:row>
    <x:row r="579" ht="36" customHeight="1">
      <x:c r="A579" s="50" t="str">
        <x:f>IF(571&gt;$H$4,"",IF(INDEX('Fleet dates'!$A$9:$A$1008,$I579-8)="","",INDEX('Fleet dates'!$A$9:$A$1008,$I579-8)))</x:f>
      </x:c>
      <x:c r="B579" s="50" t="str">
        <x:f>IF(571&gt;$H$4,"",IF(INDEX('Fleet dates'!$B$9:$B$1008,$I579-8)="","",INDEX('Fleet dates'!$B$9:$B$1008,$I579-8)))</x:f>
      </x:c>
      <x:c r="C579" s="51" t="str">
        <x:f>IF(571&gt;$H$4,"",IF(INDEX('Fleet dates'!$C$9:$C$1008,$I579-8)="","",INDEX('Fleet dates'!$C$9:$C$1008,$I579-8)))</x:f>
      </x:c>
      <x:c r="D579" s="51" t="str">
        <x:f>IF(571&gt;$H$4,"",IF(INDEX('Fleet dates'!$D$9:$D$1008,$I579-8)="","",INDEX('Fleet dates'!$D$9:$D$1008,$I579-8)))</x:f>
      </x:c>
      <x:c r="E579" s="51" t="str">
        <x:f>IF(571&gt;$H$4,"",IF(INDEX('Fleet dates'!$E$9:$E$1008,$I579-8)="","",INDEX('Fleet dates'!$E$9:$E$1008,$I579-8)))</x:f>
      </x:c>
      <x:c r="F579" s="51" t="str">
        <x:f>IF(571&gt;$H$4,"",IF(INDEX('Fleet dates'!$F$9:$F$1008,$I579-8)="","",INDEX('Fleet dates'!$F$9:$F$1008,$I579-8)))</x:f>
      </x:c>
      <x:c r="G579" s="50" t="str">
        <x:f>IF(571&gt;$H$4,"",IF(INDEX('Fleet dates'!$G$9:$G$1008,$I579-8)="","",INDEX('Fleet dates'!$G$9:$G$1008,$I579-8)))</x:f>
      </x:c>
      <x:c r="H579" s="50" t="str">
        <x:f>IF(571&gt;$H$4,"",IF(INDEX('Fleet dates'!$I$9:$I$1008,$I579-8)="","",INDEX('Fleet dates'!$I$9:$I$1008,$I579-8)))</x:f>
      </x:c>
      <x:c r="I579" t="str">
        <x:f>IF(571&gt;$H$4,"",MATCH(571,'Fleet dates'!$M$9:$M$1008,0)+8)</x:f>
      </x:c>
    </x:row>
    <x:row r="580" ht="36" customHeight="1">
      <x:c r="A580" s="50" t="str">
        <x:f>IF(572&gt;$H$4,"",IF(INDEX('Fleet dates'!$A$9:$A$1008,$I580-8)="","",INDEX('Fleet dates'!$A$9:$A$1008,$I580-8)))</x:f>
      </x:c>
      <x:c r="B580" s="50" t="str">
        <x:f>IF(572&gt;$H$4,"",IF(INDEX('Fleet dates'!$B$9:$B$1008,$I580-8)="","",INDEX('Fleet dates'!$B$9:$B$1008,$I580-8)))</x:f>
      </x:c>
      <x:c r="C580" s="51" t="str">
        <x:f>IF(572&gt;$H$4,"",IF(INDEX('Fleet dates'!$C$9:$C$1008,$I580-8)="","",INDEX('Fleet dates'!$C$9:$C$1008,$I580-8)))</x:f>
      </x:c>
      <x:c r="D580" s="51" t="str">
        <x:f>IF(572&gt;$H$4,"",IF(INDEX('Fleet dates'!$D$9:$D$1008,$I580-8)="","",INDEX('Fleet dates'!$D$9:$D$1008,$I580-8)))</x:f>
      </x:c>
      <x:c r="E580" s="51" t="str">
        <x:f>IF(572&gt;$H$4,"",IF(INDEX('Fleet dates'!$E$9:$E$1008,$I580-8)="","",INDEX('Fleet dates'!$E$9:$E$1008,$I580-8)))</x:f>
      </x:c>
      <x:c r="F580" s="51" t="str">
        <x:f>IF(572&gt;$H$4,"",IF(INDEX('Fleet dates'!$F$9:$F$1008,$I580-8)="","",INDEX('Fleet dates'!$F$9:$F$1008,$I580-8)))</x:f>
      </x:c>
      <x:c r="G580" s="50" t="str">
        <x:f>IF(572&gt;$H$4,"",IF(INDEX('Fleet dates'!$G$9:$G$1008,$I580-8)="","",INDEX('Fleet dates'!$G$9:$G$1008,$I580-8)))</x:f>
      </x:c>
      <x:c r="H580" s="50" t="str">
        <x:f>IF(572&gt;$H$4,"",IF(INDEX('Fleet dates'!$I$9:$I$1008,$I580-8)="","",INDEX('Fleet dates'!$I$9:$I$1008,$I580-8)))</x:f>
      </x:c>
      <x:c r="I580" t="str">
        <x:f>IF(572&gt;$H$4,"",MATCH(572,'Fleet dates'!$M$9:$M$1008,0)+8)</x:f>
      </x:c>
    </x:row>
    <x:row r="581" ht="36" customHeight="1">
      <x:c r="A581" s="50" t="str">
        <x:f>IF(573&gt;$H$4,"",IF(INDEX('Fleet dates'!$A$9:$A$1008,$I581-8)="","",INDEX('Fleet dates'!$A$9:$A$1008,$I581-8)))</x:f>
      </x:c>
      <x:c r="B581" s="50" t="str">
        <x:f>IF(573&gt;$H$4,"",IF(INDEX('Fleet dates'!$B$9:$B$1008,$I581-8)="","",INDEX('Fleet dates'!$B$9:$B$1008,$I581-8)))</x:f>
      </x:c>
      <x:c r="C581" s="51" t="str">
        <x:f>IF(573&gt;$H$4,"",IF(INDEX('Fleet dates'!$C$9:$C$1008,$I581-8)="","",INDEX('Fleet dates'!$C$9:$C$1008,$I581-8)))</x:f>
      </x:c>
      <x:c r="D581" s="51" t="str">
        <x:f>IF(573&gt;$H$4,"",IF(INDEX('Fleet dates'!$D$9:$D$1008,$I581-8)="","",INDEX('Fleet dates'!$D$9:$D$1008,$I581-8)))</x:f>
      </x:c>
      <x:c r="E581" s="51" t="str">
        <x:f>IF(573&gt;$H$4,"",IF(INDEX('Fleet dates'!$E$9:$E$1008,$I581-8)="","",INDEX('Fleet dates'!$E$9:$E$1008,$I581-8)))</x:f>
      </x:c>
      <x:c r="F581" s="51" t="str">
        <x:f>IF(573&gt;$H$4,"",IF(INDEX('Fleet dates'!$F$9:$F$1008,$I581-8)="","",INDEX('Fleet dates'!$F$9:$F$1008,$I581-8)))</x:f>
      </x:c>
      <x:c r="G581" s="50" t="str">
        <x:f>IF(573&gt;$H$4,"",IF(INDEX('Fleet dates'!$G$9:$G$1008,$I581-8)="","",INDEX('Fleet dates'!$G$9:$G$1008,$I581-8)))</x:f>
      </x:c>
      <x:c r="H581" s="50" t="str">
        <x:f>IF(573&gt;$H$4,"",IF(INDEX('Fleet dates'!$I$9:$I$1008,$I581-8)="","",INDEX('Fleet dates'!$I$9:$I$1008,$I581-8)))</x:f>
      </x:c>
      <x:c r="I581" t="str">
        <x:f>IF(573&gt;$H$4,"",MATCH(573,'Fleet dates'!$M$9:$M$1008,0)+8)</x:f>
      </x:c>
    </x:row>
    <x:row r="582" ht="36" customHeight="1">
      <x:c r="A582" s="50" t="str">
        <x:f>IF(574&gt;$H$4,"",IF(INDEX('Fleet dates'!$A$9:$A$1008,$I582-8)="","",INDEX('Fleet dates'!$A$9:$A$1008,$I582-8)))</x:f>
      </x:c>
      <x:c r="B582" s="50" t="str">
        <x:f>IF(574&gt;$H$4,"",IF(INDEX('Fleet dates'!$B$9:$B$1008,$I582-8)="","",INDEX('Fleet dates'!$B$9:$B$1008,$I582-8)))</x:f>
      </x:c>
      <x:c r="C582" s="51" t="str">
        <x:f>IF(574&gt;$H$4,"",IF(INDEX('Fleet dates'!$C$9:$C$1008,$I582-8)="","",INDEX('Fleet dates'!$C$9:$C$1008,$I582-8)))</x:f>
      </x:c>
      <x:c r="D582" s="51" t="str">
        <x:f>IF(574&gt;$H$4,"",IF(INDEX('Fleet dates'!$D$9:$D$1008,$I582-8)="","",INDEX('Fleet dates'!$D$9:$D$1008,$I582-8)))</x:f>
      </x:c>
      <x:c r="E582" s="51" t="str">
        <x:f>IF(574&gt;$H$4,"",IF(INDEX('Fleet dates'!$E$9:$E$1008,$I582-8)="","",INDEX('Fleet dates'!$E$9:$E$1008,$I582-8)))</x:f>
      </x:c>
      <x:c r="F582" s="51" t="str">
        <x:f>IF(574&gt;$H$4,"",IF(INDEX('Fleet dates'!$F$9:$F$1008,$I582-8)="","",INDEX('Fleet dates'!$F$9:$F$1008,$I582-8)))</x:f>
      </x:c>
      <x:c r="G582" s="50" t="str">
        <x:f>IF(574&gt;$H$4,"",IF(INDEX('Fleet dates'!$G$9:$G$1008,$I582-8)="","",INDEX('Fleet dates'!$G$9:$G$1008,$I582-8)))</x:f>
      </x:c>
      <x:c r="H582" s="50" t="str">
        <x:f>IF(574&gt;$H$4,"",IF(INDEX('Fleet dates'!$I$9:$I$1008,$I582-8)="","",INDEX('Fleet dates'!$I$9:$I$1008,$I582-8)))</x:f>
      </x:c>
      <x:c r="I582" t="str">
        <x:f>IF(574&gt;$H$4,"",MATCH(574,'Fleet dates'!$M$9:$M$1008,0)+8)</x:f>
      </x:c>
    </x:row>
    <x:row r="583" ht="36" customHeight="1">
      <x:c r="A583" s="50" t="str">
        <x:f>IF(575&gt;$H$4,"",IF(INDEX('Fleet dates'!$A$9:$A$1008,$I583-8)="","",INDEX('Fleet dates'!$A$9:$A$1008,$I583-8)))</x:f>
      </x:c>
      <x:c r="B583" s="50" t="str">
        <x:f>IF(575&gt;$H$4,"",IF(INDEX('Fleet dates'!$B$9:$B$1008,$I583-8)="","",INDEX('Fleet dates'!$B$9:$B$1008,$I583-8)))</x:f>
      </x:c>
      <x:c r="C583" s="51" t="str">
        <x:f>IF(575&gt;$H$4,"",IF(INDEX('Fleet dates'!$C$9:$C$1008,$I583-8)="","",INDEX('Fleet dates'!$C$9:$C$1008,$I583-8)))</x:f>
      </x:c>
      <x:c r="D583" s="51" t="str">
        <x:f>IF(575&gt;$H$4,"",IF(INDEX('Fleet dates'!$D$9:$D$1008,$I583-8)="","",INDEX('Fleet dates'!$D$9:$D$1008,$I583-8)))</x:f>
      </x:c>
      <x:c r="E583" s="51" t="str">
        <x:f>IF(575&gt;$H$4,"",IF(INDEX('Fleet dates'!$E$9:$E$1008,$I583-8)="","",INDEX('Fleet dates'!$E$9:$E$1008,$I583-8)))</x:f>
      </x:c>
      <x:c r="F583" s="51" t="str">
        <x:f>IF(575&gt;$H$4,"",IF(INDEX('Fleet dates'!$F$9:$F$1008,$I583-8)="","",INDEX('Fleet dates'!$F$9:$F$1008,$I583-8)))</x:f>
      </x:c>
      <x:c r="G583" s="50" t="str">
        <x:f>IF(575&gt;$H$4,"",IF(INDEX('Fleet dates'!$G$9:$G$1008,$I583-8)="","",INDEX('Fleet dates'!$G$9:$G$1008,$I583-8)))</x:f>
      </x:c>
      <x:c r="H583" s="50" t="str">
        <x:f>IF(575&gt;$H$4,"",IF(INDEX('Fleet dates'!$I$9:$I$1008,$I583-8)="","",INDEX('Fleet dates'!$I$9:$I$1008,$I583-8)))</x:f>
      </x:c>
      <x:c r="I583" t="str">
        <x:f>IF(575&gt;$H$4,"",MATCH(575,'Fleet dates'!$M$9:$M$1008,0)+8)</x:f>
      </x:c>
    </x:row>
    <x:row r="584" ht="36" customHeight="1">
      <x:c r="A584" s="50" t="str">
        <x:f>IF(576&gt;$H$4,"",IF(INDEX('Fleet dates'!$A$9:$A$1008,$I584-8)="","",INDEX('Fleet dates'!$A$9:$A$1008,$I584-8)))</x:f>
      </x:c>
      <x:c r="B584" s="50" t="str">
        <x:f>IF(576&gt;$H$4,"",IF(INDEX('Fleet dates'!$B$9:$B$1008,$I584-8)="","",INDEX('Fleet dates'!$B$9:$B$1008,$I584-8)))</x:f>
      </x:c>
      <x:c r="C584" s="51" t="str">
        <x:f>IF(576&gt;$H$4,"",IF(INDEX('Fleet dates'!$C$9:$C$1008,$I584-8)="","",INDEX('Fleet dates'!$C$9:$C$1008,$I584-8)))</x:f>
      </x:c>
      <x:c r="D584" s="51" t="str">
        <x:f>IF(576&gt;$H$4,"",IF(INDEX('Fleet dates'!$D$9:$D$1008,$I584-8)="","",INDEX('Fleet dates'!$D$9:$D$1008,$I584-8)))</x:f>
      </x:c>
      <x:c r="E584" s="51" t="str">
        <x:f>IF(576&gt;$H$4,"",IF(INDEX('Fleet dates'!$E$9:$E$1008,$I584-8)="","",INDEX('Fleet dates'!$E$9:$E$1008,$I584-8)))</x:f>
      </x:c>
      <x:c r="F584" s="51" t="str">
        <x:f>IF(576&gt;$H$4,"",IF(INDEX('Fleet dates'!$F$9:$F$1008,$I584-8)="","",INDEX('Fleet dates'!$F$9:$F$1008,$I584-8)))</x:f>
      </x:c>
      <x:c r="G584" s="50" t="str">
        <x:f>IF(576&gt;$H$4,"",IF(INDEX('Fleet dates'!$G$9:$G$1008,$I584-8)="","",INDEX('Fleet dates'!$G$9:$G$1008,$I584-8)))</x:f>
      </x:c>
      <x:c r="H584" s="50" t="str">
        <x:f>IF(576&gt;$H$4,"",IF(INDEX('Fleet dates'!$I$9:$I$1008,$I584-8)="","",INDEX('Fleet dates'!$I$9:$I$1008,$I584-8)))</x:f>
      </x:c>
      <x:c r="I584" t="str">
        <x:f>IF(576&gt;$H$4,"",MATCH(576,'Fleet dates'!$M$9:$M$1008,0)+8)</x:f>
      </x:c>
    </x:row>
    <x:row r="585" ht="36" customHeight="1">
      <x:c r="A585" s="50" t="str">
        <x:f>IF(577&gt;$H$4,"",IF(INDEX('Fleet dates'!$A$9:$A$1008,$I585-8)="","",INDEX('Fleet dates'!$A$9:$A$1008,$I585-8)))</x:f>
      </x:c>
      <x:c r="B585" s="50" t="str">
        <x:f>IF(577&gt;$H$4,"",IF(INDEX('Fleet dates'!$B$9:$B$1008,$I585-8)="","",INDEX('Fleet dates'!$B$9:$B$1008,$I585-8)))</x:f>
      </x:c>
      <x:c r="C585" s="51" t="str">
        <x:f>IF(577&gt;$H$4,"",IF(INDEX('Fleet dates'!$C$9:$C$1008,$I585-8)="","",INDEX('Fleet dates'!$C$9:$C$1008,$I585-8)))</x:f>
      </x:c>
      <x:c r="D585" s="51" t="str">
        <x:f>IF(577&gt;$H$4,"",IF(INDEX('Fleet dates'!$D$9:$D$1008,$I585-8)="","",INDEX('Fleet dates'!$D$9:$D$1008,$I585-8)))</x:f>
      </x:c>
      <x:c r="E585" s="51" t="str">
        <x:f>IF(577&gt;$H$4,"",IF(INDEX('Fleet dates'!$E$9:$E$1008,$I585-8)="","",INDEX('Fleet dates'!$E$9:$E$1008,$I585-8)))</x:f>
      </x:c>
      <x:c r="F585" s="51" t="str">
        <x:f>IF(577&gt;$H$4,"",IF(INDEX('Fleet dates'!$F$9:$F$1008,$I585-8)="","",INDEX('Fleet dates'!$F$9:$F$1008,$I585-8)))</x:f>
      </x:c>
      <x:c r="G585" s="50" t="str">
        <x:f>IF(577&gt;$H$4,"",IF(INDEX('Fleet dates'!$G$9:$G$1008,$I585-8)="","",INDEX('Fleet dates'!$G$9:$G$1008,$I585-8)))</x:f>
      </x:c>
      <x:c r="H585" s="50" t="str">
        <x:f>IF(577&gt;$H$4,"",IF(INDEX('Fleet dates'!$I$9:$I$1008,$I585-8)="","",INDEX('Fleet dates'!$I$9:$I$1008,$I585-8)))</x:f>
      </x:c>
      <x:c r="I585" t="str">
        <x:f>IF(577&gt;$H$4,"",MATCH(577,'Fleet dates'!$M$9:$M$1008,0)+8)</x:f>
      </x:c>
    </x:row>
    <x:row r="586" ht="36" customHeight="1">
      <x:c r="A586" s="50" t="str">
        <x:f>IF(578&gt;$H$4,"",IF(INDEX('Fleet dates'!$A$9:$A$1008,$I586-8)="","",INDEX('Fleet dates'!$A$9:$A$1008,$I586-8)))</x:f>
      </x:c>
      <x:c r="B586" s="50" t="str">
        <x:f>IF(578&gt;$H$4,"",IF(INDEX('Fleet dates'!$B$9:$B$1008,$I586-8)="","",INDEX('Fleet dates'!$B$9:$B$1008,$I586-8)))</x:f>
      </x:c>
      <x:c r="C586" s="51" t="str">
        <x:f>IF(578&gt;$H$4,"",IF(INDEX('Fleet dates'!$C$9:$C$1008,$I586-8)="","",INDEX('Fleet dates'!$C$9:$C$1008,$I586-8)))</x:f>
      </x:c>
      <x:c r="D586" s="51" t="str">
        <x:f>IF(578&gt;$H$4,"",IF(INDEX('Fleet dates'!$D$9:$D$1008,$I586-8)="","",INDEX('Fleet dates'!$D$9:$D$1008,$I586-8)))</x:f>
      </x:c>
      <x:c r="E586" s="51" t="str">
        <x:f>IF(578&gt;$H$4,"",IF(INDEX('Fleet dates'!$E$9:$E$1008,$I586-8)="","",INDEX('Fleet dates'!$E$9:$E$1008,$I586-8)))</x:f>
      </x:c>
      <x:c r="F586" s="51" t="str">
        <x:f>IF(578&gt;$H$4,"",IF(INDEX('Fleet dates'!$F$9:$F$1008,$I586-8)="","",INDEX('Fleet dates'!$F$9:$F$1008,$I586-8)))</x:f>
      </x:c>
      <x:c r="G586" s="50" t="str">
        <x:f>IF(578&gt;$H$4,"",IF(INDEX('Fleet dates'!$G$9:$G$1008,$I586-8)="","",INDEX('Fleet dates'!$G$9:$G$1008,$I586-8)))</x:f>
      </x:c>
      <x:c r="H586" s="50" t="str">
        <x:f>IF(578&gt;$H$4,"",IF(INDEX('Fleet dates'!$I$9:$I$1008,$I586-8)="","",INDEX('Fleet dates'!$I$9:$I$1008,$I586-8)))</x:f>
      </x:c>
      <x:c r="I586" t="str">
        <x:f>IF(578&gt;$H$4,"",MATCH(578,'Fleet dates'!$M$9:$M$1008,0)+8)</x:f>
      </x:c>
    </x:row>
    <x:row r="587" ht="36" customHeight="1">
      <x:c r="A587" s="50" t="str">
        <x:f>IF(579&gt;$H$4,"",IF(INDEX('Fleet dates'!$A$9:$A$1008,$I587-8)="","",INDEX('Fleet dates'!$A$9:$A$1008,$I587-8)))</x:f>
      </x:c>
      <x:c r="B587" s="50" t="str">
        <x:f>IF(579&gt;$H$4,"",IF(INDEX('Fleet dates'!$B$9:$B$1008,$I587-8)="","",INDEX('Fleet dates'!$B$9:$B$1008,$I587-8)))</x:f>
      </x:c>
      <x:c r="C587" s="51" t="str">
        <x:f>IF(579&gt;$H$4,"",IF(INDEX('Fleet dates'!$C$9:$C$1008,$I587-8)="","",INDEX('Fleet dates'!$C$9:$C$1008,$I587-8)))</x:f>
      </x:c>
      <x:c r="D587" s="51" t="str">
        <x:f>IF(579&gt;$H$4,"",IF(INDEX('Fleet dates'!$D$9:$D$1008,$I587-8)="","",INDEX('Fleet dates'!$D$9:$D$1008,$I587-8)))</x:f>
      </x:c>
      <x:c r="E587" s="51" t="str">
        <x:f>IF(579&gt;$H$4,"",IF(INDEX('Fleet dates'!$E$9:$E$1008,$I587-8)="","",INDEX('Fleet dates'!$E$9:$E$1008,$I587-8)))</x:f>
      </x:c>
      <x:c r="F587" s="51" t="str">
        <x:f>IF(579&gt;$H$4,"",IF(INDEX('Fleet dates'!$F$9:$F$1008,$I587-8)="","",INDEX('Fleet dates'!$F$9:$F$1008,$I587-8)))</x:f>
      </x:c>
      <x:c r="G587" s="50" t="str">
        <x:f>IF(579&gt;$H$4,"",IF(INDEX('Fleet dates'!$G$9:$G$1008,$I587-8)="","",INDEX('Fleet dates'!$G$9:$G$1008,$I587-8)))</x:f>
      </x:c>
      <x:c r="H587" s="50" t="str">
        <x:f>IF(579&gt;$H$4,"",IF(INDEX('Fleet dates'!$I$9:$I$1008,$I587-8)="","",INDEX('Fleet dates'!$I$9:$I$1008,$I587-8)))</x:f>
      </x:c>
      <x:c r="I587" t="str">
        <x:f>IF(579&gt;$H$4,"",MATCH(579,'Fleet dates'!$M$9:$M$1008,0)+8)</x:f>
      </x:c>
    </x:row>
    <x:row r="588" ht="36" customHeight="1">
      <x:c r="A588" s="50" t="str">
        <x:f>IF(580&gt;$H$4,"",IF(INDEX('Fleet dates'!$A$9:$A$1008,$I588-8)="","",INDEX('Fleet dates'!$A$9:$A$1008,$I588-8)))</x:f>
      </x:c>
      <x:c r="B588" s="50" t="str">
        <x:f>IF(580&gt;$H$4,"",IF(INDEX('Fleet dates'!$B$9:$B$1008,$I588-8)="","",INDEX('Fleet dates'!$B$9:$B$1008,$I588-8)))</x:f>
      </x:c>
      <x:c r="C588" s="51" t="str">
        <x:f>IF(580&gt;$H$4,"",IF(INDEX('Fleet dates'!$C$9:$C$1008,$I588-8)="","",INDEX('Fleet dates'!$C$9:$C$1008,$I588-8)))</x:f>
      </x:c>
      <x:c r="D588" s="51" t="str">
        <x:f>IF(580&gt;$H$4,"",IF(INDEX('Fleet dates'!$D$9:$D$1008,$I588-8)="","",INDEX('Fleet dates'!$D$9:$D$1008,$I588-8)))</x:f>
      </x:c>
      <x:c r="E588" s="51" t="str">
        <x:f>IF(580&gt;$H$4,"",IF(INDEX('Fleet dates'!$E$9:$E$1008,$I588-8)="","",INDEX('Fleet dates'!$E$9:$E$1008,$I588-8)))</x:f>
      </x:c>
      <x:c r="F588" s="51" t="str">
        <x:f>IF(580&gt;$H$4,"",IF(INDEX('Fleet dates'!$F$9:$F$1008,$I588-8)="","",INDEX('Fleet dates'!$F$9:$F$1008,$I588-8)))</x:f>
      </x:c>
      <x:c r="G588" s="50" t="str">
        <x:f>IF(580&gt;$H$4,"",IF(INDEX('Fleet dates'!$G$9:$G$1008,$I588-8)="","",INDEX('Fleet dates'!$G$9:$G$1008,$I588-8)))</x:f>
      </x:c>
      <x:c r="H588" s="50" t="str">
        <x:f>IF(580&gt;$H$4,"",IF(INDEX('Fleet dates'!$I$9:$I$1008,$I588-8)="","",INDEX('Fleet dates'!$I$9:$I$1008,$I588-8)))</x:f>
      </x:c>
      <x:c r="I588" t="str">
        <x:f>IF(580&gt;$H$4,"",MATCH(580,'Fleet dates'!$M$9:$M$1008,0)+8)</x:f>
      </x:c>
    </x:row>
    <x:row r="589" ht="36" customHeight="1">
      <x:c r="A589" s="50" t="str">
        <x:f>IF(581&gt;$H$4,"",IF(INDEX('Fleet dates'!$A$9:$A$1008,$I589-8)="","",INDEX('Fleet dates'!$A$9:$A$1008,$I589-8)))</x:f>
      </x:c>
      <x:c r="B589" s="50" t="str">
        <x:f>IF(581&gt;$H$4,"",IF(INDEX('Fleet dates'!$B$9:$B$1008,$I589-8)="","",INDEX('Fleet dates'!$B$9:$B$1008,$I589-8)))</x:f>
      </x:c>
      <x:c r="C589" s="51" t="str">
        <x:f>IF(581&gt;$H$4,"",IF(INDEX('Fleet dates'!$C$9:$C$1008,$I589-8)="","",INDEX('Fleet dates'!$C$9:$C$1008,$I589-8)))</x:f>
      </x:c>
      <x:c r="D589" s="51" t="str">
        <x:f>IF(581&gt;$H$4,"",IF(INDEX('Fleet dates'!$D$9:$D$1008,$I589-8)="","",INDEX('Fleet dates'!$D$9:$D$1008,$I589-8)))</x:f>
      </x:c>
      <x:c r="E589" s="51" t="str">
        <x:f>IF(581&gt;$H$4,"",IF(INDEX('Fleet dates'!$E$9:$E$1008,$I589-8)="","",INDEX('Fleet dates'!$E$9:$E$1008,$I589-8)))</x:f>
      </x:c>
      <x:c r="F589" s="51" t="str">
        <x:f>IF(581&gt;$H$4,"",IF(INDEX('Fleet dates'!$F$9:$F$1008,$I589-8)="","",INDEX('Fleet dates'!$F$9:$F$1008,$I589-8)))</x:f>
      </x:c>
      <x:c r="G589" s="50" t="str">
        <x:f>IF(581&gt;$H$4,"",IF(INDEX('Fleet dates'!$G$9:$G$1008,$I589-8)="","",INDEX('Fleet dates'!$G$9:$G$1008,$I589-8)))</x:f>
      </x:c>
      <x:c r="H589" s="50" t="str">
        <x:f>IF(581&gt;$H$4,"",IF(INDEX('Fleet dates'!$I$9:$I$1008,$I589-8)="","",INDEX('Fleet dates'!$I$9:$I$1008,$I589-8)))</x:f>
      </x:c>
      <x:c r="I589" t="str">
        <x:f>IF(581&gt;$H$4,"",MATCH(581,'Fleet dates'!$M$9:$M$1008,0)+8)</x:f>
      </x:c>
    </x:row>
    <x:row r="590" ht="36" customHeight="1">
      <x:c r="A590" s="50" t="str">
        <x:f>IF(582&gt;$H$4,"",IF(INDEX('Fleet dates'!$A$9:$A$1008,$I590-8)="","",INDEX('Fleet dates'!$A$9:$A$1008,$I590-8)))</x:f>
      </x:c>
      <x:c r="B590" s="50" t="str">
        <x:f>IF(582&gt;$H$4,"",IF(INDEX('Fleet dates'!$B$9:$B$1008,$I590-8)="","",INDEX('Fleet dates'!$B$9:$B$1008,$I590-8)))</x:f>
      </x:c>
      <x:c r="C590" s="51" t="str">
        <x:f>IF(582&gt;$H$4,"",IF(INDEX('Fleet dates'!$C$9:$C$1008,$I590-8)="","",INDEX('Fleet dates'!$C$9:$C$1008,$I590-8)))</x:f>
      </x:c>
      <x:c r="D590" s="51" t="str">
        <x:f>IF(582&gt;$H$4,"",IF(INDEX('Fleet dates'!$D$9:$D$1008,$I590-8)="","",INDEX('Fleet dates'!$D$9:$D$1008,$I590-8)))</x:f>
      </x:c>
      <x:c r="E590" s="51" t="str">
        <x:f>IF(582&gt;$H$4,"",IF(INDEX('Fleet dates'!$E$9:$E$1008,$I590-8)="","",INDEX('Fleet dates'!$E$9:$E$1008,$I590-8)))</x:f>
      </x:c>
      <x:c r="F590" s="51" t="str">
        <x:f>IF(582&gt;$H$4,"",IF(INDEX('Fleet dates'!$F$9:$F$1008,$I590-8)="","",INDEX('Fleet dates'!$F$9:$F$1008,$I590-8)))</x:f>
      </x:c>
      <x:c r="G590" s="50" t="str">
        <x:f>IF(582&gt;$H$4,"",IF(INDEX('Fleet dates'!$G$9:$G$1008,$I590-8)="","",INDEX('Fleet dates'!$G$9:$G$1008,$I590-8)))</x:f>
      </x:c>
      <x:c r="H590" s="50" t="str">
        <x:f>IF(582&gt;$H$4,"",IF(INDEX('Fleet dates'!$I$9:$I$1008,$I590-8)="","",INDEX('Fleet dates'!$I$9:$I$1008,$I590-8)))</x:f>
      </x:c>
      <x:c r="I590" t="str">
        <x:f>IF(582&gt;$H$4,"",MATCH(582,'Fleet dates'!$M$9:$M$1008,0)+8)</x:f>
      </x:c>
    </x:row>
    <x:row r="591" ht="36" customHeight="1">
      <x:c r="A591" s="50" t="str">
        <x:f>IF(583&gt;$H$4,"",IF(INDEX('Fleet dates'!$A$9:$A$1008,$I591-8)="","",INDEX('Fleet dates'!$A$9:$A$1008,$I591-8)))</x:f>
      </x:c>
      <x:c r="B591" s="50" t="str">
        <x:f>IF(583&gt;$H$4,"",IF(INDEX('Fleet dates'!$B$9:$B$1008,$I591-8)="","",INDEX('Fleet dates'!$B$9:$B$1008,$I591-8)))</x:f>
      </x:c>
      <x:c r="C591" s="51" t="str">
        <x:f>IF(583&gt;$H$4,"",IF(INDEX('Fleet dates'!$C$9:$C$1008,$I591-8)="","",INDEX('Fleet dates'!$C$9:$C$1008,$I591-8)))</x:f>
      </x:c>
      <x:c r="D591" s="51" t="str">
        <x:f>IF(583&gt;$H$4,"",IF(INDEX('Fleet dates'!$D$9:$D$1008,$I591-8)="","",INDEX('Fleet dates'!$D$9:$D$1008,$I591-8)))</x:f>
      </x:c>
      <x:c r="E591" s="51" t="str">
        <x:f>IF(583&gt;$H$4,"",IF(INDEX('Fleet dates'!$E$9:$E$1008,$I591-8)="","",INDEX('Fleet dates'!$E$9:$E$1008,$I591-8)))</x:f>
      </x:c>
      <x:c r="F591" s="51" t="str">
        <x:f>IF(583&gt;$H$4,"",IF(INDEX('Fleet dates'!$F$9:$F$1008,$I591-8)="","",INDEX('Fleet dates'!$F$9:$F$1008,$I591-8)))</x:f>
      </x:c>
      <x:c r="G591" s="50" t="str">
        <x:f>IF(583&gt;$H$4,"",IF(INDEX('Fleet dates'!$G$9:$G$1008,$I591-8)="","",INDEX('Fleet dates'!$G$9:$G$1008,$I591-8)))</x:f>
      </x:c>
      <x:c r="H591" s="50" t="str">
        <x:f>IF(583&gt;$H$4,"",IF(INDEX('Fleet dates'!$I$9:$I$1008,$I591-8)="","",INDEX('Fleet dates'!$I$9:$I$1008,$I591-8)))</x:f>
      </x:c>
      <x:c r="I591" t="str">
        <x:f>IF(583&gt;$H$4,"",MATCH(583,'Fleet dates'!$M$9:$M$1008,0)+8)</x:f>
      </x:c>
    </x:row>
    <x:row r="592" ht="36" customHeight="1">
      <x:c r="A592" s="50" t="str">
        <x:f>IF(584&gt;$H$4,"",IF(INDEX('Fleet dates'!$A$9:$A$1008,$I592-8)="","",INDEX('Fleet dates'!$A$9:$A$1008,$I592-8)))</x:f>
      </x:c>
      <x:c r="B592" s="50" t="str">
        <x:f>IF(584&gt;$H$4,"",IF(INDEX('Fleet dates'!$B$9:$B$1008,$I592-8)="","",INDEX('Fleet dates'!$B$9:$B$1008,$I592-8)))</x:f>
      </x:c>
      <x:c r="C592" s="51" t="str">
        <x:f>IF(584&gt;$H$4,"",IF(INDEX('Fleet dates'!$C$9:$C$1008,$I592-8)="","",INDEX('Fleet dates'!$C$9:$C$1008,$I592-8)))</x:f>
      </x:c>
      <x:c r="D592" s="51" t="str">
        <x:f>IF(584&gt;$H$4,"",IF(INDEX('Fleet dates'!$D$9:$D$1008,$I592-8)="","",INDEX('Fleet dates'!$D$9:$D$1008,$I592-8)))</x:f>
      </x:c>
      <x:c r="E592" s="51" t="str">
        <x:f>IF(584&gt;$H$4,"",IF(INDEX('Fleet dates'!$E$9:$E$1008,$I592-8)="","",INDEX('Fleet dates'!$E$9:$E$1008,$I592-8)))</x:f>
      </x:c>
      <x:c r="F592" s="51" t="str">
        <x:f>IF(584&gt;$H$4,"",IF(INDEX('Fleet dates'!$F$9:$F$1008,$I592-8)="","",INDEX('Fleet dates'!$F$9:$F$1008,$I592-8)))</x:f>
      </x:c>
      <x:c r="G592" s="50" t="str">
        <x:f>IF(584&gt;$H$4,"",IF(INDEX('Fleet dates'!$G$9:$G$1008,$I592-8)="","",INDEX('Fleet dates'!$G$9:$G$1008,$I592-8)))</x:f>
      </x:c>
      <x:c r="H592" s="50" t="str">
        <x:f>IF(584&gt;$H$4,"",IF(INDEX('Fleet dates'!$I$9:$I$1008,$I592-8)="","",INDEX('Fleet dates'!$I$9:$I$1008,$I592-8)))</x:f>
      </x:c>
      <x:c r="I592" t="str">
        <x:f>IF(584&gt;$H$4,"",MATCH(584,'Fleet dates'!$M$9:$M$1008,0)+8)</x:f>
      </x:c>
    </x:row>
    <x:row r="593" ht="36" customHeight="1">
      <x:c r="A593" s="50" t="str">
        <x:f>IF(585&gt;$H$4,"",IF(INDEX('Fleet dates'!$A$9:$A$1008,$I593-8)="","",INDEX('Fleet dates'!$A$9:$A$1008,$I593-8)))</x:f>
      </x:c>
      <x:c r="B593" s="50" t="str">
        <x:f>IF(585&gt;$H$4,"",IF(INDEX('Fleet dates'!$B$9:$B$1008,$I593-8)="","",INDEX('Fleet dates'!$B$9:$B$1008,$I593-8)))</x:f>
      </x:c>
      <x:c r="C593" s="51" t="str">
        <x:f>IF(585&gt;$H$4,"",IF(INDEX('Fleet dates'!$C$9:$C$1008,$I593-8)="","",INDEX('Fleet dates'!$C$9:$C$1008,$I593-8)))</x:f>
      </x:c>
      <x:c r="D593" s="51" t="str">
        <x:f>IF(585&gt;$H$4,"",IF(INDEX('Fleet dates'!$D$9:$D$1008,$I593-8)="","",INDEX('Fleet dates'!$D$9:$D$1008,$I593-8)))</x:f>
      </x:c>
      <x:c r="E593" s="51" t="str">
        <x:f>IF(585&gt;$H$4,"",IF(INDEX('Fleet dates'!$E$9:$E$1008,$I593-8)="","",INDEX('Fleet dates'!$E$9:$E$1008,$I593-8)))</x:f>
      </x:c>
      <x:c r="F593" s="51" t="str">
        <x:f>IF(585&gt;$H$4,"",IF(INDEX('Fleet dates'!$F$9:$F$1008,$I593-8)="","",INDEX('Fleet dates'!$F$9:$F$1008,$I593-8)))</x:f>
      </x:c>
      <x:c r="G593" s="50" t="str">
        <x:f>IF(585&gt;$H$4,"",IF(INDEX('Fleet dates'!$G$9:$G$1008,$I593-8)="","",INDEX('Fleet dates'!$G$9:$G$1008,$I593-8)))</x:f>
      </x:c>
      <x:c r="H593" s="50" t="str">
        <x:f>IF(585&gt;$H$4,"",IF(INDEX('Fleet dates'!$I$9:$I$1008,$I593-8)="","",INDEX('Fleet dates'!$I$9:$I$1008,$I593-8)))</x:f>
      </x:c>
      <x:c r="I593" t="str">
        <x:f>IF(585&gt;$H$4,"",MATCH(585,'Fleet dates'!$M$9:$M$1008,0)+8)</x:f>
      </x:c>
    </x:row>
    <x:row r="594" ht="36" customHeight="1">
      <x:c r="A594" s="50" t="str">
        <x:f>IF(586&gt;$H$4,"",IF(INDEX('Fleet dates'!$A$9:$A$1008,$I594-8)="","",INDEX('Fleet dates'!$A$9:$A$1008,$I594-8)))</x:f>
      </x:c>
      <x:c r="B594" s="50" t="str">
        <x:f>IF(586&gt;$H$4,"",IF(INDEX('Fleet dates'!$B$9:$B$1008,$I594-8)="","",INDEX('Fleet dates'!$B$9:$B$1008,$I594-8)))</x:f>
      </x:c>
      <x:c r="C594" s="51" t="str">
        <x:f>IF(586&gt;$H$4,"",IF(INDEX('Fleet dates'!$C$9:$C$1008,$I594-8)="","",INDEX('Fleet dates'!$C$9:$C$1008,$I594-8)))</x:f>
      </x:c>
      <x:c r="D594" s="51" t="str">
        <x:f>IF(586&gt;$H$4,"",IF(INDEX('Fleet dates'!$D$9:$D$1008,$I594-8)="","",INDEX('Fleet dates'!$D$9:$D$1008,$I594-8)))</x:f>
      </x:c>
      <x:c r="E594" s="51" t="str">
        <x:f>IF(586&gt;$H$4,"",IF(INDEX('Fleet dates'!$E$9:$E$1008,$I594-8)="","",INDEX('Fleet dates'!$E$9:$E$1008,$I594-8)))</x:f>
      </x:c>
      <x:c r="F594" s="51" t="str">
        <x:f>IF(586&gt;$H$4,"",IF(INDEX('Fleet dates'!$F$9:$F$1008,$I594-8)="","",INDEX('Fleet dates'!$F$9:$F$1008,$I594-8)))</x:f>
      </x:c>
      <x:c r="G594" s="50" t="str">
        <x:f>IF(586&gt;$H$4,"",IF(INDEX('Fleet dates'!$G$9:$G$1008,$I594-8)="","",INDEX('Fleet dates'!$G$9:$G$1008,$I594-8)))</x:f>
      </x:c>
      <x:c r="H594" s="50" t="str">
        <x:f>IF(586&gt;$H$4,"",IF(INDEX('Fleet dates'!$I$9:$I$1008,$I594-8)="","",INDEX('Fleet dates'!$I$9:$I$1008,$I594-8)))</x:f>
      </x:c>
      <x:c r="I594" t="str">
        <x:f>IF(586&gt;$H$4,"",MATCH(586,'Fleet dates'!$M$9:$M$1008,0)+8)</x:f>
      </x:c>
    </x:row>
    <x:row r="595" ht="36" customHeight="1">
      <x:c r="A595" s="50" t="str">
        <x:f>IF(587&gt;$H$4,"",IF(INDEX('Fleet dates'!$A$9:$A$1008,$I595-8)="","",INDEX('Fleet dates'!$A$9:$A$1008,$I595-8)))</x:f>
      </x:c>
      <x:c r="B595" s="50" t="str">
        <x:f>IF(587&gt;$H$4,"",IF(INDEX('Fleet dates'!$B$9:$B$1008,$I595-8)="","",INDEX('Fleet dates'!$B$9:$B$1008,$I595-8)))</x:f>
      </x:c>
      <x:c r="C595" s="51" t="str">
        <x:f>IF(587&gt;$H$4,"",IF(INDEX('Fleet dates'!$C$9:$C$1008,$I595-8)="","",INDEX('Fleet dates'!$C$9:$C$1008,$I595-8)))</x:f>
      </x:c>
      <x:c r="D595" s="51" t="str">
        <x:f>IF(587&gt;$H$4,"",IF(INDEX('Fleet dates'!$D$9:$D$1008,$I595-8)="","",INDEX('Fleet dates'!$D$9:$D$1008,$I595-8)))</x:f>
      </x:c>
      <x:c r="E595" s="51" t="str">
        <x:f>IF(587&gt;$H$4,"",IF(INDEX('Fleet dates'!$E$9:$E$1008,$I595-8)="","",INDEX('Fleet dates'!$E$9:$E$1008,$I595-8)))</x:f>
      </x:c>
      <x:c r="F595" s="51" t="str">
        <x:f>IF(587&gt;$H$4,"",IF(INDEX('Fleet dates'!$F$9:$F$1008,$I595-8)="","",INDEX('Fleet dates'!$F$9:$F$1008,$I595-8)))</x:f>
      </x:c>
      <x:c r="G595" s="50" t="str">
        <x:f>IF(587&gt;$H$4,"",IF(INDEX('Fleet dates'!$G$9:$G$1008,$I595-8)="","",INDEX('Fleet dates'!$G$9:$G$1008,$I595-8)))</x:f>
      </x:c>
      <x:c r="H595" s="50" t="str">
        <x:f>IF(587&gt;$H$4,"",IF(INDEX('Fleet dates'!$I$9:$I$1008,$I595-8)="","",INDEX('Fleet dates'!$I$9:$I$1008,$I595-8)))</x:f>
      </x:c>
      <x:c r="I595" t="str">
        <x:f>IF(587&gt;$H$4,"",MATCH(587,'Fleet dates'!$M$9:$M$1008,0)+8)</x:f>
      </x:c>
    </x:row>
    <x:row r="596" ht="36" customHeight="1">
      <x:c r="A596" s="50" t="str">
        <x:f>IF(588&gt;$H$4,"",IF(INDEX('Fleet dates'!$A$9:$A$1008,$I596-8)="","",INDEX('Fleet dates'!$A$9:$A$1008,$I596-8)))</x:f>
      </x:c>
      <x:c r="B596" s="50" t="str">
        <x:f>IF(588&gt;$H$4,"",IF(INDEX('Fleet dates'!$B$9:$B$1008,$I596-8)="","",INDEX('Fleet dates'!$B$9:$B$1008,$I596-8)))</x:f>
      </x:c>
      <x:c r="C596" s="51" t="str">
        <x:f>IF(588&gt;$H$4,"",IF(INDEX('Fleet dates'!$C$9:$C$1008,$I596-8)="","",INDEX('Fleet dates'!$C$9:$C$1008,$I596-8)))</x:f>
      </x:c>
      <x:c r="D596" s="51" t="str">
        <x:f>IF(588&gt;$H$4,"",IF(INDEX('Fleet dates'!$D$9:$D$1008,$I596-8)="","",INDEX('Fleet dates'!$D$9:$D$1008,$I596-8)))</x:f>
      </x:c>
      <x:c r="E596" s="51" t="str">
        <x:f>IF(588&gt;$H$4,"",IF(INDEX('Fleet dates'!$E$9:$E$1008,$I596-8)="","",INDEX('Fleet dates'!$E$9:$E$1008,$I596-8)))</x:f>
      </x:c>
      <x:c r="F596" s="51" t="str">
        <x:f>IF(588&gt;$H$4,"",IF(INDEX('Fleet dates'!$F$9:$F$1008,$I596-8)="","",INDEX('Fleet dates'!$F$9:$F$1008,$I596-8)))</x:f>
      </x:c>
      <x:c r="G596" s="50" t="str">
        <x:f>IF(588&gt;$H$4,"",IF(INDEX('Fleet dates'!$G$9:$G$1008,$I596-8)="","",INDEX('Fleet dates'!$G$9:$G$1008,$I596-8)))</x:f>
      </x:c>
      <x:c r="H596" s="50" t="str">
        <x:f>IF(588&gt;$H$4,"",IF(INDEX('Fleet dates'!$I$9:$I$1008,$I596-8)="","",INDEX('Fleet dates'!$I$9:$I$1008,$I596-8)))</x:f>
      </x:c>
      <x:c r="I596" t="str">
        <x:f>IF(588&gt;$H$4,"",MATCH(588,'Fleet dates'!$M$9:$M$1008,0)+8)</x:f>
      </x:c>
    </x:row>
    <x:row r="597" ht="36" customHeight="1">
      <x:c r="A597" s="50" t="str">
        <x:f>IF(589&gt;$H$4,"",IF(INDEX('Fleet dates'!$A$9:$A$1008,$I597-8)="","",INDEX('Fleet dates'!$A$9:$A$1008,$I597-8)))</x:f>
      </x:c>
      <x:c r="B597" s="50" t="str">
        <x:f>IF(589&gt;$H$4,"",IF(INDEX('Fleet dates'!$B$9:$B$1008,$I597-8)="","",INDEX('Fleet dates'!$B$9:$B$1008,$I597-8)))</x:f>
      </x:c>
      <x:c r="C597" s="51" t="str">
        <x:f>IF(589&gt;$H$4,"",IF(INDEX('Fleet dates'!$C$9:$C$1008,$I597-8)="","",INDEX('Fleet dates'!$C$9:$C$1008,$I597-8)))</x:f>
      </x:c>
      <x:c r="D597" s="51" t="str">
        <x:f>IF(589&gt;$H$4,"",IF(INDEX('Fleet dates'!$D$9:$D$1008,$I597-8)="","",INDEX('Fleet dates'!$D$9:$D$1008,$I597-8)))</x:f>
      </x:c>
      <x:c r="E597" s="51" t="str">
        <x:f>IF(589&gt;$H$4,"",IF(INDEX('Fleet dates'!$E$9:$E$1008,$I597-8)="","",INDEX('Fleet dates'!$E$9:$E$1008,$I597-8)))</x:f>
      </x:c>
      <x:c r="F597" s="51" t="str">
        <x:f>IF(589&gt;$H$4,"",IF(INDEX('Fleet dates'!$F$9:$F$1008,$I597-8)="","",INDEX('Fleet dates'!$F$9:$F$1008,$I597-8)))</x:f>
      </x:c>
      <x:c r="G597" s="50" t="str">
        <x:f>IF(589&gt;$H$4,"",IF(INDEX('Fleet dates'!$G$9:$G$1008,$I597-8)="","",INDEX('Fleet dates'!$G$9:$G$1008,$I597-8)))</x:f>
      </x:c>
      <x:c r="H597" s="50" t="str">
        <x:f>IF(589&gt;$H$4,"",IF(INDEX('Fleet dates'!$I$9:$I$1008,$I597-8)="","",INDEX('Fleet dates'!$I$9:$I$1008,$I597-8)))</x:f>
      </x:c>
      <x:c r="I597" t="str">
        <x:f>IF(589&gt;$H$4,"",MATCH(589,'Fleet dates'!$M$9:$M$1008,0)+8)</x:f>
      </x:c>
    </x:row>
    <x:row r="598" ht="36" customHeight="1">
      <x:c r="A598" s="50" t="str">
        <x:f>IF(590&gt;$H$4,"",IF(INDEX('Fleet dates'!$A$9:$A$1008,$I598-8)="","",INDEX('Fleet dates'!$A$9:$A$1008,$I598-8)))</x:f>
      </x:c>
      <x:c r="B598" s="50" t="str">
        <x:f>IF(590&gt;$H$4,"",IF(INDEX('Fleet dates'!$B$9:$B$1008,$I598-8)="","",INDEX('Fleet dates'!$B$9:$B$1008,$I598-8)))</x:f>
      </x:c>
      <x:c r="C598" s="51" t="str">
        <x:f>IF(590&gt;$H$4,"",IF(INDEX('Fleet dates'!$C$9:$C$1008,$I598-8)="","",INDEX('Fleet dates'!$C$9:$C$1008,$I598-8)))</x:f>
      </x:c>
      <x:c r="D598" s="51" t="str">
        <x:f>IF(590&gt;$H$4,"",IF(INDEX('Fleet dates'!$D$9:$D$1008,$I598-8)="","",INDEX('Fleet dates'!$D$9:$D$1008,$I598-8)))</x:f>
      </x:c>
      <x:c r="E598" s="51" t="str">
        <x:f>IF(590&gt;$H$4,"",IF(INDEX('Fleet dates'!$E$9:$E$1008,$I598-8)="","",INDEX('Fleet dates'!$E$9:$E$1008,$I598-8)))</x:f>
      </x:c>
      <x:c r="F598" s="51" t="str">
        <x:f>IF(590&gt;$H$4,"",IF(INDEX('Fleet dates'!$F$9:$F$1008,$I598-8)="","",INDEX('Fleet dates'!$F$9:$F$1008,$I598-8)))</x:f>
      </x:c>
      <x:c r="G598" s="50" t="str">
        <x:f>IF(590&gt;$H$4,"",IF(INDEX('Fleet dates'!$G$9:$G$1008,$I598-8)="","",INDEX('Fleet dates'!$G$9:$G$1008,$I598-8)))</x:f>
      </x:c>
      <x:c r="H598" s="50" t="str">
        <x:f>IF(590&gt;$H$4,"",IF(INDEX('Fleet dates'!$I$9:$I$1008,$I598-8)="","",INDEX('Fleet dates'!$I$9:$I$1008,$I598-8)))</x:f>
      </x:c>
      <x:c r="I598" t="str">
        <x:f>IF(590&gt;$H$4,"",MATCH(590,'Fleet dates'!$M$9:$M$1008,0)+8)</x:f>
      </x:c>
    </x:row>
    <x:row r="599" ht="36" customHeight="1">
      <x:c r="A599" s="50" t="str">
        <x:f>IF(591&gt;$H$4,"",IF(INDEX('Fleet dates'!$A$9:$A$1008,$I599-8)="","",INDEX('Fleet dates'!$A$9:$A$1008,$I599-8)))</x:f>
      </x:c>
      <x:c r="B599" s="50" t="str">
        <x:f>IF(591&gt;$H$4,"",IF(INDEX('Fleet dates'!$B$9:$B$1008,$I599-8)="","",INDEX('Fleet dates'!$B$9:$B$1008,$I599-8)))</x:f>
      </x:c>
      <x:c r="C599" s="51" t="str">
        <x:f>IF(591&gt;$H$4,"",IF(INDEX('Fleet dates'!$C$9:$C$1008,$I599-8)="","",INDEX('Fleet dates'!$C$9:$C$1008,$I599-8)))</x:f>
      </x:c>
      <x:c r="D599" s="51" t="str">
        <x:f>IF(591&gt;$H$4,"",IF(INDEX('Fleet dates'!$D$9:$D$1008,$I599-8)="","",INDEX('Fleet dates'!$D$9:$D$1008,$I599-8)))</x:f>
      </x:c>
      <x:c r="E599" s="51" t="str">
        <x:f>IF(591&gt;$H$4,"",IF(INDEX('Fleet dates'!$E$9:$E$1008,$I599-8)="","",INDEX('Fleet dates'!$E$9:$E$1008,$I599-8)))</x:f>
      </x:c>
      <x:c r="F599" s="51" t="str">
        <x:f>IF(591&gt;$H$4,"",IF(INDEX('Fleet dates'!$F$9:$F$1008,$I599-8)="","",INDEX('Fleet dates'!$F$9:$F$1008,$I599-8)))</x:f>
      </x:c>
      <x:c r="G599" s="50" t="str">
        <x:f>IF(591&gt;$H$4,"",IF(INDEX('Fleet dates'!$G$9:$G$1008,$I599-8)="","",INDEX('Fleet dates'!$G$9:$G$1008,$I599-8)))</x:f>
      </x:c>
      <x:c r="H599" s="50" t="str">
        <x:f>IF(591&gt;$H$4,"",IF(INDEX('Fleet dates'!$I$9:$I$1008,$I599-8)="","",INDEX('Fleet dates'!$I$9:$I$1008,$I599-8)))</x:f>
      </x:c>
      <x:c r="I599" t="str">
        <x:f>IF(591&gt;$H$4,"",MATCH(591,'Fleet dates'!$M$9:$M$1008,0)+8)</x:f>
      </x:c>
    </x:row>
    <x:row r="600" ht="36" customHeight="1">
      <x:c r="A600" s="50" t="str">
        <x:f>IF(592&gt;$H$4,"",IF(INDEX('Fleet dates'!$A$9:$A$1008,$I600-8)="","",INDEX('Fleet dates'!$A$9:$A$1008,$I600-8)))</x:f>
      </x:c>
      <x:c r="B600" s="50" t="str">
        <x:f>IF(592&gt;$H$4,"",IF(INDEX('Fleet dates'!$B$9:$B$1008,$I600-8)="","",INDEX('Fleet dates'!$B$9:$B$1008,$I600-8)))</x:f>
      </x:c>
      <x:c r="C600" s="51" t="str">
        <x:f>IF(592&gt;$H$4,"",IF(INDEX('Fleet dates'!$C$9:$C$1008,$I600-8)="","",INDEX('Fleet dates'!$C$9:$C$1008,$I600-8)))</x:f>
      </x:c>
      <x:c r="D600" s="51" t="str">
        <x:f>IF(592&gt;$H$4,"",IF(INDEX('Fleet dates'!$D$9:$D$1008,$I600-8)="","",INDEX('Fleet dates'!$D$9:$D$1008,$I600-8)))</x:f>
      </x:c>
      <x:c r="E600" s="51" t="str">
        <x:f>IF(592&gt;$H$4,"",IF(INDEX('Fleet dates'!$E$9:$E$1008,$I600-8)="","",INDEX('Fleet dates'!$E$9:$E$1008,$I600-8)))</x:f>
      </x:c>
      <x:c r="F600" s="51" t="str">
        <x:f>IF(592&gt;$H$4,"",IF(INDEX('Fleet dates'!$F$9:$F$1008,$I600-8)="","",INDEX('Fleet dates'!$F$9:$F$1008,$I600-8)))</x:f>
      </x:c>
      <x:c r="G600" s="50" t="str">
        <x:f>IF(592&gt;$H$4,"",IF(INDEX('Fleet dates'!$G$9:$G$1008,$I600-8)="","",INDEX('Fleet dates'!$G$9:$G$1008,$I600-8)))</x:f>
      </x:c>
      <x:c r="H600" s="50" t="str">
        <x:f>IF(592&gt;$H$4,"",IF(INDEX('Fleet dates'!$I$9:$I$1008,$I600-8)="","",INDEX('Fleet dates'!$I$9:$I$1008,$I600-8)))</x:f>
      </x:c>
      <x:c r="I600" t="str">
        <x:f>IF(592&gt;$H$4,"",MATCH(592,'Fleet dates'!$M$9:$M$1008,0)+8)</x:f>
      </x:c>
    </x:row>
    <x:row r="601" ht="36" customHeight="1">
      <x:c r="A601" s="50" t="str">
        <x:f>IF(593&gt;$H$4,"",IF(INDEX('Fleet dates'!$A$9:$A$1008,$I601-8)="","",INDEX('Fleet dates'!$A$9:$A$1008,$I601-8)))</x:f>
      </x:c>
      <x:c r="B601" s="50" t="str">
        <x:f>IF(593&gt;$H$4,"",IF(INDEX('Fleet dates'!$B$9:$B$1008,$I601-8)="","",INDEX('Fleet dates'!$B$9:$B$1008,$I601-8)))</x:f>
      </x:c>
      <x:c r="C601" s="51" t="str">
        <x:f>IF(593&gt;$H$4,"",IF(INDEX('Fleet dates'!$C$9:$C$1008,$I601-8)="","",INDEX('Fleet dates'!$C$9:$C$1008,$I601-8)))</x:f>
      </x:c>
      <x:c r="D601" s="51" t="str">
        <x:f>IF(593&gt;$H$4,"",IF(INDEX('Fleet dates'!$D$9:$D$1008,$I601-8)="","",INDEX('Fleet dates'!$D$9:$D$1008,$I601-8)))</x:f>
      </x:c>
      <x:c r="E601" s="51" t="str">
        <x:f>IF(593&gt;$H$4,"",IF(INDEX('Fleet dates'!$E$9:$E$1008,$I601-8)="","",INDEX('Fleet dates'!$E$9:$E$1008,$I601-8)))</x:f>
      </x:c>
      <x:c r="F601" s="51" t="str">
        <x:f>IF(593&gt;$H$4,"",IF(INDEX('Fleet dates'!$F$9:$F$1008,$I601-8)="","",INDEX('Fleet dates'!$F$9:$F$1008,$I601-8)))</x:f>
      </x:c>
      <x:c r="G601" s="50" t="str">
        <x:f>IF(593&gt;$H$4,"",IF(INDEX('Fleet dates'!$G$9:$G$1008,$I601-8)="","",INDEX('Fleet dates'!$G$9:$G$1008,$I601-8)))</x:f>
      </x:c>
      <x:c r="H601" s="50" t="str">
        <x:f>IF(593&gt;$H$4,"",IF(INDEX('Fleet dates'!$I$9:$I$1008,$I601-8)="","",INDEX('Fleet dates'!$I$9:$I$1008,$I601-8)))</x:f>
      </x:c>
      <x:c r="I601" t="str">
        <x:f>IF(593&gt;$H$4,"",MATCH(593,'Fleet dates'!$M$9:$M$1008,0)+8)</x:f>
      </x:c>
    </x:row>
    <x:row r="602" ht="36" customHeight="1">
      <x:c r="A602" s="50" t="str">
        <x:f>IF(594&gt;$H$4,"",IF(INDEX('Fleet dates'!$A$9:$A$1008,$I602-8)="","",INDEX('Fleet dates'!$A$9:$A$1008,$I602-8)))</x:f>
      </x:c>
      <x:c r="B602" s="50" t="str">
        <x:f>IF(594&gt;$H$4,"",IF(INDEX('Fleet dates'!$B$9:$B$1008,$I602-8)="","",INDEX('Fleet dates'!$B$9:$B$1008,$I602-8)))</x:f>
      </x:c>
      <x:c r="C602" s="51" t="str">
        <x:f>IF(594&gt;$H$4,"",IF(INDEX('Fleet dates'!$C$9:$C$1008,$I602-8)="","",INDEX('Fleet dates'!$C$9:$C$1008,$I602-8)))</x:f>
      </x:c>
      <x:c r="D602" s="51" t="str">
        <x:f>IF(594&gt;$H$4,"",IF(INDEX('Fleet dates'!$D$9:$D$1008,$I602-8)="","",INDEX('Fleet dates'!$D$9:$D$1008,$I602-8)))</x:f>
      </x:c>
      <x:c r="E602" s="51" t="str">
        <x:f>IF(594&gt;$H$4,"",IF(INDEX('Fleet dates'!$E$9:$E$1008,$I602-8)="","",INDEX('Fleet dates'!$E$9:$E$1008,$I602-8)))</x:f>
      </x:c>
      <x:c r="F602" s="51" t="str">
        <x:f>IF(594&gt;$H$4,"",IF(INDEX('Fleet dates'!$F$9:$F$1008,$I602-8)="","",INDEX('Fleet dates'!$F$9:$F$1008,$I602-8)))</x:f>
      </x:c>
      <x:c r="G602" s="50" t="str">
        <x:f>IF(594&gt;$H$4,"",IF(INDEX('Fleet dates'!$G$9:$G$1008,$I602-8)="","",INDEX('Fleet dates'!$G$9:$G$1008,$I602-8)))</x:f>
      </x:c>
      <x:c r="H602" s="50" t="str">
        <x:f>IF(594&gt;$H$4,"",IF(INDEX('Fleet dates'!$I$9:$I$1008,$I602-8)="","",INDEX('Fleet dates'!$I$9:$I$1008,$I602-8)))</x:f>
      </x:c>
      <x:c r="I602" t="str">
        <x:f>IF(594&gt;$H$4,"",MATCH(594,'Fleet dates'!$M$9:$M$1008,0)+8)</x:f>
      </x:c>
    </x:row>
    <x:row r="603" ht="36" customHeight="1">
      <x:c r="A603" s="50" t="str">
        <x:f>IF(595&gt;$H$4,"",IF(INDEX('Fleet dates'!$A$9:$A$1008,$I603-8)="","",INDEX('Fleet dates'!$A$9:$A$1008,$I603-8)))</x:f>
      </x:c>
      <x:c r="B603" s="50" t="str">
        <x:f>IF(595&gt;$H$4,"",IF(INDEX('Fleet dates'!$B$9:$B$1008,$I603-8)="","",INDEX('Fleet dates'!$B$9:$B$1008,$I603-8)))</x:f>
      </x:c>
      <x:c r="C603" s="51" t="str">
        <x:f>IF(595&gt;$H$4,"",IF(INDEX('Fleet dates'!$C$9:$C$1008,$I603-8)="","",INDEX('Fleet dates'!$C$9:$C$1008,$I603-8)))</x:f>
      </x:c>
      <x:c r="D603" s="51" t="str">
        <x:f>IF(595&gt;$H$4,"",IF(INDEX('Fleet dates'!$D$9:$D$1008,$I603-8)="","",INDEX('Fleet dates'!$D$9:$D$1008,$I603-8)))</x:f>
      </x:c>
      <x:c r="E603" s="51" t="str">
        <x:f>IF(595&gt;$H$4,"",IF(INDEX('Fleet dates'!$E$9:$E$1008,$I603-8)="","",INDEX('Fleet dates'!$E$9:$E$1008,$I603-8)))</x:f>
      </x:c>
      <x:c r="F603" s="51" t="str">
        <x:f>IF(595&gt;$H$4,"",IF(INDEX('Fleet dates'!$F$9:$F$1008,$I603-8)="","",INDEX('Fleet dates'!$F$9:$F$1008,$I603-8)))</x:f>
      </x:c>
      <x:c r="G603" s="50" t="str">
        <x:f>IF(595&gt;$H$4,"",IF(INDEX('Fleet dates'!$G$9:$G$1008,$I603-8)="","",INDEX('Fleet dates'!$G$9:$G$1008,$I603-8)))</x:f>
      </x:c>
      <x:c r="H603" s="50" t="str">
        <x:f>IF(595&gt;$H$4,"",IF(INDEX('Fleet dates'!$I$9:$I$1008,$I603-8)="","",INDEX('Fleet dates'!$I$9:$I$1008,$I603-8)))</x:f>
      </x:c>
      <x:c r="I603" t="str">
        <x:f>IF(595&gt;$H$4,"",MATCH(595,'Fleet dates'!$M$9:$M$1008,0)+8)</x:f>
      </x:c>
    </x:row>
    <x:row r="604" ht="36" customHeight="1">
      <x:c r="A604" s="50" t="str">
        <x:f>IF(596&gt;$H$4,"",IF(INDEX('Fleet dates'!$A$9:$A$1008,$I604-8)="","",INDEX('Fleet dates'!$A$9:$A$1008,$I604-8)))</x:f>
      </x:c>
      <x:c r="B604" s="50" t="str">
        <x:f>IF(596&gt;$H$4,"",IF(INDEX('Fleet dates'!$B$9:$B$1008,$I604-8)="","",INDEX('Fleet dates'!$B$9:$B$1008,$I604-8)))</x:f>
      </x:c>
      <x:c r="C604" s="51" t="str">
        <x:f>IF(596&gt;$H$4,"",IF(INDEX('Fleet dates'!$C$9:$C$1008,$I604-8)="","",INDEX('Fleet dates'!$C$9:$C$1008,$I604-8)))</x:f>
      </x:c>
      <x:c r="D604" s="51" t="str">
        <x:f>IF(596&gt;$H$4,"",IF(INDEX('Fleet dates'!$D$9:$D$1008,$I604-8)="","",INDEX('Fleet dates'!$D$9:$D$1008,$I604-8)))</x:f>
      </x:c>
      <x:c r="E604" s="51" t="str">
        <x:f>IF(596&gt;$H$4,"",IF(INDEX('Fleet dates'!$E$9:$E$1008,$I604-8)="","",INDEX('Fleet dates'!$E$9:$E$1008,$I604-8)))</x:f>
      </x:c>
      <x:c r="F604" s="51" t="str">
        <x:f>IF(596&gt;$H$4,"",IF(INDEX('Fleet dates'!$F$9:$F$1008,$I604-8)="","",INDEX('Fleet dates'!$F$9:$F$1008,$I604-8)))</x:f>
      </x:c>
      <x:c r="G604" s="50" t="str">
        <x:f>IF(596&gt;$H$4,"",IF(INDEX('Fleet dates'!$G$9:$G$1008,$I604-8)="","",INDEX('Fleet dates'!$G$9:$G$1008,$I604-8)))</x:f>
      </x:c>
      <x:c r="H604" s="50" t="str">
        <x:f>IF(596&gt;$H$4,"",IF(INDEX('Fleet dates'!$I$9:$I$1008,$I604-8)="","",INDEX('Fleet dates'!$I$9:$I$1008,$I604-8)))</x:f>
      </x:c>
      <x:c r="I604" t="str">
        <x:f>IF(596&gt;$H$4,"",MATCH(596,'Fleet dates'!$M$9:$M$1008,0)+8)</x:f>
      </x:c>
    </x:row>
    <x:row r="605" ht="36" customHeight="1">
      <x:c r="A605" s="50" t="str">
        <x:f>IF(597&gt;$H$4,"",IF(INDEX('Fleet dates'!$A$9:$A$1008,$I605-8)="","",INDEX('Fleet dates'!$A$9:$A$1008,$I605-8)))</x:f>
      </x:c>
      <x:c r="B605" s="50" t="str">
        <x:f>IF(597&gt;$H$4,"",IF(INDEX('Fleet dates'!$B$9:$B$1008,$I605-8)="","",INDEX('Fleet dates'!$B$9:$B$1008,$I605-8)))</x:f>
      </x:c>
      <x:c r="C605" s="51" t="str">
        <x:f>IF(597&gt;$H$4,"",IF(INDEX('Fleet dates'!$C$9:$C$1008,$I605-8)="","",INDEX('Fleet dates'!$C$9:$C$1008,$I605-8)))</x:f>
      </x:c>
      <x:c r="D605" s="51" t="str">
        <x:f>IF(597&gt;$H$4,"",IF(INDEX('Fleet dates'!$D$9:$D$1008,$I605-8)="","",INDEX('Fleet dates'!$D$9:$D$1008,$I605-8)))</x:f>
      </x:c>
      <x:c r="E605" s="51" t="str">
        <x:f>IF(597&gt;$H$4,"",IF(INDEX('Fleet dates'!$E$9:$E$1008,$I605-8)="","",INDEX('Fleet dates'!$E$9:$E$1008,$I605-8)))</x:f>
      </x:c>
      <x:c r="F605" s="51" t="str">
        <x:f>IF(597&gt;$H$4,"",IF(INDEX('Fleet dates'!$F$9:$F$1008,$I605-8)="","",INDEX('Fleet dates'!$F$9:$F$1008,$I605-8)))</x:f>
      </x:c>
      <x:c r="G605" s="50" t="str">
        <x:f>IF(597&gt;$H$4,"",IF(INDEX('Fleet dates'!$G$9:$G$1008,$I605-8)="","",INDEX('Fleet dates'!$G$9:$G$1008,$I605-8)))</x:f>
      </x:c>
      <x:c r="H605" s="50" t="str">
        <x:f>IF(597&gt;$H$4,"",IF(INDEX('Fleet dates'!$I$9:$I$1008,$I605-8)="","",INDEX('Fleet dates'!$I$9:$I$1008,$I605-8)))</x:f>
      </x:c>
      <x:c r="I605" t="str">
        <x:f>IF(597&gt;$H$4,"",MATCH(597,'Fleet dates'!$M$9:$M$1008,0)+8)</x:f>
      </x:c>
    </x:row>
    <x:row r="606" ht="36" customHeight="1">
      <x:c r="A606" s="50" t="str">
        <x:f>IF(598&gt;$H$4,"",IF(INDEX('Fleet dates'!$A$9:$A$1008,$I606-8)="","",INDEX('Fleet dates'!$A$9:$A$1008,$I606-8)))</x:f>
      </x:c>
      <x:c r="B606" s="50" t="str">
        <x:f>IF(598&gt;$H$4,"",IF(INDEX('Fleet dates'!$B$9:$B$1008,$I606-8)="","",INDEX('Fleet dates'!$B$9:$B$1008,$I606-8)))</x:f>
      </x:c>
      <x:c r="C606" s="51" t="str">
        <x:f>IF(598&gt;$H$4,"",IF(INDEX('Fleet dates'!$C$9:$C$1008,$I606-8)="","",INDEX('Fleet dates'!$C$9:$C$1008,$I606-8)))</x:f>
      </x:c>
      <x:c r="D606" s="51" t="str">
        <x:f>IF(598&gt;$H$4,"",IF(INDEX('Fleet dates'!$D$9:$D$1008,$I606-8)="","",INDEX('Fleet dates'!$D$9:$D$1008,$I606-8)))</x:f>
      </x:c>
      <x:c r="E606" s="51" t="str">
        <x:f>IF(598&gt;$H$4,"",IF(INDEX('Fleet dates'!$E$9:$E$1008,$I606-8)="","",INDEX('Fleet dates'!$E$9:$E$1008,$I606-8)))</x:f>
      </x:c>
      <x:c r="F606" s="51" t="str">
        <x:f>IF(598&gt;$H$4,"",IF(INDEX('Fleet dates'!$F$9:$F$1008,$I606-8)="","",INDEX('Fleet dates'!$F$9:$F$1008,$I606-8)))</x:f>
      </x:c>
      <x:c r="G606" s="50" t="str">
        <x:f>IF(598&gt;$H$4,"",IF(INDEX('Fleet dates'!$G$9:$G$1008,$I606-8)="","",INDEX('Fleet dates'!$G$9:$G$1008,$I606-8)))</x:f>
      </x:c>
      <x:c r="H606" s="50" t="str">
        <x:f>IF(598&gt;$H$4,"",IF(INDEX('Fleet dates'!$I$9:$I$1008,$I606-8)="","",INDEX('Fleet dates'!$I$9:$I$1008,$I606-8)))</x:f>
      </x:c>
      <x:c r="I606" t="str">
        <x:f>IF(598&gt;$H$4,"",MATCH(598,'Fleet dates'!$M$9:$M$1008,0)+8)</x:f>
      </x:c>
    </x:row>
    <x:row r="607" ht="36" customHeight="1">
      <x:c r="A607" s="50" t="str">
        <x:f>IF(599&gt;$H$4,"",IF(INDEX('Fleet dates'!$A$9:$A$1008,$I607-8)="","",INDEX('Fleet dates'!$A$9:$A$1008,$I607-8)))</x:f>
      </x:c>
      <x:c r="B607" s="50" t="str">
        <x:f>IF(599&gt;$H$4,"",IF(INDEX('Fleet dates'!$B$9:$B$1008,$I607-8)="","",INDEX('Fleet dates'!$B$9:$B$1008,$I607-8)))</x:f>
      </x:c>
      <x:c r="C607" s="51" t="str">
        <x:f>IF(599&gt;$H$4,"",IF(INDEX('Fleet dates'!$C$9:$C$1008,$I607-8)="","",INDEX('Fleet dates'!$C$9:$C$1008,$I607-8)))</x:f>
      </x:c>
      <x:c r="D607" s="51" t="str">
        <x:f>IF(599&gt;$H$4,"",IF(INDEX('Fleet dates'!$D$9:$D$1008,$I607-8)="","",INDEX('Fleet dates'!$D$9:$D$1008,$I607-8)))</x:f>
      </x:c>
      <x:c r="E607" s="51" t="str">
        <x:f>IF(599&gt;$H$4,"",IF(INDEX('Fleet dates'!$E$9:$E$1008,$I607-8)="","",INDEX('Fleet dates'!$E$9:$E$1008,$I607-8)))</x:f>
      </x:c>
      <x:c r="F607" s="51" t="str">
        <x:f>IF(599&gt;$H$4,"",IF(INDEX('Fleet dates'!$F$9:$F$1008,$I607-8)="","",INDEX('Fleet dates'!$F$9:$F$1008,$I607-8)))</x:f>
      </x:c>
      <x:c r="G607" s="50" t="str">
        <x:f>IF(599&gt;$H$4,"",IF(INDEX('Fleet dates'!$G$9:$G$1008,$I607-8)="","",INDEX('Fleet dates'!$G$9:$G$1008,$I607-8)))</x:f>
      </x:c>
      <x:c r="H607" s="50" t="str">
        <x:f>IF(599&gt;$H$4,"",IF(INDEX('Fleet dates'!$I$9:$I$1008,$I607-8)="","",INDEX('Fleet dates'!$I$9:$I$1008,$I607-8)))</x:f>
      </x:c>
      <x:c r="I607" t="str">
        <x:f>IF(599&gt;$H$4,"",MATCH(599,'Fleet dates'!$M$9:$M$1008,0)+8)</x:f>
      </x:c>
    </x:row>
    <x:row r="608" ht="36" customHeight="1">
      <x:c r="A608" s="50" t="str">
        <x:f>IF(600&gt;$H$4,"",IF(INDEX('Fleet dates'!$A$9:$A$1008,$I608-8)="","",INDEX('Fleet dates'!$A$9:$A$1008,$I608-8)))</x:f>
      </x:c>
      <x:c r="B608" s="50" t="str">
        <x:f>IF(600&gt;$H$4,"",IF(INDEX('Fleet dates'!$B$9:$B$1008,$I608-8)="","",INDEX('Fleet dates'!$B$9:$B$1008,$I608-8)))</x:f>
      </x:c>
      <x:c r="C608" s="51" t="str">
        <x:f>IF(600&gt;$H$4,"",IF(INDEX('Fleet dates'!$C$9:$C$1008,$I608-8)="","",INDEX('Fleet dates'!$C$9:$C$1008,$I608-8)))</x:f>
      </x:c>
      <x:c r="D608" s="51" t="str">
        <x:f>IF(600&gt;$H$4,"",IF(INDEX('Fleet dates'!$D$9:$D$1008,$I608-8)="","",INDEX('Fleet dates'!$D$9:$D$1008,$I608-8)))</x:f>
      </x:c>
      <x:c r="E608" s="51" t="str">
        <x:f>IF(600&gt;$H$4,"",IF(INDEX('Fleet dates'!$E$9:$E$1008,$I608-8)="","",INDEX('Fleet dates'!$E$9:$E$1008,$I608-8)))</x:f>
      </x:c>
      <x:c r="F608" s="51" t="str">
        <x:f>IF(600&gt;$H$4,"",IF(INDEX('Fleet dates'!$F$9:$F$1008,$I608-8)="","",INDEX('Fleet dates'!$F$9:$F$1008,$I608-8)))</x:f>
      </x:c>
      <x:c r="G608" s="50" t="str">
        <x:f>IF(600&gt;$H$4,"",IF(INDEX('Fleet dates'!$G$9:$G$1008,$I608-8)="","",INDEX('Fleet dates'!$G$9:$G$1008,$I608-8)))</x:f>
      </x:c>
      <x:c r="H608" s="50" t="str">
        <x:f>IF(600&gt;$H$4,"",IF(INDEX('Fleet dates'!$I$9:$I$1008,$I608-8)="","",INDEX('Fleet dates'!$I$9:$I$1008,$I608-8)))</x:f>
      </x:c>
      <x:c r="I608" t="str">
        <x:f>IF(600&gt;$H$4,"",MATCH(600,'Fleet dates'!$M$9:$M$1008,0)+8)</x:f>
      </x:c>
    </x:row>
    <x:row r="609" ht="36" customHeight="1">
      <x:c r="A609" s="50" t="str">
        <x:f>IF(601&gt;$H$4,"",IF(INDEX('Fleet dates'!$A$9:$A$1008,$I609-8)="","",INDEX('Fleet dates'!$A$9:$A$1008,$I609-8)))</x:f>
      </x:c>
      <x:c r="B609" s="50" t="str">
        <x:f>IF(601&gt;$H$4,"",IF(INDEX('Fleet dates'!$B$9:$B$1008,$I609-8)="","",INDEX('Fleet dates'!$B$9:$B$1008,$I609-8)))</x:f>
      </x:c>
      <x:c r="C609" s="51" t="str">
        <x:f>IF(601&gt;$H$4,"",IF(INDEX('Fleet dates'!$C$9:$C$1008,$I609-8)="","",INDEX('Fleet dates'!$C$9:$C$1008,$I609-8)))</x:f>
      </x:c>
      <x:c r="D609" s="51" t="str">
        <x:f>IF(601&gt;$H$4,"",IF(INDEX('Fleet dates'!$D$9:$D$1008,$I609-8)="","",INDEX('Fleet dates'!$D$9:$D$1008,$I609-8)))</x:f>
      </x:c>
      <x:c r="E609" s="51" t="str">
        <x:f>IF(601&gt;$H$4,"",IF(INDEX('Fleet dates'!$E$9:$E$1008,$I609-8)="","",INDEX('Fleet dates'!$E$9:$E$1008,$I609-8)))</x:f>
      </x:c>
      <x:c r="F609" s="51" t="str">
        <x:f>IF(601&gt;$H$4,"",IF(INDEX('Fleet dates'!$F$9:$F$1008,$I609-8)="","",INDEX('Fleet dates'!$F$9:$F$1008,$I609-8)))</x:f>
      </x:c>
      <x:c r="G609" s="50" t="str">
        <x:f>IF(601&gt;$H$4,"",IF(INDEX('Fleet dates'!$G$9:$G$1008,$I609-8)="","",INDEX('Fleet dates'!$G$9:$G$1008,$I609-8)))</x:f>
      </x:c>
      <x:c r="H609" s="50" t="str">
        <x:f>IF(601&gt;$H$4,"",IF(INDEX('Fleet dates'!$I$9:$I$1008,$I609-8)="","",INDEX('Fleet dates'!$I$9:$I$1008,$I609-8)))</x:f>
      </x:c>
      <x:c r="I609" t="str">
        <x:f>IF(601&gt;$H$4,"",MATCH(601,'Fleet dates'!$M$9:$M$1008,0)+8)</x:f>
      </x:c>
    </x:row>
    <x:row r="610" ht="36" customHeight="1">
      <x:c r="A610" s="50" t="str">
        <x:f>IF(602&gt;$H$4,"",IF(INDEX('Fleet dates'!$A$9:$A$1008,$I610-8)="","",INDEX('Fleet dates'!$A$9:$A$1008,$I610-8)))</x:f>
      </x:c>
      <x:c r="B610" s="50" t="str">
        <x:f>IF(602&gt;$H$4,"",IF(INDEX('Fleet dates'!$B$9:$B$1008,$I610-8)="","",INDEX('Fleet dates'!$B$9:$B$1008,$I610-8)))</x:f>
      </x:c>
      <x:c r="C610" s="51" t="str">
        <x:f>IF(602&gt;$H$4,"",IF(INDEX('Fleet dates'!$C$9:$C$1008,$I610-8)="","",INDEX('Fleet dates'!$C$9:$C$1008,$I610-8)))</x:f>
      </x:c>
      <x:c r="D610" s="51" t="str">
        <x:f>IF(602&gt;$H$4,"",IF(INDEX('Fleet dates'!$D$9:$D$1008,$I610-8)="","",INDEX('Fleet dates'!$D$9:$D$1008,$I610-8)))</x:f>
      </x:c>
      <x:c r="E610" s="51" t="str">
        <x:f>IF(602&gt;$H$4,"",IF(INDEX('Fleet dates'!$E$9:$E$1008,$I610-8)="","",INDEX('Fleet dates'!$E$9:$E$1008,$I610-8)))</x:f>
      </x:c>
      <x:c r="F610" s="51" t="str">
        <x:f>IF(602&gt;$H$4,"",IF(INDEX('Fleet dates'!$F$9:$F$1008,$I610-8)="","",INDEX('Fleet dates'!$F$9:$F$1008,$I610-8)))</x:f>
      </x:c>
      <x:c r="G610" s="50" t="str">
        <x:f>IF(602&gt;$H$4,"",IF(INDEX('Fleet dates'!$G$9:$G$1008,$I610-8)="","",INDEX('Fleet dates'!$G$9:$G$1008,$I610-8)))</x:f>
      </x:c>
      <x:c r="H610" s="50" t="str">
        <x:f>IF(602&gt;$H$4,"",IF(INDEX('Fleet dates'!$I$9:$I$1008,$I610-8)="","",INDEX('Fleet dates'!$I$9:$I$1008,$I610-8)))</x:f>
      </x:c>
      <x:c r="I610" t="str">
        <x:f>IF(602&gt;$H$4,"",MATCH(602,'Fleet dates'!$M$9:$M$1008,0)+8)</x:f>
      </x:c>
    </x:row>
    <x:row r="611" ht="36" customHeight="1">
      <x:c r="A611" s="50" t="str">
        <x:f>IF(603&gt;$H$4,"",IF(INDEX('Fleet dates'!$A$9:$A$1008,$I611-8)="","",INDEX('Fleet dates'!$A$9:$A$1008,$I611-8)))</x:f>
      </x:c>
      <x:c r="B611" s="50" t="str">
        <x:f>IF(603&gt;$H$4,"",IF(INDEX('Fleet dates'!$B$9:$B$1008,$I611-8)="","",INDEX('Fleet dates'!$B$9:$B$1008,$I611-8)))</x:f>
      </x:c>
      <x:c r="C611" s="51" t="str">
        <x:f>IF(603&gt;$H$4,"",IF(INDEX('Fleet dates'!$C$9:$C$1008,$I611-8)="","",INDEX('Fleet dates'!$C$9:$C$1008,$I611-8)))</x:f>
      </x:c>
      <x:c r="D611" s="51" t="str">
        <x:f>IF(603&gt;$H$4,"",IF(INDEX('Fleet dates'!$D$9:$D$1008,$I611-8)="","",INDEX('Fleet dates'!$D$9:$D$1008,$I611-8)))</x:f>
      </x:c>
      <x:c r="E611" s="51" t="str">
        <x:f>IF(603&gt;$H$4,"",IF(INDEX('Fleet dates'!$E$9:$E$1008,$I611-8)="","",INDEX('Fleet dates'!$E$9:$E$1008,$I611-8)))</x:f>
      </x:c>
      <x:c r="F611" s="51" t="str">
        <x:f>IF(603&gt;$H$4,"",IF(INDEX('Fleet dates'!$F$9:$F$1008,$I611-8)="","",INDEX('Fleet dates'!$F$9:$F$1008,$I611-8)))</x:f>
      </x:c>
      <x:c r="G611" s="50" t="str">
        <x:f>IF(603&gt;$H$4,"",IF(INDEX('Fleet dates'!$G$9:$G$1008,$I611-8)="","",INDEX('Fleet dates'!$G$9:$G$1008,$I611-8)))</x:f>
      </x:c>
      <x:c r="H611" s="50" t="str">
        <x:f>IF(603&gt;$H$4,"",IF(INDEX('Fleet dates'!$I$9:$I$1008,$I611-8)="","",INDEX('Fleet dates'!$I$9:$I$1008,$I611-8)))</x:f>
      </x:c>
      <x:c r="I611" t="str">
        <x:f>IF(603&gt;$H$4,"",MATCH(603,'Fleet dates'!$M$9:$M$1008,0)+8)</x:f>
      </x:c>
    </x:row>
    <x:row r="612" ht="36" customHeight="1">
      <x:c r="A612" s="50" t="str">
        <x:f>IF(604&gt;$H$4,"",IF(INDEX('Fleet dates'!$A$9:$A$1008,$I612-8)="","",INDEX('Fleet dates'!$A$9:$A$1008,$I612-8)))</x:f>
      </x:c>
      <x:c r="B612" s="50" t="str">
        <x:f>IF(604&gt;$H$4,"",IF(INDEX('Fleet dates'!$B$9:$B$1008,$I612-8)="","",INDEX('Fleet dates'!$B$9:$B$1008,$I612-8)))</x:f>
      </x:c>
      <x:c r="C612" s="51" t="str">
        <x:f>IF(604&gt;$H$4,"",IF(INDEX('Fleet dates'!$C$9:$C$1008,$I612-8)="","",INDEX('Fleet dates'!$C$9:$C$1008,$I612-8)))</x:f>
      </x:c>
      <x:c r="D612" s="51" t="str">
        <x:f>IF(604&gt;$H$4,"",IF(INDEX('Fleet dates'!$D$9:$D$1008,$I612-8)="","",INDEX('Fleet dates'!$D$9:$D$1008,$I612-8)))</x:f>
      </x:c>
      <x:c r="E612" s="51" t="str">
        <x:f>IF(604&gt;$H$4,"",IF(INDEX('Fleet dates'!$E$9:$E$1008,$I612-8)="","",INDEX('Fleet dates'!$E$9:$E$1008,$I612-8)))</x:f>
      </x:c>
      <x:c r="F612" s="51" t="str">
        <x:f>IF(604&gt;$H$4,"",IF(INDEX('Fleet dates'!$F$9:$F$1008,$I612-8)="","",INDEX('Fleet dates'!$F$9:$F$1008,$I612-8)))</x:f>
      </x:c>
      <x:c r="G612" s="50" t="str">
        <x:f>IF(604&gt;$H$4,"",IF(INDEX('Fleet dates'!$G$9:$G$1008,$I612-8)="","",INDEX('Fleet dates'!$G$9:$G$1008,$I612-8)))</x:f>
      </x:c>
      <x:c r="H612" s="50" t="str">
        <x:f>IF(604&gt;$H$4,"",IF(INDEX('Fleet dates'!$I$9:$I$1008,$I612-8)="","",INDEX('Fleet dates'!$I$9:$I$1008,$I612-8)))</x:f>
      </x:c>
      <x:c r="I612" t="str">
        <x:f>IF(604&gt;$H$4,"",MATCH(604,'Fleet dates'!$M$9:$M$1008,0)+8)</x:f>
      </x:c>
    </x:row>
    <x:row r="613" ht="36" customHeight="1">
      <x:c r="A613" s="50" t="str">
        <x:f>IF(605&gt;$H$4,"",IF(INDEX('Fleet dates'!$A$9:$A$1008,$I613-8)="","",INDEX('Fleet dates'!$A$9:$A$1008,$I613-8)))</x:f>
      </x:c>
      <x:c r="B613" s="50" t="str">
        <x:f>IF(605&gt;$H$4,"",IF(INDEX('Fleet dates'!$B$9:$B$1008,$I613-8)="","",INDEX('Fleet dates'!$B$9:$B$1008,$I613-8)))</x:f>
      </x:c>
      <x:c r="C613" s="51" t="str">
        <x:f>IF(605&gt;$H$4,"",IF(INDEX('Fleet dates'!$C$9:$C$1008,$I613-8)="","",INDEX('Fleet dates'!$C$9:$C$1008,$I613-8)))</x:f>
      </x:c>
      <x:c r="D613" s="51" t="str">
        <x:f>IF(605&gt;$H$4,"",IF(INDEX('Fleet dates'!$D$9:$D$1008,$I613-8)="","",INDEX('Fleet dates'!$D$9:$D$1008,$I613-8)))</x:f>
      </x:c>
      <x:c r="E613" s="51" t="str">
        <x:f>IF(605&gt;$H$4,"",IF(INDEX('Fleet dates'!$E$9:$E$1008,$I613-8)="","",INDEX('Fleet dates'!$E$9:$E$1008,$I613-8)))</x:f>
      </x:c>
      <x:c r="F613" s="51" t="str">
        <x:f>IF(605&gt;$H$4,"",IF(INDEX('Fleet dates'!$F$9:$F$1008,$I613-8)="","",INDEX('Fleet dates'!$F$9:$F$1008,$I613-8)))</x:f>
      </x:c>
      <x:c r="G613" s="50" t="str">
        <x:f>IF(605&gt;$H$4,"",IF(INDEX('Fleet dates'!$G$9:$G$1008,$I613-8)="","",INDEX('Fleet dates'!$G$9:$G$1008,$I613-8)))</x:f>
      </x:c>
      <x:c r="H613" s="50" t="str">
        <x:f>IF(605&gt;$H$4,"",IF(INDEX('Fleet dates'!$I$9:$I$1008,$I613-8)="","",INDEX('Fleet dates'!$I$9:$I$1008,$I613-8)))</x:f>
      </x:c>
      <x:c r="I613" t="str">
        <x:f>IF(605&gt;$H$4,"",MATCH(605,'Fleet dates'!$M$9:$M$1008,0)+8)</x:f>
      </x:c>
    </x:row>
    <x:row r="614" ht="36" customHeight="1">
      <x:c r="A614" s="50" t="str">
        <x:f>IF(606&gt;$H$4,"",IF(INDEX('Fleet dates'!$A$9:$A$1008,$I614-8)="","",INDEX('Fleet dates'!$A$9:$A$1008,$I614-8)))</x:f>
      </x:c>
      <x:c r="B614" s="50" t="str">
        <x:f>IF(606&gt;$H$4,"",IF(INDEX('Fleet dates'!$B$9:$B$1008,$I614-8)="","",INDEX('Fleet dates'!$B$9:$B$1008,$I614-8)))</x:f>
      </x:c>
      <x:c r="C614" s="51" t="str">
        <x:f>IF(606&gt;$H$4,"",IF(INDEX('Fleet dates'!$C$9:$C$1008,$I614-8)="","",INDEX('Fleet dates'!$C$9:$C$1008,$I614-8)))</x:f>
      </x:c>
      <x:c r="D614" s="51" t="str">
        <x:f>IF(606&gt;$H$4,"",IF(INDEX('Fleet dates'!$D$9:$D$1008,$I614-8)="","",INDEX('Fleet dates'!$D$9:$D$1008,$I614-8)))</x:f>
      </x:c>
      <x:c r="E614" s="51" t="str">
        <x:f>IF(606&gt;$H$4,"",IF(INDEX('Fleet dates'!$E$9:$E$1008,$I614-8)="","",INDEX('Fleet dates'!$E$9:$E$1008,$I614-8)))</x:f>
      </x:c>
      <x:c r="F614" s="51" t="str">
        <x:f>IF(606&gt;$H$4,"",IF(INDEX('Fleet dates'!$F$9:$F$1008,$I614-8)="","",INDEX('Fleet dates'!$F$9:$F$1008,$I614-8)))</x:f>
      </x:c>
      <x:c r="G614" s="50" t="str">
        <x:f>IF(606&gt;$H$4,"",IF(INDEX('Fleet dates'!$G$9:$G$1008,$I614-8)="","",INDEX('Fleet dates'!$G$9:$G$1008,$I614-8)))</x:f>
      </x:c>
      <x:c r="H614" s="50" t="str">
        <x:f>IF(606&gt;$H$4,"",IF(INDEX('Fleet dates'!$I$9:$I$1008,$I614-8)="","",INDEX('Fleet dates'!$I$9:$I$1008,$I614-8)))</x:f>
      </x:c>
      <x:c r="I614" t="str">
        <x:f>IF(606&gt;$H$4,"",MATCH(606,'Fleet dates'!$M$9:$M$1008,0)+8)</x:f>
      </x:c>
    </x:row>
    <x:row r="615" ht="36" customHeight="1">
      <x:c r="A615" s="50" t="str">
        <x:f>IF(607&gt;$H$4,"",IF(INDEX('Fleet dates'!$A$9:$A$1008,$I615-8)="","",INDEX('Fleet dates'!$A$9:$A$1008,$I615-8)))</x:f>
      </x:c>
      <x:c r="B615" s="50" t="str">
        <x:f>IF(607&gt;$H$4,"",IF(INDEX('Fleet dates'!$B$9:$B$1008,$I615-8)="","",INDEX('Fleet dates'!$B$9:$B$1008,$I615-8)))</x:f>
      </x:c>
      <x:c r="C615" s="51" t="str">
        <x:f>IF(607&gt;$H$4,"",IF(INDEX('Fleet dates'!$C$9:$C$1008,$I615-8)="","",INDEX('Fleet dates'!$C$9:$C$1008,$I615-8)))</x:f>
      </x:c>
      <x:c r="D615" s="51" t="str">
        <x:f>IF(607&gt;$H$4,"",IF(INDEX('Fleet dates'!$D$9:$D$1008,$I615-8)="","",INDEX('Fleet dates'!$D$9:$D$1008,$I615-8)))</x:f>
      </x:c>
      <x:c r="E615" s="51" t="str">
        <x:f>IF(607&gt;$H$4,"",IF(INDEX('Fleet dates'!$E$9:$E$1008,$I615-8)="","",INDEX('Fleet dates'!$E$9:$E$1008,$I615-8)))</x:f>
      </x:c>
      <x:c r="F615" s="51" t="str">
        <x:f>IF(607&gt;$H$4,"",IF(INDEX('Fleet dates'!$F$9:$F$1008,$I615-8)="","",INDEX('Fleet dates'!$F$9:$F$1008,$I615-8)))</x:f>
      </x:c>
      <x:c r="G615" s="50" t="str">
        <x:f>IF(607&gt;$H$4,"",IF(INDEX('Fleet dates'!$G$9:$G$1008,$I615-8)="","",INDEX('Fleet dates'!$G$9:$G$1008,$I615-8)))</x:f>
      </x:c>
      <x:c r="H615" s="50" t="str">
        <x:f>IF(607&gt;$H$4,"",IF(INDEX('Fleet dates'!$I$9:$I$1008,$I615-8)="","",INDEX('Fleet dates'!$I$9:$I$1008,$I615-8)))</x:f>
      </x:c>
      <x:c r="I615" t="str">
        <x:f>IF(607&gt;$H$4,"",MATCH(607,'Fleet dates'!$M$9:$M$1008,0)+8)</x:f>
      </x:c>
    </x:row>
    <x:row r="616" ht="36" customHeight="1">
      <x:c r="A616" s="50" t="str">
        <x:f>IF(608&gt;$H$4,"",IF(INDEX('Fleet dates'!$A$9:$A$1008,$I616-8)="","",INDEX('Fleet dates'!$A$9:$A$1008,$I616-8)))</x:f>
      </x:c>
      <x:c r="B616" s="50" t="str">
        <x:f>IF(608&gt;$H$4,"",IF(INDEX('Fleet dates'!$B$9:$B$1008,$I616-8)="","",INDEX('Fleet dates'!$B$9:$B$1008,$I616-8)))</x:f>
      </x:c>
      <x:c r="C616" s="51" t="str">
        <x:f>IF(608&gt;$H$4,"",IF(INDEX('Fleet dates'!$C$9:$C$1008,$I616-8)="","",INDEX('Fleet dates'!$C$9:$C$1008,$I616-8)))</x:f>
      </x:c>
      <x:c r="D616" s="51" t="str">
        <x:f>IF(608&gt;$H$4,"",IF(INDEX('Fleet dates'!$D$9:$D$1008,$I616-8)="","",INDEX('Fleet dates'!$D$9:$D$1008,$I616-8)))</x:f>
      </x:c>
      <x:c r="E616" s="51" t="str">
        <x:f>IF(608&gt;$H$4,"",IF(INDEX('Fleet dates'!$E$9:$E$1008,$I616-8)="","",INDEX('Fleet dates'!$E$9:$E$1008,$I616-8)))</x:f>
      </x:c>
      <x:c r="F616" s="51" t="str">
        <x:f>IF(608&gt;$H$4,"",IF(INDEX('Fleet dates'!$F$9:$F$1008,$I616-8)="","",INDEX('Fleet dates'!$F$9:$F$1008,$I616-8)))</x:f>
      </x:c>
      <x:c r="G616" s="50" t="str">
        <x:f>IF(608&gt;$H$4,"",IF(INDEX('Fleet dates'!$G$9:$G$1008,$I616-8)="","",INDEX('Fleet dates'!$G$9:$G$1008,$I616-8)))</x:f>
      </x:c>
      <x:c r="H616" s="50" t="str">
        <x:f>IF(608&gt;$H$4,"",IF(INDEX('Fleet dates'!$I$9:$I$1008,$I616-8)="","",INDEX('Fleet dates'!$I$9:$I$1008,$I616-8)))</x:f>
      </x:c>
      <x:c r="I616" t="str">
        <x:f>IF(608&gt;$H$4,"",MATCH(608,'Fleet dates'!$M$9:$M$1008,0)+8)</x:f>
      </x:c>
    </x:row>
    <x:row r="617" ht="36" customHeight="1">
      <x:c r="A617" s="50" t="str">
        <x:f>IF(609&gt;$H$4,"",IF(INDEX('Fleet dates'!$A$9:$A$1008,$I617-8)="","",INDEX('Fleet dates'!$A$9:$A$1008,$I617-8)))</x:f>
      </x:c>
      <x:c r="B617" s="50" t="str">
        <x:f>IF(609&gt;$H$4,"",IF(INDEX('Fleet dates'!$B$9:$B$1008,$I617-8)="","",INDEX('Fleet dates'!$B$9:$B$1008,$I617-8)))</x:f>
      </x:c>
      <x:c r="C617" s="51" t="str">
        <x:f>IF(609&gt;$H$4,"",IF(INDEX('Fleet dates'!$C$9:$C$1008,$I617-8)="","",INDEX('Fleet dates'!$C$9:$C$1008,$I617-8)))</x:f>
      </x:c>
      <x:c r="D617" s="51" t="str">
        <x:f>IF(609&gt;$H$4,"",IF(INDEX('Fleet dates'!$D$9:$D$1008,$I617-8)="","",INDEX('Fleet dates'!$D$9:$D$1008,$I617-8)))</x:f>
      </x:c>
      <x:c r="E617" s="51" t="str">
        <x:f>IF(609&gt;$H$4,"",IF(INDEX('Fleet dates'!$E$9:$E$1008,$I617-8)="","",INDEX('Fleet dates'!$E$9:$E$1008,$I617-8)))</x:f>
      </x:c>
      <x:c r="F617" s="51" t="str">
        <x:f>IF(609&gt;$H$4,"",IF(INDEX('Fleet dates'!$F$9:$F$1008,$I617-8)="","",INDEX('Fleet dates'!$F$9:$F$1008,$I617-8)))</x:f>
      </x:c>
      <x:c r="G617" s="50" t="str">
        <x:f>IF(609&gt;$H$4,"",IF(INDEX('Fleet dates'!$G$9:$G$1008,$I617-8)="","",INDEX('Fleet dates'!$G$9:$G$1008,$I617-8)))</x:f>
      </x:c>
      <x:c r="H617" s="50" t="str">
        <x:f>IF(609&gt;$H$4,"",IF(INDEX('Fleet dates'!$I$9:$I$1008,$I617-8)="","",INDEX('Fleet dates'!$I$9:$I$1008,$I617-8)))</x:f>
      </x:c>
      <x:c r="I617" t="str">
        <x:f>IF(609&gt;$H$4,"",MATCH(609,'Fleet dates'!$M$9:$M$1008,0)+8)</x:f>
      </x:c>
    </x:row>
    <x:row r="618" ht="36" customHeight="1">
      <x:c r="A618" s="50" t="str">
        <x:f>IF(610&gt;$H$4,"",IF(INDEX('Fleet dates'!$A$9:$A$1008,$I618-8)="","",INDEX('Fleet dates'!$A$9:$A$1008,$I618-8)))</x:f>
      </x:c>
      <x:c r="B618" s="50" t="str">
        <x:f>IF(610&gt;$H$4,"",IF(INDEX('Fleet dates'!$B$9:$B$1008,$I618-8)="","",INDEX('Fleet dates'!$B$9:$B$1008,$I618-8)))</x:f>
      </x:c>
      <x:c r="C618" s="51" t="str">
        <x:f>IF(610&gt;$H$4,"",IF(INDEX('Fleet dates'!$C$9:$C$1008,$I618-8)="","",INDEX('Fleet dates'!$C$9:$C$1008,$I618-8)))</x:f>
      </x:c>
      <x:c r="D618" s="51" t="str">
        <x:f>IF(610&gt;$H$4,"",IF(INDEX('Fleet dates'!$D$9:$D$1008,$I618-8)="","",INDEX('Fleet dates'!$D$9:$D$1008,$I618-8)))</x:f>
      </x:c>
      <x:c r="E618" s="51" t="str">
        <x:f>IF(610&gt;$H$4,"",IF(INDEX('Fleet dates'!$E$9:$E$1008,$I618-8)="","",INDEX('Fleet dates'!$E$9:$E$1008,$I618-8)))</x:f>
      </x:c>
      <x:c r="F618" s="51" t="str">
        <x:f>IF(610&gt;$H$4,"",IF(INDEX('Fleet dates'!$F$9:$F$1008,$I618-8)="","",INDEX('Fleet dates'!$F$9:$F$1008,$I618-8)))</x:f>
      </x:c>
      <x:c r="G618" s="50" t="str">
        <x:f>IF(610&gt;$H$4,"",IF(INDEX('Fleet dates'!$G$9:$G$1008,$I618-8)="","",INDEX('Fleet dates'!$G$9:$G$1008,$I618-8)))</x:f>
      </x:c>
      <x:c r="H618" s="50" t="str">
        <x:f>IF(610&gt;$H$4,"",IF(INDEX('Fleet dates'!$I$9:$I$1008,$I618-8)="","",INDEX('Fleet dates'!$I$9:$I$1008,$I618-8)))</x:f>
      </x:c>
      <x:c r="I618" t="str">
        <x:f>IF(610&gt;$H$4,"",MATCH(610,'Fleet dates'!$M$9:$M$1008,0)+8)</x:f>
      </x:c>
    </x:row>
    <x:row r="619" ht="36" customHeight="1">
      <x:c r="A619" s="50" t="str">
        <x:f>IF(611&gt;$H$4,"",IF(INDEX('Fleet dates'!$A$9:$A$1008,$I619-8)="","",INDEX('Fleet dates'!$A$9:$A$1008,$I619-8)))</x:f>
      </x:c>
      <x:c r="B619" s="50" t="str">
        <x:f>IF(611&gt;$H$4,"",IF(INDEX('Fleet dates'!$B$9:$B$1008,$I619-8)="","",INDEX('Fleet dates'!$B$9:$B$1008,$I619-8)))</x:f>
      </x:c>
      <x:c r="C619" s="51" t="str">
        <x:f>IF(611&gt;$H$4,"",IF(INDEX('Fleet dates'!$C$9:$C$1008,$I619-8)="","",INDEX('Fleet dates'!$C$9:$C$1008,$I619-8)))</x:f>
      </x:c>
      <x:c r="D619" s="51" t="str">
        <x:f>IF(611&gt;$H$4,"",IF(INDEX('Fleet dates'!$D$9:$D$1008,$I619-8)="","",INDEX('Fleet dates'!$D$9:$D$1008,$I619-8)))</x:f>
      </x:c>
      <x:c r="E619" s="51" t="str">
        <x:f>IF(611&gt;$H$4,"",IF(INDEX('Fleet dates'!$E$9:$E$1008,$I619-8)="","",INDEX('Fleet dates'!$E$9:$E$1008,$I619-8)))</x:f>
      </x:c>
      <x:c r="F619" s="51" t="str">
        <x:f>IF(611&gt;$H$4,"",IF(INDEX('Fleet dates'!$F$9:$F$1008,$I619-8)="","",INDEX('Fleet dates'!$F$9:$F$1008,$I619-8)))</x:f>
      </x:c>
      <x:c r="G619" s="50" t="str">
        <x:f>IF(611&gt;$H$4,"",IF(INDEX('Fleet dates'!$G$9:$G$1008,$I619-8)="","",INDEX('Fleet dates'!$G$9:$G$1008,$I619-8)))</x:f>
      </x:c>
      <x:c r="H619" s="50" t="str">
        <x:f>IF(611&gt;$H$4,"",IF(INDEX('Fleet dates'!$I$9:$I$1008,$I619-8)="","",INDEX('Fleet dates'!$I$9:$I$1008,$I619-8)))</x:f>
      </x:c>
      <x:c r="I619" t="str">
        <x:f>IF(611&gt;$H$4,"",MATCH(611,'Fleet dates'!$M$9:$M$1008,0)+8)</x:f>
      </x:c>
    </x:row>
    <x:row r="620" ht="36" customHeight="1">
      <x:c r="A620" s="50" t="str">
        <x:f>IF(612&gt;$H$4,"",IF(INDEX('Fleet dates'!$A$9:$A$1008,$I620-8)="","",INDEX('Fleet dates'!$A$9:$A$1008,$I620-8)))</x:f>
      </x:c>
      <x:c r="B620" s="50" t="str">
        <x:f>IF(612&gt;$H$4,"",IF(INDEX('Fleet dates'!$B$9:$B$1008,$I620-8)="","",INDEX('Fleet dates'!$B$9:$B$1008,$I620-8)))</x:f>
      </x:c>
      <x:c r="C620" s="51" t="str">
        <x:f>IF(612&gt;$H$4,"",IF(INDEX('Fleet dates'!$C$9:$C$1008,$I620-8)="","",INDEX('Fleet dates'!$C$9:$C$1008,$I620-8)))</x:f>
      </x:c>
      <x:c r="D620" s="51" t="str">
        <x:f>IF(612&gt;$H$4,"",IF(INDEX('Fleet dates'!$D$9:$D$1008,$I620-8)="","",INDEX('Fleet dates'!$D$9:$D$1008,$I620-8)))</x:f>
      </x:c>
      <x:c r="E620" s="51" t="str">
        <x:f>IF(612&gt;$H$4,"",IF(INDEX('Fleet dates'!$E$9:$E$1008,$I620-8)="","",INDEX('Fleet dates'!$E$9:$E$1008,$I620-8)))</x:f>
      </x:c>
      <x:c r="F620" s="51" t="str">
        <x:f>IF(612&gt;$H$4,"",IF(INDEX('Fleet dates'!$F$9:$F$1008,$I620-8)="","",INDEX('Fleet dates'!$F$9:$F$1008,$I620-8)))</x:f>
      </x:c>
      <x:c r="G620" s="50" t="str">
        <x:f>IF(612&gt;$H$4,"",IF(INDEX('Fleet dates'!$G$9:$G$1008,$I620-8)="","",INDEX('Fleet dates'!$G$9:$G$1008,$I620-8)))</x:f>
      </x:c>
      <x:c r="H620" s="50" t="str">
        <x:f>IF(612&gt;$H$4,"",IF(INDEX('Fleet dates'!$I$9:$I$1008,$I620-8)="","",INDEX('Fleet dates'!$I$9:$I$1008,$I620-8)))</x:f>
      </x:c>
      <x:c r="I620" t="str">
        <x:f>IF(612&gt;$H$4,"",MATCH(612,'Fleet dates'!$M$9:$M$1008,0)+8)</x:f>
      </x:c>
    </x:row>
    <x:row r="621" ht="36" customHeight="1">
      <x:c r="A621" s="50" t="str">
        <x:f>IF(613&gt;$H$4,"",IF(INDEX('Fleet dates'!$A$9:$A$1008,$I621-8)="","",INDEX('Fleet dates'!$A$9:$A$1008,$I621-8)))</x:f>
      </x:c>
      <x:c r="B621" s="50" t="str">
        <x:f>IF(613&gt;$H$4,"",IF(INDEX('Fleet dates'!$B$9:$B$1008,$I621-8)="","",INDEX('Fleet dates'!$B$9:$B$1008,$I621-8)))</x:f>
      </x:c>
      <x:c r="C621" s="51" t="str">
        <x:f>IF(613&gt;$H$4,"",IF(INDEX('Fleet dates'!$C$9:$C$1008,$I621-8)="","",INDEX('Fleet dates'!$C$9:$C$1008,$I621-8)))</x:f>
      </x:c>
      <x:c r="D621" s="51" t="str">
        <x:f>IF(613&gt;$H$4,"",IF(INDEX('Fleet dates'!$D$9:$D$1008,$I621-8)="","",INDEX('Fleet dates'!$D$9:$D$1008,$I621-8)))</x:f>
      </x:c>
      <x:c r="E621" s="51" t="str">
        <x:f>IF(613&gt;$H$4,"",IF(INDEX('Fleet dates'!$E$9:$E$1008,$I621-8)="","",INDEX('Fleet dates'!$E$9:$E$1008,$I621-8)))</x:f>
      </x:c>
      <x:c r="F621" s="51" t="str">
        <x:f>IF(613&gt;$H$4,"",IF(INDEX('Fleet dates'!$F$9:$F$1008,$I621-8)="","",INDEX('Fleet dates'!$F$9:$F$1008,$I621-8)))</x:f>
      </x:c>
      <x:c r="G621" s="50" t="str">
        <x:f>IF(613&gt;$H$4,"",IF(INDEX('Fleet dates'!$G$9:$G$1008,$I621-8)="","",INDEX('Fleet dates'!$G$9:$G$1008,$I621-8)))</x:f>
      </x:c>
      <x:c r="H621" s="50" t="str">
        <x:f>IF(613&gt;$H$4,"",IF(INDEX('Fleet dates'!$I$9:$I$1008,$I621-8)="","",INDEX('Fleet dates'!$I$9:$I$1008,$I621-8)))</x:f>
      </x:c>
      <x:c r="I621" t="str">
        <x:f>IF(613&gt;$H$4,"",MATCH(613,'Fleet dates'!$M$9:$M$1008,0)+8)</x:f>
      </x:c>
    </x:row>
    <x:row r="622" ht="36" customHeight="1">
      <x:c r="A622" s="50" t="str">
        <x:f>IF(614&gt;$H$4,"",IF(INDEX('Fleet dates'!$A$9:$A$1008,$I622-8)="","",INDEX('Fleet dates'!$A$9:$A$1008,$I622-8)))</x:f>
      </x:c>
      <x:c r="B622" s="50" t="str">
        <x:f>IF(614&gt;$H$4,"",IF(INDEX('Fleet dates'!$B$9:$B$1008,$I622-8)="","",INDEX('Fleet dates'!$B$9:$B$1008,$I622-8)))</x:f>
      </x:c>
      <x:c r="C622" s="51" t="str">
        <x:f>IF(614&gt;$H$4,"",IF(INDEX('Fleet dates'!$C$9:$C$1008,$I622-8)="","",INDEX('Fleet dates'!$C$9:$C$1008,$I622-8)))</x:f>
      </x:c>
      <x:c r="D622" s="51" t="str">
        <x:f>IF(614&gt;$H$4,"",IF(INDEX('Fleet dates'!$D$9:$D$1008,$I622-8)="","",INDEX('Fleet dates'!$D$9:$D$1008,$I622-8)))</x:f>
      </x:c>
      <x:c r="E622" s="51" t="str">
        <x:f>IF(614&gt;$H$4,"",IF(INDEX('Fleet dates'!$E$9:$E$1008,$I622-8)="","",INDEX('Fleet dates'!$E$9:$E$1008,$I622-8)))</x:f>
      </x:c>
      <x:c r="F622" s="51" t="str">
        <x:f>IF(614&gt;$H$4,"",IF(INDEX('Fleet dates'!$F$9:$F$1008,$I622-8)="","",INDEX('Fleet dates'!$F$9:$F$1008,$I622-8)))</x:f>
      </x:c>
      <x:c r="G622" s="50" t="str">
        <x:f>IF(614&gt;$H$4,"",IF(INDEX('Fleet dates'!$G$9:$G$1008,$I622-8)="","",INDEX('Fleet dates'!$G$9:$G$1008,$I622-8)))</x:f>
      </x:c>
      <x:c r="H622" s="50" t="str">
        <x:f>IF(614&gt;$H$4,"",IF(INDEX('Fleet dates'!$I$9:$I$1008,$I622-8)="","",INDEX('Fleet dates'!$I$9:$I$1008,$I622-8)))</x:f>
      </x:c>
      <x:c r="I622" t="str">
        <x:f>IF(614&gt;$H$4,"",MATCH(614,'Fleet dates'!$M$9:$M$1008,0)+8)</x:f>
      </x:c>
    </x:row>
    <x:row r="623" ht="36" customHeight="1">
      <x:c r="A623" s="50" t="str">
        <x:f>IF(615&gt;$H$4,"",IF(INDEX('Fleet dates'!$A$9:$A$1008,$I623-8)="","",INDEX('Fleet dates'!$A$9:$A$1008,$I623-8)))</x:f>
      </x:c>
      <x:c r="B623" s="50" t="str">
        <x:f>IF(615&gt;$H$4,"",IF(INDEX('Fleet dates'!$B$9:$B$1008,$I623-8)="","",INDEX('Fleet dates'!$B$9:$B$1008,$I623-8)))</x:f>
      </x:c>
      <x:c r="C623" s="51" t="str">
        <x:f>IF(615&gt;$H$4,"",IF(INDEX('Fleet dates'!$C$9:$C$1008,$I623-8)="","",INDEX('Fleet dates'!$C$9:$C$1008,$I623-8)))</x:f>
      </x:c>
      <x:c r="D623" s="51" t="str">
        <x:f>IF(615&gt;$H$4,"",IF(INDEX('Fleet dates'!$D$9:$D$1008,$I623-8)="","",INDEX('Fleet dates'!$D$9:$D$1008,$I623-8)))</x:f>
      </x:c>
      <x:c r="E623" s="51" t="str">
        <x:f>IF(615&gt;$H$4,"",IF(INDEX('Fleet dates'!$E$9:$E$1008,$I623-8)="","",INDEX('Fleet dates'!$E$9:$E$1008,$I623-8)))</x:f>
      </x:c>
      <x:c r="F623" s="51" t="str">
        <x:f>IF(615&gt;$H$4,"",IF(INDEX('Fleet dates'!$F$9:$F$1008,$I623-8)="","",INDEX('Fleet dates'!$F$9:$F$1008,$I623-8)))</x:f>
      </x:c>
      <x:c r="G623" s="50" t="str">
        <x:f>IF(615&gt;$H$4,"",IF(INDEX('Fleet dates'!$G$9:$G$1008,$I623-8)="","",INDEX('Fleet dates'!$G$9:$G$1008,$I623-8)))</x:f>
      </x:c>
      <x:c r="H623" s="50" t="str">
        <x:f>IF(615&gt;$H$4,"",IF(INDEX('Fleet dates'!$I$9:$I$1008,$I623-8)="","",INDEX('Fleet dates'!$I$9:$I$1008,$I623-8)))</x:f>
      </x:c>
      <x:c r="I623" t="str">
        <x:f>IF(615&gt;$H$4,"",MATCH(615,'Fleet dates'!$M$9:$M$1008,0)+8)</x:f>
      </x:c>
    </x:row>
    <x:row r="624" ht="36" customHeight="1">
      <x:c r="A624" s="50" t="str">
        <x:f>IF(616&gt;$H$4,"",IF(INDEX('Fleet dates'!$A$9:$A$1008,$I624-8)="","",INDEX('Fleet dates'!$A$9:$A$1008,$I624-8)))</x:f>
      </x:c>
      <x:c r="B624" s="50" t="str">
        <x:f>IF(616&gt;$H$4,"",IF(INDEX('Fleet dates'!$B$9:$B$1008,$I624-8)="","",INDEX('Fleet dates'!$B$9:$B$1008,$I624-8)))</x:f>
      </x:c>
      <x:c r="C624" s="51" t="str">
        <x:f>IF(616&gt;$H$4,"",IF(INDEX('Fleet dates'!$C$9:$C$1008,$I624-8)="","",INDEX('Fleet dates'!$C$9:$C$1008,$I624-8)))</x:f>
      </x:c>
      <x:c r="D624" s="51" t="str">
        <x:f>IF(616&gt;$H$4,"",IF(INDEX('Fleet dates'!$D$9:$D$1008,$I624-8)="","",INDEX('Fleet dates'!$D$9:$D$1008,$I624-8)))</x:f>
      </x:c>
      <x:c r="E624" s="51" t="str">
        <x:f>IF(616&gt;$H$4,"",IF(INDEX('Fleet dates'!$E$9:$E$1008,$I624-8)="","",INDEX('Fleet dates'!$E$9:$E$1008,$I624-8)))</x:f>
      </x:c>
      <x:c r="F624" s="51" t="str">
        <x:f>IF(616&gt;$H$4,"",IF(INDEX('Fleet dates'!$F$9:$F$1008,$I624-8)="","",INDEX('Fleet dates'!$F$9:$F$1008,$I624-8)))</x:f>
      </x:c>
      <x:c r="G624" s="50" t="str">
        <x:f>IF(616&gt;$H$4,"",IF(INDEX('Fleet dates'!$G$9:$G$1008,$I624-8)="","",INDEX('Fleet dates'!$G$9:$G$1008,$I624-8)))</x:f>
      </x:c>
      <x:c r="H624" s="50" t="str">
        <x:f>IF(616&gt;$H$4,"",IF(INDEX('Fleet dates'!$I$9:$I$1008,$I624-8)="","",INDEX('Fleet dates'!$I$9:$I$1008,$I624-8)))</x:f>
      </x:c>
      <x:c r="I624" t="str">
        <x:f>IF(616&gt;$H$4,"",MATCH(616,'Fleet dates'!$M$9:$M$1008,0)+8)</x:f>
      </x:c>
    </x:row>
    <x:row r="625" ht="36" customHeight="1">
      <x:c r="A625" s="50" t="str">
        <x:f>IF(617&gt;$H$4,"",IF(INDEX('Fleet dates'!$A$9:$A$1008,$I625-8)="","",INDEX('Fleet dates'!$A$9:$A$1008,$I625-8)))</x:f>
      </x:c>
      <x:c r="B625" s="50" t="str">
        <x:f>IF(617&gt;$H$4,"",IF(INDEX('Fleet dates'!$B$9:$B$1008,$I625-8)="","",INDEX('Fleet dates'!$B$9:$B$1008,$I625-8)))</x:f>
      </x:c>
      <x:c r="C625" s="51" t="str">
        <x:f>IF(617&gt;$H$4,"",IF(INDEX('Fleet dates'!$C$9:$C$1008,$I625-8)="","",INDEX('Fleet dates'!$C$9:$C$1008,$I625-8)))</x:f>
      </x:c>
      <x:c r="D625" s="51" t="str">
        <x:f>IF(617&gt;$H$4,"",IF(INDEX('Fleet dates'!$D$9:$D$1008,$I625-8)="","",INDEX('Fleet dates'!$D$9:$D$1008,$I625-8)))</x:f>
      </x:c>
      <x:c r="E625" s="51" t="str">
        <x:f>IF(617&gt;$H$4,"",IF(INDEX('Fleet dates'!$E$9:$E$1008,$I625-8)="","",INDEX('Fleet dates'!$E$9:$E$1008,$I625-8)))</x:f>
      </x:c>
      <x:c r="F625" s="51" t="str">
        <x:f>IF(617&gt;$H$4,"",IF(INDEX('Fleet dates'!$F$9:$F$1008,$I625-8)="","",INDEX('Fleet dates'!$F$9:$F$1008,$I625-8)))</x:f>
      </x:c>
      <x:c r="G625" s="50" t="str">
        <x:f>IF(617&gt;$H$4,"",IF(INDEX('Fleet dates'!$G$9:$G$1008,$I625-8)="","",INDEX('Fleet dates'!$G$9:$G$1008,$I625-8)))</x:f>
      </x:c>
      <x:c r="H625" s="50" t="str">
        <x:f>IF(617&gt;$H$4,"",IF(INDEX('Fleet dates'!$I$9:$I$1008,$I625-8)="","",INDEX('Fleet dates'!$I$9:$I$1008,$I625-8)))</x:f>
      </x:c>
      <x:c r="I625" t="str">
        <x:f>IF(617&gt;$H$4,"",MATCH(617,'Fleet dates'!$M$9:$M$1008,0)+8)</x:f>
      </x:c>
    </x:row>
    <x:row r="626" ht="36" customHeight="1">
      <x:c r="A626" s="50" t="str">
        <x:f>IF(618&gt;$H$4,"",IF(INDEX('Fleet dates'!$A$9:$A$1008,$I626-8)="","",INDEX('Fleet dates'!$A$9:$A$1008,$I626-8)))</x:f>
      </x:c>
      <x:c r="B626" s="50" t="str">
        <x:f>IF(618&gt;$H$4,"",IF(INDEX('Fleet dates'!$B$9:$B$1008,$I626-8)="","",INDEX('Fleet dates'!$B$9:$B$1008,$I626-8)))</x:f>
      </x:c>
      <x:c r="C626" s="51" t="str">
        <x:f>IF(618&gt;$H$4,"",IF(INDEX('Fleet dates'!$C$9:$C$1008,$I626-8)="","",INDEX('Fleet dates'!$C$9:$C$1008,$I626-8)))</x:f>
      </x:c>
      <x:c r="D626" s="51" t="str">
        <x:f>IF(618&gt;$H$4,"",IF(INDEX('Fleet dates'!$D$9:$D$1008,$I626-8)="","",INDEX('Fleet dates'!$D$9:$D$1008,$I626-8)))</x:f>
      </x:c>
      <x:c r="E626" s="51" t="str">
        <x:f>IF(618&gt;$H$4,"",IF(INDEX('Fleet dates'!$E$9:$E$1008,$I626-8)="","",INDEX('Fleet dates'!$E$9:$E$1008,$I626-8)))</x:f>
      </x:c>
      <x:c r="F626" s="51" t="str">
        <x:f>IF(618&gt;$H$4,"",IF(INDEX('Fleet dates'!$F$9:$F$1008,$I626-8)="","",INDEX('Fleet dates'!$F$9:$F$1008,$I626-8)))</x:f>
      </x:c>
      <x:c r="G626" s="50" t="str">
        <x:f>IF(618&gt;$H$4,"",IF(INDEX('Fleet dates'!$G$9:$G$1008,$I626-8)="","",INDEX('Fleet dates'!$G$9:$G$1008,$I626-8)))</x:f>
      </x:c>
      <x:c r="H626" s="50" t="str">
        <x:f>IF(618&gt;$H$4,"",IF(INDEX('Fleet dates'!$I$9:$I$1008,$I626-8)="","",INDEX('Fleet dates'!$I$9:$I$1008,$I626-8)))</x:f>
      </x:c>
      <x:c r="I626" t="str">
        <x:f>IF(618&gt;$H$4,"",MATCH(618,'Fleet dates'!$M$9:$M$1008,0)+8)</x:f>
      </x:c>
    </x:row>
    <x:row r="627" ht="36" customHeight="1">
      <x:c r="A627" s="50" t="str">
        <x:f>IF(619&gt;$H$4,"",IF(INDEX('Fleet dates'!$A$9:$A$1008,$I627-8)="","",INDEX('Fleet dates'!$A$9:$A$1008,$I627-8)))</x:f>
      </x:c>
      <x:c r="B627" s="50" t="str">
        <x:f>IF(619&gt;$H$4,"",IF(INDEX('Fleet dates'!$B$9:$B$1008,$I627-8)="","",INDEX('Fleet dates'!$B$9:$B$1008,$I627-8)))</x:f>
      </x:c>
      <x:c r="C627" s="51" t="str">
        <x:f>IF(619&gt;$H$4,"",IF(INDEX('Fleet dates'!$C$9:$C$1008,$I627-8)="","",INDEX('Fleet dates'!$C$9:$C$1008,$I627-8)))</x:f>
      </x:c>
      <x:c r="D627" s="51" t="str">
        <x:f>IF(619&gt;$H$4,"",IF(INDEX('Fleet dates'!$D$9:$D$1008,$I627-8)="","",INDEX('Fleet dates'!$D$9:$D$1008,$I627-8)))</x:f>
      </x:c>
      <x:c r="E627" s="51" t="str">
        <x:f>IF(619&gt;$H$4,"",IF(INDEX('Fleet dates'!$E$9:$E$1008,$I627-8)="","",INDEX('Fleet dates'!$E$9:$E$1008,$I627-8)))</x:f>
      </x:c>
      <x:c r="F627" s="51" t="str">
        <x:f>IF(619&gt;$H$4,"",IF(INDEX('Fleet dates'!$F$9:$F$1008,$I627-8)="","",INDEX('Fleet dates'!$F$9:$F$1008,$I627-8)))</x:f>
      </x:c>
      <x:c r="G627" s="50" t="str">
        <x:f>IF(619&gt;$H$4,"",IF(INDEX('Fleet dates'!$G$9:$G$1008,$I627-8)="","",INDEX('Fleet dates'!$G$9:$G$1008,$I627-8)))</x:f>
      </x:c>
      <x:c r="H627" s="50" t="str">
        <x:f>IF(619&gt;$H$4,"",IF(INDEX('Fleet dates'!$I$9:$I$1008,$I627-8)="","",INDEX('Fleet dates'!$I$9:$I$1008,$I627-8)))</x:f>
      </x:c>
      <x:c r="I627" t="str">
        <x:f>IF(619&gt;$H$4,"",MATCH(619,'Fleet dates'!$M$9:$M$1008,0)+8)</x:f>
      </x:c>
    </x:row>
    <x:row r="628" ht="36" customHeight="1">
      <x:c r="A628" s="50" t="str">
        <x:f>IF(620&gt;$H$4,"",IF(INDEX('Fleet dates'!$A$9:$A$1008,$I628-8)="","",INDEX('Fleet dates'!$A$9:$A$1008,$I628-8)))</x:f>
      </x:c>
      <x:c r="B628" s="50" t="str">
        <x:f>IF(620&gt;$H$4,"",IF(INDEX('Fleet dates'!$B$9:$B$1008,$I628-8)="","",INDEX('Fleet dates'!$B$9:$B$1008,$I628-8)))</x:f>
      </x:c>
      <x:c r="C628" s="51" t="str">
        <x:f>IF(620&gt;$H$4,"",IF(INDEX('Fleet dates'!$C$9:$C$1008,$I628-8)="","",INDEX('Fleet dates'!$C$9:$C$1008,$I628-8)))</x:f>
      </x:c>
      <x:c r="D628" s="51" t="str">
        <x:f>IF(620&gt;$H$4,"",IF(INDEX('Fleet dates'!$D$9:$D$1008,$I628-8)="","",INDEX('Fleet dates'!$D$9:$D$1008,$I628-8)))</x:f>
      </x:c>
      <x:c r="E628" s="51" t="str">
        <x:f>IF(620&gt;$H$4,"",IF(INDEX('Fleet dates'!$E$9:$E$1008,$I628-8)="","",INDEX('Fleet dates'!$E$9:$E$1008,$I628-8)))</x:f>
      </x:c>
      <x:c r="F628" s="51" t="str">
        <x:f>IF(620&gt;$H$4,"",IF(INDEX('Fleet dates'!$F$9:$F$1008,$I628-8)="","",INDEX('Fleet dates'!$F$9:$F$1008,$I628-8)))</x:f>
      </x:c>
      <x:c r="G628" s="50" t="str">
        <x:f>IF(620&gt;$H$4,"",IF(INDEX('Fleet dates'!$G$9:$G$1008,$I628-8)="","",INDEX('Fleet dates'!$G$9:$G$1008,$I628-8)))</x:f>
      </x:c>
      <x:c r="H628" s="50" t="str">
        <x:f>IF(620&gt;$H$4,"",IF(INDEX('Fleet dates'!$I$9:$I$1008,$I628-8)="","",INDEX('Fleet dates'!$I$9:$I$1008,$I628-8)))</x:f>
      </x:c>
      <x:c r="I628" t="str">
        <x:f>IF(620&gt;$H$4,"",MATCH(620,'Fleet dates'!$M$9:$M$1008,0)+8)</x:f>
      </x:c>
    </x:row>
    <x:row r="629" ht="36" customHeight="1">
      <x:c r="A629" s="50" t="str">
        <x:f>IF(621&gt;$H$4,"",IF(INDEX('Fleet dates'!$A$9:$A$1008,$I629-8)="","",INDEX('Fleet dates'!$A$9:$A$1008,$I629-8)))</x:f>
      </x:c>
      <x:c r="B629" s="50" t="str">
        <x:f>IF(621&gt;$H$4,"",IF(INDEX('Fleet dates'!$B$9:$B$1008,$I629-8)="","",INDEX('Fleet dates'!$B$9:$B$1008,$I629-8)))</x:f>
      </x:c>
      <x:c r="C629" s="51" t="str">
        <x:f>IF(621&gt;$H$4,"",IF(INDEX('Fleet dates'!$C$9:$C$1008,$I629-8)="","",INDEX('Fleet dates'!$C$9:$C$1008,$I629-8)))</x:f>
      </x:c>
      <x:c r="D629" s="51" t="str">
        <x:f>IF(621&gt;$H$4,"",IF(INDEX('Fleet dates'!$D$9:$D$1008,$I629-8)="","",INDEX('Fleet dates'!$D$9:$D$1008,$I629-8)))</x:f>
      </x:c>
      <x:c r="E629" s="51" t="str">
        <x:f>IF(621&gt;$H$4,"",IF(INDEX('Fleet dates'!$E$9:$E$1008,$I629-8)="","",INDEX('Fleet dates'!$E$9:$E$1008,$I629-8)))</x:f>
      </x:c>
      <x:c r="F629" s="51" t="str">
        <x:f>IF(621&gt;$H$4,"",IF(INDEX('Fleet dates'!$F$9:$F$1008,$I629-8)="","",INDEX('Fleet dates'!$F$9:$F$1008,$I629-8)))</x:f>
      </x:c>
      <x:c r="G629" s="50" t="str">
        <x:f>IF(621&gt;$H$4,"",IF(INDEX('Fleet dates'!$G$9:$G$1008,$I629-8)="","",INDEX('Fleet dates'!$G$9:$G$1008,$I629-8)))</x:f>
      </x:c>
      <x:c r="H629" s="50" t="str">
        <x:f>IF(621&gt;$H$4,"",IF(INDEX('Fleet dates'!$I$9:$I$1008,$I629-8)="","",INDEX('Fleet dates'!$I$9:$I$1008,$I629-8)))</x:f>
      </x:c>
      <x:c r="I629" t="str">
        <x:f>IF(621&gt;$H$4,"",MATCH(621,'Fleet dates'!$M$9:$M$1008,0)+8)</x:f>
      </x:c>
    </x:row>
    <x:row r="630" ht="36" customHeight="1">
      <x:c r="A630" s="50" t="str">
        <x:f>IF(622&gt;$H$4,"",IF(INDEX('Fleet dates'!$A$9:$A$1008,$I630-8)="","",INDEX('Fleet dates'!$A$9:$A$1008,$I630-8)))</x:f>
      </x:c>
      <x:c r="B630" s="50" t="str">
        <x:f>IF(622&gt;$H$4,"",IF(INDEX('Fleet dates'!$B$9:$B$1008,$I630-8)="","",INDEX('Fleet dates'!$B$9:$B$1008,$I630-8)))</x:f>
      </x:c>
      <x:c r="C630" s="51" t="str">
        <x:f>IF(622&gt;$H$4,"",IF(INDEX('Fleet dates'!$C$9:$C$1008,$I630-8)="","",INDEX('Fleet dates'!$C$9:$C$1008,$I630-8)))</x:f>
      </x:c>
      <x:c r="D630" s="51" t="str">
        <x:f>IF(622&gt;$H$4,"",IF(INDEX('Fleet dates'!$D$9:$D$1008,$I630-8)="","",INDEX('Fleet dates'!$D$9:$D$1008,$I630-8)))</x:f>
      </x:c>
      <x:c r="E630" s="51" t="str">
        <x:f>IF(622&gt;$H$4,"",IF(INDEX('Fleet dates'!$E$9:$E$1008,$I630-8)="","",INDEX('Fleet dates'!$E$9:$E$1008,$I630-8)))</x:f>
      </x:c>
      <x:c r="F630" s="51" t="str">
        <x:f>IF(622&gt;$H$4,"",IF(INDEX('Fleet dates'!$F$9:$F$1008,$I630-8)="","",INDEX('Fleet dates'!$F$9:$F$1008,$I630-8)))</x:f>
      </x:c>
      <x:c r="G630" s="50" t="str">
        <x:f>IF(622&gt;$H$4,"",IF(INDEX('Fleet dates'!$G$9:$G$1008,$I630-8)="","",INDEX('Fleet dates'!$G$9:$G$1008,$I630-8)))</x:f>
      </x:c>
      <x:c r="H630" s="50" t="str">
        <x:f>IF(622&gt;$H$4,"",IF(INDEX('Fleet dates'!$I$9:$I$1008,$I630-8)="","",INDEX('Fleet dates'!$I$9:$I$1008,$I630-8)))</x:f>
      </x:c>
      <x:c r="I630" t="str">
        <x:f>IF(622&gt;$H$4,"",MATCH(622,'Fleet dates'!$M$9:$M$1008,0)+8)</x:f>
      </x:c>
    </x:row>
    <x:row r="631" ht="36" customHeight="1">
      <x:c r="A631" s="50" t="str">
        <x:f>IF(623&gt;$H$4,"",IF(INDEX('Fleet dates'!$A$9:$A$1008,$I631-8)="","",INDEX('Fleet dates'!$A$9:$A$1008,$I631-8)))</x:f>
      </x:c>
      <x:c r="B631" s="50" t="str">
        <x:f>IF(623&gt;$H$4,"",IF(INDEX('Fleet dates'!$B$9:$B$1008,$I631-8)="","",INDEX('Fleet dates'!$B$9:$B$1008,$I631-8)))</x:f>
      </x:c>
      <x:c r="C631" s="51" t="str">
        <x:f>IF(623&gt;$H$4,"",IF(INDEX('Fleet dates'!$C$9:$C$1008,$I631-8)="","",INDEX('Fleet dates'!$C$9:$C$1008,$I631-8)))</x:f>
      </x:c>
      <x:c r="D631" s="51" t="str">
        <x:f>IF(623&gt;$H$4,"",IF(INDEX('Fleet dates'!$D$9:$D$1008,$I631-8)="","",INDEX('Fleet dates'!$D$9:$D$1008,$I631-8)))</x:f>
      </x:c>
      <x:c r="E631" s="51" t="str">
        <x:f>IF(623&gt;$H$4,"",IF(INDEX('Fleet dates'!$E$9:$E$1008,$I631-8)="","",INDEX('Fleet dates'!$E$9:$E$1008,$I631-8)))</x:f>
      </x:c>
      <x:c r="F631" s="51" t="str">
        <x:f>IF(623&gt;$H$4,"",IF(INDEX('Fleet dates'!$F$9:$F$1008,$I631-8)="","",INDEX('Fleet dates'!$F$9:$F$1008,$I631-8)))</x:f>
      </x:c>
      <x:c r="G631" s="50" t="str">
        <x:f>IF(623&gt;$H$4,"",IF(INDEX('Fleet dates'!$G$9:$G$1008,$I631-8)="","",INDEX('Fleet dates'!$G$9:$G$1008,$I631-8)))</x:f>
      </x:c>
      <x:c r="H631" s="50" t="str">
        <x:f>IF(623&gt;$H$4,"",IF(INDEX('Fleet dates'!$I$9:$I$1008,$I631-8)="","",INDEX('Fleet dates'!$I$9:$I$1008,$I631-8)))</x:f>
      </x:c>
      <x:c r="I631" t="str">
        <x:f>IF(623&gt;$H$4,"",MATCH(623,'Fleet dates'!$M$9:$M$1008,0)+8)</x:f>
      </x:c>
    </x:row>
    <x:row r="632" ht="36" customHeight="1">
      <x:c r="A632" s="50" t="str">
        <x:f>IF(624&gt;$H$4,"",IF(INDEX('Fleet dates'!$A$9:$A$1008,$I632-8)="","",INDEX('Fleet dates'!$A$9:$A$1008,$I632-8)))</x:f>
      </x:c>
      <x:c r="B632" s="50" t="str">
        <x:f>IF(624&gt;$H$4,"",IF(INDEX('Fleet dates'!$B$9:$B$1008,$I632-8)="","",INDEX('Fleet dates'!$B$9:$B$1008,$I632-8)))</x:f>
      </x:c>
      <x:c r="C632" s="51" t="str">
        <x:f>IF(624&gt;$H$4,"",IF(INDEX('Fleet dates'!$C$9:$C$1008,$I632-8)="","",INDEX('Fleet dates'!$C$9:$C$1008,$I632-8)))</x:f>
      </x:c>
      <x:c r="D632" s="51" t="str">
        <x:f>IF(624&gt;$H$4,"",IF(INDEX('Fleet dates'!$D$9:$D$1008,$I632-8)="","",INDEX('Fleet dates'!$D$9:$D$1008,$I632-8)))</x:f>
      </x:c>
      <x:c r="E632" s="51" t="str">
        <x:f>IF(624&gt;$H$4,"",IF(INDEX('Fleet dates'!$E$9:$E$1008,$I632-8)="","",INDEX('Fleet dates'!$E$9:$E$1008,$I632-8)))</x:f>
      </x:c>
      <x:c r="F632" s="51" t="str">
        <x:f>IF(624&gt;$H$4,"",IF(INDEX('Fleet dates'!$F$9:$F$1008,$I632-8)="","",INDEX('Fleet dates'!$F$9:$F$1008,$I632-8)))</x:f>
      </x:c>
      <x:c r="G632" s="50" t="str">
        <x:f>IF(624&gt;$H$4,"",IF(INDEX('Fleet dates'!$G$9:$G$1008,$I632-8)="","",INDEX('Fleet dates'!$G$9:$G$1008,$I632-8)))</x:f>
      </x:c>
      <x:c r="H632" s="50" t="str">
        <x:f>IF(624&gt;$H$4,"",IF(INDEX('Fleet dates'!$I$9:$I$1008,$I632-8)="","",INDEX('Fleet dates'!$I$9:$I$1008,$I632-8)))</x:f>
      </x:c>
      <x:c r="I632" t="str">
        <x:f>IF(624&gt;$H$4,"",MATCH(624,'Fleet dates'!$M$9:$M$1008,0)+8)</x:f>
      </x:c>
    </x:row>
    <x:row r="633" ht="36" customHeight="1">
      <x:c r="A633" s="50" t="str">
        <x:f>IF(625&gt;$H$4,"",IF(INDEX('Fleet dates'!$A$9:$A$1008,$I633-8)="","",INDEX('Fleet dates'!$A$9:$A$1008,$I633-8)))</x:f>
      </x:c>
      <x:c r="B633" s="50" t="str">
        <x:f>IF(625&gt;$H$4,"",IF(INDEX('Fleet dates'!$B$9:$B$1008,$I633-8)="","",INDEX('Fleet dates'!$B$9:$B$1008,$I633-8)))</x:f>
      </x:c>
      <x:c r="C633" s="51" t="str">
        <x:f>IF(625&gt;$H$4,"",IF(INDEX('Fleet dates'!$C$9:$C$1008,$I633-8)="","",INDEX('Fleet dates'!$C$9:$C$1008,$I633-8)))</x:f>
      </x:c>
      <x:c r="D633" s="51" t="str">
        <x:f>IF(625&gt;$H$4,"",IF(INDEX('Fleet dates'!$D$9:$D$1008,$I633-8)="","",INDEX('Fleet dates'!$D$9:$D$1008,$I633-8)))</x:f>
      </x:c>
      <x:c r="E633" s="51" t="str">
        <x:f>IF(625&gt;$H$4,"",IF(INDEX('Fleet dates'!$E$9:$E$1008,$I633-8)="","",INDEX('Fleet dates'!$E$9:$E$1008,$I633-8)))</x:f>
      </x:c>
      <x:c r="F633" s="51" t="str">
        <x:f>IF(625&gt;$H$4,"",IF(INDEX('Fleet dates'!$F$9:$F$1008,$I633-8)="","",INDEX('Fleet dates'!$F$9:$F$1008,$I633-8)))</x:f>
      </x:c>
      <x:c r="G633" s="50" t="str">
        <x:f>IF(625&gt;$H$4,"",IF(INDEX('Fleet dates'!$G$9:$G$1008,$I633-8)="","",INDEX('Fleet dates'!$G$9:$G$1008,$I633-8)))</x:f>
      </x:c>
      <x:c r="H633" s="50" t="str">
        <x:f>IF(625&gt;$H$4,"",IF(INDEX('Fleet dates'!$I$9:$I$1008,$I633-8)="","",INDEX('Fleet dates'!$I$9:$I$1008,$I633-8)))</x:f>
      </x:c>
      <x:c r="I633" t="str">
        <x:f>IF(625&gt;$H$4,"",MATCH(625,'Fleet dates'!$M$9:$M$1008,0)+8)</x:f>
      </x:c>
    </x:row>
    <x:row r="634" ht="36" customHeight="1">
      <x:c r="A634" s="50" t="str">
        <x:f>IF(626&gt;$H$4,"",IF(INDEX('Fleet dates'!$A$9:$A$1008,$I634-8)="","",INDEX('Fleet dates'!$A$9:$A$1008,$I634-8)))</x:f>
      </x:c>
      <x:c r="B634" s="50" t="str">
        <x:f>IF(626&gt;$H$4,"",IF(INDEX('Fleet dates'!$B$9:$B$1008,$I634-8)="","",INDEX('Fleet dates'!$B$9:$B$1008,$I634-8)))</x:f>
      </x:c>
      <x:c r="C634" s="51" t="str">
        <x:f>IF(626&gt;$H$4,"",IF(INDEX('Fleet dates'!$C$9:$C$1008,$I634-8)="","",INDEX('Fleet dates'!$C$9:$C$1008,$I634-8)))</x:f>
      </x:c>
      <x:c r="D634" s="51" t="str">
        <x:f>IF(626&gt;$H$4,"",IF(INDEX('Fleet dates'!$D$9:$D$1008,$I634-8)="","",INDEX('Fleet dates'!$D$9:$D$1008,$I634-8)))</x:f>
      </x:c>
      <x:c r="E634" s="51" t="str">
        <x:f>IF(626&gt;$H$4,"",IF(INDEX('Fleet dates'!$E$9:$E$1008,$I634-8)="","",INDEX('Fleet dates'!$E$9:$E$1008,$I634-8)))</x:f>
      </x:c>
      <x:c r="F634" s="51" t="str">
        <x:f>IF(626&gt;$H$4,"",IF(INDEX('Fleet dates'!$F$9:$F$1008,$I634-8)="","",INDEX('Fleet dates'!$F$9:$F$1008,$I634-8)))</x:f>
      </x:c>
      <x:c r="G634" s="50" t="str">
        <x:f>IF(626&gt;$H$4,"",IF(INDEX('Fleet dates'!$G$9:$G$1008,$I634-8)="","",INDEX('Fleet dates'!$G$9:$G$1008,$I634-8)))</x:f>
      </x:c>
      <x:c r="H634" s="50" t="str">
        <x:f>IF(626&gt;$H$4,"",IF(INDEX('Fleet dates'!$I$9:$I$1008,$I634-8)="","",INDEX('Fleet dates'!$I$9:$I$1008,$I634-8)))</x:f>
      </x:c>
      <x:c r="I634" t="str">
        <x:f>IF(626&gt;$H$4,"",MATCH(626,'Fleet dates'!$M$9:$M$1008,0)+8)</x:f>
      </x:c>
    </x:row>
    <x:row r="635" ht="36" customHeight="1">
      <x:c r="A635" s="50" t="str">
        <x:f>IF(627&gt;$H$4,"",IF(INDEX('Fleet dates'!$A$9:$A$1008,$I635-8)="","",INDEX('Fleet dates'!$A$9:$A$1008,$I635-8)))</x:f>
      </x:c>
      <x:c r="B635" s="50" t="str">
        <x:f>IF(627&gt;$H$4,"",IF(INDEX('Fleet dates'!$B$9:$B$1008,$I635-8)="","",INDEX('Fleet dates'!$B$9:$B$1008,$I635-8)))</x:f>
      </x:c>
      <x:c r="C635" s="51" t="str">
        <x:f>IF(627&gt;$H$4,"",IF(INDEX('Fleet dates'!$C$9:$C$1008,$I635-8)="","",INDEX('Fleet dates'!$C$9:$C$1008,$I635-8)))</x:f>
      </x:c>
      <x:c r="D635" s="51" t="str">
        <x:f>IF(627&gt;$H$4,"",IF(INDEX('Fleet dates'!$D$9:$D$1008,$I635-8)="","",INDEX('Fleet dates'!$D$9:$D$1008,$I635-8)))</x:f>
      </x:c>
      <x:c r="E635" s="51" t="str">
        <x:f>IF(627&gt;$H$4,"",IF(INDEX('Fleet dates'!$E$9:$E$1008,$I635-8)="","",INDEX('Fleet dates'!$E$9:$E$1008,$I635-8)))</x:f>
      </x:c>
      <x:c r="F635" s="51" t="str">
        <x:f>IF(627&gt;$H$4,"",IF(INDEX('Fleet dates'!$F$9:$F$1008,$I635-8)="","",INDEX('Fleet dates'!$F$9:$F$1008,$I635-8)))</x:f>
      </x:c>
      <x:c r="G635" s="50" t="str">
        <x:f>IF(627&gt;$H$4,"",IF(INDEX('Fleet dates'!$G$9:$G$1008,$I635-8)="","",INDEX('Fleet dates'!$G$9:$G$1008,$I635-8)))</x:f>
      </x:c>
      <x:c r="H635" s="50" t="str">
        <x:f>IF(627&gt;$H$4,"",IF(INDEX('Fleet dates'!$I$9:$I$1008,$I635-8)="","",INDEX('Fleet dates'!$I$9:$I$1008,$I635-8)))</x:f>
      </x:c>
      <x:c r="I635" t="str">
        <x:f>IF(627&gt;$H$4,"",MATCH(627,'Fleet dates'!$M$9:$M$1008,0)+8)</x:f>
      </x:c>
    </x:row>
    <x:row r="636" ht="36" customHeight="1">
      <x:c r="A636" s="50" t="str">
        <x:f>IF(628&gt;$H$4,"",IF(INDEX('Fleet dates'!$A$9:$A$1008,$I636-8)="","",INDEX('Fleet dates'!$A$9:$A$1008,$I636-8)))</x:f>
      </x:c>
      <x:c r="B636" s="50" t="str">
        <x:f>IF(628&gt;$H$4,"",IF(INDEX('Fleet dates'!$B$9:$B$1008,$I636-8)="","",INDEX('Fleet dates'!$B$9:$B$1008,$I636-8)))</x:f>
      </x:c>
      <x:c r="C636" s="51" t="str">
        <x:f>IF(628&gt;$H$4,"",IF(INDEX('Fleet dates'!$C$9:$C$1008,$I636-8)="","",INDEX('Fleet dates'!$C$9:$C$1008,$I636-8)))</x:f>
      </x:c>
      <x:c r="D636" s="51" t="str">
        <x:f>IF(628&gt;$H$4,"",IF(INDEX('Fleet dates'!$D$9:$D$1008,$I636-8)="","",INDEX('Fleet dates'!$D$9:$D$1008,$I636-8)))</x:f>
      </x:c>
      <x:c r="E636" s="51" t="str">
        <x:f>IF(628&gt;$H$4,"",IF(INDEX('Fleet dates'!$E$9:$E$1008,$I636-8)="","",INDEX('Fleet dates'!$E$9:$E$1008,$I636-8)))</x:f>
      </x:c>
      <x:c r="F636" s="51" t="str">
        <x:f>IF(628&gt;$H$4,"",IF(INDEX('Fleet dates'!$F$9:$F$1008,$I636-8)="","",INDEX('Fleet dates'!$F$9:$F$1008,$I636-8)))</x:f>
      </x:c>
      <x:c r="G636" s="50" t="str">
        <x:f>IF(628&gt;$H$4,"",IF(INDEX('Fleet dates'!$G$9:$G$1008,$I636-8)="","",INDEX('Fleet dates'!$G$9:$G$1008,$I636-8)))</x:f>
      </x:c>
      <x:c r="H636" s="50" t="str">
        <x:f>IF(628&gt;$H$4,"",IF(INDEX('Fleet dates'!$I$9:$I$1008,$I636-8)="","",INDEX('Fleet dates'!$I$9:$I$1008,$I636-8)))</x:f>
      </x:c>
      <x:c r="I636" t="str">
        <x:f>IF(628&gt;$H$4,"",MATCH(628,'Fleet dates'!$M$9:$M$1008,0)+8)</x:f>
      </x:c>
    </x:row>
    <x:row r="637" ht="36" customHeight="1">
      <x:c r="A637" s="50" t="str">
        <x:f>IF(629&gt;$H$4,"",IF(INDEX('Fleet dates'!$A$9:$A$1008,$I637-8)="","",INDEX('Fleet dates'!$A$9:$A$1008,$I637-8)))</x:f>
      </x:c>
      <x:c r="B637" s="50" t="str">
        <x:f>IF(629&gt;$H$4,"",IF(INDEX('Fleet dates'!$B$9:$B$1008,$I637-8)="","",INDEX('Fleet dates'!$B$9:$B$1008,$I637-8)))</x:f>
      </x:c>
      <x:c r="C637" s="51" t="str">
        <x:f>IF(629&gt;$H$4,"",IF(INDEX('Fleet dates'!$C$9:$C$1008,$I637-8)="","",INDEX('Fleet dates'!$C$9:$C$1008,$I637-8)))</x:f>
      </x:c>
      <x:c r="D637" s="51" t="str">
        <x:f>IF(629&gt;$H$4,"",IF(INDEX('Fleet dates'!$D$9:$D$1008,$I637-8)="","",INDEX('Fleet dates'!$D$9:$D$1008,$I637-8)))</x:f>
      </x:c>
      <x:c r="E637" s="51" t="str">
        <x:f>IF(629&gt;$H$4,"",IF(INDEX('Fleet dates'!$E$9:$E$1008,$I637-8)="","",INDEX('Fleet dates'!$E$9:$E$1008,$I637-8)))</x:f>
      </x:c>
      <x:c r="F637" s="51" t="str">
        <x:f>IF(629&gt;$H$4,"",IF(INDEX('Fleet dates'!$F$9:$F$1008,$I637-8)="","",INDEX('Fleet dates'!$F$9:$F$1008,$I637-8)))</x:f>
      </x:c>
      <x:c r="G637" s="50" t="str">
        <x:f>IF(629&gt;$H$4,"",IF(INDEX('Fleet dates'!$G$9:$G$1008,$I637-8)="","",INDEX('Fleet dates'!$G$9:$G$1008,$I637-8)))</x:f>
      </x:c>
      <x:c r="H637" s="50" t="str">
        <x:f>IF(629&gt;$H$4,"",IF(INDEX('Fleet dates'!$I$9:$I$1008,$I637-8)="","",INDEX('Fleet dates'!$I$9:$I$1008,$I637-8)))</x:f>
      </x:c>
      <x:c r="I637" t="str">
        <x:f>IF(629&gt;$H$4,"",MATCH(629,'Fleet dates'!$M$9:$M$1008,0)+8)</x:f>
      </x:c>
    </x:row>
    <x:row r="638" ht="36" customHeight="1">
      <x:c r="A638" s="50" t="str">
        <x:f>IF(630&gt;$H$4,"",IF(INDEX('Fleet dates'!$A$9:$A$1008,$I638-8)="","",INDEX('Fleet dates'!$A$9:$A$1008,$I638-8)))</x:f>
      </x:c>
      <x:c r="B638" s="50" t="str">
        <x:f>IF(630&gt;$H$4,"",IF(INDEX('Fleet dates'!$B$9:$B$1008,$I638-8)="","",INDEX('Fleet dates'!$B$9:$B$1008,$I638-8)))</x:f>
      </x:c>
      <x:c r="C638" s="51" t="str">
        <x:f>IF(630&gt;$H$4,"",IF(INDEX('Fleet dates'!$C$9:$C$1008,$I638-8)="","",INDEX('Fleet dates'!$C$9:$C$1008,$I638-8)))</x:f>
      </x:c>
      <x:c r="D638" s="51" t="str">
        <x:f>IF(630&gt;$H$4,"",IF(INDEX('Fleet dates'!$D$9:$D$1008,$I638-8)="","",INDEX('Fleet dates'!$D$9:$D$1008,$I638-8)))</x:f>
      </x:c>
      <x:c r="E638" s="51" t="str">
        <x:f>IF(630&gt;$H$4,"",IF(INDEX('Fleet dates'!$E$9:$E$1008,$I638-8)="","",INDEX('Fleet dates'!$E$9:$E$1008,$I638-8)))</x:f>
      </x:c>
      <x:c r="F638" s="51" t="str">
        <x:f>IF(630&gt;$H$4,"",IF(INDEX('Fleet dates'!$F$9:$F$1008,$I638-8)="","",INDEX('Fleet dates'!$F$9:$F$1008,$I638-8)))</x:f>
      </x:c>
      <x:c r="G638" s="50" t="str">
        <x:f>IF(630&gt;$H$4,"",IF(INDEX('Fleet dates'!$G$9:$G$1008,$I638-8)="","",INDEX('Fleet dates'!$G$9:$G$1008,$I638-8)))</x:f>
      </x:c>
      <x:c r="H638" s="50" t="str">
        <x:f>IF(630&gt;$H$4,"",IF(INDEX('Fleet dates'!$I$9:$I$1008,$I638-8)="","",INDEX('Fleet dates'!$I$9:$I$1008,$I638-8)))</x:f>
      </x:c>
      <x:c r="I638" t="str">
        <x:f>IF(630&gt;$H$4,"",MATCH(630,'Fleet dates'!$M$9:$M$1008,0)+8)</x:f>
      </x:c>
    </x:row>
    <x:row r="639" ht="36" customHeight="1">
      <x:c r="A639" s="50" t="str">
        <x:f>IF(631&gt;$H$4,"",IF(INDEX('Fleet dates'!$A$9:$A$1008,$I639-8)="","",INDEX('Fleet dates'!$A$9:$A$1008,$I639-8)))</x:f>
      </x:c>
      <x:c r="B639" s="50" t="str">
        <x:f>IF(631&gt;$H$4,"",IF(INDEX('Fleet dates'!$B$9:$B$1008,$I639-8)="","",INDEX('Fleet dates'!$B$9:$B$1008,$I639-8)))</x:f>
      </x:c>
      <x:c r="C639" s="51" t="str">
        <x:f>IF(631&gt;$H$4,"",IF(INDEX('Fleet dates'!$C$9:$C$1008,$I639-8)="","",INDEX('Fleet dates'!$C$9:$C$1008,$I639-8)))</x:f>
      </x:c>
      <x:c r="D639" s="51" t="str">
        <x:f>IF(631&gt;$H$4,"",IF(INDEX('Fleet dates'!$D$9:$D$1008,$I639-8)="","",INDEX('Fleet dates'!$D$9:$D$1008,$I639-8)))</x:f>
      </x:c>
      <x:c r="E639" s="51" t="str">
        <x:f>IF(631&gt;$H$4,"",IF(INDEX('Fleet dates'!$E$9:$E$1008,$I639-8)="","",INDEX('Fleet dates'!$E$9:$E$1008,$I639-8)))</x:f>
      </x:c>
      <x:c r="F639" s="51" t="str">
        <x:f>IF(631&gt;$H$4,"",IF(INDEX('Fleet dates'!$F$9:$F$1008,$I639-8)="","",INDEX('Fleet dates'!$F$9:$F$1008,$I639-8)))</x:f>
      </x:c>
      <x:c r="G639" s="50" t="str">
        <x:f>IF(631&gt;$H$4,"",IF(INDEX('Fleet dates'!$G$9:$G$1008,$I639-8)="","",INDEX('Fleet dates'!$G$9:$G$1008,$I639-8)))</x:f>
      </x:c>
      <x:c r="H639" s="50" t="str">
        <x:f>IF(631&gt;$H$4,"",IF(INDEX('Fleet dates'!$I$9:$I$1008,$I639-8)="","",INDEX('Fleet dates'!$I$9:$I$1008,$I639-8)))</x:f>
      </x:c>
      <x:c r="I639" t="str">
        <x:f>IF(631&gt;$H$4,"",MATCH(631,'Fleet dates'!$M$9:$M$1008,0)+8)</x:f>
      </x:c>
    </x:row>
    <x:row r="640" ht="36" customHeight="1">
      <x:c r="A640" s="50" t="str">
        <x:f>IF(632&gt;$H$4,"",IF(INDEX('Fleet dates'!$A$9:$A$1008,$I640-8)="","",INDEX('Fleet dates'!$A$9:$A$1008,$I640-8)))</x:f>
      </x:c>
      <x:c r="B640" s="50" t="str">
        <x:f>IF(632&gt;$H$4,"",IF(INDEX('Fleet dates'!$B$9:$B$1008,$I640-8)="","",INDEX('Fleet dates'!$B$9:$B$1008,$I640-8)))</x:f>
      </x:c>
      <x:c r="C640" s="51" t="str">
        <x:f>IF(632&gt;$H$4,"",IF(INDEX('Fleet dates'!$C$9:$C$1008,$I640-8)="","",INDEX('Fleet dates'!$C$9:$C$1008,$I640-8)))</x:f>
      </x:c>
      <x:c r="D640" s="51" t="str">
        <x:f>IF(632&gt;$H$4,"",IF(INDEX('Fleet dates'!$D$9:$D$1008,$I640-8)="","",INDEX('Fleet dates'!$D$9:$D$1008,$I640-8)))</x:f>
      </x:c>
      <x:c r="E640" s="51" t="str">
        <x:f>IF(632&gt;$H$4,"",IF(INDEX('Fleet dates'!$E$9:$E$1008,$I640-8)="","",INDEX('Fleet dates'!$E$9:$E$1008,$I640-8)))</x:f>
      </x:c>
      <x:c r="F640" s="51" t="str">
        <x:f>IF(632&gt;$H$4,"",IF(INDEX('Fleet dates'!$F$9:$F$1008,$I640-8)="","",INDEX('Fleet dates'!$F$9:$F$1008,$I640-8)))</x:f>
      </x:c>
      <x:c r="G640" s="50" t="str">
        <x:f>IF(632&gt;$H$4,"",IF(INDEX('Fleet dates'!$G$9:$G$1008,$I640-8)="","",INDEX('Fleet dates'!$G$9:$G$1008,$I640-8)))</x:f>
      </x:c>
      <x:c r="H640" s="50" t="str">
        <x:f>IF(632&gt;$H$4,"",IF(INDEX('Fleet dates'!$I$9:$I$1008,$I640-8)="","",INDEX('Fleet dates'!$I$9:$I$1008,$I640-8)))</x:f>
      </x:c>
      <x:c r="I640" t="str">
        <x:f>IF(632&gt;$H$4,"",MATCH(632,'Fleet dates'!$M$9:$M$1008,0)+8)</x:f>
      </x:c>
    </x:row>
    <x:row r="641" ht="36" customHeight="1">
      <x:c r="A641" s="50" t="str">
        <x:f>IF(633&gt;$H$4,"",IF(INDEX('Fleet dates'!$A$9:$A$1008,$I641-8)="","",INDEX('Fleet dates'!$A$9:$A$1008,$I641-8)))</x:f>
      </x:c>
      <x:c r="B641" s="50" t="str">
        <x:f>IF(633&gt;$H$4,"",IF(INDEX('Fleet dates'!$B$9:$B$1008,$I641-8)="","",INDEX('Fleet dates'!$B$9:$B$1008,$I641-8)))</x:f>
      </x:c>
      <x:c r="C641" s="51" t="str">
        <x:f>IF(633&gt;$H$4,"",IF(INDEX('Fleet dates'!$C$9:$C$1008,$I641-8)="","",INDEX('Fleet dates'!$C$9:$C$1008,$I641-8)))</x:f>
      </x:c>
      <x:c r="D641" s="51" t="str">
        <x:f>IF(633&gt;$H$4,"",IF(INDEX('Fleet dates'!$D$9:$D$1008,$I641-8)="","",INDEX('Fleet dates'!$D$9:$D$1008,$I641-8)))</x:f>
      </x:c>
      <x:c r="E641" s="51" t="str">
        <x:f>IF(633&gt;$H$4,"",IF(INDEX('Fleet dates'!$E$9:$E$1008,$I641-8)="","",INDEX('Fleet dates'!$E$9:$E$1008,$I641-8)))</x:f>
      </x:c>
      <x:c r="F641" s="51" t="str">
        <x:f>IF(633&gt;$H$4,"",IF(INDEX('Fleet dates'!$F$9:$F$1008,$I641-8)="","",INDEX('Fleet dates'!$F$9:$F$1008,$I641-8)))</x:f>
      </x:c>
      <x:c r="G641" s="50" t="str">
        <x:f>IF(633&gt;$H$4,"",IF(INDEX('Fleet dates'!$G$9:$G$1008,$I641-8)="","",INDEX('Fleet dates'!$G$9:$G$1008,$I641-8)))</x:f>
      </x:c>
      <x:c r="H641" s="50" t="str">
        <x:f>IF(633&gt;$H$4,"",IF(INDEX('Fleet dates'!$I$9:$I$1008,$I641-8)="","",INDEX('Fleet dates'!$I$9:$I$1008,$I641-8)))</x:f>
      </x:c>
      <x:c r="I641" t="str">
        <x:f>IF(633&gt;$H$4,"",MATCH(633,'Fleet dates'!$M$9:$M$1008,0)+8)</x:f>
      </x:c>
    </x:row>
    <x:row r="642" ht="36" customHeight="1">
      <x:c r="A642" s="50" t="str">
        <x:f>IF(634&gt;$H$4,"",IF(INDEX('Fleet dates'!$A$9:$A$1008,$I642-8)="","",INDEX('Fleet dates'!$A$9:$A$1008,$I642-8)))</x:f>
      </x:c>
      <x:c r="B642" s="50" t="str">
        <x:f>IF(634&gt;$H$4,"",IF(INDEX('Fleet dates'!$B$9:$B$1008,$I642-8)="","",INDEX('Fleet dates'!$B$9:$B$1008,$I642-8)))</x:f>
      </x:c>
      <x:c r="C642" s="51" t="str">
        <x:f>IF(634&gt;$H$4,"",IF(INDEX('Fleet dates'!$C$9:$C$1008,$I642-8)="","",INDEX('Fleet dates'!$C$9:$C$1008,$I642-8)))</x:f>
      </x:c>
      <x:c r="D642" s="51" t="str">
        <x:f>IF(634&gt;$H$4,"",IF(INDEX('Fleet dates'!$D$9:$D$1008,$I642-8)="","",INDEX('Fleet dates'!$D$9:$D$1008,$I642-8)))</x:f>
      </x:c>
      <x:c r="E642" s="51" t="str">
        <x:f>IF(634&gt;$H$4,"",IF(INDEX('Fleet dates'!$E$9:$E$1008,$I642-8)="","",INDEX('Fleet dates'!$E$9:$E$1008,$I642-8)))</x:f>
      </x:c>
      <x:c r="F642" s="51" t="str">
        <x:f>IF(634&gt;$H$4,"",IF(INDEX('Fleet dates'!$F$9:$F$1008,$I642-8)="","",INDEX('Fleet dates'!$F$9:$F$1008,$I642-8)))</x:f>
      </x:c>
      <x:c r="G642" s="50" t="str">
        <x:f>IF(634&gt;$H$4,"",IF(INDEX('Fleet dates'!$G$9:$G$1008,$I642-8)="","",INDEX('Fleet dates'!$G$9:$G$1008,$I642-8)))</x:f>
      </x:c>
      <x:c r="H642" s="50" t="str">
        <x:f>IF(634&gt;$H$4,"",IF(INDEX('Fleet dates'!$I$9:$I$1008,$I642-8)="","",INDEX('Fleet dates'!$I$9:$I$1008,$I642-8)))</x:f>
      </x:c>
      <x:c r="I642" t="str">
        <x:f>IF(634&gt;$H$4,"",MATCH(634,'Fleet dates'!$M$9:$M$1008,0)+8)</x:f>
      </x:c>
    </x:row>
    <x:row r="643" ht="36" customHeight="1">
      <x:c r="A643" s="50" t="str">
        <x:f>IF(635&gt;$H$4,"",IF(INDEX('Fleet dates'!$A$9:$A$1008,$I643-8)="","",INDEX('Fleet dates'!$A$9:$A$1008,$I643-8)))</x:f>
      </x:c>
      <x:c r="B643" s="50" t="str">
        <x:f>IF(635&gt;$H$4,"",IF(INDEX('Fleet dates'!$B$9:$B$1008,$I643-8)="","",INDEX('Fleet dates'!$B$9:$B$1008,$I643-8)))</x:f>
      </x:c>
      <x:c r="C643" s="51" t="str">
        <x:f>IF(635&gt;$H$4,"",IF(INDEX('Fleet dates'!$C$9:$C$1008,$I643-8)="","",INDEX('Fleet dates'!$C$9:$C$1008,$I643-8)))</x:f>
      </x:c>
      <x:c r="D643" s="51" t="str">
        <x:f>IF(635&gt;$H$4,"",IF(INDEX('Fleet dates'!$D$9:$D$1008,$I643-8)="","",INDEX('Fleet dates'!$D$9:$D$1008,$I643-8)))</x:f>
      </x:c>
      <x:c r="E643" s="51" t="str">
        <x:f>IF(635&gt;$H$4,"",IF(INDEX('Fleet dates'!$E$9:$E$1008,$I643-8)="","",INDEX('Fleet dates'!$E$9:$E$1008,$I643-8)))</x:f>
      </x:c>
      <x:c r="F643" s="51" t="str">
        <x:f>IF(635&gt;$H$4,"",IF(INDEX('Fleet dates'!$F$9:$F$1008,$I643-8)="","",INDEX('Fleet dates'!$F$9:$F$1008,$I643-8)))</x:f>
      </x:c>
      <x:c r="G643" s="50" t="str">
        <x:f>IF(635&gt;$H$4,"",IF(INDEX('Fleet dates'!$G$9:$G$1008,$I643-8)="","",INDEX('Fleet dates'!$G$9:$G$1008,$I643-8)))</x:f>
      </x:c>
      <x:c r="H643" s="50" t="str">
        <x:f>IF(635&gt;$H$4,"",IF(INDEX('Fleet dates'!$I$9:$I$1008,$I643-8)="","",INDEX('Fleet dates'!$I$9:$I$1008,$I643-8)))</x:f>
      </x:c>
      <x:c r="I643" t="str">
        <x:f>IF(635&gt;$H$4,"",MATCH(635,'Fleet dates'!$M$9:$M$1008,0)+8)</x:f>
      </x:c>
    </x:row>
    <x:row r="644" ht="36" customHeight="1">
      <x:c r="A644" s="50" t="str">
        <x:f>IF(636&gt;$H$4,"",IF(INDEX('Fleet dates'!$A$9:$A$1008,$I644-8)="","",INDEX('Fleet dates'!$A$9:$A$1008,$I644-8)))</x:f>
      </x:c>
      <x:c r="B644" s="50" t="str">
        <x:f>IF(636&gt;$H$4,"",IF(INDEX('Fleet dates'!$B$9:$B$1008,$I644-8)="","",INDEX('Fleet dates'!$B$9:$B$1008,$I644-8)))</x:f>
      </x:c>
      <x:c r="C644" s="51" t="str">
        <x:f>IF(636&gt;$H$4,"",IF(INDEX('Fleet dates'!$C$9:$C$1008,$I644-8)="","",INDEX('Fleet dates'!$C$9:$C$1008,$I644-8)))</x:f>
      </x:c>
      <x:c r="D644" s="51" t="str">
        <x:f>IF(636&gt;$H$4,"",IF(INDEX('Fleet dates'!$D$9:$D$1008,$I644-8)="","",INDEX('Fleet dates'!$D$9:$D$1008,$I644-8)))</x:f>
      </x:c>
      <x:c r="E644" s="51" t="str">
        <x:f>IF(636&gt;$H$4,"",IF(INDEX('Fleet dates'!$E$9:$E$1008,$I644-8)="","",INDEX('Fleet dates'!$E$9:$E$1008,$I644-8)))</x:f>
      </x:c>
      <x:c r="F644" s="51" t="str">
        <x:f>IF(636&gt;$H$4,"",IF(INDEX('Fleet dates'!$F$9:$F$1008,$I644-8)="","",INDEX('Fleet dates'!$F$9:$F$1008,$I644-8)))</x:f>
      </x:c>
      <x:c r="G644" s="50" t="str">
        <x:f>IF(636&gt;$H$4,"",IF(INDEX('Fleet dates'!$G$9:$G$1008,$I644-8)="","",INDEX('Fleet dates'!$G$9:$G$1008,$I644-8)))</x:f>
      </x:c>
      <x:c r="H644" s="50" t="str">
        <x:f>IF(636&gt;$H$4,"",IF(INDEX('Fleet dates'!$I$9:$I$1008,$I644-8)="","",INDEX('Fleet dates'!$I$9:$I$1008,$I644-8)))</x:f>
      </x:c>
      <x:c r="I644" t="str">
        <x:f>IF(636&gt;$H$4,"",MATCH(636,'Fleet dates'!$M$9:$M$1008,0)+8)</x:f>
      </x:c>
    </x:row>
    <x:row r="645" ht="36" customHeight="1">
      <x:c r="A645" s="50" t="str">
        <x:f>IF(637&gt;$H$4,"",IF(INDEX('Fleet dates'!$A$9:$A$1008,$I645-8)="","",INDEX('Fleet dates'!$A$9:$A$1008,$I645-8)))</x:f>
      </x:c>
      <x:c r="B645" s="50" t="str">
        <x:f>IF(637&gt;$H$4,"",IF(INDEX('Fleet dates'!$B$9:$B$1008,$I645-8)="","",INDEX('Fleet dates'!$B$9:$B$1008,$I645-8)))</x:f>
      </x:c>
      <x:c r="C645" s="51" t="str">
        <x:f>IF(637&gt;$H$4,"",IF(INDEX('Fleet dates'!$C$9:$C$1008,$I645-8)="","",INDEX('Fleet dates'!$C$9:$C$1008,$I645-8)))</x:f>
      </x:c>
      <x:c r="D645" s="51" t="str">
        <x:f>IF(637&gt;$H$4,"",IF(INDEX('Fleet dates'!$D$9:$D$1008,$I645-8)="","",INDEX('Fleet dates'!$D$9:$D$1008,$I645-8)))</x:f>
      </x:c>
      <x:c r="E645" s="51" t="str">
        <x:f>IF(637&gt;$H$4,"",IF(INDEX('Fleet dates'!$E$9:$E$1008,$I645-8)="","",INDEX('Fleet dates'!$E$9:$E$1008,$I645-8)))</x:f>
      </x:c>
      <x:c r="F645" s="51" t="str">
        <x:f>IF(637&gt;$H$4,"",IF(INDEX('Fleet dates'!$F$9:$F$1008,$I645-8)="","",INDEX('Fleet dates'!$F$9:$F$1008,$I645-8)))</x:f>
      </x:c>
      <x:c r="G645" s="50" t="str">
        <x:f>IF(637&gt;$H$4,"",IF(INDEX('Fleet dates'!$G$9:$G$1008,$I645-8)="","",INDEX('Fleet dates'!$G$9:$G$1008,$I645-8)))</x:f>
      </x:c>
      <x:c r="H645" s="50" t="str">
        <x:f>IF(637&gt;$H$4,"",IF(INDEX('Fleet dates'!$I$9:$I$1008,$I645-8)="","",INDEX('Fleet dates'!$I$9:$I$1008,$I645-8)))</x:f>
      </x:c>
      <x:c r="I645" t="str">
        <x:f>IF(637&gt;$H$4,"",MATCH(637,'Fleet dates'!$M$9:$M$1008,0)+8)</x:f>
      </x:c>
    </x:row>
    <x:row r="646" ht="36" customHeight="1">
      <x:c r="A646" s="50" t="str">
        <x:f>IF(638&gt;$H$4,"",IF(INDEX('Fleet dates'!$A$9:$A$1008,$I646-8)="","",INDEX('Fleet dates'!$A$9:$A$1008,$I646-8)))</x:f>
      </x:c>
      <x:c r="B646" s="50" t="str">
        <x:f>IF(638&gt;$H$4,"",IF(INDEX('Fleet dates'!$B$9:$B$1008,$I646-8)="","",INDEX('Fleet dates'!$B$9:$B$1008,$I646-8)))</x:f>
      </x:c>
      <x:c r="C646" s="51" t="str">
        <x:f>IF(638&gt;$H$4,"",IF(INDEX('Fleet dates'!$C$9:$C$1008,$I646-8)="","",INDEX('Fleet dates'!$C$9:$C$1008,$I646-8)))</x:f>
      </x:c>
      <x:c r="D646" s="51" t="str">
        <x:f>IF(638&gt;$H$4,"",IF(INDEX('Fleet dates'!$D$9:$D$1008,$I646-8)="","",INDEX('Fleet dates'!$D$9:$D$1008,$I646-8)))</x:f>
      </x:c>
      <x:c r="E646" s="51" t="str">
        <x:f>IF(638&gt;$H$4,"",IF(INDEX('Fleet dates'!$E$9:$E$1008,$I646-8)="","",INDEX('Fleet dates'!$E$9:$E$1008,$I646-8)))</x:f>
      </x:c>
      <x:c r="F646" s="51" t="str">
        <x:f>IF(638&gt;$H$4,"",IF(INDEX('Fleet dates'!$F$9:$F$1008,$I646-8)="","",INDEX('Fleet dates'!$F$9:$F$1008,$I646-8)))</x:f>
      </x:c>
      <x:c r="G646" s="50" t="str">
        <x:f>IF(638&gt;$H$4,"",IF(INDEX('Fleet dates'!$G$9:$G$1008,$I646-8)="","",INDEX('Fleet dates'!$G$9:$G$1008,$I646-8)))</x:f>
      </x:c>
      <x:c r="H646" s="50" t="str">
        <x:f>IF(638&gt;$H$4,"",IF(INDEX('Fleet dates'!$I$9:$I$1008,$I646-8)="","",INDEX('Fleet dates'!$I$9:$I$1008,$I646-8)))</x:f>
      </x:c>
      <x:c r="I646" t="str">
        <x:f>IF(638&gt;$H$4,"",MATCH(638,'Fleet dates'!$M$9:$M$1008,0)+8)</x:f>
      </x:c>
    </x:row>
    <x:row r="647" ht="36" customHeight="1">
      <x:c r="A647" s="50" t="str">
        <x:f>IF(639&gt;$H$4,"",IF(INDEX('Fleet dates'!$A$9:$A$1008,$I647-8)="","",INDEX('Fleet dates'!$A$9:$A$1008,$I647-8)))</x:f>
      </x:c>
      <x:c r="B647" s="50" t="str">
        <x:f>IF(639&gt;$H$4,"",IF(INDEX('Fleet dates'!$B$9:$B$1008,$I647-8)="","",INDEX('Fleet dates'!$B$9:$B$1008,$I647-8)))</x:f>
      </x:c>
      <x:c r="C647" s="51" t="str">
        <x:f>IF(639&gt;$H$4,"",IF(INDEX('Fleet dates'!$C$9:$C$1008,$I647-8)="","",INDEX('Fleet dates'!$C$9:$C$1008,$I647-8)))</x:f>
      </x:c>
      <x:c r="D647" s="51" t="str">
        <x:f>IF(639&gt;$H$4,"",IF(INDEX('Fleet dates'!$D$9:$D$1008,$I647-8)="","",INDEX('Fleet dates'!$D$9:$D$1008,$I647-8)))</x:f>
      </x:c>
      <x:c r="E647" s="51" t="str">
        <x:f>IF(639&gt;$H$4,"",IF(INDEX('Fleet dates'!$E$9:$E$1008,$I647-8)="","",INDEX('Fleet dates'!$E$9:$E$1008,$I647-8)))</x:f>
      </x:c>
      <x:c r="F647" s="51" t="str">
        <x:f>IF(639&gt;$H$4,"",IF(INDEX('Fleet dates'!$F$9:$F$1008,$I647-8)="","",INDEX('Fleet dates'!$F$9:$F$1008,$I647-8)))</x:f>
      </x:c>
      <x:c r="G647" s="50" t="str">
        <x:f>IF(639&gt;$H$4,"",IF(INDEX('Fleet dates'!$G$9:$G$1008,$I647-8)="","",INDEX('Fleet dates'!$G$9:$G$1008,$I647-8)))</x:f>
      </x:c>
      <x:c r="H647" s="50" t="str">
        <x:f>IF(639&gt;$H$4,"",IF(INDEX('Fleet dates'!$I$9:$I$1008,$I647-8)="","",INDEX('Fleet dates'!$I$9:$I$1008,$I647-8)))</x:f>
      </x:c>
      <x:c r="I647" t="str">
        <x:f>IF(639&gt;$H$4,"",MATCH(639,'Fleet dates'!$M$9:$M$1008,0)+8)</x:f>
      </x:c>
    </x:row>
    <x:row r="648" ht="36" customHeight="1">
      <x:c r="A648" s="50" t="str">
        <x:f>IF(640&gt;$H$4,"",IF(INDEX('Fleet dates'!$A$9:$A$1008,$I648-8)="","",INDEX('Fleet dates'!$A$9:$A$1008,$I648-8)))</x:f>
      </x:c>
      <x:c r="B648" s="50" t="str">
        <x:f>IF(640&gt;$H$4,"",IF(INDEX('Fleet dates'!$B$9:$B$1008,$I648-8)="","",INDEX('Fleet dates'!$B$9:$B$1008,$I648-8)))</x:f>
      </x:c>
      <x:c r="C648" s="51" t="str">
        <x:f>IF(640&gt;$H$4,"",IF(INDEX('Fleet dates'!$C$9:$C$1008,$I648-8)="","",INDEX('Fleet dates'!$C$9:$C$1008,$I648-8)))</x:f>
      </x:c>
      <x:c r="D648" s="51" t="str">
        <x:f>IF(640&gt;$H$4,"",IF(INDEX('Fleet dates'!$D$9:$D$1008,$I648-8)="","",INDEX('Fleet dates'!$D$9:$D$1008,$I648-8)))</x:f>
      </x:c>
      <x:c r="E648" s="51" t="str">
        <x:f>IF(640&gt;$H$4,"",IF(INDEX('Fleet dates'!$E$9:$E$1008,$I648-8)="","",INDEX('Fleet dates'!$E$9:$E$1008,$I648-8)))</x:f>
      </x:c>
      <x:c r="F648" s="51" t="str">
        <x:f>IF(640&gt;$H$4,"",IF(INDEX('Fleet dates'!$F$9:$F$1008,$I648-8)="","",INDEX('Fleet dates'!$F$9:$F$1008,$I648-8)))</x:f>
      </x:c>
      <x:c r="G648" s="50" t="str">
        <x:f>IF(640&gt;$H$4,"",IF(INDEX('Fleet dates'!$G$9:$G$1008,$I648-8)="","",INDEX('Fleet dates'!$G$9:$G$1008,$I648-8)))</x:f>
      </x:c>
      <x:c r="H648" s="50" t="str">
        <x:f>IF(640&gt;$H$4,"",IF(INDEX('Fleet dates'!$I$9:$I$1008,$I648-8)="","",INDEX('Fleet dates'!$I$9:$I$1008,$I648-8)))</x:f>
      </x:c>
      <x:c r="I648" t="str">
        <x:f>IF(640&gt;$H$4,"",MATCH(640,'Fleet dates'!$M$9:$M$1008,0)+8)</x:f>
      </x:c>
    </x:row>
    <x:row r="649" ht="36" customHeight="1">
      <x:c r="A649" s="50" t="str">
        <x:f>IF(641&gt;$H$4,"",IF(INDEX('Fleet dates'!$A$9:$A$1008,$I649-8)="","",INDEX('Fleet dates'!$A$9:$A$1008,$I649-8)))</x:f>
      </x:c>
      <x:c r="B649" s="50" t="str">
        <x:f>IF(641&gt;$H$4,"",IF(INDEX('Fleet dates'!$B$9:$B$1008,$I649-8)="","",INDEX('Fleet dates'!$B$9:$B$1008,$I649-8)))</x:f>
      </x:c>
      <x:c r="C649" s="51" t="str">
        <x:f>IF(641&gt;$H$4,"",IF(INDEX('Fleet dates'!$C$9:$C$1008,$I649-8)="","",INDEX('Fleet dates'!$C$9:$C$1008,$I649-8)))</x:f>
      </x:c>
      <x:c r="D649" s="51" t="str">
        <x:f>IF(641&gt;$H$4,"",IF(INDEX('Fleet dates'!$D$9:$D$1008,$I649-8)="","",INDEX('Fleet dates'!$D$9:$D$1008,$I649-8)))</x:f>
      </x:c>
      <x:c r="E649" s="51" t="str">
        <x:f>IF(641&gt;$H$4,"",IF(INDEX('Fleet dates'!$E$9:$E$1008,$I649-8)="","",INDEX('Fleet dates'!$E$9:$E$1008,$I649-8)))</x:f>
      </x:c>
      <x:c r="F649" s="51" t="str">
        <x:f>IF(641&gt;$H$4,"",IF(INDEX('Fleet dates'!$F$9:$F$1008,$I649-8)="","",INDEX('Fleet dates'!$F$9:$F$1008,$I649-8)))</x:f>
      </x:c>
      <x:c r="G649" s="50" t="str">
        <x:f>IF(641&gt;$H$4,"",IF(INDEX('Fleet dates'!$G$9:$G$1008,$I649-8)="","",INDEX('Fleet dates'!$G$9:$G$1008,$I649-8)))</x:f>
      </x:c>
      <x:c r="H649" s="50" t="str">
        <x:f>IF(641&gt;$H$4,"",IF(INDEX('Fleet dates'!$I$9:$I$1008,$I649-8)="","",INDEX('Fleet dates'!$I$9:$I$1008,$I649-8)))</x:f>
      </x:c>
      <x:c r="I649" t="str">
        <x:f>IF(641&gt;$H$4,"",MATCH(641,'Fleet dates'!$M$9:$M$1008,0)+8)</x:f>
      </x:c>
    </x:row>
    <x:row r="650" ht="36" customHeight="1">
      <x:c r="A650" s="50" t="str">
        <x:f>IF(642&gt;$H$4,"",IF(INDEX('Fleet dates'!$A$9:$A$1008,$I650-8)="","",INDEX('Fleet dates'!$A$9:$A$1008,$I650-8)))</x:f>
      </x:c>
      <x:c r="B650" s="50" t="str">
        <x:f>IF(642&gt;$H$4,"",IF(INDEX('Fleet dates'!$B$9:$B$1008,$I650-8)="","",INDEX('Fleet dates'!$B$9:$B$1008,$I650-8)))</x:f>
      </x:c>
      <x:c r="C650" s="51" t="str">
        <x:f>IF(642&gt;$H$4,"",IF(INDEX('Fleet dates'!$C$9:$C$1008,$I650-8)="","",INDEX('Fleet dates'!$C$9:$C$1008,$I650-8)))</x:f>
      </x:c>
      <x:c r="D650" s="51" t="str">
        <x:f>IF(642&gt;$H$4,"",IF(INDEX('Fleet dates'!$D$9:$D$1008,$I650-8)="","",INDEX('Fleet dates'!$D$9:$D$1008,$I650-8)))</x:f>
      </x:c>
      <x:c r="E650" s="51" t="str">
        <x:f>IF(642&gt;$H$4,"",IF(INDEX('Fleet dates'!$E$9:$E$1008,$I650-8)="","",INDEX('Fleet dates'!$E$9:$E$1008,$I650-8)))</x:f>
      </x:c>
      <x:c r="F650" s="51" t="str">
        <x:f>IF(642&gt;$H$4,"",IF(INDEX('Fleet dates'!$F$9:$F$1008,$I650-8)="","",INDEX('Fleet dates'!$F$9:$F$1008,$I650-8)))</x:f>
      </x:c>
      <x:c r="G650" s="50" t="str">
        <x:f>IF(642&gt;$H$4,"",IF(INDEX('Fleet dates'!$G$9:$G$1008,$I650-8)="","",INDEX('Fleet dates'!$G$9:$G$1008,$I650-8)))</x:f>
      </x:c>
      <x:c r="H650" s="50" t="str">
        <x:f>IF(642&gt;$H$4,"",IF(INDEX('Fleet dates'!$I$9:$I$1008,$I650-8)="","",INDEX('Fleet dates'!$I$9:$I$1008,$I650-8)))</x:f>
      </x:c>
      <x:c r="I650" t="str">
        <x:f>IF(642&gt;$H$4,"",MATCH(642,'Fleet dates'!$M$9:$M$1008,0)+8)</x:f>
      </x:c>
    </x:row>
    <x:row r="651" ht="36" customHeight="1">
      <x:c r="A651" s="50" t="str">
        <x:f>IF(643&gt;$H$4,"",IF(INDEX('Fleet dates'!$A$9:$A$1008,$I651-8)="","",INDEX('Fleet dates'!$A$9:$A$1008,$I651-8)))</x:f>
      </x:c>
      <x:c r="B651" s="50" t="str">
        <x:f>IF(643&gt;$H$4,"",IF(INDEX('Fleet dates'!$B$9:$B$1008,$I651-8)="","",INDEX('Fleet dates'!$B$9:$B$1008,$I651-8)))</x:f>
      </x:c>
      <x:c r="C651" s="51" t="str">
        <x:f>IF(643&gt;$H$4,"",IF(INDEX('Fleet dates'!$C$9:$C$1008,$I651-8)="","",INDEX('Fleet dates'!$C$9:$C$1008,$I651-8)))</x:f>
      </x:c>
      <x:c r="D651" s="51" t="str">
        <x:f>IF(643&gt;$H$4,"",IF(INDEX('Fleet dates'!$D$9:$D$1008,$I651-8)="","",INDEX('Fleet dates'!$D$9:$D$1008,$I651-8)))</x:f>
      </x:c>
      <x:c r="E651" s="51" t="str">
        <x:f>IF(643&gt;$H$4,"",IF(INDEX('Fleet dates'!$E$9:$E$1008,$I651-8)="","",INDEX('Fleet dates'!$E$9:$E$1008,$I651-8)))</x:f>
      </x:c>
      <x:c r="F651" s="51" t="str">
        <x:f>IF(643&gt;$H$4,"",IF(INDEX('Fleet dates'!$F$9:$F$1008,$I651-8)="","",INDEX('Fleet dates'!$F$9:$F$1008,$I651-8)))</x:f>
      </x:c>
      <x:c r="G651" s="50" t="str">
        <x:f>IF(643&gt;$H$4,"",IF(INDEX('Fleet dates'!$G$9:$G$1008,$I651-8)="","",INDEX('Fleet dates'!$G$9:$G$1008,$I651-8)))</x:f>
      </x:c>
      <x:c r="H651" s="50" t="str">
        <x:f>IF(643&gt;$H$4,"",IF(INDEX('Fleet dates'!$I$9:$I$1008,$I651-8)="","",INDEX('Fleet dates'!$I$9:$I$1008,$I651-8)))</x:f>
      </x:c>
      <x:c r="I651" t="str">
        <x:f>IF(643&gt;$H$4,"",MATCH(643,'Fleet dates'!$M$9:$M$1008,0)+8)</x:f>
      </x:c>
    </x:row>
    <x:row r="652" ht="36" customHeight="1">
      <x:c r="A652" s="50" t="str">
        <x:f>IF(644&gt;$H$4,"",IF(INDEX('Fleet dates'!$A$9:$A$1008,$I652-8)="","",INDEX('Fleet dates'!$A$9:$A$1008,$I652-8)))</x:f>
      </x:c>
      <x:c r="B652" s="50" t="str">
        <x:f>IF(644&gt;$H$4,"",IF(INDEX('Fleet dates'!$B$9:$B$1008,$I652-8)="","",INDEX('Fleet dates'!$B$9:$B$1008,$I652-8)))</x:f>
      </x:c>
      <x:c r="C652" s="51" t="str">
        <x:f>IF(644&gt;$H$4,"",IF(INDEX('Fleet dates'!$C$9:$C$1008,$I652-8)="","",INDEX('Fleet dates'!$C$9:$C$1008,$I652-8)))</x:f>
      </x:c>
      <x:c r="D652" s="51" t="str">
        <x:f>IF(644&gt;$H$4,"",IF(INDEX('Fleet dates'!$D$9:$D$1008,$I652-8)="","",INDEX('Fleet dates'!$D$9:$D$1008,$I652-8)))</x:f>
      </x:c>
      <x:c r="E652" s="51" t="str">
        <x:f>IF(644&gt;$H$4,"",IF(INDEX('Fleet dates'!$E$9:$E$1008,$I652-8)="","",INDEX('Fleet dates'!$E$9:$E$1008,$I652-8)))</x:f>
      </x:c>
      <x:c r="F652" s="51" t="str">
        <x:f>IF(644&gt;$H$4,"",IF(INDEX('Fleet dates'!$F$9:$F$1008,$I652-8)="","",INDEX('Fleet dates'!$F$9:$F$1008,$I652-8)))</x:f>
      </x:c>
      <x:c r="G652" s="50" t="str">
        <x:f>IF(644&gt;$H$4,"",IF(INDEX('Fleet dates'!$G$9:$G$1008,$I652-8)="","",INDEX('Fleet dates'!$G$9:$G$1008,$I652-8)))</x:f>
      </x:c>
      <x:c r="H652" s="50" t="str">
        <x:f>IF(644&gt;$H$4,"",IF(INDEX('Fleet dates'!$I$9:$I$1008,$I652-8)="","",INDEX('Fleet dates'!$I$9:$I$1008,$I652-8)))</x:f>
      </x:c>
      <x:c r="I652" t="str">
        <x:f>IF(644&gt;$H$4,"",MATCH(644,'Fleet dates'!$M$9:$M$1008,0)+8)</x:f>
      </x:c>
    </x:row>
    <x:row r="653" ht="36" customHeight="1">
      <x:c r="A653" s="50" t="str">
        <x:f>IF(645&gt;$H$4,"",IF(INDEX('Fleet dates'!$A$9:$A$1008,$I653-8)="","",INDEX('Fleet dates'!$A$9:$A$1008,$I653-8)))</x:f>
      </x:c>
      <x:c r="B653" s="50" t="str">
        <x:f>IF(645&gt;$H$4,"",IF(INDEX('Fleet dates'!$B$9:$B$1008,$I653-8)="","",INDEX('Fleet dates'!$B$9:$B$1008,$I653-8)))</x:f>
      </x:c>
      <x:c r="C653" s="51" t="str">
        <x:f>IF(645&gt;$H$4,"",IF(INDEX('Fleet dates'!$C$9:$C$1008,$I653-8)="","",INDEX('Fleet dates'!$C$9:$C$1008,$I653-8)))</x:f>
      </x:c>
      <x:c r="D653" s="51" t="str">
        <x:f>IF(645&gt;$H$4,"",IF(INDEX('Fleet dates'!$D$9:$D$1008,$I653-8)="","",INDEX('Fleet dates'!$D$9:$D$1008,$I653-8)))</x:f>
      </x:c>
      <x:c r="E653" s="51" t="str">
        <x:f>IF(645&gt;$H$4,"",IF(INDEX('Fleet dates'!$E$9:$E$1008,$I653-8)="","",INDEX('Fleet dates'!$E$9:$E$1008,$I653-8)))</x:f>
      </x:c>
      <x:c r="F653" s="51" t="str">
        <x:f>IF(645&gt;$H$4,"",IF(INDEX('Fleet dates'!$F$9:$F$1008,$I653-8)="","",INDEX('Fleet dates'!$F$9:$F$1008,$I653-8)))</x:f>
      </x:c>
      <x:c r="G653" s="50" t="str">
        <x:f>IF(645&gt;$H$4,"",IF(INDEX('Fleet dates'!$G$9:$G$1008,$I653-8)="","",INDEX('Fleet dates'!$G$9:$G$1008,$I653-8)))</x:f>
      </x:c>
      <x:c r="H653" s="50" t="str">
        <x:f>IF(645&gt;$H$4,"",IF(INDEX('Fleet dates'!$I$9:$I$1008,$I653-8)="","",INDEX('Fleet dates'!$I$9:$I$1008,$I653-8)))</x:f>
      </x:c>
      <x:c r="I653" t="str">
        <x:f>IF(645&gt;$H$4,"",MATCH(645,'Fleet dates'!$M$9:$M$1008,0)+8)</x:f>
      </x:c>
    </x:row>
    <x:row r="654" ht="36" customHeight="1">
      <x:c r="A654" s="50" t="str">
        <x:f>IF(646&gt;$H$4,"",IF(INDEX('Fleet dates'!$A$9:$A$1008,$I654-8)="","",INDEX('Fleet dates'!$A$9:$A$1008,$I654-8)))</x:f>
      </x:c>
      <x:c r="B654" s="50" t="str">
        <x:f>IF(646&gt;$H$4,"",IF(INDEX('Fleet dates'!$B$9:$B$1008,$I654-8)="","",INDEX('Fleet dates'!$B$9:$B$1008,$I654-8)))</x:f>
      </x:c>
      <x:c r="C654" s="51" t="str">
        <x:f>IF(646&gt;$H$4,"",IF(INDEX('Fleet dates'!$C$9:$C$1008,$I654-8)="","",INDEX('Fleet dates'!$C$9:$C$1008,$I654-8)))</x:f>
      </x:c>
      <x:c r="D654" s="51" t="str">
        <x:f>IF(646&gt;$H$4,"",IF(INDEX('Fleet dates'!$D$9:$D$1008,$I654-8)="","",INDEX('Fleet dates'!$D$9:$D$1008,$I654-8)))</x:f>
      </x:c>
      <x:c r="E654" s="51" t="str">
        <x:f>IF(646&gt;$H$4,"",IF(INDEX('Fleet dates'!$E$9:$E$1008,$I654-8)="","",INDEX('Fleet dates'!$E$9:$E$1008,$I654-8)))</x:f>
      </x:c>
      <x:c r="F654" s="51" t="str">
        <x:f>IF(646&gt;$H$4,"",IF(INDEX('Fleet dates'!$F$9:$F$1008,$I654-8)="","",INDEX('Fleet dates'!$F$9:$F$1008,$I654-8)))</x:f>
      </x:c>
      <x:c r="G654" s="50" t="str">
        <x:f>IF(646&gt;$H$4,"",IF(INDEX('Fleet dates'!$G$9:$G$1008,$I654-8)="","",INDEX('Fleet dates'!$G$9:$G$1008,$I654-8)))</x:f>
      </x:c>
      <x:c r="H654" s="50" t="str">
        <x:f>IF(646&gt;$H$4,"",IF(INDEX('Fleet dates'!$I$9:$I$1008,$I654-8)="","",INDEX('Fleet dates'!$I$9:$I$1008,$I654-8)))</x:f>
      </x:c>
      <x:c r="I654" t="str">
        <x:f>IF(646&gt;$H$4,"",MATCH(646,'Fleet dates'!$M$9:$M$1008,0)+8)</x:f>
      </x:c>
    </x:row>
    <x:row r="655" ht="36" customHeight="1">
      <x:c r="A655" s="50" t="str">
        <x:f>IF(647&gt;$H$4,"",IF(INDEX('Fleet dates'!$A$9:$A$1008,$I655-8)="","",INDEX('Fleet dates'!$A$9:$A$1008,$I655-8)))</x:f>
      </x:c>
      <x:c r="B655" s="50" t="str">
        <x:f>IF(647&gt;$H$4,"",IF(INDEX('Fleet dates'!$B$9:$B$1008,$I655-8)="","",INDEX('Fleet dates'!$B$9:$B$1008,$I655-8)))</x:f>
      </x:c>
      <x:c r="C655" s="51" t="str">
        <x:f>IF(647&gt;$H$4,"",IF(INDEX('Fleet dates'!$C$9:$C$1008,$I655-8)="","",INDEX('Fleet dates'!$C$9:$C$1008,$I655-8)))</x:f>
      </x:c>
      <x:c r="D655" s="51" t="str">
        <x:f>IF(647&gt;$H$4,"",IF(INDEX('Fleet dates'!$D$9:$D$1008,$I655-8)="","",INDEX('Fleet dates'!$D$9:$D$1008,$I655-8)))</x:f>
      </x:c>
      <x:c r="E655" s="51" t="str">
        <x:f>IF(647&gt;$H$4,"",IF(INDEX('Fleet dates'!$E$9:$E$1008,$I655-8)="","",INDEX('Fleet dates'!$E$9:$E$1008,$I655-8)))</x:f>
      </x:c>
      <x:c r="F655" s="51" t="str">
        <x:f>IF(647&gt;$H$4,"",IF(INDEX('Fleet dates'!$F$9:$F$1008,$I655-8)="","",INDEX('Fleet dates'!$F$9:$F$1008,$I655-8)))</x:f>
      </x:c>
      <x:c r="G655" s="50" t="str">
        <x:f>IF(647&gt;$H$4,"",IF(INDEX('Fleet dates'!$G$9:$G$1008,$I655-8)="","",INDEX('Fleet dates'!$G$9:$G$1008,$I655-8)))</x:f>
      </x:c>
      <x:c r="H655" s="50" t="str">
        <x:f>IF(647&gt;$H$4,"",IF(INDEX('Fleet dates'!$I$9:$I$1008,$I655-8)="","",INDEX('Fleet dates'!$I$9:$I$1008,$I655-8)))</x:f>
      </x:c>
      <x:c r="I655" t="str">
        <x:f>IF(647&gt;$H$4,"",MATCH(647,'Fleet dates'!$M$9:$M$1008,0)+8)</x:f>
      </x:c>
    </x:row>
    <x:row r="656" ht="36" customHeight="1">
      <x:c r="A656" s="50" t="str">
        <x:f>IF(648&gt;$H$4,"",IF(INDEX('Fleet dates'!$A$9:$A$1008,$I656-8)="","",INDEX('Fleet dates'!$A$9:$A$1008,$I656-8)))</x:f>
      </x:c>
      <x:c r="B656" s="50" t="str">
        <x:f>IF(648&gt;$H$4,"",IF(INDEX('Fleet dates'!$B$9:$B$1008,$I656-8)="","",INDEX('Fleet dates'!$B$9:$B$1008,$I656-8)))</x:f>
      </x:c>
      <x:c r="C656" s="51" t="str">
        <x:f>IF(648&gt;$H$4,"",IF(INDEX('Fleet dates'!$C$9:$C$1008,$I656-8)="","",INDEX('Fleet dates'!$C$9:$C$1008,$I656-8)))</x:f>
      </x:c>
      <x:c r="D656" s="51" t="str">
        <x:f>IF(648&gt;$H$4,"",IF(INDEX('Fleet dates'!$D$9:$D$1008,$I656-8)="","",INDEX('Fleet dates'!$D$9:$D$1008,$I656-8)))</x:f>
      </x:c>
      <x:c r="E656" s="51" t="str">
        <x:f>IF(648&gt;$H$4,"",IF(INDEX('Fleet dates'!$E$9:$E$1008,$I656-8)="","",INDEX('Fleet dates'!$E$9:$E$1008,$I656-8)))</x:f>
      </x:c>
      <x:c r="F656" s="51" t="str">
        <x:f>IF(648&gt;$H$4,"",IF(INDEX('Fleet dates'!$F$9:$F$1008,$I656-8)="","",INDEX('Fleet dates'!$F$9:$F$1008,$I656-8)))</x:f>
      </x:c>
      <x:c r="G656" s="50" t="str">
        <x:f>IF(648&gt;$H$4,"",IF(INDEX('Fleet dates'!$G$9:$G$1008,$I656-8)="","",INDEX('Fleet dates'!$G$9:$G$1008,$I656-8)))</x:f>
      </x:c>
      <x:c r="H656" s="50" t="str">
        <x:f>IF(648&gt;$H$4,"",IF(INDEX('Fleet dates'!$I$9:$I$1008,$I656-8)="","",INDEX('Fleet dates'!$I$9:$I$1008,$I656-8)))</x:f>
      </x:c>
      <x:c r="I656" t="str">
        <x:f>IF(648&gt;$H$4,"",MATCH(648,'Fleet dates'!$M$9:$M$1008,0)+8)</x:f>
      </x:c>
    </x:row>
    <x:row r="657" ht="36" customHeight="1">
      <x:c r="A657" s="50" t="str">
        <x:f>IF(649&gt;$H$4,"",IF(INDEX('Fleet dates'!$A$9:$A$1008,$I657-8)="","",INDEX('Fleet dates'!$A$9:$A$1008,$I657-8)))</x:f>
      </x:c>
      <x:c r="B657" s="50" t="str">
        <x:f>IF(649&gt;$H$4,"",IF(INDEX('Fleet dates'!$B$9:$B$1008,$I657-8)="","",INDEX('Fleet dates'!$B$9:$B$1008,$I657-8)))</x:f>
      </x:c>
      <x:c r="C657" s="51" t="str">
        <x:f>IF(649&gt;$H$4,"",IF(INDEX('Fleet dates'!$C$9:$C$1008,$I657-8)="","",INDEX('Fleet dates'!$C$9:$C$1008,$I657-8)))</x:f>
      </x:c>
      <x:c r="D657" s="51" t="str">
        <x:f>IF(649&gt;$H$4,"",IF(INDEX('Fleet dates'!$D$9:$D$1008,$I657-8)="","",INDEX('Fleet dates'!$D$9:$D$1008,$I657-8)))</x:f>
      </x:c>
      <x:c r="E657" s="51" t="str">
        <x:f>IF(649&gt;$H$4,"",IF(INDEX('Fleet dates'!$E$9:$E$1008,$I657-8)="","",INDEX('Fleet dates'!$E$9:$E$1008,$I657-8)))</x:f>
      </x:c>
      <x:c r="F657" s="51" t="str">
        <x:f>IF(649&gt;$H$4,"",IF(INDEX('Fleet dates'!$F$9:$F$1008,$I657-8)="","",INDEX('Fleet dates'!$F$9:$F$1008,$I657-8)))</x:f>
      </x:c>
      <x:c r="G657" s="50" t="str">
        <x:f>IF(649&gt;$H$4,"",IF(INDEX('Fleet dates'!$G$9:$G$1008,$I657-8)="","",INDEX('Fleet dates'!$G$9:$G$1008,$I657-8)))</x:f>
      </x:c>
      <x:c r="H657" s="50" t="str">
        <x:f>IF(649&gt;$H$4,"",IF(INDEX('Fleet dates'!$I$9:$I$1008,$I657-8)="","",INDEX('Fleet dates'!$I$9:$I$1008,$I657-8)))</x:f>
      </x:c>
      <x:c r="I657" t="str">
        <x:f>IF(649&gt;$H$4,"",MATCH(649,'Fleet dates'!$M$9:$M$1008,0)+8)</x:f>
      </x:c>
    </x:row>
    <x:row r="658" ht="36" customHeight="1">
      <x:c r="A658" s="50" t="str">
        <x:f>IF(650&gt;$H$4,"",IF(INDEX('Fleet dates'!$A$9:$A$1008,$I658-8)="","",INDEX('Fleet dates'!$A$9:$A$1008,$I658-8)))</x:f>
      </x:c>
      <x:c r="B658" s="50" t="str">
        <x:f>IF(650&gt;$H$4,"",IF(INDEX('Fleet dates'!$B$9:$B$1008,$I658-8)="","",INDEX('Fleet dates'!$B$9:$B$1008,$I658-8)))</x:f>
      </x:c>
      <x:c r="C658" s="51" t="str">
        <x:f>IF(650&gt;$H$4,"",IF(INDEX('Fleet dates'!$C$9:$C$1008,$I658-8)="","",INDEX('Fleet dates'!$C$9:$C$1008,$I658-8)))</x:f>
      </x:c>
      <x:c r="D658" s="51" t="str">
        <x:f>IF(650&gt;$H$4,"",IF(INDEX('Fleet dates'!$D$9:$D$1008,$I658-8)="","",INDEX('Fleet dates'!$D$9:$D$1008,$I658-8)))</x:f>
      </x:c>
      <x:c r="E658" s="51" t="str">
        <x:f>IF(650&gt;$H$4,"",IF(INDEX('Fleet dates'!$E$9:$E$1008,$I658-8)="","",INDEX('Fleet dates'!$E$9:$E$1008,$I658-8)))</x:f>
      </x:c>
      <x:c r="F658" s="51" t="str">
        <x:f>IF(650&gt;$H$4,"",IF(INDEX('Fleet dates'!$F$9:$F$1008,$I658-8)="","",INDEX('Fleet dates'!$F$9:$F$1008,$I658-8)))</x:f>
      </x:c>
      <x:c r="G658" s="50" t="str">
        <x:f>IF(650&gt;$H$4,"",IF(INDEX('Fleet dates'!$G$9:$G$1008,$I658-8)="","",INDEX('Fleet dates'!$G$9:$G$1008,$I658-8)))</x:f>
      </x:c>
      <x:c r="H658" s="50" t="str">
        <x:f>IF(650&gt;$H$4,"",IF(INDEX('Fleet dates'!$I$9:$I$1008,$I658-8)="","",INDEX('Fleet dates'!$I$9:$I$1008,$I658-8)))</x:f>
      </x:c>
      <x:c r="I658" t="str">
        <x:f>IF(650&gt;$H$4,"",MATCH(650,'Fleet dates'!$M$9:$M$1008,0)+8)</x:f>
      </x:c>
    </x:row>
    <x:row r="659" ht="36" customHeight="1">
      <x:c r="A659" s="50" t="str">
        <x:f>IF(651&gt;$H$4,"",IF(INDEX('Fleet dates'!$A$9:$A$1008,$I659-8)="","",INDEX('Fleet dates'!$A$9:$A$1008,$I659-8)))</x:f>
      </x:c>
      <x:c r="B659" s="50" t="str">
        <x:f>IF(651&gt;$H$4,"",IF(INDEX('Fleet dates'!$B$9:$B$1008,$I659-8)="","",INDEX('Fleet dates'!$B$9:$B$1008,$I659-8)))</x:f>
      </x:c>
      <x:c r="C659" s="51" t="str">
        <x:f>IF(651&gt;$H$4,"",IF(INDEX('Fleet dates'!$C$9:$C$1008,$I659-8)="","",INDEX('Fleet dates'!$C$9:$C$1008,$I659-8)))</x:f>
      </x:c>
      <x:c r="D659" s="51" t="str">
        <x:f>IF(651&gt;$H$4,"",IF(INDEX('Fleet dates'!$D$9:$D$1008,$I659-8)="","",INDEX('Fleet dates'!$D$9:$D$1008,$I659-8)))</x:f>
      </x:c>
      <x:c r="E659" s="51" t="str">
        <x:f>IF(651&gt;$H$4,"",IF(INDEX('Fleet dates'!$E$9:$E$1008,$I659-8)="","",INDEX('Fleet dates'!$E$9:$E$1008,$I659-8)))</x:f>
      </x:c>
      <x:c r="F659" s="51" t="str">
        <x:f>IF(651&gt;$H$4,"",IF(INDEX('Fleet dates'!$F$9:$F$1008,$I659-8)="","",INDEX('Fleet dates'!$F$9:$F$1008,$I659-8)))</x:f>
      </x:c>
      <x:c r="G659" s="50" t="str">
        <x:f>IF(651&gt;$H$4,"",IF(INDEX('Fleet dates'!$G$9:$G$1008,$I659-8)="","",INDEX('Fleet dates'!$G$9:$G$1008,$I659-8)))</x:f>
      </x:c>
      <x:c r="H659" s="50" t="str">
        <x:f>IF(651&gt;$H$4,"",IF(INDEX('Fleet dates'!$I$9:$I$1008,$I659-8)="","",INDEX('Fleet dates'!$I$9:$I$1008,$I659-8)))</x:f>
      </x:c>
      <x:c r="I659" t="str">
        <x:f>IF(651&gt;$H$4,"",MATCH(651,'Fleet dates'!$M$9:$M$1008,0)+8)</x:f>
      </x:c>
    </x:row>
    <x:row r="660" ht="36" customHeight="1">
      <x:c r="A660" s="50" t="str">
        <x:f>IF(652&gt;$H$4,"",IF(INDEX('Fleet dates'!$A$9:$A$1008,$I660-8)="","",INDEX('Fleet dates'!$A$9:$A$1008,$I660-8)))</x:f>
      </x:c>
      <x:c r="B660" s="50" t="str">
        <x:f>IF(652&gt;$H$4,"",IF(INDEX('Fleet dates'!$B$9:$B$1008,$I660-8)="","",INDEX('Fleet dates'!$B$9:$B$1008,$I660-8)))</x:f>
      </x:c>
      <x:c r="C660" s="51" t="str">
        <x:f>IF(652&gt;$H$4,"",IF(INDEX('Fleet dates'!$C$9:$C$1008,$I660-8)="","",INDEX('Fleet dates'!$C$9:$C$1008,$I660-8)))</x:f>
      </x:c>
      <x:c r="D660" s="51" t="str">
        <x:f>IF(652&gt;$H$4,"",IF(INDEX('Fleet dates'!$D$9:$D$1008,$I660-8)="","",INDEX('Fleet dates'!$D$9:$D$1008,$I660-8)))</x:f>
      </x:c>
      <x:c r="E660" s="51" t="str">
        <x:f>IF(652&gt;$H$4,"",IF(INDEX('Fleet dates'!$E$9:$E$1008,$I660-8)="","",INDEX('Fleet dates'!$E$9:$E$1008,$I660-8)))</x:f>
      </x:c>
      <x:c r="F660" s="51" t="str">
        <x:f>IF(652&gt;$H$4,"",IF(INDEX('Fleet dates'!$F$9:$F$1008,$I660-8)="","",INDEX('Fleet dates'!$F$9:$F$1008,$I660-8)))</x:f>
      </x:c>
      <x:c r="G660" s="50" t="str">
        <x:f>IF(652&gt;$H$4,"",IF(INDEX('Fleet dates'!$G$9:$G$1008,$I660-8)="","",INDEX('Fleet dates'!$G$9:$G$1008,$I660-8)))</x:f>
      </x:c>
      <x:c r="H660" s="50" t="str">
        <x:f>IF(652&gt;$H$4,"",IF(INDEX('Fleet dates'!$I$9:$I$1008,$I660-8)="","",INDEX('Fleet dates'!$I$9:$I$1008,$I660-8)))</x:f>
      </x:c>
      <x:c r="I660" t="str">
        <x:f>IF(652&gt;$H$4,"",MATCH(652,'Fleet dates'!$M$9:$M$1008,0)+8)</x:f>
      </x:c>
    </x:row>
    <x:row r="661" ht="36" customHeight="1">
      <x:c r="A661" s="50" t="str">
        <x:f>IF(653&gt;$H$4,"",IF(INDEX('Fleet dates'!$A$9:$A$1008,$I661-8)="","",INDEX('Fleet dates'!$A$9:$A$1008,$I661-8)))</x:f>
      </x:c>
      <x:c r="B661" s="50" t="str">
        <x:f>IF(653&gt;$H$4,"",IF(INDEX('Fleet dates'!$B$9:$B$1008,$I661-8)="","",INDEX('Fleet dates'!$B$9:$B$1008,$I661-8)))</x:f>
      </x:c>
      <x:c r="C661" s="51" t="str">
        <x:f>IF(653&gt;$H$4,"",IF(INDEX('Fleet dates'!$C$9:$C$1008,$I661-8)="","",INDEX('Fleet dates'!$C$9:$C$1008,$I661-8)))</x:f>
      </x:c>
      <x:c r="D661" s="51" t="str">
        <x:f>IF(653&gt;$H$4,"",IF(INDEX('Fleet dates'!$D$9:$D$1008,$I661-8)="","",INDEX('Fleet dates'!$D$9:$D$1008,$I661-8)))</x:f>
      </x:c>
      <x:c r="E661" s="51" t="str">
        <x:f>IF(653&gt;$H$4,"",IF(INDEX('Fleet dates'!$E$9:$E$1008,$I661-8)="","",INDEX('Fleet dates'!$E$9:$E$1008,$I661-8)))</x:f>
      </x:c>
      <x:c r="F661" s="51" t="str">
        <x:f>IF(653&gt;$H$4,"",IF(INDEX('Fleet dates'!$F$9:$F$1008,$I661-8)="","",INDEX('Fleet dates'!$F$9:$F$1008,$I661-8)))</x:f>
      </x:c>
      <x:c r="G661" s="50" t="str">
        <x:f>IF(653&gt;$H$4,"",IF(INDEX('Fleet dates'!$G$9:$G$1008,$I661-8)="","",INDEX('Fleet dates'!$G$9:$G$1008,$I661-8)))</x:f>
      </x:c>
      <x:c r="H661" s="50" t="str">
        <x:f>IF(653&gt;$H$4,"",IF(INDEX('Fleet dates'!$I$9:$I$1008,$I661-8)="","",INDEX('Fleet dates'!$I$9:$I$1008,$I661-8)))</x:f>
      </x:c>
      <x:c r="I661" t="str">
        <x:f>IF(653&gt;$H$4,"",MATCH(653,'Fleet dates'!$M$9:$M$1008,0)+8)</x:f>
      </x:c>
    </x:row>
    <x:row r="662" ht="36" customHeight="1">
      <x:c r="A662" s="50" t="str">
        <x:f>IF(654&gt;$H$4,"",IF(INDEX('Fleet dates'!$A$9:$A$1008,$I662-8)="","",INDEX('Fleet dates'!$A$9:$A$1008,$I662-8)))</x:f>
      </x:c>
      <x:c r="B662" s="50" t="str">
        <x:f>IF(654&gt;$H$4,"",IF(INDEX('Fleet dates'!$B$9:$B$1008,$I662-8)="","",INDEX('Fleet dates'!$B$9:$B$1008,$I662-8)))</x:f>
      </x:c>
      <x:c r="C662" s="51" t="str">
        <x:f>IF(654&gt;$H$4,"",IF(INDEX('Fleet dates'!$C$9:$C$1008,$I662-8)="","",INDEX('Fleet dates'!$C$9:$C$1008,$I662-8)))</x:f>
      </x:c>
      <x:c r="D662" s="51" t="str">
        <x:f>IF(654&gt;$H$4,"",IF(INDEX('Fleet dates'!$D$9:$D$1008,$I662-8)="","",INDEX('Fleet dates'!$D$9:$D$1008,$I662-8)))</x:f>
      </x:c>
      <x:c r="E662" s="51" t="str">
        <x:f>IF(654&gt;$H$4,"",IF(INDEX('Fleet dates'!$E$9:$E$1008,$I662-8)="","",INDEX('Fleet dates'!$E$9:$E$1008,$I662-8)))</x:f>
      </x:c>
      <x:c r="F662" s="51" t="str">
        <x:f>IF(654&gt;$H$4,"",IF(INDEX('Fleet dates'!$F$9:$F$1008,$I662-8)="","",INDEX('Fleet dates'!$F$9:$F$1008,$I662-8)))</x:f>
      </x:c>
      <x:c r="G662" s="50" t="str">
        <x:f>IF(654&gt;$H$4,"",IF(INDEX('Fleet dates'!$G$9:$G$1008,$I662-8)="","",INDEX('Fleet dates'!$G$9:$G$1008,$I662-8)))</x:f>
      </x:c>
      <x:c r="H662" s="50" t="str">
        <x:f>IF(654&gt;$H$4,"",IF(INDEX('Fleet dates'!$I$9:$I$1008,$I662-8)="","",INDEX('Fleet dates'!$I$9:$I$1008,$I662-8)))</x:f>
      </x:c>
      <x:c r="I662" t="str">
        <x:f>IF(654&gt;$H$4,"",MATCH(654,'Fleet dates'!$M$9:$M$1008,0)+8)</x:f>
      </x:c>
    </x:row>
    <x:row r="663" ht="36" customHeight="1">
      <x:c r="A663" s="50" t="str">
        <x:f>IF(655&gt;$H$4,"",IF(INDEX('Fleet dates'!$A$9:$A$1008,$I663-8)="","",INDEX('Fleet dates'!$A$9:$A$1008,$I663-8)))</x:f>
      </x:c>
      <x:c r="B663" s="50" t="str">
        <x:f>IF(655&gt;$H$4,"",IF(INDEX('Fleet dates'!$B$9:$B$1008,$I663-8)="","",INDEX('Fleet dates'!$B$9:$B$1008,$I663-8)))</x:f>
      </x:c>
      <x:c r="C663" s="51" t="str">
        <x:f>IF(655&gt;$H$4,"",IF(INDEX('Fleet dates'!$C$9:$C$1008,$I663-8)="","",INDEX('Fleet dates'!$C$9:$C$1008,$I663-8)))</x:f>
      </x:c>
      <x:c r="D663" s="51" t="str">
        <x:f>IF(655&gt;$H$4,"",IF(INDEX('Fleet dates'!$D$9:$D$1008,$I663-8)="","",INDEX('Fleet dates'!$D$9:$D$1008,$I663-8)))</x:f>
      </x:c>
      <x:c r="E663" s="51" t="str">
        <x:f>IF(655&gt;$H$4,"",IF(INDEX('Fleet dates'!$E$9:$E$1008,$I663-8)="","",INDEX('Fleet dates'!$E$9:$E$1008,$I663-8)))</x:f>
      </x:c>
      <x:c r="F663" s="51" t="str">
        <x:f>IF(655&gt;$H$4,"",IF(INDEX('Fleet dates'!$F$9:$F$1008,$I663-8)="","",INDEX('Fleet dates'!$F$9:$F$1008,$I663-8)))</x:f>
      </x:c>
      <x:c r="G663" s="50" t="str">
        <x:f>IF(655&gt;$H$4,"",IF(INDEX('Fleet dates'!$G$9:$G$1008,$I663-8)="","",INDEX('Fleet dates'!$G$9:$G$1008,$I663-8)))</x:f>
      </x:c>
      <x:c r="H663" s="50" t="str">
        <x:f>IF(655&gt;$H$4,"",IF(INDEX('Fleet dates'!$I$9:$I$1008,$I663-8)="","",INDEX('Fleet dates'!$I$9:$I$1008,$I663-8)))</x:f>
      </x:c>
      <x:c r="I663" t="str">
        <x:f>IF(655&gt;$H$4,"",MATCH(655,'Fleet dates'!$M$9:$M$1008,0)+8)</x:f>
      </x:c>
    </x:row>
    <x:row r="664" ht="36" customHeight="1">
      <x:c r="A664" s="50" t="str">
        <x:f>IF(656&gt;$H$4,"",IF(INDEX('Fleet dates'!$A$9:$A$1008,$I664-8)="","",INDEX('Fleet dates'!$A$9:$A$1008,$I664-8)))</x:f>
      </x:c>
      <x:c r="B664" s="50" t="str">
        <x:f>IF(656&gt;$H$4,"",IF(INDEX('Fleet dates'!$B$9:$B$1008,$I664-8)="","",INDEX('Fleet dates'!$B$9:$B$1008,$I664-8)))</x:f>
      </x:c>
      <x:c r="C664" s="51" t="str">
        <x:f>IF(656&gt;$H$4,"",IF(INDEX('Fleet dates'!$C$9:$C$1008,$I664-8)="","",INDEX('Fleet dates'!$C$9:$C$1008,$I664-8)))</x:f>
      </x:c>
      <x:c r="D664" s="51" t="str">
        <x:f>IF(656&gt;$H$4,"",IF(INDEX('Fleet dates'!$D$9:$D$1008,$I664-8)="","",INDEX('Fleet dates'!$D$9:$D$1008,$I664-8)))</x:f>
      </x:c>
      <x:c r="E664" s="51" t="str">
        <x:f>IF(656&gt;$H$4,"",IF(INDEX('Fleet dates'!$E$9:$E$1008,$I664-8)="","",INDEX('Fleet dates'!$E$9:$E$1008,$I664-8)))</x:f>
      </x:c>
      <x:c r="F664" s="51" t="str">
        <x:f>IF(656&gt;$H$4,"",IF(INDEX('Fleet dates'!$F$9:$F$1008,$I664-8)="","",INDEX('Fleet dates'!$F$9:$F$1008,$I664-8)))</x:f>
      </x:c>
      <x:c r="G664" s="50" t="str">
        <x:f>IF(656&gt;$H$4,"",IF(INDEX('Fleet dates'!$G$9:$G$1008,$I664-8)="","",INDEX('Fleet dates'!$G$9:$G$1008,$I664-8)))</x:f>
      </x:c>
      <x:c r="H664" s="50" t="str">
        <x:f>IF(656&gt;$H$4,"",IF(INDEX('Fleet dates'!$I$9:$I$1008,$I664-8)="","",INDEX('Fleet dates'!$I$9:$I$1008,$I664-8)))</x:f>
      </x:c>
      <x:c r="I664" t="str">
        <x:f>IF(656&gt;$H$4,"",MATCH(656,'Fleet dates'!$M$9:$M$1008,0)+8)</x:f>
      </x:c>
    </x:row>
    <x:row r="665" ht="36" customHeight="1">
      <x:c r="A665" s="50" t="str">
        <x:f>IF(657&gt;$H$4,"",IF(INDEX('Fleet dates'!$A$9:$A$1008,$I665-8)="","",INDEX('Fleet dates'!$A$9:$A$1008,$I665-8)))</x:f>
      </x:c>
      <x:c r="B665" s="50" t="str">
        <x:f>IF(657&gt;$H$4,"",IF(INDEX('Fleet dates'!$B$9:$B$1008,$I665-8)="","",INDEX('Fleet dates'!$B$9:$B$1008,$I665-8)))</x:f>
      </x:c>
      <x:c r="C665" s="51" t="str">
        <x:f>IF(657&gt;$H$4,"",IF(INDEX('Fleet dates'!$C$9:$C$1008,$I665-8)="","",INDEX('Fleet dates'!$C$9:$C$1008,$I665-8)))</x:f>
      </x:c>
      <x:c r="D665" s="51" t="str">
        <x:f>IF(657&gt;$H$4,"",IF(INDEX('Fleet dates'!$D$9:$D$1008,$I665-8)="","",INDEX('Fleet dates'!$D$9:$D$1008,$I665-8)))</x:f>
      </x:c>
      <x:c r="E665" s="51" t="str">
        <x:f>IF(657&gt;$H$4,"",IF(INDEX('Fleet dates'!$E$9:$E$1008,$I665-8)="","",INDEX('Fleet dates'!$E$9:$E$1008,$I665-8)))</x:f>
      </x:c>
      <x:c r="F665" s="51" t="str">
        <x:f>IF(657&gt;$H$4,"",IF(INDEX('Fleet dates'!$F$9:$F$1008,$I665-8)="","",INDEX('Fleet dates'!$F$9:$F$1008,$I665-8)))</x:f>
      </x:c>
      <x:c r="G665" s="50" t="str">
        <x:f>IF(657&gt;$H$4,"",IF(INDEX('Fleet dates'!$G$9:$G$1008,$I665-8)="","",INDEX('Fleet dates'!$G$9:$G$1008,$I665-8)))</x:f>
      </x:c>
      <x:c r="H665" s="50" t="str">
        <x:f>IF(657&gt;$H$4,"",IF(INDEX('Fleet dates'!$I$9:$I$1008,$I665-8)="","",INDEX('Fleet dates'!$I$9:$I$1008,$I665-8)))</x:f>
      </x:c>
      <x:c r="I665" t="str">
        <x:f>IF(657&gt;$H$4,"",MATCH(657,'Fleet dates'!$M$9:$M$1008,0)+8)</x:f>
      </x:c>
    </x:row>
    <x:row r="666" ht="36" customHeight="1">
      <x:c r="A666" s="50" t="str">
        <x:f>IF(658&gt;$H$4,"",IF(INDEX('Fleet dates'!$A$9:$A$1008,$I666-8)="","",INDEX('Fleet dates'!$A$9:$A$1008,$I666-8)))</x:f>
      </x:c>
      <x:c r="B666" s="50" t="str">
        <x:f>IF(658&gt;$H$4,"",IF(INDEX('Fleet dates'!$B$9:$B$1008,$I666-8)="","",INDEX('Fleet dates'!$B$9:$B$1008,$I666-8)))</x:f>
      </x:c>
      <x:c r="C666" s="51" t="str">
        <x:f>IF(658&gt;$H$4,"",IF(INDEX('Fleet dates'!$C$9:$C$1008,$I666-8)="","",INDEX('Fleet dates'!$C$9:$C$1008,$I666-8)))</x:f>
      </x:c>
      <x:c r="D666" s="51" t="str">
        <x:f>IF(658&gt;$H$4,"",IF(INDEX('Fleet dates'!$D$9:$D$1008,$I666-8)="","",INDEX('Fleet dates'!$D$9:$D$1008,$I666-8)))</x:f>
      </x:c>
      <x:c r="E666" s="51" t="str">
        <x:f>IF(658&gt;$H$4,"",IF(INDEX('Fleet dates'!$E$9:$E$1008,$I666-8)="","",INDEX('Fleet dates'!$E$9:$E$1008,$I666-8)))</x:f>
      </x:c>
      <x:c r="F666" s="51" t="str">
        <x:f>IF(658&gt;$H$4,"",IF(INDEX('Fleet dates'!$F$9:$F$1008,$I666-8)="","",INDEX('Fleet dates'!$F$9:$F$1008,$I666-8)))</x:f>
      </x:c>
      <x:c r="G666" s="50" t="str">
        <x:f>IF(658&gt;$H$4,"",IF(INDEX('Fleet dates'!$G$9:$G$1008,$I666-8)="","",INDEX('Fleet dates'!$G$9:$G$1008,$I666-8)))</x:f>
      </x:c>
      <x:c r="H666" s="50" t="str">
        <x:f>IF(658&gt;$H$4,"",IF(INDEX('Fleet dates'!$I$9:$I$1008,$I666-8)="","",INDEX('Fleet dates'!$I$9:$I$1008,$I666-8)))</x:f>
      </x:c>
      <x:c r="I666" t="str">
        <x:f>IF(658&gt;$H$4,"",MATCH(658,'Fleet dates'!$M$9:$M$1008,0)+8)</x:f>
      </x:c>
    </x:row>
    <x:row r="667" ht="36" customHeight="1">
      <x:c r="A667" s="50" t="str">
        <x:f>IF(659&gt;$H$4,"",IF(INDEX('Fleet dates'!$A$9:$A$1008,$I667-8)="","",INDEX('Fleet dates'!$A$9:$A$1008,$I667-8)))</x:f>
      </x:c>
      <x:c r="B667" s="50" t="str">
        <x:f>IF(659&gt;$H$4,"",IF(INDEX('Fleet dates'!$B$9:$B$1008,$I667-8)="","",INDEX('Fleet dates'!$B$9:$B$1008,$I667-8)))</x:f>
      </x:c>
      <x:c r="C667" s="51" t="str">
        <x:f>IF(659&gt;$H$4,"",IF(INDEX('Fleet dates'!$C$9:$C$1008,$I667-8)="","",INDEX('Fleet dates'!$C$9:$C$1008,$I667-8)))</x:f>
      </x:c>
      <x:c r="D667" s="51" t="str">
        <x:f>IF(659&gt;$H$4,"",IF(INDEX('Fleet dates'!$D$9:$D$1008,$I667-8)="","",INDEX('Fleet dates'!$D$9:$D$1008,$I667-8)))</x:f>
      </x:c>
      <x:c r="E667" s="51" t="str">
        <x:f>IF(659&gt;$H$4,"",IF(INDEX('Fleet dates'!$E$9:$E$1008,$I667-8)="","",INDEX('Fleet dates'!$E$9:$E$1008,$I667-8)))</x:f>
      </x:c>
      <x:c r="F667" s="51" t="str">
        <x:f>IF(659&gt;$H$4,"",IF(INDEX('Fleet dates'!$F$9:$F$1008,$I667-8)="","",INDEX('Fleet dates'!$F$9:$F$1008,$I667-8)))</x:f>
      </x:c>
      <x:c r="G667" s="50" t="str">
        <x:f>IF(659&gt;$H$4,"",IF(INDEX('Fleet dates'!$G$9:$G$1008,$I667-8)="","",INDEX('Fleet dates'!$G$9:$G$1008,$I667-8)))</x:f>
      </x:c>
      <x:c r="H667" s="50" t="str">
        <x:f>IF(659&gt;$H$4,"",IF(INDEX('Fleet dates'!$I$9:$I$1008,$I667-8)="","",INDEX('Fleet dates'!$I$9:$I$1008,$I667-8)))</x:f>
      </x:c>
      <x:c r="I667" t="str">
        <x:f>IF(659&gt;$H$4,"",MATCH(659,'Fleet dates'!$M$9:$M$1008,0)+8)</x:f>
      </x:c>
    </x:row>
    <x:row r="668" ht="36" customHeight="1">
      <x:c r="A668" s="50" t="str">
        <x:f>IF(660&gt;$H$4,"",IF(INDEX('Fleet dates'!$A$9:$A$1008,$I668-8)="","",INDEX('Fleet dates'!$A$9:$A$1008,$I668-8)))</x:f>
      </x:c>
      <x:c r="B668" s="50" t="str">
        <x:f>IF(660&gt;$H$4,"",IF(INDEX('Fleet dates'!$B$9:$B$1008,$I668-8)="","",INDEX('Fleet dates'!$B$9:$B$1008,$I668-8)))</x:f>
      </x:c>
      <x:c r="C668" s="51" t="str">
        <x:f>IF(660&gt;$H$4,"",IF(INDEX('Fleet dates'!$C$9:$C$1008,$I668-8)="","",INDEX('Fleet dates'!$C$9:$C$1008,$I668-8)))</x:f>
      </x:c>
      <x:c r="D668" s="51" t="str">
        <x:f>IF(660&gt;$H$4,"",IF(INDEX('Fleet dates'!$D$9:$D$1008,$I668-8)="","",INDEX('Fleet dates'!$D$9:$D$1008,$I668-8)))</x:f>
      </x:c>
      <x:c r="E668" s="51" t="str">
        <x:f>IF(660&gt;$H$4,"",IF(INDEX('Fleet dates'!$E$9:$E$1008,$I668-8)="","",INDEX('Fleet dates'!$E$9:$E$1008,$I668-8)))</x:f>
      </x:c>
      <x:c r="F668" s="51" t="str">
        <x:f>IF(660&gt;$H$4,"",IF(INDEX('Fleet dates'!$F$9:$F$1008,$I668-8)="","",INDEX('Fleet dates'!$F$9:$F$1008,$I668-8)))</x:f>
      </x:c>
      <x:c r="G668" s="50" t="str">
        <x:f>IF(660&gt;$H$4,"",IF(INDEX('Fleet dates'!$G$9:$G$1008,$I668-8)="","",INDEX('Fleet dates'!$G$9:$G$1008,$I668-8)))</x:f>
      </x:c>
      <x:c r="H668" s="50" t="str">
        <x:f>IF(660&gt;$H$4,"",IF(INDEX('Fleet dates'!$I$9:$I$1008,$I668-8)="","",INDEX('Fleet dates'!$I$9:$I$1008,$I668-8)))</x:f>
      </x:c>
      <x:c r="I668" t="str">
        <x:f>IF(660&gt;$H$4,"",MATCH(660,'Fleet dates'!$M$9:$M$1008,0)+8)</x:f>
      </x:c>
    </x:row>
    <x:row r="669" ht="36" customHeight="1">
      <x:c r="A669" s="50" t="str">
        <x:f>IF(661&gt;$H$4,"",IF(INDEX('Fleet dates'!$A$9:$A$1008,$I669-8)="","",INDEX('Fleet dates'!$A$9:$A$1008,$I669-8)))</x:f>
      </x:c>
      <x:c r="B669" s="50" t="str">
        <x:f>IF(661&gt;$H$4,"",IF(INDEX('Fleet dates'!$B$9:$B$1008,$I669-8)="","",INDEX('Fleet dates'!$B$9:$B$1008,$I669-8)))</x:f>
      </x:c>
      <x:c r="C669" s="51" t="str">
        <x:f>IF(661&gt;$H$4,"",IF(INDEX('Fleet dates'!$C$9:$C$1008,$I669-8)="","",INDEX('Fleet dates'!$C$9:$C$1008,$I669-8)))</x:f>
      </x:c>
      <x:c r="D669" s="51" t="str">
        <x:f>IF(661&gt;$H$4,"",IF(INDEX('Fleet dates'!$D$9:$D$1008,$I669-8)="","",INDEX('Fleet dates'!$D$9:$D$1008,$I669-8)))</x:f>
      </x:c>
      <x:c r="E669" s="51" t="str">
        <x:f>IF(661&gt;$H$4,"",IF(INDEX('Fleet dates'!$E$9:$E$1008,$I669-8)="","",INDEX('Fleet dates'!$E$9:$E$1008,$I669-8)))</x:f>
      </x:c>
      <x:c r="F669" s="51" t="str">
        <x:f>IF(661&gt;$H$4,"",IF(INDEX('Fleet dates'!$F$9:$F$1008,$I669-8)="","",INDEX('Fleet dates'!$F$9:$F$1008,$I669-8)))</x:f>
      </x:c>
      <x:c r="G669" s="50" t="str">
        <x:f>IF(661&gt;$H$4,"",IF(INDEX('Fleet dates'!$G$9:$G$1008,$I669-8)="","",INDEX('Fleet dates'!$G$9:$G$1008,$I669-8)))</x:f>
      </x:c>
      <x:c r="H669" s="50" t="str">
        <x:f>IF(661&gt;$H$4,"",IF(INDEX('Fleet dates'!$I$9:$I$1008,$I669-8)="","",INDEX('Fleet dates'!$I$9:$I$1008,$I669-8)))</x:f>
      </x:c>
      <x:c r="I669" t="str">
        <x:f>IF(661&gt;$H$4,"",MATCH(661,'Fleet dates'!$M$9:$M$1008,0)+8)</x:f>
      </x:c>
    </x:row>
    <x:row r="670" ht="36" customHeight="1">
      <x:c r="A670" s="50" t="str">
        <x:f>IF(662&gt;$H$4,"",IF(INDEX('Fleet dates'!$A$9:$A$1008,$I670-8)="","",INDEX('Fleet dates'!$A$9:$A$1008,$I670-8)))</x:f>
      </x:c>
      <x:c r="B670" s="50" t="str">
        <x:f>IF(662&gt;$H$4,"",IF(INDEX('Fleet dates'!$B$9:$B$1008,$I670-8)="","",INDEX('Fleet dates'!$B$9:$B$1008,$I670-8)))</x:f>
      </x:c>
      <x:c r="C670" s="51" t="str">
        <x:f>IF(662&gt;$H$4,"",IF(INDEX('Fleet dates'!$C$9:$C$1008,$I670-8)="","",INDEX('Fleet dates'!$C$9:$C$1008,$I670-8)))</x:f>
      </x:c>
      <x:c r="D670" s="51" t="str">
        <x:f>IF(662&gt;$H$4,"",IF(INDEX('Fleet dates'!$D$9:$D$1008,$I670-8)="","",INDEX('Fleet dates'!$D$9:$D$1008,$I670-8)))</x:f>
      </x:c>
      <x:c r="E670" s="51" t="str">
        <x:f>IF(662&gt;$H$4,"",IF(INDEX('Fleet dates'!$E$9:$E$1008,$I670-8)="","",INDEX('Fleet dates'!$E$9:$E$1008,$I670-8)))</x:f>
      </x:c>
      <x:c r="F670" s="51" t="str">
        <x:f>IF(662&gt;$H$4,"",IF(INDEX('Fleet dates'!$F$9:$F$1008,$I670-8)="","",INDEX('Fleet dates'!$F$9:$F$1008,$I670-8)))</x:f>
      </x:c>
      <x:c r="G670" s="50" t="str">
        <x:f>IF(662&gt;$H$4,"",IF(INDEX('Fleet dates'!$G$9:$G$1008,$I670-8)="","",INDEX('Fleet dates'!$G$9:$G$1008,$I670-8)))</x:f>
      </x:c>
      <x:c r="H670" s="50" t="str">
        <x:f>IF(662&gt;$H$4,"",IF(INDEX('Fleet dates'!$I$9:$I$1008,$I670-8)="","",INDEX('Fleet dates'!$I$9:$I$1008,$I670-8)))</x:f>
      </x:c>
      <x:c r="I670" t="str">
        <x:f>IF(662&gt;$H$4,"",MATCH(662,'Fleet dates'!$M$9:$M$1008,0)+8)</x:f>
      </x:c>
    </x:row>
    <x:row r="671" ht="36" customHeight="1">
      <x:c r="A671" s="50" t="str">
        <x:f>IF(663&gt;$H$4,"",IF(INDEX('Fleet dates'!$A$9:$A$1008,$I671-8)="","",INDEX('Fleet dates'!$A$9:$A$1008,$I671-8)))</x:f>
      </x:c>
      <x:c r="B671" s="50" t="str">
        <x:f>IF(663&gt;$H$4,"",IF(INDEX('Fleet dates'!$B$9:$B$1008,$I671-8)="","",INDEX('Fleet dates'!$B$9:$B$1008,$I671-8)))</x:f>
      </x:c>
      <x:c r="C671" s="51" t="str">
        <x:f>IF(663&gt;$H$4,"",IF(INDEX('Fleet dates'!$C$9:$C$1008,$I671-8)="","",INDEX('Fleet dates'!$C$9:$C$1008,$I671-8)))</x:f>
      </x:c>
      <x:c r="D671" s="51" t="str">
        <x:f>IF(663&gt;$H$4,"",IF(INDEX('Fleet dates'!$D$9:$D$1008,$I671-8)="","",INDEX('Fleet dates'!$D$9:$D$1008,$I671-8)))</x:f>
      </x:c>
      <x:c r="E671" s="51" t="str">
        <x:f>IF(663&gt;$H$4,"",IF(INDEX('Fleet dates'!$E$9:$E$1008,$I671-8)="","",INDEX('Fleet dates'!$E$9:$E$1008,$I671-8)))</x:f>
      </x:c>
      <x:c r="F671" s="51" t="str">
        <x:f>IF(663&gt;$H$4,"",IF(INDEX('Fleet dates'!$F$9:$F$1008,$I671-8)="","",INDEX('Fleet dates'!$F$9:$F$1008,$I671-8)))</x:f>
      </x:c>
      <x:c r="G671" s="50" t="str">
        <x:f>IF(663&gt;$H$4,"",IF(INDEX('Fleet dates'!$G$9:$G$1008,$I671-8)="","",INDEX('Fleet dates'!$G$9:$G$1008,$I671-8)))</x:f>
      </x:c>
      <x:c r="H671" s="50" t="str">
        <x:f>IF(663&gt;$H$4,"",IF(INDEX('Fleet dates'!$I$9:$I$1008,$I671-8)="","",INDEX('Fleet dates'!$I$9:$I$1008,$I671-8)))</x:f>
      </x:c>
      <x:c r="I671" t="str">
        <x:f>IF(663&gt;$H$4,"",MATCH(663,'Fleet dates'!$M$9:$M$1008,0)+8)</x:f>
      </x:c>
    </x:row>
    <x:row r="672" ht="36" customHeight="1">
      <x:c r="A672" s="50" t="str">
        <x:f>IF(664&gt;$H$4,"",IF(INDEX('Fleet dates'!$A$9:$A$1008,$I672-8)="","",INDEX('Fleet dates'!$A$9:$A$1008,$I672-8)))</x:f>
      </x:c>
      <x:c r="B672" s="50" t="str">
        <x:f>IF(664&gt;$H$4,"",IF(INDEX('Fleet dates'!$B$9:$B$1008,$I672-8)="","",INDEX('Fleet dates'!$B$9:$B$1008,$I672-8)))</x:f>
      </x:c>
      <x:c r="C672" s="51" t="str">
        <x:f>IF(664&gt;$H$4,"",IF(INDEX('Fleet dates'!$C$9:$C$1008,$I672-8)="","",INDEX('Fleet dates'!$C$9:$C$1008,$I672-8)))</x:f>
      </x:c>
      <x:c r="D672" s="51" t="str">
        <x:f>IF(664&gt;$H$4,"",IF(INDEX('Fleet dates'!$D$9:$D$1008,$I672-8)="","",INDEX('Fleet dates'!$D$9:$D$1008,$I672-8)))</x:f>
      </x:c>
      <x:c r="E672" s="51" t="str">
        <x:f>IF(664&gt;$H$4,"",IF(INDEX('Fleet dates'!$E$9:$E$1008,$I672-8)="","",INDEX('Fleet dates'!$E$9:$E$1008,$I672-8)))</x:f>
      </x:c>
      <x:c r="F672" s="51" t="str">
        <x:f>IF(664&gt;$H$4,"",IF(INDEX('Fleet dates'!$F$9:$F$1008,$I672-8)="","",INDEX('Fleet dates'!$F$9:$F$1008,$I672-8)))</x:f>
      </x:c>
      <x:c r="G672" s="50" t="str">
        <x:f>IF(664&gt;$H$4,"",IF(INDEX('Fleet dates'!$G$9:$G$1008,$I672-8)="","",INDEX('Fleet dates'!$G$9:$G$1008,$I672-8)))</x:f>
      </x:c>
      <x:c r="H672" s="50" t="str">
        <x:f>IF(664&gt;$H$4,"",IF(INDEX('Fleet dates'!$I$9:$I$1008,$I672-8)="","",INDEX('Fleet dates'!$I$9:$I$1008,$I672-8)))</x:f>
      </x:c>
      <x:c r="I672" t="str">
        <x:f>IF(664&gt;$H$4,"",MATCH(664,'Fleet dates'!$M$9:$M$1008,0)+8)</x:f>
      </x:c>
    </x:row>
    <x:row r="673" ht="36" customHeight="1">
      <x:c r="A673" s="50" t="str">
        <x:f>IF(665&gt;$H$4,"",IF(INDEX('Fleet dates'!$A$9:$A$1008,$I673-8)="","",INDEX('Fleet dates'!$A$9:$A$1008,$I673-8)))</x:f>
      </x:c>
      <x:c r="B673" s="50" t="str">
        <x:f>IF(665&gt;$H$4,"",IF(INDEX('Fleet dates'!$B$9:$B$1008,$I673-8)="","",INDEX('Fleet dates'!$B$9:$B$1008,$I673-8)))</x:f>
      </x:c>
      <x:c r="C673" s="51" t="str">
        <x:f>IF(665&gt;$H$4,"",IF(INDEX('Fleet dates'!$C$9:$C$1008,$I673-8)="","",INDEX('Fleet dates'!$C$9:$C$1008,$I673-8)))</x:f>
      </x:c>
      <x:c r="D673" s="51" t="str">
        <x:f>IF(665&gt;$H$4,"",IF(INDEX('Fleet dates'!$D$9:$D$1008,$I673-8)="","",INDEX('Fleet dates'!$D$9:$D$1008,$I673-8)))</x:f>
      </x:c>
      <x:c r="E673" s="51" t="str">
        <x:f>IF(665&gt;$H$4,"",IF(INDEX('Fleet dates'!$E$9:$E$1008,$I673-8)="","",INDEX('Fleet dates'!$E$9:$E$1008,$I673-8)))</x:f>
      </x:c>
      <x:c r="F673" s="51" t="str">
        <x:f>IF(665&gt;$H$4,"",IF(INDEX('Fleet dates'!$F$9:$F$1008,$I673-8)="","",INDEX('Fleet dates'!$F$9:$F$1008,$I673-8)))</x:f>
      </x:c>
      <x:c r="G673" s="50" t="str">
        <x:f>IF(665&gt;$H$4,"",IF(INDEX('Fleet dates'!$G$9:$G$1008,$I673-8)="","",INDEX('Fleet dates'!$G$9:$G$1008,$I673-8)))</x:f>
      </x:c>
      <x:c r="H673" s="50" t="str">
        <x:f>IF(665&gt;$H$4,"",IF(INDEX('Fleet dates'!$I$9:$I$1008,$I673-8)="","",INDEX('Fleet dates'!$I$9:$I$1008,$I673-8)))</x:f>
      </x:c>
      <x:c r="I673" t="str">
        <x:f>IF(665&gt;$H$4,"",MATCH(665,'Fleet dates'!$M$9:$M$1008,0)+8)</x:f>
      </x:c>
    </x:row>
    <x:row r="674" ht="36" customHeight="1">
      <x:c r="A674" s="50" t="str">
        <x:f>IF(666&gt;$H$4,"",IF(INDEX('Fleet dates'!$A$9:$A$1008,$I674-8)="","",INDEX('Fleet dates'!$A$9:$A$1008,$I674-8)))</x:f>
      </x:c>
      <x:c r="B674" s="50" t="str">
        <x:f>IF(666&gt;$H$4,"",IF(INDEX('Fleet dates'!$B$9:$B$1008,$I674-8)="","",INDEX('Fleet dates'!$B$9:$B$1008,$I674-8)))</x:f>
      </x:c>
      <x:c r="C674" s="51" t="str">
        <x:f>IF(666&gt;$H$4,"",IF(INDEX('Fleet dates'!$C$9:$C$1008,$I674-8)="","",INDEX('Fleet dates'!$C$9:$C$1008,$I674-8)))</x:f>
      </x:c>
      <x:c r="D674" s="51" t="str">
        <x:f>IF(666&gt;$H$4,"",IF(INDEX('Fleet dates'!$D$9:$D$1008,$I674-8)="","",INDEX('Fleet dates'!$D$9:$D$1008,$I674-8)))</x:f>
      </x:c>
      <x:c r="E674" s="51" t="str">
        <x:f>IF(666&gt;$H$4,"",IF(INDEX('Fleet dates'!$E$9:$E$1008,$I674-8)="","",INDEX('Fleet dates'!$E$9:$E$1008,$I674-8)))</x:f>
      </x:c>
      <x:c r="F674" s="51" t="str">
        <x:f>IF(666&gt;$H$4,"",IF(INDEX('Fleet dates'!$F$9:$F$1008,$I674-8)="","",INDEX('Fleet dates'!$F$9:$F$1008,$I674-8)))</x:f>
      </x:c>
      <x:c r="G674" s="50" t="str">
        <x:f>IF(666&gt;$H$4,"",IF(INDEX('Fleet dates'!$G$9:$G$1008,$I674-8)="","",INDEX('Fleet dates'!$G$9:$G$1008,$I674-8)))</x:f>
      </x:c>
      <x:c r="H674" s="50" t="str">
        <x:f>IF(666&gt;$H$4,"",IF(INDEX('Fleet dates'!$I$9:$I$1008,$I674-8)="","",INDEX('Fleet dates'!$I$9:$I$1008,$I674-8)))</x:f>
      </x:c>
      <x:c r="I674" t="str">
        <x:f>IF(666&gt;$H$4,"",MATCH(666,'Fleet dates'!$M$9:$M$1008,0)+8)</x:f>
      </x:c>
    </x:row>
    <x:row r="675" ht="36" customHeight="1">
      <x:c r="A675" s="50" t="str">
        <x:f>IF(667&gt;$H$4,"",IF(INDEX('Fleet dates'!$A$9:$A$1008,$I675-8)="","",INDEX('Fleet dates'!$A$9:$A$1008,$I675-8)))</x:f>
      </x:c>
      <x:c r="B675" s="50" t="str">
        <x:f>IF(667&gt;$H$4,"",IF(INDEX('Fleet dates'!$B$9:$B$1008,$I675-8)="","",INDEX('Fleet dates'!$B$9:$B$1008,$I675-8)))</x:f>
      </x:c>
      <x:c r="C675" s="51" t="str">
        <x:f>IF(667&gt;$H$4,"",IF(INDEX('Fleet dates'!$C$9:$C$1008,$I675-8)="","",INDEX('Fleet dates'!$C$9:$C$1008,$I675-8)))</x:f>
      </x:c>
      <x:c r="D675" s="51" t="str">
        <x:f>IF(667&gt;$H$4,"",IF(INDEX('Fleet dates'!$D$9:$D$1008,$I675-8)="","",INDEX('Fleet dates'!$D$9:$D$1008,$I675-8)))</x:f>
      </x:c>
      <x:c r="E675" s="51" t="str">
        <x:f>IF(667&gt;$H$4,"",IF(INDEX('Fleet dates'!$E$9:$E$1008,$I675-8)="","",INDEX('Fleet dates'!$E$9:$E$1008,$I675-8)))</x:f>
      </x:c>
      <x:c r="F675" s="51" t="str">
        <x:f>IF(667&gt;$H$4,"",IF(INDEX('Fleet dates'!$F$9:$F$1008,$I675-8)="","",INDEX('Fleet dates'!$F$9:$F$1008,$I675-8)))</x:f>
      </x:c>
      <x:c r="G675" s="50" t="str">
        <x:f>IF(667&gt;$H$4,"",IF(INDEX('Fleet dates'!$G$9:$G$1008,$I675-8)="","",INDEX('Fleet dates'!$G$9:$G$1008,$I675-8)))</x:f>
      </x:c>
      <x:c r="H675" s="50" t="str">
        <x:f>IF(667&gt;$H$4,"",IF(INDEX('Fleet dates'!$I$9:$I$1008,$I675-8)="","",INDEX('Fleet dates'!$I$9:$I$1008,$I675-8)))</x:f>
      </x:c>
      <x:c r="I675" t="str">
        <x:f>IF(667&gt;$H$4,"",MATCH(667,'Fleet dates'!$M$9:$M$1008,0)+8)</x:f>
      </x:c>
    </x:row>
    <x:row r="676" ht="36" customHeight="1">
      <x:c r="A676" s="50" t="str">
        <x:f>IF(668&gt;$H$4,"",IF(INDEX('Fleet dates'!$A$9:$A$1008,$I676-8)="","",INDEX('Fleet dates'!$A$9:$A$1008,$I676-8)))</x:f>
      </x:c>
      <x:c r="B676" s="50" t="str">
        <x:f>IF(668&gt;$H$4,"",IF(INDEX('Fleet dates'!$B$9:$B$1008,$I676-8)="","",INDEX('Fleet dates'!$B$9:$B$1008,$I676-8)))</x:f>
      </x:c>
      <x:c r="C676" s="51" t="str">
        <x:f>IF(668&gt;$H$4,"",IF(INDEX('Fleet dates'!$C$9:$C$1008,$I676-8)="","",INDEX('Fleet dates'!$C$9:$C$1008,$I676-8)))</x:f>
      </x:c>
      <x:c r="D676" s="51" t="str">
        <x:f>IF(668&gt;$H$4,"",IF(INDEX('Fleet dates'!$D$9:$D$1008,$I676-8)="","",INDEX('Fleet dates'!$D$9:$D$1008,$I676-8)))</x:f>
      </x:c>
      <x:c r="E676" s="51" t="str">
        <x:f>IF(668&gt;$H$4,"",IF(INDEX('Fleet dates'!$E$9:$E$1008,$I676-8)="","",INDEX('Fleet dates'!$E$9:$E$1008,$I676-8)))</x:f>
      </x:c>
      <x:c r="F676" s="51" t="str">
        <x:f>IF(668&gt;$H$4,"",IF(INDEX('Fleet dates'!$F$9:$F$1008,$I676-8)="","",INDEX('Fleet dates'!$F$9:$F$1008,$I676-8)))</x:f>
      </x:c>
      <x:c r="G676" s="50" t="str">
        <x:f>IF(668&gt;$H$4,"",IF(INDEX('Fleet dates'!$G$9:$G$1008,$I676-8)="","",INDEX('Fleet dates'!$G$9:$G$1008,$I676-8)))</x:f>
      </x:c>
      <x:c r="H676" s="50" t="str">
        <x:f>IF(668&gt;$H$4,"",IF(INDEX('Fleet dates'!$I$9:$I$1008,$I676-8)="","",INDEX('Fleet dates'!$I$9:$I$1008,$I676-8)))</x:f>
      </x:c>
      <x:c r="I676" t="str">
        <x:f>IF(668&gt;$H$4,"",MATCH(668,'Fleet dates'!$M$9:$M$1008,0)+8)</x:f>
      </x:c>
    </x:row>
    <x:row r="677" ht="36" customHeight="1">
      <x:c r="A677" s="50" t="str">
        <x:f>IF(669&gt;$H$4,"",IF(INDEX('Fleet dates'!$A$9:$A$1008,$I677-8)="","",INDEX('Fleet dates'!$A$9:$A$1008,$I677-8)))</x:f>
      </x:c>
      <x:c r="B677" s="50" t="str">
        <x:f>IF(669&gt;$H$4,"",IF(INDEX('Fleet dates'!$B$9:$B$1008,$I677-8)="","",INDEX('Fleet dates'!$B$9:$B$1008,$I677-8)))</x:f>
      </x:c>
      <x:c r="C677" s="51" t="str">
        <x:f>IF(669&gt;$H$4,"",IF(INDEX('Fleet dates'!$C$9:$C$1008,$I677-8)="","",INDEX('Fleet dates'!$C$9:$C$1008,$I677-8)))</x:f>
      </x:c>
      <x:c r="D677" s="51" t="str">
        <x:f>IF(669&gt;$H$4,"",IF(INDEX('Fleet dates'!$D$9:$D$1008,$I677-8)="","",INDEX('Fleet dates'!$D$9:$D$1008,$I677-8)))</x:f>
      </x:c>
      <x:c r="E677" s="51" t="str">
        <x:f>IF(669&gt;$H$4,"",IF(INDEX('Fleet dates'!$E$9:$E$1008,$I677-8)="","",INDEX('Fleet dates'!$E$9:$E$1008,$I677-8)))</x:f>
      </x:c>
      <x:c r="F677" s="51" t="str">
        <x:f>IF(669&gt;$H$4,"",IF(INDEX('Fleet dates'!$F$9:$F$1008,$I677-8)="","",INDEX('Fleet dates'!$F$9:$F$1008,$I677-8)))</x:f>
      </x:c>
      <x:c r="G677" s="50" t="str">
        <x:f>IF(669&gt;$H$4,"",IF(INDEX('Fleet dates'!$G$9:$G$1008,$I677-8)="","",INDEX('Fleet dates'!$G$9:$G$1008,$I677-8)))</x:f>
      </x:c>
      <x:c r="H677" s="50" t="str">
        <x:f>IF(669&gt;$H$4,"",IF(INDEX('Fleet dates'!$I$9:$I$1008,$I677-8)="","",INDEX('Fleet dates'!$I$9:$I$1008,$I677-8)))</x:f>
      </x:c>
      <x:c r="I677" t="str">
        <x:f>IF(669&gt;$H$4,"",MATCH(669,'Fleet dates'!$M$9:$M$1008,0)+8)</x:f>
      </x:c>
    </x:row>
    <x:row r="678" ht="36" customHeight="1">
      <x:c r="A678" s="50" t="str">
        <x:f>IF(670&gt;$H$4,"",IF(INDEX('Fleet dates'!$A$9:$A$1008,$I678-8)="","",INDEX('Fleet dates'!$A$9:$A$1008,$I678-8)))</x:f>
      </x:c>
      <x:c r="B678" s="50" t="str">
        <x:f>IF(670&gt;$H$4,"",IF(INDEX('Fleet dates'!$B$9:$B$1008,$I678-8)="","",INDEX('Fleet dates'!$B$9:$B$1008,$I678-8)))</x:f>
      </x:c>
      <x:c r="C678" s="51" t="str">
        <x:f>IF(670&gt;$H$4,"",IF(INDEX('Fleet dates'!$C$9:$C$1008,$I678-8)="","",INDEX('Fleet dates'!$C$9:$C$1008,$I678-8)))</x:f>
      </x:c>
      <x:c r="D678" s="51" t="str">
        <x:f>IF(670&gt;$H$4,"",IF(INDEX('Fleet dates'!$D$9:$D$1008,$I678-8)="","",INDEX('Fleet dates'!$D$9:$D$1008,$I678-8)))</x:f>
      </x:c>
      <x:c r="E678" s="51" t="str">
        <x:f>IF(670&gt;$H$4,"",IF(INDEX('Fleet dates'!$E$9:$E$1008,$I678-8)="","",INDEX('Fleet dates'!$E$9:$E$1008,$I678-8)))</x:f>
      </x:c>
      <x:c r="F678" s="51" t="str">
        <x:f>IF(670&gt;$H$4,"",IF(INDEX('Fleet dates'!$F$9:$F$1008,$I678-8)="","",INDEX('Fleet dates'!$F$9:$F$1008,$I678-8)))</x:f>
      </x:c>
      <x:c r="G678" s="50" t="str">
        <x:f>IF(670&gt;$H$4,"",IF(INDEX('Fleet dates'!$G$9:$G$1008,$I678-8)="","",INDEX('Fleet dates'!$G$9:$G$1008,$I678-8)))</x:f>
      </x:c>
      <x:c r="H678" s="50" t="str">
        <x:f>IF(670&gt;$H$4,"",IF(INDEX('Fleet dates'!$I$9:$I$1008,$I678-8)="","",INDEX('Fleet dates'!$I$9:$I$1008,$I678-8)))</x:f>
      </x:c>
      <x:c r="I678" t="str">
        <x:f>IF(670&gt;$H$4,"",MATCH(670,'Fleet dates'!$M$9:$M$1008,0)+8)</x:f>
      </x:c>
    </x:row>
    <x:row r="679" ht="36" customHeight="1">
      <x:c r="A679" s="50" t="str">
        <x:f>IF(671&gt;$H$4,"",IF(INDEX('Fleet dates'!$A$9:$A$1008,$I679-8)="","",INDEX('Fleet dates'!$A$9:$A$1008,$I679-8)))</x:f>
      </x:c>
      <x:c r="B679" s="50" t="str">
        <x:f>IF(671&gt;$H$4,"",IF(INDEX('Fleet dates'!$B$9:$B$1008,$I679-8)="","",INDEX('Fleet dates'!$B$9:$B$1008,$I679-8)))</x:f>
      </x:c>
      <x:c r="C679" s="51" t="str">
        <x:f>IF(671&gt;$H$4,"",IF(INDEX('Fleet dates'!$C$9:$C$1008,$I679-8)="","",INDEX('Fleet dates'!$C$9:$C$1008,$I679-8)))</x:f>
      </x:c>
      <x:c r="D679" s="51" t="str">
        <x:f>IF(671&gt;$H$4,"",IF(INDEX('Fleet dates'!$D$9:$D$1008,$I679-8)="","",INDEX('Fleet dates'!$D$9:$D$1008,$I679-8)))</x:f>
      </x:c>
      <x:c r="E679" s="51" t="str">
        <x:f>IF(671&gt;$H$4,"",IF(INDEX('Fleet dates'!$E$9:$E$1008,$I679-8)="","",INDEX('Fleet dates'!$E$9:$E$1008,$I679-8)))</x:f>
      </x:c>
      <x:c r="F679" s="51" t="str">
        <x:f>IF(671&gt;$H$4,"",IF(INDEX('Fleet dates'!$F$9:$F$1008,$I679-8)="","",INDEX('Fleet dates'!$F$9:$F$1008,$I679-8)))</x:f>
      </x:c>
      <x:c r="G679" s="50" t="str">
        <x:f>IF(671&gt;$H$4,"",IF(INDEX('Fleet dates'!$G$9:$G$1008,$I679-8)="","",INDEX('Fleet dates'!$G$9:$G$1008,$I679-8)))</x:f>
      </x:c>
      <x:c r="H679" s="50" t="str">
        <x:f>IF(671&gt;$H$4,"",IF(INDEX('Fleet dates'!$I$9:$I$1008,$I679-8)="","",INDEX('Fleet dates'!$I$9:$I$1008,$I679-8)))</x:f>
      </x:c>
      <x:c r="I679" t="str">
        <x:f>IF(671&gt;$H$4,"",MATCH(671,'Fleet dates'!$M$9:$M$1008,0)+8)</x:f>
      </x:c>
    </x:row>
    <x:row r="680" ht="36" customHeight="1">
      <x:c r="A680" s="50" t="str">
        <x:f>IF(672&gt;$H$4,"",IF(INDEX('Fleet dates'!$A$9:$A$1008,$I680-8)="","",INDEX('Fleet dates'!$A$9:$A$1008,$I680-8)))</x:f>
      </x:c>
      <x:c r="B680" s="50" t="str">
        <x:f>IF(672&gt;$H$4,"",IF(INDEX('Fleet dates'!$B$9:$B$1008,$I680-8)="","",INDEX('Fleet dates'!$B$9:$B$1008,$I680-8)))</x:f>
      </x:c>
      <x:c r="C680" s="51" t="str">
        <x:f>IF(672&gt;$H$4,"",IF(INDEX('Fleet dates'!$C$9:$C$1008,$I680-8)="","",INDEX('Fleet dates'!$C$9:$C$1008,$I680-8)))</x:f>
      </x:c>
      <x:c r="D680" s="51" t="str">
        <x:f>IF(672&gt;$H$4,"",IF(INDEX('Fleet dates'!$D$9:$D$1008,$I680-8)="","",INDEX('Fleet dates'!$D$9:$D$1008,$I680-8)))</x:f>
      </x:c>
      <x:c r="E680" s="51" t="str">
        <x:f>IF(672&gt;$H$4,"",IF(INDEX('Fleet dates'!$E$9:$E$1008,$I680-8)="","",INDEX('Fleet dates'!$E$9:$E$1008,$I680-8)))</x:f>
      </x:c>
      <x:c r="F680" s="51" t="str">
        <x:f>IF(672&gt;$H$4,"",IF(INDEX('Fleet dates'!$F$9:$F$1008,$I680-8)="","",INDEX('Fleet dates'!$F$9:$F$1008,$I680-8)))</x:f>
      </x:c>
      <x:c r="G680" s="50" t="str">
        <x:f>IF(672&gt;$H$4,"",IF(INDEX('Fleet dates'!$G$9:$G$1008,$I680-8)="","",INDEX('Fleet dates'!$G$9:$G$1008,$I680-8)))</x:f>
      </x:c>
      <x:c r="H680" s="50" t="str">
        <x:f>IF(672&gt;$H$4,"",IF(INDEX('Fleet dates'!$I$9:$I$1008,$I680-8)="","",INDEX('Fleet dates'!$I$9:$I$1008,$I680-8)))</x:f>
      </x:c>
      <x:c r="I680" t="str">
        <x:f>IF(672&gt;$H$4,"",MATCH(672,'Fleet dates'!$M$9:$M$1008,0)+8)</x:f>
      </x:c>
    </x:row>
    <x:row r="681" ht="36" customHeight="1">
      <x:c r="A681" s="50" t="str">
        <x:f>IF(673&gt;$H$4,"",IF(INDEX('Fleet dates'!$A$9:$A$1008,$I681-8)="","",INDEX('Fleet dates'!$A$9:$A$1008,$I681-8)))</x:f>
      </x:c>
      <x:c r="B681" s="50" t="str">
        <x:f>IF(673&gt;$H$4,"",IF(INDEX('Fleet dates'!$B$9:$B$1008,$I681-8)="","",INDEX('Fleet dates'!$B$9:$B$1008,$I681-8)))</x:f>
      </x:c>
      <x:c r="C681" s="51" t="str">
        <x:f>IF(673&gt;$H$4,"",IF(INDEX('Fleet dates'!$C$9:$C$1008,$I681-8)="","",INDEX('Fleet dates'!$C$9:$C$1008,$I681-8)))</x:f>
      </x:c>
      <x:c r="D681" s="51" t="str">
        <x:f>IF(673&gt;$H$4,"",IF(INDEX('Fleet dates'!$D$9:$D$1008,$I681-8)="","",INDEX('Fleet dates'!$D$9:$D$1008,$I681-8)))</x:f>
      </x:c>
      <x:c r="E681" s="51" t="str">
        <x:f>IF(673&gt;$H$4,"",IF(INDEX('Fleet dates'!$E$9:$E$1008,$I681-8)="","",INDEX('Fleet dates'!$E$9:$E$1008,$I681-8)))</x:f>
      </x:c>
      <x:c r="F681" s="51" t="str">
        <x:f>IF(673&gt;$H$4,"",IF(INDEX('Fleet dates'!$F$9:$F$1008,$I681-8)="","",INDEX('Fleet dates'!$F$9:$F$1008,$I681-8)))</x:f>
      </x:c>
      <x:c r="G681" s="50" t="str">
        <x:f>IF(673&gt;$H$4,"",IF(INDEX('Fleet dates'!$G$9:$G$1008,$I681-8)="","",INDEX('Fleet dates'!$G$9:$G$1008,$I681-8)))</x:f>
      </x:c>
      <x:c r="H681" s="50" t="str">
        <x:f>IF(673&gt;$H$4,"",IF(INDEX('Fleet dates'!$I$9:$I$1008,$I681-8)="","",INDEX('Fleet dates'!$I$9:$I$1008,$I681-8)))</x:f>
      </x:c>
      <x:c r="I681" t="str">
        <x:f>IF(673&gt;$H$4,"",MATCH(673,'Fleet dates'!$M$9:$M$1008,0)+8)</x:f>
      </x:c>
    </x:row>
    <x:row r="682" ht="36" customHeight="1">
      <x:c r="A682" s="50" t="str">
        <x:f>IF(674&gt;$H$4,"",IF(INDEX('Fleet dates'!$A$9:$A$1008,$I682-8)="","",INDEX('Fleet dates'!$A$9:$A$1008,$I682-8)))</x:f>
      </x:c>
      <x:c r="B682" s="50" t="str">
        <x:f>IF(674&gt;$H$4,"",IF(INDEX('Fleet dates'!$B$9:$B$1008,$I682-8)="","",INDEX('Fleet dates'!$B$9:$B$1008,$I682-8)))</x:f>
      </x:c>
      <x:c r="C682" s="51" t="str">
        <x:f>IF(674&gt;$H$4,"",IF(INDEX('Fleet dates'!$C$9:$C$1008,$I682-8)="","",INDEX('Fleet dates'!$C$9:$C$1008,$I682-8)))</x:f>
      </x:c>
      <x:c r="D682" s="51" t="str">
        <x:f>IF(674&gt;$H$4,"",IF(INDEX('Fleet dates'!$D$9:$D$1008,$I682-8)="","",INDEX('Fleet dates'!$D$9:$D$1008,$I682-8)))</x:f>
      </x:c>
      <x:c r="E682" s="51" t="str">
        <x:f>IF(674&gt;$H$4,"",IF(INDEX('Fleet dates'!$E$9:$E$1008,$I682-8)="","",INDEX('Fleet dates'!$E$9:$E$1008,$I682-8)))</x:f>
      </x:c>
      <x:c r="F682" s="51" t="str">
        <x:f>IF(674&gt;$H$4,"",IF(INDEX('Fleet dates'!$F$9:$F$1008,$I682-8)="","",INDEX('Fleet dates'!$F$9:$F$1008,$I682-8)))</x:f>
      </x:c>
      <x:c r="G682" s="50" t="str">
        <x:f>IF(674&gt;$H$4,"",IF(INDEX('Fleet dates'!$G$9:$G$1008,$I682-8)="","",INDEX('Fleet dates'!$G$9:$G$1008,$I682-8)))</x:f>
      </x:c>
      <x:c r="H682" s="50" t="str">
        <x:f>IF(674&gt;$H$4,"",IF(INDEX('Fleet dates'!$I$9:$I$1008,$I682-8)="","",INDEX('Fleet dates'!$I$9:$I$1008,$I682-8)))</x:f>
      </x:c>
      <x:c r="I682" t="str">
        <x:f>IF(674&gt;$H$4,"",MATCH(674,'Fleet dates'!$M$9:$M$1008,0)+8)</x:f>
      </x:c>
    </x:row>
    <x:row r="683" ht="36" customHeight="1">
      <x:c r="A683" s="50" t="str">
        <x:f>IF(675&gt;$H$4,"",IF(INDEX('Fleet dates'!$A$9:$A$1008,$I683-8)="","",INDEX('Fleet dates'!$A$9:$A$1008,$I683-8)))</x:f>
      </x:c>
      <x:c r="B683" s="50" t="str">
        <x:f>IF(675&gt;$H$4,"",IF(INDEX('Fleet dates'!$B$9:$B$1008,$I683-8)="","",INDEX('Fleet dates'!$B$9:$B$1008,$I683-8)))</x:f>
      </x:c>
      <x:c r="C683" s="51" t="str">
        <x:f>IF(675&gt;$H$4,"",IF(INDEX('Fleet dates'!$C$9:$C$1008,$I683-8)="","",INDEX('Fleet dates'!$C$9:$C$1008,$I683-8)))</x:f>
      </x:c>
      <x:c r="D683" s="51" t="str">
        <x:f>IF(675&gt;$H$4,"",IF(INDEX('Fleet dates'!$D$9:$D$1008,$I683-8)="","",INDEX('Fleet dates'!$D$9:$D$1008,$I683-8)))</x:f>
      </x:c>
      <x:c r="E683" s="51" t="str">
        <x:f>IF(675&gt;$H$4,"",IF(INDEX('Fleet dates'!$E$9:$E$1008,$I683-8)="","",INDEX('Fleet dates'!$E$9:$E$1008,$I683-8)))</x:f>
      </x:c>
      <x:c r="F683" s="51" t="str">
        <x:f>IF(675&gt;$H$4,"",IF(INDEX('Fleet dates'!$F$9:$F$1008,$I683-8)="","",INDEX('Fleet dates'!$F$9:$F$1008,$I683-8)))</x:f>
      </x:c>
      <x:c r="G683" s="50" t="str">
        <x:f>IF(675&gt;$H$4,"",IF(INDEX('Fleet dates'!$G$9:$G$1008,$I683-8)="","",INDEX('Fleet dates'!$G$9:$G$1008,$I683-8)))</x:f>
      </x:c>
      <x:c r="H683" s="50" t="str">
        <x:f>IF(675&gt;$H$4,"",IF(INDEX('Fleet dates'!$I$9:$I$1008,$I683-8)="","",INDEX('Fleet dates'!$I$9:$I$1008,$I683-8)))</x:f>
      </x:c>
      <x:c r="I683" t="str">
        <x:f>IF(675&gt;$H$4,"",MATCH(675,'Fleet dates'!$M$9:$M$1008,0)+8)</x:f>
      </x:c>
    </x:row>
    <x:row r="684" ht="36" customHeight="1">
      <x:c r="A684" s="50" t="str">
        <x:f>IF(676&gt;$H$4,"",IF(INDEX('Fleet dates'!$A$9:$A$1008,$I684-8)="","",INDEX('Fleet dates'!$A$9:$A$1008,$I684-8)))</x:f>
      </x:c>
      <x:c r="B684" s="50" t="str">
        <x:f>IF(676&gt;$H$4,"",IF(INDEX('Fleet dates'!$B$9:$B$1008,$I684-8)="","",INDEX('Fleet dates'!$B$9:$B$1008,$I684-8)))</x:f>
      </x:c>
      <x:c r="C684" s="51" t="str">
        <x:f>IF(676&gt;$H$4,"",IF(INDEX('Fleet dates'!$C$9:$C$1008,$I684-8)="","",INDEX('Fleet dates'!$C$9:$C$1008,$I684-8)))</x:f>
      </x:c>
      <x:c r="D684" s="51" t="str">
        <x:f>IF(676&gt;$H$4,"",IF(INDEX('Fleet dates'!$D$9:$D$1008,$I684-8)="","",INDEX('Fleet dates'!$D$9:$D$1008,$I684-8)))</x:f>
      </x:c>
      <x:c r="E684" s="51" t="str">
        <x:f>IF(676&gt;$H$4,"",IF(INDEX('Fleet dates'!$E$9:$E$1008,$I684-8)="","",INDEX('Fleet dates'!$E$9:$E$1008,$I684-8)))</x:f>
      </x:c>
      <x:c r="F684" s="51" t="str">
        <x:f>IF(676&gt;$H$4,"",IF(INDEX('Fleet dates'!$F$9:$F$1008,$I684-8)="","",INDEX('Fleet dates'!$F$9:$F$1008,$I684-8)))</x:f>
      </x:c>
      <x:c r="G684" s="50" t="str">
        <x:f>IF(676&gt;$H$4,"",IF(INDEX('Fleet dates'!$G$9:$G$1008,$I684-8)="","",INDEX('Fleet dates'!$G$9:$G$1008,$I684-8)))</x:f>
      </x:c>
      <x:c r="H684" s="50" t="str">
        <x:f>IF(676&gt;$H$4,"",IF(INDEX('Fleet dates'!$I$9:$I$1008,$I684-8)="","",INDEX('Fleet dates'!$I$9:$I$1008,$I684-8)))</x:f>
      </x:c>
      <x:c r="I684" t="str">
        <x:f>IF(676&gt;$H$4,"",MATCH(676,'Fleet dates'!$M$9:$M$1008,0)+8)</x:f>
      </x:c>
    </x:row>
    <x:row r="685" ht="36" customHeight="1">
      <x:c r="A685" s="50" t="str">
        <x:f>IF(677&gt;$H$4,"",IF(INDEX('Fleet dates'!$A$9:$A$1008,$I685-8)="","",INDEX('Fleet dates'!$A$9:$A$1008,$I685-8)))</x:f>
      </x:c>
      <x:c r="B685" s="50" t="str">
        <x:f>IF(677&gt;$H$4,"",IF(INDEX('Fleet dates'!$B$9:$B$1008,$I685-8)="","",INDEX('Fleet dates'!$B$9:$B$1008,$I685-8)))</x:f>
      </x:c>
      <x:c r="C685" s="51" t="str">
        <x:f>IF(677&gt;$H$4,"",IF(INDEX('Fleet dates'!$C$9:$C$1008,$I685-8)="","",INDEX('Fleet dates'!$C$9:$C$1008,$I685-8)))</x:f>
      </x:c>
      <x:c r="D685" s="51" t="str">
        <x:f>IF(677&gt;$H$4,"",IF(INDEX('Fleet dates'!$D$9:$D$1008,$I685-8)="","",INDEX('Fleet dates'!$D$9:$D$1008,$I685-8)))</x:f>
      </x:c>
      <x:c r="E685" s="51" t="str">
        <x:f>IF(677&gt;$H$4,"",IF(INDEX('Fleet dates'!$E$9:$E$1008,$I685-8)="","",INDEX('Fleet dates'!$E$9:$E$1008,$I685-8)))</x:f>
      </x:c>
      <x:c r="F685" s="51" t="str">
        <x:f>IF(677&gt;$H$4,"",IF(INDEX('Fleet dates'!$F$9:$F$1008,$I685-8)="","",INDEX('Fleet dates'!$F$9:$F$1008,$I685-8)))</x:f>
      </x:c>
      <x:c r="G685" s="50" t="str">
        <x:f>IF(677&gt;$H$4,"",IF(INDEX('Fleet dates'!$G$9:$G$1008,$I685-8)="","",INDEX('Fleet dates'!$G$9:$G$1008,$I685-8)))</x:f>
      </x:c>
      <x:c r="H685" s="50" t="str">
        <x:f>IF(677&gt;$H$4,"",IF(INDEX('Fleet dates'!$I$9:$I$1008,$I685-8)="","",INDEX('Fleet dates'!$I$9:$I$1008,$I685-8)))</x:f>
      </x:c>
      <x:c r="I685" t="str">
        <x:f>IF(677&gt;$H$4,"",MATCH(677,'Fleet dates'!$M$9:$M$1008,0)+8)</x:f>
      </x:c>
    </x:row>
    <x:row r="686" ht="36" customHeight="1">
      <x:c r="A686" s="50" t="str">
        <x:f>IF(678&gt;$H$4,"",IF(INDEX('Fleet dates'!$A$9:$A$1008,$I686-8)="","",INDEX('Fleet dates'!$A$9:$A$1008,$I686-8)))</x:f>
      </x:c>
      <x:c r="B686" s="50" t="str">
        <x:f>IF(678&gt;$H$4,"",IF(INDEX('Fleet dates'!$B$9:$B$1008,$I686-8)="","",INDEX('Fleet dates'!$B$9:$B$1008,$I686-8)))</x:f>
      </x:c>
      <x:c r="C686" s="51" t="str">
        <x:f>IF(678&gt;$H$4,"",IF(INDEX('Fleet dates'!$C$9:$C$1008,$I686-8)="","",INDEX('Fleet dates'!$C$9:$C$1008,$I686-8)))</x:f>
      </x:c>
      <x:c r="D686" s="51" t="str">
        <x:f>IF(678&gt;$H$4,"",IF(INDEX('Fleet dates'!$D$9:$D$1008,$I686-8)="","",INDEX('Fleet dates'!$D$9:$D$1008,$I686-8)))</x:f>
      </x:c>
      <x:c r="E686" s="51" t="str">
        <x:f>IF(678&gt;$H$4,"",IF(INDEX('Fleet dates'!$E$9:$E$1008,$I686-8)="","",INDEX('Fleet dates'!$E$9:$E$1008,$I686-8)))</x:f>
      </x:c>
      <x:c r="F686" s="51" t="str">
        <x:f>IF(678&gt;$H$4,"",IF(INDEX('Fleet dates'!$F$9:$F$1008,$I686-8)="","",INDEX('Fleet dates'!$F$9:$F$1008,$I686-8)))</x:f>
      </x:c>
      <x:c r="G686" s="50" t="str">
        <x:f>IF(678&gt;$H$4,"",IF(INDEX('Fleet dates'!$G$9:$G$1008,$I686-8)="","",INDEX('Fleet dates'!$G$9:$G$1008,$I686-8)))</x:f>
      </x:c>
      <x:c r="H686" s="50" t="str">
        <x:f>IF(678&gt;$H$4,"",IF(INDEX('Fleet dates'!$I$9:$I$1008,$I686-8)="","",INDEX('Fleet dates'!$I$9:$I$1008,$I686-8)))</x:f>
      </x:c>
      <x:c r="I686" t="str">
        <x:f>IF(678&gt;$H$4,"",MATCH(678,'Fleet dates'!$M$9:$M$1008,0)+8)</x:f>
      </x:c>
    </x:row>
    <x:row r="687" ht="36" customHeight="1">
      <x:c r="A687" s="50" t="str">
        <x:f>IF(679&gt;$H$4,"",IF(INDEX('Fleet dates'!$A$9:$A$1008,$I687-8)="","",INDEX('Fleet dates'!$A$9:$A$1008,$I687-8)))</x:f>
      </x:c>
      <x:c r="B687" s="50" t="str">
        <x:f>IF(679&gt;$H$4,"",IF(INDEX('Fleet dates'!$B$9:$B$1008,$I687-8)="","",INDEX('Fleet dates'!$B$9:$B$1008,$I687-8)))</x:f>
      </x:c>
      <x:c r="C687" s="51" t="str">
        <x:f>IF(679&gt;$H$4,"",IF(INDEX('Fleet dates'!$C$9:$C$1008,$I687-8)="","",INDEX('Fleet dates'!$C$9:$C$1008,$I687-8)))</x:f>
      </x:c>
      <x:c r="D687" s="51" t="str">
        <x:f>IF(679&gt;$H$4,"",IF(INDEX('Fleet dates'!$D$9:$D$1008,$I687-8)="","",INDEX('Fleet dates'!$D$9:$D$1008,$I687-8)))</x:f>
      </x:c>
      <x:c r="E687" s="51" t="str">
        <x:f>IF(679&gt;$H$4,"",IF(INDEX('Fleet dates'!$E$9:$E$1008,$I687-8)="","",INDEX('Fleet dates'!$E$9:$E$1008,$I687-8)))</x:f>
      </x:c>
      <x:c r="F687" s="51" t="str">
        <x:f>IF(679&gt;$H$4,"",IF(INDEX('Fleet dates'!$F$9:$F$1008,$I687-8)="","",INDEX('Fleet dates'!$F$9:$F$1008,$I687-8)))</x:f>
      </x:c>
      <x:c r="G687" s="50" t="str">
        <x:f>IF(679&gt;$H$4,"",IF(INDEX('Fleet dates'!$G$9:$G$1008,$I687-8)="","",INDEX('Fleet dates'!$G$9:$G$1008,$I687-8)))</x:f>
      </x:c>
      <x:c r="H687" s="50" t="str">
        <x:f>IF(679&gt;$H$4,"",IF(INDEX('Fleet dates'!$I$9:$I$1008,$I687-8)="","",INDEX('Fleet dates'!$I$9:$I$1008,$I687-8)))</x:f>
      </x:c>
      <x:c r="I687" t="str">
        <x:f>IF(679&gt;$H$4,"",MATCH(679,'Fleet dates'!$M$9:$M$1008,0)+8)</x:f>
      </x:c>
    </x:row>
    <x:row r="688" ht="36" customHeight="1">
      <x:c r="A688" s="50" t="str">
        <x:f>IF(680&gt;$H$4,"",IF(INDEX('Fleet dates'!$A$9:$A$1008,$I688-8)="","",INDEX('Fleet dates'!$A$9:$A$1008,$I688-8)))</x:f>
      </x:c>
      <x:c r="B688" s="50" t="str">
        <x:f>IF(680&gt;$H$4,"",IF(INDEX('Fleet dates'!$B$9:$B$1008,$I688-8)="","",INDEX('Fleet dates'!$B$9:$B$1008,$I688-8)))</x:f>
      </x:c>
      <x:c r="C688" s="51" t="str">
        <x:f>IF(680&gt;$H$4,"",IF(INDEX('Fleet dates'!$C$9:$C$1008,$I688-8)="","",INDEX('Fleet dates'!$C$9:$C$1008,$I688-8)))</x:f>
      </x:c>
      <x:c r="D688" s="51" t="str">
        <x:f>IF(680&gt;$H$4,"",IF(INDEX('Fleet dates'!$D$9:$D$1008,$I688-8)="","",INDEX('Fleet dates'!$D$9:$D$1008,$I688-8)))</x:f>
      </x:c>
      <x:c r="E688" s="51" t="str">
        <x:f>IF(680&gt;$H$4,"",IF(INDEX('Fleet dates'!$E$9:$E$1008,$I688-8)="","",INDEX('Fleet dates'!$E$9:$E$1008,$I688-8)))</x:f>
      </x:c>
      <x:c r="F688" s="51" t="str">
        <x:f>IF(680&gt;$H$4,"",IF(INDEX('Fleet dates'!$F$9:$F$1008,$I688-8)="","",INDEX('Fleet dates'!$F$9:$F$1008,$I688-8)))</x:f>
      </x:c>
      <x:c r="G688" s="50" t="str">
        <x:f>IF(680&gt;$H$4,"",IF(INDEX('Fleet dates'!$G$9:$G$1008,$I688-8)="","",INDEX('Fleet dates'!$G$9:$G$1008,$I688-8)))</x:f>
      </x:c>
      <x:c r="H688" s="50" t="str">
        <x:f>IF(680&gt;$H$4,"",IF(INDEX('Fleet dates'!$I$9:$I$1008,$I688-8)="","",INDEX('Fleet dates'!$I$9:$I$1008,$I688-8)))</x:f>
      </x:c>
      <x:c r="I688" t="str">
        <x:f>IF(680&gt;$H$4,"",MATCH(680,'Fleet dates'!$M$9:$M$1008,0)+8)</x:f>
      </x:c>
    </x:row>
    <x:row r="689" ht="36" customHeight="1">
      <x:c r="A689" s="50" t="str">
        <x:f>IF(681&gt;$H$4,"",IF(INDEX('Fleet dates'!$A$9:$A$1008,$I689-8)="","",INDEX('Fleet dates'!$A$9:$A$1008,$I689-8)))</x:f>
      </x:c>
      <x:c r="B689" s="50" t="str">
        <x:f>IF(681&gt;$H$4,"",IF(INDEX('Fleet dates'!$B$9:$B$1008,$I689-8)="","",INDEX('Fleet dates'!$B$9:$B$1008,$I689-8)))</x:f>
      </x:c>
      <x:c r="C689" s="51" t="str">
        <x:f>IF(681&gt;$H$4,"",IF(INDEX('Fleet dates'!$C$9:$C$1008,$I689-8)="","",INDEX('Fleet dates'!$C$9:$C$1008,$I689-8)))</x:f>
      </x:c>
      <x:c r="D689" s="51" t="str">
        <x:f>IF(681&gt;$H$4,"",IF(INDEX('Fleet dates'!$D$9:$D$1008,$I689-8)="","",INDEX('Fleet dates'!$D$9:$D$1008,$I689-8)))</x:f>
      </x:c>
      <x:c r="E689" s="51" t="str">
        <x:f>IF(681&gt;$H$4,"",IF(INDEX('Fleet dates'!$E$9:$E$1008,$I689-8)="","",INDEX('Fleet dates'!$E$9:$E$1008,$I689-8)))</x:f>
      </x:c>
      <x:c r="F689" s="51" t="str">
        <x:f>IF(681&gt;$H$4,"",IF(INDEX('Fleet dates'!$F$9:$F$1008,$I689-8)="","",INDEX('Fleet dates'!$F$9:$F$1008,$I689-8)))</x:f>
      </x:c>
      <x:c r="G689" s="50" t="str">
        <x:f>IF(681&gt;$H$4,"",IF(INDEX('Fleet dates'!$G$9:$G$1008,$I689-8)="","",INDEX('Fleet dates'!$G$9:$G$1008,$I689-8)))</x:f>
      </x:c>
      <x:c r="H689" s="50" t="str">
        <x:f>IF(681&gt;$H$4,"",IF(INDEX('Fleet dates'!$I$9:$I$1008,$I689-8)="","",INDEX('Fleet dates'!$I$9:$I$1008,$I689-8)))</x:f>
      </x:c>
      <x:c r="I689" t="str">
        <x:f>IF(681&gt;$H$4,"",MATCH(681,'Fleet dates'!$M$9:$M$1008,0)+8)</x:f>
      </x:c>
    </x:row>
    <x:row r="690" ht="36" customHeight="1">
      <x:c r="A690" s="50" t="str">
        <x:f>IF(682&gt;$H$4,"",IF(INDEX('Fleet dates'!$A$9:$A$1008,$I690-8)="","",INDEX('Fleet dates'!$A$9:$A$1008,$I690-8)))</x:f>
      </x:c>
      <x:c r="B690" s="50" t="str">
        <x:f>IF(682&gt;$H$4,"",IF(INDEX('Fleet dates'!$B$9:$B$1008,$I690-8)="","",INDEX('Fleet dates'!$B$9:$B$1008,$I690-8)))</x:f>
      </x:c>
      <x:c r="C690" s="51" t="str">
        <x:f>IF(682&gt;$H$4,"",IF(INDEX('Fleet dates'!$C$9:$C$1008,$I690-8)="","",INDEX('Fleet dates'!$C$9:$C$1008,$I690-8)))</x:f>
      </x:c>
      <x:c r="D690" s="51" t="str">
        <x:f>IF(682&gt;$H$4,"",IF(INDEX('Fleet dates'!$D$9:$D$1008,$I690-8)="","",INDEX('Fleet dates'!$D$9:$D$1008,$I690-8)))</x:f>
      </x:c>
      <x:c r="E690" s="51" t="str">
        <x:f>IF(682&gt;$H$4,"",IF(INDEX('Fleet dates'!$E$9:$E$1008,$I690-8)="","",INDEX('Fleet dates'!$E$9:$E$1008,$I690-8)))</x:f>
      </x:c>
      <x:c r="F690" s="51" t="str">
        <x:f>IF(682&gt;$H$4,"",IF(INDEX('Fleet dates'!$F$9:$F$1008,$I690-8)="","",INDEX('Fleet dates'!$F$9:$F$1008,$I690-8)))</x:f>
      </x:c>
      <x:c r="G690" s="50" t="str">
        <x:f>IF(682&gt;$H$4,"",IF(INDEX('Fleet dates'!$G$9:$G$1008,$I690-8)="","",INDEX('Fleet dates'!$G$9:$G$1008,$I690-8)))</x:f>
      </x:c>
      <x:c r="H690" s="50" t="str">
        <x:f>IF(682&gt;$H$4,"",IF(INDEX('Fleet dates'!$I$9:$I$1008,$I690-8)="","",INDEX('Fleet dates'!$I$9:$I$1008,$I690-8)))</x:f>
      </x:c>
      <x:c r="I690" t="str">
        <x:f>IF(682&gt;$H$4,"",MATCH(682,'Fleet dates'!$M$9:$M$1008,0)+8)</x:f>
      </x:c>
    </x:row>
    <x:row r="691" ht="36" customHeight="1">
      <x:c r="A691" s="50" t="str">
        <x:f>IF(683&gt;$H$4,"",IF(INDEX('Fleet dates'!$A$9:$A$1008,$I691-8)="","",INDEX('Fleet dates'!$A$9:$A$1008,$I691-8)))</x:f>
      </x:c>
      <x:c r="B691" s="50" t="str">
        <x:f>IF(683&gt;$H$4,"",IF(INDEX('Fleet dates'!$B$9:$B$1008,$I691-8)="","",INDEX('Fleet dates'!$B$9:$B$1008,$I691-8)))</x:f>
      </x:c>
      <x:c r="C691" s="51" t="str">
        <x:f>IF(683&gt;$H$4,"",IF(INDEX('Fleet dates'!$C$9:$C$1008,$I691-8)="","",INDEX('Fleet dates'!$C$9:$C$1008,$I691-8)))</x:f>
      </x:c>
      <x:c r="D691" s="51" t="str">
        <x:f>IF(683&gt;$H$4,"",IF(INDEX('Fleet dates'!$D$9:$D$1008,$I691-8)="","",INDEX('Fleet dates'!$D$9:$D$1008,$I691-8)))</x:f>
      </x:c>
      <x:c r="E691" s="51" t="str">
        <x:f>IF(683&gt;$H$4,"",IF(INDEX('Fleet dates'!$E$9:$E$1008,$I691-8)="","",INDEX('Fleet dates'!$E$9:$E$1008,$I691-8)))</x:f>
      </x:c>
      <x:c r="F691" s="51" t="str">
        <x:f>IF(683&gt;$H$4,"",IF(INDEX('Fleet dates'!$F$9:$F$1008,$I691-8)="","",INDEX('Fleet dates'!$F$9:$F$1008,$I691-8)))</x:f>
      </x:c>
      <x:c r="G691" s="50" t="str">
        <x:f>IF(683&gt;$H$4,"",IF(INDEX('Fleet dates'!$G$9:$G$1008,$I691-8)="","",INDEX('Fleet dates'!$G$9:$G$1008,$I691-8)))</x:f>
      </x:c>
      <x:c r="H691" s="50" t="str">
        <x:f>IF(683&gt;$H$4,"",IF(INDEX('Fleet dates'!$I$9:$I$1008,$I691-8)="","",INDEX('Fleet dates'!$I$9:$I$1008,$I691-8)))</x:f>
      </x:c>
      <x:c r="I691" t="str">
        <x:f>IF(683&gt;$H$4,"",MATCH(683,'Fleet dates'!$M$9:$M$1008,0)+8)</x:f>
      </x:c>
    </x:row>
    <x:row r="692" ht="36" customHeight="1">
      <x:c r="A692" s="50" t="str">
        <x:f>IF(684&gt;$H$4,"",IF(INDEX('Fleet dates'!$A$9:$A$1008,$I692-8)="","",INDEX('Fleet dates'!$A$9:$A$1008,$I692-8)))</x:f>
      </x:c>
      <x:c r="B692" s="50" t="str">
        <x:f>IF(684&gt;$H$4,"",IF(INDEX('Fleet dates'!$B$9:$B$1008,$I692-8)="","",INDEX('Fleet dates'!$B$9:$B$1008,$I692-8)))</x:f>
      </x:c>
      <x:c r="C692" s="51" t="str">
        <x:f>IF(684&gt;$H$4,"",IF(INDEX('Fleet dates'!$C$9:$C$1008,$I692-8)="","",INDEX('Fleet dates'!$C$9:$C$1008,$I692-8)))</x:f>
      </x:c>
      <x:c r="D692" s="51" t="str">
        <x:f>IF(684&gt;$H$4,"",IF(INDEX('Fleet dates'!$D$9:$D$1008,$I692-8)="","",INDEX('Fleet dates'!$D$9:$D$1008,$I692-8)))</x:f>
      </x:c>
      <x:c r="E692" s="51" t="str">
        <x:f>IF(684&gt;$H$4,"",IF(INDEX('Fleet dates'!$E$9:$E$1008,$I692-8)="","",INDEX('Fleet dates'!$E$9:$E$1008,$I692-8)))</x:f>
      </x:c>
      <x:c r="F692" s="51" t="str">
        <x:f>IF(684&gt;$H$4,"",IF(INDEX('Fleet dates'!$F$9:$F$1008,$I692-8)="","",INDEX('Fleet dates'!$F$9:$F$1008,$I692-8)))</x:f>
      </x:c>
      <x:c r="G692" s="50" t="str">
        <x:f>IF(684&gt;$H$4,"",IF(INDEX('Fleet dates'!$G$9:$G$1008,$I692-8)="","",INDEX('Fleet dates'!$G$9:$G$1008,$I692-8)))</x:f>
      </x:c>
      <x:c r="H692" s="50" t="str">
        <x:f>IF(684&gt;$H$4,"",IF(INDEX('Fleet dates'!$I$9:$I$1008,$I692-8)="","",INDEX('Fleet dates'!$I$9:$I$1008,$I692-8)))</x:f>
      </x:c>
      <x:c r="I692" t="str">
        <x:f>IF(684&gt;$H$4,"",MATCH(684,'Fleet dates'!$M$9:$M$1008,0)+8)</x:f>
      </x:c>
    </x:row>
    <x:row r="693" ht="36" customHeight="1">
      <x:c r="A693" s="50" t="str">
        <x:f>IF(685&gt;$H$4,"",IF(INDEX('Fleet dates'!$A$9:$A$1008,$I693-8)="","",INDEX('Fleet dates'!$A$9:$A$1008,$I693-8)))</x:f>
      </x:c>
      <x:c r="B693" s="50" t="str">
        <x:f>IF(685&gt;$H$4,"",IF(INDEX('Fleet dates'!$B$9:$B$1008,$I693-8)="","",INDEX('Fleet dates'!$B$9:$B$1008,$I693-8)))</x:f>
      </x:c>
      <x:c r="C693" s="51" t="str">
        <x:f>IF(685&gt;$H$4,"",IF(INDEX('Fleet dates'!$C$9:$C$1008,$I693-8)="","",INDEX('Fleet dates'!$C$9:$C$1008,$I693-8)))</x:f>
      </x:c>
      <x:c r="D693" s="51" t="str">
        <x:f>IF(685&gt;$H$4,"",IF(INDEX('Fleet dates'!$D$9:$D$1008,$I693-8)="","",INDEX('Fleet dates'!$D$9:$D$1008,$I693-8)))</x:f>
      </x:c>
      <x:c r="E693" s="51" t="str">
        <x:f>IF(685&gt;$H$4,"",IF(INDEX('Fleet dates'!$E$9:$E$1008,$I693-8)="","",INDEX('Fleet dates'!$E$9:$E$1008,$I693-8)))</x:f>
      </x:c>
      <x:c r="F693" s="51" t="str">
        <x:f>IF(685&gt;$H$4,"",IF(INDEX('Fleet dates'!$F$9:$F$1008,$I693-8)="","",INDEX('Fleet dates'!$F$9:$F$1008,$I693-8)))</x:f>
      </x:c>
      <x:c r="G693" s="50" t="str">
        <x:f>IF(685&gt;$H$4,"",IF(INDEX('Fleet dates'!$G$9:$G$1008,$I693-8)="","",INDEX('Fleet dates'!$G$9:$G$1008,$I693-8)))</x:f>
      </x:c>
      <x:c r="H693" s="50" t="str">
        <x:f>IF(685&gt;$H$4,"",IF(INDEX('Fleet dates'!$I$9:$I$1008,$I693-8)="","",INDEX('Fleet dates'!$I$9:$I$1008,$I693-8)))</x:f>
      </x:c>
      <x:c r="I693" t="str">
        <x:f>IF(685&gt;$H$4,"",MATCH(685,'Fleet dates'!$M$9:$M$1008,0)+8)</x:f>
      </x:c>
    </x:row>
    <x:row r="694" ht="36" customHeight="1">
      <x:c r="A694" s="50" t="str">
        <x:f>IF(686&gt;$H$4,"",IF(INDEX('Fleet dates'!$A$9:$A$1008,$I694-8)="","",INDEX('Fleet dates'!$A$9:$A$1008,$I694-8)))</x:f>
      </x:c>
      <x:c r="B694" s="50" t="str">
        <x:f>IF(686&gt;$H$4,"",IF(INDEX('Fleet dates'!$B$9:$B$1008,$I694-8)="","",INDEX('Fleet dates'!$B$9:$B$1008,$I694-8)))</x:f>
      </x:c>
      <x:c r="C694" s="51" t="str">
        <x:f>IF(686&gt;$H$4,"",IF(INDEX('Fleet dates'!$C$9:$C$1008,$I694-8)="","",INDEX('Fleet dates'!$C$9:$C$1008,$I694-8)))</x:f>
      </x:c>
      <x:c r="D694" s="51" t="str">
        <x:f>IF(686&gt;$H$4,"",IF(INDEX('Fleet dates'!$D$9:$D$1008,$I694-8)="","",INDEX('Fleet dates'!$D$9:$D$1008,$I694-8)))</x:f>
      </x:c>
      <x:c r="E694" s="51" t="str">
        <x:f>IF(686&gt;$H$4,"",IF(INDEX('Fleet dates'!$E$9:$E$1008,$I694-8)="","",INDEX('Fleet dates'!$E$9:$E$1008,$I694-8)))</x:f>
      </x:c>
      <x:c r="F694" s="51" t="str">
        <x:f>IF(686&gt;$H$4,"",IF(INDEX('Fleet dates'!$F$9:$F$1008,$I694-8)="","",INDEX('Fleet dates'!$F$9:$F$1008,$I694-8)))</x:f>
      </x:c>
      <x:c r="G694" s="50" t="str">
        <x:f>IF(686&gt;$H$4,"",IF(INDEX('Fleet dates'!$G$9:$G$1008,$I694-8)="","",INDEX('Fleet dates'!$G$9:$G$1008,$I694-8)))</x:f>
      </x:c>
      <x:c r="H694" s="50" t="str">
        <x:f>IF(686&gt;$H$4,"",IF(INDEX('Fleet dates'!$I$9:$I$1008,$I694-8)="","",INDEX('Fleet dates'!$I$9:$I$1008,$I694-8)))</x:f>
      </x:c>
      <x:c r="I694" t="str">
        <x:f>IF(686&gt;$H$4,"",MATCH(686,'Fleet dates'!$M$9:$M$1008,0)+8)</x:f>
      </x:c>
    </x:row>
    <x:row r="695" ht="36" customHeight="1">
      <x:c r="A695" s="50" t="str">
        <x:f>IF(687&gt;$H$4,"",IF(INDEX('Fleet dates'!$A$9:$A$1008,$I695-8)="","",INDEX('Fleet dates'!$A$9:$A$1008,$I695-8)))</x:f>
      </x:c>
      <x:c r="B695" s="50" t="str">
        <x:f>IF(687&gt;$H$4,"",IF(INDEX('Fleet dates'!$B$9:$B$1008,$I695-8)="","",INDEX('Fleet dates'!$B$9:$B$1008,$I695-8)))</x:f>
      </x:c>
      <x:c r="C695" s="51" t="str">
        <x:f>IF(687&gt;$H$4,"",IF(INDEX('Fleet dates'!$C$9:$C$1008,$I695-8)="","",INDEX('Fleet dates'!$C$9:$C$1008,$I695-8)))</x:f>
      </x:c>
      <x:c r="D695" s="51" t="str">
        <x:f>IF(687&gt;$H$4,"",IF(INDEX('Fleet dates'!$D$9:$D$1008,$I695-8)="","",INDEX('Fleet dates'!$D$9:$D$1008,$I695-8)))</x:f>
      </x:c>
      <x:c r="E695" s="51" t="str">
        <x:f>IF(687&gt;$H$4,"",IF(INDEX('Fleet dates'!$E$9:$E$1008,$I695-8)="","",INDEX('Fleet dates'!$E$9:$E$1008,$I695-8)))</x:f>
      </x:c>
      <x:c r="F695" s="51" t="str">
        <x:f>IF(687&gt;$H$4,"",IF(INDEX('Fleet dates'!$F$9:$F$1008,$I695-8)="","",INDEX('Fleet dates'!$F$9:$F$1008,$I695-8)))</x:f>
      </x:c>
      <x:c r="G695" s="50" t="str">
        <x:f>IF(687&gt;$H$4,"",IF(INDEX('Fleet dates'!$G$9:$G$1008,$I695-8)="","",INDEX('Fleet dates'!$G$9:$G$1008,$I695-8)))</x:f>
      </x:c>
      <x:c r="H695" s="50" t="str">
        <x:f>IF(687&gt;$H$4,"",IF(INDEX('Fleet dates'!$I$9:$I$1008,$I695-8)="","",INDEX('Fleet dates'!$I$9:$I$1008,$I695-8)))</x:f>
      </x:c>
      <x:c r="I695" t="str">
        <x:f>IF(687&gt;$H$4,"",MATCH(687,'Fleet dates'!$M$9:$M$1008,0)+8)</x:f>
      </x:c>
    </x:row>
    <x:row r="696" ht="36" customHeight="1">
      <x:c r="A696" s="50" t="str">
        <x:f>IF(688&gt;$H$4,"",IF(INDEX('Fleet dates'!$A$9:$A$1008,$I696-8)="","",INDEX('Fleet dates'!$A$9:$A$1008,$I696-8)))</x:f>
      </x:c>
      <x:c r="B696" s="50" t="str">
        <x:f>IF(688&gt;$H$4,"",IF(INDEX('Fleet dates'!$B$9:$B$1008,$I696-8)="","",INDEX('Fleet dates'!$B$9:$B$1008,$I696-8)))</x:f>
      </x:c>
      <x:c r="C696" s="51" t="str">
        <x:f>IF(688&gt;$H$4,"",IF(INDEX('Fleet dates'!$C$9:$C$1008,$I696-8)="","",INDEX('Fleet dates'!$C$9:$C$1008,$I696-8)))</x:f>
      </x:c>
      <x:c r="D696" s="51" t="str">
        <x:f>IF(688&gt;$H$4,"",IF(INDEX('Fleet dates'!$D$9:$D$1008,$I696-8)="","",INDEX('Fleet dates'!$D$9:$D$1008,$I696-8)))</x:f>
      </x:c>
      <x:c r="E696" s="51" t="str">
        <x:f>IF(688&gt;$H$4,"",IF(INDEX('Fleet dates'!$E$9:$E$1008,$I696-8)="","",INDEX('Fleet dates'!$E$9:$E$1008,$I696-8)))</x:f>
      </x:c>
      <x:c r="F696" s="51" t="str">
        <x:f>IF(688&gt;$H$4,"",IF(INDEX('Fleet dates'!$F$9:$F$1008,$I696-8)="","",INDEX('Fleet dates'!$F$9:$F$1008,$I696-8)))</x:f>
      </x:c>
      <x:c r="G696" s="50" t="str">
        <x:f>IF(688&gt;$H$4,"",IF(INDEX('Fleet dates'!$G$9:$G$1008,$I696-8)="","",INDEX('Fleet dates'!$G$9:$G$1008,$I696-8)))</x:f>
      </x:c>
      <x:c r="H696" s="50" t="str">
        <x:f>IF(688&gt;$H$4,"",IF(INDEX('Fleet dates'!$I$9:$I$1008,$I696-8)="","",INDEX('Fleet dates'!$I$9:$I$1008,$I696-8)))</x:f>
      </x:c>
      <x:c r="I696" t="str">
        <x:f>IF(688&gt;$H$4,"",MATCH(688,'Fleet dates'!$M$9:$M$1008,0)+8)</x:f>
      </x:c>
    </x:row>
    <x:row r="697" ht="36" customHeight="1">
      <x:c r="A697" s="50" t="str">
        <x:f>IF(689&gt;$H$4,"",IF(INDEX('Fleet dates'!$A$9:$A$1008,$I697-8)="","",INDEX('Fleet dates'!$A$9:$A$1008,$I697-8)))</x:f>
      </x:c>
      <x:c r="B697" s="50" t="str">
        <x:f>IF(689&gt;$H$4,"",IF(INDEX('Fleet dates'!$B$9:$B$1008,$I697-8)="","",INDEX('Fleet dates'!$B$9:$B$1008,$I697-8)))</x:f>
      </x:c>
      <x:c r="C697" s="51" t="str">
        <x:f>IF(689&gt;$H$4,"",IF(INDEX('Fleet dates'!$C$9:$C$1008,$I697-8)="","",INDEX('Fleet dates'!$C$9:$C$1008,$I697-8)))</x:f>
      </x:c>
      <x:c r="D697" s="51" t="str">
        <x:f>IF(689&gt;$H$4,"",IF(INDEX('Fleet dates'!$D$9:$D$1008,$I697-8)="","",INDEX('Fleet dates'!$D$9:$D$1008,$I697-8)))</x:f>
      </x:c>
      <x:c r="E697" s="51" t="str">
        <x:f>IF(689&gt;$H$4,"",IF(INDEX('Fleet dates'!$E$9:$E$1008,$I697-8)="","",INDEX('Fleet dates'!$E$9:$E$1008,$I697-8)))</x:f>
      </x:c>
      <x:c r="F697" s="51" t="str">
        <x:f>IF(689&gt;$H$4,"",IF(INDEX('Fleet dates'!$F$9:$F$1008,$I697-8)="","",INDEX('Fleet dates'!$F$9:$F$1008,$I697-8)))</x:f>
      </x:c>
      <x:c r="G697" s="50" t="str">
        <x:f>IF(689&gt;$H$4,"",IF(INDEX('Fleet dates'!$G$9:$G$1008,$I697-8)="","",INDEX('Fleet dates'!$G$9:$G$1008,$I697-8)))</x:f>
      </x:c>
      <x:c r="H697" s="50" t="str">
        <x:f>IF(689&gt;$H$4,"",IF(INDEX('Fleet dates'!$I$9:$I$1008,$I697-8)="","",INDEX('Fleet dates'!$I$9:$I$1008,$I697-8)))</x:f>
      </x:c>
      <x:c r="I697" t="str">
        <x:f>IF(689&gt;$H$4,"",MATCH(689,'Fleet dates'!$M$9:$M$1008,0)+8)</x:f>
      </x:c>
    </x:row>
    <x:row r="698" ht="36" customHeight="1">
      <x:c r="A698" s="50" t="str">
        <x:f>IF(690&gt;$H$4,"",IF(INDEX('Fleet dates'!$A$9:$A$1008,$I698-8)="","",INDEX('Fleet dates'!$A$9:$A$1008,$I698-8)))</x:f>
      </x:c>
      <x:c r="B698" s="50" t="str">
        <x:f>IF(690&gt;$H$4,"",IF(INDEX('Fleet dates'!$B$9:$B$1008,$I698-8)="","",INDEX('Fleet dates'!$B$9:$B$1008,$I698-8)))</x:f>
      </x:c>
      <x:c r="C698" s="51" t="str">
        <x:f>IF(690&gt;$H$4,"",IF(INDEX('Fleet dates'!$C$9:$C$1008,$I698-8)="","",INDEX('Fleet dates'!$C$9:$C$1008,$I698-8)))</x:f>
      </x:c>
      <x:c r="D698" s="51" t="str">
        <x:f>IF(690&gt;$H$4,"",IF(INDEX('Fleet dates'!$D$9:$D$1008,$I698-8)="","",INDEX('Fleet dates'!$D$9:$D$1008,$I698-8)))</x:f>
      </x:c>
      <x:c r="E698" s="51" t="str">
        <x:f>IF(690&gt;$H$4,"",IF(INDEX('Fleet dates'!$E$9:$E$1008,$I698-8)="","",INDEX('Fleet dates'!$E$9:$E$1008,$I698-8)))</x:f>
      </x:c>
      <x:c r="F698" s="51" t="str">
        <x:f>IF(690&gt;$H$4,"",IF(INDEX('Fleet dates'!$F$9:$F$1008,$I698-8)="","",INDEX('Fleet dates'!$F$9:$F$1008,$I698-8)))</x:f>
      </x:c>
      <x:c r="G698" s="50" t="str">
        <x:f>IF(690&gt;$H$4,"",IF(INDEX('Fleet dates'!$G$9:$G$1008,$I698-8)="","",INDEX('Fleet dates'!$G$9:$G$1008,$I698-8)))</x:f>
      </x:c>
      <x:c r="H698" s="50" t="str">
        <x:f>IF(690&gt;$H$4,"",IF(INDEX('Fleet dates'!$I$9:$I$1008,$I698-8)="","",INDEX('Fleet dates'!$I$9:$I$1008,$I698-8)))</x:f>
      </x:c>
      <x:c r="I698" t="str">
        <x:f>IF(690&gt;$H$4,"",MATCH(690,'Fleet dates'!$M$9:$M$1008,0)+8)</x:f>
      </x:c>
    </x:row>
    <x:row r="699" ht="36" customHeight="1">
      <x:c r="A699" s="50" t="str">
        <x:f>IF(691&gt;$H$4,"",IF(INDEX('Fleet dates'!$A$9:$A$1008,$I699-8)="","",INDEX('Fleet dates'!$A$9:$A$1008,$I699-8)))</x:f>
      </x:c>
      <x:c r="B699" s="50" t="str">
        <x:f>IF(691&gt;$H$4,"",IF(INDEX('Fleet dates'!$B$9:$B$1008,$I699-8)="","",INDEX('Fleet dates'!$B$9:$B$1008,$I699-8)))</x:f>
      </x:c>
      <x:c r="C699" s="51" t="str">
        <x:f>IF(691&gt;$H$4,"",IF(INDEX('Fleet dates'!$C$9:$C$1008,$I699-8)="","",INDEX('Fleet dates'!$C$9:$C$1008,$I699-8)))</x:f>
      </x:c>
      <x:c r="D699" s="51" t="str">
        <x:f>IF(691&gt;$H$4,"",IF(INDEX('Fleet dates'!$D$9:$D$1008,$I699-8)="","",INDEX('Fleet dates'!$D$9:$D$1008,$I699-8)))</x:f>
      </x:c>
      <x:c r="E699" s="51" t="str">
        <x:f>IF(691&gt;$H$4,"",IF(INDEX('Fleet dates'!$E$9:$E$1008,$I699-8)="","",INDEX('Fleet dates'!$E$9:$E$1008,$I699-8)))</x:f>
      </x:c>
      <x:c r="F699" s="51" t="str">
        <x:f>IF(691&gt;$H$4,"",IF(INDEX('Fleet dates'!$F$9:$F$1008,$I699-8)="","",INDEX('Fleet dates'!$F$9:$F$1008,$I699-8)))</x:f>
      </x:c>
      <x:c r="G699" s="50" t="str">
        <x:f>IF(691&gt;$H$4,"",IF(INDEX('Fleet dates'!$G$9:$G$1008,$I699-8)="","",INDEX('Fleet dates'!$G$9:$G$1008,$I699-8)))</x:f>
      </x:c>
      <x:c r="H699" s="50" t="str">
        <x:f>IF(691&gt;$H$4,"",IF(INDEX('Fleet dates'!$I$9:$I$1008,$I699-8)="","",INDEX('Fleet dates'!$I$9:$I$1008,$I699-8)))</x:f>
      </x:c>
      <x:c r="I699" t="str">
        <x:f>IF(691&gt;$H$4,"",MATCH(691,'Fleet dates'!$M$9:$M$1008,0)+8)</x:f>
      </x:c>
    </x:row>
    <x:row r="700" ht="36" customHeight="1">
      <x:c r="A700" s="50" t="str">
        <x:f>IF(692&gt;$H$4,"",IF(INDEX('Fleet dates'!$A$9:$A$1008,$I700-8)="","",INDEX('Fleet dates'!$A$9:$A$1008,$I700-8)))</x:f>
      </x:c>
      <x:c r="B700" s="50" t="str">
        <x:f>IF(692&gt;$H$4,"",IF(INDEX('Fleet dates'!$B$9:$B$1008,$I700-8)="","",INDEX('Fleet dates'!$B$9:$B$1008,$I700-8)))</x:f>
      </x:c>
      <x:c r="C700" s="51" t="str">
        <x:f>IF(692&gt;$H$4,"",IF(INDEX('Fleet dates'!$C$9:$C$1008,$I700-8)="","",INDEX('Fleet dates'!$C$9:$C$1008,$I700-8)))</x:f>
      </x:c>
      <x:c r="D700" s="51" t="str">
        <x:f>IF(692&gt;$H$4,"",IF(INDEX('Fleet dates'!$D$9:$D$1008,$I700-8)="","",INDEX('Fleet dates'!$D$9:$D$1008,$I700-8)))</x:f>
      </x:c>
      <x:c r="E700" s="51" t="str">
        <x:f>IF(692&gt;$H$4,"",IF(INDEX('Fleet dates'!$E$9:$E$1008,$I700-8)="","",INDEX('Fleet dates'!$E$9:$E$1008,$I700-8)))</x:f>
      </x:c>
      <x:c r="F700" s="51" t="str">
        <x:f>IF(692&gt;$H$4,"",IF(INDEX('Fleet dates'!$F$9:$F$1008,$I700-8)="","",INDEX('Fleet dates'!$F$9:$F$1008,$I700-8)))</x:f>
      </x:c>
      <x:c r="G700" s="50" t="str">
        <x:f>IF(692&gt;$H$4,"",IF(INDEX('Fleet dates'!$G$9:$G$1008,$I700-8)="","",INDEX('Fleet dates'!$G$9:$G$1008,$I700-8)))</x:f>
      </x:c>
      <x:c r="H700" s="50" t="str">
        <x:f>IF(692&gt;$H$4,"",IF(INDEX('Fleet dates'!$I$9:$I$1008,$I700-8)="","",INDEX('Fleet dates'!$I$9:$I$1008,$I700-8)))</x:f>
      </x:c>
      <x:c r="I700" t="str">
        <x:f>IF(692&gt;$H$4,"",MATCH(692,'Fleet dates'!$M$9:$M$1008,0)+8)</x:f>
      </x:c>
    </x:row>
    <x:row r="701" ht="36" customHeight="1">
      <x:c r="A701" s="50" t="str">
        <x:f>IF(693&gt;$H$4,"",IF(INDEX('Fleet dates'!$A$9:$A$1008,$I701-8)="","",INDEX('Fleet dates'!$A$9:$A$1008,$I701-8)))</x:f>
      </x:c>
      <x:c r="B701" s="50" t="str">
        <x:f>IF(693&gt;$H$4,"",IF(INDEX('Fleet dates'!$B$9:$B$1008,$I701-8)="","",INDEX('Fleet dates'!$B$9:$B$1008,$I701-8)))</x:f>
      </x:c>
      <x:c r="C701" s="51" t="str">
        <x:f>IF(693&gt;$H$4,"",IF(INDEX('Fleet dates'!$C$9:$C$1008,$I701-8)="","",INDEX('Fleet dates'!$C$9:$C$1008,$I701-8)))</x:f>
      </x:c>
      <x:c r="D701" s="51" t="str">
        <x:f>IF(693&gt;$H$4,"",IF(INDEX('Fleet dates'!$D$9:$D$1008,$I701-8)="","",INDEX('Fleet dates'!$D$9:$D$1008,$I701-8)))</x:f>
      </x:c>
      <x:c r="E701" s="51" t="str">
        <x:f>IF(693&gt;$H$4,"",IF(INDEX('Fleet dates'!$E$9:$E$1008,$I701-8)="","",INDEX('Fleet dates'!$E$9:$E$1008,$I701-8)))</x:f>
      </x:c>
      <x:c r="F701" s="51" t="str">
        <x:f>IF(693&gt;$H$4,"",IF(INDEX('Fleet dates'!$F$9:$F$1008,$I701-8)="","",INDEX('Fleet dates'!$F$9:$F$1008,$I701-8)))</x:f>
      </x:c>
      <x:c r="G701" s="50" t="str">
        <x:f>IF(693&gt;$H$4,"",IF(INDEX('Fleet dates'!$G$9:$G$1008,$I701-8)="","",INDEX('Fleet dates'!$G$9:$G$1008,$I701-8)))</x:f>
      </x:c>
      <x:c r="H701" s="50" t="str">
        <x:f>IF(693&gt;$H$4,"",IF(INDEX('Fleet dates'!$I$9:$I$1008,$I701-8)="","",INDEX('Fleet dates'!$I$9:$I$1008,$I701-8)))</x:f>
      </x:c>
      <x:c r="I701" t="str">
        <x:f>IF(693&gt;$H$4,"",MATCH(693,'Fleet dates'!$M$9:$M$1008,0)+8)</x:f>
      </x:c>
    </x:row>
    <x:row r="702" ht="36" customHeight="1">
      <x:c r="A702" s="50" t="str">
        <x:f>IF(694&gt;$H$4,"",IF(INDEX('Fleet dates'!$A$9:$A$1008,$I702-8)="","",INDEX('Fleet dates'!$A$9:$A$1008,$I702-8)))</x:f>
      </x:c>
      <x:c r="B702" s="50" t="str">
        <x:f>IF(694&gt;$H$4,"",IF(INDEX('Fleet dates'!$B$9:$B$1008,$I702-8)="","",INDEX('Fleet dates'!$B$9:$B$1008,$I702-8)))</x:f>
      </x:c>
      <x:c r="C702" s="51" t="str">
        <x:f>IF(694&gt;$H$4,"",IF(INDEX('Fleet dates'!$C$9:$C$1008,$I702-8)="","",INDEX('Fleet dates'!$C$9:$C$1008,$I702-8)))</x:f>
      </x:c>
      <x:c r="D702" s="51" t="str">
        <x:f>IF(694&gt;$H$4,"",IF(INDEX('Fleet dates'!$D$9:$D$1008,$I702-8)="","",INDEX('Fleet dates'!$D$9:$D$1008,$I702-8)))</x:f>
      </x:c>
      <x:c r="E702" s="51" t="str">
        <x:f>IF(694&gt;$H$4,"",IF(INDEX('Fleet dates'!$E$9:$E$1008,$I702-8)="","",INDEX('Fleet dates'!$E$9:$E$1008,$I702-8)))</x:f>
      </x:c>
      <x:c r="F702" s="51" t="str">
        <x:f>IF(694&gt;$H$4,"",IF(INDEX('Fleet dates'!$F$9:$F$1008,$I702-8)="","",INDEX('Fleet dates'!$F$9:$F$1008,$I702-8)))</x:f>
      </x:c>
      <x:c r="G702" s="50" t="str">
        <x:f>IF(694&gt;$H$4,"",IF(INDEX('Fleet dates'!$G$9:$G$1008,$I702-8)="","",INDEX('Fleet dates'!$G$9:$G$1008,$I702-8)))</x:f>
      </x:c>
      <x:c r="H702" s="50" t="str">
        <x:f>IF(694&gt;$H$4,"",IF(INDEX('Fleet dates'!$I$9:$I$1008,$I702-8)="","",INDEX('Fleet dates'!$I$9:$I$1008,$I702-8)))</x:f>
      </x:c>
      <x:c r="I702" t="str">
        <x:f>IF(694&gt;$H$4,"",MATCH(694,'Fleet dates'!$M$9:$M$1008,0)+8)</x:f>
      </x:c>
    </x:row>
    <x:row r="703" ht="36" customHeight="1">
      <x:c r="A703" s="50" t="str">
        <x:f>IF(695&gt;$H$4,"",IF(INDEX('Fleet dates'!$A$9:$A$1008,$I703-8)="","",INDEX('Fleet dates'!$A$9:$A$1008,$I703-8)))</x:f>
      </x:c>
      <x:c r="B703" s="50" t="str">
        <x:f>IF(695&gt;$H$4,"",IF(INDEX('Fleet dates'!$B$9:$B$1008,$I703-8)="","",INDEX('Fleet dates'!$B$9:$B$1008,$I703-8)))</x:f>
      </x:c>
      <x:c r="C703" s="51" t="str">
        <x:f>IF(695&gt;$H$4,"",IF(INDEX('Fleet dates'!$C$9:$C$1008,$I703-8)="","",INDEX('Fleet dates'!$C$9:$C$1008,$I703-8)))</x:f>
      </x:c>
      <x:c r="D703" s="51" t="str">
        <x:f>IF(695&gt;$H$4,"",IF(INDEX('Fleet dates'!$D$9:$D$1008,$I703-8)="","",INDEX('Fleet dates'!$D$9:$D$1008,$I703-8)))</x:f>
      </x:c>
      <x:c r="E703" s="51" t="str">
        <x:f>IF(695&gt;$H$4,"",IF(INDEX('Fleet dates'!$E$9:$E$1008,$I703-8)="","",INDEX('Fleet dates'!$E$9:$E$1008,$I703-8)))</x:f>
      </x:c>
      <x:c r="F703" s="51" t="str">
        <x:f>IF(695&gt;$H$4,"",IF(INDEX('Fleet dates'!$F$9:$F$1008,$I703-8)="","",INDEX('Fleet dates'!$F$9:$F$1008,$I703-8)))</x:f>
      </x:c>
      <x:c r="G703" s="50" t="str">
        <x:f>IF(695&gt;$H$4,"",IF(INDEX('Fleet dates'!$G$9:$G$1008,$I703-8)="","",INDEX('Fleet dates'!$G$9:$G$1008,$I703-8)))</x:f>
      </x:c>
      <x:c r="H703" s="50" t="str">
        <x:f>IF(695&gt;$H$4,"",IF(INDEX('Fleet dates'!$I$9:$I$1008,$I703-8)="","",INDEX('Fleet dates'!$I$9:$I$1008,$I703-8)))</x:f>
      </x:c>
      <x:c r="I703" t="str">
        <x:f>IF(695&gt;$H$4,"",MATCH(695,'Fleet dates'!$M$9:$M$1008,0)+8)</x:f>
      </x:c>
    </x:row>
    <x:row r="704" ht="36" customHeight="1">
      <x:c r="A704" s="50" t="str">
        <x:f>IF(696&gt;$H$4,"",IF(INDEX('Fleet dates'!$A$9:$A$1008,$I704-8)="","",INDEX('Fleet dates'!$A$9:$A$1008,$I704-8)))</x:f>
      </x:c>
      <x:c r="B704" s="50" t="str">
        <x:f>IF(696&gt;$H$4,"",IF(INDEX('Fleet dates'!$B$9:$B$1008,$I704-8)="","",INDEX('Fleet dates'!$B$9:$B$1008,$I704-8)))</x:f>
      </x:c>
      <x:c r="C704" s="51" t="str">
        <x:f>IF(696&gt;$H$4,"",IF(INDEX('Fleet dates'!$C$9:$C$1008,$I704-8)="","",INDEX('Fleet dates'!$C$9:$C$1008,$I704-8)))</x:f>
      </x:c>
      <x:c r="D704" s="51" t="str">
        <x:f>IF(696&gt;$H$4,"",IF(INDEX('Fleet dates'!$D$9:$D$1008,$I704-8)="","",INDEX('Fleet dates'!$D$9:$D$1008,$I704-8)))</x:f>
      </x:c>
      <x:c r="E704" s="51" t="str">
        <x:f>IF(696&gt;$H$4,"",IF(INDEX('Fleet dates'!$E$9:$E$1008,$I704-8)="","",INDEX('Fleet dates'!$E$9:$E$1008,$I704-8)))</x:f>
      </x:c>
      <x:c r="F704" s="51" t="str">
        <x:f>IF(696&gt;$H$4,"",IF(INDEX('Fleet dates'!$F$9:$F$1008,$I704-8)="","",INDEX('Fleet dates'!$F$9:$F$1008,$I704-8)))</x:f>
      </x:c>
      <x:c r="G704" s="50" t="str">
        <x:f>IF(696&gt;$H$4,"",IF(INDEX('Fleet dates'!$G$9:$G$1008,$I704-8)="","",INDEX('Fleet dates'!$G$9:$G$1008,$I704-8)))</x:f>
      </x:c>
      <x:c r="H704" s="50" t="str">
        <x:f>IF(696&gt;$H$4,"",IF(INDEX('Fleet dates'!$I$9:$I$1008,$I704-8)="","",INDEX('Fleet dates'!$I$9:$I$1008,$I704-8)))</x:f>
      </x:c>
      <x:c r="I704" t="str">
        <x:f>IF(696&gt;$H$4,"",MATCH(696,'Fleet dates'!$M$9:$M$1008,0)+8)</x:f>
      </x:c>
    </x:row>
    <x:row r="705" ht="36" customHeight="1">
      <x:c r="A705" s="50" t="str">
        <x:f>IF(697&gt;$H$4,"",IF(INDEX('Fleet dates'!$A$9:$A$1008,$I705-8)="","",INDEX('Fleet dates'!$A$9:$A$1008,$I705-8)))</x:f>
      </x:c>
      <x:c r="B705" s="50" t="str">
        <x:f>IF(697&gt;$H$4,"",IF(INDEX('Fleet dates'!$B$9:$B$1008,$I705-8)="","",INDEX('Fleet dates'!$B$9:$B$1008,$I705-8)))</x:f>
      </x:c>
      <x:c r="C705" s="51" t="str">
        <x:f>IF(697&gt;$H$4,"",IF(INDEX('Fleet dates'!$C$9:$C$1008,$I705-8)="","",INDEX('Fleet dates'!$C$9:$C$1008,$I705-8)))</x:f>
      </x:c>
      <x:c r="D705" s="51" t="str">
        <x:f>IF(697&gt;$H$4,"",IF(INDEX('Fleet dates'!$D$9:$D$1008,$I705-8)="","",INDEX('Fleet dates'!$D$9:$D$1008,$I705-8)))</x:f>
      </x:c>
      <x:c r="E705" s="51" t="str">
        <x:f>IF(697&gt;$H$4,"",IF(INDEX('Fleet dates'!$E$9:$E$1008,$I705-8)="","",INDEX('Fleet dates'!$E$9:$E$1008,$I705-8)))</x:f>
      </x:c>
      <x:c r="F705" s="51" t="str">
        <x:f>IF(697&gt;$H$4,"",IF(INDEX('Fleet dates'!$F$9:$F$1008,$I705-8)="","",INDEX('Fleet dates'!$F$9:$F$1008,$I705-8)))</x:f>
      </x:c>
      <x:c r="G705" s="50" t="str">
        <x:f>IF(697&gt;$H$4,"",IF(INDEX('Fleet dates'!$G$9:$G$1008,$I705-8)="","",INDEX('Fleet dates'!$G$9:$G$1008,$I705-8)))</x:f>
      </x:c>
      <x:c r="H705" s="50" t="str">
        <x:f>IF(697&gt;$H$4,"",IF(INDEX('Fleet dates'!$I$9:$I$1008,$I705-8)="","",INDEX('Fleet dates'!$I$9:$I$1008,$I705-8)))</x:f>
      </x:c>
      <x:c r="I705" t="str">
        <x:f>IF(697&gt;$H$4,"",MATCH(697,'Fleet dates'!$M$9:$M$1008,0)+8)</x:f>
      </x:c>
    </x:row>
    <x:row r="706" ht="36" customHeight="1">
      <x:c r="A706" s="50" t="str">
        <x:f>IF(698&gt;$H$4,"",IF(INDEX('Fleet dates'!$A$9:$A$1008,$I706-8)="","",INDEX('Fleet dates'!$A$9:$A$1008,$I706-8)))</x:f>
      </x:c>
      <x:c r="B706" s="50" t="str">
        <x:f>IF(698&gt;$H$4,"",IF(INDEX('Fleet dates'!$B$9:$B$1008,$I706-8)="","",INDEX('Fleet dates'!$B$9:$B$1008,$I706-8)))</x:f>
      </x:c>
      <x:c r="C706" s="51" t="str">
        <x:f>IF(698&gt;$H$4,"",IF(INDEX('Fleet dates'!$C$9:$C$1008,$I706-8)="","",INDEX('Fleet dates'!$C$9:$C$1008,$I706-8)))</x:f>
      </x:c>
      <x:c r="D706" s="51" t="str">
        <x:f>IF(698&gt;$H$4,"",IF(INDEX('Fleet dates'!$D$9:$D$1008,$I706-8)="","",INDEX('Fleet dates'!$D$9:$D$1008,$I706-8)))</x:f>
      </x:c>
      <x:c r="E706" s="51" t="str">
        <x:f>IF(698&gt;$H$4,"",IF(INDEX('Fleet dates'!$E$9:$E$1008,$I706-8)="","",INDEX('Fleet dates'!$E$9:$E$1008,$I706-8)))</x:f>
      </x:c>
      <x:c r="F706" s="51" t="str">
        <x:f>IF(698&gt;$H$4,"",IF(INDEX('Fleet dates'!$F$9:$F$1008,$I706-8)="","",INDEX('Fleet dates'!$F$9:$F$1008,$I706-8)))</x:f>
      </x:c>
      <x:c r="G706" s="50" t="str">
        <x:f>IF(698&gt;$H$4,"",IF(INDEX('Fleet dates'!$G$9:$G$1008,$I706-8)="","",INDEX('Fleet dates'!$G$9:$G$1008,$I706-8)))</x:f>
      </x:c>
      <x:c r="H706" s="50" t="str">
        <x:f>IF(698&gt;$H$4,"",IF(INDEX('Fleet dates'!$I$9:$I$1008,$I706-8)="","",INDEX('Fleet dates'!$I$9:$I$1008,$I706-8)))</x:f>
      </x:c>
      <x:c r="I706" t="str">
        <x:f>IF(698&gt;$H$4,"",MATCH(698,'Fleet dates'!$M$9:$M$1008,0)+8)</x:f>
      </x:c>
    </x:row>
    <x:row r="707" ht="36" customHeight="1">
      <x:c r="A707" s="50" t="str">
        <x:f>IF(699&gt;$H$4,"",IF(INDEX('Fleet dates'!$A$9:$A$1008,$I707-8)="","",INDEX('Fleet dates'!$A$9:$A$1008,$I707-8)))</x:f>
      </x:c>
      <x:c r="B707" s="50" t="str">
        <x:f>IF(699&gt;$H$4,"",IF(INDEX('Fleet dates'!$B$9:$B$1008,$I707-8)="","",INDEX('Fleet dates'!$B$9:$B$1008,$I707-8)))</x:f>
      </x:c>
      <x:c r="C707" s="51" t="str">
        <x:f>IF(699&gt;$H$4,"",IF(INDEX('Fleet dates'!$C$9:$C$1008,$I707-8)="","",INDEX('Fleet dates'!$C$9:$C$1008,$I707-8)))</x:f>
      </x:c>
      <x:c r="D707" s="51" t="str">
        <x:f>IF(699&gt;$H$4,"",IF(INDEX('Fleet dates'!$D$9:$D$1008,$I707-8)="","",INDEX('Fleet dates'!$D$9:$D$1008,$I707-8)))</x:f>
      </x:c>
      <x:c r="E707" s="51" t="str">
        <x:f>IF(699&gt;$H$4,"",IF(INDEX('Fleet dates'!$E$9:$E$1008,$I707-8)="","",INDEX('Fleet dates'!$E$9:$E$1008,$I707-8)))</x:f>
      </x:c>
      <x:c r="F707" s="51" t="str">
        <x:f>IF(699&gt;$H$4,"",IF(INDEX('Fleet dates'!$F$9:$F$1008,$I707-8)="","",INDEX('Fleet dates'!$F$9:$F$1008,$I707-8)))</x:f>
      </x:c>
      <x:c r="G707" s="50" t="str">
        <x:f>IF(699&gt;$H$4,"",IF(INDEX('Fleet dates'!$G$9:$G$1008,$I707-8)="","",INDEX('Fleet dates'!$G$9:$G$1008,$I707-8)))</x:f>
      </x:c>
      <x:c r="H707" s="50" t="str">
        <x:f>IF(699&gt;$H$4,"",IF(INDEX('Fleet dates'!$I$9:$I$1008,$I707-8)="","",INDEX('Fleet dates'!$I$9:$I$1008,$I707-8)))</x:f>
      </x:c>
      <x:c r="I707" t="str">
        <x:f>IF(699&gt;$H$4,"",MATCH(699,'Fleet dates'!$M$9:$M$1008,0)+8)</x:f>
      </x:c>
    </x:row>
    <x:row r="708" ht="36" customHeight="1">
      <x:c r="A708" s="50" t="str">
        <x:f>IF(700&gt;$H$4,"",IF(INDEX('Fleet dates'!$A$9:$A$1008,$I708-8)="","",INDEX('Fleet dates'!$A$9:$A$1008,$I708-8)))</x:f>
      </x:c>
      <x:c r="B708" s="50" t="str">
        <x:f>IF(700&gt;$H$4,"",IF(INDEX('Fleet dates'!$B$9:$B$1008,$I708-8)="","",INDEX('Fleet dates'!$B$9:$B$1008,$I708-8)))</x:f>
      </x:c>
      <x:c r="C708" s="51" t="str">
        <x:f>IF(700&gt;$H$4,"",IF(INDEX('Fleet dates'!$C$9:$C$1008,$I708-8)="","",INDEX('Fleet dates'!$C$9:$C$1008,$I708-8)))</x:f>
      </x:c>
      <x:c r="D708" s="51" t="str">
        <x:f>IF(700&gt;$H$4,"",IF(INDEX('Fleet dates'!$D$9:$D$1008,$I708-8)="","",INDEX('Fleet dates'!$D$9:$D$1008,$I708-8)))</x:f>
      </x:c>
      <x:c r="E708" s="51" t="str">
        <x:f>IF(700&gt;$H$4,"",IF(INDEX('Fleet dates'!$E$9:$E$1008,$I708-8)="","",INDEX('Fleet dates'!$E$9:$E$1008,$I708-8)))</x:f>
      </x:c>
      <x:c r="F708" s="51" t="str">
        <x:f>IF(700&gt;$H$4,"",IF(INDEX('Fleet dates'!$F$9:$F$1008,$I708-8)="","",INDEX('Fleet dates'!$F$9:$F$1008,$I708-8)))</x:f>
      </x:c>
      <x:c r="G708" s="50" t="str">
        <x:f>IF(700&gt;$H$4,"",IF(INDEX('Fleet dates'!$G$9:$G$1008,$I708-8)="","",INDEX('Fleet dates'!$G$9:$G$1008,$I708-8)))</x:f>
      </x:c>
      <x:c r="H708" s="50" t="str">
        <x:f>IF(700&gt;$H$4,"",IF(INDEX('Fleet dates'!$I$9:$I$1008,$I708-8)="","",INDEX('Fleet dates'!$I$9:$I$1008,$I708-8)))</x:f>
      </x:c>
      <x:c r="I708" t="str">
        <x:f>IF(700&gt;$H$4,"",MATCH(700,'Fleet dates'!$M$9:$M$1008,0)+8)</x:f>
      </x:c>
    </x:row>
    <x:row r="709" ht="36" customHeight="1">
      <x:c r="A709" s="50" t="str">
        <x:f>IF(701&gt;$H$4,"",IF(INDEX('Fleet dates'!$A$9:$A$1008,$I709-8)="","",INDEX('Fleet dates'!$A$9:$A$1008,$I709-8)))</x:f>
      </x:c>
      <x:c r="B709" s="50" t="str">
        <x:f>IF(701&gt;$H$4,"",IF(INDEX('Fleet dates'!$B$9:$B$1008,$I709-8)="","",INDEX('Fleet dates'!$B$9:$B$1008,$I709-8)))</x:f>
      </x:c>
      <x:c r="C709" s="51" t="str">
        <x:f>IF(701&gt;$H$4,"",IF(INDEX('Fleet dates'!$C$9:$C$1008,$I709-8)="","",INDEX('Fleet dates'!$C$9:$C$1008,$I709-8)))</x:f>
      </x:c>
      <x:c r="D709" s="51" t="str">
        <x:f>IF(701&gt;$H$4,"",IF(INDEX('Fleet dates'!$D$9:$D$1008,$I709-8)="","",INDEX('Fleet dates'!$D$9:$D$1008,$I709-8)))</x:f>
      </x:c>
      <x:c r="E709" s="51" t="str">
        <x:f>IF(701&gt;$H$4,"",IF(INDEX('Fleet dates'!$E$9:$E$1008,$I709-8)="","",INDEX('Fleet dates'!$E$9:$E$1008,$I709-8)))</x:f>
      </x:c>
      <x:c r="F709" s="51" t="str">
        <x:f>IF(701&gt;$H$4,"",IF(INDEX('Fleet dates'!$F$9:$F$1008,$I709-8)="","",INDEX('Fleet dates'!$F$9:$F$1008,$I709-8)))</x:f>
      </x:c>
      <x:c r="G709" s="50" t="str">
        <x:f>IF(701&gt;$H$4,"",IF(INDEX('Fleet dates'!$G$9:$G$1008,$I709-8)="","",INDEX('Fleet dates'!$G$9:$G$1008,$I709-8)))</x:f>
      </x:c>
      <x:c r="H709" s="50" t="str">
        <x:f>IF(701&gt;$H$4,"",IF(INDEX('Fleet dates'!$I$9:$I$1008,$I709-8)="","",INDEX('Fleet dates'!$I$9:$I$1008,$I709-8)))</x:f>
      </x:c>
      <x:c r="I709" t="str">
        <x:f>IF(701&gt;$H$4,"",MATCH(701,'Fleet dates'!$M$9:$M$1008,0)+8)</x:f>
      </x:c>
    </x:row>
    <x:row r="710" ht="36" customHeight="1">
      <x:c r="A710" s="50" t="str">
        <x:f>IF(702&gt;$H$4,"",IF(INDEX('Fleet dates'!$A$9:$A$1008,$I710-8)="","",INDEX('Fleet dates'!$A$9:$A$1008,$I710-8)))</x:f>
      </x:c>
      <x:c r="B710" s="50" t="str">
        <x:f>IF(702&gt;$H$4,"",IF(INDEX('Fleet dates'!$B$9:$B$1008,$I710-8)="","",INDEX('Fleet dates'!$B$9:$B$1008,$I710-8)))</x:f>
      </x:c>
      <x:c r="C710" s="51" t="str">
        <x:f>IF(702&gt;$H$4,"",IF(INDEX('Fleet dates'!$C$9:$C$1008,$I710-8)="","",INDEX('Fleet dates'!$C$9:$C$1008,$I710-8)))</x:f>
      </x:c>
      <x:c r="D710" s="51" t="str">
        <x:f>IF(702&gt;$H$4,"",IF(INDEX('Fleet dates'!$D$9:$D$1008,$I710-8)="","",INDEX('Fleet dates'!$D$9:$D$1008,$I710-8)))</x:f>
      </x:c>
      <x:c r="E710" s="51" t="str">
        <x:f>IF(702&gt;$H$4,"",IF(INDEX('Fleet dates'!$E$9:$E$1008,$I710-8)="","",INDEX('Fleet dates'!$E$9:$E$1008,$I710-8)))</x:f>
      </x:c>
      <x:c r="F710" s="51" t="str">
        <x:f>IF(702&gt;$H$4,"",IF(INDEX('Fleet dates'!$F$9:$F$1008,$I710-8)="","",INDEX('Fleet dates'!$F$9:$F$1008,$I710-8)))</x:f>
      </x:c>
      <x:c r="G710" s="50" t="str">
        <x:f>IF(702&gt;$H$4,"",IF(INDEX('Fleet dates'!$G$9:$G$1008,$I710-8)="","",INDEX('Fleet dates'!$G$9:$G$1008,$I710-8)))</x:f>
      </x:c>
      <x:c r="H710" s="50" t="str">
        <x:f>IF(702&gt;$H$4,"",IF(INDEX('Fleet dates'!$I$9:$I$1008,$I710-8)="","",INDEX('Fleet dates'!$I$9:$I$1008,$I710-8)))</x:f>
      </x:c>
      <x:c r="I710" t="str">
        <x:f>IF(702&gt;$H$4,"",MATCH(702,'Fleet dates'!$M$9:$M$1008,0)+8)</x:f>
      </x:c>
    </x:row>
    <x:row r="711" ht="36" customHeight="1">
      <x:c r="A711" s="50" t="str">
        <x:f>IF(703&gt;$H$4,"",IF(INDEX('Fleet dates'!$A$9:$A$1008,$I711-8)="","",INDEX('Fleet dates'!$A$9:$A$1008,$I711-8)))</x:f>
      </x:c>
      <x:c r="B711" s="50" t="str">
        <x:f>IF(703&gt;$H$4,"",IF(INDEX('Fleet dates'!$B$9:$B$1008,$I711-8)="","",INDEX('Fleet dates'!$B$9:$B$1008,$I711-8)))</x:f>
      </x:c>
      <x:c r="C711" s="51" t="str">
        <x:f>IF(703&gt;$H$4,"",IF(INDEX('Fleet dates'!$C$9:$C$1008,$I711-8)="","",INDEX('Fleet dates'!$C$9:$C$1008,$I711-8)))</x:f>
      </x:c>
      <x:c r="D711" s="51" t="str">
        <x:f>IF(703&gt;$H$4,"",IF(INDEX('Fleet dates'!$D$9:$D$1008,$I711-8)="","",INDEX('Fleet dates'!$D$9:$D$1008,$I711-8)))</x:f>
      </x:c>
      <x:c r="E711" s="51" t="str">
        <x:f>IF(703&gt;$H$4,"",IF(INDEX('Fleet dates'!$E$9:$E$1008,$I711-8)="","",INDEX('Fleet dates'!$E$9:$E$1008,$I711-8)))</x:f>
      </x:c>
      <x:c r="F711" s="51" t="str">
        <x:f>IF(703&gt;$H$4,"",IF(INDEX('Fleet dates'!$F$9:$F$1008,$I711-8)="","",INDEX('Fleet dates'!$F$9:$F$1008,$I711-8)))</x:f>
      </x:c>
      <x:c r="G711" s="50" t="str">
        <x:f>IF(703&gt;$H$4,"",IF(INDEX('Fleet dates'!$G$9:$G$1008,$I711-8)="","",INDEX('Fleet dates'!$G$9:$G$1008,$I711-8)))</x:f>
      </x:c>
      <x:c r="H711" s="50" t="str">
        <x:f>IF(703&gt;$H$4,"",IF(INDEX('Fleet dates'!$I$9:$I$1008,$I711-8)="","",INDEX('Fleet dates'!$I$9:$I$1008,$I711-8)))</x:f>
      </x:c>
      <x:c r="I711" t="str">
        <x:f>IF(703&gt;$H$4,"",MATCH(703,'Fleet dates'!$M$9:$M$1008,0)+8)</x:f>
      </x:c>
    </x:row>
    <x:row r="712" ht="36" customHeight="1">
      <x:c r="A712" s="50" t="str">
        <x:f>IF(704&gt;$H$4,"",IF(INDEX('Fleet dates'!$A$9:$A$1008,$I712-8)="","",INDEX('Fleet dates'!$A$9:$A$1008,$I712-8)))</x:f>
      </x:c>
      <x:c r="B712" s="50" t="str">
        <x:f>IF(704&gt;$H$4,"",IF(INDEX('Fleet dates'!$B$9:$B$1008,$I712-8)="","",INDEX('Fleet dates'!$B$9:$B$1008,$I712-8)))</x:f>
      </x:c>
      <x:c r="C712" s="51" t="str">
        <x:f>IF(704&gt;$H$4,"",IF(INDEX('Fleet dates'!$C$9:$C$1008,$I712-8)="","",INDEX('Fleet dates'!$C$9:$C$1008,$I712-8)))</x:f>
      </x:c>
      <x:c r="D712" s="51" t="str">
        <x:f>IF(704&gt;$H$4,"",IF(INDEX('Fleet dates'!$D$9:$D$1008,$I712-8)="","",INDEX('Fleet dates'!$D$9:$D$1008,$I712-8)))</x:f>
      </x:c>
      <x:c r="E712" s="51" t="str">
        <x:f>IF(704&gt;$H$4,"",IF(INDEX('Fleet dates'!$E$9:$E$1008,$I712-8)="","",INDEX('Fleet dates'!$E$9:$E$1008,$I712-8)))</x:f>
      </x:c>
      <x:c r="F712" s="51" t="str">
        <x:f>IF(704&gt;$H$4,"",IF(INDEX('Fleet dates'!$F$9:$F$1008,$I712-8)="","",INDEX('Fleet dates'!$F$9:$F$1008,$I712-8)))</x:f>
      </x:c>
      <x:c r="G712" s="50" t="str">
        <x:f>IF(704&gt;$H$4,"",IF(INDEX('Fleet dates'!$G$9:$G$1008,$I712-8)="","",INDEX('Fleet dates'!$G$9:$G$1008,$I712-8)))</x:f>
      </x:c>
      <x:c r="H712" s="50" t="str">
        <x:f>IF(704&gt;$H$4,"",IF(INDEX('Fleet dates'!$I$9:$I$1008,$I712-8)="","",INDEX('Fleet dates'!$I$9:$I$1008,$I712-8)))</x:f>
      </x:c>
      <x:c r="I712" t="str">
        <x:f>IF(704&gt;$H$4,"",MATCH(704,'Fleet dates'!$M$9:$M$1008,0)+8)</x:f>
      </x:c>
    </x:row>
    <x:row r="713" ht="36" customHeight="1">
      <x:c r="A713" s="50" t="str">
        <x:f>IF(705&gt;$H$4,"",IF(INDEX('Fleet dates'!$A$9:$A$1008,$I713-8)="","",INDEX('Fleet dates'!$A$9:$A$1008,$I713-8)))</x:f>
      </x:c>
      <x:c r="B713" s="50" t="str">
        <x:f>IF(705&gt;$H$4,"",IF(INDEX('Fleet dates'!$B$9:$B$1008,$I713-8)="","",INDEX('Fleet dates'!$B$9:$B$1008,$I713-8)))</x:f>
      </x:c>
      <x:c r="C713" s="51" t="str">
        <x:f>IF(705&gt;$H$4,"",IF(INDEX('Fleet dates'!$C$9:$C$1008,$I713-8)="","",INDEX('Fleet dates'!$C$9:$C$1008,$I713-8)))</x:f>
      </x:c>
      <x:c r="D713" s="51" t="str">
        <x:f>IF(705&gt;$H$4,"",IF(INDEX('Fleet dates'!$D$9:$D$1008,$I713-8)="","",INDEX('Fleet dates'!$D$9:$D$1008,$I713-8)))</x:f>
      </x:c>
      <x:c r="E713" s="51" t="str">
        <x:f>IF(705&gt;$H$4,"",IF(INDEX('Fleet dates'!$E$9:$E$1008,$I713-8)="","",INDEX('Fleet dates'!$E$9:$E$1008,$I713-8)))</x:f>
      </x:c>
      <x:c r="F713" s="51" t="str">
        <x:f>IF(705&gt;$H$4,"",IF(INDEX('Fleet dates'!$F$9:$F$1008,$I713-8)="","",INDEX('Fleet dates'!$F$9:$F$1008,$I713-8)))</x:f>
      </x:c>
      <x:c r="G713" s="50" t="str">
        <x:f>IF(705&gt;$H$4,"",IF(INDEX('Fleet dates'!$G$9:$G$1008,$I713-8)="","",INDEX('Fleet dates'!$G$9:$G$1008,$I713-8)))</x:f>
      </x:c>
      <x:c r="H713" s="50" t="str">
        <x:f>IF(705&gt;$H$4,"",IF(INDEX('Fleet dates'!$I$9:$I$1008,$I713-8)="","",INDEX('Fleet dates'!$I$9:$I$1008,$I713-8)))</x:f>
      </x:c>
      <x:c r="I713" t="str">
        <x:f>IF(705&gt;$H$4,"",MATCH(705,'Fleet dates'!$M$9:$M$1008,0)+8)</x:f>
      </x:c>
    </x:row>
    <x:row r="714" ht="36" customHeight="1">
      <x:c r="A714" s="50" t="str">
        <x:f>IF(706&gt;$H$4,"",IF(INDEX('Fleet dates'!$A$9:$A$1008,$I714-8)="","",INDEX('Fleet dates'!$A$9:$A$1008,$I714-8)))</x:f>
      </x:c>
      <x:c r="B714" s="50" t="str">
        <x:f>IF(706&gt;$H$4,"",IF(INDEX('Fleet dates'!$B$9:$B$1008,$I714-8)="","",INDEX('Fleet dates'!$B$9:$B$1008,$I714-8)))</x:f>
      </x:c>
      <x:c r="C714" s="51" t="str">
        <x:f>IF(706&gt;$H$4,"",IF(INDEX('Fleet dates'!$C$9:$C$1008,$I714-8)="","",INDEX('Fleet dates'!$C$9:$C$1008,$I714-8)))</x:f>
      </x:c>
      <x:c r="D714" s="51" t="str">
        <x:f>IF(706&gt;$H$4,"",IF(INDEX('Fleet dates'!$D$9:$D$1008,$I714-8)="","",INDEX('Fleet dates'!$D$9:$D$1008,$I714-8)))</x:f>
      </x:c>
      <x:c r="E714" s="51" t="str">
        <x:f>IF(706&gt;$H$4,"",IF(INDEX('Fleet dates'!$E$9:$E$1008,$I714-8)="","",INDEX('Fleet dates'!$E$9:$E$1008,$I714-8)))</x:f>
      </x:c>
      <x:c r="F714" s="51" t="str">
        <x:f>IF(706&gt;$H$4,"",IF(INDEX('Fleet dates'!$F$9:$F$1008,$I714-8)="","",INDEX('Fleet dates'!$F$9:$F$1008,$I714-8)))</x:f>
      </x:c>
      <x:c r="G714" s="50" t="str">
        <x:f>IF(706&gt;$H$4,"",IF(INDEX('Fleet dates'!$G$9:$G$1008,$I714-8)="","",INDEX('Fleet dates'!$G$9:$G$1008,$I714-8)))</x:f>
      </x:c>
      <x:c r="H714" s="50" t="str">
        <x:f>IF(706&gt;$H$4,"",IF(INDEX('Fleet dates'!$I$9:$I$1008,$I714-8)="","",INDEX('Fleet dates'!$I$9:$I$1008,$I714-8)))</x:f>
      </x:c>
      <x:c r="I714" t="str">
        <x:f>IF(706&gt;$H$4,"",MATCH(706,'Fleet dates'!$M$9:$M$1008,0)+8)</x:f>
      </x:c>
    </x:row>
    <x:row r="715" ht="36" customHeight="1">
      <x:c r="A715" s="50" t="str">
        <x:f>IF(707&gt;$H$4,"",IF(INDEX('Fleet dates'!$A$9:$A$1008,$I715-8)="","",INDEX('Fleet dates'!$A$9:$A$1008,$I715-8)))</x:f>
      </x:c>
      <x:c r="B715" s="50" t="str">
        <x:f>IF(707&gt;$H$4,"",IF(INDEX('Fleet dates'!$B$9:$B$1008,$I715-8)="","",INDEX('Fleet dates'!$B$9:$B$1008,$I715-8)))</x:f>
      </x:c>
      <x:c r="C715" s="51" t="str">
        <x:f>IF(707&gt;$H$4,"",IF(INDEX('Fleet dates'!$C$9:$C$1008,$I715-8)="","",INDEX('Fleet dates'!$C$9:$C$1008,$I715-8)))</x:f>
      </x:c>
      <x:c r="D715" s="51" t="str">
        <x:f>IF(707&gt;$H$4,"",IF(INDEX('Fleet dates'!$D$9:$D$1008,$I715-8)="","",INDEX('Fleet dates'!$D$9:$D$1008,$I715-8)))</x:f>
      </x:c>
      <x:c r="E715" s="51" t="str">
        <x:f>IF(707&gt;$H$4,"",IF(INDEX('Fleet dates'!$E$9:$E$1008,$I715-8)="","",INDEX('Fleet dates'!$E$9:$E$1008,$I715-8)))</x:f>
      </x:c>
      <x:c r="F715" s="51" t="str">
        <x:f>IF(707&gt;$H$4,"",IF(INDEX('Fleet dates'!$F$9:$F$1008,$I715-8)="","",INDEX('Fleet dates'!$F$9:$F$1008,$I715-8)))</x:f>
      </x:c>
      <x:c r="G715" s="50" t="str">
        <x:f>IF(707&gt;$H$4,"",IF(INDEX('Fleet dates'!$G$9:$G$1008,$I715-8)="","",INDEX('Fleet dates'!$G$9:$G$1008,$I715-8)))</x:f>
      </x:c>
      <x:c r="H715" s="50" t="str">
        <x:f>IF(707&gt;$H$4,"",IF(INDEX('Fleet dates'!$I$9:$I$1008,$I715-8)="","",INDEX('Fleet dates'!$I$9:$I$1008,$I715-8)))</x:f>
      </x:c>
      <x:c r="I715" t="str">
        <x:f>IF(707&gt;$H$4,"",MATCH(707,'Fleet dates'!$M$9:$M$1008,0)+8)</x:f>
      </x:c>
    </x:row>
    <x:row r="716" ht="36" customHeight="1">
      <x:c r="A716" s="50" t="str">
        <x:f>IF(708&gt;$H$4,"",IF(INDEX('Fleet dates'!$A$9:$A$1008,$I716-8)="","",INDEX('Fleet dates'!$A$9:$A$1008,$I716-8)))</x:f>
      </x:c>
      <x:c r="B716" s="50" t="str">
        <x:f>IF(708&gt;$H$4,"",IF(INDEX('Fleet dates'!$B$9:$B$1008,$I716-8)="","",INDEX('Fleet dates'!$B$9:$B$1008,$I716-8)))</x:f>
      </x:c>
      <x:c r="C716" s="51" t="str">
        <x:f>IF(708&gt;$H$4,"",IF(INDEX('Fleet dates'!$C$9:$C$1008,$I716-8)="","",INDEX('Fleet dates'!$C$9:$C$1008,$I716-8)))</x:f>
      </x:c>
      <x:c r="D716" s="51" t="str">
        <x:f>IF(708&gt;$H$4,"",IF(INDEX('Fleet dates'!$D$9:$D$1008,$I716-8)="","",INDEX('Fleet dates'!$D$9:$D$1008,$I716-8)))</x:f>
      </x:c>
      <x:c r="E716" s="51" t="str">
        <x:f>IF(708&gt;$H$4,"",IF(INDEX('Fleet dates'!$E$9:$E$1008,$I716-8)="","",INDEX('Fleet dates'!$E$9:$E$1008,$I716-8)))</x:f>
      </x:c>
      <x:c r="F716" s="51" t="str">
        <x:f>IF(708&gt;$H$4,"",IF(INDEX('Fleet dates'!$F$9:$F$1008,$I716-8)="","",INDEX('Fleet dates'!$F$9:$F$1008,$I716-8)))</x:f>
      </x:c>
      <x:c r="G716" s="50" t="str">
        <x:f>IF(708&gt;$H$4,"",IF(INDEX('Fleet dates'!$G$9:$G$1008,$I716-8)="","",INDEX('Fleet dates'!$G$9:$G$1008,$I716-8)))</x:f>
      </x:c>
      <x:c r="H716" s="50" t="str">
        <x:f>IF(708&gt;$H$4,"",IF(INDEX('Fleet dates'!$I$9:$I$1008,$I716-8)="","",INDEX('Fleet dates'!$I$9:$I$1008,$I716-8)))</x:f>
      </x:c>
      <x:c r="I716" t="str">
        <x:f>IF(708&gt;$H$4,"",MATCH(708,'Fleet dates'!$M$9:$M$1008,0)+8)</x:f>
      </x:c>
    </x:row>
    <x:row r="717" ht="36" customHeight="1">
      <x:c r="A717" s="50" t="str">
        <x:f>IF(709&gt;$H$4,"",IF(INDEX('Fleet dates'!$A$9:$A$1008,$I717-8)="","",INDEX('Fleet dates'!$A$9:$A$1008,$I717-8)))</x:f>
      </x:c>
      <x:c r="B717" s="50" t="str">
        <x:f>IF(709&gt;$H$4,"",IF(INDEX('Fleet dates'!$B$9:$B$1008,$I717-8)="","",INDEX('Fleet dates'!$B$9:$B$1008,$I717-8)))</x:f>
      </x:c>
      <x:c r="C717" s="51" t="str">
        <x:f>IF(709&gt;$H$4,"",IF(INDEX('Fleet dates'!$C$9:$C$1008,$I717-8)="","",INDEX('Fleet dates'!$C$9:$C$1008,$I717-8)))</x:f>
      </x:c>
      <x:c r="D717" s="51" t="str">
        <x:f>IF(709&gt;$H$4,"",IF(INDEX('Fleet dates'!$D$9:$D$1008,$I717-8)="","",INDEX('Fleet dates'!$D$9:$D$1008,$I717-8)))</x:f>
      </x:c>
      <x:c r="E717" s="51" t="str">
        <x:f>IF(709&gt;$H$4,"",IF(INDEX('Fleet dates'!$E$9:$E$1008,$I717-8)="","",INDEX('Fleet dates'!$E$9:$E$1008,$I717-8)))</x:f>
      </x:c>
      <x:c r="F717" s="51" t="str">
        <x:f>IF(709&gt;$H$4,"",IF(INDEX('Fleet dates'!$F$9:$F$1008,$I717-8)="","",INDEX('Fleet dates'!$F$9:$F$1008,$I717-8)))</x:f>
      </x:c>
      <x:c r="G717" s="50" t="str">
        <x:f>IF(709&gt;$H$4,"",IF(INDEX('Fleet dates'!$G$9:$G$1008,$I717-8)="","",INDEX('Fleet dates'!$G$9:$G$1008,$I717-8)))</x:f>
      </x:c>
      <x:c r="H717" s="50" t="str">
        <x:f>IF(709&gt;$H$4,"",IF(INDEX('Fleet dates'!$I$9:$I$1008,$I717-8)="","",INDEX('Fleet dates'!$I$9:$I$1008,$I717-8)))</x:f>
      </x:c>
      <x:c r="I717" t="str">
        <x:f>IF(709&gt;$H$4,"",MATCH(709,'Fleet dates'!$M$9:$M$1008,0)+8)</x:f>
      </x:c>
    </x:row>
    <x:row r="718" ht="36" customHeight="1">
      <x:c r="A718" s="50" t="str">
        <x:f>IF(710&gt;$H$4,"",IF(INDEX('Fleet dates'!$A$9:$A$1008,$I718-8)="","",INDEX('Fleet dates'!$A$9:$A$1008,$I718-8)))</x:f>
      </x:c>
      <x:c r="B718" s="50" t="str">
        <x:f>IF(710&gt;$H$4,"",IF(INDEX('Fleet dates'!$B$9:$B$1008,$I718-8)="","",INDEX('Fleet dates'!$B$9:$B$1008,$I718-8)))</x:f>
      </x:c>
      <x:c r="C718" s="51" t="str">
        <x:f>IF(710&gt;$H$4,"",IF(INDEX('Fleet dates'!$C$9:$C$1008,$I718-8)="","",INDEX('Fleet dates'!$C$9:$C$1008,$I718-8)))</x:f>
      </x:c>
      <x:c r="D718" s="51" t="str">
        <x:f>IF(710&gt;$H$4,"",IF(INDEX('Fleet dates'!$D$9:$D$1008,$I718-8)="","",INDEX('Fleet dates'!$D$9:$D$1008,$I718-8)))</x:f>
      </x:c>
      <x:c r="E718" s="51" t="str">
        <x:f>IF(710&gt;$H$4,"",IF(INDEX('Fleet dates'!$E$9:$E$1008,$I718-8)="","",INDEX('Fleet dates'!$E$9:$E$1008,$I718-8)))</x:f>
      </x:c>
      <x:c r="F718" s="51" t="str">
        <x:f>IF(710&gt;$H$4,"",IF(INDEX('Fleet dates'!$F$9:$F$1008,$I718-8)="","",INDEX('Fleet dates'!$F$9:$F$1008,$I718-8)))</x:f>
      </x:c>
      <x:c r="G718" s="50" t="str">
        <x:f>IF(710&gt;$H$4,"",IF(INDEX('Fleet dates'!$G$9:$G$1008,$I718-8)="","",INDEX('Fleet dates'!$G$9:$G$1008,$I718-8)))</x:f>
      </x:c>
      <x:c r="H718" s="50" t="str">
        <x:f>IF(710&gt;$H$4,"",IF(INDEX('Fleet dates'!$I$9:$I$1008,$I718-8)="","",INDEX('Fleet dates'!$I$9:$I$1008,$I718-8)))</x:f>
      </x:c>
      <x:c r="I718" t="str">
        <x:f>IF(710&gt;$H$4,"",MATCH(710,'Fleet dates'!$M$9:$M$1008,0)+8)</x:f>
      </x:c>
    </x:row>
    <x:row r="719" ht="36" customHeight="1">
      <x:c r="A719" s="50" t="str">
        <x:f>IF(711&gt;$H$4,"",IF(INDEX('Fleet dates'!$A$9:$A$1008,$I719-8)="","",INDEX('Fleet dates'!$A$9:$A$1008,$I719-8)))</x:f>
      </x:c>
      <x:c r="B719" s="50" t="str">
        <x:f>IF(711&gt;$H$4,"",IF(INDEX('Fleet dates'!$B$9:$B$1008,$I719-8)="","",INDEX('Fleet dates'!$B$9:$B$1008,$I719-8)))</x:f>
      </x:c>
      <x:c r="C719" s="51" t="str">
        <x:f>IF(711&gt;$H$4,"",IF(INDEX('Fleet dates'!$C$9:$C$1008,$I719-8)="","",INDEX('Fleet dates'!$C$9:$C$1008,$I719-8)))</x:f>
      </x:c>
      <x:c r="D719" s="51" t="str">
        <x:f>IF(711&gt;$H$4,"",IF(INDEX('Fleet dates'!$D$9:$D$1008,$I719-8)="","",INDEX('Fleet dates'!$D$9:$D$1008,$I719-8)))</x:f>
      </x:c>
      <x:c r="E719" s="51" t="str">
        <x:f>IF(711&gt;$H$4,"",IF(INDEX('Fleet dates'!$E$9:$E$1008,$I719-8)="","",INDEX('Fleet dates'!$E$9:$E$1008,$I719-8)))</x:f>
      </x:c>
      <x:c r="F719" s="51" t="str">
        <x:f>IF(711&gt;$H$4,"",IF(INDEX('Fleet dates'!$F$9:$F$1008,$I719-8)="","",INDEX('Fleet dates'!$F$9:$F$1008,$I719-8)))</x:f>
      </x:c>
      <x:c r="G719" s="50" t="str">
        <x:f>IF(711&gt;$H$4,"",IF(INDEX('Fleet dates'!$G$9:$G$1008,$I719-8)="","",INDEX('Fleet dates'!$G$9:$G$1008,$I719-8)))</x:f>
      </x:c>
      <x:c r="H719" s="50" t="str">
        <x:f>IF(711&gt;$H$4,"",IF(INDEX('Fleet dates'!$I$9:$I$1008,$I719-8)="","",INDEX('Fleet dates'!$I$9:$I$1008,$I719-8)))</x:f>
      </x:c>
      <x:c r="I719" t="str">
        <x:f>IF(711&gt;$H$4,"",MATCH(711,'Fleet dates'!$M$9:$M$1008,0)+8)</x:f>
      </x:c>
    </x:row>
    <x:row r="720" ht="36" customHeight="1">
      <x:c r="A720" s="50" t="str">
        <x:f>IF(712&gt;$H$4,"",IF(INDEX('Fleet dates'!$A$9:$A$1008,$I720-8)="","",INDEX('Fleet dates'!$A$9:$A$1008,$I720-8)))</x:f>
      </x:c>
      <x:c r="B720" s="50" t="str">
        <x:f>IF(712&gt;$H$4,"",IF(INDEX('Fleet dates'!$B$9:$B$1008,$I720-8)="","",INDEX('Fleet dates'!$B$9:$B$1008,$I720-8)))</x:f>
      </x:c>
      <x:c r="C720" s="51" t="str">
        <x:f>IF(712&gt;$H$4,"",IF(INDEX('Fleet dates'!$C$9:$C$1008,$I720-8)="","",INDEX('Fleet dates'!$C$9:$C$1008,$I720-8)))</x:f>
      </x:c>
      <x:c r="D720" s="51" t="str">
        <x:f>IF(712&gt;$H$4,"",IF(INDEX('Fleet dates'!$D$9:$D$1008,$I720-8)="","",INDEX('Fleet dates'!$D$9:$D$1008,$I720-8)))</x:f>
      </x:c>
      <x:c r="E720" s="51" t="str">
        <x:f>IF(712&gt;$H$4,"",IF(INDEX('Fleet dates'!$E$9:$E$1008,$I720-8)="","",INDEX('Fleet dates'!$E$9:$E$1008,$I720-8)))</x:f>
      </x:c>
      <x:c r="F720" s="51" t="str">
        <x:f>IF(712&gt;$H$4,"",IF(INDEX('Fleet dates'!$F$9:$F$1008,$I720-8)="","",INDEX('Fleet dates'!$F$9:$F$1008,$I720-8)))</x:f>
      </x:c>
      <x:c r="G720" s="50" t="str">
        <x:f>IF(712&gt;$H$4,"",IF(INDEX('Fleet dates'!$G$9:$G$1008,$I720-8)="","",INDEX('Fleet dates'!$G$9:$G$1008,$I720-8)))</x:f>
      </x:c>
      <x:c r="H720" s="50" t="str">
        <x:f>IF(712&gt;$H$4,"",IF(INDEX('Fleet dates'!$I$9:$I$1008,$I720-8)="","",INDEX('Fleet dates'!$I$9:$I$1008,$I720-8)))</x:f>
      </x:c>
      <x:c r="I720" t="str">
        <x:f>IF(712&gt;$H$4,"",MATCH(712,'Fleet dates'!$M$9:$M$1008,0)+8)</x:f>
      </x:c>
    </x:row>
    <x:row r="721" ht="36" customHeight="1">
      <x:c r="A721" s="50" t="str">
        <x:f>IF(713&gt;$H$4,"",IF(INDEX('Fleet dates'!$A$9:$A$1008,$I721-8)="","",INDEX('Fleet dates'!$A$9:$A$1008,$I721-8)))</x:f>
      </x:c>
      <x:c r="B721" s="50" t="str">
        <x:f>IF(713&gt;$H$4,"",IF(INDEX('Fleet dates'!$B$9:$B$1008,$I721-8)="","",INDEX('Fleet dates'!$B$9:$B$1008,$I721-8)))</x:f>
      </x:c>
      <x:c r="C721" s="51" t="str">
        <x:f>IF(713&gt;$H$4,"",IF(INDEX('Fleet dates'!$C$9:$C$1008,$I721-8)="","",INDEX('Fleet dates'!$C$9:$C$1008,$I721-8)))</x:f>
      </x:c>
      <x:c r="D721" s="51" t="str">
        <x:f>IF(713&gt;$H$4,"",IF(INDEX('Fleet dates'!$D$9:$D$1008,$I721-8)="","",INDEX('Fleet dates'!$D$9:$D$1008,$I721-8)))</x:f>
      </x:c>
      <x:c r="E721" s="51" t="str">
        <x:f>IF(713&gt;$H$4,"",IF(INDEX('Fleet dates'!$E$9:$E$1008,$I721-8)="","",INDEX('Fleet dates'!$E$9:$E$1008,$I721-8)))</x:f>
      </x:c>
      <x:c r="F721" s="51" t="str">
        <x:f>IF(713&gt;$H$4,"",IF(INDEX('Fleet dates'!$F$9:$F$1008,$I721-8)="","",INDEX('Fleet dates'!$F$9:$F$1008,$I721-8)))</x:f>
      </x:c>
      <x:c r="G721" s="50" t="str">
        <x:f>IF(713&gt;$H$4,"",IF(INDEX('Fleet dates'!$G$9:$G$1008,$I721-8)="","",INDEX('Fleet dates'!$G$9:$G$1008,$I721-8)))</x:f>
      </x:c>
      <x:c r="H721" s="50" t="str">
        <x:f>IF(713&gt;$H$4,"",IF(INDEX('Fleet dates'!$I$9:$I$1008,$I721-8)="","",INDEX('Fleet dates'!$I$9:$I$1008,$I721-8)))</x:f>
      </x:c>
      <x:c r="I721" t="str">
        <x:f>IF(713&gt;$H$4,"",MATCH(713,'Fleet dates'!$M$9:$M$1008,0)+8)</x:f>
      </x:c>
    </x:row>
    <x:row r="722" ht="36" customHeight="1">
      <x:c r="A722" s="50" t="str">
        <x:f>IF(714&gt;$H$4,"",IF(INDEX('Fleet dates'!$A$9:$A$1008,$I722-8)="","",INDEX('Fleet dates'!$A$9:$A$1008,$I722-8)))</x:f>
      </x:c>
      <x:c r="B722" s="50" t="str">
        <x:f>IF(714&gt;$H$4,"",IF(INDEX('Fleet dates'!$B$9:$B$1008,$I722-8)="","",INDEX('Fleet dates'!$B$9:$B$1008,$I722-8)))</x:f>
      </x:c>
      <x:c r="C722" s="51" t="str">
        <x:f>IF(714&gt;$H$4,"",IF(INDEX('Fleet dates'!$C$9:$C$1008,$I722-8)="","",INDEX('Fleet dates'!$C$9:$C$1008,$I722-8)))</x:f>
      </x:c>
      <x:c r="D722" s="51" t="str">
        <x:f>IF(714&gt;$H$4,"",IF(INDEX('Fleet dates'!$D$9:$D$1008,$I722-8)="","",INDEX('Fleet dates'!$D$9:$D$1008,$I722-8)))</x:f>
      </x:c>
      <x:c r="E722" s="51" t="str">
        <x:f>IF(714&gt;$H$4,"",IF(INDEX('Fleet dates'!$E$9:$E$1008,$I722-8)="","",INDEX('Fleet dates'!$E$9:$E$1008,$I722-8)))</x:f>
      </x:c>
      <x:c r="F722" s="51" t="str">
        <x:f>IF(714&gt;$H$4,"",IF(INDEX('Fleet dates'!$F$9:$F$1008,$I722-8)="","",INDEX('Fleet dates'!$F$9:$F$1008,$I722-8)))</x:f>
      </x:c>
      <x:c r="G722" s="50" t="str">
        <x:f>IF(714&gt;$H$4,"",IF(INDEX('Fleet dates'!$G$9:$G$1008,$I722-8)="","",INDEX('Fleet dates'!$G$9:$G$1008,$I722-8)))</x:f>
      </x:c>
      <x:c r="H722" s="50" t="str">
        <x:f>IF(714&gt;$H$4,"",IF(INDEX('Fleet dates'!$I$9:$I$1008,$I722-8)="","",INDEX('Fleet dates'!$I$9:$I$1008,$I722-8)))</x:f>
      </x:c>
      <x:c r="I722" t="str">
        <x:f>IF(714&gt;$H$4,"",MATCH(714,'Fleet dates'!$M$9:$M$1008,0)+8)</x:f>
      </x:c>
    </x:row>
    <x:row r="723" ht="36" customHeight="1">
      <x:c r="A723" s="50" t="str">
        <x:f>IF(715&gt;$H$4,"",IF(INDEX('Fleet dates'!$A$9:$A$1008,$I723-8)="","",INDEX('Fleet dates'!$A$9:$A$1008,$I723-8)))</x:f>
      </x:c>
      <x:c r="B723" s="50" t="str">
        <x:f>IF(715&gt;$H$4,"",IF(INDEX('Fleet dates'!$B$9:$B$1008,$I723-8)="","",INDEX('Fleet dates'!$B$9:$B$1008,$I723-8)))</x:f>
      </x:c>
      <x:c r="C723" s="51" t="str">
        <x:f>IF(715&gt;$H$4,"",IF(INDEX('Fleet dates'!$C$9:$C$1008,$I723-8)="","",INDEX('Fleet dates'!$C$9:$C$1008,$I723-8)))</x:f>
      </x:c>
      <x:c r="D723" s="51" t="str">
        <x:f>IF(715&gt;$H$4,"",IF(INDEX('Fleet dates'!$D$9:$D$1008,$I723-8)="","",INDEX('Fleet dates'!$D$9:$D$1008,$I723-8)))</x:f>
      </x:c>
      <x:c r="E723" s="51" t="str">
        <x:f>IF(715&gt;$H$4,"",IF(INDEX('Fleet dates'!$E$9:$E$1008,$I723-8)="","",INDEX('Fleet dates'!$E$9:$E$1008,$I723-8)))</x:f>
      </x:c>
      <x:c r="F723" s="51" t="str">
        <x:f>IF(715&gt;$H$4,"",IF(INDEX('Fleet dates'!$F$9:$F$1008,$I723-8)="","",INDEX('Fleet dates'!$F$9:$F$1008,$I723-8)))</x:f>
      </x:c>
      <x:c r="G723" s="50" t="str">
        <x:f>IF(715&gt;$H$4,"",IF(INDEX('Fleet dates'!$G$9:$G$1008,$I723-8)="","",INDEX('Fleet dates'!$G$9:$G$1008,$I723-8)))</x:f>
      </x:c>
      <x:c r="H723" s="50" t="str">
        <x:f>IF(715&gt;$H$4,"",IF(INDEX('Fleet dates'!$I$9:$I$1008,$I723-8)="","",INDEX('Fleet dates'!$I$9:$I$1008,$I723-8)))</x:f>
      </x:c>
      <x:c r="I723" t="str">
        <x:f>IF(715&gt;$H$4,"",MATCH(715,'Fleet dates'!$M$9:$M$1008,0)+8)</x:f>
      </x:c>
    </x:row>
    <x:row r="724" ht="36" customHeight="1">
      <x:c r="A724" s="50" t="str">
        <x:f>IF(716&gt;$H$4,"",IF(INDEX('Fleet dates'!$A$9:$A$1008,$I724-8)="","",INDEX('Fleet dates'!$A$9:$A$1008,$I724-8)))</x:f>
      </x:c>
      <x:c r="B724" s="50" t="str">
        <x:f>IF(716&gt;$H$4,"",IF(INDEX('Fleet dates'!$B$9:$B$1008,$I724-8)="","",INDEX('Fleet dates'!$B$9:$B$1008,$I724-8)))</x:f>
      </x:c>
      <x:c r="C724" s="51" t="str">
        <x:f>IF(716&gt;$H$4,"",IF(INDEX('Fleet dates'!$C$9:$C$1008,$I724-8)="","",INDEX('Fleet dates'!$C$9:$C$1008,$I724-8)))</x:f>
      </x:c>
      <x:c r="D724" s="51" t="str">
        <x:f>IF(716&gt;$H$4,"",IF(INDEX('Fleet dates'!$D$9:$D$1008,$I724-8)="","",INDEX('Fleet dates'!$D$9:$D$1008,$I724-8)))</x:f>
      </x:c>
      <x:c r="E724" s="51" t="str">
        <x:f>IF(716&gt;$H$4,"",IF(INDEX('Fleet dates'!$E$9:$E$1008,$I724-8)="","",INDEX('Fleet dates'!$E$9:$E$1008,$I724-8)))</x:f>
      </x:c>
      <x:c r="F724" s="51" t="str">
        <x:f>IF(716&gt;$H$4,"",IF(INDEX('Fleet dates'!$F$9:$F$1008,$I724-8)="","",INDEX('Fleet dates'!$F$9:$F$1008,$I724-8)))</x:f>
      </x:c>
      <x:c r="G724" s="50" t="str">
        <x:f>IF(716&gt;$H$4,"",IF(INDEX('Fleet dates'!$G$9:$G$1008,$I724-8)="","",INDEX('Fleet dates'!$G$9:$G$1008,$I724-8)))</x:f>
      </x:c>
      <x:c r="H724" s="50" t="str">
        <x:f>IF(716&gt;$H$4,"",IF(INDEX('Fleet dates'!$I$9:$I$1008,$I724-8)="","",INDEX('Fleet dates'!$I$9:$I$1008,$I724-8)))</x:f>
      </x:c>
      <x:c r="I724" t="str">
        <x:f>IF(716&gt;$H$4,"",MATCH(716,'Fleet dates'!$M$9:$M$1008,0)+8)</x:f>
      </x:c>
    </x:row>
    <x:row r="725" ht="36" customHeight="1">
      <x:c r="A725" s="50" t="str">
        <x:f>IF(717&gt;$H$4,"",IF(INDEX('Fleet dates'!$A$9:$A$1008,$I725-8)="","",INDEX('Fleet dates'!$A$9:$A$1008,$I725-8)))</x:f>
      </x:c>
      <x:c r="B725" s="50" t="str">
        <x:f>IF(717&gt;$H$4,"",IF(INDEX('Fleet dates'!$B$9:$B$1008,$I725-8)="","",INDEX('Fleet dates'!$B$9:$B$1008,$I725-8)))</x:f>
      </x:c>
      <x:c r="C725" s="51" t="str">
        <x:f>IF(717&gt;$H$4,"",IF(INDEX('Fleet dates'!$C$9:$C$1008,$I725-8)="","",INDEX('Fleet dates'!$C$9:$C$1008,$I725-8)))</x:f>
      </x:c>
      <x:c r="D725" s="51" t="str">
        <x:f>IF(717&gt;$H$4,"",IF(INDEX('Fleet dates'!$D$9:$D$1008,$I725-8)="","",INDEX('Fleet dates'!$D$9:$D$1008,$I725-8)))</x:f>
      </x:c>
      <x:c r="E725" s="51" t="str">
        <x:f>IF(717&gt;$H$4,"",IF(INDEX('Fleet dates'!$E$9:$E$1008,$I725-8)="","",INDEX('Fleet dates'!$E$9:$E$1008,$I725-8)))</x:f>
      </x:c>
      <x:c r="F725" s="51" t="str">
        <x:f>IF(717&gt;$H$4,"",IF(INDEX('Fleet dates'!$F$9:$F$1008,$I725-8)="","",INDEX('Fleet dates'!$F$9:$F$1008,$I725-8)))</x:f>
      </x:c>
      <x:c r="G725" s="50" t="str">
        <x:f>IF(717&gt;$H$4,"",IF(INDEX('Fleet dates'!$G$9:$G$1008,$I725-8)="","",INDEX('Fleet dates'!$G$9:$G$1008,$I725-8)))</x:f>
      </x:c>
      <x:c r="H725" s="50" t="str">
        <x:f>IF(717&gt;$H$4,"",IF(INDEX('Fleet dates'!$I$9:$I$1008,$I725-8)="","",INDEX('Fleet dates'!$I$9:$I$1008,$I725-8)))</x:f>
      </x:c>
      <x:c r="I725" t="str">
        <x:f>IF(717&gt;$H$4,"",MATCH(717,'Fleet dates'!$M$9:$M$1008,0)+8)</x:f>
      </x:c>
    </x:row>
    <x:row r="726" ht="36" customHeight="1">
      <x:c r="A726" s="50" t="str">
        <x:f>IF(718&gt;$H$4,"",IF(INDEX('Fleet dates'!$A$9:$A$1008,$I726-8)="","",INDEX('Fleet dates'!$A$9:$A$1008,$I726-8)))</x:f>
      </x:c>
      <x:c r="B726" s="50" t="str">
        <x:f>IF(718&gt;$H$4,"",IF(INDEX('Fleet dates'!$B$9:$B$1008,$I726-8)="","",INDEX('Fleet dates'!$B$9:$B$1008,$I726-8)))</x:f>
      </x:c>
      <x:c r="C726" s="51" t="str">
        <x:f>IF(718&gt;$H$4,"",IF(INDEX('Fleet dates'!$C$9:$C$1008,$I726-8)="","",INDEX('Fleet dates'!$C$9:$C$1008,$I726-8)))</x:f>
      </x:c>
      <x:c r="D726" s="51" t="str">
        <x:f>IF(718&gt;$H$4,"",IF(INDEX('Fleet dates'!$D$9:$D$1008,$I726-8)="","",INDEX('Fleet dates'!$D$9:$D$1008,$I726-8)))</x:f>
      </x:c>
      <x:c r="E726" s="51" t="str">
        <x:f>IF(718&gt;$H$4,"",IF(INDEX('Fleet dates'!$E$9:$E$1008,$I726-8)="","",INDEX('Fleet dates'!$E$9:$E$1008,$I726-8)))</x:f>
      </x:c>
      <x:c r="F726" s="51" t="str">
        <x:f>IF(718&gt;$H$4,"",IF(INDEX('Fleet dates'!$F$9:$F$1008,$I726-8)="","",INDEX('Fleet dates'!$F$9:$F$1008,$I726-8)))</x:f>
      </x:c>
      <x:c r="G726" s="50" t="str">
        <x:f>IF(718&gt;$H$4,"",IF(INDEX('Fleet dates'!$G$9:$G$1008,$I726-8)="","",INDEX('Fleet dates'!$G$9:$G$1008,$I726-8)))</x:f>
      </x:c>
      <x:c r="H726" s="50" t="str">
        <x:f>IF(718&gt;$H$4,"",IF(INDEX('Fleet dates'!$I$9:$I$1008,$I726-8)="","",INDEX('Fleet dates'!$I$9:$I$1008,$I726-8)))</x:f>
      </x:c>
      <x:c r="I726" t="str">
        <x:f>IF(718&gt;$H$4,"",MATCH(718,'Fleet dates'!$M$9:$M$1008,0)+8)</x:f>
      </x:c>
    </x:row>
    <x:row r="727" ht="36" customHeight="1">
      <x:c r="A727" s="50" t="str">
        <x:f>IF(719&gt;$H$4,"",IF(INDEX('Fleet dates'!$A$9:$A$1008,$I727-8)="","",INDEX('Fleet dates'!$A$9:$A$1008,$I727-8)))</x:f>
      </x:c>
      <x:c r="B727" s="50" t="str">
        <x:f>IF(719&gt;$H$4,"",IF(INDEX('Fleet dates'!$B$9:$B$1008,$I727-8)="","",INDEX('Fleet dates'!$B$9:$B$1008,$I727-8)))</x:f>
      </x:c>
      <x:c r="C727" s="51" t="str">
        <x:f>IF(719&gt;$H$4,"",IF(INDEX('Fleet dates'!$C$9:$C$1008,$I727-8)="","",INDEX('Fleet dates'!$C$9:$C$1008,$I727-8)))</x:f>
      </x:c>
      <x:c r="D727" s="51" t="str">
        <x:f>IF(719&gt;$H$4,"",IF(INDEX('Fleet dates'!$D$9:$D$1008,$I727-8)="","",INDEX('Fleet dates'!$D$9:$D$1008,$I727-8)))</x:f>
      </x:c>
      <x:c r="E727" s="51" t="str">
        <x:f>IF(719&gt;$H$4,"",IF(INDEX('Fleet dates'!$E$9:$E$1008,$I727-8)="","",INDEX('Fleet dates'!$E$9:$E$1008,$I727-8)))</x:f>
      </x:c>
      <x:c r="F727" s="51" t="str">
        <x:f>IF(719&gt;$H$4,"",IF(INDEX('Fleet dates'!$F$9:$F$1008,$I727-8)="","",INDEX('Fleet dates'!$F$9:$F$1008,$I727-8)))</x:f>
      </x:c>
      <x:c r="G727" s="50" t="str">
        <x:f>IF(719&gt;$H$4,"",IF(INDEX('Fleet dates'!$G$9:$G$1008,$I727-8)="","",INDEX('Fleet dates'!$G$9:$G$1008,$I727-8)))</x:f>
      </x:c>
      <x:c r="H727" s="50" t="str">
        <x:f>IF(719&gt;$H$4,"",IF(INDEX('Fleet dates'!$I$9:$I$1008,$I727-8)="","",INDEX('Fleet dates'!$I$9:$I$1008,$I727-8)))</x:f>
      </x:c>
      <x:c r="I727" t="str">
        <x:f>IF(719&gt;$H$4,"",MATCH(719,'Fleet dates'!$M$9:$M$1008,0)+8)</x:f>
      </x:c>
    </x:row>
    <x:row r="728" ht="36" customHeight="1">
      <x:c r="A728" s="50" t="str">
        <x:f>IF(720&gt;$H$4,"",IF(INDEX('Fleet dates'!$A$9:$A$1008,$I728-8)="","",INDEX('Fleet dates'!$A$9:$A$1008,$I728-8)))</x:f>
      </x:c>
      <x:c r="B728" s="50" t="str">
        <x:f>IF(720&gt;$H$4,"",IF(INDEX('Fleet dates'!$B$9:$B$1008,$I728-8)="","",INDEX('Fleet dates'!$B$9:$B$1008,$I728-8)))</x:f>
      </x:c>
      <x:c r="C728" s="51" t="str">
        <x:f>IF(720&gt;$H$4,"",IF(INDEX('Fleet dates'!$C$9:$C$1008,$I728-8)="","",INDEX('Fleet dates'!$C$9:$C$1008,$I728-8)))</x:f>
      </x:c>
      <x:c r="D728" s="51" t="str">
        <x:f>IF(720&gt;$H$4,"",IF(INDEX('Fleet dates'!$D$9:$D$1008,$I728-8)="","",INDEX('Fleet dates'!$D$9:$D$1008,$I728-8)))</x:f>
      </x:c>
      <x:c r="E728" s="51" t="str">
        <x:f>IF(720&gt;$H$4,"",IF(INDEX('Fleet dates'!$E$9:$E$1008,$I728-8)="","",INDEX('Fleet dates'!$E$9:$E$1008,$I728-8)))</x:f>
      </x:c>
      <x:c r="F728" s="51" t="str">
        <x:f>IF(720&gt;$H$4,"",IF(INDEX('Fleet dates'!$F$9:$F$1008,$I728-8)="","",INDEX('Fleet dates'!$F$9:$F$1008,$I728-8)))</x:f>
      </x:c>
      <x:c r="G728" s="50" t="str">
        <x:f>IF(720&gt;$H$4,"",IF(INDEX('Fleet dates'!$G$9:$G$1008,$I728-8)="","",INDEX('Fleet dates'!$G$9:$G$1008,$I728-8)))</x:f>
      </x:c>
      <x:c r="H728" s="50" t="str">
        <x:f>IF(720&gt;$H$4,"",IF(INDEX('Fleet dates'!$I$9:$I$1008,$I728-8)="","",INDEX('Fleet dates'!$I$9:$I$1008,$I728-8)))</x:f>
      </x:c>
      <x:c r="I728" t="str">
        <x:f>IF(720&gt;$H$4,"",MATCH(720,'Fleet dates'!$M$9:$M$1008,0)+8)</x:f>
      </x:c>
    </x:row>
    <x:row r="729" ht="36" customHeight="1">
      <x:c r="A729" s="50" t="str">
        <x:f>IF(721&gt;$H$4,"",IF(INDEX('Fleet dates'!$A$9:$A$1008,$I729-8)="","",INDEX('Fleet dates'!$A$9:$A$1008,$I729-8)))</x:f>
      </x:c>
      <x:c r="B729" s="50" t="str">
        <x:f>IF(721&gt;$H$4,"",IF(INDEX('Fleet dates'!$B$9:$B$1008,$I729-8)="","",INDEX('Fleet dates'!$B$9:$B$1008,$I729-8)))</x:f>
      </x:c>
      <x:c r="C729" s="51" t="str">
        <x:f>IF(721&gt;$H$4,"",IF(INDEX('Fleet dates'!$C$9:$C$1008,$I729-8)="","",INDEX('Fleet dates'!$C$9:$C$1008,$I729-8)))</x:f>
      </x:c>
      <x:c r="D729" s="51" t="str">
        <x:f>IF(721&gt;$H$4,"",IF(INDEX('Fleet dates'!$D$9:$D$1008,$I729-8)="","",INDEX('Fleet dates'!$D$9:$D$1008,$I729-8)))</x:f>
      </x:c>
      <x:c r="E729" s="51" t="str">
        <x:f>IF(721&gt;$H$4,"",IF(INDEX('Fleet dates'!$E$9:$E$1008,$I729-8)="","",INDEX('Fleet dates'!$E$9:$E$1008,$I729-8)))</x:f>
      </x:c>
      <x:c r="F729" s="51" t="str">
        <x:f>IF(721&gt;$H$4,"",IF(INDEX('Fleet dates'!$F$9:$F$1008,$I729-8)="","",INDEX('Fleet dates'!$F$9:$F$1008,$I729-8)))</x:f>
      </x:c>
      <x:c r="G729" s="50" t="str">
        <x:f>IF(721&gt;$H$4,"",IF(INDEX('Fleet dates'!$G$9:$G$1008,$I729-8)="","",INDEX('Fleet dates'!$G$9:$G$1008,$I729-8)))</x:f>
      </x:c>
      <x:c r="H729" s="50" t="str">
        <x:f>IF(721&gt;$H$4,"",IF(INDEX('Fleet dates'!$I$9:$I$1008,$I729-8)="","",INDEX('Fleet dates'!$I$9:$I$1008,$I729-8)))</x:f>
      </x:c>
      <x:c r="I729" t="str">
        <x:f>IF(721&gt;$H$4,"",MATCH(721,'Fleet dates'!$M$9:$M$1008,0)+8)</x:f>
      </x:c>
    </x:row>
    <x:row r="730" ht="36" customHeight="1">
      <x:c r="A730" s="50" t="str">
        <x:f>IF(722&gt;$H$4,"",IF(INDEX('Fleet dates'!$A$9:$A$1008,$I730-8)="","",INDEX('Fleet dates'!$A$9:$A$1008,$I730-8)))</x:f>
      </x:c>
      <x:c r="B730" s="50" t="str">
        <x:f>IF(722&gt;$H$4,"",IF(INDEX('Fleet dates'!$B$9:$B$1008,$I730-8)="","",INDEX('Fleet dates'!$B$9:$B$1008,$I730-8)))</x:f>
      </x:c>
      <x:c r="C730" s="51" t="str">
        <x:f>IF(722&gt;$H$4,"",IF(INDEX('Fleet dates'!$C$9:$C$1008,$I730-8)="","",INDEX('Fleet dates'!$C$9:$C$1008,$I730-8)))</x:f>
      </x:c>
      <x:c r="D730" s="51" t="str">
        <x:f>IF(722&gt;$H$4,"",IF(INDEX('Fleet dates'!$D$9:$D$1008,$I730-8)="","",INDEX('Fleet dates'!$D$9:$D$1008,$I730-8)))</x:f>
      </x:c>
      <x:c r="E730" s="51" t="str">
        <x:f>IF(722&gt;$H$4,"",IF(INDEX('Fleet dates'!$E$9:$E$1008,$I730-8)="","",INDEX('Fleet dates'!$E$9:$E$1008,$I730-8)))</x:f>
      </x:c>
      <x:c r="F730" s="51" t="str">
        <x:f>IF(722&gt;$H$4,"",IF(INDEX('Fleet dates'!$F$9:$F$1008,$I730-8)="","",INDEX('Fleet dates'!$F$9:$F$1008,$I730-8)))</x:f>
      </x:c>
      <x:c r="G730" s="50" t="str">
        <x:f>IF(722&gt;$H$4,"",IF(INDEX('Fleet dates'!$G$9:$G$1008,$I730-8)="","",INDEX('Fleet dates'!$G$9:$G$1008,$I730-8)))</x:f>
      </x:c>
      <x:c r="H730" s="50" t="str">
        <x:f>IF(722&gt;$H$4,"",IF(INDEX('Fleet dates'!$I$9:$I$1008,$I730-8)="","",INDEX('Fleet dates'!$I$9:$I$1008,$I730-8)))</x:f>
      </x:c>
      <x:c r="I730" t="str">
        <x:f>IF(722&gt;$H$4,"",MATCH(722,'Fleet dates'!$M$9:$M$1008,0)+8)</x:f>
      </x:c>
    </x:row>
    <x:row r="731" ht="36" customHeight="1">
      <x:c r="A731" s="50" t="str">
        <x:f>IF(723&gt;$H$4,"",IF(INDEX('Fleet dates'!$A$9:$A$1008,$I731-8)="","",INDEX('Fleet dates'!$A$9:$A$1008,$I731-8)))</x:f>
      </x:c>
      <x:c r="B731" s="50" t="str">
        <x:f>IF(723&gt;$H$4,"",IF(INDEX('Fleet dates'!$B$9:$B$1008,$I731-8)="","",INDEX('Fleet dates'!$B$9:$B$1008,$I731-8)))</x:f>
      </x:c>
      <x:c r="C731" s="51" t="str">
        <x:f>IF(723&gt;$H$4,"",IF(INDEX('Fleet dates'!$C$9:$C$1008,$I731-8)="","",INDEX('Fleet dates'!$C$9:$C$1008,$I731-8)))</x:f>
      </x:c>
      <x:c r="D731" s="51" t="str">
        <x:f>IF(723&gt;$H$4,"",IF(INDEX('Fleet dates'!$D$9:$D$1008,$I731-8)="","",INDEX('Fleet dates'!$D$9:$D$1008,$I731-8)))</x:f>
      </x:c>
      <x:c r="E731" s="51" t="str">
        <x:f>IF(723&gt;$H$4,"",IF(INDEX('Fleet dates'!$E$9:$E$1008,$I731-8)="","",INDEX('Fleet dates'!$E$9:$E$1008,$I731-8)))</x:f>
      </x:c>
      <x:c r="F731" s="51" t="str">
        <x:f>IF(723&gt;$H$4,"",IF(INDEX('Fleet dates'!$F$9:$F$1008,$I731-8)="","",INDEX('Fleet dates'!$F$9:$F$1008,$I731-8)))</x:f>
      </x:c>
      <x:c r="G731" s="50" t="str">
        <x:f>IF(723&gt;$H$4,"",IF(INDEX('Fleet dates'!$G$9:$G$1008,$I731-8)="","",INDEX('Fleet dates'!$G$9:$G$1008,$I731-8)))</x:f>
      </x:c>
      <x:c r="H731" s="50" t="str">
        <x:f>IF(723&gt;$H$4,"",IF(INDEX('Fleet dates'!$I$9:$I$1008,$I731-8)="","",INDEX('Fleet dates'!$I$9:$I$1008,$I731-8)))</x:f>
      </x:c>
      <x:c r="I731" t="str">
        <x:f>IF(723&gt;$H$4,"",MATCH(723,'Fleet dates'!$M$9:$M$1008,0)+8)</x:f>
      </x:c>
    </x:row>
    <x:row r="732" ht="36" customHeight="1">
      <x:c r="A732" s="50" t="str">
        <x:f>IF(724&gt;$H$4,"",IF(INDEX('Fleet dates'!$A$9:$A$1008,$I732-8)="","",INDEX('Fleet dates'!$A$9:$A$1008,$I732-8)))</x:f>
      </x:c>
      <x:c r="B732" s="50" t="str">
        <x:f>IF(724&gt;$H$4,"",IF(INDEX('Fleet dates'!$B$9:$B$1008,$I732-8)="","",INDEX('Fleet dates'!$B$9:$B$1008,$I732-8)))</x:f>
      </x:c>
      <x:c r="C732" s="51" t="str">
        <x:f>IF(724&gt;$H$4,"",IF(INDEX('Fleet dates'!$C$9:$C$1008,$I732-8)="","",INDEX('Fleet dates'!$C$9:$C$1008,$I732-8)))</x:f>
      </x:c>
      <x:c r="D732" s="51" t="str">
        <x:f>IF(724&gt;$H$4,"",IF(INDEX('Fleet dates'!$D$9:$D$1008,$I732-8)="","",INDEX('Fleet dates'!$D$9:$D$1008,$I732-8)))</x:f>
      </x:c>
      <x:c r="E732" s="51" t="str">
        <x:f>IF(724&gt;$H$4,"",IF(INDEX('Fleet dates'!$E$9:$E$1008,$I732-8)="","",INDEX('Fleet dates'!$E$9:$E$1008,$I732-8)))</x:f>
      </x:c>
      <x:c r="F732" s="51" t="str">
        <x:f>IF(724&gt;$H$4,"",IF(INDEX('Fleet dates'!$F$9:$F$1008,$I732-8)="","",INDEX('Fleet dates'!$F$9:$F$1008,$I732-8)))</x:f>
      </x:c>
      <x:c r="G732" s="50" t="str">
        <x:f>IF(724&gt;$H$4,"",IF(INDEX('Fleet dates'!$G$9:$G$1008,$I732-8)="","",INDEX('Fleet dates'!$G$9:$G$1008,$I732-8)))</x:f>
      </x:c>
      <x:c r="H732" s="50" t="str">
        <x:f>IF(724&gt;$H$4,"",IF(INDEX('Fleet dates'!$I$9:$I$1008,$I732-8)="","",INDEX('Fleet dates'!$I$9:$I$1008,$I732-8)))</x:f>
      </x:c>
      <x:c r="I732" t="str">
        <x:f>IF(724&gt;$H$4,"",MATCH(724,'Fleet dates'!$M$9:$M$1008,0)+8)</x:f>
      </x:c>
    </x:row>
    <x:row r="733" ht="36" customHeight="1">
      <x:c r="A733" s="50" t="str">
        <x:f>IF(725&gt;$H$4,"",IF(INDEX('Fleet dates'!$A$9:$A$1008,$I733-8)="","",INDEX('Fleet dates'!$A$9:$A$1008,$I733-8)))</x:f>
      </x:c>
      <x:c r="B733" s="50" t="str">
        <x:f>IF(725&gt;$H$4,"",IF(INDEX('Fleet dates'!$B$9:$B$1008,$I733-8)="","",INDEX('Fleet dates'!$B$9:$B$1008,$I733-8)))</x:f>
      </x:c>
      <x:c r="C733" s="51" t="str">
        <x:f>IF(725&gt;$H$4,"",IF(INDEX('Fleet dates'!$C$9:$C$1008,$I733-8)="","",INDEX('Fleet dates'!$C$9:$C$1008,$I733-8)))</x:f>
      </x:c>
      <x:c r="D733" s="51" t="str">
        <x:f>IF(725&gt;$H$4,"",IF(INDEX('Fleet dates'!$D$9:$D$1008,$I733-8)="","",INDEX('Fleet dates'!$D$9:$D$1008,$I733-8)))</x:f>
      </x:c>
      <x:c r="E733" s="51" t="str">
        <x:f>IF(725&gt;$H$4,"",IF(INDEX('Fleet dates'!$E$9:$E$1008,$I733-8)="","",INDEX('Fleet dates'!$E$9:$E$1008,$I733-8)))</x:f>
      </x:c>
      <x:c r="F733" s="51" t="str">
        <x:f>IF(725&gt;$H$4,"",IF(INDEX('Fleet dates'!$F$9:$F$1008,$I733-8)="","",INDEX('Fleet dates'!$F$9:$F$1008,$I733-8)))</x:f>
      </x:c>
      <x:c r="G733" s="50" t="str">
        <x:f>IF(725&gt;$H$4,"",IF(INDEX('Fleet dates'!$G$9:$G$1008,$I733-8)="","",INDEX('Fleet dates'!$G$9:$G$1008,$I733-8)))</x:f>
      </x:c>
      <x:c r="H733" s="50" t="str">
        <x:f>IF(725&gt;$H$4,"",IF(INDEX('Fleet dates'!$I$9:$I$1008,$I733-8)="","",INDEX('Fleet dates'!$I$9:$I$1008,$I733-8)))</x:f>
      </x:c>
      <x:c r="I733" t="str">
        <x:f>IF(725&gt;$H$4,"",MATCH(725,'Fleet dates'!$M$9:$M$1008,0)+8)</x:f>
      </x:c>
    </x:row>
    <x:row r="734" ht="36" customHeight="1">
      <x:c r="A734" s="50" t="str">
        <x:f>IF(726&gt;$H$4,"",IF(INDEX('Fleet dates'!$A$9:$A$1008,$I734-8)="","",INDEX('Fleet dates'!$A$9:$A$1008,$I734-8)))</x:f>
      </x:c>
      <x:c r="B734" s="50" t="str">
        <x:f>IF(726&gt;$H$4,"",IF(INDEX('Fleet dates'!$B$9:$B$1008,$I734-8)="","",INDEX('Fleet dates'!$B$9:$B$1008,$I734-8)))</x:f>
      </x:c>
      <x:c r="C734" s="51" t="str">
        <x:f>IF(726&gt;$H$4,"",IF(INDEX('Fleet dates'!$C$9:$C$1008,$I734-8)="","",INDEX('Fleet dates'!$C$9:$C$1008,$I734-8)))</x:f>
      </x:c>
      <x:c r="D734" s="51" t="str">
        <x:f>IF(726&gt;$H$4,"",IF(INDEX('Fleet dates'!$D$9:$D$1008,$I734-8)="","",INDEX('Fleet dates'!$D$9:$D$1008,$I734-8)))</x:f>
      </x:c>
      <x:c r="E734" s="51" t="str">
        <x:f>IF(726&gt;$H$4,"",IF(INDEX('Fleet dates'!$E$9:$E$1008,$I734-8)="","",INDEX('Fleet dates'!$E$9:$E$1008,$I734-8)))</x:f>
      </x:c>
      <x:c r="F734" s="51" t="str">
        <x:f>IF(726&gt;$H$4,"",IF(INDEX('Fleet dates'!$F$9:$F$1008,$I734-8)="","",INDEX('Fleet dates'!$F$9:$F$1008,$I734-8)))</x:f>
      </x:c>
      <x:c r="G734" s="50" t="str">
        <x:f>IF(726&gt;$H$4,"",IF(INDEX('Fleet dates'!$G$9:$G$1008,$I734-8)="","",INDEX('Fleet dates'!$G$9:$G$1008,$I734-8)))</x:f>
      </x:c>
      <x:c r="H734" s="50" t="str">
        <x:f>IF(726&gt;$H$4,"",IF(INDEX('Fleet dates'!$I$9:$I$1008,$I734-8)="","",INDEX('Fleet dates'!$I$9:$I$1008,$I734-8)))</x:f>
      </x:c>
      <x:c r="I734" t="str">
        <x:f>IF(726&gt;$H$4,"",MATCH(726,'Fleet dates'!$M$9:$M$1008,0)+8)</x:f>
      </x:c>
    </x:row>
    <x:row r="735" ht="36" customHeight="1">
      <x:c r="A735" s="50" t="str">
        <x:f>IF(727&gt;$H$4,"",IF(INDEX('Fleet dates'!$A$9:$A$1008,$I735-8)="","",INDEX('Fleet dates'!$A$9:$A$1008,$I735-8)))</x:f>
      </x:c>
      <x:c r="B735" s="50" t="str">
        <x:f>IF(727&gt;$H$4,"",IF(INDEX('Fleet dates'!$B$9:$B$1008,$I735-8)="","",INDEX('Fleet dates'!$B$9:$B$1008,$I735-8)))</x:f>
      </x:c>
      <x:c r="C735" s="51" t="str">
        <x:f>IF(727&gt;$H$4,"",IF(INDEX('Fleet dates'!$C$9:$C$1008,$I735-8)="","",INDEX('Fleet dates'!$C$9:$C$1008,$I735-8)))</x:f>
      </x:c>
      <x:c r="D735" s="51" t="str">
        <x:f>IF(727&gt;$H$4,"",IF(INDEX('Fleet dates'!$D$9:$D$1008,$I735-8)="","",INDEX('Fleet dates'!$D$9:$D$1008,$I735-8)))</x:f>
      </x:c>
      <x:c r="E735" s="51" t="str">
        <x:f>IF(727&gt;$H$4,"",IF(INDEX('Fleet dates'!$E$9:$E$1008,$I735-8)="","",INDEX('Fleet dates'!$E$9:$E$1008,$I735-8)))</x:f>
      </x:c>
      <x:c r="F735" s="51" t="str">
        <x:f>IF(727&gt;$H$4,"",IF(INDEX('Fleet dates'!$F$9:$F$1008,$I735-8)="","",INDEX('Fleet dates'!$F$9:$F$1008,$I735-8)))</x:f>
      </x:c>
      <x:c r="G735" s="50" t="str">
        <x:f>IF(727&gt;$H$4,"",IF(INDEX('Fleet dates'!$G$9:$G$1008,$I735-8)="","",INDEX('Fleet dates'!$G$9:$G$1008,$I735-8)))</x:f>
      </x:c>
      <x:c r="H735" s="50" t="str">
        <x:f>IF(727&gt;$H$4,"",IF(INDEX('Fleet dates'!$I$9:$I$1008,$I735-8)="","",INDEX('Fleet dates'!$I$9:$I$1008,$I735-8)))</x:f>
      </x:c>
      <x:c r="I735" t="str">
        <x:f>IF(727&gt;$H$4,"",MATCH(727,'Fleet dates'!$M$9:$M$1008,0)+8)</x:f>
      </x:c>
    </x:row>
    <x:row r="736" ht="36" customHeight="1">
      <x:c r="A736" s="50" t="str">
        <x:f>IF(728&gt;$H$4,"",IF(INDEX('Fleet dates'!$A$9:$A$1008,$I736-8)="","",INDEX('Fleet dates'!$A$9:$A$1008,$I736-8)))</x:f>
      </x:c>
      <x:c r="B736" s="50" t="str">
        <x:f>IF(728&gt;$H$4,"",IF(INDEX('Fleet dates'!$B$9:$B$1008,$I736-8)="","",INDEX('Fleet dates'!$B$9:$B$1008,$I736-8)))</x:f>
      </x:c>
      <x:c r="C736" s="51" t="str">
        <x:f>IF(728&gt;$H$4,"",IF(INDEX('Fleet dates'!$C$9:$C$1008,$I736-8)="","",INDEX('Fleet dates'!$C$9:$C$1008,$I736-8)))</x:f>
      </x:c>
      <x:c r="D736" s="51" t="str">
        <x:f>IF(728&gt;$H$4,"",IF(INDEX('Fleet dates'!$D$9:$D$1008,$I736-8)="","",INDEX('Fleet dates'!$D$9:$D$1008,$I736-8)))</x:f>
      </x:c>
      <x:c r="E736" s="51" t="str">
        <x:f>IF(728&gt;$H$4,"",IF(INDEX('Fleet dates'!$E$9:$E$1008,$I736-8)="","",INDEX('Fleet dates'!$E$9:$E$1008,$I736-8)))</x:f>
      </x:c>
      <x:c r="F736" s="51" t="str">
        <x:f>IF(728&gt;$H$4,"",IF(INDEX('Fleet dates'!$F$9:$F$1008,$I736-8)="","",INDEX('Fleet dates'!$F$9:$F$1008,$I736-8)))</x:f>
      </x:c>
      <x:c r="G736" s="50" t="str">
        <x:f>IF(728&gt;$H$4,"",IF(INDEX('Fleet dates'!$G$9:$G$1008,$I736-8)="","",INDEX('Fleet dates'!$G$9:$G$1008,$I736-8)))</x:f>
      </x:c>
      <x:c r="H736" s="50" t="str">
        <x:f>IF(728&gt;$H$4,"",IF(INDEX('Fleet dates'!$I$9:$I$1008,$I736-8)="","",INDEX('Fleet dates'!$I$9:$I$1008,$I736-8)))</x:f>
      </x:c>
      <x:c r="I736" t="str">
        <x:f>IF(728&gt;$H$4,"",MATCH(728,'Fleet dates'!$M$9:$M$1008,0)+8)</x:f>
      </x:c>
    </x:row>
    <x:row r="737" ht="36" customHeight="1">
      <x:c r="A737" s="50" t="str">
        <x:f>IF(729&gt;$H$4,"",IF(INDEX('Fleet dates'!$A$9:$A$1008,$I737-8)="","",INDEX('Fleet dates'!$A$9:$A$1008,$I737-8)))</x:f>
      </x:c>
      <x:c r="B737" s="50" t="str">
        <x:f>IF(729&gt;$H$4,"",IF(INDEX('Fleet dates'!$B$9:$B$1008,$I737-8)="","",INDEX('Fleet dates'!$B$9:$B$1008,$I737-8)))</x:f>
      </x:c>
      <x:c r="C737" s="51" t="str">
        <x:f>IF(729&gt;$H$4,"",IF(INDEX('Fleet dates'!$C$9:$C$1008,$I737-8)="","",INDEX('Fleet dates'!$C$9:$C$1008,$I737-8)))</x:f>
      </x:c>
      <x:c r="D737" s="51" t="str">
        <x:f>IF(729&gt;$H$4,"",IF(INDEX('Fleet dates'!$D$9:$D$1008,$I737-8)="","",INDEX('Fleet dates'!$D$9:$D$1008,$I737-8)))</x:f>
      </x:c>
      <x:c r="E737" s="51" t="str">
        <x:f>IF(729&gt;$H$4,"",IF(INDEX('Fleet dates'!$E$9:$E$1008,$I737-8)="","",INDEX('Fleet dates'!$E$9:$E$1008,$I737-8)))</x:f>
      </x:c>
      <x:c r="F737" s="51" t="str">
        <x:f>IF(729&gt;$H$4,"",IF(INDEX('Fleet dates'!$F$9:$F$1008,$I737-8)="","",INDEX('Fleet dates'!$F$9:$F$1008,$I737-8)))</x:f>
      </x:c>
      <x:c r="G737" s="50" t="str">
        <x:f>IF(729&gt;$H$4,"",IF(INDEX('Fleet dates'!$G$9:$G$1008,$I737-8)="","",INDEX('Fleet dates'!$G$9:$G$1008,$I737-8)))</x:f>
      </x:c>
      <x:c r="H737" s="50" t="str">
        <x:f>IF(729&gt;$H$4,"",IF(INDEX('Fleet dates'!$I$9:$I$1008,$I737-8)="","",INDEX('Fleet dates'!$I$9:$I$1008,$I737-8)))</x:f>
      </x:c>
      <x:c r="I737" t="str">
        <x:f>IF(729&gt;$H$4,"",MATCH(729,'Fleet dates'!$M$9:$M$1008,0)+8)</x:f>
      </x:c>
    </x:row>
    <x:row r="738" ht="36" customHeight="1">
      <x:c r="A738" s="50" t="str">
        <x:f>IF(730&gt;$H$4,"",IF(INDEX('Fleet dates'!$A$9:$A$1008,$I738-8)="","",INDEX('Fleet dates'!$A$9:$A$1008,$I738-8)))</x:f>
      </x:c>
      <x:c r="B738" s="50" t="str">
        <x:f>IF(730&gt;$H$4,"",IF(INDEX('Fleet dates'!$B$9:$B$1008,$I738-8)="","",INDEX('Fleet dates'!$B$9:$B$1008,$I738-8)))</x:f>
      </x:c>
      <x:c r="C738" s="51" t="str">
        <x:f>IF(730&gt;$H$4,"",IF(INDEX('Fleet dates'!$C$9:$C$1008,$I738-8)="","",INDEX('Fleet dates'!$C$9:$C$1008,$I738-8)))</x:f>
      </x:c>
      <x:c r="D738" s="51" t="str">
        <x:f>IF(730&gt;$H$4,"",IF(INDEX('Fleet dates'!$D$9:$D$1008,$I738-8)="","",INDEX('Fleet dates'!$D$9:$D$1008,$I738-8)))</x:f>
      </x:c>
      <x:c r="E738" s="51" t="str">
        <x:f>IF(730&gt;$H$4,"",IF(INDEX('Fleet dates'!$E$9:$E$1008,$I738-8)="","",INDEX('Fleet dates'!$E$9:$E$1008,$I738-8)))</x:f>
      </x:c>
      <x:c r="F738" s="51" t="str">
        <x:f>IF(730&gt;$H$4,"",IF(INDEX('Fleet dates'!$F$9:$F$1008,$I738-8)="","",INDEX('Fleet dates'!$F$9:$F$1008,$I738-8)))</x:f>
      </x:c>
      <x:c r="G738" s="50" t="str">
        <x:f>IF(730&gt;$H$4,"",IF(INDEX('Fleet dates'!$G$9:$G$1008,$I738-8)="","",INDEX('Fleet dates'!$G$9:$G$1008,$I738-8)))</x:f>
      </x:c>
      <x:c r="H738" s="50" t="str">
        <x:f>IF(730&gt;$H$4,"",IF(INDEX('Fleet dates'!$I$9:$I$1008,$I738-8)="","",INDEX('Fleet dates'!$I$9:$I$1008,$I738-8)))</x:f>
      </x:c>
      <x:c r="I738" t="str">
        <x:f>IF(730&gt;$H$4,"",MATCH(730,'Fleet dates'!$M$9:$M$1008,0)+8)</x:f>
      </x:c>
    </x:row>
    <x:row r="739" ht="36" customHeight="1">
      <x:c r="A739" s="50" t="str">
        <x:f>IF(731&gt;$H$4,"",IF(INDEX('Fleet dates'!$A$9:$A$1008,$I739-8)="","",INDEX('Fleet dates'!$A$9:$A$1008,$I739-8)))</x:f>
      </x:c>
      <x:c r="B739" s="50" t="str">
        <x:f>IF(731&gt;$H$4,"",IF(INDEX('Fleet dates'!$B$9:$B$1008,$I739-8)="","",INDEX('Fleet dates'!$B$9:$B$1008,$I739-8)))</x:f>
      </x:c>
      <x:c r="C739" s="51" t="str">
        <x:f>IF(731&gt;$H$4,"",IF(INDEX('Fleet dates'!$C$9:$C$1008,$I739-8)="","",INDEX('Fleet dates'!$C$9:$C$1008,$I739-8)))</x:f>
      </x:c>
      <x:c r="D739" s="51" t="str">
        <x:f>IF(731&gt;$H$4,"",IF(INDEX('Fleet dates'!$D$9:$D$1008,$I739-8)="","",INDEX('Fleet dates'!$D$9:$D$1008,$I739-8)))</x:f>
      </x:c>
      <x:c r="E739" s="51" t="str">
        <x:f>IF(731&gt;$H$4,"",IF(INDEX('Fleet dates'!$E$9:$E$1008,$I739-8)="","",INDEX('Fleet dates'!$E$9:$E$1008,$I739-8)))</x:f>
      </x:c>
      <x:c r="F739" s="51" t="str">
        <x:f>IF(731&gt;$H$4,"",IF(INDEX('Fleet dates'!$F$9:$F$1008,$I739-8)="","",INDEX('Fleet dates'!$F$9:$F$1008,$I739-8)))</x:f>
      </x:c>
      <x:c r="G739" s="50" t="str">
        <x:f>IF(731&gt;$H$4,"",IF(INDEX('Fleet dates'!$G$9:$G$1008,$I739-8)="","",INDEX('Fleet dates'!$G$9:$G$1008,$I739-8)))</x:f>
      </x:c>
      <x:c r="H739" s="50" t="str">
        <x:f>IF(731&gt;$H$4,"",IF(INDEX('Fleet dates'!$I$9:$I$1008,$I739-8)="","",INDEX('Fleet dates'!$I$9:$I$1008,$I739-8)))</x:f>
      </x:c>
      <x:c r="I739" t="str">
        <x:f>IF(731&gt;$H$4,"",MATCH(731,'Fleet dates'!$M$9:$M$1008,0)+8)</x:f>
      </x:c>
    </x:row>
    <x:row r="740" ht="36" customHeight="1">
      <x:c r="A740" s="50" t="str">
        <x:f>IF(732&gt;$H$4,"",IF(INDEX('Fleet dates'!$A$9:$A$1008,$I740-8)="","",INDEX('Fleet dates'!$A$9:$A$1008,$I740-8)))</x:f>
      </x:c>
      <x:c r="B740" s="50" t="str">
        <x:f>IF(732&gt;$H$4,"",IF(INDEX('Fleet dates'!$B$9:$B$1008,$I740-8)="","",INDEX('Fleet dates'!$B$9:$B$1008,$I740-8)))</x:f>
      </x:c>
      <x:c r="C740" s="51" t="str">
        <x:f>IF(732&gt;$H$4,"",IF(INDEX('Fleet dates'!$C$9:$C$1008,$I740-8)="","",INDEX('Fleet dates'!$C$9:$C$1008,$I740-8)))</x:f>
      </x:c>
      <x:c r="D740" s="51" t="str">
        <x:f>IF(732&gt;$H$4,"",IF(INDEX('Fleet dates'!$D$9:$D$1008,$I740-8)="","",INDEX('Fleet dates'!$D$9:$D$1008,$I740-8)))</x:f>
      </x:c>
      <x:c r="E740" s="51" t="str">
        <x:f>IF(732&gt;$H$4,"",IF(INDEX('Fleet dates'!$E$9:$E$1008,$I740-8)="","",INDEX('Fleet dates'!$E$9:$E$1008,$I740-8)))</x:f>
      </x:c>
      <x:c r="F740" s="51" t="str">
        <x:f>IF(732&gt;$H$4,"",IF(INDEX('Fleet dates'!$F$9:$F$1008,$I740-8)="","",INDEX('Fleet dates'!$F$9:$F$1008,$I740-8)))</x:f>
      </x:c>
      <x:c r="G740" s="50" t="str">
        <x:f>IF(732&gt;$H$4,"",IF(INDEX('Fleet dates'!$G$9:$G$1008,$I740-8)="","",INDEX('Fleet dates'!$G$9:$G$1008,$I740-8)))</x:f>
      </x:c>
      <x:c r="H740" s="50" t="str">
        <x:f>IF(732&gt;$H$4,"",IF(INDEX('Fleet dates'!$I$9:$I$1008,$I740-8)="","",INDEX('Fleet dates'!$I$9:$I$1008,$I740-8)))</x:f>
      </x:c>
      <x:c r="I740" t="str">
        <x:f>IF(732&gt;$H$4,"",MATCH(732,'Fleet dates'!$M$9:$M$1008,0)+8)</x:f>
      </x:c>
    </x:row>
    <x:row r="741" ht="36" customHeight="1">
      <x:c r="A741" s="50" t="str">
        <x:f>IF(733&gt;$H$4,"",IF(INDEX('Fleet dates'!$A$9:$A$1008,$I741-8)="","",INDEX('Fleet dates'!$A$9:$A$1008,$I741-8)))</x:f>
      </x:c>
      <x:c r="B741" s="50" t="str">
        <x:f>IF(733&gt;$H$4,"",IF(INDEX('Fleet dates'!$B$9:$B$1008,$I741-8)="","",INDEX('Fleet dates'!$B$9:$B$1008,$I741-8)))</x:f>
      </x:c>
      <x:c r="C741" s="51" t="str">
        <x:f>IF(733&gt;$H$4,"",IF(INDEX('Fleet dates'!$C$9:$C$1008,$I741-8)="","",INDEX('Fleet dates'!$C$9:$C$1008,$I741-8)))</x:f>
      </x:c>
      <x:c r="D741" s="51" t="str">
        <x:f>IF(733&gt;$H$4,"",IF(INDEX('Fleet dates'!$D$9:$D$1008,$I741-8)="","",INDEX('Fleet dates'!$D$9:$D$1008,$I741-8)))</x:f>
      </x:c>
      <x:c r="E741" s="51" t="str">
        <x:f>IF(733&gt;$H$4,"",IF(INDEX('Fleet dates'!$E$9:$E$1008,$I741-8)="","",INDEX('Fleet dates'!$E$9:$E$1008,$I741-8)))</x:f>
      </x:c>
      <x:c r="F741" s="51" t="str">
        <x:f>IF(733&gt;$H$4,"",IF(INDEX('Fleet dates'!$F$9:$F$1008,$I741-8)="","",INDEX('Fleet dates'!$F$9:$F$1008,$I741-8)))</x:f>
      </x:c>
      <x:c r="G741" s="50" t="str">
        <x:f>IF(733&gt;$H$4,"",IF(INDEX('Fleet dates'!$G$9:$G$1008,$I741-8)="","",INDEX('Fleet dates'!$G$9:$G$1008,$I741-8)))</x:f>
      </x:c>
      <x:c r="H741" s="50" t="str">
        <x:f>IF(733&gt;$H$4,"",IF(INDEX('Fleet dates'!$I$9:$I$1008,$I741-8)="","",INDEX('Fleet dates'!$I$9:$I$1008,$I741-8)))</x:f>
      </x:c>
      <x:c r="I741" t="str">
        <x:f>IF(733&gt;$H$4,"",MATCH(733,'Fleet dates'!$M$9:$M$1008,0)+8)</x:f>
      </x:c>
    </x:row>
    <x:row r="742" ht="36" customHeight="1">
      <x:c r="A742" s="50" t="str">
        <x:f>IF(734&gt;$H$4,"",IF(INDEX('Fleet dates'!$A$9:$A$1008,$I742-8)="","",INDEX('Fleet dates'!$A$9:$A$1008,$I742-8)))</x:f>
      </x:c>
      <x:c r="B742" s="50" t="str">
        <x:f>IF(734&gt;$H$4,"",IF(INDEX('Fleet dates'!$B$9:$B$1008,$I742-8)="","",INDEX('Fleet dates'!$B$9:$B$1008,$I742-8)))</x:f>
      </x:c>
      <x:c r="C742" s="51" t="str">
        <x:f>IF(734&gt;$H$4,"",IF(INDEX('Fleet dates'!$C$9:$C$1008,$I742-8)="","",INDEX('Fleet dates'!$C$9:$C$1008,$I742-8)))</x:f>
      </x:c>
      <x:c r="D742" s="51" t="str">
        <x:f>IF(734&gt;$H$4,"",IF(INDEX('Fleet dates'!$D$9:$D$1008,$I742-8)="","",INDEX('Fleet dates'!$D$9:$D$1008,$I742-8)))</x:f>
      </x:c>
      <x:c r="E742" s="51" t="str">
        <x:f>IF(734&gt;$H$4,"",IF(INDEX('Fleet dates'!$E$9:$E$1008,$I742-8)="","",INDEX('Fleet dates'!$E$9:$E$1008,$I742-8)))</x:f>
      </x:c>
      <x:c r="F742" s="51" t="str">
        <x:f>IF(734&gt;$H$4,"",IF(INDEX('Fleet dates'!$F$9:$F$1008,$I742-8)="","",INDEX('Fleet dates'!$F$9:$F$1008,$I742-8)))</x:f>
      </x:c>
      <x:c r="G742" s="50" t="str">
        <x:f>IF(734&gt;$H$4,"",IF(INDEX('Fleet dates'!$G$9:$G$1008,$I742-8)="","",INDEX('Fleet dates'!$G$9:$G$1008,$I742-8)))</x:f>
      </x:c>
      <x:c r="H742" s="50" t="str">
        <x:f>IF(734&gt;$H$4,"",IF(INDEX('Fleet dates'!$I$9:$I$1008,$I742-8)="","",INDEX('Fleet dates'!$I$9:$I$1008,$I742-8)))</x:f>
      </x:c>
      <x:c r="I742" t="str">
        <x:f>IF(734&gt;$H$4,"",MATCH(734,'Fleet dates'!$M$9:$M$1008,0)+8)</x:f>
      </x:c>
    </x:row>
    <x:row r="743" ht="36" customHeight="1">
      <x:c r="A743" s="50" t="str">
        <x:f>IF(735&gt;$H$4,"",IF(INDEX('Fleet dates'!$A$9:$A$1008,$I743-8)="","",INDEX('Fleet dates'!$A$9:$A$1008,$I743-8)))</x:f>
      </x:c>
      <x:c r="B743" s="50" t="str">
        <x:f>IF(735&gt;$H$4,"",IF(INDEX('Fleet dates'!$B$9:$B$1008,$I743-8)="","",INDEX('Fleet dates'!$B$9:$B$1008,$I743-8)))</x:f>
      </x:c>
      <x:c r="C743" s="51" t="str">
        <x:f>IF(735&gt;$H$4,"",IF(INDEX('Fleet dates'!$C$9:$C$1008,$I743-8)="","",INDEX('Fleet dates'!$C$9:$C$1008,$I743-8)))</x:f>
      </x:c>
      <x:c r="D743" s="51" t="str">
        <x:f>IF(735&gt;$H$4,"",IF(INDEX('Fleet dates'!$D$9:$D$1008,$I743-8)="","",INDEX('Fleet dates'!$D$9:$D$1008,$I743-8)))</x:f>
      </x:c>
      <x:c r="E743" s="51" t="str">
        <x:f>IF(735&gt;$H$4,"",IF(INDEX('Fleet dates'!$E$9:$E$1008,$I743-8)="","",INDEX('Fleet dates'!$E$9:$E$1008,$I743-8)))</x:f>
      </x:c>
      <x:c r="F743" s="51" t="str">
        <x:f>IF(735&gt;$H$4,"",IF(INDEX('Fleet dates'!$F$9:$F$1008,$I743-8)="","",INDEX('Fleet dates'!$F$9:$F$1008,$I743-8)))</x:f>
      </x:c>
      <x:c r="G743" s="50" t="str">
        <x:f>IF(735&gt;$H$4,"",IF(INDEX('Fleet dates'!$G$9:$G$1008,$I743-8)="","",INDEX('Fleet dates'!$G$9:$G$1008,$I743-8)))</x:f>
      </x:c>
      <x:c r="H743" s="50" t="str">
        <x:f>IF(735&gt;$H$4,"",IF(INDEX('Fleet dates'!$I$9:$I$1008,$I743-8)="","",INDEX('Fleet dates'!$I$9:$I$1008,$I743-8)))</x:f>
      </x:c>
      <x:c r="I743" t="str">
        <x:f>IF(735&gt;$H$4,"",MATCH(735,'Fleet dates'!$M$9:$M$1008,0)+8)</x:f>
      </x:c>
    </x:row>
    <x:row r="744" ht="36" customHeight="1">
      <x:c r="A744" s="50" t="str">
        <x:f>IF(736&gt;$H$4,"",IF(INDEX('Fleet dates'!$A$9:$A$1008,$I744-8)="","",INDEX('Fleet dates'!$A$9:$A$1008,$I744-8)))</x:f>
      </x:c>
      <x:c r="B744" s="50" t="str">
        <x:f>IF(736&gt;$H$4,"",IF(INDEX('Fleet dates'!$B$9:$B$1008,$I744-8)="","",INDEX('Fleet dates'!$B$9:$B$1008,$I744-8)))</x:f>
      </x:c>
      <x:c r="C744" s="51" t="str">
        <x:f>IF(736&gt;$H$4,"",IF(INDEX('Fleet dates'!$C$9:$C$1008,$I744-8)="","",INDEX('Fleet dates'!$C$9:$C$1008,$I744-8)))</x:f>
      </x:c>
      <x:c r="D744" s="51" t="str">
        <x:f>IF(736&gt;$H$4,"",IF(INDEX('Fleet dates'!$D$9:$D$1008,$I744-8)="","",INDEX('Fleet dates'!$D$9:$D$1008,$I744-8)))</x:f>
      </x:c>
      <x:c r="E744" s="51" t="str">
        <x:f>IF(736&gt;$H$4,"",IF(INDEX('Fleet dates'!$E$9:$E$1008,$I744-8)="","",INDEX('Fleet dates'!$E$9:$E$1008,$I744-8)))</x:f>
      </x:c>
      <x:c r="F744" s="51" t="str">
        <x:f>IF(736&gt;$H$4,"",IF(INDEX('Fleet dates'!$F$9:$F$1008,$I744-8)="","",INDEX('Fleet dates'!$F$9:$F$1008,$I744-8)))</x:f>
      </x:c>
      <x:c r="G744" s="50" t="str">
        <x:f>IF(736&gt;$H$4,"",IF(INDEX('Fleet dates'!$G$9:$G$1008,$I744-8)="","",INDEX('Fleet dates'!$G$9:$G$1008,$I744-8)))</x:f>
      </x:c>
      <x:c r="H744" s="50" t="str">
        <x:f>IF(736&gt;$H$4,"",IF(INDEX('Fleet dates'!$I$9:$I$1008,$I744-8)="","",INDEX('Fleet dates'!$I$9:$I$1008,$I744-8)))</x:f>
      </x:c>
      <x:c r="I744" t="str">
        <x:f>IF(736&gt;$H$4,"",MATCH(736,'Fleet dates'!$M$9:$M$1008,0)+8)</x:f>
      </x:c>
    </x:row>
    <x:row r="745" ht="36" customHeight="1">
      <x:c r="A745" s="50" t="str">
        <x:f>IF(737&gt;$H$4,"",IF(INDEX('Fleet dates'!$A$9:$A$1008,$I745-8)="","",INDEX('Fleet dates'!$A$9:$A$1008,$I745-8)))</x:f>
      </x:c>
      <x:c r="B745" s="50" t="str">
        <x:f>IF(737&gt;$H$4,"",IF(INDEX('Fleet dates'!$B$9:$B$1008,$I745-8)="","",INDEX('Fleet dates'!$B$9:$B$1008,$I745-8)))</x:f>
      </x:c>
      <x:c r="C745" s="51" t="str">
        <x:f>IF(737&gt;$H$4,"",IF(INDEX('Fleet dates'!$C$9:$C$1008,$I745-8)="","",INDEX('Fleet dates'!$C$9:$C$1008,$I745-8)))</x:f>
      </x:c>
      <x:c r="D745" s="51" t="str">
        <x:f>IF(737&gt;$H$4,"",IF(INDEX('Fleet dates'!$D$9:$D$1008,$I745-8)="","",INDEX('Fleet dates'!$D$9:$D$1008,$I745-8)))</x:f>
      </x:c>
      <x:c r="E745" s="51" t="str">
        <x:f>IF(737&gt;$H$4,"",IF(INDEX('Fleet dates'!$E$9:$E$1008,$I745-8)="","",INDEX('Fleet dates'!$E$9:$E$1008,$I745-8)))</x:f>
      </x:c>
      <x:c r="F745" s="51" t="str">
        <x:f>IF(737&gt;$H$4,"",IF(INDEX('Fleet dates'!$F$9:$F$1008,$I745-8)="","",INDEX('Fleet dates'!$F$9:$F$1008,$I745-8)))</x:f>
      </x:c>
      <x:c r="G745" s="50" t="str">
        <x:f>IF(737&gt;$H$4,"",IF(INDEX('Fleet dates'!$G$9:$G$1008,$I745-8)="","",INDEX('Fleet dates'!$G$9:$G$1008,$I745-8)))</x:f>
      </x:c>
      <x:c r="H745" s="50" t="str">
        <x:f>IF(737&gt;$H$4,"",IF(INDEX('Fleet dates'!$I$9:$I$1008,$I745-8)="","",INDEX('Fleet dates'!$I$9:$I$1008,$I745-8)))</x:f>
      </x:c>
      <x:c r="I745" t="str">
        <x:f>IF(737&gt;$H$4,"",MATCH(737,'Fleet dates'!$M$9:$M$1008,0)+8)</x:f>
      </x:c>
    </x:row>
    <x:row r="746" ht="36" customHeight="1">
      <x:c r="A746" s="50" t="str">
        <x:f>IF(738&gt;$H$4,"",IF(INDEX('Fleet dates'!$A$9:$A$1008,$I746-8)="","",INDEX('Fleet dates'!$A$9:$A$1008,$I746-8)))</x:f>
      </x:c>
      <x:c r="B746" s="50" t="str">
        <x:f>IF(738&gt;$H$4,"",IF(INDEX('Fleet dates'!$B$9:$B$1008,$I746-8)="","",INDEX('Fleet dates'!$B$9:$B$1008,$I746-8)))</x:f>
      </x:c>
      <x:c r="C746" s="51" t="str">
        <x:f>IF(738&gt;$H$4,"",IF(INDEX('Fleet dates'!$C$9:$C$1008,$I746-8)="","",INDEX('Fleet dates'!$C$9:$C$1008,$I746-8)))</x:f>
      </x:c>
      <x:c r="D746" s="51" t="str">
        <x:f>IF(738&gt;$H$4,"",IF(INDEX('Fleet dates'!$D$9:$D$1008,$I746-8)="","",INDEX('Fleet dates'!$D$9:$D$1008,$I746-8)))</x:f>
      </x:c>
      <x:c r="E746" s="51" t="str">
        <x:f>IF(738&gt;$H$4,"",IF(INDEX('Fleet dates'!$E$9:$E$1008,$I746-8)="","",INDEX('Fleet dates'!$E$9:$E$1008,$I746-8)))</x:f>
      </x:c>
      <x:c r="F746" s="51" t="str">
        <x:f>IF(738&gt;$H$4,"",IF(INDEX('Fleet dates'!$F$9:$F$1008,$I746-8)="","",INDEX('Fleet dates'!$F$9:$F$1008,$I746-8)))</x:f>
      </x:c>
      <x:c r="G746" s="50" t="str">
        <x:f>IF(738&gt;$H$4,"",IF(INDEX('Fleet dates'!$G$9:$G$1008,$I746-8)="","",INDEX('Fleet dates'!$G$9:$G$1008,$I746-8)))</x:f>
      </x:c>
      <x:c r="H746" s="50" t="str">
        <x:f>IF(738&gt;$H$4,"",IF(INDEX('Fleet dates'!$I$9:$I$1008,$I746-8)="","",INDEX('Fleet dates'!$I$9:$I$1008,$I746-8)))</x:f>
      </x:c>
      <x:c r="I746" t="str">
        <x:f>IF(738&gt;$H$4,"",MATCH(738,'Fleet dates'!$M$9:$M$1008,0)+8)</x:f>
      </x:c>
    </x:row>
    <x:row r="747" ht="36" customHeight="1">
      <x:c r="A747" s="50" t="str">
        <x:f>IF(739&gt;$H$4,"",IF(INDEX('Fleet dates'!$A$9:$A$1008,$I747-8)="","",INDEX('Fleet dates'!$A$9:$A$1008,$I747-8)))</x:f>
      </x:c>
      <x:c r="B747" s="50" t="str">
        <x:f>IF(739&gt;$H$4,"",IF(INDEX('Fleet dates'!$B$9:$B$1008,$I747-8)="","",INDEX('Fleet dates'!$B$9:$B$1008,$I747-8)))</x:f>
      </x:c>
      <x:c r="C747" s="51" t="str">
        <x:f>IF(739&gt;$H$4,"",IF(INDEX('Fleet dates'!$C$9:$C$1008,$I747-8)="","",INDEX('Fleet dates'!$C$9:$C$1008,$I747-8)))</x:f>
      </x:c>
      <x:c r="D747" s="51" t="str">
        <x:f>IF(739&gt;$H$4,"",IF(INDEX('Fleet dates'!$D$9:$D$1008,$I747-8)="","",INDEX('Fleet dates'!$D$9:$D$1008,$I747-8)))</x:f>
      </x:c>
      <x:c r="E747" s="51" t="str">
        <x:f>IF(739&gt;$H$4,"",IF(INDEX('Fleet dates'!$E$9:$E$1008,$I747-8)="","",INDEX('Fleet dates'!$E$9:$E$1008,$I747-8)))</x:f>
      </x:c>
      <x:c r="F747" s="51" t="str">
        <x:f>IF(739&gt;$H$4,"",IF(INDEX('Fleet dates'!$F$9:$F$1008,$I747-8)="","",INDEX('Fleet dates'!$F$9:$F$1008,$I747-8)))</x:f>
      </x:c>
      <x:c r="G747" s="50" t="str">
        <x:f>IF(739&gt;$H$4,"",IF(INDEX('Fleet dates'!$G$9:$G$1008,$I747-8)="","",INDEX('Fleet dates'!$G$9:$G$1008,$I747-8)))</x:f>
      </x:c>
      <x:c r="H747" s="50" t="str">
        <x:f>IF(739&gt;$H$4,"",IF(INDEX('Fleet dates'!$I$9:$I$1008,$I747-8)="","",INDEX('Fleet dates'!$I$9:$I$1008,$I747-8)))</x:f>
      </x:c>
      <x:c r="I747" t="str">
        <x:f>IF(739&gt;$H$4,"",MATCH(739,'Fleet dates'!$M$9:$M$1008,0)+8)</x:f>
      </x:c>
    </x:row>
    <x:row r="748" ht="36" customHeight="1">
      <x:c r="A748" s="50" t="str">
        <x:f>IF(740&gt;$H$4,"",IF(INDEX('Fleet dates'!$A$9:$A$1008,$I748-8)="","",INDEX('Fleet dates'!$A$9:$A$1008,$I748-8)))</x:f>
      </x:c>
      <x:c r="B748" s="50" t="str">
        <x:f>IF(740&gt;$H$4,"",IF(INDEX('Fleet dates'!$B$9:$B$1008,$I748-8)="","",INDEX('Fleet dates'!$B$9:$B$1008,$I748-8)))</x:f>
      </x:c>
      <x:c r="C748" s="51" t="str">
        <x:f>IF(740&gt;$H$4,"",IF(INDEX('Fleet dates'!$C$9:$C$1008,$I748-8)="","",INDEX('Fleet dates'!$C$9:$C$1008,$I748-8)))</x:f>
      </x:c>
      <x:c r="D748" s="51" t="str">
        <x:f>IF(740&gt;$H$4,"",IF(INDEX('Fleet dates'!$D$9:$D$1008,$I748-8)="","",INDEX('Fleet dates'!$D$9:$D$1008,$I748-8)))</x:f>
      </x:c>
      <x:c r="E748" s="51" t="str">
        <x:f>IF(740&gt;$H$4,"",IF(INDEX('Fleet dates'!$E$9:$E$1008,$I748-8)="","",INDEX('Fleet dates'!$E$9:$E$1008,$I748-8)))</x:f>
      </x:c>
      <x:c r="F748" s="51" t="str">
        <x:f>IF(740&gt;$H$4,"",IF(INDEX('Fleet dates'!$F$9:$F$1008,$I748-8)="","",INDEX('Fleet dates'!$F$9:$F$1008,$I748-8)))</x:f>
      </x:c>
      <x:c r="G748" s="50" t="str">
        <x:f>IF(740&gt;$H$4,"",IF(INDEX('Fleet dates'!$G$9:$G$1008,$I748-8)="","",INDEX('Fleet dates'!$G$9:$G$1008,$I748-8)))</x:f>
      </x:c>
      <x:c r="H748" s="50" t="str">
        <x:f>IF(740&gt;$H$4,"",IF(INDEX('Fleet dates'!$I$9:$I$1008,$I748-8)="","",INDEX('Fleet dates'!$I$9:$I$1008,$I748-8)))</x:f>
      </x:c>
      <x:c r="I748" t="str">
        <x:f>IF(740&gt;$H$4,"",MATCH(740,'Fleet dates'!$M$9:$M$1008,0)+8)</x:f>
      </x:c>
    </x:row>
    <x:row r="749" ht="36" customHeight="1">
      <x:c r="A749" s="50" t="str">
        <x:f>IF(741&gt;$H$4,"",IF(INDEX('Fleet dates'!$A$9:$A$1008,$I749-8)="","",INDEX('Fleet dates'!$A$9:$A$1008,$I749-8)))</x:f>
      </x:c>
      <x:c r="B749" s="50" t="str">
        <x:f>IF(741&gt;$H$4,"",IF(INDEX('Fleet dates'!$B$9:$B$1008,$I749-8)="","",INDEX('Fleet dates'!$B$9:$B$1008,$I749-8)))</x:f>
      </x:c>
      <x:c r="C749" s="51" t="str">
        <x:f>IF(741&gt;$H$4,"",IF(INDEX('Fleet dates'!$C$9:$C$1008,$I749-8)="","",INDEX('Fleet dates'!$C$9:$C$1008,$I749-8)))</x:f>
      </x:c>
      <x:c r="D749" s="51" t="str">
        <x:f>IF(741&gt;$H$4,"",IF(INDEX('Fleet dates'!$D$9:$D$1008,$I749-8)="","",INDEX('Fleet dates'!$D$9:$D$1008,$I749-8)))</x:f>
      </x:c>
      <x:c r="E749" s="51" t="str">
        <x:f>IF(741&gt;$H$4,"",IF(INDEX('Fleet dates'!$E$9:$E$1008,$I749-8)="","",INDEX('Fleet dates'!$E$9:$E$1008,$I749-8)))</x:f>
      </x:c>
      <x:c r="F749" s="51" t="str">
        <x:f>IF(741&gt;$H$4,"",IF(INDEX('Fleet dates'!$F$9:$F$1008,$I749-8)="","",INDEX('Fleet dates'!$F$9:$F$1008,$I749-8)))</x:f>
      </x:c>
      <x:c r="G749" s="50" t="str">
        <x:f>IF(741&gt;$H$4,"",IF(INDEX('Fleet dates'!$G$9:$G$1008,$I749-8)="","",INDEX('Fleet dates'!$G$9:$G$1008,$I749-8)))</x:f>
      </x:c>
      <x:c r="H749" s="50" t="str">
        <x:f>IF(741&gt;$H$4,"",IF(INDEX('Fleet dates'!$I$9:$I$1008,$I749-8)="","",INDEX('Fleet dates'!$I$9:$I$1008,$I749-8)))</x:f>
      </x:c>
      <x:c r="I749" t="str">
        <x:f>IF(741&gt;$H$4,"",MATCH(741,'Fleet dates'!$M$9:$M$1008,0)+8)</x:f>
      </x:c>
    </x:row>
    <x:row r="750" ht="36" customHeight="1">
      <x:c r="A750" s="50" t="str">
        <x:f>IF(742&gt;$H$4,"",IF(INDEX('Fleet dates'!$A$9:$A$1008,$I750-8)="","",INDEX('Fleet dates'!$A$9:$A$1008,$I750-8)))</x:f>
      </x:c>
      <x:c r="B750" s="50" t="str">
        <x:f>IF(742&gt;$H$4,"",IF(INDEX('Fleet dates'!$B$9:$B$1008,$I750-8)="","",INDEX('Fleet dates'!$B$9:$B$1008,$I750-8)))</x:f>
      </x:c>
      <x:c r="C750" s="51" t="str">
        <x:f>IF(742&gt;$H$4,"",IF(INDEX('Fleet dates'!$C$9:$C$1008,$I750-8)="","",INDEX('Fleet dates'!$C$9:$C$1008,$I750-8)))</x:f>
      </x:c>
      <x:c r="D750" s="51" t="str">
        <x:f>IF(742&gt;$H$4,"",IF(INDEX('Fleet dates'!$D$9:$D$1008,$I750-8)="","",INDEX('Fleet dates'!$D$9:$D$1008,$I750-8)))</x:f>
      </x:c>
      <x:c r="E750" s="51" t="str">
        <x:f>IF(742&gt;$H$4,"",IF(INDEX('Fleet dates'!$E$9:$E$1008,$I750-8)="","",INDEX('Fleet dates'!$E$9:$E$1008,$I750-8)))</x:f>
      </x:c>
      <x:c r="F750" s="51" t="str">
        <x:f>IF(742&gt;$H$4,"",IF(INDEX('Fleet dates'!$F$9:$F$1008,$I750-8)="","",INDEX('Fleet dates'!$F$9:$F$1008,$I750-8)))</x:f>
      </x:c>
      <x:c r="G750" s="50" t="str">
        <x:f>IF(742&gt;$H$4,"",IF(INDEX('Fleet dates'!$G$9:$G$1008,$I750-8)="","",INDEX('Fleet dates'!$G$9:$G$1008,$I750-8)))</x:f>
      </x:c>
      <x:c r="H750" s="50" t="str">
        <x:f>IF(742&gt;$H$4,"",IF(INDEX('Fleet dates'!$I$9:$I$1008,$I750-8)="","",INDEX('Fleet dates'!$I$9:$I$1008,$I750-8)))</x:f>
      </x:c>
      <x:c r="I750" t="str">
        <x:f>IF(742&gt;$H$4,"",MATCH(742,'Fleet dates'!$M$9:$M$1008,0)+8)</x:f>
      </x:c>
    </x:row>
    <x:row r="751" ht="36" customHeight="1">
      <x:c r="A751" s="50" t="str">
        <x:f>IF(743&gt;$H$4,"",IF(INDEX('Fleet dates'!$A$9:$A$1008,$I751-8)="","",INDEX('Fleet dates'!$A$9:$A$1008,$I751-8)))</x:f>
      </x:c>
      <x:c r="B751" s="50" t="str">
        <x:f>IF(743&gt;$H$4,"",IF(INDEX('Fleet dates'!$B$9:$B$1008,$I751-8)="","",INDEX('Fleet dates'!$B$9:$B$1008,$I751-8)))</x:f>
      </x:c>
      <x:c r="C751" s="51" t="str">
        <x:f>IF(743&gt;$H$4,"",IF(INDEX('Fleet dates'!$C$9:$C$1008,$I751-8)="","",INDEX('Fleet dates'!$C$9:$C$1008,$I751-8)))</x:f>
      </x:c>
      <x:c r="D751" s="51" t="str">
        <x:f>IF(743&gt;$H$4,"",IF(INDEX('Fleet dates'!$D$9:$D$1008,$I751-8)="","",INDEX('Fleet dates'!$D$9:$D$1008,$I751-8)))</x:f>
      </x:c>
      <x:c r="E751" s="51" t="str">
        <x:f>IF(743&gt;$H$4,"",IF(INDEX('Fleet dates'!$E$9:$E$1008,$I751-8)="","",INDEX('Fleet dates'!$E$9:$E$1008,$I751-8)))</x:f>
      </x:c>
      <x:c r="F751" s="51" t="str">
        <x:f>IF(743&gt;$H$4,"",IF(INDEX('Fleet dates'!$F$9:$F$1008,$I751-8)="","",INDEX('Fleet dates'!$F$9:$F$1008,$I751-8)))</x:f>
      </x:c>
      <x:c r="G751" s="50" t="str">
        <x:f>IF(743&gt;$H$4,"",IF(INDEX('Fleet dates'!$G$9:$G$1008,$I751-8)="","",INDEX('Fleet dates'!$G$9:$G$1008,$I751-8)))</x:f>
      </x:c>
      <x:c r="H751" s="50" t="str">
        <x:f>IF(743&gt;$H$4,"",IF(INDEX('Fleet dates'!$I$9:$I$1008,$I751-8)="","",INDEX('Fleet dates'!$I$9:$I$1008,$I751-8)))</x:f>
      </x:c>
      <x:c r="I751" t="str">
        <x:f>IF(743&gt;$H$4,"",MATCH(743,'Fleet dates'!$M$9:$M$1008,0)+8)</x:f>
      </x:c>
    </x:row>
    <x:row r="752" ht="36" customHeight="1">
      <x:c r="A752" s="50" t="str">
        <x:f>IF(744&gt;$H$4,"",IF(INDEX('Fleet dates'!$A$9:$A$1008,$I752-8)="","",INDEX('Fleet dates'!$A$9:$A$1008,$I752-8)))</x:f>
      </x:c>
      <x:c r="B752" s="50" t="str">
        <x:f>IF(744&gt;$H$4,"",IF(INDEX('Fleet dates'!$B$9:$B$1008,$I752-8)="","",INDEX('Fleet dates'!$B$9:$B$1008,$I752-8)))</x:f>
      </x:c>
      <x:c r="C752" s="51" t="str">
        <x:f>IF(744&gt;$H$4,"",IF(INDEX('Fleet dates'!$C$9:$C$1008,$I752-8)="","",INDEX('Fleet dates'!$C$9:$C$1008,$I752-8)))</x:f>
      </x:c>
      <x:c r="D752" s="51" t="str">
        <x:f>IF(744&gt;$H$4,"",IF(INDEX('Fleet dates'!$D$9:$D$1008,$I752-8)="","",INDEX('Fleet dates'!$D$9:$D$1008,$I752-8)))</x:f>
      </x:c>
      <x:c r="E752" s="51" t="str">
        <x:f>IF(744&gt;$H$4,"",IF(INDEX('Fleet dates'!$E$9:$E$1008,$I752-8)="","",INDEX('Fleet dates'!$E$9:$E$1008,$I752-8)))</x:f>
      </x:c>
      <x:c r="F752" s="51" t="str">
        <x:f>IF(744&gt;$H$4,"",IF(INDEX('Fleet dates'!$F$9:$F$1008,$I752-8)="","",INDEX('Fleet dates'!$F$9:$F$1008,$I752-8)))</x:f>
      </x:c>
      <x:c r="G752" s="50" t="str">
        <x:f>IF(744&gt;$H$4,"",IF(INDEX('Fleet dates'!$G$9:$G$1008,$I752-8)="","",INDEX('Fleet dates'!$G$9:$G$1008,$I752-8)))</x:f>
      </x:c>
      <x:c r="H752" s="50" t="str">
        <x:f>IF(744&gt;$H$4,"",IF(INDEX('Fleet dates'!$I$9:$I$1008,$I752-8)="","",INDEX('Fleet dates'!$I$9:$I$1008,$I752-8)))</x:f>
      </x:c>
      <x:c r="I752" t="str">
        <x:f>IF(744&gt;$H$4,"",MATCH(744,'Fleet dates'!$M$9:$M$1008,0)+8)</x:f>
      </x:c>
    </x:row>
    <x:row r="753" ht="36" customHeight="1">
      <x:c r="A753" s="50" t="str">
        <x:f>IF(745&gt;$H$4,"",IF(INDEX('Fleet dates'!$A$9:$A$1008,$I753-8)="","",INDEX('Fleet dates'!$A$9:$A$1008,$I753-8)))</x:f>
      </x:c>
      <x:c r="B753" s="50" t="str">
        <x:f>IF(745&gt;$H$4,"",IF(INDEX('Fleet dates'!$B$9:$B$1008,$I753-8)="","",INDEX('Fleet dates'!$B$9:$B$1008,$I753-8)))</x:f>
      </x:c>
      <x:c r="C753" s="51" t="str">
        <x:f>IF(745&gt;$H$4,"",IF(INDEX('Fleet dates'!$C$9:$C$1008,$I753-8)="","",INDEX('Fleet dates'!$C$9:$C$1008,$I753-8)))</x:f>
      </x:c>
      <x:c r="D753" s="51" t="str">
        <x:f>IF(745&gt;$H$4,"",IF(INDEX('Fleet dates'!$D$9:$D$1008,$I753-8)="","",INDEX('Fleet dates'!$D$9:$D$1008,$I753-8)))</x:f>
      </x:c>
      <x:c r="E753" s="51" t="str">
        <x:f>IF(745&gt;$H$4,"",IF(INDEX('Fleet dates'!$E$9:$E$1008,$I753-8)="","",INDEX('Fleet dates'!$E$9:$E$1008,$I753-8)))</x:f>
      </x:c>
      <x:c r="F753" s="51" t="str">
        <x:f>IF(745&gt;$H$4,"",IF(INDEX('Fleet dates'!$F$9:$F$1008,$I753-8)="","",INDEX('Fleet dates'!$F$9:$F$1008,$I753-8)))</x:f>
      </x:c>
      <x:c r="G753" s="50" t="str">
        <x:f>IF(745&gt;$H$4,"",IF(INDEX('Fleet dates'!$G$9:$G$1008,$I753-8)="","",INDEX('Fleet dates'!$G$9:$G$1008,$I753-8)))</x:f>
      </x:c>
      <x:c r="H753" s="50" t="str">
        <x:f>IF(745&gt;$H$4,"",IF(INDEX('Fleet dates'!$I$9:$I$1008,$I753-8)="","",INDEX('Fleet dates'!$I$9:$I$1008,$I753-8)))</x:f>
      </x:c>
      <x:c r="I753" t="str">
        <x:f>IF(745&gt;$H$4,"",MATCH(745,'Fleet dates'!$M$9:$M$1008,0)+8)</x:f>
      </x:c>
    </x:row>
    <x:row r="754" ht="36" customHeight="1">
      <x:c r="A754" s="50" t="str">
        <x:f>IF(746&gt;$H$4,"",IF(INDEX('Fleet dates'!$A$9:$A$1008,$I754-8)="","",INDEX('Fleet dates'!$A$9:$A$1008,$I754-8)))</x:f>
      </x:c>
      <x:c r="B754" s="50" t="str">
        <x:f>IF(746&gt;$H$4,"",IF(INDEX('Fleet dates'!$B$9:$B$1008,$I754-8)="","",INDEX('Fleet dates'!$B$9:$B$1008,$I754-8)))</x:f>
      </x:c>
      <x:c r="C754" s="51" t="str">
        <x:f>IF(746&gt;$H$4,"",IF(INDEX('Fleet dates'!$C$9:$C$1008,$I754-8)="","",INDEX('Fleet dates'!$C$9:$C$1008,$I754-8)))</x:f>
      </x:c>
      <x:c r="D754" s="51" t="str">
        <x:f>IF(746&gt;$H$4,"",IF(INDEX('Fleet dates'!$D$9:$D$1008,$I754-8)="","",INDEX('Fleet dates'!$D$9:$D$1008,$I754-8)))</x:f>
      </x:c>
      <x:c r="E754" s="51" t="str">
        <x:f>IF(746&gt;$H$4,"",IF(INDEX('Fleet dates'!$E$9:$E$1008,$I754-8)="","",INDEX('Fleet dates'!$E$9:$E$1008,$I754-8)))</x:f>
      </x:c>
      <x:c r="F754" s="51" t="str">
        <x:f>IF(746&gt;$H$4,"",IF(INDEX('Fleet dates'!$F$9:$F$1008,$I754-8)="","",INDEX('Fleet dates'!$F$9:$F$1008,$I754-8)))</x:f>
      </x:c>
      <x:c r="G754" s="50" t="str">
        <x:f>IF(746&gt;$H$4,"",IF(INDEX('Fleet dates'!$G$9:$G$1008,$I754-8)="","",INDEX('Fleet dates'!$G$9:$G$1008,$I754-8)))</x:f>
      </x:c>
      <x:c r="H754" s="50" t="str">
        <x:f>IF(746&gt;$H$4,"",IF(INDEX('Fleet dates'!$I$9:$I$1008,$I754-8)="","",INDEX('Fleet dates'!$I$9:$I$1008,$I754-8)))</x:f>
      </x:c>
      <x:c r="I754" t="str">
        <x:f>IF(746&gt;$H$4,"",MATCH(746,'Fleet dates'!$M$9:$M$1008,0)+8)</x:f>
      </x:c>
    </x:row>
    <x:row r="755" ht="36" customHeight="1">
      <x:c r="A755" s="50" t="str">
        <x:f>IF(747&gt;$H$4,"",IF(INDEX('Fleet dates'!$A$9:$A$1008,$I755-8)="","",INDEX('Fleet dates'!$A$9:$A$1008,$I755-8)))</x:f>
      </x:c>
      <x:c r="B755" s="50" t="str">
        <x:f>IF(747&gt;$H$4,"",IF(INDEX('Fleet dates'!$B$9:$B$1008,$I755-8)="","",INDEX('Fleet dates'!$B$9:$B$1008,$I755-8)))</x:f>
      </x:c>
      <x:c r="C755" s="51" t="str">
        <x:f>IF(747&gt;$H$4,"",IF(INDEX('Fleet dates'!$C$9:$C$1008,$I755-8)="","",INDEX('Fleet dates'!$C$9:$C$1008,$I755-8)))</x:f>
      </x:c>
      <x:c r="D755" s="51" t="str">
        <x:f>IF(747&gt;$H$4,"",IF(INDEX('Fleet dates'!$D$9:$D$1008,$I755-8)="","",INDEX('Fleet dates'!$D$9:$D$1008,$I755-8)))</x:f>
      </x:c>
      <x:c r="E755" s="51" t="str">
        <x:f>IF(747&gt;$H$4,"",IF(INDEX('Fleet dates'!$E$9:$E$1008,$I755-8)="","",INDEX('Fleet dates'!$E$9:$E$1008,$I755-8)))</x:f>
      </x:c>
      <x:c r="F755" s="51" t="str">
        <x:f>IF(747&gt;$H$4,"",IF(INDEX('Fleet dates'!$F$9:$F$1008,$I755-8)="","",INDEX('Fleet dates'!$F$9:$F$1008,$I755-8)))</x:f>
      </x:c>
      <x:c r="G755" s="50" t="str">
        <x:f>IF(747&gt;$H$4,"",IF(INDEX('Fleet dates'!$G$9:$G$1008,$I755-8)="","",INDEX('Fleet dates'!$G$9:$G$1008,$I755-8)))</x:f>
      </x:c>
      <x:c r="H755" s="50" t="str">
        <x:f>IF(747&gt;$H$4,"",IF(INDEX('Fleet dates'!$I$9:$I$1008,$I755-8)="","",INDEX('Fleet dates'!$I$9:$I$1008,$I755-8)))</x:f>
      </x:c>
      <x:c r="I755" t="str">
        <x:f>IF(747&gt;$H$4,"",MATCH(747,'Fleet dates'!$M$9:$M$1008,0)+8)</x:f>
      </x:c>
    </x:row>
    <x:row r="756" ht="36" customHeight="1">
      <x:c r="A756" s="50" t="str">
        <x:f>IF(748&gt;$H$4,"",IF(INDEX('Fleet dates'!$A$9:$A$1008,$I756-8)="","",INDEX('Fleet dates'!$A$9:$A$1008,$I756-8)))</x:f>
      </x:c>
      <x:c r="B756" s="50" t="str">
        <x:f>IF(748&gt;$H$4,"",IF(INDEX('Fleet dates'!$B$9:$B$1008,$I756-8)="","",INDEX('Fleet dates'!$B$9:$B$1008,$I756-8)))</x:f>
      </x:c>
      <x:c r="C756" s="51" t="str">
        <x:f>IF(748&gt;$H$4,"",IF(INDEX('Fleet dates'!$C$9:$C$1008,$I756-8)="","",INDEX('Fleet dates'!$C$9:$C$1008,$I756-8)))</x:f>
      </x:c>
      <x:c r="D756" s="51" t="str">
        <x:f>IF(748&gt;$H$4,"",IF(INDEX('Fleet dates'!$D$9:$D$1008,$I756-8)="","",INDEX('Fleet dates'!$D$9:$D$1008,$I756-8)))</x:f>
      </x:c>
      <x:c r="E756" s="51" t="str">
        <x:f>IF(748&gt;$H$4,"",IF(INDEX('Fleet dates'!$E$9:$E$1008,$I756-8)="","",INDEX('Fleet dates'!$E$9:$E$1008,$I756-8)))</x:f>
      </x:c>
      <x:c r="F756" s="51" t="str">
        <x:f>IF(748&gt;$H$4,"",IF(INDEX('Fleet dates'!$F$9:$F$1008,$I756-8)="","",INDEX('Fleet dates'!$F$9:$F$1008,$I756-8)))</x:f>
      </x:c>
      <x:c r="G756" s="50" t="str">
        <x:f>IF(748&gt;$H$4,"",IF(INDEX('Fleet dates'!$G$9:$G$1008,$I756-8)="","",INDEX('Fleet dates'!$G$9:$G$1008,$I756-8)))</x:f>
      </x:c>
      <x:c r="H756" s="50" t="str">
        <x:f>IF(748&gt;$H$4,"",IF(INDEX('Fleet dates'!$I$9:$I$1008,$I756-8)="","",INDEX('Fleet dates'!$I$9:$I$1008,$I756-8)))</x:f>
      </x:c>
      <x:c r="I756" t="str">
        <x:f>IF(748&gt;$H$4,"",MATCH(748,'Fleet dates'!$M$9:$M$1008,0)+8)</x:f>
      </x:c>
    </x:row>
    <x:row r="757" ht="36" customHeight="1">
      <x:c r="A757" s="50" t="str">
        <x:f>IF(749&gt;$H$4,"",IF(INDEX('Fleet dates'!$A$9:$A$1008,$I757-8)="","",INDEX('Fleet dates'!$A$9:$A$1008,$I757-8)))</x:f>
      </x:c>
      <x:c r="B757" s="50" t="str">
        <x:f>IF(749&gt;$H$4,"",IF(INDEX('Fleet dates'!$B$9:$B$1008,$I757-8)="","",INDEX('Fleet dates'!$B$9:$B$1008,$I757-8)))</x:f>
      </x:c>
      <x:c r="C757" s="51" t="str">
        <x:f>IF(749&gt;$H$4,"",IF(INDEX('Fleet dates'!$C$9:$C$1008,$I757-8)="","",INDEX('Fleet dates'!$C$9:$C$1008,$I757-8)))</x:f>
      </x:c>
      <x:c r="D757" s="51" t="str">
        <x:f>IF(749&gt;$H$4,"",IF(INDEX('Fleet dates'!$D$9:$D$1008,$I757-8)="","",INDEX('Fleet dates'!$D$9:$D$1008,$I757-8)))</x:f>
      </x:c>
      <x:c r="E757" s="51" t="str">
        <x:f>IF(749&gt;$H$4,"",IF(INDEX('Fleet dates'!$E$9:$E$1008,$I757-8)="","",INDEX('Fleet dates'!$E$9:$E$1008,$I757-8)))</x:f>
      </x:c>
      <x:c r="F757" s="51" t="str">
        <x:f>IF(749&gt;$H$4,"",IF(INDEX('Fleet dates'!$F$9:$F$1008,$I757-8)="","",INDEX('Fleet dates'!$F$9:$F$1008,$I757-8)))</x:f>
      </x:c>
      <x:c r="G757" s="50" t="str">
        <x:f>IF(749&gt;$H$4,"",IF(INDEX('Fleet dates'!$G$9:$G$1008,$I757-8)="","",INDEX('Fleet dates'!$G$9:$G$1008,$I757-8)))</x:f>
      </x:c>
      <x:c r="H757" s="50" t="str">
        <x:f>IF(749&gt;$H$4,"",IF(INDEX('Fleet dates'!$I$9:$I$1008,$I757-8)="","",INDEX('Fleet dates'!$I$9:$I$1008,$I757-8)))</x:f>
      </x:c>
      <x:c r="I757" t="str">
        <x:f>IF(749&gt;$H$4,"",MATCH(749,'Fleet dates'!$M$9:$M$1008,0)+8)</x:f>
      </x:c>
    </x:row>
    <x:row r="758" ht="36" customHeight="1">
      <x:c r="A758" s="50" t="str">
        <x:f>IF(750&gt;$H$4,"",IF(INDEX('Fleet dates'!$A$9:$A$1008,$I758-8)="","",INDEX('Fleet dates'!$A$9:$A$1008,$I758-8)))</x:f>
      </x:c>
      <x:c r="B758" s="50" t="str">
        <x:f>IF(750&gt;$H$4,"",IF(INDEX('Fleet dates'!$B$9:$B$1008,$I758-8)="","",INDEX('Fleet dates'!$B$9:$B$1008,$I758-8)))</x:f>
      </x:c>
      <x:c r="C758" s="51" t="str">
        <x:f>IF(750&gt;$H$4,"",IF(INDEX('Fleet dates'!$C$9:$C$1008,$I758-8)="","",INDEX('Fleet dates'!$C$9:$C$1008,$I758-8)))</x:f>
      </x:c>
      <x:c r="D758" s="51" t="str">
        <x:f>IF(750&gt;$H$4,"",IF(INDEX('Fleet dates'!$D$9:$D$1008,$I758-8)="","",INDEX('Fleet dates'!$D$9:$D$1008,$I758-8)))</x:f>
      </x:c>
      <x:c r="E758" s="51" t="str">
        <x:f>IF(750&gt;$H$4,"",IF(INDEX('Fleet dates'!$E$9:$E$1008,$I758-8)="","",INDEX('Fleet dates'!$E$9:$E$1008,$I758-8)))</x:f>
      </x:c>
      <x:c r="F758" s="51" t="str">
        <x:f>IF(750&gt;$H$4,"",IF(INDEX('Fleet dates'!$F$9:$F$1008,$I758-8)="","",INDEX('Fleet dates'!$F$9:$F$1008,$I758-8)))</x:f>
      </x:c>
      <x:c r="G758" s="50" t="str">
        <x:f>IF(750&gt;$H$4,"",IF(INDEX('Fleet dates'!$G$9:$G$1008,$I758-8)="","",INDEX('Fleet dates'!$G$9:$G$1008,$I758-8)))</x:f>
      </x:c>
      <x:c r="H758" s="50" t="str">
        <x:f>IF(750&gt;$H$4,"",IF(INDEX('Fleet dates'!$I$9:$I$1008,$I758-8)="","",INDEX('Fleet dates'!$I$9:$I$1008,$I758-8)))</x:f>
      </x:c>
      <x:c r="I758" t="str">
        <x:f>IF(750&gt;$H$4,"",MATCH(750,'Fleet dates'!$M$9:$M$1008,0)+8)</x:f>
      </x:c>
    </x:row>
    <x:row r="759" ht="36" customHeight="1">
      <x:c r="A759" s="50" t="str">
        <x:f>IF(751&gt;$H$4,"",IF(INDEX('Fleet dates'!$A$9:$A$1008,$I759-8)="","",INDEX('Fleet dates'!$A$9:$A$1008,$I759-8)))</x:f>
      </x:c>
      <x:c r="B759" s="50" t="str">
        <x:f>IF(751&gt;$H$4,"",IF(INDEX('Fleet dates'!$B$9:$B$1008,$I759-8)="","",INDEX('Fleet dates'!$B$9:$B$1008,$I759-8)))</x:f>
      </x:c>
      <x:c r="C759" s="51" t="str">
        <x:f>IF(751&gt;$H$4,"",IF(INDEX('Fleet dates'!$C$9:$C$1008,$I759-8)="","",INDEX('Fleet dates'!$C$9:$C$1008,$I759-8)))</x:f>
      </x:c>
      <x:c r="D759" s="51" t="str">
        <x:f>IF(751&gt;$H$4,"",IF(INDEX('Fleet dates'!$D$9:$D$1008,$I759-8)="","",INDEX('Fleet dates'!$D$9:$D$1008,$I759-8)))</x:f>
      </x:c>
      <x:c r="E759" s="51" t="str">
        <x:f>IF(751&gt;$H$4,"",IF(INDEX('Fleet dates'!$E$9:$E$1008,$I759-8)="","",INDEX('Fleet dates'!$E$9:$E$1008,$I759-8)))</x:f>
      </x:c>
      <x:c r="F759" s="51" t="str">
        <x:f>IF(751&gt;$H$4,"",IF(INDEX('Fleet dates'!$F$9:$F$1008,$I759-8)="","",INDEX('Fleet dates'!$F$9:$F$1008,$I759-8)))</x:f>
      </x:c>
      <x:c r="G759" s="50" t="str">
        <x:f>IF(751&gt;$H$4,"",IF(INDEX('Fleet dates'!$G$9:$G$1008,$I759-8)="","",INDEX('Fleet dates'!$G$9:$G$1008,$I759-8)))</x:f>
      </x:c>
      <x:c r="H759" s="50" t="str">
        <x:f>IF(751&gt;$H$4,"",IF(INDEX('Fleet dates'!$I$9:$I$1008,$I759-8)="","",INDEX('Fleet dates'!$I$9:$I$1008,$I759-8)))</x:f>
      </x:c>
      <x:c r="I759" t="str">
        <x:f>IF(751&gt;$H$4,"",MATCH(751,'Fleet dates'!$M$9:$M$1008,0)+8)</x:f>
      </x:c>
    </x:row>
    <x:row r="760" ht="36" customHeight="1">
      <x:c r="A760" s="50" t="str">
        <x:f>IF(752&gt;$H$4,"",IF(INDEX('Fleet dates'!$A$9:$A$1008,$I760-8)="","",INDEX('Fleet dates'!$A$9:$A$1008,$I760-8)))</x:f>
      </x:c>
      <x:c r="B760" s="50" t="str">
        <x:f>IF(752&gt;$H$4,"",IF(INDEX('Fleet dates'!$B$9:$B$1008,$I760-8)="","",INDEX('Fleet dates'!$B$9:$B$1008,$I760-8)))</x:f>
      </x:c>
      <x:c r="C760" s="51" t="str">
        <x:f>IF(752&gt;$H$4,"",IF(INDEX('Fleet dates'!$C$9:$C$1008,$I760-8)="","",INDEX('Fleet dates'!$C$9:$C$1008,$I760-8)))</x:f>
      </x:c>
      <x:c r="D760" s="51" t="str">
        <x:f>IF(752&gt;$H$4,"",IF(INDEX('Fleet dates'!$D$9:$D$1008,$I760-8)="","",INDEX('Fleet dates'!$D$9:$D$1008,$I760-8)))</x:f>
      </x:c>
      <x:c r="E760" s="51" t="str">
        <x:f>IF(752&gt;$H$4,"",IF(INDEX('Fleet dates'!$E$9:$E$1008,$I760-8)="","",INDEX('Fleet dates'!$E$9:$E$1008,$I760-8)))</x:f>
      </x:c>
      <x:c r="F760" s="51" t="str">
        <x:f>IF(752&gt;$H$4,"",IF(INDEX('Fleet dates'!$F$9:$F$1008,$I760-8)="","",INDEX('Fleet dates'!$F$9:$F$1008,$I760-8)))</x:f>
      </x:c>
      <x:c r="G760" s="50" t="str">
        <x:f>IF(752&gt;$H$4,"",IF(INDEX('Fleet dates'!$G$9:$G$1008,$I760-8)="","",INDEX('Fleet dates'!$G$9:$G$1008,$I760-8)))</x:f>
      </x:c>
      <x:c r="H760" s="50" t="str">
        <x:f>IF(752&gt;$H$4,"",IF(INDEX('Fleet dates'!$I$9:$I$1008,$I760-8)="","",INDEX('Fleet dates'!$I$9:$I$1008,$I760-8)))</x:f>
      </x:c>
      <x:c r="I760" t="str">
        <x:f>IF(752&gt;$H$4,"",MATCH(752,'Fleet dates'!$M$9:$M$1008,0)+8)</x:f>
      </x:c>
    </x:row>
    <x:row r="761" ht="36" customHeight="1">
      <x:c r="A761" s="50" t="str">
        <x:f>IF(753&gt;$H$4,"",IF(INDEX('Fleet dates'!$A$9:$A$1008,$I761-8)="","",INDEX('Fleet dates'!$A$9:$A$1008,$I761-8)))</x:f>
      </x:c>
      <x:c r="B761" s="50" t="str">
        <x:f>IF(753&gt;$H$4,"",IF(INDEX('Fleet dates'!$B$9:$B$1008,$I761-8)="","",INDEX('Fleet dates'!$B$9:$B$1008,$I761-8)))</x:f>
      </x:c>
      <x:c r="C761" s="51" t="str">
        <x:f>IF(753&gt;$H$4,"",IF(INDEX('Fleet dates'!$C$9:$C$1008,$I761-8)="","",INDEX('Fleet dates'!$C$9:$C$1008,$I761-8)))</x:f>
      </x:c>
      <x:c r="D761" s="51" t="str">
        <x:f>IF(753&gt;$H$4,"",IF(INDEX('Fleet dates'!$D$9:$D$1008,$I761-8)="","",INDEX('Fleet dates'!$D$9:$D$1008,$I761-8)))</x:f>
      </x:c>
      <x:c r="E761" s="51" t="str">
        <x:f>IF(753&gt;$H$4,"",IF(INDEX('Fleet dates'!$E$9:$E$1008,$I761-8)="","",INDEX('Fleet dates'!$E$9:$E$1008,$I761-8)))</x:f>
      </x:c>
      <x:c r="F761" s="51" t="str">
        <x:f>IF(753&gt;$H$4,"",IF(INDEX('Fleet dates'!$F$9:$F$1008,$I761-8)="","",INDEX('Fleet dates'!$F$9:$F$1008,$I761-8)))</x:f>
      </x:c>
      <x:c r="G761" s="50" t="str">
        <x:f>IF(753&gt;$H$4,"",IF(INDEX('Fleet dates'!$G$9:$G$1008,$I761-8)="","",INDEX('Fleet dates'!$G$9:$G$1008,$I761-8)))</x:f>
      </x:c>
      <x:c r="H761" s="50" t="str">
        <x:f>IF(753&gt;$H$4,"",IF(INDEX('Fleet dates'!$I$9:$I$1008,$I761-8)="","",INDEX('Fleet dates'!$I$9:$I$1008,$I761-8)))</x:f>
      </x:c>
      <x:c r="I761" t="str">
        <x:f>IF(753&gt;$H$4,"",MATCH(753,'Fleet dates'!$M$9:$M$1008,0)+8)</x:f>
      </x:c>
    </x:row>
    <x:row r="762" ht="36" customHeight="1">
      <x:c r="A762" s="50" t="str">
        <x:f>IF(754&gt;$H$4,"",IF(INDEX('Fleet dates'!$A$9:$A$1008,$I762-8)="","",INDEX('Fleet dates'!$A$9:$A$1008,$I762-8)))</x:f>
      </x:c>
      <x:c r="B762" s="50" t="str">
        <x:f>IF(754&gt;$H$4,"",IF(INDEX('Fleet dates'!$B$9:$B$1008,$I762-8)="","",INDEX('Fleet dates'!$B$9:$B$1008,$I762-8)))</x:f>
      </x:c>
      <x:c r="C762" s="51" t="str">
        <x:f>IF(754&gt;$H$4,"",IF(INDEX('Fleet dates'!$C$9:$C$1008,$I762-8)="","",INDEX('Fleet dates'!$C$9:$C$1008,$I762-8)))</x:f>
      </x:c>
      <x:c r="D762" s="51" t="str">
        <x:f>IF(754&gt;$H$4,"",IF(INDEX('Fleet dates'!$D$9:$D$1008,$I762-8)="","",INDEX('Fleet dates'!$D$9:$D$1008,$I762-8)))</x:f>
      </x:c>
      <x:c r="E762" s="51" t="str">
        <x:f>IF(754&gt;$H$4,"",IF(INDEX('Fleet dates'!$E$9:$E$1008,$I762-8)="","",INDEX('Fleet dates'!$E$9:$E$1008,$I762-8)))</x:f>
      </x:c>
      <x:c r="F762" s="51" t="str">
        <x:f>IF(754&gt;$H$4,"",IF(INDEX('Fleet dates'!$F$9:$F$1008,$I762-8)="","",INDEX('Fleet dates'!$F$9:$F$1008,$I762-8)))</x:f>
      </x:c>
      <x:c r="G762" s="50" t="str">
        <x:f>IF(754&gt;$H$4,"",IF(INDEX('Fleet dates'!$G$9:$G$1008,$I762-8)="","",INDEX('Fleet dates'!$G$9:$G$1008,$I762-8)))</x:f>
      </x:c>
      <x:c r="H762" s="50" t="str">
        <x:f>IF(754&gt;$H$4,"",IF(INDEX('Fleet dates'!$I$9:$I$1008,$I762-8)="","",INDEX('Fleet dates'!$I$9:$I$1008,$I762-8)))</x:f>
      </x:c>
      <x:c r="I762" t="str">
        <x:f>IF(754&gt;$H$4,"",MATCH(754,'Fleet dates'!$M$9:$M$1008,0)+8)</x:f>
      </x:c>
    </x:row>
    <x:row r="763" ht="36" customHeight="1">
      <x:c r="A763" s="50" t="str">
        <x:f>IF(755&gt;$H$4,"",IF(INDEX('Fleet dates'!$A$9:$A$1008,$I763-8)="","",INDEX('Fleet dates'!$A$9:$A$1008,$I763-8)))</x:f>
      </x:c>
      <x:c r="B763" s="50" t="str">
        <x:f>IF(755&gt;$H$4,"",IF(INDEX('Fleet dates'!$B$9:$B$1008,$I763-8)="","",INDEX('Fleet dates'!$B$9:$B$1008,$I763-8)))</x:f>
      </x:c>
      <x:c r="C763" s="51" t="str">
        <x:f>IF(755&gt;$H$4,"",IF(INDEX('Fleet dates'!$C$9:$C$1008,$I763-8)="","",INDEX('Fleet dates'!$C$9:$C$1008,$I763-8)))</x:f>
      </x:c>
      <x:c r="D763" s="51" t="str">
        <x:f>IF(755&gt;$H$4,"",IF(INDEX('Fleet dates'!$D$9:$D$1008,$I763-8)="","",INDEX('Fleet dates'!$D$9:$D$1008,$I763-8)))</x:f>
      </x:c>
      <x:c r="E763" s="51" t="str">
        <x:f>IF(755&gt;$H$4,"",IF(INDEX('Fleet dates'!$E$9:$E$1008,$I763-8)="","",INDEX('Fleet dates'!$E$9:$E$1008,$I763-8)))</x:f>
      </x:c>
      <x:c r="F763" s="51" t="str">
        <x:f>IF(755&gt;$H$4,"",IF(INDEX('Fleet dates'!$F$9:$F$1008,$I763-8)="","",INDEX('Fleet dates'!$F$9:$F$1008,$I763-8)))</x:f>
      </x:c>
      <x:c r="G763" s="50" t="str">
        <x:f>IF(755&gt;$H$4,"",IF(INDEX('Fleet dates'!$G$9:$G$1008,$I763-8)="","",INDEX('Fleet dates'!$G$9:$G$1008,$I763-8)))</x:f>
      </x:c>
      <x:c r="H763" s="50" t="str">
        <x:f>IF(755&gt;$H$4,"",IF(INDEX('Fleet dates'!$I$9:$I$1008,$I763-8)="","",INDEX('Fleet dates'!$I$9:$I$1008,$I763-8)))</x:f>
      </x:c>
      <x:c r="I763" t="str">
        <x:f>IF(755&gt;$H$4,"",MATCH(755,'Fleet dates'!$M$9:$M$1008,0)+8)</x:f>
      </x:c>
    </x:row>
    <x:row r="764" ht="36" customHeight="1">
      <x:c r="A764" s="50" t="str">
        <x:f>IF(756&gt;$H$4,"",IF(INDEX('Fleet dates'!$A$9:$A$1008,$I764-8)="","",INDEX('Fleet dates'!$A$9:$A$1008,$I764-8)))</x:f>
      </x:c>
      <x:c r="B764" s="50" t="str">
        <x:f>IF(756&gt;$H$4,"",IF(INDEX('Fleet dates'!$B$9:$B$1008,$I764-8)="","",INDEX('Fleet dates'!$B$9:$B$1008,$I764-8)))</x:f>
      </x:c>
      <x:c r="C764" s="51" t="str">
        <x:f>IF(756&gt;$H$4,"",IF(INDEX('Fleet dates'!$C$9:$C$1008,$I764-8)="","",INDEX('Fleet dates'!$C$9:$C$1008,$I764-8)))</x:f>
      </x:c>
      <x:c r="D764" s="51" t="str">
        <x:f>IF(756&gt;$H$4,"",IF(INDEX('Fleet dates'!$D$9:$D$1008,$I764-8)="","",INDEX('Fleet dates'!$D$9:$D$1008,$I764-8)))</x:f>
      </x:c>
      <x:c r="E764" s="51" t="str">
        <x:f>IF(756&gt;$H$4,"",IF(INDEX('Fleet dates'!$E$9:$E$1008,$I764-8)="","",INDEX('Fleet dates'!$E$9:$E$1008,$I764-8)))</x:f>
      </x:c>
      <x:c r="F764" s="51" t="str">
        <x:f>IF(756&gt;$H$4,"",IF(INDEX('Fleet dates'!$F$9:$F$1008,$I764-8)="","",INDEX('Fleet dates'!$F$9:$F$1008,$I764-8)))</x:f>
      </x:c>
      <x:c r="G764" s="50" t="str">
        <x:f>IF(756&gt;$H$4,"",IF(INDEX('Fleet dates'!$G$9:$G$1008,$I764-8)="","",INDEX('Fleet dates'!$G$9:$G$1008,$I764-8)))</x:f>
      </x:c>
      <x:c r="H764" s="50" t="str">
        <x:f>IF(756&gt;$H$4,"",IF(INDEX('Fleet dates'!$I$9:$I$1008,$I764-8)="","",INDEX('Fleet dates'!$I$9:$I$1008,$I764-8)))</x:f>
      </x:c>
      <x:c r="I764" t="str">
        <x:f>IF(756&gt;$H$4,"",MATCH(756,'Fleet dates'!$M$9:$M$1008,0)+8)</x:f>
      </x:c>
    </x:row>
    <x:row r="765" ht="36" customHeight="1">
      <x:c r="A765" s="50" t="str">
        <x:f>IF(757&gt;$H$4,"",IF(INDEX('Fleet dates'!$A$9:$A$1008,$I765-8)="","",INDEX('Fleet dates'!$A$9:$A$1008,$I765-8)))</x:f>
      </x:c>
      <x:c r="B765" s="50" t="str">
        <x:f>IF(757&gt;$H$4,"",IF(INDEX('Fleet dates'!$B$9:$B$1008,$I765-8)="","",INDEX('Fleet dates'!$B$9:$B$1008,$I765-8)))</x:f>
      </x:c>
      <x:c r="C765" s="51" t="str">
        <x:f>IF(757&gt;$H$4,"",IF(INDEX('Fleet dates'!$C$9:$C$1008,$I765-8)="","",INDEX('Fleet dates'!$C$9:$C$1008,$I765-8)))</x:f>
      </x:c>
      <x:c r="D765" s="51" t="str">
        <x:f>IF(757&gt;$H$4,"",IF(INDEX('Fleet dates'!$D$9:$D$1008,$I765-8)="","",INDEX('Fleet dates'!$D$9:$D$1008,$I765-8)))</x:f>
      </x:c>
      <x:c r="E765" s="51" t="str">
        <x:f>IF(757&gt;$H$4,"",IF(INDEX('Fleet dates'!$E$9:$E$1008,$I765-8)="","",INDEX('Fleet dates'!$E$9:$E$1008,$I765-8)))</x:f>
      </x:c>
      <x:c r="F765" s="51" t="str">
        <x:f>IF(757&gt;$H$4,"",IF(INDEX('Fleet dates'!$F$9:$F$1008,$I765-8)="","",INDEX('Fleet dates'!$F$9:$F$1008,$I765-8)))</x:f>
      </x:c>
      <x:c r="G765" s="50" t="str">
        <x:f>IF(757&gt;$H$4,"",IF(INDEX('Fleet dates'!$G$9:$G$1008,$I765-8)="","",INDEX('Fleet dates'!$G$9:$G$1008,$I765-8)))</x:f>
      </x:c>
      <x:c r="H765" s="50" t="str">
        <x:f>IF(757&gt;$H$4,"",IF(INDEX('Fleet dates'!$I$9:$I$1008,$I765-8)="","",INDEX('Fleet dates'!$I$9:$I$1008,$I765-8)))</x:f>
      </x:c>
      <x:c r="I765" t="str">
        <x:f>IF(757&gt;$H$4,"",MATCH(757,'Fleet dates'!$M$9:$M$1008,0)+8)</x:f>
      </x:c>
    </x:row>
    <x:row r="766" ht="36" customHeight="1">
      <x:c r="A766" s="50" t="str">
        <x:f>IF(758&gt;$H$4,"",IF(INDEX('Fleet dates'!$A$9:$A$1008,$I766-8)="","",INDEX('Fleet dates'!$A$9:$A$1008,$I766-8)))</x:f>
      </x:c>
      <x:c r="B766" s="50" t="str">
        <x:f>IF(758&gt;$H$4,"",IF(INDEX('Fleet dates'!$B$9:$B$1008,$I766-8)="","",INDEX('Fleet dates'!$B$9:$B$1008,$I766-8)))</x:f>
      </x:c>
      <x:c r="C766" s="51" t="str">
        <x:f>IF(758&gt;$H$4,"",IF(INDEX('Fleet dates'!$C$9:$C$1008,$I766-8)="","",INDEX('Fleet dates'!$C$9:$C$1008,$I766-8)))</x:f>
      </x:c>
      <x:c r="D766" s="51" t="str">
        <x:f>IF(758&gt;$H$4,"",IF(INDEX('Fleet dates'!$D$9:$D$1008,$I766-8)="","",INDEX('Fleet dates'!$D$9:$D$1008,$I766-8)))</x:f>
      </x:c>
      <x:c r="E766" s="51" t="str">
        <x:f>IF(758&gt;$H$4,"",IF(INDEX('Fleet dates'!$E$9:$E$1008,$I766-8)="","",INDEX('Fleet dates'!$E$9:$E$1008,$I766-8)))</x:f>
      </x:c>
      <x:c r="F766" s="51" t="str">
        <x:f>IF(758&gt;$H$4,"",IF(INDEX('Fleet dates'!$F$9:$F$1008,$I766-8)="","",INDEX('Fleet dates'!$F$9:$F$1008,$I766-8)))</x:f>
      </x:c>
      <x:c r="G766" s="50" t="str">
        <x:f>IF(758&gt;$H$4,"",IF(INDEX('Fleet dates'!$G$9:$G$1008,$I766-8)="","",INDEX('Fleet dates'!$G$9:$G$1008,$I766-8)))</x:f>
      </x:c>
      <x:c r="H766" s="50" t="str">
        <x:f>IF(758&gt;$H$4,"",IF(INDEX('Fleet dates'!$I$9:$I$1008,$I766-8)="","",INDEX('Fleet dates'!$I$9:$I$1008,$I766-8)))</x:f>
      </x:c>
      <x:c r="I766" t="str">
        <x:f>IF(758&gt;$H$4,"",MATCH(758,'Fleet dates'!$M$9:$M$1008,0)+8)</x:f>
      </x:c>
    </x:row>
    <x:row r="767" ht="36" customHeight="1">
      <x:c r="A767" s="50" t="str">
        <x:f>IF(759&gt;$H$4,"",IF(INDEX('Fleet dates'!$A$9:$A$1008,$I767-8)="","",INDEX('Fleet dates'!$A$9:$A$1008,$I767-8)))</x:f>
      </x:c>
      <x:c r="B767" s="50" t="str">
        <x:f>IF(759&gt;$H$4,"",IF(INDEX('Fleet dates'!$B$9:$B$1008,$I767-8)="","",INDEX('Fleet dates'!$B$9:$B$1008,$I767-8)))</x:f>
      </x:c>
      <x:c r="C767" s="51" t="str">
        <x:f>IF(759&gt;$H$4,"",IF(INDEX('Fleet dates'!$C$9:$C$1008,$I767-8)="","",INDEX('Fleet dates'!$C$9:$C$1008,$I767-8)))</x:f>
      </x:c>
      <x:c r="D767" s="51" t="str">
        <x:f>IF(759&gt;$H$4,"",IF(INDEX('Fleet dates'!$D$9:$D$1008,$I767-8)="","",INDEX('Fleet dates'!$D$9:$D$1008,$I767-8)))</x:f>
      </x:c>
      <x:c r="E767" s="51" t="str">
        <x:f>IF(759&gt;$H$4,"",IF(INDEX('Fleet dates'!$E$9:$E$1008,$I767-8)="","",INDEX('Fleet dates'!$E$9:$E$1008,$I767-8)))</x:f>
      </x:c>
      <x:c r="F767" s="51" t="str">
        <x:f>IF(759&gt;$H$4,"",IF(INDEX('Fleet dates'!$F$9:$F$1008,$I767-8)="","",INDEX('Fleet dates'!$F$9:$F$1008,$I767-8)))</x:f>
      </x:c>
      <x:c r="G767" s="50" t="str">
        <x:f>IF(759&gt;$H$4,"",IF(INDEX('Fleet dates'!$G$9:$G$1008,$I767-8)="","",INDEX('Fleet dates'!$G$9:$G$1008,$I767-8)))</x:f>
      </x:c>
      <x:c r="H767" s="50" t="str">
        <x:f>IF(759&gt;$H$4,"",IF(INDEX('Fleet dates'!$I$9:$I$1008,$I767-8)="","",INDEX('Fleet dates'!$I$9:$I$1008,$I767-8)))</x:f>
      </x:c>
      <x:c r="I767" t="str">
        <x:f>IF(759&gt;$H$4,"",MATCH(759,'Fleet dates'!$M$9:$M$1008,0)+8)</x:f>
      </x:c>
    </x:row>
    <x:row r="768" ht="36" customHeight="1">
      <x:c r="A768" s="50" t="str">
        <x:f>IF(760&gt;$H$4,"",IF(INDEX('Fleet dates'!$A$9:$A$1008,$I768-8)="","",INDEX('Fleet dates'!$A$9:$A$1008,$I768-8)))</x:f>
      </x:c>
      <x:c r="B768" s="50" t="str">
        <x:f>IF(760&gt;$H$4,"",IF(INDEX('Fleet dates'!$B$9:$B$1008,$I768-8)="","",INDEX('Fleet dates'!$B$9:$B$1008,$I768-8)))</x:f>
      </x:c>
      <x:c r="C768" s="51" t="str">
        <x:f>IF(760&gt;$H$4,"",IF(INDEX('Fleet dates'!$C$9:$C$1008,$I768-8)="","",INDEX('Fleet dates'!$C$9:$C$1008,$I768-8)))</x:f>
      </x:c>
      <x:c r="D768" s="51" t="str">
        <x:f>IF(760&gt;$H$4,"",IF(INDEX('Fleet dates'!$D$9:$D$1008,$I768-8)="","",INDEX('Fleet dates'!$D$9:$D$1008,$I768-8)))</x:f>
      </x:c>
      <x:c r="E768" s="51" t="str">
        <x:f>IF(760&gt;$H$4,"",IF(INDEX('Fleet dates'!$E$9:$E$1008,$I768-8)="","",INDEX('Fleet dates'!$E$9:$E$1008,$I768-8)))</x:f>
      </x:c>
      <x:c r="F768" s="51" t="str">
        <x:f>IF(760&gt;$H$4,"",IF(INDEX('Fleet dates'!$F$9:$F$1008,$I768-8)="","",INDEX('Fleet dates'!$F$9:$F$1008,$I768-8)))</x:f>
      </x:c>
      <x:c r="G768" s="50" t="str">
        <x:f>IF(760&gt;$H$4,"",IF(INDEX('Fleet dates'!$G$9:$G$1008,$I768-8)="","",INDEX('Fleet dates'!$G$9:$G$1008,$I768-8)))</x:f>
      </x:c>
      <x:c r="H768" s="50" t="str">
        <x:f>IF(760&gt;$H$4,"",IF(INDEX('Fleet dates'!$I$9:$I$1008,$I768-8)="","",INDEX('Fleet dates'!$I$9:$I$1008,$I768-8)))</x:f>
      </x:c>
      <x:c r="I768" t="str">
        <x:f>IF(760&gt;$H$4,"",MATCH(760,'Fleet dates'!$M$9:$M$1008,0)+8)</x:f>
      </x:c>
    </x:row>
    <x:row r="769" ht="36" customHeight="1">
      <x:c r="A769" s="50" t="str">
        <x:f>IF(761&gt;$H$4,"",IF(INDEX('Fleet dates'!$A$9:$A$1008,$I769-8)="","",INDEX('Fleet dates'!$A$9:$A$1008,$I769-8)))</x:f>
      </x:c>
      <x:c r="B769" s="50" t="str">
        <x:f>IF(761&gt;$H$4,"",IF(INDEX('Fleet dates'!$B$9:$B$1008,$I769-8)="","",INDEX('Fleet dates'!$B$9:$B$1008,$I769-8)))</x:f>
      </x:c>
      <x:c r="C769" s="51" t="str">
        <x:f>IF(761&gt;$H$4,"",IF(INDEX('Fleet dates'!$C$9:$C$1008,$I769-8)="","",INDEX('Fleet dates'!$C$9:$C$1008,$I769-8)))</x:f>
      </x:c>
      <x:c r="D769" s="51" t="str">
        <x:f>IF(761&gt;$H$4,"",IF(INDEX('Fleet dates'!$D$9:$D$1008,$I769-8)="","",INDEX('Fleet dates'!$D$9:$D$1008,$I769-8)))</x:f>
      </x:c>
      <x:c r="E769" s="51" t="str">
        <x:f>IF(761&gt;$H$4,"",IF(INDEX('Fleet dates'!$E$9:$E$1008,$I769-8)="","",INDEX('Fleet dates'!$E$9:$E$1008,$I769-8)))</x:f>
      </x:c>
      <x:c r="F769" s="51" t="str">
        <x:f>IF(761&gt;$H$4,"",IF(INDEX('Fleet dates'!$F$9:$F$1008,$I769-8)="","",INDEX('Fleet dates'!$F$9:$F$1008,$I769-8)))</x:f>
      </x:c>
      <x:c r="G769" s="50" t="str">
        <x:f>IF(761&gt;$H$4,"",IF(INDEX('Fleet dates'!$G$9:$G$1008,$I769-8)="","",INDEX('Fleet dates'!$G$9:$G$1008,$I769-8)))</x:f>
      </x:c>
      <x:c r="H769" s="50" t="str">
        <x:f>IF(761&gt;$H$4,"",IF(INDEX('Fleet dates'!$I$9:$I$1008,$I769-8)="","",INDEX('Fleet dates'!$I$9:$I$1008,$I769-8)))</x:f>
      </x:c>
      <x:c r="I769" t="str">
        <x:f>IF(761&gt;$H$4,"",MATCH(761,'Fleet dates'!$M$9:$M$1008,0)+8)</x:f>
      </x:c>
    </x:row>
    <x:row r="770" ht="36" customHeight="1">
      <x:c r="A770" s="50" t="str">
        <x:f>IF(762&gt;$H$4,"",IF(INDEX('Fleet dates'!$A$9:$A$1008,$I770-8)="","",INDEX('Fleet dates'!$A$9:$A$1008,$I770-8)))</x:f>
      </x:c>
      <x:c r="B770" s="50" t="str">
        <x:f>IF(762&gt;$H$4,"",IF(INDEX('Fleet dates'!$B$9:$B$1008,$I770-8)="","",INDEX('Fleet dates'!$B$9:$B$1008,$I770-8)))</x:f>
      </x:c>
      <x:c r="C770" s="51" t="str">
        <x:f>IF(762&gt;$H$4,"",IF(INDEX('Fleet dates'!$C$9:$C$1008,$I770-8)="","",INDEX('Fleet dates'!$C$9:$C$1008,$I770-8)))</x:f>
      </x:c>
      <x:c r="D770" s="51" t="str">
        <x:f>IF(762&gt;$H$4,"",IF(INDEX('Fleet dates'!$D$9:$D$1008,$I770-8)="","",INDEX('Fleet dates'!$D$9:$D$1008,$I770-8)))</x:f>
      </x:c>
      <x:c r="E770" s="51" t="str">
        <x:f>IF(762&gt;$H$4,"",IF(INDEX('Fleet dates'!$E$9:$E$1008,$I770-8)="","",INDEX('Fleet dates'!$E$9:$E$1008,$I770-8)))</x:f>
      </x:c>
      <x:c r="F770" s="51" t="str">
        <x:f>IF(762&gt;$H$4,"",IF(INDEX('Fleet dates'!$F$9:$F$1008,$I770-8)="","",INDEX('Fleet dates'!$F$9:$F$1008,$I770-8)))</x:f>
      </x:c>
      <x:c r="G770" s="50" t="str">
        <x:f>IF(762&gt;$H$4,"",IF(INDEX('Fleet dates'!$G$9:$G$1008,$I770-8)="","",INDEX('Fleet dates'!$G$9:$G$1008,$I770-8)))</x:f>
      </x:c>
      <x:c r="H770" s="50" t="str">
        <x:f>IF(762&gt;$H$4,"",IF(INDEX('Fleet dates'!$I$9:$I$1008,$I770-8)="","",INDEX('Fleet dates'!$I$9:$I$1008,$I770-8)))</x:f>
      </x:c>
      <x:c r="I770" t="str">
        <x:f>IF(762&gt;$H$4,"",MATCH(762,'Fleet dates'!$M$9:$M$1008,0)+8)</x:f>
      </x:c>
    </x:row>
    <x:row r="771" ht="36" customHeight="1">
      <x:c r="A771" s="50" t="str">
        <x:f>IF(763&gt;$H$4,"",IF(INDEX('Fleet dates'!$A$9:$A$1008,$I771-8)="","",INDEX('Fleet dates'!$A$9:$A$1008,$I771-8)))</x:f>
      </x:c>
      <x:c r="B771" s="50" t="str">
        <x:f>IF(763&gt;$H$4,"",IF(INDEX('Fleet dates'!$B$9:$B$1008,$I771-8)="","",INDEX('Fleet dates'!$B$9:$B$1008,$I771-8)))</x:f>
      </x:c>
      <x:c r="C771" s="51" t="str">
        <x:f>IF(763&gt;$H$4,"",IF(INDEX('Fleet dates'!$C$9:$C$1008,$I771-8)="","",INDEX('Fleet dates'!$C$9:$C$1008,$I771-8)))</x:f>
      </x:c>
      <x:c r="D771" s="51" t="str">
        <x:f>IF(763&gt;$H$4,"",IF(INDEX('Fleet dates'!$D$9:$D$1008,$I771-8)="","",INDEX('Fleet dates'!$D$9:$D$1008,$I771-8)))</x:f>
      </x:c>
      <x:c r="E771" s="51" t="str">
        <x:f>IF(763&gt;$H$4,"",IF(INDEX('Fleet dates'!$E$9:$E$1008,$I771-8)="","",INDEX('Fleet dates'!$E$9:$E$1008,$I771-8)))</x:f>
      </x:c>
      <x:c r="F771" s="51" t="str">
        <x:f>IF(763&gt;$H$4,"",IF(INDEX('Fleet dates'!$F$9:$F$1008,$I771-8)="","",INDEX('Fleet dates'!$F$9:$F$1008,$I771-8)))</x:f>
      </x:c>
      <x:c r="G771" s="50" t="str">
        <x:f>IF(763&gt;$H$4,"",IF(INDEX('Fleet dates'!$G$9:$G$1008,$I771-8)="","",INDEX('Fleet dates'!$G$9:$G$1008,$I771-8)))</x:f>
      </x:c>
      <x:c r="H771" s="50" t="str">
        <x:f>IF(763&gt;$H$4,"",IF(INDEX('Fleet dates'!$I$9:$I$1008,$I771-8)="","",INDEX('Fleet dates'!$I$9:$I$1008,$I771-8)))</x:f>
      </x:c>
      <x:c r="I771" t="str">
        <x:f>IF(763&gt;$H$4,"",MATCH(763,'Fleet dates'!$M$9:$M$1008,0)+8)</x:f>
      </x:c>
    </x:row>
    <x:row r="772" ht="36" customHeight="1">
      <x:c r="A772" s="50" t="str">
        <x:f>IF(764&gt;$H$4,"",IF(INDEX('Fleet dates'!$A$9:$A$1008,$I772-8)="","",INDEX('Fleet dates'!$A$9:$A$1008,$I772-8)))</x:f>
      </x:c>
      <x:c r="B772" s="50" t="str">
        <x:f>IF(764&gt;$H$4,"",IF(INDEX('Fleet dates'!$B$9:$B$1008,$I772-8)="","",INDEX('Fleet dates'!$B$9:$B$1008,$I772-8)))</x:f>
      </x:c>
      <x:c r="C772" s="51" t="str">
        <x:f>IF(764&gt;$H$4,"",IF(INDEX('Fleet dates'!$C$9:$C$1008,$I772-8)="","",INDEX('Fleet dates'!$C$9:$C$1008,$I772-8)))</x:f>
      </x:c>
      <x:c r="D772" s="51" t="str">
        <x:f>IF(764&gt;$H$4,"",IF(INDEX('Fleet dates'!$D$9:$D$1008,$I772-8)="","",INDEX('Fleet dates'!$D$9:$D$1008,$I772-8)))</x:f>
      </x:c>
      <x:c r="E772" s="51" t="str">
        <x:f>IF(764&gt;$H$4,"",IF(INDEX('Fleet dates'!$E$9:$E$1008,$I772-8)="","",INDEX('Fleet dates'!$E$9:$E$1008,$I772-8)))</x:f>
      </x:c>
      <x:c r="F772" s="51" t="str">
        <x:f>IF(764&gt;$H$4,"",IF(INDEX('Fleet dates'!$F$9:$F$1008,$I772-8)="","",INDEX('Fleet dates'!$F$9:$F$1008,$I772-8)))</x:f>
      </x:c>
      <x:c r="G772" s="50" t="str">
        <x:f>IF(764&gt;$H$4,"",IF(INDEX('Fleet dates'!$G$9:$G$1008,$I772-8)="","",INDEX('Fleet dates'!$G$9:$G$1008,$I772-8)))</x:f>
      </x:c>
      <x:c r="H772" s="50" t="str">
        <x:f>IF(764&gt;$H$4,"",IF(INDEX('Fleet dates'!$I$9:$I$1008,$I772-8)="","",INDEX('Fleet dates'!$I$9:$I$1008,$I772-8)))</x:f>
      </x:c>
      <x:c r="I772" t="str">
        <x:f>IF(764&gt;$H$4,"",MATCH(764,'Fleet dates'!$M$9:$M$1008,0)+8)</x:f>
      </x:c>
    </x:row>
    <x:row r="773" ht="36" customHeight="1">
      <x:c r="A773" s="50" t="str">
        <x:f>IF(765&gt;$H$4,"",IF(INDEX('Fleet dates'!$A$9:$A$1008,$I773-8)="","",INDEX('Fleet dates'!$A$9:$A$1008,$I773-8)))</x:f>
      </x:c>
      <x:c r="B773" s="50" t="str">
        <x:f>IF(765&gt;$H$4,"",IF(INDEX('Fleet dates'!$B$9:$B$1008,$I773-8)="","",INDEX('Fleet dates'!$B$9:$B$1008,$I773-8)))</x:f>
      </x:c>
      <x:c r="C773" s="51" t="str">
        <x:f>IF(765&gt;$H$4,"",IF(INDEX('Fleet dates'!$C$9:$C$1008,$I773-8)="","",INDEX('Fleet dates'!$C$9:$C$1008,$I773-8)))</x:f>
      </x:c>
      <x:c r="D773" s="51" t="str">
        <x:f>IF(765&gt;$H$4,"",IF(INDEX('Fleet dates'!$D$9:$D$1008,$I773-8)="","",INDEX('Fleet dates'!$D$9:$D$1008,$I773-8)))</x:f>
      </x:c>
      <x:c r="E773" s="51" t="str">
        <x:f>IF(765&gt;$H$4,"",IF(INDEX('Fleet dates'!$E$9:$E$1008,$I773-8)="","",INDEX('Fleet dates'!$E$9:$E$1008,$I773-8)))</x:f>
      </x:c>
      <x:c r="F773" s="51" t="str">
        <x:f>IF(765&gt;$H$4,"",IF(INDEX('Fleet dates'!$F$9:$F$1008,$I773-8)="","",INDEX('Fleet dates'!$F$9:$F$1008,$I773-8)))</x:f>
      </x:c>
      <x:c r="G773" s="50" t="str">
        <x:f>IF(765&gt;$H$4,"",IF(INDEX('Fleet dates'!$G$9:$G$1008,$I773-8)="","",INDEX('Fleet dates'!$G$9:$G$1008,$I773-8)))</x:f>
      </x:c>
      <x:c r="H773" s="50" t="str">
        <x:f>IF(765&gt;$H$4,"",IF(INDEX('Fleet dates'!$I$9:$I$1008,$I773-8)="","",INDEX('Fleet dates'!$I$9:$I$1008,$I773-8)))</x:f>
      </x:c>
      <x:c r="I773" t="str">
        <x:f>IF(765&gt;$H$4,"",MATCH(765,'Fleet dates'!$M$9:$M$1008,0)+8)</x:f>
      </x:c>
    </x:row>
    <x:row r="774" ht="36" customHeight="1">
      <x:c r="A774" s="50" t="str">
        <x:f>IF(766&gt;$H$4,"",IF(INDEX('Fleet dates'!$A$9:$A$1008,$I774-8)="","",INDEX('Fleet dates'!$A$9:$A$1008,$I774-8)))</x:f>
      </x:c>
      <x:c r="B774" s="50" t="str">
        <x:f>IF(766&gt;$H$4,"",IF(INDEX('Fleet dates'!$B$9:$B$1008,$I774-8)="","",INDEX('Fleet dates'!$B$9:$B$1008,$I774-8)))</x:f>
      </x:c>
      <x:c r="C774" s="51" t="str">
        <x:f>IF(766&gt;$H$4,"",IF(INDEX('Fleet dates'!$C$9:$C$1008,$I774-8)="","",INDEX('Fleet dates'!$C$9:$C$1008,$I774-8)))</x:f>
      </x:c>
      <x:c r="D774" s="51" t="str">
        <x:f>IF(766&gt;$H$4,"",IF(INDEX('Fleet dates'!$D$9:$D$1008,$I774-8)="","",INDEX('Fleet dates'!$D$9:$D$1008,$I774-8)))</x:f>
      </x:c>
      <x:c r="E774" s="51" t="str">
        <x:f>IF(766&gt;$H$4,"",IF(INDEX('Fleet dates'!$E$9:$E$1008,$I774-8)="","",INDEX('Fleet dates'!$E$9:$E$1008,$I774-8)))</x:f>
      </x:c>
      <x:c r="F774" s="51" t="str">
        <x:f>IF(766&gt;$H$4,"",IF(INDEX('Fleet dates'!$F$9:$F$1008,$I774-8)="","",INDEX('Fleet dates'!$F$9:$F$1008,$I774-8)))</x:f>
      </x:c>
      <x:c r="G774" s="50" t="str">
        <x:f>IF(766&gt;$H$4,"",IF(INDEX('Fleet dates'!$G$9:$G$1008,$I774-8)="","",INDEX('Fleet dates'!$G$9:$G$1008,$I774-8)))</x:f>
      </x:c>
      <x:c r="H774" s="50" t="str">
        <x:f>IF(766&gt;$H$4,"",IF(INDEX('Fleet dates'!$I$9:$I$1008,$I774-8)="","",INDEX('Fleet dates'!$I$9:$I$1008,$I774-8)))</x:f>
      </x:c>
      <x:c r="I774" t="str">
        <x:f>IF(766&gt;$H$4,"",MATCH(766,'Fleet dates'!$M$9:$M$1008,0)+8)</x:f>
      </x:c>
    </x:row>
    <x:row r="775" ht="36" customHeight="1">
      <x:c r="A775" s="50" t="str">
        <x:f>IF(767&gt;$H$4,"",IF(INDEX('Fleet dates'!$A$9:$A$1008,$I775-8)="","",INDEX('Fleet dates'!$A$9:$A$1008,$I775-8)))</x:f>
      </x:c>
      <x:c r="B775" s="50" t="str">
        <x:f>IF(767&gt;$H$4,"",IF(INDEX('Fleet dates'!$B$9:$B$1008,$I775-8)="","",INDEX('Fleet dates'!$B$9:$B$1008,$I775-8)))</x:f>
      </x:c>
      <x:c r="C775" s="51" t="str">
        <x:f>IF(767&gt;$H$4,"",IF(INDEX('Fleet dates'!$C$9:$C$1008,$I775-8)="","",INDEX('Fleet dates'!$C$9:$C$1008,$I775-8)))</x:f>
      </x:c>
      <x:c r="D775" s="51" t="str">
        <x:f>IF(767&gt;$H$4,"",IF(INDEX('Fleet dates'!$D$9:$D$1008,$I775-8)="","",INDEX('Fleet dates'!$D$9:$D$1008,$I775-8)))</x:f>
      </x:c>
      <x:c r="E775" s="51" t="str">
        <x:f>IF(767&gt;$H$4,"",IF(INDEX('Fleet dates'!$E$9:$E$1008,$I775-8)="","",INDEX('Fleet dates'!$E$9:$E$1008,$I775-8)))</x:f>
      </x:c>
      <x:c r="F775" s="51" t="str">
        <x:f>IF(767&gt;$H$4,"",IF(INDEX('Fleet dates'!$F$9:$F$1008,$I775-8)="","",INDEX('Fleet dates'!$F$9:$F$1008,$I775-8)))</x:f>
      </x:c>
      <x:c r="G775" s="50" t="str">
        <x:f>IF(767&gt;$H$4,"",IF(INDEX('Fleet dates'!$G$9:$G$1008,$I775-8)="","",INDEX('Fleet dates'!$G$9:$G$1008,$I775-8)))</x:f>
      </x:c>
      <x:c r="H775" s="50" t="str">
        <x:f>IF(767&gt;$H$4,"",IF(INDEX('Fleet dates'!$I$9:$I$1008,$I775-8)="","",INDEX('Fleet dates'!$I$9:$I$1008,$I775-8)))</x:f>
      </x:c>
      <x:c r="I775" t="str">
        <x:f>IF(767&gt;$H$4,"",MATCH(767,'Fleet dates'!$M$9:$M$1008,0)+8)</x:f>
      </x:c>
    </x:row>
    <x:row r="776" ht="36" customHeight="1">
      <x:c r="A776" s="50" t="str">
        <x:f>IF(768&gt;$H$4,"",IF(INDEX('Fleet dates'!$A$9:$A$1008,$I776-8)="","",INDEX('Fleet dates'!$A$9:$A$1008,$I776-8)))</x:f>
      </x:c>
      <x:c r="B776" s="50" t="str">
        <x:f>IF(768&gt;$H$4,"",IF(INDEX('Fleet dates'!$B$9:$B$1008,$I776-8)="","",INDEX('Fleet dates'!$B$9:$B$1008,$I776-8)))</x:f>
      </x:c>
      <x:c r="C776" s="51" t="str">
        <x:f>IF(768&gt;$H$4,"",IF(INDEX('Fleet dates'!$C$9:$C$1008,$I776-8)="","",INDEX('Fleet dates'!$C$9:$C$1008,$I776-8)))</x:f>
      </x:c>
      <x:c r="D776" s="51" t="str">
        <x:f>IF(768&gt;$H$4,"",IF(INDEX('Fleet dates'!$D$9:$D$1008,$I776-8)="","",INDEX('Fleet dates'!$D$9:$D$1008,$I776-8)))</x:f>
      </x:c>
      <x:c r="E776" s="51" t="str">
        <x:f>IF(768&gt;$H$4,"",IF(INDEX('Fleet dates'!$E$9:$E$1008,$I776-8)="","",INDEX('Fleet dates'!$E$9:$E$1008,$I776-8)))</x:f>
      </x:c>
      <x:c r="F776" s="51" t="str">
        <x:f>IF(768&gt;$H$4,"",IF(INDEX('Fleet dates'!$F$9:$F$1008,$I776-8)="","",INDEX('Fleet dates'!$F$9:$F$1008,$I776-8)))</x:f>
      </x:c>
      <x:c r="G776" s="50" t="str">
        <x:f>IF(768&gt;$H$4,"",IF(INDEX('Fleet dates'!$G$9:$G$1008,$I776-8)="","",INDEX('Fleet dates'!$G$9:$G$1008,$I776-8)))</x:f>
      </x:c>
      <x:c r="H776" s="50" t="str">
        <x:f>IF(768&gt;$H$4,"",IF(INDEX('Fleet dates'!$I$9:$I$1008,$I776-8)="","",INDEX('Fleet dates'!$I$9:$I$1008,$I776-8)))</x:f>
      </x:c>
      <x:c r="I776" t="str">
        <x:f>IF(768&gt;$H$4,"",MATCH(768,'Fleet dates'!$M$9:$M$1008,0)+8)</x:f>
      </x:c>
    </x:row>
    <x:row r="777" ht="36" customHeight="1">
      <x:c r="A777" s="50" t="str">
        <x:f>IF(769&gt;$H$4,"",IF(INDEX('Fleet dates'!$A$9:$A$1008,$I777-8)="","",INDEX('Fleet dates'!$A$9:$A$1008,$I777-8)))</x:f>
      </x:c>
      <x:c r="B777" s="50" t="str">
        <x:f>IF(769&gt;$H$4,"",IF(INDEX('Fleet dates'!$B$9:$B$1008,$I777-8)="","",INDEX('Fleet dates'!$B$9:$B$1008,$I777-8)))</x:f>
      </x:c>
      <x:c r="C777" s="51" t="str">
        <x:f>IF(769&gt;$H$4,"",IF(INDEX('Fleet dates'!$C$9:$C$1008,$I777-8)="","",INDEX('Fleet dates'!$C$9:$C$1008,$I777-8)))</x:f>
      </x:c>
      <x:c r="D777" s="51" t="str">
        <x:f>IF(769&gt;$H$4,"",IF(INDEX('Fleet dates'!$D$9:$D$1008,$I777-8)="","",INDEX('Fleet dates'!$D$9:$D$1008,$I777-8)))</x:f>
      </x:c>
      <x:c r="E777" s="51" t="str">
        <x:f>IF(769&gt;$H$4,"",IF(INDEX('Fleet dates'!$E$9:$E$1008,$I777-8)="","",INDEX('Fleet dates'!$E$9:$E$1008,$I777-8)))</x:f>
      </x:c>
      <x:c r="F777" s="51" t="str">
        <x:f>IF(769&gt;$H$4,"",IF(INDEX('Fleet dates'!$F$9:$F$1008,$I777-8)="","",INDEX('Fleet dates'!$F$9:$F$1008,$I777-8)))</x:f>
      </x:c>
      <x:c r="G777" s="50" t="str">
        <x:f>IF(769&gt;$H$4,"",IF(INDEX('Fleet dates'!$G$9:$G$1008,$I777-8)="","",INDEX('Fleet dates'!$G$9:$G$1008,$I777-8)))</x:f>
      </x:c>
      <x:c r="H777" s="50" t="str">
        <x:f>IF(769&gt;$H$4,"",IF(INDEX('Fleet dates'!$I$9:$I$1008,$I777-8)="","",INDEX('Fleet dates'!$I$9:$I$1008,$I777-8)))</x:f>
      </x:c>
      <x:c r="I777" t="str">
        <x:f>IF(769&gt;$H$4,"",MATCH(769,'Fleet dates'!$M$9:$M$1008,0)+8)</x:f>
      </x:c>
    </x:row>
    <x:row r="778" ht="36" customHeight="1">
      <x:c r="A778" s="50" t="str">
        <x:f>IF(770&gt;$H$4,"",IF(INDEX('Fleet dates'!$A$9:$A$1008,$I778-8)="","",INDEX('Fleet dates'!$A$9:$A$1008,$I778-8)))</x:f>
      </x:c>
      <x:c r="B778" s="50" t="str">
        <x:f>IF(770&gt;$H$4,"",IF(INDEX('Fleet dates'!$B$9:$B$1008,$I778-8)="","",INDEX('Fleet dates'!$B$9:$B$1008,$I778-8)))</x:f>
      </x:c>
      <x:c r="C778" s="51" t="str">
        <x:f>IF(770&gt;$H$4,"",IF(INDEX('Fleet dates'!$C$9:$C$1008,$I778-8)="","",INDEX('Fleet dates'!$C$9:$C$1008,$I778-8)))</x:f>
      </x:c>
      <x:c r="D778" s="51" t="str">
        <x:f>IF(770&gt;$H$4,"",IF(INDEX('Fleet dates'!$D$9:$D$1008,$I778-8)="","",INDEX('Fleet dates'!$D$9:$D$1008,$I778-8)))</x:f>
      </x:c>
      <x:c r="E778" s="51" t="str">
        <x:f>IF(770&gt;$H$4,"",IF(INDEX('Fleet dates'!$E$9:$E$1008,$I778-8)="","",INDEX('Fleet dates'!$E$9:$E$1008,$I778-8)))</x:f>
      </x:c>
      <x:c r="F778" s="51" t="str">
        <x:f>IF(770&gt;$H$4,"",IF(INDEX('Fleet dates'!$F$9:$F$1008,$I778-8)="","",INDEX('Fleet dates'!$F$9:$F$1008,$I778-8)))</x:f>
      </x:c>
      <x:c r="G778" s="50" t="str">
        <x:f>IF(770&gt;$H$4,"",IF(INDEX('Fleet dates'!$G$9:$G$1008,$I778-8)="","",INDEX('Fleet dates'!$G$9:$G$1008,$I778-8)))</x:f>
      </x:c>
      <x:c r="H778" s="50" t="str">
        <x:f>IF(770&gt;$H$4,"",IF(INDEX('Fleet dates'!$I$9:$I$1008,$I778-8)="","",INDEX('Fleet dates'!$I$9:$I$1008,$I778-8)))</x:f>
      </x:c>
      <x:c r="I778" t="str">
        <x:f>IF(770&gt;$H$4,"",MATCH(770,'Fleet dates'!$M$9:$M$1008,0)+8)</x:f>
      </x:c>
    </x:row>
    <x:row r="779" ht="36" customHeight="1">
      <x:c r="A779" s="50" t="str">
        <x:f>IF(771&gt;$H$4,"",IF(INDEX('Fleet dates'!$A$9:$A$1008,$I779-8)="","",INDEX('Fleet dates'!$A$9:$A$1008,$I779-8)))</x:f>
      </x:c>
      <x:c r="B779" s="50" t="str">
        <x:f>IF(771&gt;$H$4,"",IF(INDEX('Fleet dates'!$B$9:$B$1008,$I779-8)="","",INDEX('Fleet dates'!$B$9:$B$1008,$I779-8)))</x:f>
      </x:c>
      <x:c r="C779" s="51" t="str">
        <x:f>IF(771&gt;$H$4,"",IF(INDEX('Fleet dates'!$C$9:$C$1008,$I779-8)="","",INDEX('Fleet dates'!$C$9:$C$1008,$I779-8)))</x:f>
      </x:c>
      <x:c r="D779" s="51" t="str">
        <x:f>IF(771&gt;$H$4,"",IF(INDEX('Fleet dates'!$D$9:$D$1008,$I779-8)="","",INDEX('Fleet dates'!$D$9:$D$1008,$I779-8)))</x:f>
      </x:c>
      <x:c r="E779" s="51" t="str">
        <x:f>IF(771&gt;$H$4,"",IF(INDEX('Fleet dates'!$E$9:$E$1008,$I779-8)="","",INDEX('Fleet dates'!$E$9:$E$1008,$I779-8)))</x:f>
      </x:c>
      <x:c r="F779" s="51" t="str">
        <x:f>IF(771&gt;$H$4,"",IF(INDEX('Fleet dates'!$F$9:$F$1008,$I779-8)="","",INDEX('Fleet dates'!$F$9:$F$1008,$I779-8)))</x:f>
      </x:c>
      <x:c r="G779" s="50" t="str">
        <x:f>IF(771&gt;$H$4,"",IF(INDEX('Fleet dates'!$G$9:$G$1008,$I779-8)="","",INDEX('Fleet dates'!$G$9:$G$1008,$I779-8)))</x:f>
      </x:c>
      <x:c r="H779" s="50" t="str">
        <x:f>IF(771&gt;$H$4,"",IF(INDEX('Fleet dates'!$I$9:$I$1008,$I779-8)="","",INDEX('Fleet dates'!$I$9:$I$1008,$I779-8)))</x:f>
      </x:c>
      <x:c r="I779" t="str">
        <x:f>IF(771&gt;$H$4,"",MATCH(771,'Fleet dates'!$M$9:$M$1008,0)+8)</x:f>
      </x:c>
    </x:row>
    <x:row r="780" ht="36" customHeight="1">
      <x:c r="A780" s="50" t="str">
        <x:f>IF(772&gt;$H$4,"",IF(INDEX('Fleet dates'!$A$9:$A$1008,$I780-8)="","",INDEX('Fleet dates'!$A$9:$A$1008,$I780-8)))</x:f>
      </x:c>
      <x:c r="B780" s="50" t="str">
        <x:f>IF(772&gt;$H$4,"",IF(INDEX('Fleet dates'!$B$9:$B$1008,$I780-8)="","",INDEX('Fleet dates'!$B$9:$B$1008,$I780-8)))</x:f>
      </x:c>
      <x:c r="C780" s="51" t="str">
        <x:f>IF(772&gt;$H$4,"",IF(INDEX('Fleet dates'!$C$9:$C$1008,$I780-8)="","",INDEX('Fleet dates'!$C$9:$C$1008,$I780-8)))</x:f>
      </x:c>
      <x:c r="D780" s="51" t="str">
        <x:f>IF(772&gt;$H$4,"",IF(INDEX('Fleet dates'!$D$9:$D$1008,$I780-8)="","",INDEX('Fleet dates'!$D$9:$D$1008,$I780-8)))</x:f>
      </x:c>
      <x:c r="E780" s="51" t="str">
        <x:f>IF(772&gt;$H$4,"",IF(INDEX('Fleet dates'!$E$9:$E$1008,$I780-8)="","",INDEX('Fleet dates'!$E$9:$E$1008,$I780-8)))</x:f>
      </x:c>
      <x:c r="F780" s="51" t="str">
        <x:f>IF(772&gt;$H$4,"",IF(INDEX('Fleet dates'!$F$9:$F$1008,$I780-8)="","",INDEX('Fleet dates'!$F$9:$F$1008,$I780-8)))</x:f>
      </x:c>
      <x:c r="G780" s="50" t="str">
        <x:f>IF(772&gt;$H$4,"",IF(INDEX('Fleet dates'!$G$9:$G$1008,$I780-8)="","",INDEX('Fleet dates'!$G$9:$G$1008,$I780-8)))</x:f>
      </x:c>
      <x:c r="H780" s="50" t="str">
        <x:f>IF(772&gt;$H$4,"",IF(INDEX('Fleet dates'!$I$9:$I$1008,$I780-8)="","",INDEX('Fleet dates'!$I$9:$I$1008,$I780-8)))</x:f>
      </x:c>
      <x:c r="I780" t="str">
        <x:f>IF(772&gt;$H$4,"",MATCH(772,'Fleet dates'!$M$9:$M$1008,0)+8)</x:f>
      </x:c>
    </x:row>
    <x:row r="781" ht="36" customHeight="1">
      <x:c r="A781" s="50" t="str">
        <x:f>IF(773&gt;$H$4,"",IF(INDEX('Fleet dates'!$A$9:$A$1008,$I781-8)="","",INDEX('Fleet dates'!$A$9:$A$1008,$I781-8)))</x:f>
      </x:c>
      <x:c r="B781" s="50" t="str">
        <x:f>IF(773&gt;$H$4,"",IF(INDEX('Fleet dates'!$B$9:$B$1008,$I781-8)="","",INDEX('Fleet dates'!$B$9:$B$1008,$I781-8)))</x:f>
      </x:c>
      <x:c r="C781" s="51" t="str">
        <x:f>IF(773&gt;$H$4,"",IF(INDEX('Fleet dates'!$C$9:$C$1008,$I781-8)="","",INDEX('Fleet dates'!$C$9:$C$1008,$I781-8)))</x:f>
      </x:c>
      <x:c r="D781" s="51" t="str">
        <x:f>IF(773&gt;$H$4,"",IF(INDEX('Fleet dates'!$D$9:$D$1008,$I781-8)="","",INDEX('Fleet dates'!$D$9:$D$1008,$I781-8)))</x:f>
      </x:c>
      <x:c r="E781" s="51" t="str">
        <x:f>IF(773&gt;$H$4,"",IF(INDEX('Fleet dates'!$E$9:$E$1008,$I781-8)="","",INDEX('Fleet dates'!$E$9:$E$1008,$I781-8)))</x:f>
      </x:c>
      <x:c r="F781" s="51" t="str">
        <x:f>IF(773&gt;$H$4,"",IF(INDEX('Fleet dates'!$F$9:$F$1008,$I781-8)="","",INDEX('Fleet dates'!$F$9:$F$1008,$I781-8)))</x:f>
      </x:c>
      <x:c r="G781" s="50" t="str">
        <x:f>IF(773&gt;$H$4,"",IF(INDEX('Fleet dates'!$G$9:$G$1008,$I781-8)="","",INDEX('Fleet dates'!$G$9:$G$1008,$I781-8)))</x:f>
      </x:c>
      <x:c r="H781" s="50" t="str">
        <x:f>IF(773&gt;$H$4,"",IF(INDEX('Fleet dates'!$I$9:$I$1008,$I781-8)="","",INDEX('Fleet dates'!$I$9:$I$1008,$I781-8)))</x:f>
      </x:c>
      <x:c r="I781" t="str">
        <x:f>IF(773&gt;$H$4,"",MATCH(773,'Fleet dates'!$M$9:$M$1008,0)+8)</x:f>
      </x:c>
    </x:row>
    <x:row r="782" ht="36" customHeight="1">
      <x:c r="A782" s="50" t="str">
        <x:f>IF(774&gt;$H$4,"",IF(INDEX('Fleet dates'!$A$9:$A$1008,$I782-8)="","",INDEX('Fleet dates'!$A$9:$A$1008,$I782-8)))</x:f>
      </x:c>
      <x:c r="B782" s="50" t="str">
        <x:f>IF(774&gt;$H$4,"",IF(INDEX('Fleet dates'!$B$9:$B$1008,$I782-8)="","",INDEX('Fleet dates'!$B$9:$B$1008,$I782-8)))</x:f>
      </x:c>
      <x:c r="C782" s="51" t="str">
        <x:f>IF(774&gt;$H$4,"",IF(INDEX('Fleet dates'!$C$9:$C$1008,$I782-8)="","",INDEX('Fleet dates'!$C$9:$C$1008,$I782-8)))</x:f>
      </x:c>
      <x:c r="D782" s="51" t="str">
        <x:f>IF(774&gt;$H$4,"",IF(INDEX('Fleet dates'!$D$9:$D$1008,$I782-8)="","",INDEX('Fleet dates'!$D$9:$D$1008,$I782-8)))</x:f>
      </x:c>
      <x:c r="E782" s="51" t="str">
        <x:f>IF(774&gt;$H$4,"",IF(INDEX('Fleet dates'!$E$9:$E$1008,$I782-8)="","",INDEX('Fleet dates'!$E$9:$E$1008,$I782-8)))</x:f>
      </x:c>
      <x:c r="F782" s="51" t="str">
        <x:f>IF(774&gt;$H$4,"",IF(INDEX('Fleet dates'!$F$9:$F$1008,$I782-8)="","",INDEX('Fleet dates'!$F$9:$F$1008,$I782-8)))</x:f>
      </x:c>
      <x:c r="G782" s="50" t="str">
        <x:f>IF(774&gt;$H$4,"",IF(INDEX('Fleet dates'!$G$9:$G$1008,$I782-8)="","",INDEX('Fleet dates'!$G$9:$G$1008,$I782-8)))</x:f>
      </x:c>
      <x:c r="H782" s="50" t="str">
        <x:f>IF(774&gt;$H$4,"",IF(INDEX('Fleet dates'!$I$9:$I$1008,$I782-8)="","",INDEX('Fleet dates'!$I$9:$I$1008,$I782-8)))</x:f>
      </x:c>
      <x:c r="I782" t="str">
        <x:f>IF(774&gt;$H$4,"",MATCH(774,'Fleet dates'!$M$9:$M$1008,0)+8)</x:f>
      </x:c>
    </x:row>
    <x:row r="783" ht="36" customHeight="1">
      <x:c r="A783" s="50" t="str">
        <x:f>IF(775&gt;$H$4,"",IF(INDEX('Fleet dates'!$A$9:$A$1008,$I783-8)="","",INDEX('Fleet dates'!$A$9:$A$1008,$I783-8)))</x:f>
      </x:c>
      <x:c r="B783" s="50" t="str">
        <x:f>IF(775&gt;$H$4,"",IF(INDEX('Fleet dates'!$B$9:$B$1008,$I783-8)="","",INDEX('Fleet dates'!$B$9:$B$1008,$I783-8)))</x:f>
      </x:c>
      <x:c r="C783" s="51" t="str">
        <x:f>IF(775&gt;$H$4,"",IF(INDEX('Fleet dates'!$C$9:$C$1008,$I783-8)="","",INDEX('Fleet dates'!$C$9:$C$1008,$I783-8)))</x:f>
      </x:c>
      <x:c r="D783" s="51" t="str">
        <x:f>IF(775&gt;$H$4,"",IF(INDEX('Fleet dates'!$D$9:$D$1008,$I783-8)="","",INDEX('Fleet dates'!$D$9:$D$1008,$I783-8)))</x:f>
      </x:c>
      <x:c r="E783" s="51" t="str">
        <x:f>IF(775&gt;$H$4,"",IF(INDEX('Fleet dates'!$E$9:$E$1008,$I783-8)="","",INDEX('Fleet dates'!$E$9:$E$1008,$I783-8)))</x:f>
      </x:c>
      <x:c r="F783" s="51" t="str">
        <x:f>IF(775&gt;$H$4,"",IF(INDEX('Fleet dates'!$F$9:$F$1008,$I783-8)="","",INDEX('Fleet dates'!$F$9:$F$1008,$I783-8)))</x:f>
      </x:c>
      <x:c r="G783" s="50" t="str">
        <x:f>IF(775&gt;$H$4,"",IF(INDEX('Fleet dates'!$G$9:$G$1008,$I783-8)="","",INDEX('Fleet dates'!$G$9:$G$1008,$I783-8)))</x:f>
      </x:c>
      <x:c r="H783" s="50" t="str">
        <x:f>IF(775&gt;$H$4,"",IF(INDEX('Fleet dates'!$I$9:$I$1008,$I783-8)="","",INDEX('Fleet dates'!$I$9:$I$1008,$I783-8)))</x:f>
      </x:c>
      <x:c r="I783" t="str">
        <x:f>IF(775&gt;$H$4,"",MATCH(775,'Fleet dates'!$M$9:$M$1008,0)+8)</x:f>
      </x:c>
    </x:row>
    <x:row r="784" ht="36" customHeight="1">
      <x:c r="A784" s="50" t="str">
        <x:f>IF(776&gt;$H$4,"",IF(INDEX('Fleet dates'!$A$9:$A$1008,$I784-8)="","",INDEX('Fleet dates'!$A$9:$A$1008,$I784-8)))</x:f>
      </x:c>
      <x:c r="B784" s="50" t="str">
        <x:f>IF(776&gt;$H$4,"",IF(INDEX('Fleet dates'!$B$9:$B$1008,$I784-8)="","",INDEX('Fleet dates'!$B$9:$B$1008,$I784-8)))</x:f>
      </x:c>
      <x:c r="C784" s="51" t="str">
        <x:f>IF(776&gt;$H$4,"",IF(INDEX('Fleet dates'!$C$9:$C$1008,$I784-8)="","",INDEX('Fleet dates'!$C$9:$C$1008,$I784-8)))</x:f>
      </x:c>
      <x:c r="D784" s="51" t="str">
        <x:f>IF(776&gt;$H$4,"",IF(INDEX('Fleet dates'!$D$9:$D$1008,$I784-8)="","",INDEX('Fleet dates'!$D$9:$D$1008,$I784-8)))</x:f>
      </x:c>
      <x:c r="E784" s="51" t="str">
        <x:f>IF(776&gt;$H$4,"",IF(INDEX('Fleet dates'!$E$9:$E$1008,$I784-8)="","",INDEX('Fleet dates'!$E$9:$E$1008,$I784-8)))</x:f>
      </x:c>
      <x:c r="F784" s="51" t="str">
        <x:f>IF(776&gt;$H$4,"",IF(INDEX('Fleet dates'!$F$9:$F$1008,$I784-8)="","",INDEX('Fleet dates'!$F$9:$F$1008,$I784-8)))</x:f>
      </x:c>
      <x:c r="G784" s="50" t="str">
        <x:f>IF(776&gt;$H$4,"",IF(INDEX('Fleet dates'!$G$9:$G$1008,$I784-8)="","",INDEX('Fleet dates'!$G$9:$G$1008,$I784-8)))</x:f>
      </x:c>
      <x:c r="H784" s="50" t="str">
        <x:f>IF(776&gt;$H$4,"",IF(INDEX('Fleet dates'!$I$9:$I$1008,$I784-8)="","",INDEX('Fleet dates'!$I$9:$I$1008,$I784-8)))</x:f>
      </x:c>
      <x:c r="I784" t="str">
        <x:f>IF(776&gt;$H$4,"",MATCH(776,'Fleet dates'!$M$9:$M$1008,0)+8)</x:f>
      </x:c>
    </x:row>
    <x:row r="785" ht="36" customHeight="1">
      <x:c r="A785" s="50" t="str">
        <x:f>IF(777&gt;$H$4,"",IF(INDEX('Fleet dates'!$A$9:$A$1008,$I785-8)="","",INDEX('Fleet dates'!$A$9:$A$1008,$I785-8)))</x:f>
      </x:c>
      <x:c r="B785" s="50" t="str">
        <x:f>IF(777&gt;$H$4,"",IF(INDEX('Fleet dates'!$B$9:$B$1008,$I785-8)="","",INDEX('Fleet dates'!$B$9:$B$1008,$I785-8)))</x:f>
      </x:c>
      <x:c r="C785" s="51" t="str">
        <x:f>IF(777&gt;$H$4,"",IF(INDEX('Fleet dates'!$C$9:$C$1008,$I785-8)="","",INDEX('Fleet dates'!$C$9:$C$1008,$I785-8)))</x:f>
      </x:c>
      <x:c r="D785" s="51" t="str">
        <x:f>IF(777&gt;$H$4,"",IF(INDEX('Fleet dates'!$D$9:$D$1008,$I785-8)="","",INDEX('Fleet dates'!$D$9:$D$1008,$I785-8)))</x:f>
      </x:c>
      <x:c r="E785" s="51" t="str">
        <x:f>IF(777&gt;$H$4,"",IF(INDEX('Fleet dates'!$E$9:$E$1008,$I785-8)="","",INDEX('Fleet dates'!$E$9:$E$1008,$I785-8)))</x:f>
      </x:c>
      <x:c r="F785" s="51" t="str">
        <x:f>IF(777&gt;$H$4,"",IF(INDEX('Fleet dates'!$F$9:$F$1008,$I785-8)="","",INDEX('Fleet dates'!$F$9:$F$1008,$I785-8)))</x:f>
      </x:c>
      <x:c r="G785" s="50" t="str">
        <x:f>IF(777&gt;$H$4,"",IF(INDEX('Fleet dates'!$G$9:$G$1008,$I785-8)="","",INDEX('Fleet dates'!$G$9:$G$1008,$I785-8)))</x:f>
      </x:c>
      <x:c r="H785" s="50" t="str">
        <x:f>IF(777&gt;$H$4,"",IF(INDEX('Fleet dates'!$I$9:$I$1008,$I785-8)="","",INDEX('Fleet dates'!$I$9:$I$1008,$I785-8)))</x:f>
      </x:c>
      <x:c r="I785" t="str">
        <x:f>IF(777&gt;$H$4,"",MATCH(777,'Fleet dates'!$M$9:$M$1008,0)+8)</x:f>
      </x:c>
    </x:row>
    <x:row r="786" ht="36" customHeight="1">
      <x:c r="A786" s="50" t="str">
        <x:f>IF(778&gt;$H$4,"",IF(INDEX('Fleet dates'!$A$9:$A$1008,$I786-8)="","",INDEX('Fleet dates'!$A$9:$A$1008,$I786-8)))</x:f>
      </x:c>
      <x:c r="B786" s="50" t="str">
        <x:f>IF(778&gt;$H$4,"",IF(INDEX('Fleet dates'!$B$9:$B$1008,$I786-8)="","",INDEX('Fleet dates'!$B$9:$B$1008,$I786-8)))</x:f>
      </x:c>
      <x:c r="C786" s="51" t="str">
        <x:f>IF(778&gt;$H$4,"",IF(INDEX('Fleet dates'!$C$9:$C$1008,$I786-8)="","",INDEX('Fleet dates'!$C$9:$C$1008,$I786-8)))</x:f>
      </x:c>
      <x:c r="D786" s="51" t="str">
        <x:f>IF(778&gt;$H$4,"",IF(INDEX('Fleet dates'!$D$9:$D$1008,$I786-8)="","",INDEX('Fleet dates'!$D$9:$D$1008,$I786-8)))</x:f>
      </x:c>
      <x:c r="E786" s="51" t="str">
        <x:f>IF(778&gt;$H$4,"",IF(INDEX('Fleet dates'!$E$9:$E$1008,$I786-8)="","",INDEX('Fleet dates'!$E$9:$E$1008,$I786-8)))</x:f>
      </x:c>
      <x:c r="F786" s="51" t="str">
        <x:f>IF(778&gt;$H$4,"",IF(INDEX('Fleet dates'!$F$9:$F$1008,$I786-8)="","",INDEX('Fleet dates'!$F$9:$F$1008,$I786-8)))</x:f>
      </x:c>
      <x:c r="G786" s="50" t="str">
        <x:f>IF(778&gt;$H$4,"",IF(INDEX('Fleet dates'!$G$9:$G$1008,$I786-8)="","",INDEX('Fleet dates'!$G$9:$G$1008,$I786-8)))</x:f>
      </x:c>
      <x:c r="H786" s="50" t="str">
        <x:f>IF(778&gt;$H$4,"",IF(INDEX('Fleet dates'!$I$9:$I$1008,$I786-8)="","",INDEX('Fleet dates'!$I$9:$I$1008,$I786-8)))</x:f>
      </x:c>
      <x:c r="I786" t="str">
        <x:f>IF(778&gt;$H$4,"",MATCH(778,'Fleet dates'!$M$9:$M$1008,0)+8)</x:f>
      </x:c>
    </x:row>
    <x:row r="787" ht="36" customHeight="1">
      <x:c r="A787" s="50" t="str">
        <x:f>IF(779&gt;$H$4,"",IF(INDEX('Fleet dates'!$A$9:$A$1008,$I787-8)="","",INDEX('Fleet dates'!$A$9:$A$1008,$I787-8)))</x:f>
      </x:c>
      <x:c r="B787" s="50" t="str">
        <x:f>IF(779&gt;$H$4,"",IF(INDEX('Fleet dates'!$B$9:$B$1008,$I787-8)="","",INDEX('Fleet dates'!$B$9:$B$1008,$I787-8)))</x:f>
      </x:c>
      <x:c r="C787" s="51" t="str">
        <x:f>IF(779&gt;$H$4,"",IF(INDEX('Fleet dates'!$C$9:$C$1008,$I787-8)="","",INDEX('Fleet dates'!$C$9:$C$1008,$I787-8)))</x:f>
      </x:c>
      <x:c r="D787" s="51" t="str">
        <x:f>IF(779&gt;$H$4,"",IF(INDEX('Fleet dates'!$D$9:$D$1008,$I787-8)="","",INDEX('Fleet dates'!$D$9:$D$1008,$I787-8)))</x:f>
      </x:c>
      <x:c r="E787" s="51" t="str">
        <x:f>IF(779&gt;$H$4,"",IF(INDEX('Fleet dates'!$E$9:$E$1008,$I787-8)="","",INDEX('Fleet dates'!$E$9:$E$1008,$I787-8)))</x:f>
      </x:c>
      <x:c r="F787" s="51" t="str">
        <x:f>IF(779&gt;$H$4,"",IF(INDEX('Fleet dates'!$F$9:$F$1008,$I787-8)="","",INDEX('Fleet dates'!$F$9:$F$1008,$I787-8)))</x:f>
      </x:c>
      <x:c r="G787" s="50" t="str">
        <x:f>IF(779&gt;$H$4,"",IF(INDEX('Fleet dates'!$G$9:$G$1008,$I787-8)="","",INDEX('Fleet dates'!$G$9:$G$1008,$I787-8)))</x:f>
      </x:c>
      <x:c r="H787" s="50" t="str">
        <x:f>IF(779&gt;$H$4,"",IF(INDEX('Fleet dates'!$I$9:$I$1008,$I787-8)="","",INDEX('Fleet dates'!$I$9:$I$1008,$I787-8)))</x:f>
      </x:c>
      <x:c r="I787" t="str">
        <x:f>IF(779&gt;$H$4,"",MATCH(779,'Fleet dates'!$M$9:$M$1008,0)+8)</x:f>
      </x:c>
    </x:row>
    <x:row r="788" ht="36" customHeight="1">
      <x:c r="A788" s="50" t="str">
        <x:f>IF(780&gt;$H$4,"",IF(INDEX('Fleet dates'!$A$9:$A$1008,$I788-8)="","",INDEX('Fleet dates'!$A$9:$A$1008,$I788-8)))</x:f>
      </x:c>
      <x:c r="B788" s="50" t="str">
        <x:f>IF(780&gt;$H$4,"",IF(INDEX('Fleet dates'!$B$9:$B$1008,$I788-8)="","",INDEX('Fleet dates'!$B$9:$B$1008,$I788-8)))</x:f>
      </x:c>
      <x:c r="C788" s="51" t="str">
        <x:f>IF(780&gt;$H$4,"",IF(INDEX('Fleet dates'!$C$9:$C$1008,$I788-8)="","",INDEX('Fleet dates'!$C$9:$C$1008,$I788-8)))</x:f>
      </x:c>
      <x:c r="D788" s="51" t="str">
        <x:f>IF(780&gt;$H$4,"",IF(INDEX('Fleet dates'!$D$9:$D$1008,$I788-8)="","",INDEX('Fleet dates'!$D$9:$D$1008,$I788-8)))</x:f>
      </x:c>
      <x:c r="E788" s="51" t="str">
        <x:f>IF(780&gt;$H$4,"",IF(INDEX('Fleet dates'!$E$9:$E$1008,$I788-8)="","",INDEX('Fleet dates'!$E$9:$E$1008,$I788-8)))</x:f>
      </x:c>
      <x:c r="F788" s="51" t="str">
        <x:f>IF(780&gt;$H$4,"",IF(INDEX('Fleet dates'!$F$9:$F$1008,$I788-8)="","",INDEX('Fleet dates'!$F$9:$F$1008,$I788-8)))</x:f>
      </x:c>
      <x:c r="G788" s="50" t="str">
        <x:f>IF(780&gt;$H$4,"",IF(INDEX('Fleet dates'!$G$9:$G$1008,$I788-8)="","",INDEX('Fleet dates'!$G$9:$G$1008,$I788-8)))</x:f>
      </x:c>
      <x:c r="H788" s="50" t="str">
        <x:f>IF(780&gt;$H$4,"",IF(INDEX('Fleet dates'!$I$9:$I$1008,$I788-8)="","",INDEX('Fleet dates'!$I$9:$I$1008,$I788-8)))</x:f>
      </x:c>
      <x:c r="I788" t="str">
        <x:f>IF(780&gt;$H$4,"",MATCH(780,'Fleet dates'!$M$9:$M$1008,0)+8)</x:f>
      </x:c>
    </x:row>
    <x:row r="789" ht="36" customHeight="1">
      <x:c r="A789" s="50" t="str">
        <x:f>IF(781&gt;$H$4,"",IF(INDEX('Fleet dates'!$A$9:$A$1008,$I789-8)="","",INDEX('Fleet dates'!$A$9:$A$1008,$I789-8)))</x:f>
      </x:c>
      <x:c r="B789" s="50" t="str">
        <x:f>IF(781&gt;$H$4,"",IF(INDEX('Fleet dates'!$B$9:$B$1008,$I789-8)="","",INDEX('Fleet dates'!$B$9:$B$1008,$I789-8)))</x:f>
      </x:c>
      <x:c r="C789" s="51" t="str">
        <x:f>IF(781&gt;$H$4,"",IF(INDEX('Fleet dates'!$C$9:$C$1008,$I789-8)="","",INDEX('Fleet dates'!$C$9:$C$1008,$I789-8)))</x:f>
      </x:c>
      <x:c r="D789" s="51" t="str">
        <x:f>IF(781&gt;$H$4,"",IF(INDEX('Fleet dates'!$D$9:$D$1008,$I789-8)="","",INDEX('Fleet dates'!$D$9:$D$1008,$I789-8)))</x:f>
      </x:c>
      <x:c r="E789" s="51" t="str">
        <x:f>IF(781&gt;$H$4,"",IF(INDEX('Fleet dates'!$E$9:$E$1008,$I789-8)="","",INDEX('Fleet dates'!$E$9:$E$1008,$I789-8)))</x:f>
      </x:c>
      <x:c r="F789" s="51" t="str">
        <x:f>IF(781&gt;$H$4,"",IF(INDEX('Fleet dates'!$F$9:$F$1008,$I789-8)="","",INDEX('Fleet dates'!$F$9:$F$1008,$I789-8)))</x:f>
      </x:c>
      <x:c r="G789" s="50" t="str">
        <x:f>IF(781&gt;$H$4,"",IF(INDEX('Fleet dates'!$G$9:$G$1008,$I789-8)="","",INDEX('Fleet dates'!$G$9:$G$1008,$I789-8)))</x:f>
      </x:c>
      <x:c r="H789" s="50" t="str">
        <x:f>IF(781&gt;$H$4,"",IF(INDEX('Fleet dates'!$I$9:$I$1008,$I789-8)="","",INDEX('Fleet dates'!$I$9:$I$1008,$I789-8)))</x:f>
      </x:c>
      <x:c r="I789" t="str">
        <x:f>IF(781&gt;$H$4,"",MATCH(781,'Fleet dates'!$M$9:$M$1008,0)+8)</x:f>
      </x:c>
    </x:row>
    <x:row r="790" ht="36" customHeight="1">
      <x:c r="A790" s="50" t="str">
        <x:f>IF(782&gt;$H$4,"",IF(INDEX('Fleet dates'!$A$9:$A$1008,$I790-8)="","",INDEX('Fleet dates'!$A$9:$A$1008,$I790-8)))</x:f>
      </x:c>
      <x:c r="B790" s="50" t="str">
        <x:f>IF(782&gt;$H$4,"",IF(INDEX('Fleet dates'!$B$9:$B$1008,$I790-8)="","",INDEX('Fleet dates'!$B$9:$B$1008,$I790-8)))</x:f>
      </x:c>
      <x:c r="C790" s="51" t="str">
        <x:f>IF(782&gt;$H$4,"",IF(INDEX('Fleet dates'!$C$9:$C$1008,$I790-8)="","",INDEX('Fleet dates'!$C$9:$C$1008,$I790-8)))</x:f>
      </x:c>
      <x:c r="D790" s="51" t="str">
        <x:f>IF(782&gt;$H$4,"",IF(INDEX('Fleet dates'!$D$9:$D$1008,$I790-8)="","",INDEX('Fleet dates'!$D$9:$D$1008,$I790-8)))</x:f>
      </x:c>
      <x:c r="E790" s="51" t="str">
        <x:f>IF(782&gt;$H$4,"",IF(INDEX('Fleet dates'!$E$9:$E$1008,$I790-8)="","",INDEX('Fleet dates'!$E$9:$E$1008,$I790-8)))</x:f>
      </x:c>
      <x:c r="F790" s="51" t="str">
        <x:f>IF(782&gt;$H$4,"",IF(INDEX('Fleet dates'!$F$9:$F$1008,$I790-8)="","",INDEX('Fleet dates'!$F$9:$F$1008,$I790-8)))</x:f>
      </x:c>
      <x:c r="G790" s="50" t="str">
        <x:f>IF(782&gt;$H$4,"",IF(INDEX('Fleet dates'!$G$9:$G$1008,$I790-8)="","",INDEX('Fleet dates'!$G$9:$G$1008,$I790-8)))</x:f>
      </x:c>
      <x:c r="H790" s="50" t="str">
        <x:f>IF(782&gt;$H$4,"",IF(INDEX('Fleet dates'!$I$9:$I$1008,$I790-8)="","",INDEX('Fleet dates'!$I$9:$I$1008,$I790-8)))</x:f>
      </x:c>
      <x:c r="I790" t="str">
        <x:f>IF(782&gt;$H$4,"",MATCH(782,'Fleet dates'!$M$9:$M$1008,0)+8)</x:f>
      </x:c>
    </x:row>
    <x:row r="791" ht="36" customHeight="1">
      <x:c r="A791" s="50" t="str">
        <x:f>IF(783&gt;$H$4,"",IF(INDEX('Fleet dates'!$A$9:$A$1008,$I791-8)="","",INDEX('Fleet dates'!$A$9:$A$1008,$I791-8)))</x:f>
      </x:c>
      <x:c r="B791" s="50" t="str">
        <x:f>IF(783&gt;$H$4,"",IF(INDEX('Fleet dates'!$B$9:$B$1008,$I791-8)="","",INDEX('Fleet dates'!$B$9:$B$1008,$I791-8)))</x:f>
      </x:c>
      <x:c r="C791" s="51" t="str">
        <x:f>IF(783&gt;$H$4,"",IF(INDEX('Fleet dates'!$C$9:$C$1008,$I791-8)="","",INDEX('Fleet dates'!$C$9:$C$1008,$I791-8)))</x:f>
      </x:c>
      <x:c r="D791" s="51" t="str">
        <x:f>IF(783&gt;$H$4,"",IF(INDEX('Fleet dates'!$D$9:$D$1008,$I791-8)="","",INDEX('Fleet dates'!$D$9:$D$1008,$I791-8)))</x:f>
      </x:c>
      <x:c r="E791" s="51" t="str">
        <x:f>IF(783&gt;$H$4,"",IF(INDEX('Fleet dates'!$E$9:$E$1008,$I791-8)="","",INDEX('Fleet dates'!$E$9:$E$1008,$I791-8)))</x:f>
      </x:c>
      <x:c r="F791" s="51" t="str">
        <x:f>IF(783&gt;$H$4,"",IF(INDEX('Fleet dates'!$F$9:$F$1008,$I791-8)="","",INDEX('Fleet dates'!$F$9:$F$1008,$I791-8)))</x:f>
      </x:c>
      <x:c r="G791" s="50" t="str">
        <x:f>IF(783&gt;$H$4,"",IF(INDEX('Fleet dates'!$G$9:$G$1008,$I791-8)="","",INDEX('Fleet dates'!$G$9:$G$1008,$I791-8)))</x:f>
      </x:c>
      <x:c r="H791" s="50" t="str">
        <x:f>IF(783&gt;$H$4,"",IF(INDEX('Fleet dates'!$I$9:$I$1008,$I791-8)="","",INDEX('Fleet dates'!$I$9:$I$1008,$I791-8)))</x:f>
      </x:c>
      <x:c r="I791" t="str">
        <x:f>IF(783&gt;$H$4,"",MATCH(783,'Fleet dates'!$M$9:$M$1008,0)+8)</x:f>
      </x:c>
    </x:row>
    <x:row r="792" ht="36" customHeight="1">
      <x:c r="A792" s="50" t="str">
        <x:f>IF(784&gt;$H$4,"",IF(INDEX('Fleet dates'!$A$9:$A$1008,$I792-8)="","",INDEX('Fleet dates'!$A$9:$A$1008,$I792-8)))</x:f>
      </x:c>
      <x:c r="B792" s="50" t="str">
        <x:f>IF(784&gt;$H$4,"",IF(INDEX('Fleet dates'!$B$9:$B$1008,$I792-8)="","",INDEX('Fleet dates'!$B$9:$B$1008,$I792-8)))</x:f>
      </x:c>
      <x:c r="C792" s="51" t="str">
        <x:f>IF(784&gt;$H$4,"",IF(INDEX('Fleet dates'!$C$9:$C$1008,$I792-8)="","",INDEX('Fleet dates'!$C$9:$C$1008,$I792-8)))</x:f>
      </x:c>
      <x:c r="D792" s="51" t="str">
        <x:f>IF(784&gt;$H$4,"",IF(INDEX('Fleet dates'!$D$9:$D$1008,$I792-8)="","",INDEX('Fleet dates'!$D$9:$D$1008,$I792-8)))</x:f>
      </x:c>
      <x:c r="E792" s="51" t="str">
        <x:f>IF(784&gt;$H$4,"",IF(INDEX('Fleet dates'!$E$9:$E$1008,$I792-8)="","",INDEX('Fleet dates'!$E$9:$E$1008,$I792-8)))</x:f>
      </x:c>
      <x:c r="F792" s="51" t="str">
        <x:f>IF(784&gt;$H$4,"",IF(INDEX('Fleet dates'!$F$9:$F$1008,$I792-8)="","",INDEX('Fleet dates'!$F$9:$F$1008,$I792-8)))</x:f>
      </x:c>
      <x:c r="G792" s="50" t="str">
        <x:f>IF(784&gt;$H$4,"",IF(INDEX('Fleet dates'!$G$9:$G$1008,$I792-8)="","",INDEX('Fleet dates'!$G$9:$G$1008,$I792-8)))</x:f>
      </x:c>
      <x:c r="H792" s="50" t="str">
        <x:f>IF(784&gt;$H$4,"",IF(INDEX('Fleet dates'!$I$9:$I$1008,$I792-8)="","",INDEX('Fleet dates'!$I$9:$I$1008,$I792-8)))</x:f>
      </x:c>
      <x:c r="I792" t="str">
        <x:f>IF(784&gt;$H$4,"",MATCH(784,'Fleet dates'!$M$9:$M$1008,0)+8)</x:f>
      </x:c>
    </x:row>
    <x:row r="793" ht="36" customHeight="1">
      <x:c r="A793" s="50" t="str">
        <x:f>IF(785&gt;$H$4,"",IF(INDEX('Fleet dates'!$A$9:$A$1008,$I793-8)="","",INDEX('Fleet dates'!$A$9:$A$1008,$I793-8)))</x:f>
      </x:c>
      <x:c r="B793" s="50" t="str">
        <x:f>IF(785&gt;$H$4,"",IF(INDEX('Fleet dates'!$B$9:$B$1008,$I793-8)="","",INDEX('Fleet dates'!$B$9:$B$1008,$I793-8)))</x:f>
      </x:c>
      <x:c r="C793" s="51" t="str">
        <x:f>IF(785&gt;$H$4,"",IF(INDEX('Fleet dates'!$C$9:$C$1008,$I793-8)="","",INDEX('Fleet dates'!$C$9:$C$1008,$I793-8)))</x:f>
      </x:c>
      <x:c r="D793" s="51" t="str">
        <x:f>IF(785&gt;$H$4,"",IF(INDEX('Fleet dates'!$D$9:$D$1008,$I793-8)="","",INDEX('Fleet dates'!$D$9:$D$1008,$I793-8)))</x:f>
      </x:c>
      <x:c r="E793" s="51" t="str">
        <x:f>IF(785&gt;$H$4,"",IF(INDEX('Fleet dates'!$E$9:$E$1008,$I793-8)="","",INDEX('Fleet dates'!$E$9:$E$1008,$I793-8)))</x:f>
      </x:c>
      <x:c r="F793" s="51" t="str">
        <x:f>IF(785&gt;$H$4,"",IF(INDEX('Fleet dates'!$F$9:$F$1008,$I793-8)="","",INDEX('Fleet dates'!$F$9:$F$1008,$I793-8)))</x:f>
      </x:c>
      <x:c r="G793" s="50" t="str">
        <x:f>IF(785&gt;$H$4,"",IF(INDEX('Fleet dates'!$G$9:$G$1008,$I793-8)="","",INDEX('Fleet dates'!$G$9:$G$1008,$I793-8)))</x:f>
      </x:c>
      <x:c r="H793" s="50" t="str">
        <x:f>IF(785&gt;$H$4,"",IF(INDEX('Fleet dates'!$I$9:$I$1008,$I793-8)="","",INDEX('Fleet dates'!$I$9:$I$1008,$I793-8)))</x:f>
      </x:c>
      <x:c r="I793" t="str">
        <x:f>IF(785&gt;$H$4,"",MATCH(785,'Fleet dates'!$M$9:$M$1008,0)+8)</x:f>
      </x:c>
    </x:row>
    <x:row r="794" ht="36" customHeight="1">
      <x:c r="A794" s="50" t="str">
        <x:f>IF(786&gt;$H$4,"",IF(INDEX('Fleet dates'!$A$9:$A$1008,$I794-8)="","",INDEX('Fleet dates'!$A$9:$A$1008,$I794-8)))</x:f>
      </x:c>
      <x:c r="B794" s="50" t="str">
        <x:f>IF(786&gt;$H$4,"",IF(INDEX('Fleet dates'!$B$9:$B$1008,$I794-8)="","",INDEX('Fleet dates'!$B$9:$B$1008,$I794-8)))</x:f>
      </x:c>
      <x:c r="C794" s="51" t="str">
        <x:f>IF(786&gt;$H$4,"",IF(INDEX('Fleet dates'!$C$9:$C$1008,$I794-8)="","",INDEX('Fleet dates'!$C$9:$C$1008,$I794-8)))</x:f>
      </x:c>
      <x:c r="D794" s="51" t="str">
        <x:f>IF(786&gt;$H$4,"",IF(INDEX('Fleet dates'!$D$9:$D$1008,$I794-8)="","",INDEX('Fleet dates'!$D$9:$D$1008,$I794-8)))</x:f>
      </x:c>
      <x:c r="E794" s="51" t="str">
        <x:f>IF(786&gt;$H$4,"",IF(INDEX('Fleet dates'!$E$9:$E$1008,$I794-8)="","",INDEX('Fleet dates'!$E$9:$E$1008,$I794-8)))</x:f>
      </x:c>
      <x:c r="F794" s="51" t="str">
        <x:f>IF(786&gt;$H$4,"",IF(INDEX('Fleet dates'!$F$9:$F$1008,$I794-8)="","",INDEX('Fleet dates'!$F$9:$F$1008,$I794-8)))</x:f>
      </x:c>
      <x:c r="G794" s="50" t="str">
        <x:f>IF(786&gt;$H$4,"",IF(INDEX('Fleet dates'!$G$9:$G$1008,$I794-8)="","",INDEX('Fleet dates'!$G$9:$G$1008,$I794-8)))</x:f>
      </x:c>
      <x:c r="H794" s="50" t="str">
        <x:f>IF(786&gt;$H$4,"",IF(INDEX('Fleet dates'!$I$9:$I$1008,$I794-8)="","",INDEX('Fleet dates'!$I$9:$I$1008,$I794-8)))</x:f>
      </x:c>
      <x:c r="I794" t="str">
        <x:f>IF(786&gt;$H$4,"",MATCH(786,'Fleet dates'!$M$9:$M$1008,0)+8)</x:f>
      </x:c>
    </x:row>
    <x:row r="795" ht="36" customHeight="1">
      <x:c r="A795" s="50" t="str">
        <x:f>IF(787&gt;$H$4,"",IF(INDEX('Fleet dates'!$A$9:$A$1008,$I795-8)="","",INDEX('Fleet dates'!$A$9:$A$1008,$I795-8)))</x:f>
      </x:c>
      <x:c r="B795" s="50" t="str">
        <x:f>IF(787&gt;$H$4,"",IF(INDEX('Fleet dates'!$B$9:$B$1008,$I795-8)="","",INDEX('Fleet dates'!$B$9:$B$1008,$I795-8)))</x:f>
      </x:c>
      <x:c r="C795" s="51" t="str">
        <x:f>IF(787&gt;$H$4,"",IF(INDEX('Fleet dates'!$C$9:$C$1008,$I795-8)="","",INDEX('Fleet dates'!$C$9:$C$1008,$I795-8)))</x:f>
      </x:c>
      <x:c r="D795" s="51" t="str">
        <x:f>IF(787&gt;$H$4,"",IF(INDEX('Fleet dates'!$D$9:$D$1008,$I795-8)="","",INDEX('Fleet dates'!$D$9:$D$1008,$I795-8)))</x:f>
      </x:c>
      <x:c r="E795" s="51" t="str">
        <x:f>IF(787&gt;$H$4,"",IF(INDEX('Fleet dates'!$E$9:$E$1008,$I795-8)="","",INDEX('Fleet dates'!$E$9:$E$1008,$I795-8)))</x:f>
      </x:c>
      <x:c r="F795" s="51" t="str">
        <x:f>IF(787&gt;$H$4,"",IF(INDEX('Fleet dates'!$F$9:$F$1008,$I795-8)="","",INDEX('Fleet dates'!$F$9:$F$1008,$I795-8)))</x:f>
      </x:c>
      <x:c r="G795" s="50" t="str">
        <x:f>IF(787&gt;$H$4,"",IF(INDEX('Fleet dates'!$G$9:$G$1008,$I795-8)="","",INDEX('Fleet dates'!$G$9:$G$1008,$I795-8)))</x:f>
      </x:c>
      <x:c r="H795" s="50" t="str">
        <x:f>IF(787&gt;$H$4,"",IF(INDEX('Fleet dates'!$I$9:$I$1008,$I795-8)="","",INDEX('Fleet dates'!$I$9:$I$1008,$I795-8)))</x:f>
      </x:c>
      <x:c r="I795" t="str">
        <x:f>IF(787&gt;$H$4,"",MATCH(787,'Fleet dates'!$M$9:$M$1008,0)+8)</x:f>
      </x:c>
    </x:row>
    <x:row r="796" ht="36" customHeight="1">
      <x:c r="A796" s="50" t="str">
        <x:f>IF(788&gt;$H$4,"",IF(INDEX('Fleet dates'!$A$9:$A$1008,$I796-8)="","",INDEX('Fleet dates'!$A$9:$A$1008,$I796-8)))</x:f>
      </x:c>
      <x:c r="B796" s="50" t="str">
        <x:f>IF(788&gt;$H$4,"",IF(INDEX('Fleet dates'!$B$9:$B$1008,$I796-8)="","",INDEX('Fleet dates'!$B$9:$B$1008,$I796-8)))</x:f>
      </x:c>
      <x:c r="C796" s="51" t="str">
        <x:f>IF(788&gt;$H$4,"",IF(INDEX('Fleet dates'!$C$9:$C$1008,$I796-8)="","",INDEX('Fleet dates'!$C$9:$C$1008,$I796-8)))</x:f>
      </x:c>
      <x:c r="D796" s="51" t="str">
        <x:f>IF(788&gt;$H$4,"",IF(INDEX('Fleet dates'!$D$9:$D$1008,$I796-8)="","",INDEX('Fleet dates'!$D$9:$D$1008,$I796-8)))</x:f>
      </x:c>
      <x:c r="E796" s="51" t="str">
        <x:f>IF(788&gt;$H$4,"",IF(INDEX('Fleet dates'!$E$9:$E$1008,$I796-8)="","",INDEX('Fleet dates'!$E$9:$E$1008,$I796-8)))</x:f>
      </x:c>
      <x:c r="F796" s="51" t="str">
        <x:f>IF(788&gt;$H$4,"",IF(INDEX('Fleet dates'!$F$9:$F$1008,$I796-8)="","",INDEX('Fleet dates'!$F$9:$F$1008,$I796-8)))</x:f>
      </x:c>
      <x:c r="G796" s="50" t="str">
        <x:f>IF(788&gt;$H$4,"",IF(INDEX('Fleet dates'!$G$9:$G$1008,$I796-8)="","",INDEX('Fleet dates'!$G$9:$G$1008,$I796-8)))</x:f>
      </x:c>
      <x:c r="H796" s="50" t="str">
        <x:f>IF(788&gt;$H$4,"",IF(INDEX('Fleet dates'!$I$9:$I$1008,$I796-8)="","",INDEX('Fleet dates'!$I$9:$I$1008,$I796-8)))</x:f>
      </x:c>
      <x:c r="I796" t="str">
        <x:f>IF(788&gt;$H$4,"",MATCH(788,'Fleet dates'!$M$9:$M$1008,0)+8)</x:f>
      </x:c>
    </x:row>
    <x:row r="797" ht="36" customHeight="1">
      <x:c r="A797" s="50" t="str">
        <x:f>IF(789&gt;$H$4,"",IF(INDEX('Fleet dates'!$A$9:$A$1008,$I797-8)="","",INDEX('Fleet dates'!$A$9:$A$1008,$I797-8)))</x:f>
      </x:c>
      <x:c r="B797" s="50" t="str">
        <x:f>IF(789&gt;$H$4,"",IF(INDEX('Fleet dates'!$B$9:$B$1008,$I797-8)="","",INDEX('Fleet dates'!$B$9:$B$1008,$I797-8)))</x:f>
      </x:c>
      <x:c r="C797" s="51" t="str">
        <x:f>IF(789&gt;$H$4,"",IF(INDEX('Fleet dates'!$C$9:$C$1008,$I797-8)="","",INDEX('Fleet dates'!$C$9:$C$1008,$I797-8)))</x:f>
      </x:c>
      <x:c r="D797" s="51" t="str">
        <x:f>IF(789&gt;$H$4,"",IF(INDEX('Fleet dates'!$D$9:$D$1008,$I797-8)="","",INDEX('Fleet dates'!$D$9:$D$1008,$I797-8)))</x:f>
      </x:c>
      <x:c r="E797" s="51" t="str">
        <x:f>IF(789&gt;$H$4,"",IF(INDEX('Fleet dates'!$E$9:$E$1008,$I797-8)="","",INDEX('Fleet dates'!$E$9:$E$1008,$I797-8)))</x:f>
      </x:c>
      <x:c r="F797" s="51" t="str">
        <x:f>IF(789&gt;$H$4,"",IF(INDEX('Fleet dates'!$F$9:$F$1008,$I797-8)="","",INDEX('Fleet dates'!$F$9:$F$1008,$I797-8)))</x:f>
      </x:c>
      <x:c r="G797" s="50" t="str">
        <x:f>IF(789&gt;$H$4,"",IF(INDEX('Fleet dates'!$G$9:$G$1008,$I797-8)="","",INDEX('Fleet dates'!$G$9:$G$1008,$I797-8)))</x:f>
      </x:c>
      <x:c r="H797" s="50" t="str">
        <x:f>IF(789&gt;$H$4,"",IF(INDEX('Fleet dates'!$I$9:$I$1008,$I797-8)="","",INDEX('Fleet dates'!$I$9:$I$1008,$I797-8)))</x:f>
      </x:c>
      <x:c r="I797" t="str">
        <x:f>IF(789&gt;$H$4,"",MATCH(789,'Fleet dates'!$M$9:$M$1008,0)+8)</x:f>
      </x:c>
    </x:row>
    <x:row r="798" ht="36" customHeight="1">
      <x:c r="A798" s="50" t="str">
        <x:f>IF(790&gt;$H$4,"",IF(INDEX('Fleet dates'!$A$9:$A$1008,$I798-8)="","",INDEX('Fleet dates'!$A$9:$A$1008,$I798-8)))</x:f>
      </x:c>
      <x:c r="B798" s="50" t="str">
        <x:f>IF(790&gt;$H$4,"",IF(INDEX('Fleet dates'!$B$9:$B$1008,$I798-8)="","",INDEX('Fleet dates'!$B$9:$B$1008,$I798-8)))</x:f>
      </x:c>
      <x:c r="C798" s="51" t="str">
        <x:f>IF(790&gt;$H$4,"",IF(INDEX('Fleet dates'!$C$9:$C$1008,$I798-8)="","",INDEX('Fleet dates'!$C$9:$C$1008,$I798-8)))</x:f>
      </x:c>
      <x:c r="D798" s="51" t="str">
        <x:f>IF(790&gt;$H$4,"",IF(INDEX('Fleet dates'!$D$9:$D$1008,$I798-8)="","",INDEX('Fleet dates'!$D$9:$D$1008,$I798-8)))</x:f>
      </x:c>
      <x:c r="E798" s="51" t="str">
        <x:f>IF(790&gt;$H$4,"",IF(INDEX('Fleet dates'!$E$9:$E$1008,$I798-8)="","",INDEX('Fleet dates'!$E$9:$E$1008,$I798-8)))</x:f>
      </x:c>
      <x:c r="F798" s="51" t="str">
        <x:f>IF(790&gt;$H$4,"",IF(INDEX('Fleet dates'!$F$9:$F$1008,$I798-8)="","",INDEX('Fleet dates'!$F$9:$F$1008,$I798-8)))</x:f>
      </x:c>
      <x:c r="G798" s="50" t="str">
        <x:f>IF(790&gt;$H$4,"",IF(INDEX('Fleet dates'!$G$9:$G$1008,$I798-8)="","",INDEX('Fleet dates'!$G$9:$G$1008,$I798-8)))</x:f>
      </x:c>
      <x:c r="H798" s="50" t="str">
        <x:f>IF(790&gt;$H$4,"",IF(INDEX('Fleet dates'!$I$9:$I$1008,$I798-8)="","",INDEX('Fleet dates'!$I$9:$I$1008,$I798-8)))</x:f>
      </x:c>
      <x:c r="I798" t="str">
        <x:f>IF(790&gt;$H$4,"",MATCH(790,'Fleet dates'!$M$9:$M$1008,0)+8)</x:f>
      </x:c>
    </x:row>
    <x:row r="799" ht="36" customHeight="1">
      <x:c r="A799" s="50" t="str">
        <x:f>IF(791&gt;$H$4,"",IF(INDEX('Fleet dates'!$A$9:$A$1008,$I799-8)="","",INDEX('Fleet dates'!$A$9:$A$1008,$I799-8)))</x:f>
      </x:c>
      <x:c r="B799" s="50" t="str">
        <x:f>IF(791&gt;$H$4,"",IF(INDEX('Fleet dates'!$B$9:$B$1008,$I799-8)="","",INDEX('Fleet dates'!$B$9:$B$1008,$I799-8)))</x:f>
      </x:c>
      <x:c r="C799" s="51" t="str">
        <x:f>IF(791&gt;$H$4,"",IF(INDEX('Fleet dates'!$C$9:$C$1008,$I799-8)="","",INDEX('Fleet dates'!$C$9:$C$1008,$I799-8)))</x:f>
      </x:c>
      <x:c r="D799" s="51" t="str">
        <x:f>IF(791&gt;$H$4,"",IF(INDEX('Fleet dates'!$D$9:$D$1008,$I799-8)="","",INDEX('Fleet dates'!$D$9:$D$1008,$I799-8)))</x:f>
      </x:c>
      <x:c r="E799" s="51" t="str">
        <x:f>IF(791&gt;$H$4,"",IF(INDEX('Fleet dates'!$E$9:$E$1008,$I799-8)="","",INDEX('Fleet dates'!$E$9:$E$1008,$I799-8)))</x:f>
      </x:c>
      <x:c r="F799" s="51" t="str">
        <x:f>IF(791&gt;$H$4,"",IF(INDEX('Fleet dates'!$F$9:$F$1008,$I799-8)="","",INDEX('Fleet dates'!$F$9:$F$1008,$I799-8)))</x:f>
      </x:c>
      <x:c r="G799" s="50" t="str">
        <x:f>IF(791&gt;$H$4,"",IF(INDEX('Fleet dates'!$G$9:$G$1008,$I799-8)="","",INDEX('Fleet dates'!$G$9:$G$1008,$I799-8)))</x:f>
      </x:c>
      <x:c r="H799" s="50" t="str">
        <x:f>IF(791&gt;$H$4,"",IF(INDEX('Fleet dates'!$I$9:$I$1008,$I799-8)="","",INDEX('Fleet dates'!$I$9:$I$1008,$I799-8)))</x:f>
      </x:c>
      <x:c r="I799" t="str">
        <x:f>IF(791&gt;$H$4,"",MATCH(791,'Fleet dates'!$M$9:$M$1008,0)+8)</x:f>
      </x:c>
    </x:row>
    <x:row r="800" ht="36" customHeight="1">
      <x:c r="A800" s="50" t="str">
        <x:f>IF(792&gt;$H$4,"",IF(INDEX('Fleet dates'!$A$9:$A$1008,$I800-8)="","",INDEX('Fleet dates'!$A$9:$A$1008,$I800-8)))</x:f>
      </x:c>
      <x:c r="B800" s="50" t="str">
        <x:f>IF(792&gt;$H$4,"",IF(INDEX('Fleet dates'!$B$9:$B$1008,$I800-8)="","",INDEX('Fleet dates'!$B$9:$B$1008,$I800-8)))</x:f>
      </x:c>
      <x:c r="C800" s="51" t="str">
        <x:f>IF(792&gt;$H$4,"",IF(INDEX('Fleet dates'!$C$9:$C$1008,$I800-8)="","",INDEX('Fleet dates'!$C$9:$C$1008,$I800-8)))</x:f>
      </x:c>
      <x:c r="D800" s="51" t="str">
        <x:f>IF(792&gt;$H$4,"",IF(INDEX('Fleet dates'!$D$9:$D$1008,$I800-8)="","",INDEX('Fleet dates'!$D$9:$D$1008,$I800-8)))</x:f>
      </x:c>
      <x:c r="E800" s="51" t="str">
        <x:f>IF(792&gt;$H$4,"",IF(INDEX('Fleet dates'!$E$9:$E$1008,$I800-8)="","",INDEX('Fleet dates'!$E$9:$E$1008,$I800-8)))</x:f>
      </x:c>
      <x:c r="F800" s="51" t="str">
        <x:f>IF(792&gt;$H$4,"",IF(INDEX('Fleet dates'!$F$9:$F$1008,$I800-8)="","",INDEX('Fleet dates'!$F$9:$F$1008,$I800-8)))</x:f>
      </x:c>
      <x:c r="G800" s="50" t="str">
        <x:f>IF(792&gt;$H$4,"",IF(INDEX('Fleet dates'!$G$9:$G$1008,$I800-8)="","",INDEX('Fleet dates'!$G$9:$G$1008,$I800-8)))</x:f>
      </x:c>
      <x:c r="H800" s="50" t="str">
        <x:f>IF(792&gt;$H$4,"",IF(INDEX('Fleet dates'!$I$9:$I$1008,$I800-8)="","",INDEX('Fleet dates'!$I$9:$I$1008,$I800-8)))</x:f>
      </x:c>
      <x:c r="I800" t="str">
        <x:f>IF(792&gt;$H$4,"",MATCH(792,'Fleet dates'!$M$9:$M$1008,0)+8)</x:f>
      </x:c>
    </x:row>
    <x:row r="801" ht="36" customHeight="1">
      <x:c r="A801" s="50" t="str">
        <x:f>IF(793&gt;$H$4,"",IF(INDEX('Fleet dates'!$A$9:$A$1008,$I801-8)="","",INDEX('Fleet dates'!$A$9:$A$1008,$I801-8)))</x:f>
      </x:c>
      <x:c r="B801" s="50" t="str">
        <x:f>IF(793&gt;$H$4,"",IF(INDEX('Fleet dates'!$B$9:$B$1008,$I801-8)="","",INDEX('Fleet dates'!$B$9:$B$1008,$I801-8)))</x:f>
      </x:c>
      <x:c r="C801" s="51" t="str">
        <x:f>IF(793&gt;$H$4,"",IF(INDEX('Fleet dates'!$C$9:$C$1008,$I801-8)="","",INDEX('Fleet dates'!$C$9:$C$1008,$I801-8)))</x:f>
      </x:c>
      <x:c r="D801" s="51" t="str">
        <x:f>IF(793&gt;$H$4,"",IF(INDEX('Fleet dates'!$D$9:$D$1008,$I801-8)="","",INDEX('Fleet dates'!$D$9:$D$1008,$I801-8)))</x:f>
      </x:c>
      <x:c r="E801" s="51" t="str">
        <x:f>IF(793&gt;$H$4,"",IF(INDEX('Fleet dates'!$E$9:$E$1008,$I801-8)="","",INDEX('Fleet dates'!$E$9:$E$1008,$I801-8)))</x:f>
      </x:c>
      <x:c r="F801" s="51" t="str">
        <x:f>IF(793&gt;$H$4,"",IF(INDEX('Fleet dates'!$F$9:$F$1008,$I801-8)="","",INDEX('Fleet dates'!$F$9:$F$1008,$I801-8)))</x:f>
      </x:c>
      <x:c r="G801" s="50" t="str">
        <x:f>IF(793&gt;$H$4,"",IF(INDEX('Fleet dates'!$G$9:$G$1008,$I801-8)="","",INDEX('Fleet dates'!$G$9:$G$1008,$I801-8)))</x:f>
      </x:c>
      <x:c r="H801" s="50" t="str">
        <x:f>IF(793&gt;$H$4,"",IF(INDEX('Fleet dates'!$I$9:$I$1008,$I801-8)="","",INDEX('Fleet dates'!$I$9:$I$1008,$I801-8)))</x:f>
      </x:c>
      <x:c r="I801" t="str">
        <x:f>IF(793&gt;$H$4,"",MATCH(793,'Fleet dates'!$M$9:$M$1008,0)+8)</x:f>
      </x:c>
    </x:row>
    <x:row r="802" ht="36" customHeight="1">
      <x:c r="A802" s="50" t="str">
        <x:f>IF(794&gt;$H$4,"",IF(INDEX('Fleet dates'!$A$9:$A$1008,$I802-8)="","",INDEX('Fleet dates'!$A$9:$A$1008,$I802-8)))</x:f>
      </x:c>
      <x:c r="B802" s="50" t="str">
        <x:f>IF(794&gt;$H$4,"",IF(INDEX('Fleet dates'!$B$9:$B$1008,$I802-8)="","",INDEX('Fleet dates'!$B$9:$B$1008,$I802-8)))</x:f>
      </x:c>
      <x:c r="C802" s="51" t="str">
        <x:f>IF(794&gt;$H$4,"",IF(INDEX('Fleet dates'!$C$9:$C$1008,$I802-8)="","",INDEX('Fleet dates'!$C$9:$C$1008,$I802-8)))</x:f>
      </x:c>
      <x:c r="D802" s="51" t="str">
        <x:f>IF(794&gt;$H$4,"",IF(INDEX('Fleet dates'!$D$9:$D$1008,$I802-8)="","",INDEX('Fleet dates'!$D$9:$D$1008,$I802-8)))</x:f>
      </x:c>
      <x:c r="E802" s="51" t="str">
        <x:f>IF(794&gt;$H$4,"",IF(INDEX('Fleet dates'!$E$9:$E$1008,$I802-8)="","",INDEX('Fleet dates'!$E$9:$E$1008,$I802-8)))</x:f>
      </x:c>
      <x:c r="F802" s="51" t="str">
        <x:f>IF(794&gt;$H$4,"",IF(INDEX('Fleet dates'!$F$9:$F$1008,$I802-8)="","",INDEX('Fleet dates'!$F$9:$F$1008,$I802-8)))</x:f>
      </x:c>
      <x:c r="G802" s="50" t="str">
        <x:f>IF(794&gt;$H$4,"",IF(INDEX('Fleet dates'!$G$9:$G$1008,$I802-8)="","",INDEX('Fleet dates'!$G$9:$G$1008,$I802-8)))</x:f>
      </x:c>
      <x:c r="H802" s="50" t="str">
        <x:f>IF(794&gt;$H$4,"",IF(INDEX('Fleet dates'!$I$9:$I$1008,$I802-8)="","",INDEX('Fleet dates'!$I$9:$I$1008,$I802-8)))</x:f>
      </x:c>
      <x:c r="I802" t="str">
        <x:f>IF(794&gt;$H$4,"",MATCH(794,'Fleet dates'!$M$9:$M$1008,0)+8)</x:f>
      </x:c>
    </x:row>
    <x:row r="803" ht="36" customHeight="1">
      <x:c r="A803" s="50" t="str">
        <x:f>IF(795&gt;$H$4,"",IF(INDEX('Fleet dates'!$A$9:$A$1008,$I803-8)="","",INDEX('Fleet dates'!$A$9:$A$1008,$I803-8)))</x:f>
      </x:c>
      <x:c r="B803" s="50" t="str">
        <x:f>IF(795&gt;$H$4,"",IF(INDEX('Fleet dates'!$B$9:$B$1008,$I803-8)="","",INDEX('Fleet dates'!$B$9:$B$1008,$I803-8)))</x:f>
      </x:c>
      <x:c r="C803" s="51" t="str">
        <x:f>IF(795&gt;$H$4,"",IF(INDEX('Fleet dates'!$C$9:$C$1008,$I803-8)="","",INDEX('Fleet dates'!$C$9:$C$1008,$I803-8)))</x:f>
      </x:c>
      <x:c r="D803" s="51" t="str">
        <x:f>IF(795&gt;$H$4,"",IF(INDEX('Fleet dates'!$D$9:$D$1008,$I803-8)="","",INDEX('Fleet dates'!$D$9:$D$1008,$I803-8)))</x:f>
      </x:c>
      <x:c r="E803" s="51" t="str">
        <x:f>IF(795&gt;$H$4,"",IF(INDEX('Fleet dates'!$E$9:$E$1008,$I803-8)="","",INDEX('Fleet dates'!$E$9:$E$1008,$I803-8)))</x:f>
      </x:c>
      <x:c r="F803" s="51" t="str">
        <x:f>IF(795&gt;$H$4,"",IF(INDEX('Fleet dates'!$F$9:$F$1008,$I803-8)="","",INDEX('Fleet dates'!$F$9:$F$1008,$I803-8)))</x:f>
      </x:c>
      <x:c r="G803" s="50" t="str">
        <x:f>IF(795&gt;$H$4,"",IF(INDEX('Fleet dates'!$G$9:$G$1008,$I803-8)="","",INDEX('Fleet dates'!$G$9:$G$1008,$I803-8)))</x:f>
      </x:c>
      <x:c r="H803" s="50" t="str">
        <x:f>IF(795&gt;$H$4,"",IF(INDEX('Fleet dates'!$I$9:$I$1008,$I803-8)="","",INDEX('Fleet dates'!$I$9:$I$1008,$I803-8)))</x:f>
      </x:c>
      <x:c r="I803" t="str">
        <x:f>IF(795&gt;$H$4,"",MATCH(795,'Fleet dates'!$M$9:$M$1008,0)+8)</x:f>
      </x:c>
    </x:row>
    <x:row r="804" ht="36" customHeight="1">
      <x:c r="A804" s="50" t="str">
        <x:f>IF(796&gt;$H$4,"",IF(INDEX('Fleet dates'!$A$9:$A$1008,$I804-8)="","",INDEX('Fleet dates'!$A$9:$A$1008,$I804-8)))</x:f>
      </x:c>
      <x:c r="B804" s="50" t="str">
        <x:f>IF(796&gt;$H$4,"",IF(INDEX('Fleet dates'!$B$9:$B$1008,$I804-8)="","",INDEX('Fleet dates'!$B$9:$B$1008,$I804-8)))</x:f>
      </x:c>
      <x:c r="C804" s="51" t="str">
        <x:f>IF(796&gt;$H$4,"",IF(INDEX('Fleet dates'!$C$9:$C$1008,$I804-8)="","",INDEX('Fleet dates'!$C$9:$C$1008,$I804-8)))</x:f>
      </x:c>
      <x:c r="D804" s="51" t="str">
        <x:f>IF(796&gt;$H$4,"",IF(INDEX('Fleet dates'!$D$9:$D$1008,$I804-8)="","",INDEX('Fleet dates'!$D$9:$D$1008,$I804-8)))</x:f>
      </x:c>
      <x:c r="E804" s="51" t="str">
        <x:f>IF(796&gt;$H$4,"",IF(INDEX('Fleet dates'!$E$9:$E$1008,$I804-8)="","",INDEX('Fleet dates'!$E$9:$E$1008,$I804-8)))</x:f>
      </x:c>
      <x:c r="F804" s="51" t="str">
        <x:f>IF(796&gt;$H$4,"",IF(INDEX('Fleet dates'!$F$9:$F$1008,$I804-8)="","",INDEX('Fleet dates'!$F$9:$F$1008,$I804-8)))</x:f>
      </x:c>
      <x:c r="G804" s="50" t="str">
        <x:f>IF(796&gt;$H$4,"",IF(INDEX('Fleet dates'!$G$9:$G$1008,$I804-8)="","",INDEX('Fleet dates'!$G$9:$G$1008,$I804-8)))</x:f>
      </x:c>
      <x:c r="H804" s="50" t="str">
        <x:f>IF(796&gt;$H$4,"",IF(INDEX('Fleet dates'!$I$9:$I$1008,$I804-8)="","",INDEX('Fleet dates'!$I$9:$I$1008,$I804-8)))</x:f>
      </x:c>
      <x:c r="I804" t="str">
        <x:f>IF(796&gt;$H$4,"",MATCH(796,'Fleet dates'!$M$9:$M$1008,0)+8)</x:f>
      </x:c>
    </x:row>
    <x:row r="805" ht="36" customHeight="1">
      <x:c r="A805" s="50" t="str">
        <x:f>IF(797&gt;$H$4,"",IF(INDEX('Fleet dates'!$A$9:$A$1008,$I805-8)="","",INDEX('Fleet dates'!$A$9:$A$1008,$I805-8)))</x:f>
      </x:c>
      <x:c r="B805" s="50" t="str">
        <x:f>IF(797&gt;$H$4,"",IF(INDEX('Fleet dates'!$B$9:$B$1008,$I805-8)="","",INDEX('Fleet dates'!$B$9:$B$1008,$I805-8)))</x:f>
      </x:c>
      <x:c r="C805" s="51" t="str">
        <x:f>IF(797&gt;$H$4,"",IF(INDEX('Fleet dates'!$C$9:$C$1008,$I805-8)="","",INDEX('Fleet dates'!$C$9:$C$1008,$I805-8)))</x:f>
      </x:c>
      <x:c r="D805" s="51" t="str">
        <x:f>IF(797&gt;$H$4,"",IF(INDEX('Fleet dates'!$D$9:$D$1008,$I805-8)="","",INDEX('Fleet dates'!$D$9:$D$1008,$I805-8)))</x:f>
      </x:c>
      <x:c r="E805" s="51" t="str">
        <x:f>IF(797&gt;$H$4,"",IF(INDEX('Fleet dates'!$E$9:$E$1008,$I805-8)="","",INDEX('Fleet dates'!$E$9:$E$1008,$I805-8)))</x:f>
      </x:c>
      <x:c r="F805" s="51" t="str">
        <x:f>IF(797&gt;$H$4,"",IF(INDEX('Fleet dates'!$F$9:$F$1008,$I805-8)="","",INDEX('Fleet dates'!$F$9:$F$1008,$I805-8)))</x:f>
      </x:c>
      <x:c r="G805" s="50" t="str">
        <x:f>IF(797&gt;$H$4,"",IF(INDEX('Fleet dates'!$G$9:$G$1008,$I805-8)="","",INDEX('Fleet dates'!$G$9:$G$1008,$I805-8)))</x:f>
      </x:c>
      <x:c r="H805" s="50" t="str">
        <x:f>IF(797&gt;$H$4,"",IF(INDEX('Fleet dates'!$I$9:$I$1008,$I805-8)="","",INDEX('Fleet dates'!$I$9:$I$1008,$I805-8)))</x:f>
      </x:c>
      <x:c r="I805" t="str">
        <x:f>IF(797&gt;$H$4,"",MATCH(797,'Fleet dates'!$M$9:$M$1008,0)+8)</x:f>
      </x:c>
    </x:row>
    <x:row r="806" ht="36" customHeight="1">
      <x:c r="A806" s="50" t="str">
        <x:f>IF(798&gt;$H$4,"",IF(INDEX('Fleet dates'!$A$9:$A$1008,$I806-8)="","",INDEX('Fleet dates'!$A$9:$A$1008,$I806-8)))</x:f>
      </x:c>
      <x:c r="B806" s="50" t="str">
        <x:f>IF(798&gt;$H$4,"",IF(INDEX('Fleet dates'!$B$9:$B$1008,$I806-8)="","",INDEX('Fleet dates'!$B$9:$B$1008,$I806-8)))</x:f>
      </x:c>
      <x:c r="C806" s="51" t="str">
        <x:f>IF(798&gt;$H$4,"",IF(INDEX('Fleet dates'!$C$9:$C$1008,$I806-8)="","",INDEX('Fleet dates'!$C$9:$C$1008,$I806-8)))</x:f>
      </x:c>
      <x:c r="D806" s="51" t="str">
        <x:f>IF(798&gt;$H$4,"",IF(INDEX('Fleet dates'!$D$9:$D$1008,$I806-8)="","",INDEX('Fleet dates'!$D$9:$D$1008,$I806-8)))</x:f>
      </x:c>
      <x:c r="E806" s="51" t="str">
        <x:f>IF(798&gt;$H$4,"",IF(INDEX('Fleet dates'!$E$9:$E$1008,$I806-8)="","",INDEX('Fleet dates'!$E$9:$E$1008,$I806-8)))</x:f>
      </x:c>
      <x:c r="F806" s="51" t="str">
        <x:f>IF(798&gt;$H$4,"",IF(INDEX('Fleet dates'!$F$9:$F$1008,$I806-8)="","",INDEX('Fleet dates'!$F$9:$F$1008,$I806-8)))</x:f>
      </x:c>
      <x:c r="G806" s="50" t="str">
        <x:f>IF(798&gt;$H$4,"",IF(INDEX('Fleet dates'!$G$9:$G$1008,$I806-8)="","",INDEX('Fleet dates'!$G$9:$G$1008,$I806-8)))</x:f>
      </x:c>
      <x:c r="H806" s="50" t="str">
        <x:f>IF(798&gt;$H$4,"",IF(INDEX('Fleet dates'!$I$9:$I$1008,$I806-8)="","",INDEX('Fleet dates'!$I$9:$I$1008,$I806-8)))</x:f>
      </x:c>
      <x:c r="I806" t="str">
        <x:f>IF(798&gt;$H$4,"",MATCH(798,'Fleet dates'!$M$9:$M$1008,0)+8)</x:f>
      </x:c>
    </x:row>
    <x:row r="807" ht="36" customHeight="1">
      <x:c r="A807" s="50" t="str">
        <x:f>IF(799&gt;$H$4,"",IF(INDEX('Fleet dates'!$A$9:$A$1008,$I807-8)="","",INDEX('Fleet dates'!$A$9:$A$1008,$I807-8)))</x:f>
      </x:c>
      <x:c r="B807" s="50" t="str">
        <x:f>IF(799&gt;$H$4,"",IF(INDEX('Fleet dates'!$B$9:$B$1008,$I807-8)="","",INDEX('Fleet dates'!$B$9:$B$1008,$I807-8)))</x:f>
      </x:c>
      <x:c r="C807" s="51" t="str">
        <x:f>IF(799&gt;$H$4,"",IF(INDEX('Fleet dates'!$C$9:$C$1008,$I807-8)="","",INDEX('Fleet dates'!$C$9:$C$1008,$I807-8)))</x:f>
      </x:c>
      <x:c r="D807" s="51" t="str">
        <x:f>IF(799&gt;$H$4,"",IF(INDEX('Fleet dates'!$D$9:$D$1008,$I807-8)="","",INDEX('Fleet dates'!$D$9:$D$1008,$I807-8)))</x:f>
      </x:c>
      <x:c r="E807" s="51" t="str">
        <x:f>IF(799&gt;$H$4,"",IF(INDEX('Fleet dates'!$E$9:$E$1008,$I807-8)="","",INDEX('Fleet dates'!$E$9:$E$1008,$I807-8)))</x:f>
      </x:c>
      <x:c r="F807" s="51" t="str">
        <x:f>IF(799&gt;$H$4,"",IF(INDEX('Fleet dates'!$F$9:$F$1008,$I807-8)="","",INDEX('Fleet dates'!$F$9:$F$1008,$I807-8)))</x:f>
      </x:c>
      <x:c r="G807" s="50" t="str">
        <x:f>IF(799&gt;$H$4,"",IF(INDEX('Fleet dates'!$G$9:$G$1008,$I807-8)="","",INDEX('Fleet dates'!$G$9:$G$1008,$I807-8)))</x:f>
      </x:c>
      <x:c r="H807" s="50" t="str">
        <x:f>IF(799&gt;$H$4,"",IF(INDEX('Fleet dates'!$I$9:$I$1008,$I807-8)="","",INDEX('Fleet dates'!$I$9:$I$1008,$I807-8)))</x:f>
      </x:c>
      <x:c r="I807" t="str">
        <x:f>IF(799&gt;$H$4,"",MATCH(799,'Fleet dates'!$M$9:$M$1008,0)+8)</x:f>
      </x:c>
    </x:row>
    <x:row r="808" ht="36" customHeight="1">
      <x:c r="A808" s="50" t="str">
        <x:f>IF(800&gt;$H$4,"",IF(INDEX('Fleet dates'!$A$9:$A$1008,$I808-8)="","",INDEX('Fleet dates'!$A$9:$A$1008,$I808-8)))</x:f>
      </x:c>
      <x:c r="B808" s="50" t="str">
        <x:f>IF(800&gt;$H$4,"",IF(INDEX('Fleet dates'!$B$9:$B$1008,$I808-8)="","",INDEX('Fleet dates'!$B$9:$B$1008,$I808-8)))</x:f>
      </x:c>
      <x:c r="C808" s="51" t="str">
        <x:f>IF(800&gt;$H$4,"",IF(INDEX('Fleet dates'!$C$9:$C$1008,$I808-8)="","",INDEX('Fleet dates'!$C$9:$C$1008,$I808-8)))</x:f>
      </x:c>
      <x:c r="D808" s="51" t="str">
        <x:f>IF(800&gt;$H$4,"",IF(INDEX('Fleet dates'!$D$9:$D$1008,$I808-8)="","",INDEX('Fleet dates'!$D$9:$D$1008,$I808-8)))</x:f>
      </x:c>
      <x:c r="E808" s="51" t="str">
        <x:f>IF(800&gt;$H$4,"",IF(INDEX('Fleet dates'!$E$9:$E$1008,$I808-8)="","",INDEX('Fleet dates'!$E$9:$E$1008,$I808-8)))</x:f>
      </x:c>
      <x:c r="F808" s="51" t="str">
        <x:f>IF(800&gt;$H$4,"",IF(INDEX('Fleet dates'!$F$9:$F$1008,$I808-8)="","",INDEX('Fleet dates'!$F$9:$F$1008,$I808-8)))</x:f>
      </x:c>
      <x:c r="G808" s="50" t="str">
        <x:f>IF(800&gt;$H$4,"",IF(INDEX('Fleet dates'!$G$9:$G$1008,$I808-8)="","",INDEX('Fleet dates'!$G$9:$G$1008,$I808-8)))</x:f>
      </x:c>
      <x:c r="H808" s="50" t="str">
        <x:f>IF(800&gt;$H$4,"",IF(INDEX('Fleet dates'!$I$9:$I$1008,$I808-8)="","",INDEX('Fleet dates'!$I$9:$I$1008,$I808-8)))</x:f>
      </x:c>
      <x:c r="I808" t="str">
        <x:f>IF(800&gt;$H$4,"",MATCH(800,'Fleet dates'!$M$9:$M$1008,0)+8)</x:f>
      </x:c>
    </x:row>
    <x:row r="809" ht="36" customHeight="1">
      <x:c r="A809" s="50" t="str">
        <x:f>IF(801&gt;$H$4,"",IF(INDEX('Fleet dates'!$A$9:$A$1008,$I809-8)="","",INDEX('Fleet dates'!$A$9:$A$1008,$I809-8)))</x:f>
      </x:c>
      <x:c r="B809" s="50" t="str">
        <x:f>IF(801&gt;$H$4,"",IF(INDEX('Fleet dates'!$B$9:$B$1008,$I809-8)="","",INDEX('Fleet dates'!$B$9:$B$1008,$I809-8)))</x:f>
      </x:c>
      <x:c r="C809" s="51" t="str">
        <x:f>IF(801&gt;$H$4,"",IF(INDEX('Fleet dates'!$C$9:$C$1008,$I809-8)="","",INDEX('Fleet dates'!$C$9:$C$1008,$I809-8)))</x:f>
      </x:c>
      <x:c r="D809" s="51" t="str">
        <x:f>IF(801&gt;$H$4,"",IF(INDEX('Fleet dates'!$D$9:$D$1008,$I809-8)="","",INDEX('Fleet dates'!$D$9:$D$1008,$I809-8)))</x:f>
      </x:c>
      <x:c r="E809" s="51" t="str">
        <x:f>IF(801&gt;$H$4,"",IF(INDEX('Fleet dates'!$E$9:$E$1008,$I809-8)="","",INDEX('Fleet dates'!$E$9:$E$1008,$I809-8)))</x:f>
      </x:c>
      <x:c r="F809" s="51" t="str">
        <x:f>IF(801&gt;$H$4,"",IF(INDEX('Fleet dates'!$F$9:$F$1008,$I809-8)="","",INDEX('Fleet dates'!$F$9:$F$1008,$I809-8)))</x:f>
      </x:c>
      <x:c r="G809" s="50" t="str">
        <x:f>IF(801&gt;$H$4,"",IF(INDEX('Fleet dates'!$G$9:$G$1008,$I809-8)="","",INDEX('Fleet dates'!$G$9:$G$1008,$I809-8)))</x:f>
      </x:c>
      <x:c r="H809" s="50" t="str">
        <x:f>IF(801&gt;$H$4,"",IF(INDEX('Fleet dates'!$I$9:$I$1008,$I809-8)="","",INDEX('Fleet dates'!$I$9:$I$1008,$I809-8)))</x:f>
      </x:c>
      <x:c r="I809" t="str">
        <x:f>IF(801&gt;$H$4,"",MATCH(801,'Fleet dates'!$M$9:$M$1008,0)+8)</x:f>
      </x:c>
    </x:row>
    <x:row r="810" ht="36" customHeight="1">
      <x:c r="A810" s="50" t="str">
        <x:f>IF(802&gt;$H$4,"",IF(INDEX('Fleet dates'!$A$9:$A$1008,$I810-8)="","",INDEX('Fleet dates'!$A$9:$A$1008,$I810-8)))</x:f>
      </x:c>
      <x:c r="B810" s="50" t="str">
        <x:f>IF(802&gt;$H$4,"",IF(INDEX('Fleet dates'!$B$9:$B$1008,$I810-8)="","",INDEX('Fleet dates'!$B$9:$B$1008,$I810-8)))</x:f>
      </x:c>
      <x:c r="C810" s="51" t="str">
        <x:f>IF(802&gt;$H$4,"",IF(INDEX('Fleet dates'!$C$9:$C$1008,$I810-8)="","",INDEX('Fleet dates'!$C$9:$C$1008,$I810-8)))</x:f>
      </x:c>
      <x:c r="D810" s="51" t="str">
        <x:f>IF(802&gt;$H$4,"",IF(INDEX('Fleet dates'!$D$9:$D$1008,$I810-8)="","",INDEX('Fleet dates'!$D$9:$D$1008,$I810-8)))</x:f>
      </x:c>
      <x:c r="E810" s="51" t="str">
        <x:f>IF(802&gt;$H$4,"",IF(INDEX('Fleet dates'!$E$9:$E$1008,$I810-8)="","",INDEX('Fleet dates'!$E$9:$E$1008,$I810-8)))</x:f>
      </x:c>
      <x:c r="F810" s="51" t="str">
        <x:f>IF(802&gt;$H$4,"",IF(INDEX('Fleet dates'!$F$9:$F$1008,$I810-8)="","",INDEX('Fleet dates'!$F$9:$F$1008,$I810-8)))</x:f>
      </x:c>
      <x:c r="G810" s="50" t="str">
        <x:f>IF(802&gt;$H$4,"",IF(INDEX('Fleet dates'!$G$9:$G$1008,$I810-8)="","",INDEX('Fleet dates'!$G$9:$G$1008,$I810-8)))</x:f>
      </x:c>
      <x:c r="H810" s="50" t="str">
        <x:f>IF(802&gt;$H$4,"",IF(INDEX('Fleet dates'!$I$9:$I$1008,$I810-8)="","",INDEX('Fleet dates'!$I$9:$I$1008,$I810-8)))</x:f>
      </x:c>
      <x:c r="I810" t="str">
        <x:f>IF(802&gt;$H$4,"",MATCH(802,'Fleet dates'!$M$9:$M$1008,0)+8)</x:f>
      </x:c>
    </x:row>
    <x:row r="811" ht="36" customHeight="1">
      <x:c r="A811" s="50" t="str">
        <x:f>IF(803&gt;$H$4,"",IF(INDEX('Fleet dates'!$A$9:$A$1008,$I811-8)="","",INDEX('Fleet dates'!$A$9:$A$1008,$I811-8)))</x:f>
      </x:c>
      <x:c r="B811" s="50" t="str">
        <x:f>IF(803&gt;$H$4,"",IF(INDEX('Fleet dates'!$B$9:$B$1008,$I811-8)="","",INDEX('Fleet dates'!$B$9:$B$1008,$I811-8)))</x:f>
      </x:c>
      <x:c r="C811" s="51" t="str">
        <x:f>IF(803&gt;$H$4,"",IF(INDEX('Fleet dates'!$C$9:$C$1008,$I811-8)="","",INDEX('Fleet dates'!$C$9:$C$1008,$I811-8)))</x:f>
      </x:c>
      <x:c r="D811" s="51" t="str">
        <x:f>IF(803&gt;$H$4,"",IF(INDEX('Fleet dates'!$D$9:$D$1008,$I811-8)="","",INDEX('Fleet dates'!$D$9:$D$1008,$I811-8)))</x:f>
      </x:c>
      <x:c r="E811" s="51" t="str">
        <x:f>IF(803&gt;$H$4,"",IF(INDEX('Fleet dates'!$E$9:$E$1008,$I811-8)="","",INDEX('Fleet dates'!$E$9:$E$1008,$I811-8)))</x:f>
      </x:c>
      <x:c r="F811" s="51" t="str">
        <x:f>IF(803&gt;$H$4,"",IF(INDEX('Fleet dates'!$F$9:$F$1008,$I811-8)="","",INDEX('Fleet dates'!$F$9:$F$1008,$I811-8)))</x:f>
      </x:c>
      <x:c r="G811" s="50" t="str">
        <x:f>IF(803&gt;$H$4,"",IF(INDEX('Fleet dates'!$G$9:$G$1008,$I811-8)="","",INDEX('Fleet dates'!$G$9:$G$1008,$I811-8)))</x:f>
      </x:c>
      <x:c r="H811" s="50" t="str">
        <x:f>IF(803&gt;$H$4,"",IF(INDEX('Fleet dates'!$I$9:$I$1008,$I811-8)="","",INDEX('Fleet dates'!$I$9:$I$1008,$I811-8)))</x:f>
      </x:c>
      <x:c r="I811" t="str">
        <x:f>IF(803&gt;$H$4,"",MATCH(803,'Fleet dates'!$M$9:$M$1008,0)+8)</x:f>
      </x:c>
    </x:row>
    <x:row r="812" ht="36" customHeight="1">
      <x:c r="A812" s="50" t="str">
        <x:f>IF(804&gt;$H$4,"",IF(INDEX('Fleet dates'!$A$9:$A$1008,$I812-8)="","",INDEX('Fleet dates'!$A$9:$A$1008,$I812-8)))</x:f>
      </x:c>
      <x:c r="B812" s="50" t="str">
        <x:f>IF(804&gt;$H$4,"",IF(INDEX('Fleet dates'!$B$9:$B$1008,$I812-8)="","",INDEX('Fleet dates'!$B$9:$B$1008,$I812-8)))</x:f>
      </x:c>
      <x:c r="C812" s="51" t="str">
        <x:f>IF(804&gt;$H$4,"",IF(INDEX('Fleet dates'!$C$9:$C$1008,$I812-8)="","",INDEX('Fleet dates'!$C$9:$C$1008,$I812-8)))</x:f>
      </x:c>
      <x:c r="D812" s="51" t="str">
        <x:f>IF(804&gt;$H$4,"",IF(INDEX('Fleet dates'!$D$9:$D$1008,$I812-8)="","",INDEX('Fleet dates'!$D$9:$D$1008,$I812-8)))</x:f>
      </x:c>
      <x:c r="E812" s="51" t="str">
        <x:f>IF(804&gt;$H$4,"",IF(INDEX('Fleet dates'!$E$9:$E$1008,$I812-8)="","",INDEX('Fleet dates'!$E$9:$E$1008,$I812-8)))</x:f>
      </x:c>
      <x:c r="F812" s="51" t="str">
        <x:f>IF(804&gt;$H$4,"",IF(INDEX('Fleet dates'!$F$9:$F$1008,$I812-8)="","",INDEX('Fleet dates'!$F$9:$F$1008,$I812-8)))</x:f>
      </x:c>
      <x:c r="G812" s="50" t="str">
        <x:f>IF(804&gt;$H$4,"",IF(INDEX('Fleet dates'!$G$9:$G$1008,$I812-8)="","",INDEX('Fleet dates'!$G$9:$G$1008,$I812-8)))</x:f>
      </x:c>
      <x:c r="H812" s="50" t="str">
        <x:f>IF(804&gt;$H$4,"",IF(INDEX('Fleet dates'!$I$9:$I$1008,$I812-8)="","",INDEX('Fleet dates'!$I$9:$I$1008,$I812-8)))</x:f>
      </x:c>
      <x:c r="I812" t="str">
        <x:f>IF(804&gt;$H$4,"",MATCH(804,'Fleet dates'!$M$9:$M$1008,0)+8)</x:f>
      </x:c>
    </x:row>
    <x:row r="813" ht="36" customHeight="1">
      <x:c r="A813" s="50" t="str">
        <x:f>IF(805&gt;$H$4,"",IF(INDEX('Fleet dates'!$A$9:$A$1008,$I813-8)="","",INDEX('Fleet dates'!$A$9:$A$1008,$I813-8)))</x:f>
      </x:c>
      <x:c r="B813" s="50" t="str">
        <x:f>IF(805&gt;$H$4,"",IF(INDEX('Fleet dates'!$B$9:$B$1008,$I813-8)="","",INDEX('Fleet dates'!$B$9:$B$1008,$I813-8)))</x:f>
      </x:c>
      <x:c r="C813" s="51" t="str">
        <x:f>IF(805&gt;$H$4,"",IF(INDEX('Fleet dates'!$C$9:$C$1008,$I813-8)="","",INDEX('Fleet dates'!$C$9:$C$1008,$I813-8)))</x:f>
      </x:c>
      <x:c r="D813" s="51" t="str">
        <x:f>IF(805&gt;$H$4,"",IF(INDEX('Fleet dates'!$D$9:$D$1008,$I813-8)="","",INDEX('Fleet dates'!$D$9:$D$1008,$I813-8)))</x:f>
      </x:c>
      <x:c r="E813" s="51" t="str">
        <x:f>IF(805&gt;$H$4,"",IF(INDEX('Fleet dates'!$E$9:$E$1008,$I813-8)="","",INDEX('Fleet dates'!$E$9:$E$1008,$I813-8)))</x:f>
      </x:c>
      <x:c r="F813" s="51" t="str">
        <x:f>IF(805&gt;$H$4,"",IF(INDEX('Fleet dates'!$F$9:$F$1008,$I813-8)="","",INDEX('Fleet dates'!$F$9:$F$1008,$I813-8)))</x:f>
      </x:c>
      <x:c r="G813" s="50" t="str">
        <x:f>IF(805&gt;$H$4,"",IF(INDEX('Fleet dates'!$G$9:$G$1008,$I813-8)="","",INDEX('Fleet dates'!$G$9:$G$1008,$I813-8)))</x:f>
      </x:c>
      <x:c r="H813" s="50" t="str">
        <x:f>IF(805&gt;$H$4,"",IF(INDEX('Fleet dates'!$I$9:$I$1008,$I813-8)="","",INDEX('Fleet dates'!$I$9:$I$1008,$I813-8)))</x:f>
      </x:c>
      <x:c r="I813" t="str">
        <x:f>IF(805&gt;$H$4,"",MATCH(805,'Fleet dates'!$M$9:$M$1008,0)+8)</x:f>
      </x:c>
    </x:row>
    <x:row r="814" ht="36" customHeight="1">
      <x:c r="A814" s="50" t="str">
        <x:f>IF(806&gt;$H$4,"",IF(INDEX('Fleet dates'!$A$9:$A$1008,$I814-8)="","",INDEX('Fleet dates'!$A$9:$A$1008,$I814-8)))</x:f>
      </x:c>
      <x:c r="B814" s="50" t="str">
        <x:f>IF(806&gt;$H$4,"",IF(INDEX('Fleet dates'!$B$9:$B$1008,$I814-8)="","",INDEX('Fleet dates'!$B$9:$B$1008,$I814-8)))</x:f>
      </x:c>
      <x:c r="C814" s="51" t="str">
        <x:f>IF(806&gt;$H$4,"",IF(INDEX('Fleet dates'!$C$9:$C$1008,$I814-8)="","",INDEX('Fleet dates'!$C$9:$C$1008,$I814-8)))</x:f>
      </x:c>
      <x:c r="D814" s="51" t="str">
        <x:f>IF(806&gt;$H$4,"",IF(INDEX('Fleet dates'!$D$9:$D$1008,$I814-8)="","",INDEX('Fleet dates'!$D$9:$D$1008,$I814-8)))</x:f>
      </x:c>
      <x:c r="E814" s="51" t="str">
        <x:f>IF(806&gt;$H$4,"",IF(INDEX('Fleet dates'!$E$9:$E$1008,$I814-8)="","",INDEX('Fleet dates'!$E$9:$E$1008,$I814-8)))</x:f>
      </x:c>
      <x:c r="F814" s="51" t="str">
        <x:f>IF(806&gt;$H$4,"",IF(INDEX('Fleet dates'!$F$9:$F$1008,$I814-8)="","",INDEX('Fleet dates'!$F$9:$F$1008,$I814-8)))</x:f>
      </x:c>
      <x:c r="G814" s="50" t="str">
        <x:f>IF(806&gt;$H$4,"",IF(INDEX('Fleet dates'!$G$9:$G$1008,$I814-8)="","",INDEX('Fleet dates'!$G$9:$G$1008,$I814-8)))</x:f>
      </x:c>
      <x:c r="H814" s="50" t="str">
        <x:f>IF(806&gt;$H$4,"",IF(INDEX('Fleet dates'!$I$9:$I$1008,$I814-8)="","",INDEX('Fleet dates'!$I$9:$I$1008,$I814-8)))</x:f>
      </x:c>
      <x:c r="I814" t="str">
        <x:f>IF(806&gt;$H$4,"",MATCH(806,'Fleet dates'!$M$9:$M$1008,0)+8)</x:f>
      </x:c>
    </x:row>
    <x:row r="815" ht="36" customHeight="1">
      <x:c r="A815" s="50" t="str">
        <x:f>IF(807&gt;$H$4,"",IF(INDEX('Fleet dates'!$A$9:$A$1008,$I815-8)="","",INDEX('Fleet dates'!$A$9:$A$1008,$I815-8)))</x:f>
      </x:c>
      <x:c r="B815" s="50" t="str">
        <x:f>IF(807&gt;$H$4,"",IF(INDEX('Fleet dates'!$B$9:$B$1008,$I815-8)="","",INDEX('Fleet dates'!$B$9:$B$1008,$I815-8)))</x:f>
      </x:c>
      <x:c r="C815" s="51" t="str">
        <x:f>IF(807&gt;$H$4,"",IF(INDEX('Fleet dates'!$C$9:$C$1008,$I815-8)="","",INDEX('Fleet dates'!$C$9:$C$1008,$I815-8)))</x:f>
      </x:c>
      <x:c r="D815" s="51" t="str">
        <x:f>IF(807&gt;$H$4,"",IF(INDEX('Fleet dates'!$D$9:$D$1008,$I815-8)="","",INDEX('Fleet dates'!$D$9:$D$1008,$I815-8)))</x:f>
      </x:c>
      <x:c r="E815" s="51" t="str">
        <x:f>IF(807&gt;$H$4,"",IF(INDEX('Fleet dates'!$E$9:$E$1008,$I815-8)="","",INDEX('Fleet dates'!$E$9:$E$1008,$I815-8)))</x:f>
      </x:c>
      <x:c r="F815" s="51" t="str">
        <x:f>IF(807&gt;$H$4,"",IF(INDEX('Fleet dates'!$F$9:$F$1008,$I815-8)="","",INDEX('Fleet dates'!$F$9:$F$1008,$I815-8)))</x:f>
      </x:c>
      <x:c r="G815" s="50" t="str">
        <x:f>IF(807&gt;$H$4,"",IF(INDEX('Fleet dates'!$G$9:$G$1008,$I815-8)="","",INDEX('Fleet dates'!$G$9:$G$1008,$I815-8)))</x:f>
      </x:c>
      <x:c r="H815" s="50" t="str">
        <x:f>IF(807&gt;$H$4,"",IF(INDEX('Fleet dates'!$I$9:$I$1008,$I815-8)="","",INDEX('Fleet dates'!$I$9:$I$1008,$I815-8)))</x:f>
      </x:c>
      <x:c r="I815" t="str">
        <x:f>IF(807&gt;$H$4,"",MATCH(807,'Fleet dates'!$M$9:$M$1008,0)+8)</x:f>
      </x:c>
    </x:row>
    <x:row r="816" ht="36" customHeight="1">
      <x:c r="A816" s="50" t="str">
        <x:f>IF(808&gt;$H$4,"",IF(INDEX('Fleet dates'!$A$9:$A$1008,$I816-8)="","",INDEX('Fleet dates'!$A$9:$A$1008,$I816-8)))</x:f>
      </x:c>
      <x:c r="B816" s="50" t="str">
        <x:f>IF(808&gt;$H$4,"",IF(INDEX('Fleet dates'!$B$9:$B$1008,$I816-8)="","",INDEX('Fleet dates'!$B$9:$B$1008,$I816-8)))</x:f>
      </x:c>
      <x:c r="C816" s="51" t="str">
        <x:f>IF(808&gt;$H$4,"",IF(INDEX('Fleet dates'!$C$9:$C$1008,$I816-8)="","",INDEX('Fleet dates'!$C$9:$C$1008,$I816-8)))</x:f>
      </x:c>
      <x:c r="D816" s="51" t="str">
        <x:f>IF(808&gt;$H$4,"",IF(INDEX('Fleet dates'!$D$9:$D$1008,$I816-8)="","",INDEX('Fleet dates'!$D$9:$D$1008,$I816-8)))</x:f>
      </x:c>
      <x:c r="E816" s="51" t="str">
        <x:f>IF(808&gt;$H$4,"",IF(INDEX('Fleet dates'!$E$9:$E$1008,$I816-8)="","",INDEX('Fleet dates'!$E$9:$E$1008,$I816-8)))</x:f>
      </x:c>
      <x:c r="F816" s="51" t="str">
        <x:f>IF(808&gt;$H$4,"",IF(INDEX('Fleet dates'!$F$9:$F$1008,$I816-8)="","",INDEX('Fleet dates'!$F$9:$F$1008,$I816-8)))</x:f>
      </x:c>
      <x:c r="G816" s="50" t="str">
        <x:f>IF(808&gt;$H$4,"",IF(INDEX('Fleet dates'!$G$9:$G$1008,$I816-8)="","",INDEX('Fleet dates'!$G$9:$G$1008,$I816-8)))</x:f>
      </x:c>
      <x:c r="H816" s="50" t="str">
        <x:f>IF(808&gt;$H$4,"",IF(INDEX('Fleet dates'!$I$9:$I$1008,$I816-8)="","",INDEX('Fleet dates'!$I$9:$I$1008,$I816-8)))</x:f>
      </x:c>
      <x:c r="I816" t="str">
        <x:f>IF(808&gt;$H$4,"",MATCH(808,'Fleet dates'!$M$9:$M$1008,0)+8)</x:f>
      </x:c>
    </x:row>
    <x:row r="817" ht="36" customHeight="1">
      <x:c r="A817" s="50" t="str">
        <x:f>IF(809&gt;$H$4,"",IF(INDEX('Fleet dates'!$A$9:$A$1008,$I817-8)="","",INDEX('Fleet dates'!$A$9:$A$1008,$I817-8)))</x:f>
      </x:c>
      <x:c r="B817" s="50" t="str">
        <x:f>IF(809&gt;$H$4,"",IF(INDEX('Fleet dates'!$B$9:$B$1008,$I817-8)="","",INDEX('Fleet dates'!$B$9:$B$1008,$I817-8)))</x:f>
      </x:c>
      <x:c r="C817" s="51" t="str">
        <x:f>IF(809&gt;$H$4,"",IF(INDEX('Fleet dates'!$C$9:$C$1008,$I817-8)="","",INDEX('Fleet dates'!$C$9:$C$1008,$I817-8)))</x:f>
      </x:c>
      <x:c r="D817" s="51" t="str">
        <x:f>IF(809&gt;$H$4,"",IF(INDEX('Fleet dates'!$D$9:$D$1008,$I817-8)="","",INDEX('Fleet dates'!$D$9:$D$1008,$I817-8)))</x:f>
      </x:c>
      <x:c r="E817" s="51" t="str">
        <x:f>IF(809&gt;$H$4,"",IF(INDEX('Fleet dates'!$E$9:$E$1008,$I817-8)="","",INDEX('Fleet dates'!$E$9:$E$1008,$I817-8)))</x:f>
      </x:c>
      <x:c r="F817" s="51" t="str">
        <x:f>IF(809&gt;$H$4,"",IF(INDEX('Fleet dates'!$F$9:$F$1008,$I817-8)="","",INDEX('Fleet dates'!$F$9:$F$1008,$I817-8)))</x:f>
      </x:c>
      <x:c r="G817" s="50" t="str">
        <x:f>IF(809&gt;$H$4,"",IF(INDEX('Fleet dates'!$G$9:$G$1008,$I817-8)="","",INDEX('Fleet dates'!$G$9:$G$1008,$I817-8)))</x:f>
      </x:c>
      <x:c r="H817" s="50" t="str">
        <x:f>IF(809&gt;$H$4,"",IF(INDEX('Fleet dates'!$I$9:$I$1008,$I817-8)="","",INDEX('Fleet dates'!$I$9:$I$1008,$I817-8)))</x:f>
      </x:c>
      <x:c r="I817" t="str">
        <x:f>IF(809&gt;$H$4,"",MATCH(809,'Fleet dates'!$M$9:$M$1008,0)+8)</x:f>
      </x:c>
    </x:row>
    <x:row r="818" ht="36" customHeight="1">
      <x:c r="A818" s="50" t="str">
        <x:f>IF(810&gt;$H$4,"",IF(INDEX('Fleet dates'!$A$9:$A$1008,$I818-8)="","",INDEX('Fleet dates'!$A$9:$A$1008,$I818-8)))</x:f>
      </x:c>
      <x:c r="B818" s="50" t="str">
        <x:f>IF(810&gt;$H$4,"",IF(INDEX('Fleet dates'!$B$9:$B$1008,$I818-8)="","",INDEX('Fleet dates'!$B$9:$B$1008,$I818-8)))</x:f>
      </x:c>
      <x:c r="C818" s="51" t="str">
        <x:f>IF(810&gt;$H$4,"",IF(INDEX('Fleet dates'!$C$9:$C$1008,$I818-8)="","",INDEX('Fleet dates'!$C$9:$C$1008,$I818-8)))</x:f>
      </x:c>
      <x:c r="D818" s="51" t="str">
        <x:f>IF(810&gt;$H$4,"",IF(INDEX('Fleet dates'!$D$9:$D$1008,$I818-8)="","",INDEX('Fleet dates'!$D$9:$D$1008,$I818-8)))</x:f>
      </x:c>
      <x:c r="E818" s="51" t="str">
        <x:f>IF(810&gt;$H$4,"",IF(INDEX('Fleet dates'!$E$9:$E$1008,$I818-8)="","",INDEX('Fleet dates'!$E$9:$E$1008,$I818-8)))</x:f>
      </x:c>
      <x:c r="F818" s="51" t="str">
        <x:f>IF(810&gt;$H$4,"",IF(INDEX('Fleet dates'!$F$9:$F$1008,$I818-8)="","",INDEX('Fleet dates'!$F$9:$F$1008,$I818-8)))</x:f>
      </x:c>
      <x:c r="G818" s="50" t="str">
        <x:f>IF(810&gt;$H$4,"",IF(INDEX('Fleet dates'!$G$9:$G$1008,$I818-8)="","",INDEX('Fleet dates'!$G$9:$G$1008,$I818-8)))</x:f>
      </x:c>
      <x:c r="H818" s="50" t="str">
        <x:f>IF(810&gt;$H$4,"",IF(INDEX('Fleet dates'!$I$9:$I$1008,$I818-8)="","",INDEX('Fleet dates'!$I$9:$I$1008,$I818-8)))</x:f>
      </x:c>
      <x:c r="I818" t="str">
        <x:f>IF(810&gt;$H$4,"",MATCH(810,'Fleet dates'!$M$9:$M$1008,0)+8)</x:f>
      </x:c>
    </x:row>
    <x:row r="819" ht="36" customHeight="1">
      <x:c r="A819" s="50" t="str">
        <x:f>IF(811&gt;$H$4,"",IF(INDEX('Fleet dates'!$A$9:$A$1008,$I819-8)="","",INDEX('Fleet dates'!$A$9:$A$1008,$I819-8)))</x:f>
      </x:c>
      <x:c r="B819" s="50" t="str">
        <x:f>IF(811&gt;$H$4,"",IF(INDEX('Fleet dates'!$B$9:$B$1008,$I819-8)="","",INDEX('Fleet dates'!$B$9:$B$1008,$I819-8)))</x:f>
      </x:c>
      <x:c r="C819" s="51" t="str">
        <x:f>IF(811&gt;$H$4,"",IF(INDEX('Fleet dates'!$C$9:$C$1008,$I819-8)="","",INDEX('Fleet dates'!$C$9:$C$1008,$I819-8)))</x:f>
      </x:c>
      <x:c r="D819" s="51" t="str">
        <x:f>IF(811&gt;$H$4,"",IF(INDEX('Fleet dates'!$D$9:$D$1008,$I819-8)="","",INDEX('Fleet dates'!$D$9:$D$1008,$I819-8)))</x:f>
      </x:c>
      <x:c r="E819" s="51" t="str">
        <x:f>IF(811&gt;$H$4,"",IF(INDEX('Fleet dates'!$E$9:$E$1008,$I819-8)="","",INDEX('Fleet dates'!$E$9:$E$1008,$I819-8)))</x:f>
      </x:c>
      <x:c r="F819" s="51" t="str">
        <x:f>IF(811&gt;$H$4,"",IF(INDEX('Fleet dates'!$F$9:$F$1008,$I819-8)="","",INDEX('Fleet dates'!$F$9:$F$1008,$I819-8)))</x:f>
      </x:c>
      <x:c r="G819" s="50" t="str">
        <x:f>IF(811&gt;$H$4,"",IF(INDEX('Fleet dates'!$G$9:$G$1008,$I819-8)="","",INDEX('Fleet dates'!$G$9:$G$1008,$I819-8)))</x:f>
      </x:c>
      <x:c r="H819" s="50" t="str">
        <x:f>IF(811&gt;$H$4,"",IF(INDEX('Fleet dates'!$I$9:$I$1008,$I819-8)="","",INDEX('Fleet dates'!$I$9:$I$1008,$I819-8)))</x:f>
      </x:c>
      <x:c r="I819" t="str">
        <x:f>IF(811&gt;$H$4,"",MATCH(811,'Fleet dates'!$M$9:$M$1008,0)+8)</x:f>
      </x:c>
    </x:row>
    <x:row r="820" ht="36" customHeight="1">
      <x:c r="A820" s="50" t="str">
        <x:f>IF(812&gt;$H$4,"",IF(INDEX('Fleet dates'!$A$9:$A$1008,$I820-8)="","",INDEX('Fleet dates'!$A$9:$A$1008,$I820-8)))</x:f>
      </x:c>
      <x:c r="B820" s="50" t="str">
        <x:f>IF(812&gt;$H$4,"",IF(INDEX('Fleet dates'!$B$9:$B$1008,$I820-8)="","",INDEX('Fleet dates'!$B$9:$B$1008,$I820-8)))</x:f>
      </x:c>
      <x:c r="C820" s="51" t="str">
        <x:f>IF(812&gt;$H$4,"",IF(INDEX('Fleet dates'!$C$9:$C$1008,$I820-8)="","",INDEX('Fleet dates'!$C$9:$C$1008,$I820-8)))</x:f>
      </x:c>
      <x:c r="D820" s="51" t="str">
        <x:f>IF(812&gt;$H$4,"",IF(INDEX('Fleet dates'!$D$9:$D$1008,$I820-8)="","",INDEX('Fleet dates'!$D$9:$D$1008,$I820-8)))</x:f>
      </x:c>
      <x:c r="E820" s="51" t="str">
        <x:f>IF(812&gt;$H$4,"",IF(INDEX('Fleet dates'!$E$9:$E$1008,$I820-8)="","",INDEX('Fleet dates'!$E$9:$E$1008,$I820-8)))</x:f>
      </x:c>
      <x:c r="F820" s="51" t="str">
        <x:f>IF(812&gt;$H$4,"",IF(INDEX('Fleet dates'!$F$9:$F$1008,$I820-8)="","",INDEX('Fleet dates'!$F$9:$F$1008,$I820-8)))</x:f>
      </x:c>
      <x:c r="G820" s="50" t="str">
        <x:f>IF(812&gt;$H$4,"",IF(INDEX('Fleet dates'!$G$9:$G$1008,$I820-8)="","",INDEX('Fleet dates'!$G$9:$G$1008,$I820-8)))</x:f>
      </x:c>
      <x:c r="H820" s="50" t="str">
        <x:f>IF(812&gt;$H$4,"",IF(INDEX('Fleet dates'!$I$9:$I$1008,$I820-8)="","",INDEX('Fleet dates'!$I$9:$I$1008,$I820-8)))</x:f>
      </x:c>
      <x:c r="I820" t="str">
        <x:f>IF(812&gt;$H$4,"",MATCH(812,'Fleet dates'!$M$9:$M$1008,0)+8)</x:f>
      </x:c>
    </x:row>
    <x:row r="821" ht="36" customHeight="1">
      <x:c r="A821" s="50" t="str">
        <x:f>IF(813&gt;$H$4,"",IF(INDEX('Fleet dates'!$A$9:$A$1008,$I821-8)="","",INDEX('Fleet dates'!$A$9:$A$1008,$I821-8)))</x:f>
      </x:c>
      <x:c r="B821" s="50" t="str">
        <x:f>IF(813&gt;$H$4,"",IF(INDEX('Fleet dates'!$B$9:$B$1008,$I821-8)="","",INDEX('Fleet dates'!$B$9:$B$1008,$I821-8)))</x:f>
      </x:c>
      <x:c r="C821" s="51" t="str">
        <x:f>IF(813&gt;$H$4,"",IF(INDEX('Fleet dates'!$C$9:$C$1008,$I821-8)="","",INDEX('Fleet dates'!$C$9:$C$1008,$I821-8)))</x:f>
      </x:c>
      <x:c r="D821" s="51" t="str">
        <x:f>IF(813&gt;$H$4,"",IF(INDEX('Fleet dates'!$D$9:$D$1008,$I821-8)="","",INDEX('Fleet dates'!$D$9:$D$1008,$I821-8)))</x:f>
      </x:c>
      <x:c r="E821" s="51" t="str">
        <x:f>IF(813&gt;$H$4,"",IF(INDEX('Fleet dates'!$E$9:$E$1008,$I821-8)="","",INDEX('Fleet dates'!$E$9:$E$1008,$I821-8)))</x:f>
      </x:c>
      <x:c r="F821" s="51" t="str">
        <x:f>IF(813&gt;$H$4,"",IF(INDEX('Fleet dates'!$F$9:$F$1008,$I821-8)="","",INDEX('Fleet dates'!$F$9:$F$1008,$I821-8)))</x:f>
      </x:c>
      <x:c r="G821" s="50" t="str">
        <x:f>IF(813&gt;$H$4,"",IF(INDEX('Fleet dates'!$G$9:$G$1008,$I821-8)="","",INDEX('Fleet dates'!$G$9:$G$1008,$I821-8)))</x:f>
      </x:c>
      <x:c r="H821" s="50" t="str">
        <x:f>IF(813&gt;$H$4,"",IF(INDEX('Fleet dates'!$I$9:$I$1008,$I821-8)="","",INDEX('Fleet dates'!$I$9:$I$1008,$I821-8)))</x:f>
      </x:c>
      <x:c r="I821" t="str">
        <x:f>IF(813&gt;$H$4,"",MATCH(813,'Fleet dates'!$M$9:$M$1008,0)+8)</x:f>
      </x:c>
    </x:row>
    <x:row r="822" ht="36" customHeight="1">
      <x:c r="A822" s="50" t="str">
        <x:f>IF(814&gt;$H$4,"",IF(INDEX('Fleet dates'!$A$9:$A$1008,$I822-8)="","",INDEX('Fleet dates'!$A$9:$A$1008,$I822-8)))</x:f>
      </x:c>
      <x:c r="B822" s="50" t="str">
        <x:f>IF(814&gt;$H$4,"",IF(INDEX('Fleet dates'!$B$9:$B$1008,$I822-8)="","",INDEX('Fleet dates'!$B$9:$B$1008,$I822-8)))</x:f>
      </x:c>
      <x:c r="C822" s="51" t="str">
        <x:f>IF(814&gt;$H$4,"",IF(INDEX('Fleet dates'!$C$9:$C$1008,$I822-8)="","",INDEX('Fleet dates'!$C$9:$C$1008,$I822-8)))</x:f>
      </x:c>
      <x:c r="D822" s="51" t="str">
        <x:f>IF(814&gt;$H$4,"",IF(INDEX('Fleet dates'!$D$9:$D$1008,$I822-8)="","",INDEX('Fleet dates'!$D$9:$D$1008,$I822-8)))</x:f>
      </x:c>
      <x:c r="E822" s="51" t="str">
        <x:f>IF(814&gt;$H$4,"",IF(INDEX('Fleet dates'!$E$9:$E$1008,$I822-8)="","",INDEX('Fleet dates'!$E$9:$E$1008,$I822-8)))</x:f>
      </x:c>
      <x:c r="F822" s="51" t="str">
        <x:f>IF(814&gt;$H$4,"",IF(INDEX('Fleet dates'!$F$9:$F$1008,$I822-8)="","",INDEX('Fleet dates'!$F$9:$F$1008,$I822-8)))</x:f>
      </x:c>
      <x:c r="G822" s="50" t="str">
        <x:f>IF(814&gt;$H$4,"",IF(INDEX('Fleet dates'!$G$9:$G$1008,$I822-8)="","",INDEX('Fleet dates'!$G$9:$G$1008,$I822-8)))</x:f>
      </x:c>
      <x:c r="H822" s="50" t="str">
        <x:f>IF(814&gt;$H$4,"",IF(INDEX('Fleet dates'!$I$9:$I$1008,$I822-8)="","",INDEX('Fleet dates'!$I$9:$I$1008,$I822-8)))</x:f>
      </x:c>
      <x:c r="I822" t="str">
        <x:f>IF(814&gt;$H$4,"",MATCH(814,'Fleet dates'!$M$9:$M$1008,0)+8)</x:f>
      </x:c>
    </x:row>
    <x:row r="823" ht="36" customHeight="1">
      <x:c r="A823" s="50" t="str">
        <x:f>IF(815&gt;$H$4,"",IF(INDEX('Fleet dates'!$A$9:$A$1008,$I823-8)="","",INDEX('Fleet dates'!$A$9:$A$1008,$I823-8)))</x:f>
      </x:c>
      <x:c r="B823" s="50" t="str">
        <x:f>IF(815&gt;$H$4,"",IF(INDEX('Fleet dates'!$B$9:$B$1008,$I823-8)="","",INDEX('Fleet dates'!$B$9:$B$1008,$I823-8)))</x:f>
      </x:c>
      <x:c r="C823" s="51" t="str">
        <x:f>IF(815&gt;$H$4,"",IF(INDEX('Fleet dates'!$C$9:$C$1008,$I823-8)="","",INDEX('Fleet dates'!$C$9:$C$1008,$I823-8)))</x:f>
      </x:c>
      <x:c r="D823" s="51" t="str">
        <x:f>IF(815&gt;$H$4,"",IF(INDEX('Fleet dates'!$D$9:$D$1008,$I823-8)="","",INDEX('Fleet dates'!$D$9:$D$1008,$I823-8)))</x:f>
      </x:c>
      <x:c r="E823" s="51" t="str">
        <x:f>IF(815&gt;$H$4,"",IF(INDEX('Fleet dates'!$E$9:$E$1008,$I823-8)="","",INDEX('Fleet dates'!$E$9:$E$1008,$I823-8)))</x:f>
      </x:c>
      <x:c r="F823" s="51" t="str">
        <x:f>IF(815&gt;$H$4,"",IF(INDEX('Fleet dates'!$F$9:$F$1008,$I823-8)="","",INDEX('Fleet dates'!$F$9:$F$1008,$I823-8)))</x:f>
      </x:c>
      <x:c r="G823" s="50" t="str">
        <x:f>IF(815&gt;$H$4,"",IF(INDEX('Fleet dates'!$G$9:$G$1008,$I823-8)="","",INDEX('Fleet dates'!$G$9:$G$1008,$I823-8)))</x:f>
      </x:c>
      <x:c r="H823" s="50" t="str">
        <x:f>IF(815&gt;$H$4,"",IF(INDEX('Fleet dates'!$I$9:$I$1008,$I823-8)="","",INDEX('Fleet dates'!$I$9:$I$1008,$I823-8)))</x:f>
      </x:c>
      <x:c r="I823" t="str">
        <x:f>IF(815&gt;$H$4,"",MATCH(815,'Fleet dates'!$M$9:$M$1008,0)+8)</x:f>
      </x:c>
    </x:row>
    <x:row r="824" ht="36" customHeight="1">
      <x:c r="A824" s="50" t="str">
        <x:f>IF(816&gt;$H$4,"",IF(INDEX('Fleet dates'!$A$9:$A$1008,$I824-8)="","",INDEX('Fleet dates'!$A$9:$A$1008,$I824-8)))</x:f>
      </x:c>
      <x:c r="B824" s="50" t="str">
        <x:f>IF(816&gt;$H$4,"",IF(INDEX('Fleet dates'!$B$9:$B$1008,$I824-8)="","",INDEX('Fleet dates'!$B$9:$B$1008,$I824-8)))</x:f>
      </x:c>
      <x:c r="C824" s="51" t="str">
        <x:f>IF(816&gt;$H$4,"",IF(INDEX('Fleet dates'!$C$9:$C$1008,$I824-8)="","",INDEX('Fleet dates'!$C$9:$C$1008,$I824-8)))</x:f>
      </x:c>
      <x:c r="D824" s="51" t="str">
        <x:f>IF(816&gt;$H$4,"",IF(INDEX('Fleet dates'!$D$9:$D$1008,$I824-8)="","",INDEX('Fleet dates'!$D$9:$D$1008,$I824-8)))</x:f>
      </x:c>
      <x:c r="E824" s="51" t="str">
        <x:f>IF(816&gt;$H$4,"",IF(INDEX('Fleet dates'!$E$9:$E$1008,$I824-8)="","",INDEX('Fleet dates'!$E$9:$E$1008,$I824-8)))</x:f>
      </x:c>
      <x:c r="F824" s="51" t="str">
        <x:f>IF(816&gt;$H$4,"",IF(INDEX('Fleet dates'!$F$9:$F$1008,$I824-8)="","",INDEX('Fleet dates'!$F$9:$F$1008,$I824-8)))</x:f>
      </x:c>
      <x:c r="G824" s="50" t="str">
        <x:f>IF(816&gt;$H$4,"",IF(INDEX('Fleet dates'!$G$9:$G$1008,$I824-8)="","",INDEX('Fleet dates'!$G$9:$G$1008,$I824-8)))</x:f>
      </x:c>
      <x:c r="H824" s="50" t="str">
        <x:f>IF(816&gt;$H$4,"",IF(INDEX('Fleet dates'!$I$9:$I$1008,$I824-8)="","",INDEX('Fleet dates'!$I$9:$I$1008,$I824-8)))</x:f>
      </x:c>
      <x:c r="I824" t="str">
        <x:f>IF(816&gt;$H$4,"",MATCH(816,'Fleet dates'!$M$9:$M$1008,0)+8)</x:f>
      </x:c>
    </x:row>
    <x:row r="825" ht="36" customHeight="1">
      <x:c r="A825" s="50" t="str">
        <x:f>IF(817&gt;$H$4,"",IF(INDEX('Fleet dates'!$A$9:$A$1008,$I825-8)="","",INDEX('Fleet dates'!$A$9:$A$1008,$I825-8)))</x:f>
      </x:c>
      <x:c r="B825" s="50" t="str">
        <x:f>IF(817&gt;$H$4,"",IF(INDEX('Fleet dates'!$B$9:$B$1008,$I825-8)="","",INDEX('Fleet dates'!$B$9:$B$1008,$I825-8)))</x:f>
      </x:c>
      <x:c r="C825" s="51" t="str">
        <x:f>IF(817&gt;$H$4,"",IF(INDEX('Fleet dates'!$C$9:$C$1008,$I825-8)="","",INDEX('Fleet dates'!$C$9:$C$1008,$I825-8)))</x:f>
      </x:c>
      <x:c r="D825" s="51" t="str">
        <x:f>IF(817&gt;$H$4,"",IF(INDEX('Fleet dates'!$D$9:$D$1008,$I825-8)="","",INDEX('Fleet dates'!$D$9:$D$1008,$I825-8)))</x:f>
      </x:c>
      <x:c r="E825" s="51" t="str">
        <x:f>IF(817&gt;$H$4,"",IF(INDEX('Fleet dates'!$E$9:$E$1008,$I825-8)="","",INDEX('Fleet dates'!$E$9:$E$1008,$I825-8)))</x:f>
      </x:c>
      <x:c r="F825" s="51" t="str">
        <x:f>IF(817&gt;$H$4,"",IF(INDEX('Fleet dates'!$F$9:$F$1008,$I825-8)="","",INDEX('Fleet dates'!$F$9:$F$1008,$I825-8)))</x:f>
      </x:c>
      <x:c r="G825" s="50" t="str">
        <x:f>IF(817&gt;$H$4,"",IF(INDEX('Fleet dates'!$G$9:$G$1008,$I825-8)="","",INDEX('Fleet dates'!$G$9:$G$1008,$I825-8)))</x:f>
      </x:c>
      <x:c r="H825" s="50" t="str">
        <x:f>IF(817&gt;$H$4,"",IF(INDEX('Fleet dates'!$I$9:$I$1008,$I825-8)="","",INDEX('Fleet dates'!$I$9:$I$1008,$I825-8)))</x:f>
      </x:c>
      <x:c r="I825" t="str">
        <x:f>IF(817&gt;$H$4,"",MATCH(817,'Fleet dates'!$M$9:$M$1008,0)+8)</x:f>
      </x:c>
    </x:row>
    <x:row r="826" ht="36" customHeight="1">
      <x:c r="A826" s="50" t="str">
        <x:f>IF(818&gt;$H$4,"",IF(INDEX('Fleet dates'!$A$9:$A$1008,$I826-8)="","",INDEX('Fleet dates'!$A$9:$A$1008,$I826-8)))</x:f>
      </x:c>
      <x:c r="B826" s="50" t="str">
        <x:f>IF(818&gt;$H$4,"",IF(INDEX('Fleet dates'!$B$9:$B$1008,$I826-8)="","",INDEX('Fleet dates'!$B$9:$B$1008,$I826-8)))</x:f>
      </x:c>
      <x:c r="C826" s="51" t="str">
        <x:f>IF(818&gt;$H$4,"",IF(INDEX('Fleet dates'!$C$9:$C$1008,$I826-8)="","",INDEX('Fleet dates'!$C$9:$C$1008,$I826-8)))</x:f>
      </x:c>
      <x:c r="D826" s="51" t="str">
        <x:f>IF(818&gt;$H$4,"",IF(INDEX('Fleet dates'!$D$9:$D$1008,$I826-8)="","",INDEX('Fleet dates'!$D$9:$D$1008,$I826-8)))</x:f>
      </x:c>
      <x:c r="E826" s="51" t="str">
        <x:f>IF(818&gt;$H$4,"",IF(INDEX('Fleet dates'!$E$9:$E$1008,$I826-8)="","",INDEX('Fleet dates'!$E$9:$E$1008,$I826-8)))</x:f>
      </x:c>
      <x:c r="F826" s="51" t="str">
        <x:f>IF(818&gt;$H$4,"",IF(INDEX('Fleet dates'!$F$9:$F$1008,$I826-8)="","",INDEX('Fleet dates'!$F$9:$F$1008,$I826-8)))</x:f>
      </x:c>
      <x:c r="G826" s="50" t="str">
        <x:f>IF(818&gt;$H$4,"",IF(INDEX('Fleet dates'!$G$9:$G$1008,$I826-8)="","",INDEX('Fleet dates'!$G$9:$G$1008,$I826-8)))</x:f>
      </x:c>
      <x:c r="H826" s="50" t="str">
        <x:f>IF(818&gt;$H$4,"",IF(INDEX('Fleet dates'!$I$9:$I$1008,$I826-8)="","",INDEX('Fleet dates'!$I$9:$I$1008,$I826-8)))</x:f>
      </x:c>
      <x:c r="I826" t="str">
        <x:f>IF(818&gt;$H$4,"",MATCH(818,'Fleet dates'!$M$9:$M$1008,0)+8)</x:f>
      </x:c>
    </x:row>
    <x:row r="827" ht="36" customHeight="1">
      <x:c r="A827" s="50" t="str">
        <x:f>IF(819&gt;$H$4,"",IF(INDEX('Fleet dates'!$A$9:$A$1008,$I827-8)="","",INDEX('Fleet dates'!$A$9:$A$1008,$I827-8)))</x:f>
      </x:c>
      <x:c r="B827" s="50" t="str">
        <x:f>IF(819&gt;$H$4,"",IF(INDEX('Fleet dates'!$B$9:$B$1008,$I827-8)="","",INDEX('Fleet dates'!$B$9:$B$1008,$I827-8)))</x:f>
      </x:c>
      <x:c r="C827" s="51" t="str">
        <x:f>IF(819&gt;$H$4,"",IF(INDEX('Fleet dates'!$C$9:$C$1008,$I827-8)="","",INDEX('Fleet dates'!$C$9:$C$1008,$I827-8)))</x:f>
      </x:c>
      <x:c r="D827" s="51" t="str">
        <x:f>IF(819&gt;$H$4,"",IF(INDEX('Fleet dates'!$D$9:$D$1008,$I827-8)="","",INDEX('Fleet dates'!$D$9:$D$1008,$I827-8)))</x:f>
      </x:c>
      <x:c r="E827" s="51" t="str">
        <x:f>IF(819&gt;$H$4,"",IF(INDEX('Fleet dates'!$E$9:$E$1008,$I827-8)="","",INDEX('Fleet dates'!$E$9:$E$1008,$I827-8)))</x:f>
      </x:c>
      <x:c r="F827" s="51" t="str">
        <x:f>IF(819&gt;$H$4,"",IF(INDEX('Fleet dates'!$F$9:$F$1008,$I827-8)="","",INDEX('Fleet dates'!$F$9:$F$1008,$I827-8)))</x:f>
      </x:c>
      <x:c r="G827" s="50" t="str">
        <x:f>IF(819&gt;$H$4,"",IF(INDEX('Fleet dates'!$G$9:$G$1008,$I827-8)="","",INDEX('Fleet dates'!$G$9:$G$1008,$I827-8)))</x:f>
      </x:c>
      <x:c r="H827" s="50" t="str">
        <x:f>IF(819&gt;$H$4,"",IF(INDEX('Fleet dates'!$I$9:$I$1008,$I827-8)="","",INDEX('Fleet dates'!$I$9:$I$1008,$I827-8)))</x:f>
      </x:c>
      <x:c r="I827" t="str">
        <x:f>IF(819&gt;$H$4,"",MATCH(819,'Fleet dates'!$M$9:$M$1008,0)+8)</x:f>
      </x:c>
    </x:row>
    <x:row r="828" ht="36" customHeight="1">
      <x:c r="A828" s="50" t="str">
        <x:f>IF(820&gt;$H$4,"",IF(INDEX('Fleet dates'!$A$9:$A$1008,$I828-8)="","",INDEX('Fleet dates'!$A$9:$A$1008,$I828-8)))</x:f>
      </x:c>
      <x:c r="B828" s="50" t="str">
        <x:f>IF(820&gt;$H$4,"",IF(INDEX('Fleet dates'!$B$9:$B$1008,$I828-8)="","",INDEX('Fleet dates'!$B$9:$B$1008,$I828-8)))</x:f>
      </x:c>
      <x:c r="C828" s="51" t="str">
        <x:f>IF(820&gt;$H$4,"",IF(INDEX('Fleet dates'!$C$9:$C$1008,$I828-8)="","",INDEX('Fleet dates'!$C$9:$C$1008,$I828-8)))</x:f>
      </x:c>
      <x:c r="D828" s="51" t="str">
        <x:f>IF(820&gt;$H$4,"",IF(INDEX('Fleet dates'!$D$9:$D$1008,$I828-8)="","",INDEX('Fleet dates'!$D$9:$D$1008,$I828-8)))</x:f>
      </x:c>
      <x:c r="E828" s="51" t="str">
        <x:f>IF(820&gt;$H$4,"",IF(INDEX('Fleet dates'!$E$9:$E$1008,$I828-8)="","",INDEX('Fleet dates'!$E$9:$E$1008,$I828-8)))</x:f>
      </x:c>
      <x:c r="F828" s="51" t="str">
        <x:f>IF(820&gt;$H$4,"",IF(INDEX('Fleet dates'!$F$9:$F$1008,$I828-8)="","",INDEX('Fleet dates'!$F$9:$F$1008,$I828-8)))</x:f>
      </x:c>
      <x:c r="G828" s="50" t="str">
        <x:f>IF(820&gt;$H$4,"",IF(INDEX('Fleet dates'!$G$9:$G$1008,$I828-8)="","",INDEX('Fleet dates'!$G$9:$G$1008,$I828-8)))</x:f>
      </x:c>
      <x:c r="H828" s="50" t="str">
        <x:f>IF(820&gt;$H$4,"",IF(INDEX('Fleet dates'!$I$9:$I$1008,$I828-8)="","",INDEX('Fleet dates'!$I$9:$I$1008,$I828-8)))</x:f>
      </x:c>
      <x:c r="I828" t="str">
        <x:f>IF(820&gt;$H$4,"",MATCH(820,'Fleet dates'!$M$9:$M$1008,0)+8)</x:f>
      </x:c>
    </x:row>
    <x:row r="829" ht="36" customHeight="1">
      <x:c r="A829" s="50" t="str">
        <x:f>IF(821&gt;$H$4,"",IF(INDEX('Fleet dates'!$A$9:$A$1008,$I829-8)="","",INDEX('Fleet dates'!$A$9:$A$1008,$I829-8)))</x:f>
      </x:c>
      <x:c r="B829" s="50" t="str">
        <x:f>IF(821&gt;$H$4,"",IF(INDEX('Fleet dates'!$B$9:$B$1008,$I829-8)="","",INDEX('Fleet dates'!$B$9:$B$1008,$I829-8)))</x:f>
      </x:c>
      <x:c r="C829" s="51" t="str">
        <x:f>IF(821&gt;$H$4,"",IF(INDEX('Fleet dates'!$C$9:$C$1008,$I829-8)="","",INDEX('Fleet dates'!$C$9:$C$1008,$I829-8)))</x:f>
      </x:c>
      <x:c r="D829" s="51" t="str">
        <x:f>IF(821&gt;$H$4,"",IF(INDEX('Fleet dates'!$D$9:$D$1008,$I829-8)="","",INDEX('Fleet dates'!$D$9:$D$1008,$I829-8)))</x:f>
      </x:c>
      <x:c r="E829" s="51" t="str">
        <x:f>IF(821&gt;$H$4,"",IF(INDEX('Fleet dates'!$E$9:$E$1008,$I829-8)="","",INDEX('Fleet dates'!$E$9:$E$1008,$I829-8)))</x:f>
      </x:c>
      <x:c r="F829" s="51" t="str">
        <x:f>IF(821&gt;$H$4,"",IF(INDEX('Fleet dates'!$F$9:$F$1008,$I829-8)="","",INDEX('Fleet dates'!$F$9:$F$1008,$I829-8)))</x:f>
      </x:c>
      <x:c r="G829" s="50" t="str">
        <x:f>IF(821&gt;$H$4,"",IF(INDEX('Fleet dates'!$G$9:$G$1008,$I829-8)="","",INDEX('Fleet dates'!$G$9:$G$1008,$I829-8)))</x:f>
      </x:c>
      <x:c r="H829" s="50" t="str">
        <x:f>IF(821&gt;$H$4,"",IF(INDEX('Fleet dates'!$I$9:$I$1008,$I829-8)="","",INDEX('Fleet dates'!$I$9:$I$1008,$I829-8)))</x:f>
      </x:c>
      <x:c r="I829" t="str">
        <x:f>IF(821&gt;$H$4,"",MATCH(821,'Fleet dates'!$M$9:$M$1008,0)+8)</x:f>
      </x:c>
    </x:row>
    <x:row r="830" ht="36" customHeight="1">
      <x:c r="A830" s="50" t="str">
        <x:f>IF(822&gt;$H$4,"",IF(INDEX('Fleet dates'!$A$9:$A$1008,$I830-8)="","",INDEX('Fleet dates'!$A$9:$A$1008,$I830-8)))</x:f>
      </x:c>
      <x:c r="B830" s="50" t="str">
        <x:f>IF(822&gt;$H$4,"",IF(INDEX('Fleet dates'!$B$9:$B$1008,$I830-8)="","",INDEX('Fleet dates'!$B$9:$B$1008,$I830-8)))</x:f>
      </x:c>
      <x:c r="C830" s="51" t="str">
        <x:f>IF(822&gt;$H$4,"",IF(INDEX('Fleet dates'!$C$9:$C$1008,$I830-8)="","",INDEX('Fleet dates'!$C$9:$C$1008,$I830-8)))</x:f>
      </x:c>
      <x:c r="D830" s="51" t="str">
        <x:f>IF(822&gt;$H$4,"",IF(INDEX('Fleet dates'!$D$9:$D$1008,$I830-8)="","",INDEX('Fleet dates'!$D$9:$D$1008,$I830-8)))</x:f>
      </x:c>
      <x:c r="E830" s="51" t="str">
        <x:f>IF(822&gt;$H$4,"",IF(INDEX('Fleet dates'!$E$9:$E$1008,$I830-8)="","",INDEX('Fleet dates'!$E$9:$E$1008,$I830-8)))</x:f>
      </x:c>
      <x:c r="F830" s="51" t="str">
        <x:f>IF(822&gt;$H$4,"",IF(INDEX('Fleet dates'!$F$9:$F$1008,$I830-8)="","",INDEX('Fleet dates'!$F$9:$F$1008,$I830-8)))</x:f>
      </x:c>
      <x:c r="G830" s="50" t="str">
        <x:f>IF(822&gt;$H$4,"",IF(INDEX('Fleet dates'!$G$9:$G$1008,$I830-8)="","",INDEX('Fleet dates'!$G$9:$G$1008,$I830-8)))</x:f>
      </x:c>
      <x:c r="H830" s="50" t="str">
        <x:f>IF(822&gt;$H$4,"",IF(INDEX('Fleet dates'!$I$9:$I$1008,$I830-8)="","",INDEX('Fleet dates'!$I$9:$I$1008,$I830-8)))</x:f>
      </x:c>
      <x:c r="I830" t="str">
        <x:f>IF(822&gt;$H$4,"",MATCH(822,'Fleet dates'!$M$9:$M$1008,0)+8)</x:f>
      </x:c>
    </x:row>
    <x:row r="831" ht="36" customHeight="1">
      <x:c r="A831" s="50" t="str">
        <x:f>IF(823&gt;$H$4,"",IF(INDEX('Fleet dates'!$A$9:$A$1008,$I831-8)="","",INDEX('Fleet dates'!$A$9:$A$1008,$I831-8)))</x:f>
      </x:c>
      <x:c r="B831" s="50" t="str">
        <x:f>IF(823&gt;$H$4,"",IF(INDEX('Fleet dates'!$B$9:$B$1008,$I831-8)="","",INDEX('Fleet dates'!$B$9:$B$1008,$I831-8)))</x:f>
      </x:c>
      <x:c r="C831" s="51" t="str">
        <x:f>IF(823&gt;$H$4,"",IF(INDEX('Fleet dates'!$C$9:$C$1008,$I831-8)="","",INDEX('Fleet dates'!$C$9:$C$1008,$I831-8)))</x:f>
      </x:c>
      <x:c r="D831" s="51" t="str">
        <x:f>IF(823&gt;$H$4,"",IF(INDEX('Fleet dates'!$D$9:$D$1008,$I831-8)="","",INDEX('Fleet dates'!$D$9:$D$1008,$I831-8)))</x:f>
      </x:c>
      <x:c r="E831" s="51" t="str">
        <x:f>IF(823&gt;$H$4,"",IF(INDEX('Fleet dates'!$E$9:$E$1008,$I831-8)="","",INDEX('Fleet dates'!$E$9:$E$1008,$I831-8)))</x:f>
      </x:c>
      <x:c r="F831" s="51" t="str">
        <x:f>IF(823&gt;$H$4,"",IF(INDEX('Fleet dates'!$F$9:$F$1008,$I831-8)="","",INDEX('Fleet dates'!$F$9:$F$1008,$I831-8)))</x:f>
      </x:c>
      <x:c r="G831" s="50" t="str">
        <x:f>IF(823&gt;$H$4,"",IF(INDEX('Fleet dates'!$G$9:$G$1008,$I831-8)="","",INDEX('Fleet dates'!$G$9:$G$1008,$I831-8)))</x:f>
      </x:c>
      <x:c r="H831" s="50" t="str">
        <x:f>IF(823&gt;$H$4,"",IF(INDEX('Fleet dates'!$I$9:$I$1008,$I831-8)="","",INDEX('Fleet dates'!$I$9:$I$1008,$I831-8)))</x:f>
      </x:c>
      <x:c r="I831" t="str">
        <x:f>IF(823&gt;$H$4,"",MATCH(823,'Fleet dates'!$M$9:$M$1008,0)+8)</x:f>
      </x:c>
    </x:row>
    <x:row r="832" ht="36" customHeight="1">
      <x:c r="A832" s="50" t="str">
        <x:f>IF(824&gt;$H$4,"",IF(INDEX('Fleet dates'!$A$9:$A$1008,$I832-8)="","",INDEX('Fleet dates'!$A$9:$A$1008,$I832-8)))</x:f>
      </x:c>
      <x:c r="B832" s="50" t="str">
        <x:f>IF(824&gt;$H$4,"",IF(INDEX('Fleet dates'!$B$9:$B$1008,$I832-8)="","",INDEX('Fleet dates'!$B$9:$B$1008,$I832-8)))</x:f>
      </x:c>
      <x:c r="C832" s="51" t="str">
        <x:f>IF(824&gt;$H$4,"",IF(INDEX('Fleet dates'!$C$9:$C$1008,$I832-8)="","",INDEX('Fleet dates'!$C$9:$C$1008,$I832-8)))</x:f>
      </x:c>
      <x:c r="D832" s="51" t="str">
        <x:f>IF(824&gt;$H$4,"",IF(INDEX('Fleet dates'!$D$9:$D$1008,$I832-8)="","",INDEX('Fleet dates'!$D$9:$D$1008,$I832-8)))</x:f>
      </x:c>
      <x:c r="E832" s="51" t="str">
        <x:f>IF(824&gt;$H$4,"",IF(INDEX('Fleet dates'!$E$9:$E$1008,$I832-8)="","",INDEX('Fleet dates'!$E$9:$E$1008,$I832-8)))</x:f>
      </x:c>
      <x:c r="F832" s="51" t="str">
        <x:f>IF(824&gt;$H$4,"",IF(INDEX('Fleet dates'!$F$9:$F$1008,$I832-8)="","",INDEX('Fleet dates'!$F$9:$F$1008,$I832-8)))</x:f>
      </x:c>
      <x:c r="G832" s="50" t="str">
        <x:f>IF(824&gt;$H$4,"",IF(INDEX('Fleet dates'!$G$9:$G$1008,$I832-8)="","",INDEX('Fleet dates'!$G$9:$G$1008,$I832-8)))</x:f>
      </x:c>
      <x:c r="H832" s="50" t="str">
        <x:f>IF(824&gt;$H$4,"",IF(INDEX('Fleet dates'!$I$9:$I$1008,$I832-8)="","",INDEX('Fleet dates'!$I$9:$I$1008,$I832-8)))</x:f>
      </x:c>
      <x:c r="I832" t="str">
        <x:f>IF(824&gt;$H$4,"",MATCH(824,'Fleet dates'!$M$9:$M$1008,0)+8)</x:f>
      </x:c>
    </x:row>
    <x:row r="833" ht="36" customHeight="1">
      <x:c r="A833" s="50" t="str">
        <x:f>IF(825&gt;$H$4,"",IF(INDEX('Fleet dates'!$A$9:$A$1008,$I833-8)="","",INDEX('Fleet dates'!$A$9:$A$1008,$I833-8)))</x:f>
      </x:c>
      <x:c r="B833" s="50" t="str">
        <x:f>IF(825&gt;$H$4,"",IF(INDEX('Fleet dates'!$B$9:$B$1008,$I833-8)="","",INDEX('Fleet dates'!$B$9:$B$1008,$I833-8)))</x:f>
      </x:c>
      <x:c r="C833" s="51" t="str">
        <x:f>IF(825&gt;$H$4,"",IF(INDEX('Fleet dates'!$C$9:$C$1008,$I833-8)="","",INDEX('Fleet dates'!$C$9:$C$1008,$I833-8)))</x:f>
      </x:c>
      <x:c r="D833" s="51" t="str">
        <x:f>IF(825&gt;$H$4,"",IF(INDEX('Fleet dates'!$D$9:$D$1008,$I833-8)="","",INDEX('Fleet dates'!$D$9:$D$1008,$I833-8)))</x:f>
      </x:c>
      <x:c r="E833" s="51" t="str">
        <x:f>IF(825&gt;$H$4,"",IF(INDEX('Fleet dates'!$E$9:$E$1008,$I833-8)="","",INDEX('Fleet dates'!$E$9:$E$1008,$I833-8)))</x:f>
      </x:c>
      <x:c r="F833" s="51" t="str">
        <x:f>IF(825&gt;$H$4,"",IF(INDEX('Fleet dates'!$F$9:$F$1008,$I833-8)="","",INDEX('Fleet dates'!$F$9:$F$1008,$I833-8)))</x:f>
      </x:c>
      <x:c r="G833" s="50" t="str">
        <x:f>IF(825&gt;$H$4,"",IF(INDEX('Fleet dates'!$G$9:$G$1008,$I833-8)="","",INDEX('Fleet dates'!$G$9:$G$1008,$I833-8)))</x:f>
      </x:c>
      <x:c r="H833" s="50" t="str">
        <x:f>IF(825&gt;$H$4,"",IF(INDEX('Fleet dates'!$I$9:$I$1008,$I833-8)="","",INDEX('Fleet dates'!$I$9:$I$1008,$I833-8)))</x:f>
      </x:c>
      <x:c r="I833" t="str">
        <x:f>IF(825&gt;$H$4,"",MATCH(825,'Fleet dates'!$M$9:$M$1008,0)+8)</x:f>
      </x:c>
    </x:row>
    <x:row r="834" ht="36" customHeight="1">
      <x:c r="A834" s="50" t="str">
        <x:f>IF(826&gt;$H$4,"",IF(INDEX('Fleet dates'!$A$9:$A$1008,$I834-8)="","",INDEX('Fleet dates'!$A$9:$A$1008,$I834-8)))</x:f>
      </x:c>
      <x:c r="B834" s="50" t="str">
        <x:f>IF(826&gt;$H$4,"",IF(INDEX('Fleet dates'!$B$9:$B$1008,$I834-8)="","",INDEX('Fleet dates'!$B$9:$B$1008,$I834-8)))</x:f>
      </x:c>
      <x:c r="C834" s="51" t="str">
        <x:f>IF(826&gt;$H$4,"",IF(INDEX('Fleet dates'!$C$9:$C$1008,$I834-8)="","",INDEX('Fleet dates'!$C$9:$C$1008,$I834-8)))</x:f>
      </x:c>
      <x:c r="D834" s="51" t="str">
        <x:f>IF(826&gt;$H$4,"",IF(INDEX('Fleet dates'!$D$9:$D$1008,$I834-8)="","",INDEX('Fleet dates'!$D$9:$D$1008,$I834-8)))</x:f>
      </x:c>
      <x:c r="E834" s="51" t="str">
        <x:f>IF(826&gt;$H$4,"",IF(INDEX('Fleet dates'!$E$9:$E$1008,$I834-8)="","",INDEX('Fleet dates'!$E$9:$E$1008,$I834-8)))</x:f>
      </x:c>
      <x:c r="F834" s="51" t="str">
        <x:f>IF(826&gt;$H$4,"",IF(INDEX('Fleet dates'!$F$9:$F$1008,$I834-8)="","",INDEX('Fleet dates'!$F$9:$F$1008,$I834-8)))</x:f>
      </x:c>
      <x:c r="G834" s="50" t="str">
        <x:f>IF(826&gt;$H$4,"",IF(INDEX('Fleet dates'!$G$9:$G$1008,$I834-8)="","",INDEX('Fleet dates'!$G$9:$G$1008,$I834-8)))</x:f>
      </x:c>
      <x:c r="H834" s="50" t="str">
        <x:f>IF(826&gt;$H$4,"",IF(INDEX('Fleet dates'!$I$9:$I$1008,$I834-8)="","",INDEX('Fleet dates'!$I$9:$I$1008,$I834-8)))</x:f>
      </x:c>
      <x:c r="I834" t="str">
        <x:f>IF(826&gt;$H$4,"",MATCH(826,'Fleet dates'!$M$9:$M$1008,0)+8)</x:f>
      </x:c>
    </x:row>
    <x:row r="835" ht="36" customHeight="1">
      <x:c r="A835" s="50" t="str">
        <x:f>IF(827&gt;$H$4,"",IF(INDEX('Fleet dates'!$A$9:$A$1008,$I835-8)="","",INDEX('Fleet dates'!$A$9:$A$1008,$I835-8)))</x:f>
      </x:c>
      <x:c r="B835" s="50" t="str">
        <x:f>IF(827&gt;$H$4,"",IF(INDEX('Fleet dates'!$B$9:$B$1008,$I835-8)="","",INDEX('Fleet dates'!$B$9:$B$1008,$I835-8)))</x:f>
      </x:c>
      <x:c r="C835" s="51" t="str">
        <x:f>IF(827&gt;$H$4,"",IF(INDEX('Fleet dates'!$C$9:$C$1008,$I835-8)="","",INDEX('Fleet dates'!$C$9:$C$1008,$I835-8)))</x:f>
      </x:c>
      <x:c r="D835" s="51" t="str">
        <x:f>IF(827&gt;$H$4,"",IF(INDEX('Fleet dates'!$D$9:$D$1008,$I835-8)="","",INDEX('Fleet dates'!$D$9:$D$1008,$I835-8)))</x:f>
      </x:c>
      <x:c r="E835" s="51" t="str">
        <x:f>IF(827&gt;$H$4,"",IF(INDEX('Fleet dates'!$E$9:$E$1008,$I835-8)="","",INDEX('Fleet dates'!$E$9:$E$1008,$I835-8)))</x:f>
      </x:c>
      <x:c r="F835" s="51" t="str">
        <x:f>IF(827&gt;$H$4,"",IF(INDEX('Fleet dates'!$F$9:$F$1008,$I835-8)="","",INDEX('Fleet dates'!$F$9:$F$1008,$I835-8)))</x:f>
      </x:c>
      <x:c r="G835" s="50" t="str">
        <x:f>IF(827&gt;$H$4,"",IF(INDEX('Fleet dates'!$G$9:$G$1008,$I835-8)="","",INDEX('Fleet dates'!$G$9:$G$1008,$I835-8)))</x:f>
      </x:c>
      <x:c r="H835" s="50" t="str">
        <x:f>IF(827&gt;$H$4,"",IF(INDEX('Fleet dates'!$I$9:$I$1008,$I835-8)="","",INDEX('Fleet dates'!$I$9:$I$1008,$I835-8)))</x:f>
      </x:c>
      <x:c r="I835" t="str">
        <x:f>IF(827&gt;$H$4,"",MATCH(827,'Fleet dates'!$M$9:$M$1008,0)+8)</x:f>
      </x:c>
    </x:row>
    <x:row r="836" ht="36" customHeight="1">
      <x:c r="A836" s="50" t="str">
        <x:f>IF(828&gt;$H$4,"",IF(INDEX('Fleet dates'!$A$9:$A$1008,$I836-8)="","",INDEX('Fleet dates'!$A$9:$A$1008,$I836-8)))</x:f>
      </x:c>
      <x:c r="B836" s="50" t="str">
        <x:f>IF(828&gt;$H$4,"",IF(INDEX('Fleet dates'!$B$9:$B$1008,$I836-8)="","",INDEX('Fleet dates'!$B$9:$B$1008,$I836-8)))</x:f>
      </x:c>
      <x:c r="C836" s="51" t="str">
        <x:f>IF(828&gt;$H$4,"",IF(INDEX('Fleet dates'!$C$9:$C$1008,$I836-8)="","",INDEX('Fleet dates'!$C$9:$C$1008,$I836-8)))</x:f>
      </x:c>
      <x:c r="D836" s="51" t="str">
        <x:f>IF(828&gt;$H$4,"",IF(INDEX('Fleet dates'!$D$9:$D$1008,$I836-8)="","",INDEX('Fleet dates'!$D$9:$D$1008,$I836-8)))</x:f>
      </x:c>
      <x:c r="E836" s="51" t="str">
        <x:f>IF(828&gt;$H$4,"",IF(INDEX('Fleet dates'!$E$9:$E$1008,$I836-8)="","",INDEX('Fleet dates'!$E$9:$E$1008,$I836-8)))</x:f>
      </x:c>
      <x:c r="F836" s="51" t="str">
        <x:f>IF(828&gt;$H$4,"",IF(INDEX('Fleet dates'!$F$9:$F$1008,$I836-8)="","",INDEX('Fleet dates'!$F$9:$F$1008,$I836-8)))</x:f>
      </x:c>
      <x:c r="G836" s="50" t="str">
        <x:f>IF(828&gt;$H$4,"",IF(INDEX('Fleet dates'!$G$9:$G$1008,$I836-8)="","",INDEX('Fleet dates'!$G$9:$G$1008,$I836-8)))</x:f>
      </x:c>
      <x:c r="H836" s="50" t="str">
        <x:f>IF(828&gt;$H$4,"",IF(INDEX('Fleet dates'!$I$9:$I$1008,$I836-8)="","",INDEX('Fleet dates'!$I$9:$I$1008,$I836-8)))</x:f>
      </x:c>
      <x:c r="I836" t="str">
        <x:f>IF(828&gt;$H$4,"",MATCH(828,'Fleet dates'!$M$9:$M$1008,0)+8)</x:f>
      </x:c>
    </x:row>
    <x:row r="837" ht="36" customHeight="1">
      <x:c r="A837" s="50" t="str">
        <x:f>IF(829&gt;$H$4,"",IF(INDEX('Fleet dates'!$A$9:$A$1008,$I837-8)="","",INDEX('Fleet dates'!$A$9:$A$1008,$I837-8)))</x:f>
      </x:c>
      <x:c r="B837" s="50" t="str">
        <x:f>IF(829&gt;$H$4,"",IF(INDEX('Fleet dates'!$B$9:$B$1008,$I837-8)="","",INDEX('Fleet dates'!$B$9:$B$1008,$I837-8)))</x:f>
      </x:c>
      <x:c r="C837" s="51" t="str">
        <x:f>IF(829&gt;$H$4,"",IF(INDEX('Fleet dates'!$C$9:$C$1008,$I837-8)="","",INDEX('Fleet dates'!$C$9:$C$1008,$I837-8)))</x:f>
      </x:c>
      <x:c r="D837" s="51" t="str">
        <x:f>IF(829&gt;$H$4,"",IF(INDEX('Fleet dates'!$D$9:$D$1008,$I837-8)="","",INDEX('Fleet dates'!$D$9:$D$1008,$I837-8)))</x:f>
      </x:c>
      <x:c r="E837" s="51" t="str">
        <x:f>IF(829&gt;$H$4,"",IF(INDEX('Fleet dates'!$E$9:$E$1008,$I837-8)="","",INDEX('Fleet dates'!$E$9:$E$1008,$I837-8)))</x:f>
      </x:c>
      <x:c r="F837" s="51" t="str">
        <x:f>IF(829&gt;$H$4,"",IF(INDEX('Fleet dates'!$F$9:$F$1008,$I837-8)="","",INDEX('Fleet dates'!$F$9:$F$1008,$I837-8)))</x:f>
      </x:c>
      <x:c r="G837" s="50" t="str">
        <x:f>IF(829&gt;$H$4,"",IF(INDEX('Fleet dates'!$G$9:$G$1008,$I837-8)="","",INDEX('Fleet dates'!$G$9:$G$1008,$I837-8)))</x:f>
      </x:c>
      <x:c r="H837" s="50" t="str">
        <x:f>IF(829&gt;$H$4,"",IF(INDEX('Fleet dates'!$I$9:$I$1008,$I837-8)="","",INDEX('Fleet dates'!$I$9:$I$1008,$I837-8)))</x:f>
      </x:c>
      <x:c r="I837" t="str">
        <x:f>IF(829&gt;$H$4,"",MATCH(829,'Fleet dates'!$M$9:$M$1008,0)+8)</x:f>
      </x:c>
    </x:row>
    <x:row r="838" ht="36" customHeight="1">
      <x:c r="A838" s="50" t="str">
        <x:f>IF(830&gt;$H$4,"",IF(INDEX('Fleet dates'!$A$9:$A$1008,$I838-8)="","",INDEX('Fleet dates'!$A$9:$A$1008,$I838-8)))</x:f>
      </x:c>
      <x:c r="B838" s="50" t="str">
        <x:f>IF(830&gt;$H$4,"",IF(INDEX('Fleet dates'!$B$9:$B$1008,$I838-8)="","",INDEX('Fleet dates'!$B$9:$B$1008,$I838-8)))</x:f>
      </x:c>
      <x:c r="C838" s="51" t="str">
        <x:f>IF(830&gt;$H$4,"",IF(INDEX('Fleet dates'!$C$9:$C$1008,$I838-8)="","",INDEX('Fleet dates'!$C$9:$C$1008,$I838-8)))</x:f>
      </x:c>
      <x:c r="D838" s="51" t="str">
        <x:f>IF(830&gt;$H$4,"",IF(INDEX('Fleet dates'!$D$9:$D$1008,$I838-8)="","",INDEX('Fleet dates'!$D$9:$D$1008,$I838-8)))</x:f>
      </x:c>
      <x:c r="E838" s="51" t="str">
        <x:f>IF(830&gt;$H$4,"",IF(INDEX('Fleet dates'!$E$9:$E$1008,$I838-8)="","",INDEX('Fleet dates'!$E$9:$E$1008,$I838-8)))</x:f>
      </x:c>
      <x:c r="F838" s="51" t="str">
        <x:f>IF(830&gt;$H$4,"",IF(INDEX('Fleet dates'!$F$9:$F$1008,$I838-8)="","",INDEX('Fleet dates'!$F$9:$F$1008,$I838-8)))</x:f>
      </x:c>
      <x:c r="G838" s="50" t="str">
        <x:f>IF(830&gt;$H$4,"",IF(INDEX('Fleet dates'!$G$9:$G$1008,$I838-8)="","",INDEX('Fleet dates'!$G$9:$G$1008,$I838-8)))</x:f>
      </x:c>
      <x:c r="H838" s="50" t="str">
        <x:f>IF(830&gt;$H$4,"",IF(INDEX('Fleet dates'!$I$9:$I$1008,$I838-8)="","",INDEX('Fleet dates'!$I$9:$I$1008,$I838-8)))</x:f>
      </x:c>
      <x:c r="I838" t="str">
        <x:f>IF(830&gt;$H$4,"",MATCH(830,'Fleet dates'!$M$9:$M$1008,0)+8)</x:f>
      </x:c>
    </x:row>
    <x:row r="839" ht="36" customHeight="1">
      <x:c r="A839" s="50" t="str">
        <x:f>IF(831&gt;$H$4,"",IF(INDEX('Fleet dates'!$A$9:$A$1008,$I839-8)="","",INDEX('Fleet dates'!$A$9:$A$1008,$I839-8)))</x:f>
      </x:c>
      <x:c r="B839" s="50" t="str">
        <x:f>IF(831&gt;$H$4,"",IF(INDEX('Fleet dates'!$B$9:$B$1008,$I839-8)="","",INDEX('Fleet dates'!$B$9:$B$1008,$I839-8)))</x:f>
      </x:c>
      <x:c r="C839" s="51" t="str">
        <x:f>IF(831&gt;$H$4,"",IF(INDEX('Fleet dates'!$C$9:$C$1008,$I839-8)="","",INDEX('Fleet dates'!$C$9:$C$1008,$I839-8)))</x:f>
      </x:c>
      <x:c r="D839" s="51" t="str">
        <x:f>IF(831&gt;$H$4,"",IF(INDEX('Fleet dates'!$D$9:$D$1008,$I839-8)="","",INDEX('Fleet dates'!$D$9:$D$1008,$I839-8)))</x:f>
      </x:c>
      <x:c r="E839" s="51" t="str">
        <x:f>IF(831&gt;$H$4,"",IF(INDEX('Fleet dates'!$E$9:$E$1008,$I839-8)="","",INDEX('Fleet dates'!$E$9:$E$1008,$I839-8)))</x:f>
      </x:c>
      <x:c r="F839" s="51" t="str">
        <x:f>IF(831&gt;$H$4,"",IF(INDEX('Fleet dates'!$F$9:$F$1008,$I839-8)="","",INDEX('Fleet dates'!$F$9:$F$1008,$I839-8)))</x:f>
      </x:c>
      <x:c r="G839" s="50" t="str">
        <x:f>IF(831&gt;$H$4,"",IF(INDEX('Fleet dates'!$G$9:$G$1008,$I839-8)="","",INDEX('Fleet dates'!$G$9:$G$1008,$I839-8)))</x:f>
      </x:c>
      <x:c r="H839" s="50" t="str">
        <x:f>IF(831&gt;$H$4,"",IF(INDEX('Fleet dates'!$I$9:$I$1008,$I839-8)="","",INDEX('Fleet dates'!$I$9:$I$1008,$I839-8)))</x:f>
      </x:c>
      <x:c r="I839" t="str">
        <x:f>IF(831&gt;$H$4,"",MATCH(831,'Fleet dates'!$M$9:$M$1008,0)+8)</x:f>
      </x:c>
    </x:row>
    <x:row r="840" ht="36" customHeight="1">
      <x:c r="A840" s="50" t="str">
        <x:f>IF(832&gt;$H$4,"",IF(INDEX('Fleet dates'!$A$9:$A$1008,$I840-8)="","",INDEX('Fleet dates'!$A$9:$A$1008,$I840-8)))</x:f>
      </x:c>
      <x:c r="B840" s="50" t="str">
        <x:f>IF(832&gt;$H$4,"",IF(INDEX('Fleet dates'!$B$9:$B$1008,$I840-8)="","",INDEX('Fleet dates'!$B$9:$B$1008,$I840-8)))</x:f>
      </x:c>
      <x:c r="C840" s="51" t="str">
        <x:f>IF(832&gt;$H$4,"",IF(INDEX('Fleet dates'!$C$9:$C$1008,$I840-8)="","",INDEX('Fleet dates'!$C$9:$C$1008,$I840-8)))</x:f>
      </x:c>
      <x:c r="D840" s="51" t="str">
        <x:f>IF(832&gt;$H$4,"",IF(INDEX('Fleet dates'!$D$9:$D$1008,$I840-8)="","",INDEX('Fleet dates'!$D$9:$D$1008,$I840-8)))</x:f>
      </x:c>
      <x:c r="E840" s="51" t="str">
        <x:f>IF(832&gt;$H$4,"",IF(INDEX('Fleet dates'!$E$9:$E$1008,$I840-8)="","",INDEX('Fleet dates'!$E$9:$E$1008,$I840-8)))</x:f>
      </x:c>
      <x:c r="F840" s="51" t="str">
        <x:f>IF(832&gt;$H$4,"",IF(INDEX('Fleet dates'!$F$9:$F$1008,$I840-8)="","",INDEX('Fleet dates'!$F$9:$F$1008,$I840-8)))</x:f>
      </x:c>
      <x:c r="G840" s="50" t="str">
        <x:f>IF(832&gt;$H$4,"",IF(INDEX('Fleet dates'!$G$9:$G$1008,$I840-8)="","",INDEX('Fleet dates'!$G$9:$G$1008,$I840-8)))</x:f>
      </x:c>
      <x:c r="H840" s="50" t="str">
        <x:f>IF(832&gt;$H$4,"",IF(INDEX('Fleet dates'!$I$9:$I$1008,$I840-8)="","",INDEX('Fleet dates'!$I$9:$I$1008,$I840-8)))</x:f>
      </x:c>
      <x:c r="I840" t="str">
        <x:f>IF(832&gt;$H$4,"",MATCH(832,'Fleet dates'!$M$9:$M$1008,0)+8)</x:f>
      </x:c>
    </x:row>
    <x:row r="841" ht="36" customHeight="1">
      <x:c r="A841" s="50" t="str">
        <x:f>IF(833&gt;$H$4,"",IF(INDEX('Fleet dates'!$A$9:$A$1008,$I841-8)="","",INDEX('Fleet dates'!$A$9:$A$1008,$I841-8)))</x:f>
      </x:c>
      <x:c r="B841" s="50" t="str">
        <x:f>IF(833&gt;$H$4,"",IF(INDEX('Fleet dates'!$B$9:$B$1008,$I841-8)="","",INDEX('Fleet dates'!$B$9:$B$1008,$I841-8)))</x:f>
      </x:c>
      <x:c r="C841" s="51" t="str">
        <x:f>IF(833&gt;$H$4,"",IF(INDEX('Fleet dates'!$C$9:$C$1008,$I841-8)="","",INDEX('Fleet dates'!$C$9:$C$1008,$I841-8)))</x:f>
      </x:c>
      <x:c r="D841" s="51" t="str">
        <x:f>IF(833&gt;$H$4,"",IF(INDEX('Fleet dates'!$D$9:$D$1008,$I841-8)="","",INDEX('Fleet dates'!$D$9:$D$1008,$I841-8)))</x:f>
      </x:c>
      <x:c r="E841" s="51" t="str">
        <x:f>IF(833&gt;$H$4,"",IF(INDEX('Fleet dates'!$E$9:$E$1008,$I841-8)="","",INDEX('Fleet dates'!$E$9:$E$1008,$I841-8)))</x:f>
      </x:c>
      <x:c r="F841" s="51" t="str">
        <x:f>IF(833&gt;$H$4,"",IF(INDEX('Fleet dates'!$F$9:$F$1008,$I841-8)="","",INDEX('Fleet dates'!$F$9:$F$1008,$I841-8)))</x:f>
      </x:c>
      <x:c r="G841" s="50" t="str">
        <x:f>IF(833&gt;$H$4,"",IF(INDEX('Fleet dates'!$G$9:$G$1008,$I841-8)="","",INDEX('Fleet dates'!$G$9:$G$1008,$I841-8)))</x:f>
      </x:c>
      <x:c r="H841" s="50" t="str">
        <x:f>IF(833&gt;$H$4,"",IF(INDEX('Fleet dates'!$I$9:$I$1008,$I841-8)="","",INDEX('Fleet dates'!$I$9:$I$1008,$I841-8)))</x:f>
      </x:c>
      <x:c r="I841" t="str">
        <x:f>IF(833&gt;$H$4,"",MATCH(833,'Fleet dates'!$M$9:$M$1008,0)+8)</x:f>
      </x:c>
    </x:row>
    <x:row r="842" ht="36" customHeight="1">
      <x:c r="A842" s="50" t="str">
        <x:f>IF(834&gt;$H$4,"",IF(INDEX('Fleet dates'!$A$9:$A$1008,$I842-8)="","",INDEX('Fleet dates'!$A$9:$A$1008,$I842-8)))</x:f>
      </x:c>
      <x:c r="B842" s="50" t="str">
        <x:f>IF(834&gt;$H$4,"",IF(INDEX('Fleet dates'!$B$9:$B$1008,$I842-8)="","",INDEX('Fleet dates'!$B$9:$B$1008,$I842-8)))</x:f>
      </x:c>
      <x:c r="C842" s="51" t="str">
        <x:f>IF(834&gt;$H$4,"",IF(INDEX('Fleet dates'!$C$9:$C$1008,$I842-8)="","",INDEX('Fleet dates'!$C$9:$C$1008,$I842-8)))</x:f>
      </x:c>
      <x:c r="D842" s="51" t="str">
        <x:f>IF(834&gt;$H$4,"",IF(INDEX('Fleet dates'!$D$9:$D$1008,$I842-8)="","",INDEX('Fleet dates'!$D$9:$D$1008,$I842-8)))</x:f>
      </x:c>
      <x:c r="E842" s="51" t="str">
        <x:f>IF(834&gt;$H$4,"",IF(INDEX('Fleet dates'!$E$9:$E$1008,$I842-8)="","",INDEX('Fleet dates'!$E$9:$E$1008,$I842-8)))</x:f>
      </x:c>
      <x:c r="F842" s="51" t="str">
        <x:f>IF(834&gt;$H$4,"",IF(INDEX('Fleet dates'!$F$9:$F$1008,$I842-8)="","",INDEX('Fleet dates'!$F$9:$F$1008,$I842-8)))</x:f>
      </x:c>
      <x:c r="G842" s="50" t="str">
        <x:f>IF(834&gt;$H$4,"",IF(INDEX('Fleet dates'!$G$9:$G$1008,$I842-8)="","",INDEX('Fleet dates'!$G$9:$G$1008,$I842-8)))</x:f>
      </x:c>
      <x:c r="H842" s="50" t="str">
        <x:f>IF(834&gt;$H$4,"",IF(INDEX('Fleet dates'!$I$9:$I$1008,$I842-8)="","",INDEX('Fleet dates'!$I$9:$I$1008,$I842-8)))</x:f>
      </x:c>
      <x:c r="I842" t="str">
        <x:f>IF(834&gt;$H$4,"",MATCH(834,'Fleet dates'!$M$9:$M$1008,0)+8)</x:f>
      </x:c>
    </x:row>
    <x:row r="843" ht="36" customHeight="1">
      <x:c r="A843" s="50" t="str">
        <x:f>IF(835&gt;$H$4,"",IF(INDEX('Fleet dates'!$A$9:$A$1008,$I843-8)="","",INDEX('Fleet dates'!$A$9:$A$1008,$I843-8)))</x:f>
      </x:c>
      <x:c r="B843" s="50" t="str">
        <x:f>IF(835&gt;$H$4,"",IF(INDEX('Fleet dates'!$B$9:$B$1008,$I843-8)="","",INDEX('Fleet dates'!$B$9:$B$1008,$I843-8)))</x:f>
      </x:c>
      <x:c r="C843" s="51" t="str">
        <x:f>IF(835&gt;$H$4,"",IF(INDEX('Fleet dates'!$C$9:$C$1008,$I843-8)="","",INDEX('Fleet dates'!$C$9:$C$1008,$I843-8)))</x:f>
      </x:c>
      <x:c r="D843" s="51" t="str">
        <x:f>IF(835&gt;$H$4,"",IF(INDEX('Fleet dates'!$D$9:$D$1008,$I843-8)="","",INDEX('Fleet dates'!$D$9:$D$1008,$I843-8)))</x:f>
      </x:c>
      <x:c r="E843" s="51" t="str">
        <x:f>IF(835&gt;$H$4,"",IF(INDEX('Fleet dates'!$E$9:$E$1008,$I843-8)="","",INDEX('Fleet dates'!$E$9:$E$1008,$I843-8)))</x:f>
      </x:c>
      <x:c r="F843" s="51" t="str">
        <x:f>IF(835&gt;$H$4,"",IF(INDEX('Fleet dates'!$F$9:$F$1008,$I843-8)="","",INDEX('Fleet dates'!$F$9:$F$1008,$I843-8)))</x:f>
      </x:c>
      <x:c r="G843" s="50" t="str">
        <x:f>IF(835&gt;$H$4,"",IF(INDEX('Fleet dates'!$G$9:$G$1008,$I843-8)="","",INDEX('Fleet dates'!$G$9:$G$1008,$I843-8)))</x:f>
      </x:c>
      <x:c r="H843" s="50" t="str">
        <x:f>IF(835&gt;$H$4,"",IF(INDEX('Fleet dates'!$I$9:$I$1008,$I843-8)="","",INDEX('Fleet dates'!$I$9:$I$1008,$I843-8)))</x:f>
      </x:c>
      <x:c r="I843" t="str">
        <x:f>IF(835&gt;$H$4,"",MATCH(835,'Fleet dates'!$M$9:$M$1008,0)+8)</x:f>
      </x:c>
    </x:row>
    <x:row r="844" ht="36" customHeight="1">
      <x:c r="A844" s="50" t="str">
        <x:f>IF(836&gt;$H$4,"",IF(INDEX('Fleet dates'!$A$9:$A$1008,$I844-8)="","",INDEX('Fleet dates'!$A$9:$A$1008,$I844-8)))</x:f>
      </x:c>
      <x:c r="B844" s="50" t="str">
        <x:f>IF(836&gt;$H$4,"",IF(INDEX('Fleet dates'!$B$9:$B$1008,$I844-8)="","",INDEX('Fleet dates'!$B$9:$B$1008,$I844-8)))</x:f>
      </x:c>
      <x:c r="C844" s="51" t="str">
        <x:f>IF(836&gt;$H$4,"",IF(INDEX('Fleet dates'!$C$9:$C$1008,$I844-8)="","",INDEX('Fleet dates'!$C$9:$C$1008,$I844-8)))</x:f>
      </x:c>
      <x:c r="D844" s="51" t="str">
        <x:f>IF(836&gt;$H$4,"",IF(INDEX('Fleet dates'!$D$9:$D$1008,$I844-8)="","",INDEX('Fleet dates'!$D$9:$D$1008,$I844-8)))</x:f>
      </x:c>
      <x:c r="E844" s="51" t="str">
        <x:f>IF(836&gt;$H$4,"",IF(INDEX('Fleet dates'!$E$9:$E$1008,$I844-8)="","",INDEX('Fleet dates'!$E$9:$E$1008,$I844-8)))</x:f>
      </x:c>
      <x:c r="F844" s="51" t="str">
        <x:f>IF(836&gt;$H$4,"",IF(INDEX('Fleet dates'!$F$9:$F$1008,$I844-8)="","",INDEX('Fleet dates'!$F$9:$F$1008,$I844-8)))</x:f>
      </x:c>
      <x:c r="G844" s="50" t="str">
        <x:f>IF(836&gt;$H$4,"",IF(INDEX('Fleet dates'!$G$9:$G$1008,$I844-8)="","",INDEX('Fleet dates'!$G$9:$G$1008,$I844-8)))</x:f>
      </x:c>
      <x:c r="H844" s="50" t="str">
        <x:f>IF(836&gt;$H$4,"",IF(INDEX('Fleet dates'!$I$9:$I$1008,$I844-8)="","",INDEX('Fleet dates'!$I$9:$I$1008,$I844-8)))</x:f>
      </x:c>
      <x:c r="I844" t="str">
        <x:f>IF(836&gt;$H$4,"",MATCH(836,'Fleet dates'!$M$9:$M$1008,0)+8)</x:f>
      </x:c>
    </x:row>
    <x:row r="845" ht="36" customHeight="1">
      <x:c r="A845" s="50" t="str">
        <x:f>IF(837&gt;$H$4,"",IF(INDEX('Fleet dates'!$A$9:$A$1008,$I845-8)="","",INDEX('Fleet dates'!$A$9:$A$1008,$I845-8)))</x:f>
      </x:c>
      <x:c r="B845" s="50" t="str">
        <x:f>IF(837&gt;$H$4,"",IF(INDEX('Fleet dates'!$B$9:$B$1008,$I845-8)="","",INDEX('Fleet dates'!$B$9:$B$1008,$I845-8)))</x:f>
      </x:c>
      <x:c r="C845" s="51" t="str">
        <x:f>IF(837&gt;$H$4,"",IF(INDEX('Fleet dates'!$C$9:$C$1008,$I845-8)="","",INDEX('Fleet dates'!$C$9:$C$1008,$I845-8)))</x:f>
      </x:c>
      <x:c r="D845" s="51" t="str">
        <x:f>IF(837&gt;$H$4,"",IF(INDEX('Fleet dates'!$D$9:$D$1008,$I845-8)="","",INDEX('Fleet dates'!$D$9:$D$1008,$I845-8)))</x:f>
      </x:c>
      <x:c r="E845" s="51" t="str">
        <x:f>IF(837&gt;$H$4,"",IF(INDEX('Fleet dates'!$E$9:$E$1008,$I845-8)="","",INDEX('Fleet dates'!$E$9:$E$1008,$I845-8)))</x:f>
      </x:c>
      <x:c r="F845" s="51" t="str">
        <x:f>IF(837&gt;$H$4,"",IF(INDEX('Fleet dates'!$F$9:$F$1008,$I845-8)="","",INDEX('Fleet dates'!$F$9:$F$1008,$I845-8)))</x:f>
      </x:c>
      <x:c r="G845" s="50" t="str">
        <x:f>IF(837&gt;$H$4,"",IF(INDEX('Fleet dates'!$G$9:$G$1008,$I845-8)="","",INDEX('Fleet dates'!$G$9:$G$1008,$I845-8)))</x:f>
      </x:c>
      <x:c r="H845" s="50" t="str">
        <x:f>IF(837&gt;$H$4,"",IF(INDEX('Fleet dates'!$I$9:$I$1008,$I845-8)="","",INDEX('Fleet dates'!$I$9:$I$1008,$I845-8)))</x:f>
      </x:c>
      <x:c r="I845" t="str">
        <x:f>IF(837&gt;$H$4,"",MATCH(837,'Fleet dates'!$M$9:$M$1008,0)+8)</x:f>
      </x:c>
    </x:row>
    <x:row r="846" ht="36" customHeight="1">
      <x:c r="A846" s="50" t="str">
        <x:f>IF(838&gt;$H$4,"",IF(INDEX('Fleet dates'!$A$9:$A$1008,$I846-8)="","",INDEX('Fleet dates'!$A$9:$A$1008,$I846-8)))</x:f>
      </x:c>
      <x:c r="B846" s="50" t="str">
        <x:f>IF(838&gt;$H$4,"",IF(INDEX('Fleet dates'!$B$9:$B$1008,$I846-8)="","",INDEX('Fleet dates'!$B$9:$B$1008,$I846-8)))</x:f>
      </x:c>
      <x:c r="C846" s="51" t="str">
        <x:f>IF(838&gt;$H$4,"",IF(INDEX('Fleet dates'!$C$9:$C$1008,$I846-8)="","",INDEX('Fleet dates'!$C$9:$C$1008,$I846-8)))</x:f>
      </x:c>
      <x:c r="D846" s="51" t="str">
        <x:f>IF(838&gt;$H$4,"",IF(INDEX('Fleet dates'!$D$9:$D$1008,$I846-8)="","",INDEX('Fleet dates'!$D$9:$D$1008,$I846-8)))</x:f>
      </x:c>
      <x:c r="E846" s="51" t="str">
        <x:f>IF(838&gt;$H$4,"",IF(INDEX('Fleet dates'!$E$9:$E$1008,$I846-8)="","",INDEX('Fleet dates'!$E$9:$E$1008,$I846-8)))</x:f>
      </x:c>
      <x:c r="F846" s="51" t="str">
        <x:f>IF(838&gt;$H$4,"",IF(INDEX('Fleet dates'!$F$9:$F$1008,$I846-8)="","",INDEX('Fleet dates'!$F$9:$F$1008,$I846-8)))</x:f>
      </x:c>
      <x:c r="G846" s="50" t="str">
        <x:f>IF(838&gt;$H$4,"",IF(INDEX('Fleet dates'!$G$9:$G$1008,$I846-8)="","",INDEX('Fleet dates'!$G$9:$G$1008,$I846-8)))</x:f>
      </x:c>
      <x:c r="H846" s="50" t="str">
        <x:f>IF(838&gt;$H$4,"",IF(INDEX('Fleet dates'!$I$9:$I$1008,$I846-8)="","",INDEX('Fleet dates'!$I$9:$I$1008,$I846-8)))</x:f>
      </x:c>
      <x:c r="I846" t="str">
        <x:f>IF(838&gt;$H$4,"",MATCH(838,'Fleet dates'!$M$9:$M$1008,0)+8)</x:f>
      </x:c>
    </x:row>
    <x:row r="847" ht="36" customHeight="1">
      <x:c r="A847" s="50" t="str">
        <x:f>IF(839&gt;$H$4,"",IF(INDEX('Fleet dates'!$A$9:$A$1008,$I847-8)="","",INDEX('Fleet dates'!$A$9:$A$1008,$I847-8)))</x:f>
      </x:c>
      <x:c r="B847" s="50" t="str">
        <x:f>IF(839&gt;$H$4,"",IF(INDEX('Fleet dates'!$B$9:$B$1008,$I847-8)="","",INDEX('Fleet dates'!$B$9:$B$1008,$I847-8)))</x:f>
      </x:c>
      <x:c r="C847" s="51" t="str">
        <x:f>IF(839&gt;$H$4,"",IF(INDEX('Fleet dates'!$C$9:$C$1008,$I847-8)="","",INDEX('Fleet dates'!$C$9:$C$1008,$I847-8)))</x:f>
      </x:c>
      <x:c r="D847" s="51" t="str">
        <x:f>IF(839&gt;$H$4,"",IF(INDEX('Fleet dates'!$D$9:$D$1008,$I847-8)="","",INDEX('Fleet dates'!$D$9:$D$1008,$I847-8)))</x:f>
      </x:c>
      <x:c r="E847" s="51" t="str">
        <x:f>IF(839&gt;$H$4,"",IF(INDEX('Fleet dates'!$E$9:$E$1008,$I847-8)="","",INDEX('Fleet dates'!$E$9:$E$1008,$I847-8)))</x:f>
      </x:c>
      <x:c r="F847" s="51" t="str">
        <x:f>IF(839&gt;$H$4,"",IF(INDEX('Fleet dates'!$F$9:$F$1008,$I847-8)="","",INDEX('Fleet dates'!$F$9:$F$1008,$I847-8)))</x:f>
      </x:c>
      <x:c r="G847" s="50" t="str">
        <x:f>IF(839&gt;$H$4,"",IF(INDEX('Fleet dates'!$G$9:$G$1008,$I847-8)="","",INDEX('Fleet dates'!$G$9:$G$1008,$I847-8)))</x:f>
      </x:c>
      <x:c r="H847" s="50" t="str">
        <x:f>IF(839&gt;$H$4,"",IF(INDEX('Fleet dates'!$I$9:$I$1008,$I847-8)="","",INDEX('Fleet dates'!$I$9:$I$1008,$I847-8)))</x:f>
      </x:c>
      <x:c r="I847" t="str">
        <x:f>IF(839&gt;$H$4,"",MATCH(839,'Fleet dates'!$M$9:$M$1008,0)+8)</x:f>
      </x:c>
    </x:row>
    <x:row r="848" ht="36" customHeight="1">
      <x:c r="A848" s="50" t="str">
        <x:f>IF(840&gt;$H$4,"",IF(INDEX('Fleet dates'!$A$9:$A$1008,$I848-8)="","",INDEX('Fleet dates'!$A$9:$A$1008,$I848-8)))</x:f>
      </x:c>
      <x:c r="B848" s="50" t="str">
        <x:f>IF(840&gt;$H$4,"",IF(INDEX('Fleet dates'!$B$9:$B$1008,$I848-8)="","",INDEX('Fleet dates'!$B$9:$B$1008,$I848-8)))</x:f>
      </x:c>
      <x:c r="C848" s="51" t="str">
        <x:f>IF(840&gt;$H$4,"",IF(INDEX('Fleet dates'!$C$9:$C$1008,$I848-8)="","",INDEX('Fleet dates'!$C$9:$C$1008,$I848-8)))</x:f>
      </x:c>
      <x:c r="D848" s="51" t="str">
        <x:f>IF(840&gt;$H$4,"",IF(INDEX('Fleet dates'!$D$9:$D$1008,$I848-8)="","",INDEX('Fleet dates'!$D$9:$D$1008,$I848-8)))</x:f>
      </x:c>
      <x:c r="E848" s="51" t="str">
        <x:f>IF(840&gt;$H$4,"",IF(INDEX('Fleet dates'!$E$9:$E$1008,$I848-8)="","",INDEX('Fleet dates'!$E$9:$E$1008,$I848-8)))</x:f>
      </x:c>
      <x:c r="F848" s="51" t="str">
        <x:f>IF(840&gt;$H$4,"",IF(INDEX('Fleet dates'!$F$9:$F$1008,$I848-8)="","",INDEX('Fleet dates'!$F$9:$F$1008,$I848-8)))</x:f>
      </x:c>
      <x:c r="G848" s="50" t="str">
        <x:f>IF(840&gt;$H$4,"",IF(INDEX('Fleet dates'!$G$9:$G$1008,$I848-8)="","",INDEX('Fleet dates'!$G$9:$G$1008,$I848-8)))</x:f>
      </x:c>
      <x:c r="H848" s="50" t="str">
        <x:f>IF(840&gt;$H$4,"",IF(INDEX('Fleet dates'!$I$9:$I$1008,$I848-8)="","",INDEX('Fleet dates'!$I$9:$I$1008,$I848-8)))</x:f>
      </x:c>
      <x:c r="I848" t="str">
        <x:f>IF(840&gt;$H$4,"",MATCH(840,'Fleet dates'!$M$9:$M$1008,0)+8)</x:f>
      </x:c>
    </x:row>
    <x:row r="849" ht="36" customHeight="1">
      <x:c r="A849" s="50" t="str">
        <x:f>IF(841&gt;$H$4,"",IF(INDEX('Fleet dates'!$A$9:$A$1008,$I849-8)="","",INDEX('Fleet dates'!$A$9:$A$1008,$I849-8)))</x:f>
      </x:c>
      <x:c r="B849" s="50" t="str">
        <x:f>IF(841&gt;$H$4,"",IF(INDEX('Fleet dates'!$B$9:$B$1008,$I849-8)="","",INDEX('Fleet dates'!$B$9:$B$1008,$I849-8)))</x:f>
      </x:c>
      <x:c r="C849" s="51" t="str">
        <x:f>IF(841&gt;$H$4,"",IF(INDEX('Fleet dates'!$C$9:$C$1008,$I849-8)="","",INDEX('Fleet dates'!$C$9:$C$1008,$I849-8)))</x:f>
      </x:c>
      <x:c r="D849" s="51" t="str">
        <x:f>IF(841&gt;$H$4,"",IF(INDEX('Fleet dates'!$D$9:$D$1008,$I849-8)="","",INDEX('Fleet dates'!$D$9:$D$1008,$I849-8)))</x:f>
      </x:c>
      <x:c r="E849" s="51" t="str">
        <x:f>IF(841&gt;$H$4,"",IF(INDEX('Fleet dates'!$E$9:$E$1008,$I849-8)="","",INDEX('Fleet dates'!$E$9:$E$1008,$I849-8)))</x:f>
      </x:c>
      <x:c r="F849" s="51" t="str">
        <x:f>IF(841&gt;$H$4,"",IF(INDEX('Fleet dates'!$F$9:$F$1008,$I849-8)="","",INDEX('Fleet dates'!$F$9:$F$1008,$I849-8)))</x:f>
      </x:c>
      <x:c r="G849" s="50" t="str">
        <x:f>IF(841&gt;$H$4,"",IF(INDEX('Fleet dates'!$G$9:$G$1008,$I849-8)="","",INDEX('Fleet dates'!$G$9:$G$1008,$I849-8)))</x:f>
      </x:c>
      <x:c r="H849" s="50" t="str">
        <x:f>IF(841&gt;$H$4,"",IF(INDEX('Fleet dates'!$I$9:$I$1008,$I849-8)="","",INDEX('Fleet dates'!$I$9:$I$1008,$I849-8)))</x:f>
      </x:c>
      <x:c r="I849" t="str">
        <x:f>IF(841&gt;$H$4,"",MATCH(841,'Fleet dates'!$M$9:$M$1008,0)+8)</x:f>
      </x:c>
    </x:row>
    <x:row r="850" ht="36" customHeight="1">
      <x:c r="A850" s="50" t="str">
        <x:f>IF(842&gt;$H$4,"",IF(INDEX('Fleet dates'!$A$9:$A$1008,$I850-8)="","",INDEX('Fleet dates'!$A$9:$A$1008,$I850-8)))</x:f>
      </x:c>
      <x:c r="B850" s="50" t="str">
        <x:f>IF(842&gt;$H$4,"",IF(INDEX('Fleet dates'!$B$9:$B$1008,$I850-8)="","",INDEX('Fleet dates'!$B$9:$B$1008,$I850-8)))</x:f>
      </x:c>
      <x:c r="C850" s="51" t="str">
        <x:f>IF(842&gt;$H$4,"",IF(INDEX('Fleet dates'!$C$9:$C$1008,$I850-8)="","",INDEX('Fleet dates'!$C$9:$C$1008,$I850-8)))</x:f>
      </x:c>
      <x:c r="D850" s="51" t="str">
        <x:f>IF(842&gt;$H$4,"",IF(INDEX('Fleet dates'!$D$9:$D$1008,$I850-8)="","",INDEX('Fleet dates'!$D$9:$D$1008,$I850-8)))</x:f>
      </x:c>
      <x:c r="E850" s="51" t="str">
        <x:f>IF(842&gt;$H$4,"",IF(INDEX('Fleet dates'!$E$9:$E$1008,$I850-8)="","",INDEX('Fleet dates'!$E$9:$E$1008,$I850-8)))</x:f>
      </x:c>
      <x:c r="F850" s="51" t="str">
        <x:f>IF(842&gt;$H$4,"",IF(INDEX('Fleet dates'!$F$9:$F$1008,$I850-8)="","",INDEX('Fleet dates'!$F$9:$F$1008,$I850-8)))</x:f>
      </x:c>
      <x:c r="G850" s="50" t="str">
        <x:f>IF(842&gt;$H$4,"",IF(INDEX('Fleet dates'!$G$9:$G$1008,$I850-8)="","",INDEX('Fleet dates'!$G$9:$G$1008,$I850-8)))</x:f>
      </x:c>
      <x:c r="H850" s="50" t="str">
        <x:f>IF(842&gt;$H$4,"",IF(INDEX('Fleet dates'!$I$9:$I$1008,$I850-8)="","",INDEX('Fleet dates'!$I$9:$I$1008,$I850-8)))</x:f>
      </x:c>
      <x:c r="I850" t="str">
        <x:f>IF(842&gt;$H$4,"",MATCH(842,'Fleet dates'!$M$9:$M$1008,0)+8)</x:f>
      </x:c>
    </x:row>
    <x:row r="851" ht="36" customHeight="1">
      <x:c r="A851" s="50" t="str">
        <x:f>IF(843&gt;$H$4,"",IF(INDEX('Fleet dates'!$A$9:$A$1008,$I851-8)="","",INDEX('Fleet dates'!$A$9:$A$1008,$I851-8)))</x:f>
      </x:c>
      <x:c r="B851" s="50" t="str">
        <x:f>IF(843&gt;$H$4,"",IF(INDEX('Fleet dates'!$B$9:$B$1008,$I851-8)="","",INDEX('Fleet dates'!$B$9:$B$1008,$I851-8)))</x:f>
      </x:c>
      <x:c r="C851" s="51" t="str">
        <x:f>IF(843&gt;$H$4,"",IF(INDEX('Fleet dates'!$C$9:$C$1008,$I851-8)="","",INDEX('Fleet dates'!$C$9:$C$1008,$I851-8)))</x:f>
      </x:c>
      <x:c r="D851" s="51" t="str">
        <x:f>IF(843&gt;$H$4,"",IF(INDEX('Fleet dates'!$D$9:$D$1008,$I851-8)="","",INDEX('Fleet dates'!$D$9:$D$1008,$I851-8)))</x:f>
      </x:c>
      <x:c r="E851" s="51" t="str">
        <x:f>IF(843&gt;$H$4,"",IF(INDEX('Fleet dates'!$E$9:$E$1008,$I851-8)="","",INDEX('Fleet dates'!$E$9:$E$1008,$I851-8)))</x:f>
      </x:c>
      <x:c r="F851" s="51" t="str">
        <x:f>IF(843&gt;$H$4,"",IF(INDEX('Fleet dates'!$F$9:$F$1008,$I851-8)="","",INDEX('Fleet dates'!$F$9:$F$1008,$I851-8)))</x:f>
      </x:c>
      <x:c r="G851" s="50" t="str">
        <x:f>IF(843&gt;$H$4,"",IF(INDEX('Fleet dates'!$G$9:$G$1008,$I851-8)="","",INDEX('Fleet dates'!$G$9:$G$1008,$I851-8)))</x:f>
      </x:c>
      <x:c r="H851" s="50" t="str">
        <x:f>IF(843&gt;$H$4,"",IF(INDEX('Fleet dates'!$I$9:$I$1008,$I851-8)="","",INDEX('Fleet dates'!$I$9:$I$1008,$I851-8)))</x:f>
      </x:c>
      <x:c r="I851" t="str">
        <x:f>IF(843&gt;$H$4,"",MATCH(843,'Fleet dates'!$M$9:$M$1008,0)+8)</x:f>
      </x:c>
    </x:row>
    <x:row r="852" ht="36" customHeight="1">
      <x:c r="A852" s="50" t="str">
        <x:f>IF(844&gt;$H$4,"",IF(INDEX('Fleet dates'!$A$9:$A$1008,$I852-8)="","",INDEX('Fleet dates'!$A$9:$A$1008,$I852-8)))</x:f>
      </x:c>
      <x:c r="B852" s="50" t="str">
        <x:f>IF(844&gt;$H$4,"",IF(INDEX('Fleet dates'!$B$9:$B$1008,$I852-8)="","",INDEX('Fleet dates'!$B$9:$B$1008,$I852-8)))</x:f>
      </x:c>
      <x:c r="C852" s="51" t="str">
        <x:f>IF(844&gt;$H$4,"",IF(INDEX('Fleet dates'!$C$9:$C$1008,$I852-8)="","",INDEX('Fleet dates'!$C$9:$C$1008,$I852-8)))</x:f>
      </x:c>
      <x:c r="D852" s="51" t="str">
        <x:f>IF(844&gt;$H$4,"",IF(INDEX('Fleet dates'!$D$9:$D$1008,$I852-8)="","",INDEX('Fleet dates'!$D$9:$D$1008,$I852-8)))</x:f>
      </x:c>
      <x:c r="E852" s="51" t="str">
        <x:f>IF(844&gt;$H$4,"",IF(INDEX('Fleet dates'!$E$9:$E$1008,$I852-8)="","",INDEX('Fleet dates'!$E$9:$E$1008,$I852-8)))</x:f>
      </x:c>
      <x:c r="F852" s="51" t="str">
        <x:f>IF(844&gt;$H$4,"",IF(INDEX('Fleet dates'!$F$9:$F$1008,$I852-8)="","",INDEX('Fleet dates'!$F$9:$F$1008,$I852-8)))</x:f>
      </x:c>
      <x:c r="G852" s="50" t="str">
        <x:f>IF(844&gt;$H$4,"",IF(INDEX('Fleet dates'!$G$9:$G$1008,$I852-8)="","",INDEX('Fleet dates'!$G$9:$G$1008,$I852-8)))</x:f>
      </x:c>
      <x:c r="H852" s="50" t="str">
        <x:f>IF(844&gt;$H$4,"",IF(INDEX('Fleet dates'!$I$9:$I$1008,$I852-8)="","",INDEX('Fleet dates'!$I$9:$I$1008,$I852-8)))</x:f>
      </x:c>
      <x:c r="I852" t="str">
        <x:f>IF(844&gt;$H$4,"",MATCH(844,'Fleet dates'!$M$9:$M$1008,0)+8)</x:f>
      </x:c>
    </x:row>
    <x:row r="853" ht="36" customHeight="1">
      <x:c r="A853" s="50" t="str">
        <x:f>IF(845&gt;$H$4,"",IF(INDEX('Fleet dates'!$A$9:$A$1008,$I853-8)="","",INDEX('Fleet dates'!$A$9:$A$1008,$I853-8)))</x:f>
      </x:c>
      <x:c r="B853" s="50" t="str">
        <x:f>IF(845&gt;$H$4,"",IF(INDEX('Fleet dates'!$B$9:$B$1008,$I853-8)="","",INDEX('Fleet dates'!$B$9:$B$1008,$I853-8)))</x:f>
      </x:c>
      <x:c r="C853" s="51" t="str">
        <x:f>IF(845&gt;$H$4,"",IF(INDEX('Fleet dates'!$C$9:$C$1008,$I853-8)="","",INDEX('Fleet dates'!$C$9:$C$1008,$I853-8)))</x:f>
      </x:c>
      <x:c r="D853" s="51" t="str">
        <x:f>IF(845&gt;$H$4,"",IF(INDEX('Fleet dates'!$D$9:$D$1008,$I853-8)="","",INDEX('Fleet dates'!$D$9:$D$1008,$I853-8)))</x:f>
      </x:c>
      <x:c r="E853" s="51" t="str">
        <x:f>IF(845&gt;$H$4,"",IF(INDEX('Fleet dates'!$E$9:$E$1008,$I853-8)="","",INDEX('Fleet dates'!$E$9:$E$1008,$I853-8)))</x:f>
      </x:c>
      <x:c r="F853" s="51" t="str">
        <x:f>IF(845&gt;$H$4,"",IF(INDEX('Fleet dates'!$F$9:$F$1008,$I853-8)="","",INDEX('Fleet dates'!$F$9:$F$1008,$I853-8)))</x:f>
      </x:c>
      <x:c r="G853" s="50" t="str">
        <x:f>IF(845&gt;$H$4,"",IF(INDEX('Fleet dates'!$G$9:$G$1008,$I853-8)="","",INDEX('Fleet dates'!$G$9:$G$1008,$I853-8)))</x:f>
      </x:c>
      <x:c r="H853" s="50" t="str">
        <x:f>IF(845&gt;$H$4,"",IF(INDEX('Fleet dates'!$I$9:$I$1008,$I853-8)="","",INDEX('Fleet dates'!$I$9:$I$1008,$I853-8)))</x:f>
      </x:c>
      <x:c r="I853" t="str">
        <x:f>IF(845&gt;$H$4,"",MATCH(845,'Fleet dates'!$M$9:$M$1008,0)+8)</x:f>
      </x:c>
    </x:row>
    <x:row r="854" ht="36" customHeight="1">
      <x:c r="A854" s="50" t="str">
        <x:f>IF(846&gt;$H$4,"",IF(INDEX('Fleet dates'!$A$9:$A$1008,$I854-8)="","",INDEX('Fleet dates'!$A$9:$A$1008,$I854-8)))</x:f>
      </x:c>
      <x:c r="B854" s="50" t="str">
        <x:f>IF(846&gt;$H$4,"",IF(INDEX('Fleet dates'!$B$9:$B$1008,$I854-8)="","",INDEX('Fleet dates'!$B$9:$B$1008,$I854-8)))</x:f>
      </x:c>
      <x:c r="C854" s="51" t="str">
        <x:f>IF(846&gt;$H$4,"",IF(INDEX('Fleet dates'!$C$9:$C$1008,$I854-8)="","",INDEX('Fleet dates'!$C$9:$C$1008,$I854-8)))</x:f>
      </x:c>
      <x:c r="D854" s="51" t="str">
        <x:f>IF(846&gt;$H$4,"",IF(INDEX('Fleet dates'!$D$9:$D$1008,$I854-8)="","",INDEX('Fleet dates'!$D$9:$D$1008,$I854-8)))</x:f>
      </x:c>
      <x:c r="E854" s="51" t="str">
        <x:f>IF(846&gt;$H$4,"",IF(INDEX('Fleet dates'!$E$9:$E$1008,$I854-8)="","",INDEX('Fleet dates'!$E$9:$E$1008,$I854-8)))</x:f>
      </x:c>
      <x:c r="F854" s="51" t="str">
        <x:f>IF(846&gt;$H$4,"",IF(INDEX('Fleet dates'!$F$9:$F$1008,$I854-8)="","",INDEX('Fleet dates'!$F$9:$F$1008,$I854-8)))</x:f>
      </x:c>
      <x:c r="G854" s="50" t="str">
        <x:f>IF(846&gt;$H$4,"",IF(INDEX('Fleet dates'!$G$9:$G$1008,$I854-8)="","",INDEX('Fleet dates'!$G$9:$G$1008,$I854-8)))</x:f>
      </x:c>
      <x:c r="H854" s="50" t="str">
        <x:f>IF(846&gt;$H$4,"",IF(INDEX('Fleet dates'!$I$9:$I$1008,$I854-8)="","",INDEX('Fleet dates'!$I$9:$I$1008,$I854-8)))</x:f>
      </x:c>
      <x:c r="I854" t="str">
        <x:f>IF(846&gt;$H$4,"",MATCH(846,'Fleet dates'!$M$9:$M$1008,0)+8)</x:f>
      </x:c>
    </x:row>
    <x:row r="855" ht="36" customHeight="1">
      <x:c r="A855" s="50" t="str">
        <x:f>IF(847&gt;$H$4,"",IF(INDEX('Fleet dates'!$A$9:$A$1008,$I855-8)="","",INDEX('Fleet dates'!$A$9:$A$1008,$I855-8)))</x:f>
      </x:c>
      <x:c r="B855" s="50" t="str">
        <x:f>IF(847&gt;$H$4,"",IF(INDEX('Fleet dates'!$B$9:$B$1008,$I855-8)="","",INDEX('Fleet dates'!$B$9:$B$1008,$I855-8)))</x:f>
      </x:c>
      <x:c r="C855" s="51" t="str">
        <x:f>IF(847&gt;$H$4,"",IF(INDEX('Fleet dates'!$C$9:$C$1008,$I855-8)="","",INDEX('Fleet dates'!$C$9:$C$1008,$I855-8)))</x:f>
      </x:c>
      <x:c r="D855" s="51" t="str">
        <x:f>IF(847&gt;$H$4,"",IF(INDEX('Fleet dates'!$D$9:$D$1008,$I855-8)="","",INDEX('Fleet dates'!$D$9:$D$1008,$I855-8)))</x:f>
      </x:c>
      <x:c r="E855" s="51" t="str">
        <x:f>IF(847&gt;$H$4,"",IF(INDEX('Fleet dates'!$E$9:$E$1008,$I855-8)="","",INDEX('Fleet dates'!$E$9:$E$1008,$I855-8)))</x:f>
      </x:c>
      <x:c r="F855" s="51" t="str">
        <x:f>IF(847&gt;$H$4,"",IF(INDEX('Fleet dates'!$F$9:$F$1008,$I855-8)="","",INDEX('Fleet dates'!$F$9:$F$1008,$I855-8)))</x:f>
      </x:c>
      <x:c r="G855" s="50" t="str">
        <x:f>IF(847&gt;$H$4,"",IF(INDEX('Fleet dates'!$G$9:$G$1008,$I855-8)="","",INDEX('Fleet dates'!$G$9:$G$1008,$I855-8)))</x:f>
      </x:c>
      <x:c r="H855" s="50" t="str">
        <x:f>IF(847&gt;$H$4,"",IF(INDEX('Fleet dates'!$I$9:$I$1008,$I855-8)="","",INDEX('Fleet dates'!$I$9:$I$1008,$I855-8)))</x:f>
      </x:c>
      <x:c r="I855" t="str">
        <x:f>IF(847&gt;$H$4,"",MATCH(847,'Fleet dates'!$M$9:$M$1008,0)+8)</x:f>
      </x:c>
    </x:row>
    <x:row r="856" ht="36" customHeight="1">
      <x:c r="A856" s="50" t="str">
        <x:f>IF(848&gt;$H$4,"",IF(INDEX('Fleet dates'!$A$9:$A$1008,$I856-8)="","",INDEX('Fleet dates'!$A$9:$A$1008,$I856-8)))</x:f>
      </x:c>
      <x:c r="B856" s="50" t="str">
        <x:f>IF(848&gt;$H$4,"",IF(INDEX('Fleet dates'!$B$9:$B$1008,$I856-8)="","",INDEX('Fleet dates'!$B$9:$B$1008,$I856-8)))</x:f>
      </x:c>
      <x:c r="C856" s="51" t="str">
        <x:f>IF(848&gt;$H$4,"",IF(INDEX('Fleet dates'!$C$9:$C$1008,$I856-8)="","",INDEX('Fleet dates'!$C$9:$C$1008,$I856-8)))</x:f>
      </x:c>
      <x:c r="D856" s="51" t="str">
        <x:f>IF(848&gt;$H$4,"",IF(INDEX('Fleet dates'!$D$9:$D$1008,$I856-8)="","",INDEX('Fleet dates'!$D$9:$D$1008,$I856-8)))</x:f>
      </x:c>
      <x:c r="E856" s="51" t="str">
        <x:f>IF(848&gt;$H$4,"",IF(INDEX('Fleet dates'!$E$9:$E$1008,$I856-8)="","",INDEX('Fleet dates'!$E$9:$E$1008,$I856-8)))</x:f>
      </x:c>
      <x:c r="F856" s="51" t="str">
        <x:f>IF(848&gt;$H$4,"",IF(INDEX('Fleet dates'!$F$9:$F$1008,$I856-8)="","",INDEX('Fleet dates'!$F$9:$F$1008,$I856-8)))</x:f>
      </x:c>
      <x:c r="G856" s="50" t="str">
        <x:f>IF(848&gt;$H$4,"",IF(INDEX('Fleet dates'!$G$9:$G$1008,$I856-8)="","",INDEX('Fleet dates'!$G$9:$G$1008,$I856-8)))</x:f>
      </x:c>
      <x:c r="H856" s="50" t="str">
        <x:f>IF(848&gt;$H$4,"",IF(INDEX('Fleet dates'!$I$9:$I$1008,$I856-8)="","",INDEX('Fleet dates'!$I$9:$I$1008,$I856-8)))</x:f>
      </x:c>
      <x:c r="I856" t="str">
        <x:f>IF(848&gt;$H$4,"",MATCH(848,'Fleet dates'!$M$9:$M$1008,0)+8)</x:f>
      </x:c>
    </x:row>
    <x:row r="857" ht="36" customHeight="1">
      <x:c r="A857" s="50" t="str">
        <x:f>IF(849&gt;$H$4,"",IF(INDEX('Fleet dates'!$A$9:$A$1008,$I857-8)="","",INDEX('Fleet dates'!$A$9:$A$1008,$I857-8)))</x:f>
      </x:c>
      <x:c r="B857" s="50" t="str">
        <x:f>IF(849&gt;$H$4,"",IF(INDEX('Fleet dates'!$B$9:$B$1008,$I857-8)="","",INDEX('Fleet dates'!$B$9:$B$1008,$I857-8)))</x:f>
      </x:c>
      <x:c r="C857" s="51" t="str">
        <x:f>IF(849&gt;$H$4,"",IF(INDEX('Fleet dates'!$C$9:$C$1008,$I857-8)="","",INDEX('Fleet dates'!$C$9:$C$1008,$I857-8)))</x:f>
      </x:c>
      <x:c r="D857" s="51" t="str">
        <x:f>IF(849&gt;$H$4,"",IF(INDEX('Fleet dates'!$D$9:$D$1008,$I857-8)="","",INDEX('Fleet dates'!$D$9:$D$1008,$I857-8)))</x:f>
      </x:c>
      <x:c r="E857" s="51" t="str">
        <x:f>IF(849&gt;$H$4,"",IF(INDEX('Fleet dates'!$E$9:$E$1008,$I857-8)="","",INDEX('Fleet dates'!$E$9:$E$1008,$I857-8)))</x:f>
      </x:c>
      <x:c r="F857" s="51" t="str">
        <x:f>IF(849&gt;$H$4,"",IF(INDEX('Fleet dates'!$F$9:$F$1008,$I857-8)="","",INDEX('Fleet dates'!$F$9:$F$1008,$I857-8)))</x:f>
      </x:c>
      <x:c r="G857" s="50" t="str">
        <x:f>IF(849&gt;$H$4,"",IF(INDEX('Fleet dates'!$G$9:$G$1008,$I857-8)="","",INDEX('Fleet dates'!$G$9:$G$1008,$I857-8)))</x:f>
      </x:c>
      <x:c r="H857" s="50" t="str">
        <x:f>IF(849&gt;$H$4,"",IF(INDEX('Fleet dates'!$I$9:$I$1008,$I857-8)="","",INDEX('Fleet dates'!$I$9:$I$1008,$I857-8)))</x:f>
      </x:c>
      <x:c r="I857" t="str">
        <x:f>IF(849&gt;$H$4,"",MATCH(849,'Fleet dates'!$M$9:$M$1008,0)+8)</x:f>
      </x:c>
    </x:row>
    <x:row r="858" ht="36" customHeight="1">
      <x:c r="A858" s="50" t="str">
        <x:f>IF(850&gt;$H$4,"",IF(INDEX('Fleet dates'!$A$9:$A$1008,$I858-8)="","",INDEX('Fleet dates'!$A$9:$A$1008,$I858-8)))</x:f>
      </x:c>
      <x:c r="B858" s="50" t="str">
        <x:f>IF(850&gt;$H$4,"",IF(INDEX('Fleet dates'!$B$9:$B$1008,$I858-8)="","",INDEX('Fleet dates'!$B$9:$B$1008,$I858-8)))</x:f>
      </x:c>
      <x:c r="C858" s="51" t="str">
        <x:f>IF(850&gt;$H$4,"",IF(INDEX('Fleet dates'!$C$9:$C$1008,$I858-8)="","",INDEX('Fleet dates'!$C$9:$C$1008,$I858-8)))</x:f>
      </x:c>
      <x:c r="D858" s="51" t="str">
        <x:f>IF(850&gt;$H$4,"",IF(INDEX('Fleet dates'!$D$9:$D$1008,$I858-8)="","",INDEX('Fleet dates'!$D$9:$D$1008,$I858-8)))</x:f>
      </x:c>
      <x:c r="E858" s="51" t="str">
        <x:f>IF(850&gt;$H$4,"",IF(INDEX('Fleet dates'!$E$9:$E$1008,$I858-8)="","",INDEX('Fleet dates'!$E$9:$E$1008,$I858-8)))</x:f>
      </x:c>
      <x:c r="F858" s="51" t="str">
        <x:f>IF(850&gt;$H$4,"",IF(INDEX('Fleet dates'!$F$9:$F$1008,$I858-8)="","",INDEX('Fleet dates'!$F$9:$F$1008,$I858-8)))</x:f>
      </x:c>
      <x:c r="G858" s="50" t="str">
        <x:f>IF(850&gt;$H$4,"",IF(INDEX('Fleet dates'!$G$9:$G$1008,$I858-8)="","",INDEX('Fleet dates'!$G$9:$G$1008,$I858-8)))</x:f>
      </x:c>
      <x:c r="H858" s="50" t="str">
        <x:f>IF(850&gt;$H$4,"",IF(INDEX('Fleet dates'!$I$9:$I$1008,$I858-8)="","",INDEX('Fleet dates'!$I$9:$I$1008,$I858-8)))</x:f>
      </x:c>
      <x:c r="I858" t="str">
        <x:f>IF(850&gt;$H$4,"",MATCH(850,'Fleet dates'!$M$9:$M$1008,0)+8)</x:f>
      </x:c>
    </x:row>
    <x:row r="859" ht="36" customHeight="1">
      <x:c r="A859" s="50" t="str">
        <x:f>IF(851&gt;$H$4,"",IF(INDEX('Fleet dates'!$A$9:$A$1008,$I859-8)="","",INDEX('Fleet dates'!$A$9:$A$1008,$I859-8)))</x:f>
      </x:c>
      <x:c r="B859" s="50" t="str">
        <x:f>IF(851&gt;$H$4,"",IF(INDEX('Fleet dates'!$B$9:$B$1008,$I859-8)="","",INDEX('Fleet dates'!$B$9:$B$1008,$I859-8)))</x:f>
      </x:c>
      <x:c r="C859" s="51" t="str">
        <x:f>IF(851&gt;$H$4,"",IF(INDEX('Fleet dates'!$C$9:$C$1008,$I859-8)="","",INDEX('Fleet dates'!$C$9:$C$1008,$I859-8)))</x:f>
      </x:c>
      <x:c r="D859" s="51" t="str">
        <x:f>IF(851&gt;$H$4,"",IF(INDEX('Fleet dates'!$D$9:$D$1008,$I859-8)="","",INDEX('Fleet dates'!$D$9:$D$1008,$I859-8)))</x:f>
      </x:c>
      <x:c r="E859" s="51" t="str">
        <x:f>IF(851&gt;$H$4,"",IF(INDEX('Fleet dates'!$E$9:$E$1008,$I859-8)="","",INDEX('Fleet dates'!$E$9:$E$1008,$I859-8)))</x:f>
      </x:c>
      <x:c r="F859" s="51" t="str">
        <x:f>IF(851&gt;$H$4,"",IF(INDEX('Fleet dates'!$F$9:$F$1008,$I859-8)="","",INDEX('Fleet dates'!$F$9:$F$1008,$I859-8)))</x:f>
      </x:c>
      <x:c r="G859" s="50" t="str">
        <x:f>IF(851&gt;$H$4,"",IF(INDEX('Fleet dates'!$G$9:$G$1008,$I859-8)="","",INDEX('Fleet dates'!$G$9:$G$1008,$I859-8)))</x:f>
      </x:c>
      <x:c r="H859" s="50" t="str">
        <x:f>IF(851&gt;$H$4,"",IF(INDEX('Fleet dates'!$I$9:$I$1008,$I859-8)="","",INDEX('Fleet dates'!$I$9:$I$1008,$I859-8)))</x:f>
      </x:c>
      <x:c r="I859" t="str">
        <x:f>IF(851&gt;$H$4,"",MATCH(851,'Fleet dates'!$M$9:$M$1008,0)+8)</x:f>
      </x:c>
    </x:row>
    <x:row r="860" ht="36" customHeight="1">
      <x:c r="A860" s="50" t="str">
        <x:f>IF(852&gt;$H$4,"",IF(INDEX('Fleet dates'!$A$9:$A$1008,$I860-8)="","",INDEX('Fleet dates'!$A$9:$A$1008,$I860-8)))</x:f>
      </x:c>
      <x:c r="B860" s="50" t="str">
        <x:f>IF(852&gt;$H$4,"",IF(INDEX('Fleet dates'!$B$9:$B$1008,$I860-8)="","",INDEX('Fleet dates'!$B$9:$B$1008,$I860-8)))</x:f>
      </x:c>
      <x:c r="C860" s="51" t="str">
        <x:f>IF(852&gt;$H$4,"",IF(INDEX('Fleet dates'!$C$9:$C$1008,$I860-8)="","",INDEX('Fleet dates'!$C$9:$C$1008,$I860-8)))</x:f>
      </x:c>
      <x:c r="D860" s="51" t="str">
        <x:f>IF(852&gt;$H$4,"",IF(INDEX('Fleet dates'!$D$9:$D$1008,$I860-8)="","",INDEX('Fleet dates'!$D$9:$D$1008,$I860-8)))</x:f>
      </x:c>
      <x:c r="E860" s="51" t="str">
        <x:f>IF(852&gt;$H$4,"",IF(INDEX('Fleet dates'!$E$9:$E$1008,$I860-8)="","",INDEX('Fleet dates'!$E$9:$E$1008,$I860-8)))</x:f>
      </x:c>
      <x:c r="F860" s="51" t="str">
        <x:f>IF(852&gt;$H$4,"",IF(INDEX('Fleet dates'!$F$9:$F$1008,$I860-8)="","",INDEX('Fleet dates'!$F$9:$F$1008,$I860-8)))</x:f>
      </x:c>
      <x:c r="G860" s="50" t="str">
        <x:f>IF(852&gt;$H$4,"",IF(INDEX('Fleet dates'!$G$9:$G$1008,$I860-8)="","",INDEX('Fleet dates'!$G$9:$G$1008,$I860-8)))</x:f>
      </x:c>
      <x:c r="H860" s="50" t="str">
        <x:f>IF(852&gt;$H$4,"",IF(INDEX('Fleet dates'!$I$9:$I$1008,$I860-8)="","",INDEX('Fleet dates'!$I$9:$I$1008,$I860-8)))</x:f>
      </x:c>
      <x:c r="I860" t="str">
        <x:f>IF(852&gt;$H$4,"",MATCH(852,'Fleet dates'!$M$9:$M$1008,0)+8)</x:f>
      </x:c>
    </x:row>
    <x:row r="861" ht="36" customHeight="1">
      <x:c r="A861" s="50" t="str">
        <x:f>IF(853&gt;$H$4,"",IF(INDEX('Fleet dates'!$A$9:$A$1008,$I861-8)="","",INDEX('Fleet dates'!$A$9:$A$1008,$I861-8)))</x:f>
      </x:c>
      <x:c r="B861" s="50" t="str">
        <x:f>IF(853&gt;$H$4,"",IF(INDEX('Fleet dates'!$B$9:$B$1008,$I861-8)="","",INDEX('Fleet dates'!$B$9:$B$1008,$I861-8)))</x:f>
      </x:c>
      <x:c r="C861" s="51" t="str">
        <x:f>IF(853&gt;$H$4,"",IF(INDEX('Fleet dates'!$C$9:$C$1008,$I861-8)="","",INDEX('Fleet dates'!$C$9:$C$1008,$I861-8)))</x:f>
      </x:c>
      <x:c r="D861" s="51" t="str">
        <x:f>IF(853&gt;$H$4,"",IF(INDEX('Fleet dates'!$D$9:$D$1008,$I861-8)="","",INDEX('Fleet dates'!$D$9:$D$1008,$I861-8)))</x:f>
      </x:c>
      <x:c r="E861" s="51" t="str">
        <x:f>IF(853&gt;$H$4,"",IF(INDEX('Fleet dates'!$E$9:$E$1008,$I861-8)="","",INDEX('Fleet dates'!$E$9:$E$1008,$I861-8)))</x:f>
      </x:c>
      <x:c r="F861" s="51" t="str">
        <x:f>IF(853&gt;$H$4,"",IF(INDEX('Fleet dates'!$F$9:$F$1008,$I861-8)="","",INDEX('Fleet dates'!$F$9:$F$1008,$I861-8)))</x:f>
      </x:c>
      <x:c r="G861" s="50" t="str">
        <x:f>IF(853&gt;$H$4,"",IF(INDEX('Fleet dates'!$G$9:$G$1008,$I861-8)="","",INDEX('Fleet dates'!$G$9:$G$1008,$I861-8)))</x:f>
      </x:c>
      <x:c r="H861" s="50" t="str">
        <x:f>IF(853&gt;$H$4,"",IF(INDEX('Fleet dates'!$I$9:$I$1008,$I861-8)="","",INDEX('Fleet dates'!$I$9:$I$1008,$I861-8)))</x:f>
      </x:c>
      <x:c r="I861" t="str">
        <x:f>IF(853&gt;$H$4,"",MATCH(853,'Fleet dates'!$M$9:$M$1008,0)+8)</x:f>
      </x:c>
    </x:row>
    <x:row r="862" ht="36" customHeight="1">
      <x:c r="A862" s="50" t="str">
        <x:f>IF(854&gt;$H$4,"",IF(INDEX('Fleet dates'!$A$9:$A$1008,$I862-8)="","",INDEX('Fleet dates'!$A$9:$A$1008,$I862-8)))</x:f>
      </x:c>
      <x:c r="B862" s="50" t="str">
        <x:f>IF(854&gt;$H$4,"",IF(INDEX('Fleet dates'!$B$9:$B$1008,$I862-8)="","",INDEX('Fleet dates'!$B$9:$B$1008,$I862-8)))</x:f>
      </x:c>
      <x:c r="C862" s="51" t="str">
        <x:f>IF(854&gt;$H$4,"",IF(INDEX('Fleet dates'!$C$9:$C$1008,$I862-8)="","",INDEX('Fleet dates'!$C$9:$C$1008,$I862-8)))</x:f>
      </x:c>
      <x:c r="D862" s="51" t="str">
        <x:f>IF(854&gt;$H$4,"",IF(INDEX('Fleet dates'!$D$9:$D$1008,$I862-8)="","",INDEX('Fleet dates'!$D$9:$D$1008,$I862-8)))</x:f>
      </x:c>
      <x:c r="E862" s="51" t="str">
        <x:f>IF(854&gt;$H$4,"",IF(INDEX('Fleet dates'!$E$9:$E$1008,$I862-8)="","",INDEX('Fleet dates'!$E$9:$E$1008,$I862-8)))</x:f>
      </x:c>
      <x:c r="F862" s="51" t="str">
        <x:f>IF(854&gt;$H$4,"",IF(INDEX('Fleet dates'!$F$9:$F$1008,$I862-8)="","",INDEX('Fleet dates'!$F$9:$F$1008,$I862-8)))</x:f>
      </x:c>
      <x:c r="G862" s="50" t="str">
        <x:f>IF(854&gt;$H$4,"",IF(INDEX('Fleet dates'!$G$9:$G$1008,$I862-8)="","",INDEX('Fleet dates'!$G$9:$G$1008,$I862-8)))</x:f>
      </x:c>
      <x:c r="H862" s="50" t="str">
        <x:f>IF(854&gt;$H$4,"",IF(INDEX('Fleet dates'!$I$9:$I$1008,$I862-8)="","",INDEX('Fleet dates'!$I$9:$I$1008,$I862-8)))</x:f>
      </x:c>
      <x:c r="I862" t="str">
        <x:f>IF(854&gt;$H$4,"",MATCH(854,'Fleet dates'!$M$9:$M$1008,0)+8)</x:f>
      </x:c>
    </x:row>
    <x:row r="863" ht="36" customHeight="1">
      <x:c r="A863" s="50" t="str">
        <x:f>IF(855&gt;$H$4,"",IF(INDEX('Fleet dates'!$A$9:$A$1008,$I863-8)="","",INDEX('Fleet dates'!$A$9:$A$1008,$I863-8)))</x:f>
      </x:c>
      <x:c r="B863" s="50" t="str">
        <x:f>IF(855&gt;$H$4,"",IF(INDEX('Fleet dates'!$B$9:$B$1008,$I863-8)="","",INDEX('Fleet dates'!$B$9:$B$1008,$I863-8)))</x:f>
      </x:c>
      <x:c r="C863" s="51" t="str">
        <x:f>IF(855&gt;$H$4,"",IF(INDEX('Fleet dates'!$C$9:$C$1008,$I863-8)="","",INDEX('Fleet dates'!$C$9:$C$1008,$I863-8)))</x:f>
      </x:c>
      <x:c r="D863" s="51" t="str">
        <x:f>IF(855&gt;$H$4,"",IF(INDEX('Fleet dates'!$D$9:$D$1008,$I863-8)="","",INDEX('Fleet dates'!$D$9:$D$1008,$I863-8)))</x:f>
      </x:c>
      <x:c r="E863" s="51" t="str">
        <x:f>IF(855&gt;$H$4,"",IF(INDEX('Fleet dates'!$E$9:$E$1008,$I863-8)="","",INDEX('Fleet dates'!$E$9:$E$1008,$I863-8)))</x:f>
      </x:c>
      <x:c r="F863" s="51" t="str">
        <x:f>IF(855&gt;$H$4,"",IF(INDEX('Fleet dates'!$F$9:$F$1008,$I863-8)="","",INDEX('Fleet dates'!$F$9:$F$1008,$I863-8)))</x:f>
      </x:c>
      <x:c r="G863" s="50" t="str">
        <x:f>IF(855&gt;$H$4,"",IF(INDEX('Fleet dates'!$G$9:$G$1008,$I863-8)="","",INDEX('Fleet dates'!$G$9:$G$1008,$I863-8)))</x:f>
      </x:c>
      <x:c r="H863" s="50" t="str">
        <x:f>IF(855&gt;$H$4,"",IF(INDEX('Fleet dates'!$I$9:$I$1008,$I863-8)="","",INDEX('Fleet dates'!$I$9:$I$1008,$I863-8)))</x:f>
      </x:c>
      <x:c r="I863" t="str">
        <x:f>IF(855&gt;$H$4,"",MATCH(855,'Fleet dates'!$M$9:$M$1008,0)+8)</x:f>
      </x:c>
    </x:row>
    <x:row r="864" ht="36" customHeight="1">
      <x:c r="A864" s="50" t="str">
        <x:f>IF(856&gt;$H$4,"",IF(INDEX('Fleet dates'!$A$9:$A$1008,$I864-8)="","",INDEX('Fleet dates'!$A$9:$A$1008,$I864-8)))</x:f>
      </x:c>
      <x:c r="B864" s="50" t="str">
        <x:f>IF(856&gt;$H$4,"",IF(INDEX('Fleet dates'!$B$9:$B$1008,$I864-8)="","",INDEX('Fleet dates'!$B$9:$B$1008,$I864-8)))</x:f>
      </x:c>
      <x:c r="C864" s="51" t="str">
        <x:f>IF(856&gt;$H$4,"",IF(INDEX('Fleet dates'!$C$9:$C$1008,$I864-8)="","",INDEX('Fleet dates'!$C$9:$C$1008,$I864-8)))</x:f>
      </x:c>
      <x:c r="D864" s="51" t="str">
        <x:f>IF(856&gt;$H$4,"",IF(INDEX('Fleet dates'!$D$9:$D$1008,$I864-8)="","",INDEX('Fleet dates'!$D$9:$D$1008,$I864-8)))</x:f>
      </x:c>
      <x:c r="E864" s="51" t="str">
        <x:f>IF(856&gt;$H$4,"",IF(INDEX('Fleet dates'!$E$9:$E$1008,$I864-8)="","",INDEX('Fleet dates'!$E$9:$E$1008,$I864-8)))</x:f>
      </x:c>
      <x:c r="F864" s="51" t="str">
        <x:f>IF(856&gt;$H$4,"",IF(INDEX('Fleet dates'!$F$9:$F$1008,$I864-8)="","",INDEX('Fleet dates'!$F$9:$F$1008,$I864-8)))</x:f>
      </x:c>
      <x:c r="G864" s="50" t="str">
        <x:f>IF(856&gt;$H$4,"",IF(INDEX('Fleet dates'!$G$9:$G$1008,$I864-8)="","",INDEX('Fleet dates'!$G$9:$G$1008,$I864-8)))</x:f>
      </x:c>
      <x:c r="H864" s="50" t="str">
        <x:f>IF(856&gt;$H$4,"",IF(INDEX('Fleet dates'!$I$9:$I$1008,$I864-8)="","",INDEX('Fleet dates'!$I$9:$I$1008,$I864-8)))</x:f>
      </x:c>
      <x:c r="I864" t="str">
        <x:f>IF(856&gt;$H$4,"",MATCH(856,'Fleet dates'!$M$9:$M$1008,0)+8)</x:f>
      </x:c>
    </x:row>
    <x:row r="865" ht="36" customHeight="1">
      <x:c r="A865" s="50" t="str">
        <x:f>IF(857&gt;$H$4,"",IF(INDEX('Fleet dates'!$A$9:$A$1008,$I865-8)="","",INDEX('Fleet dates'!$A$9:$A$1008,$I865-8)))</x:f>
      </x:c>
      <x:c r="B865" s="50" t="str">
        <x:f>IF(857&gt;$H$4,"",IF(INDEX('Fleet dates'!$B$9:$B$1008,$I865-8)="","",INDEX('Fleet dates'!$B$9:$B$1008,$I865-8)))</x:f>
      </x:c>
      <x:c r="C865" s="51" t="str">
        <x:f>IF(857&gt;$H$4,"",IF(INDEX('Fleet dates'!$C$9:$C$1008,$I865-8)="","",INDEX('Fleet dates'!$C$9:$C$1008,$I865-8)))</x:f>
      </x:c>
      <x:c r="D865" s="51" t="str">
        <x:f>IF(857&gt;$H$4,"",IF(INDEX('Fleet dates'!$D$9:$D$1008,$I865-8)="","",INDEX('Fleet dates'!$D$9:$D$1008,$I865-8)))</x:f>
      </x:c>
      <x:c r="E865" s="51" t="str">
        <x:f>IF(857&gt;$H$4,"",IF(INDEX('Fleet dates'!$E$9:$E$1008,$I865-8)="","",INDEX('Fleet dates'!$E$9:$E$1008,$I865-8)))</x:f>
      </x:c>
      <x:c r="F865" s="51" t="str">
        <x:f>IF(857&gt;$H$4,"",IF(INDEX('Fleet dates'!$F$9:$F$1008,$I865-8)="","",INDEX('Fleet dates'!$F$9:$F$1008,$I865-8)))</x:f>
      </x:c>
      <x:c r="G865" s="50" t="str">
        <x:f>IF(857&gt;$H$4,"",IF(INDEX('Fleet dates'!$G$9:$G$1008,$I865-8)="","",INDEX('Fleet dates'!$G$9:$G$1008,$I865-8)))</x:f>
      </x:c>
      <x:c r="H865" s="50" t="str">
        <x:f>IF(857&gt;$H$4,"",IF(INDEX('Fleet dates'!$I$9:$I$1008,$I865-8)="","",INDEX('Fleet dates'!$I$9:$I$1008,$I865-8)))</x:f>
      </x:c>
      <x:c r="I865" t="str">
        <x:f>IF(857&gt;$H$4,"",MATCH(857,'Fleet dates'!$M$9:$M$1008,0)+8)</x:f>
      </x:c>
    </x:row>
    <x:row r="866" ht="36" customHeight="1">
      <x:c r="A866" s="50" t="str">
        <x:f>IF(858&gt;$H$4,"",IF(INDEX('Fleet dates'!$A$9:$A$1008,$I866-8)="","",INDEX('Fleet dates'!$A$9:$A$1008,$I866-8)))</x:f>
      </x:c>
      <x:c r="B866" s="50" t="str">
        <x:f>IF(858&gt;$H$4,"",IF(INDEX('Fleet dates'!$B$9:$B$1008,$I866-8)="","",INDEX('Fleet dates'!$B$9:$B$1008,$I866-8)))</x:f>
      </x:c>
      <x:c r="C866" s="51" t="str">
        <x:f>IF(858&gt;$H$4,"",IF(INDEX('Fleet dates'!$C$9:$C$1008,$I866-8)="","",INDEX('Fleet dates'!$C$9:$C$1008,$I866-8)))</x:f>
      </x:c>
      <x:c r="D866" s="51" t="str">
        <x:f>IF(858&gt;$H$4,"",IF(INDEX('Fleet dates'!$D$9:$D$1008,$I866-8)="","",INDEX('Fleet dates'!$D$9:$D$1008,$I866-8)))</x:f>
      </x:c>
      <x:c r="E866" s="51" t="str">
        <x:f>IF(858&gt;$H$4,"",IF(INDEX('Fleet dates'!$E$9:$E$1008,$I866-8)="","",INDEX('Fleet dates'!$E$9:$E$1008,$I866-8)))</x:f>
      </x:c>
      <x:c r="F866" s="51" t="str">
        <x:f>IF(858&gt;$H$4,"",IF(INDEX('Fleet dates'!$F$9:$F$1008,$I866-8)="","",INDEX('Fleet dates'!$F$9:$F$1008,$I866-8)))</x:f>
      </x:c>
      <x:c r="G866" s="50" t="str">
        <x:f>IF(858&gt;$H$4,"",IF(INDEX('Fleet dates'!$G$9:$G$1008,$I866-8)="","",INDEX('Fleet dates'!$G$9:$G$1008,$I866-8)))</x:f>
      </x:c>
      <x:c r="H866" s="50" t="str">
        <x:f>IF(858&gt;$H$4,"",IF(INDEX('Fleet dates'!$I$9:$I$1008,$I866-8)="","",INDEX('Fleet dates'!$I$9:$I$1008,$I866-8)))</x:f>
      </x:c>
      <x:c r="I866" t="str">
        <x:f>IF(858&gt;$H$4,"",MATCH(858,'Fleet dates'!$M$9:$M$1008,0)+8)</x:f>
      </x:c>
    </x:row>
    <x:row r="867" ht="36" customHeight="1">
      <x:c r="A867" s="50" t="str">
        <x:f>IF(859&gt;$H$4,"",IF(INDEX('Fleet dates'!$A$9:$A$1008,$I867-8)="","",INDEX('Fleet dates'!$A$9:$A$1008,$I867-8)))</x:f>
      </x:c>
      <x:c r="B867" s="50" t="str">
        <x:f>IF(859&gt;$H$4,"",IF(INDEX('Fleet dates'!$B$9:$B$1008,$I867-8)="","",INDEX('Fleet dates'!$B$9:$B$1008,$I867-8)))</x:f>
      </x:c>
      <x:c r="C867" s="51" t="str">
        <x:f>IF(859&gt;$H$4,"",IF(INDEX('Fleet dates'!$C$9:$C$1008,$I867-8)="","",INDEX('Fleet dates'!$C$9:$C$1008,$I867-8)))</x:f>
      </x:c>
      <x:c r="D867" s="51" t="str">
        <x:f>IF(859&gt;$H$4,"",IF(INDEX('Fleet dates'!$D$9:$D$1008,$I867-8)="","",INDEX('Fleet dates'!$D$9:$D$1008,$I867-8)))</x:f>
      </x:c>
      <x:c r="E867" s="51" t="str">
        <x:f>IF(859&gt;$H$4,"",IF(INDEX('Fleet dates'!$E$9:$E$1008,$I867-8)="","",INDEX('Fleet dates'!$E$9:$E$1008,$I867-8)))</x:f>
      </x:c>
      <x:c r="F867" s="51" t="str">
        <x:f>IF(859&gt;$H$4,"",IF(INDEX('Fleet dates'!$F$9:$F$1008,$I867-8)="","",INDEX('Fleet dates'!$F$9:$F$1008,$I867-8)))</x:f>
      </x:c>
      <x:c r="G867" s="50" t="str">
        <x:f>IF(859&gt;$H$4,"",IF(INDEX('Fleet dates'!$G$9:$G$1008,$I867-8)="","",INDEX('Fleet dates'!$G$9:$G$1008,$I867-8)))</x:f>
      </x:c>
      <x:c r="H867" s="50" t="str">
        <x:f>IF(859&gt;$H$4,"",IF(INDEX('Fleet dates'!$I$9:$I$1008,$I867-8)="","",INDEX('Fleet dates'!$I$9:$I$1008,$I867-8)))</x:f>
      </x:c>
      <x:c r="I867" t="str">
        <x:f>IF(859&gt;$H$4,"",MATCH(859,'Fleet dates'!$M$9:$M$1008,0)+8)</x:f>
      </x:c>
    </x:row>
    <x:row r="868" ht="36" customHeight="1">
      <x:c r="A868" s="50" t="str">
        <x:f>IF(860&gt;$H$4,"",IF(INDEX('Fleet dates'!$A$9:$A$1008,$I868-8)="","",INDEX('Fleet dates'!$A$9:$A$1008,$I868-8)))</x:f>
      </x:c>
      <x:c r="B868" s="50" t="str">
        <x:f>IF(860&gt;$H$4,"",IF(INDEX('Fleet dates'!$B$9:$B$1008,$I868-8)="","",INDEX('Fleet dates'!$B$9:$B$1008,$I868-8)))</x:f>
      </x:c>
      <x:c r="C868" s="51" t="str">
        <x:f>IF(860&gt;$H$4,"",IF(INDEX('Fleet dates'!$C$9:$C$1008,$I868-8)="","",INDEX('Fleet dates'!$C$9:$C$1008,$I868-8)))</x:f>
      </x:c>
      <x:c r="D868" s="51" t="str">
        <x:f>IF(860&gt;$H$4,"",IF(INDEX('Fleet dates'!$D$9:$D$1008,$I868-8)="","",INDEX('Fleet dates'!$D$9:$D$1008,$I868-8)))</x:f>
      </x:c>
      <x:c r="E868" s="51" t="str">
        <x:f>IF(860&gt;$H$4,"",IF(INDEX('Fleet dates'!$E$9:$E$1008,$I868-8)="","",INDEX('Fleet dates'!$E$9:$E$1008,$I868-8)))</x:f>
      </x:c>
      <x:c r="F868" s="51" t="str">
        <x:f>IF(860&gt;$H$4,"",IF(INDEX('Fleet dates'!$F$9:$F$1008,$I868-8)="","",INDEX('Fleet dates'!$F$9:$F$1008,$I868-8)))</x:f>
      </x:c>
      <x:c r="G868" s="50" t="str">
        <x:f>IF(860&gt;$H$4,"",IF(INDEX('Fleet dates'!$G$9:$G$1008,$I868-8)="","",INDEX('Fleet dates'!$G$9:$G$1008,$I868-8)))</x:f>
      </x:c>
      <x:c r="H868" s="50" t="str">
        <x:f>IF(860&gt;$H$4,"",IF(INDEX('Fleet dates'!$I$9:$I$1008,$I868-8)="","",INDEX('Fleet dates'!$I$9:$I$1008,$I868-8)))</x:f>
      </x:c>
      <x:c r="I868" t="str">
        <x:f>IF(860&gt;$H$4,"",MATCH(860,'Fleet dates'!$M$9:$M$1008,0)+8)</x:f>
      </x:c>
    </x:row>
    <x:row r="869" ht="36" customHeight="1">
      <x:c r="A869" s="50" t="str">
        <x:f>IF(861&gt;$H$4,"",IF(INDEX('Fleet dates'!$A$9:$A$1008,$I869-8)="","",INDEX('Fleet dates'!$A$9:$A$1008,$I869-8)))</x:f>
      </x:c>
      <x:c r="B869" s="50" t="str">
        <x:f>IF(861&gt;$H$4,"",IF(INDEX('Fleet dates'!$B$9:$B$1008,$I869-8)="","",INDEX('Fleet dates'!$B$9:$B$1008,$I869-8)))</x:f>
      </x:c>
      <x:c r="C869" s="51" t="str">
        <x:f>IF(861&gt;$H$4,"",IF(INDEX('Fleet dates'!$C$9:$C$1008,$I869-8)="","",INDEX('Fleet dates'!$C$9:$C$1008,$I869-8)))</x:f>
      </x:c>
      <x:c r="D869" s="51" t="str">
        <x:f>IF(861&gt;$H$4,"",IF(INDEX('Fleet dates'!$D$9:$D$1008,$I869-8)="","",INDEX('Fleet dates'!$D$9:$D$1008,$I869-8)))</x:f>
      </x:c>
      <x:c r="E869" s="51" t="str">
        <x:f>IF(861&gt;$H$4,"",IF(INDEX('Fleet dates'!$E$9:$E$1008,$I869-8)="","",INDEX('Fleet dates'!$E$9:$E$1008,$I869-8)))</x:f>
      </x:c>
      <x:c r="F869" s="51" t="str">
        <x:f>IF(861&gt;$H$4,"",IF(INDEX('Fleet dates'!$F$9:$F$1008,$I869-8)="","",INDEX('Fleet dates'!$F$9:$F$1008,$I869-8)))</x:f>
      </x:c>
      <x:c r="G869" s="50" t="str">
        <x:f>IF(861&gt;$H$4,"",IF(INDEX('Fleet dates'!$G$9:$G$1008,$I869-8)="","",INDEX('Fleet dates'!$G$9:$G$1008,$I869-8)))</x:f>
      </x:c>
      <x:c r="H869" s="50" t="str">
        <x:f>IF(861&gt;$H$4,"",IF(INDEX('Fleet dates'!$I$9:$I$1008,$I869-8)="","",INDEX('Fleet dates'!$I$9:$I$1008,$I869-8)))</x:f>
      </x:c>
      <x:c r="I869" t="str">
        <x:f>IF(861&gt;$H$4,"",MATCH(861,'Fleet dates'!$M$9:$M$1008,0)+8)</x:f>
      </x:c>
    </x:row>
    <x:row r="870" ht="36" customHeight="1">
      <x:c r="A870" s="50" t="str">
        <x:f>IF(862&gt;$H$4,"",IF(INDEX('Fleet dates'!$A$9:$A$1008,$I870-8)="","",INDEX('Fleet dates'!$A$9:$A$1008,$I870-8)))</x:f>
      </x:c>
      <x:c r="B870" s="50" t="str">
        <x:f>IF(862&gt;$H$4,"",IF(INDEX('Fleet dates'!$B$9:$B$1008,$I870-8)="","",INDEX('Fleet dates'!$B$9:$B$1008,$I870-8)))</x:f>
      </x:c>
      <x:c r="C870" s="51" t="str">
        <x:f>IF(862&gt;$H$4,"",IF(INDEX('Fleet dates'!$C$9:$C$1008,$I870-8)="","",INDEX('Fleet dates'!$C$9:$C$1008,$I870-8)))</x:f>
      </x:c>
      <x:c r="D870" s="51" t="str">
        <x:f>IF(862&gt;$H$4,"",IF(INDEX('Fleet dates'!$D$9:$D$1008,$I870-8)="","",INDEX('Fleet dates'!$D$9:$D$1008,$I870-8)))</x:f>
      </x:c>
      <x:c r="E870" s="51" t="str">
        <x:f>IF(862&gt;$H$4,"",IF(INDEX('Fleet dates'!$E$9:$E$1008,$I870-8)="","",INDEX('Fleet dates'!$E$9:$E$1008,$I870-8)))</x:f>
      </x:c>
      <x:c r="F870" s="51" t="str">
        <x:f>IF(862&gt;$H$4,"",IF(INDEX('Fleet dates'!$F$9:$F$1008,$I870-8)="","",INDEX('Fleet dates'!$F$9:$F$1008,$I870-8)))</x:f>
      </x:c>
      <x:c r="G870" s="50" t="str">
        <x:f>IF(862&gt;$H$4,"",IF(INDEX('Fleet dates'!$G$9:$G$1008,$I870-8)="","",INDEX('Fleet dates'!$G$9:$G$1008,$I870-8)))</x:f>
      </x:c>
      <x:c r="H870" s="50" t="str">
        <x:f>IF(862&gt;$H$4,"",IF(INDEX('Fleet dates'!$I$9:$I$1008,$I870-8)="","",INDEX('Fleet dates'!$I$9:$I$1008,$I870-8)))</x:f>
      </x:c>
      <x:c r="I870" t="str">
        <x:f>IF(862&gt;$H$4,"",MATCH(862,'Fleet dates'!$M$9:$M$1008,0)+8)</x:f>
      </x:c>
    </x:row>
    <x:row r="871" ht="36" customHeight="1">
      <x:c r="A871" s="50" t="str">
        <x:f>IF(863&gt;$H$4,"",IF(INDEX('Fleet dates'!$A$9:$A$1008,$I871-8)="","",INDEX('Fleet dates'!$A$9:$A$1008,$I871-8)))</x:f>
      </x:c>
      <x:c r="B871" s="50" t="str">
        <x:f>IF(863&gt;$H$4,"",IF(INDEX('Fleet dates'!$B$9:$B$1008,$I871-8)="","",INDEX('Fleet dates'!$B$9:$B$1008,$I871-8)))</x:f>
      </x:c>
      <x:c r="C871" s="51" t="str">
        <x:f>IF(863&gt;$H$4,"",IF(INDEX('Fleet dates'!$C$9:$C$1008,$I871-8)="","",INDEX('Fleet dates'!$C$9:$C$1008,$I871-8)))</x:f>
      </x:c>
      <x:c r="D871" s="51" t="str">
        <x:f>IF(863&gt;$H$4,"",IF(INDEX('Fleet dates'!$D$9:$D$1008,$I871-8)="","",INDEX('Fleet dates'!$D$9:$D$1008,$I871-8)))</x:f>
      </x:c>
      <x:c r="E871" s="51" t="str">
        <x:f>IF(863&gt;$H$4,"",IF(INDEX('Fleet dates'!$E$9:$E$1008,$I871-8)="","",INDEX('Fleet dates'!$E$9:$E$1008,$I871-8)))</x:f>
      </x:c>
      <x:c r="F871" s="51" t="str">
        <x:f>IF(863&gt;$H$4,"",IF(INDEX('Fleet dates'!$F$9:$F$1008,$I871-8)="","",INDEX('Fleet dates'!$F$9:$F$1008,$I871-8)))</x:f>
      </x:c>
      <x:c r="G871" s="50" t="str">
        <x:f>IF(863&gt;$H$4,"",IF(INDEX('Fleet dates'!$G$9:$G$1008,$I871-8)="","",INDEX('Fleet dates'!$G$9:$G$1008,$I871-8)))</x:f>
      </x:c>
      <x:c r="H871" s="50" t="str">
        <x:f>IF(863&gt;$H$4,"",IF(INDEX('Fleet dates'!$I$9:$I$1008,$I871-8)="","",INDEX('Fleet dates'!$I$9:$I$1008,$I871-8)))</x:f>
      </x:c>
      <x:c r="I871" t="str">
        <x:f>IF(863&gt;$H$4,"",MATCH(863,'Fleet dates'!$M$9:$M$1008,0)+8)</x:f>
      </x:c>
    </x:row>
    <x:row r="872" ht="36" customHeight="1">
      <x:c r="A872" s="50" t="str">
        <x:f>IF(864&gt;$H$4,"",IF(INDEX('Fleet dates'!$A$9:$A$1008,$I872-8)="","",INDEX('Fleet dates'!$A$9:$A$1008,$I872-8)))</x:f>
      </x:c>
      <x:c r="B872" s="50" t="str">
        <x:f>IF(864&gt;$H$4,"",IF(INDEX('Fleet dates'!$B$9:$B$1008,$I872-8)="","",INDEX('Fleet dates'!$B$9:$B$1008,$I872-8)))</x:f>
      </x:c>
      <x:c r="C872" s="51" t="str">
        <x:f>IF(864&gt;$H$4,"",IF(INDEX('Fleet dates'!$C$9:$C$1008,$I872-8)="","",INDEX('Fleet dates'!$C$9:$C$1008,$I872-8)))</x:f>
      </x:c>
      <x:c r="D872" s="51" t="str">
        <x:f>IF(864&gt;$H$4,"",IF(INDEX('Fleet dates'!$D$9:$D$1008,$I872-8)="","",INDEX('Fleet dates'!$D$9:$D$1008,$I872-8)))</x:f>
      </x:c>
      <x:c r="E872" s="51" t="str">
        <x:f>IF(864&gt;$H$4,"",IF(INDEX('Fleet dates'!$E$9:$E$1008,$I872-8)="","",INDEX('Fleet dates'!$E$9:$E$1008,$I872-8)))</x:f>
      </x:c>
      <x:c r="F872" s="51" t="str">
        <x:f>IF(864&gt;$H$4,"",IF(INDEX('Fleet dates'!$F$9:$F$1008,$I872-8)="","",INDEX('Fleet dates'!$F$9:$F$1008,$I872-8)))</x:f>
      </x:c>
      <x:c r="G872" s="50" t="str">
        <x:f>IF(864&gt;$H$4,"",IF(INDEX('Fleet dates'!$G$9:$G$1008,$I872-8)="","",INDEX('Fleet dates'!$G$9:$G$1008,$I872-8)))</x:f>
      </x:c>
      <x:c r="H872" s="50" t="str">
        <x:f>IF(864&gt;$H$4,"",IF(INDEX('Fleet dates'!$I$9:$I$1008,$I872-8)="","",INDEX('Fleet dates'!$I$9:$I$1008,$I872-8)))</x:f>
      </x:c>
      <x:c r="I872" t="str">
        <x:f>IF(864&gt;$H$4,"",MATCH(864,'Fleet dates'!$M$9:$M$1008,0)+8)</x:f>
      </x:c>
    </x:row>
    <x:row r="873" ht="36" customHeight="1">
      <x:c r="A873" s="50" t="str">
        <x:f>IF(865&gt;$H$4,"",IF(INDEX('Fleet dates'!$A$9:$A$1008,$I873-8)="","",INDEX('Fleet dates'!$A$9:$A$1008,$I873-8)))</x:f>
      </x:c>
      <x:c r="B873" s="50" t="str">
        <x:f>IF(865&gt;$H$4,"",IF(INDEX('Fleet dates'!$B$9:$B$1008,$I873-8)="","",INDEX('Fleet dates'!$B$9:$B$1008,$I873-8)))</x:f>
      </x:c>
      <x:c r="C873" s="51" t="str">
        <x:f>IF(865&gt;$H$4,"",IF(INDEX('Fleet dates'!$C$9:$C$1008,$I873-8)="","",INDEX('Fleet dates'!$C$9:$C$1008,$I873-8)))</x:f>
      </x:c>
      <x:c r="D873" s="51" t="str">
        <x:f>IF(865&gt;$H$4,"",IF(INDEX('Fleet dates'!$D$9:$D$1008,$I873-8)="","",INDEX('Fleet dates'!$D$9:$D$1008,$I873-8)))</x:f>
      </x:c>
      <x:c r="E873" s="51" t="str">
        <x:f>IF(865&gt;$H$4,"",IF(INDEX('Fleet dates'!$E$9:$E$1008,$I873-8)="","",INDEX('Fleet dates'!$E$9:$E$1008,$I873-8)))</x:f>
      </x:c>
      <x:c r="F873" s="51" t="str">
        <x:f>IF(865&gt;$H$4,"",IF(INDEX('Fleet dates'!$F$9:$F$1008,$I873-8)="","",INDEX('Fleet dates'!$F$9:$F$1008,$I873-8)))</x:f>
      </x:c>
      <x:c r="G873" s="50" t="str">
        <x:f>IF(865&gt;$H$4,"",IF(INDEX('Fleet dates'!$G$9:$G$1008,$I873-8)="","",INDEX('Fleet dates'!$G$9:$G$1008,$I873-8)))</x:f>
      </x:c>
      <x:c r="H873" s="50" t="str">
        <x:f>IF(865&gt;$H$4,"",IF(INDEX('Fleet dates'!$I$9:$I$1008,$I873-8)="","",INDEX('Fleet dates'!$I$9:$I$1008,$I873-8)))</x:f>
      </x:c>
      <x:c r="I873" t="str">
        <x:f>IF(865&gt;$H$4,"",MATCH(865,'Fleet dates'!$M$9:$M$1008,0)+8)</x:f>
      </x:c>
    </x:row>
    <x:row r="874" ht="36" customHeight="1">
      <x:c r="A874" s="50" t="str">
        <x:f>IF(866&gt;$H$4,"",IF(INDEX('Fleet dates'!$A$9:$A$1008,$I874-8)="","",INDEX('Fleet dates'!$A$9:$A$1008,$I874-8)))</x:f>
      </x:c>
      <x:c r="B874" s="50" t="str">
        <x:f>IF(866&gt;$H$4,"",IF(INDEX('Fleet dates'!$B$9:$B$1008,$I874-8)="","",INDEX('Fleet dates'!$B$9:$B$1008,$I874-8)))</x:f>
      </x:c>
      <x:c r="C874" s="51" t="str">
        <x:f>IF(866&gt;$H$4,"",IF(INDEX('Fleet dates'!$C$9:$C$1008,$I874-8)="","",INDEX('Fleet dates'!$C$9:$C$1008,$I874-8)))</x:f>
      </x:c>
      <x:c r="D874" s="51" t="str">
        <x:f>IF(866&gt;$H$4,"",IF(INDEX('Fleet dates'!$D$9:$D$1008,$I874-8)="","",INDEX('Fleet dates'!$D$9:$D$1008,$I874-8)))</x:f>
      </x:c>
      <x:c r="E874" s="51" t="str">
        <x:f>IF(866&gt;$H$4,"",IF(INDEX('Fleet dates'!$E$9:$E$1008,$I874-8)="","",INDEX('Fleet dates'!$E$9:$E$1008,$I874-8)))</x:f>
      </x:c>
      <x:c r="F874" s="51" t="str">
        <x:f>IF(866&gt;$H$4,"",IF(INDEX('Fleet dates'!$F$9:$F$1008,$I874-8)="","",INDEX('Fleet dates'!$F$9:$F$1008,$I874-8)))</x:f>
      </x:c>
      <x:c r="G874" s="50" t="str">
        <x:f>IF(866&gt;$H$4,"",IF(INDEX('Fleet dates'!$G$9:$G$1008,$I874-8)="","",INDEX('Fleet dates'!$G$9:$G$1008,$I874-8)))</x:f>
      </x:c>
      <x:c r="H874" s="50" t="str">
        <x:f>IF(866&gt;$H$4,"",IF(INDEX('Fleet dates'!$I$9:$I$1008,$I874-8)="","",INDEX('Fleet dates'!$I$9:$I$1008,$I874-8)))</x:f>
      </x:c>
      <x:c r="I874" t="str">
        <x:f>IF(866&gt;$H$4,"",MATCH(866,'Fleet dates'!$M$9:$M$1008,0)+8)</x:f>
      </x:c>
    </x:row>
    <x:row r="875" ht="36" customHeight="1">
      <x:c r="A875" s="50" t="str">
        <x:f>IF(867&gt;$H$4,"",IF(INDEX('Fleet dates'!$A$9:$A$1008,$I875-8)="","",INDEX('Fleet dates'!$A$9:$A$1008,$I875-8)))</x:f>
      </x:c>
      <x:c r="B875" s="50" t="str">
        <x:f>IF(867&gt;$H$4,"",IF(INDEX('Fleet dates'!$B$9:$B$1008,$I875-8)="","",INDEX('Fleet dates'!$B$9:$B$1008,$I875-8)))</x:f>
      </x:c>
      <x:c r="C875" s="51" t="str">
        <x:f>IF(867&gt;$H$4,"",IF(INDEX('Fleet dates'!$C$9:$C$1008,$I875-8)="","",INDEX('Fleet dates'!$C$9:$C$1008,$I875-8)))</x:f>
      </x:c>
      <x:c r="D875" s="51" t="str">
        <x:f>IF(867&gt;$H$4,"",IF(INDEX('Fleet dates'!$D$9:$D$1008,$I875-8)="","",INDEX('Fleet dates'!$D$9:$D$1008,$I875-8)))</x:f>
      </x:c>
      <x:c r="E875" s="51" t="str">
        <x:f>IF(867&gt;$H$4,"",IF(INDEX('Fleet dates'!$E$9:$E$1008,$I875-8)="","",INDEX('Fleet dates'!$E$9:$E$1008,$I875-8)))</x:f>
      </x:c>
      <x:c r="F875" s="51" t="str">
        <x:f>IF(867&gt;$H$4,"",IF(INDEX('Fleet dates'!$F$9:$F$1008,$I875-8)="","",INDEX('Fleet dates'!$F$9:$F$1008,$I875-8)))</x:f>
      </x:c>
      <x:c r="G875" s="50" t="str">
        <x:f>IF(867&gt;$H$4,"",IF(INDEX('Fleet dates'!$G$9:$G$1008,$I875-8)="","",INDEX('Fleet dates'!$G$9:$G$1008,$I875-8)))</x:f>
      </x:c>
      <x:c r="H875" s="50" t="str">
        <x:f>IF(867&gt;$H$4,"",IF(INDEX('Fleet dates'!$I$9:$I$1008,$I875-8)="","",INDEX('Fleet dates'!$I$9:$I$1008,$I875-8)))</x:f>
      </x:c>
      <x:c r="I875" t="str">
        <x:f>IF(867&gt;$H$4,"",MATCH(867,'Fleet dates'!$M$9:$M$1008,0)+8)</x:f>
      </x:c>
    </x:row>
    <x:row r="876" ht="36" customHeight="1">
      <x:c r="A876" s="50" t="str">
        <x:f>IF(868&gt;$H$4,"",IF(INDEX('Fleet dates'!$A$9:$A$1008,$I876-8)="","",INDEX('Fleet dates'!$A$9:$A$1008,$I876-8)))</x:f>
      </x:c>
      <x:c r="B876" s="50" t="str">
        <x:f>IF(868&gt;$H$4,"",IF(INDEX('Fleet dates'!$B$9:$B$1008,$I876-8)="","",INDEX('Fleet dates'!$B$9:$B$1008,$I876-8)))</x:f>
      </x:c>
      <x:c r="C876" s="51" t="str">
        <x:f>IF(868&gt;$H$4,"",IF(INDEX('Fleet dates'!$C$9:$C$1008,$I876-8)="","",INDEX('Fleet dates'!$C$9:$C$1008,$I876-8)))</x:f>
      </x:c>
      <x:c r="D876" s="51" t="str">
        <x:f>IF(868&gt;$H$4,"",IF(INDEX('Fleet dates'!$D$9:$D$1008,$I876-8)="","",INDEX('Fleet dates'!$D$9:$D$1008,$I876-8)))</x:f>
      </x:c>
      <x:c r="E876" s="51" t="str">
        <x:f>IF(868&gt;$H$4,"",IF(INDEX('Fleet dates'!$E$9:$E$1008,$I876-8)="","",INDEX('Fleet dates'!$E$9:$E$1008,$I876-8)))</x:f>
      </x:c>
      <x:c r="F876" s="51" t="str">
        <x:f>IF(868&gt;$H$4,"",IF(INDEX('Fleet dates'!$F$9:$F$1008,$I876-8)="","",INDEX('Fleet dates'!$F$9:$F$1008,$I876-8)))</x:f>
      </x:c>
      <x:c r="G876" s="50" t="str">
        <x:f>IF(868&gt;$H$4,"",IF(INDEX('Fleet dates'!$G$9:$G$1008,$I876-8)="","",INDEX('Fleet dates'!$G$9:$G$1008,$I876-8)))</x:f>
      </x:c>
      <x:c r="H876" s="50" t="str">
        <x:f>IF(868&gt;$H$4,"",IF(INDEX('Fleet dates'!$I$9:$I$1008,$I876-8)="","",INDEX('Fleet dates'!$I$9:$I$1008,$I876-8)))</x:f>
      </x:c>
      <x:c r="I876" t="str">
        <x:f>IF(868&gt;$H$4,"",MATCH(868,'Fleet dates'!$M$9:$M$1008,0)+8)</x:f>
      </x:c>
    </x:row>
    <x:row r="877" ht="36" customHeight="1">
      <x:c r="A877" s="50" t="str">
        <x:f>IF(869&gt;$H$4,"",IF(INDEX('Fleet dates'!$A$9:$A$1008,$I877-8)="","",INDEX('Fleet dates'!$A$9:$A$1008,$I877-8)))</x:f>
      </x:c>
      <x:c r="B877" s="50" t="str">
        <x:f>IF(869&gt;$H$4,"",IF(INDEX('Fleet dates'!$B$9:$B$1008,$I877-8)="","",INDEX('Fleet dates'!$B$9:$B$1008,$I877-8)))</x:f>
      </x:c>
      <x:c r="C877" s="51" t="str">
        <x:f>IF(869&gt;$H$4,"",IF(INDEX('Fleet dates'!$C$9:$C$1008,$I877-8)="","",INDEX('Fleet dates'!$C$9:$C$1008,$I877-8)))</x:f>
      </x:c>
      <x:c r="D877" s="51" t="str">
        <x:f>IF(869&gt;$H$4,"",IF(INDEX('Fleet dates'!$D$9:$D$1008,$I877-8)="","",INDEX('Fleet dates'!$D$9:$D$1008,$I877-8)))</x:f>
      </x:c>
      <x:c r="E877" s="51" t="str">
        <x:f>IF(869&gt;$H$4,"",IF(INDEX('Fleet dates'!$E$9:$E$1008,$I877-8)="","",INDEX('Fleet dates'!$E$9:$E$1008,$I877-8)))</x:f>
      </x:c>
      <x:c r="F877" s="51" t="str">
        <x:f>IF(869&gt;$H$4,"",IF(INDEX('Fleet dates'!$F$9:$F$1008,$I877-8)="","",INDEX('Fleet dates'!$F$9:$F$1008,$I877-8)))</x:f>
      </x:c>
      <x:c r="G877" s="50" t="str">
        <x:f>IF(869&gt;$H$4,"",IF(INDEX('Fleet dates'!$G$9:$G$1008,$I877-8)="","",INDEX('Fleet dates'!$G$9:$G$1008,$I877-8)))</x:f>
      </x:c>
      <x:c r="H877" s="50" t="str">
        <x:f>IF(869&gt;$H$4,"",IF(INDEX('Fleet dates'!$I$9:$I$1008,$I877-8)="","",INDEX('Fleet dates'!$I$9:$I$1008,$I877-8)))</x:f>
      </x:c>
      <x:c r="I877" t="str">
        <x:f>IF(869&gt;$H$4,"",MATCH(869,'Fleet dates'!$M$9:$M$1008,0)+8)</x:f>
      </x:c>
    </x:row>
    <x:row r="878" ht="36" customHeight="1">
      <x:c r="A878" s="50" t="str">
        <x:f>IF(870&gt;$H$4,"",IF(INDEX('Fleet dates'!$A$9:$A$1008,$I878-8)="","",INDEX('Fleet dates'!$A$9:$A$1008,$I878-8)))</x:f>
      </x:c>
      <x:c r="B878" s="50" t="str">
        <x:f>IF(870&gt;$H$4,"",IF(INDEX('Fleet dates'!$B$9:$B$1008,$I878-8)="","",INDEX('Fleet dates'!$B$9:$B$1008,$I878-8)))</x:f>
      </x:c>
      <x:c r="C878" s="51" t="str">
        <x:f>IF(870&gt;$H$4,"",IF(INDEX('Fleet dates'!$C$9:$C$1008,$I878-8)="","",INDEX('Fleet dates'!$C$9:$C$1008,$I878-8)))</x:f>
      </x:c>
      <x:c r="D878" s="51" t="str">
        <x:f>IF(870&gt;$H$4,"",IF(INDEX('Fleet dates'!$D$9:$D$1008,$I878-8)="","",INDEX('Fleet dates'!$D$9:$D$1008,$I878-8)))</x:f>
      </x:c>
      <x:c r="E878" s="51" t="str">
        <x:f>IF(870&gt;$H$4,"",IF(INDEX('Fleet dates'!$E$9:$E$1008,$I878-8)="","",INDEX('Fleet dates'!$E$9:$E$1008,$I878-8)))</x:f>
      </x:c>
      <x:c r="F878" s="51" t="str">
        <x:f>IF(870&gt;$H$4,"",IF(INDEX('Fleet dates'!$F$9:$F$1008,$I878-8)="","",INDEX('Fleet dates'!$F$9:$F$1008,$I878-8)))</x:f>
      </x:c>
      <x:c r="G878" s="50" t="str">
        <x:f>IF(870&gt;$H$4,"",IF(INDEX('Fleet dates'!$G$9:$G$1008,$I878-8)="","",INDEX('Fleet dates'!$G$9:$G$1008,$I878-8)))</x:f>
      </x:c>
      <x:c r="H878" s="50" t="str">
        <x:f>IF(870&gt;$H$4,"",IF(INDEX('Fleet dates'!$I$9:$I$1008,$I878-8)="","",INDEX('Fleet dates'!$I$9:$I$1008,$I878-8)))</x:f>
      </x:c>
      <x:c r="I878" t="str">
        <x:f>IF(870&gt;$H$4,"",MATCH(870,'Fleet dates'!$M$9:$M$1008,0)+8)</x:f>
      </x:c>
    </x:row>
    <x:row r="879" ht="36" customHeight="1">
      <x:c r="A879" s="50" t="str">
        <x:f>IF(871&gt;$H$4,"",IF(INDEX('Fleet dates'!$A$9:$A$1008,$I879-8)="","",INDEX('Fleet dates'!$A$9:$A$1008,$I879-8)))</x:f>
      </x:c>
      <x:c r="B879" s="50" t="str">
        <x:f>IF(871&gt;$H$4,"",IF(INDEX('Fleet dates'!$B$9:$B$1008,$I879-8)="","",INDEX('Fleet dates'!$B$9:$B$1008,$I879-8)))</x:f>
      </x:c>
      <x:c r="C879" s="51" t="str">
        <x:f>IF(871&gt;$H$4,"",IF(INDEX('Fleet dates'!$C$9:$C$1008,$I879-8)="","",INDEX('Fleet dates'!$C$9:$C$1008,$I879-8)))</x:f>
      </x:c>
      <x:c r="D879" s="51" t="str">
        <x:f>IF(871&gt;$H$4,"",IF(INDEX('Fleet dates'!$D$9:$D$1008,$I879-8)="","",INDEX('Fleet dates'!$D$9:$D$1008,$I879-8)))</x:f>
      </x:c>
      <x:c r="E879" s="51" t="str">
        <x:f>IF(871&gt;$H$4,"",IF(INDEX('Fleet dates'!$E$9:$E$1008,$I879-8)="","",INDEX('Fleet dates'!$E$9:$E$1008,$I879-8)))</x:f>
      </x:c>
      <x:c r="F879" s="51" t="str">
        <x:f>IF(871&gt;$H$4,"",IF(INDEX('Fleet dates'!$F$9:$F$1008,$I879-8)="","",INDEX('Fleet dates'!$F$9:$F$1008,$I879-8)))</x:f>
      </x:c>
      <x:c r="G879" s="50" t="str">
        <x:f>IF(871&gt;$H$4,"",IF(INDEX('Fleet dates'!$G$9:$G$1008,$I879-8)="","",INDEX('Fleet dates'!$G$9:$G$1008,$I879-8)))</x:f>
      </x:c>
      <x:c r="H879" s="50" t="str">
        <x:f>IF(871&gt;$H$4,"",IF(INDEX('Fleet dates'!$I$9:$I$1008,$I879-8)="","",INDEX('Fleet dates'!$I$9:$I$1008,$I879-8)))</x:f>
      </x:c>
      <x:c r="I879" t="str">
        <x:f>IF(871&gt;$H$4,"",MATCH(871,'Fleet dates'!$M$9:$M$1008,0)+8)</x:f>
      </x:c>
    </x:row>
    <x:row r="880" ht="36" customHeight="1">
      <x:c r="A880" s="50" t="str">
        <x:f>IF(872&gt;$H$4,"",IF(INDEX('Fleet dates'!$A$9:$A$1008,$I880-8)="","",INDEX('Fleet dates'!$A$9:$A$1008,$I880-8)))</x:f>
      </x:c>
      <x:c r="B880" s="50" t="str">
        <x:f>IF(872&gt;$H$4,"",IF(INDEX('Fleet dates'!$B$9:$B$1008,$I880-8)="","",INDEX('Fleet dates'!$B$9:$B$1008,$I880-8)))</x:f>
      </x:c>
      <x:c r="C880" s="51" t="str">
        <x:f>IF(872&gt;$H$4,"",IF(INDEX('Fleet dates'!$C$9:$C$1008,$I880-8)="","",INDEX('Fleet dates'!$C$9:$C$1008,$I880-8)))</x:f>
      </x:c>
      <x:c r="D880" s="51" t="str">
        <x:f>IF(872&gt;$H$4,"",IF(INDEX('Fleet dates'!$D$9:$D$1008,$I880-8)="","",INDEX('Fleet dates'!$D$9:$D$1008,$I880-8)))</x:f>
      </x:c>
      <x:c r="E880" s="51" t="str">
        <x:f>IF(872&gt;$H$4,"",IF(INDEX('Fleet dates'!$E$9:$E$1008,$I880-8)="","",INDEX('Fleet dates'!$E$9:$E$1008,$I880-8)))</x:f>
      </x:c>
      <x:c r="F880" s="51" t="str">
        <x:f>IF(872&gt;$H$4,"",IF(INDEX('Fleet dates'!$F$9:$F$1008,$I880-8)="","",INDEX('Fleet dates'!$F$9:$F$1008,$I880-8)))</x:f>
      </x:c>
      <x:c r="G880" s="50" t="str">
        <x:f>IF(872&gt;$H$4,"",IF(INDEX('Fleet dates'!$G$9:$G$1008,$I880-8)="","",INDEX('Fleet dates'!$G$9:$G$1008,$I880-8)))</x:f>
      </x:c>
      <x:c r="H880" s="50" t="str">
        <x:f>IF(872&gt;$H$4,"",IF(INDEX('Fleet dates'!$I$9:$I$1008,$I880-8)="","",INDEX('Fleet dates'!$I$9:$I$1008,$I880-8)))</x:f>
      </x:c>
      <x:c r="I880" t="str">
        <x:f>IF(872&gt;$H$4,"",MATCH(872,'Fleet dates'!$M$9:$M$1008,0)+8)</x:f>
      </x:c>
    </x:row>
    <x:row r="881" ht="36" customHeight="1">
      <x:c r="A881" s="50" t="str">
        <x:f>IF(873&gt;$H$4,"",IF(INDEX('Fleet dates'!$A$9:$A$1008,$I881-8)="","",INDEX('Fleet dates'!$A$9:$A$1008,$I881-8)))</x:f>
      </x:c>
      <x:c r="B881" s="50" t="str">
        <x:f>IF(873&gt;$H$4,"",IF(INDEX('Fleet dates'!$B$9:$B$1008,$I881-8)="","",INDEX('Fleet dates'!$B$9:$B$1008,$I881-8)))</x:f>
      </x:c>
      <x:c r="C881" s="51" t="str">
        <x:f>IF(873&gt;$H$4,"",IF(INDEX('Fleet dates'!$C$9:$C$1008,$I881-8)="","",INDEX('Fleet dates'!$C$9:$C$1008,$I881-8)))</x:f>
      </x:c>
      <x:c r="D881" s="51" t="str">
        <x:f>IF(873&gt;$H$4,"",IF(INDEX('Fleet dates'!$D$9:$D$1008,$I881-8)="","",INDEX('Fleet dates'!$D$9:$D$1008,$I881-8)))</x:f>
      </x:c>
      <x:c r="E881" s="51" t="str">
        <x:f>IF(873&gt;$H$4,"",IF(INDEX('Fleet dates'!$E$9:$E$1008,$I881-8)="","",INDEX('Fleet dates'!$E$9:$E$1008,$I881-8)))</x:f>
      </x:c>
      <x:c r="F881" s="51" t="str">
        <x:f>IF(873&gt;$H$4,"",IF(INDEX('Fleet dates'!$F$9:$F$1008,$I881-8)="","",INDEX('Fleet dates'!$F$9:$F$1008,$I881-8)))</x:f>
      </x:c>
      <x:c r="G881" s="50" t="str">
        <x:f>IF(873&gt;$H$4,"",IF(INDEX('Fleet dates'!$G$9:$G$1008,$I881-8)="","",INDEX('Fleet dates'!$G$9:$G$1008,$I881-8)))</x:f>
      </x:c>
      <x:c r="H881" s="50" t="str">
        <x:f>IF(873&gt;$H$4,"",IF(INDEX('Fleet dates'!$I$9:$I$1008,$I881-8)="","",INDEX('Fleet dates'!$I$9:$I$1008,$I881-8)))</x:f>
      </x:c>
      <x:c r="I881" t="str">
        <x:f>IF(873&gt;$H$4,"",MATCH(873,'Fleet dates'!$M$9:$M$1008,0)+8)</x:f>
      </x:c>
    </x:row>
    <x:row r="882" ht="36" customHeight="1">
      <x:c r="A882" s="50" t="str">
        <x:f>IF(874&gt;$H$4,"",IF(INDEX('Fleet dates'!$A$9:$A$1008,$I882-8)="","",INDEX('Fleet dates'!$A$9:$A$1008,$I882-8)))</x:f>
      </x:c>
      <x:c r="B882" s="50" t="str">
        <x:f>IF(874&gt;$H$4,"",IF(INDEX('Fleet dates'!$B$9:$B$1008,$I882-8)="","",INDEX('Fleet dates'!$B$9:$B$1008,$I882-8)))</x:f>
      </x:c>
      <x:c r="C882" s="51" t="str">
        <x:f>IF(874&gt;$H$4,"",IF(INDEX('Fleet dates'!$C$9:$C$1008,$I882-8)="","",INDEX('Fleet dates'!$C$9:$C$1008,$I882-8)))</x:f>
      </x:c>
      <x:c r="D882" s="51" t="str">
        <x:f>IF(874&gt;$H$4,"",IF(INDEX('Fleet dates'!$D$9:$D$1008,$I882-8)="","",INDEX('Fleet dates'!$D$9:$D$1008,$I882-8)))</x:f>
      </x:c>
      <x:c r="E882" s="51" t="str">
        <x:f>IF(874&gt;$H$4,"",IF(INDEX('Fleet dates'!$E$9:$E$1008,$I882-8)="","",INDEX('Fleet dates'!$E$9:$E$1008,$I882-8)))</x:f>
      </x:c>
      <x:c r="F882" s="51" t="str">
        <x:f>IF(874&gt;$H$4,"",IF(INDEX('Fleet dates'!$F$9:$F$1008,$I882-8)="","",INDEX('Fleet dates'!$F$9:$F$1008,$I882-8)))</x:f>
      </x:c>
      <x:c r="G882" s="50" t="str">
        <x:f>IF(874&gt;$H$4,"",IF(INDEX('Fleet dates'!$G$9:$G$1008,$I882-8)="","",INDEX('Fleet dates'!$G$9:$G$1008,$I882-8)))</x:f>
      </x:c>
      <x:c r="H882" s="50" t="str">
        <x:f>IF(874&gt;$H$4,"",IF(INDEX('Fleet dates'!$I$9:$I$1008,$I882-8)="","",INDEX('Fleet dates'!$I$9:$I$1008,$I882-8)))</x:f>
      </x:c>
      <x:c r="I882" t="str">
        <x:f>IF(874&gt;$H$4,"",MATCH(874,'Fleet dates'!$M$9:$M$1008,0)+8)</x:f>
      </x:c>
    </x:row>
    <x:row r="883" ht="36" customHeight="1">
      <x:c r="A883" s="50" t="str">
        <x:f>IF(875&gt;$H$4,"",IF(INDEX('Fleet dates'!$A$9:$A$1008,$I883-8)="","",INDEX('Fleet dates'!$A$9:$A$1008,$I883-8)))</x:f>
      </x:c>
      <x:c r="B883" s="50" t="str">
        <x:f>IF(875&gt;$H$4,"",IF(INDEX('Fleet dates'!$B$9:$B$1008,$I883-8)="","",INDEX('Fleet dates'!$B$9:$B$1008,$I883-8)))</x:f>
      </x:c>
      <x:c r="C883" s="51" t="str">
        <x:f>IF(875&gt;$H$4,"",IF(INDEX('Fleet dates'!$C$9:$C$1008,$I883-8)="","",INDEX('Fleet dates'!$C$9:$C$1008,$I883-8)))</x:f>
      </x:c>
      <x:c r="D883" s="51" t="str">
        <x:f>IF(875&gt;$H$4,"",IF(INDEX('Fleet dates'!$D$9:$D$1008,$I883-8)="","",INDEX('Fleet dates'!$D$9:$D$1008,$I883-8)))</x:f>
      </x:c>
      <x:c r="E883" s="51" t="str">
        <x:f>IF(875&gt;$H$4,"",IF(INDEX('Fleet dates'!$E$9:$E$1008,$I883-8)="","",INDEX('Fleet dates'!$E$9:$E$1008,$I883-8)))</x:f>
      </x:c>
      <x:c r="F883" s="51" t="str">
        <x:f>IF(875&gt;$H$4,"",IF(INDEX('Fleet dates'!$F$9:$F$1008,$I883-8)="","",INDEX('Fleet dates'!$F$9:$F$1008,$I883-8)))</x:f>
      </x:c>
      <x:c r="G883" s="50" t="str">
        <x:f>IF(875&gt;$H$4,"",IF(INDEX('Fleet dates'!$G$9:$G$1008,$I883-8)="","",INDEX('Fleet dates'!$G$9:$G$1008,$I883-8)))</x:f>
      </x:c>
      <x:c r="H883" s="50" t="str">
        <x:f>IF(875&gt;$H$4,"",IF(INDEX('Fleet dates'!$I$9:$I$1008,$I883-8)="","",INDEX('Fleet dates'!$I$9:$I$1008,$I883-8)))</x:f>
      </x:c>
      <x:c r="I883" t="str">
        <x:f>IF(875&gt;$H$4,"",MATCH(875,'Fleet dates'!$M$9:$M$1008,0)+8)</x:f>
      </x:c>
    </x:row>
    <x:row r="884" ht="36" customHeight="1">
      <x:c r="A884" s="50" t="str">
        <x:f>IF(876&gt;$H$4,"",IF(INDEX('Fleet dates'!$A$9:$A$1008,$I884-8)="","",INDEX('Fleet dates'!$A$9:$A$1008,$I884-8)))</x:f>
      </x:c>
      <x:c r="B884" s="50" t="str">
        <x:f>IF(876&gt;$H$4,"",IF(INDEX('Fleet dates'!$B$9:$B$1008,$I884-8)="","",INDEX('Fleet dates'!$B$9:$B$1008,$I884-8)))</x:f>
      </x:c>
      <x:c r="C884" s="51" t="str">
        <x:f>IF(876&gt;$H$4,"",IF(INDEX('Fleet dates'!$C$9:$C$1008,$I884-8)="","",INDEX('Fleet dates'!$C$9:$C$1008,$I884-8)))</x:f>
      </x:c>
      <x:c r="D884" s="51" t="str">
        <x:f>IF(876&gt;$H$4,"",IF(INDEX('Fleet dates'!$D$9:$D$1008,$I884-8)="","",INDEX('Fleet dates'!$D$9:$D$1008,$I884-8)))</x:f>
      </x:c>
      <x:c r="E884" s="51" t="str">
        <x:f>IF(876&gt;$H$4,"",IF(INDEX('Fleet dates'!$E$9:$E$1008,$I884-8)="","",INDEX('Fleet dates'!$E$9:$E$1008,$I884-8)))</x:f>
      </x:c>
      <x:c r="F884" s="51" t="str">
        <x:f>IF(876&gt;$H$4,"",IF(INDEX('Fleet dates'!$F$9:$F$1008,$I884-8)="","",INDEX('Fleet dates'!$F$9:$F$1008,$I884-8)))</x:f>
      </x:c>
      <x:c r="G884" s="50" t="str">
        <x:f>IF(876&gt;$H$4,"",IF(INDEX('Fleet dates'!$G$9:$G$1008,$I884-8)="","",INDEX('Fleet dates'!$G$9:$G$1008,$I884-8)))</x:f>
      </x:c>
      <x:c r="H884" s="50" t="str">
        <x:f>IF(876&gt;$H$4,"",IF(INDEX('Fleet dates'!$I$9:$I$1008,$I884-8)="","",INDEX('Fleet dates'!$I$9:$I$1008,$I884-8)))</x:f>
      </x:c>
      <x:c r="I884" t="str">
        <x:f>IF(876&gt;$H$4,"",MATCH(876,'Fleet dates'!$M$9:$M$1008,0)+8)</x:f>
      </x:c>
    </x:row>
    <x:row r="885" ht="36" customHeight="1">
      <x:c r="A885" s="50" t="str">
        <x:f>IF(877&gt;$H$4,"",IF(INDEX('Fleet dates'!$A$9:$A$1008,$I885-8)="","",INDEX('Fleet dates'!$A$9:$A$1008,$I885-8)))</x:f>
      </x:c>
      <x:c r="B885" s="50" t="str">
        <x:f>IF(877&gt;$H$4,"",IF(INDEX('Fleet dates'!$B$9:$B$1008,$I885-8)="","",INDEX('Fleet dates'!$B$9:$B$1008,$I885-8)))</x:f>
      </x:c>
      <x:c r="C885" s="51" t="str">
        <x:f>IF(877&gt;$H$4,"",IF(INDEX('Fleet dates'!$C$9:$C$1008,$I885-8)="","",INDEX('Fleet dates'!$C$9:$C$1008,$I885-8)))</x:f>
      </x:c>
      <x:c r="D885" s="51" t="str">
        <x:f>IF(877&gt;$H$4,"",IF(INDEX('Fleet dates'!$D$9:$D$1008,$I885-8)="","",INDEX('Fleet dates'!$D$9:$D$1008,$I885-8)))</x:f>
      </x:c>
      <x:c r="E885" s="51" t="str">
        <x:f>IF(877&gt;$H$4,"",IF(INDEX('Fleet dates'!$E$9:$E$1008,$I885-8)="","",INDEX('Fleet dates'!$E$9:$E$1008,$I885-8)))</x:f>
      </x:c>
      <x:c r="F885" s="51" t="str">
        <x:f>IF(877&gt;$H$4,"",IF(INDEX('Fleet dates'!$F$9:$F$1008,$I885-8)="","",INDEX('Fleet dates'!$F$9:$F$1008,$I885-8)))</x:f>
      </x:c>
      <x:c r="G885" s="50" t="str">
        <x:f>IF(877&gt;$H$4,"",IF(INDEX('Fleet dates'!$G$9:$G$1008,$I885-8)="","",INDEX('Fleet dates'!$G$9:$G$1008,$I885-8)))</x:f>
      </x:c>
      <x:c r="H885" s="50" t="str">
        <x:f>IF(877&gt;$H$4,"",IF(INDEX('Fleet dates'!$I$9:$I$1008,$I885-8)="","",INDEX('Fleet dates'!$I$9:$I$1008,$I885-8)))</x:f>
      </x:c>
      <x:c r="I885" t="str">
        <x:f>IF(877&gt;$H$4,"",MATCH(877,'Fleet dates'!$M$9:$M$1008,0)+8)</x:f>
      </x:c>
    </x:row>
    <x:row r="886" ht="36" customHeight="1">
      <x:c r="A886" s="50" t="str">
        <x:f>IF(878&gt;$H$4,"",IF(INDEX('Fleet dates'!$A$9:$A$1008,$I886-8)="","",INDEX('Fleet dates'!$A$9:$A$1008,$I886-8)))</x:f>
      </x:c>
      <x:c r="B886" s="50" t="str">
        <x:f>IF(878&gt;$H$4,"",IF(INDEX('Fleet dates'!$B$9:$B$1008,$I886-8)="","",INDEX('Fleet dates'!$B$9:$B$1008,$I886-8)))</x:f>
      </x:c>
      <x:c r="C886" s="51" t="str">
        <x:f>IF(878&gt;$H$4,"",IF(INDEX('Fleet dates'!$C$9:$C$1008,$I886-8)="","",INDEX('Fleet dates'!$C$9:$C$1008,$I886-8)))</x:f>
      </x:c>
      <x:c r="D886" s="51" t="str">
        <x:f>IF(878&gt;$H$4,"",IF(INDEX('Fleet dates'!$D$9:$D$1008,$I886-8)="","",INDEX('Fleet dates'!$D$9:$D$1008,$I886-8)))</x:f>
      </x:c>
      <x:c r="E886" s="51" t="str">
        <x:f>IF(878&gt;$H$4,"",IF(INDEX('Fleet dates'!$E$9:$E$1008,$I886-8)="","",INDEX('Fleet dates'!$E$9:$E$1008,$I886-8)))</x:f>
      </x:c>
      <x:c r="F886" s="51" t="str">
        <x:f>IF(878&gt;$H$4,"",IF(INDEX('Fleet dates'!$F$9:$F$1008,$I886-8)="","",INDEX('Fleet dates'!$F$9:$F$1008,$I886-8)))</x:f>
      </x:c>
      <x:c r="G886" s="50" t="str">
        <x:f>IF(878&gt;$H$4,"",IF(INDEX('Fleet dates'!$G$9:$G$1008,$I886-8)="","",INDEX('Fleet dates'!$G$9:$G$1008,$I886-8)))</x:f>
      </x:c>
      <x:c r="H886" s="50" t="str">
        <x:f>IF(878&gt;$H$4,"",IF(INDEX('Fleet dates'!$I$9:$I$1008,$I886-8)="","",INDEX('Fleet dates'!$I$9:$I$1008,$I886-8)))</x:f>
      </x:c>
      <x:c r="I886" t="str">
        <x:f>IF(878&gt;$H$4,"",MATCH(878,'Fleet dates'!$M$9:$M$1008,0)+8)</x:f>
      </x:c>
    </x:row>
    <x:row r="887" ht="36" customHeight="1">
      <x:c r="A887" s="50" t="str">
        <x:f>IF(879&gt;$H$4,"",IF(INDEX('Fleet dates'!$A$9:$A$1008,$I887-8)="","",INDEX('Fleet dates'!$A$9:$A$1008,$I887-8)))</x:f>
      </x:c>
      <x:c r="B887" s="50" t="str">
        <x:f>IF(879&gt;$H$4,"",IF(INDEX('Fleet dates'!$B$9:$B$1008,$I887-8)="","",INDEX('Fleet dates'!$B$9:$B$1008,$I887-8)))</x:f>
      </x:c>
      <x:c r="C887" s="51" t="str">
        <x:f>IF(879&gt;$H$4,"",IF(INDEX('Fleet dates'!$C$9:$C$1008,$I887-8)="","",INDEX('Fleet dates'!$C$9:$C$1008,$I887-8)))</x:f>
      </x:c>
      <x:c r="D887" s="51" t="str">
        <x:f>IF(879&gt;$H$4,"",IF(INDEX('Fleet dates'!$D$9:$D$1008,$I887-8)="","",INDEX('Fleet dates'!$D$9:$D$1008,$I887-8)))</x:f>
      </x:c>
      <x:c r="E887" s="51" t="str">
        <x:f>IF(879&gt;$H$4,"",IF(INDEX('Fleet dates'!$E$9:$E$1008,$I887-8)="","",INDEX('Fleet dates'!$E$9:$E$1008,$I887-8)))</x:f>
      </x:c>
      <x:c r="F887" s="51" t="str">
        <x:f>IF(879&gt;$H$4,"",IF(INDEX('Fleet dates'!$F$9:$F$1008,$I887-8)="","",INDEX('Fleet dates'!$F$9:$F$1008,$I887-8)))</x:f>
      </x:c>
      <x:c r="G887" s="50" t="str">
        <x:f>IF(879&gt;$H$4,"",IF(INDEX('Fleet dates'!$G$9:$G$1008,$I887-8)="","",INDEX('Fleet dates'!$G$9:$G$1008,$I887-8)))</x:f>
      </x:c>
      <x:c r="H887" s="50" t="str">
        <x:f>IF(879&gt;$H$4,"",IF(INDEX('Fleet dates'!$I$9:$I$1008,$I887-8)="","",INDEX('Fleet dates'!$I$9:$I$1008,$I887-8)))</x:f>
      </x:c>
      <x:c r="I887" t="str">
        <x:f>IF(879&gt;$H$4,"",MATCH(879,'Fleet dates'!$M$9:$M$1008,0)+8)</x:f>
      </x:c>
    </x:row>
    <x:row r="888" ht="36" customHeight="1">
      <x:c r="A888" s="50" t="str">
        <x:f>IF(880&gt;$H$4,"",IF(INDEX('Fleet dates'!$A$9:$A$1008,$I888-8)="","",INDEX('Fleet dates'!$A$9:$A$1008,$I888-8)))</x:f>
      </x:c>
      <x:c r="B888" s="50" t="str">
        <x:f>IF(880&gt;$H$4,"",IF(INDEX('Fleet dates'!$B$9:$B$1008,$I888-8)="","",INDEX('Fleet dates'!$B$9:$B$1008,$I888-8)))</x:f>
      </x:c>
      <x:c r="C888" s="51" t="str">
        <x:f>IF(880&gt;$H$4,"",IF(INDEX('Fleet dates'!$C$9:$C$1008,$I888-8)="","",INDEX('Fleet dates'!$C$9:$C$1008,$I888-8)))</x:f>
      </x:c>
      <x:c r="D888" s="51" t="str">
        <x:f>IF(880&gt;$H$4,"",IF(INDEX('Fleet dates'!$D$9:$D$1008,$I888-8)="","",INDEX('Fleet dates'!$D$9:$D$1008,$I888-8)))</x:f>
      </x:c>
      <x:c r="E888" s="51" t="str">
        <x:f>IF(880&gt;$H$4,"",IF(INDEX('Fleet dates'!$E$9:$E$1008,$I888-8)="","",INDEX('Fleet dates'!$E$9:$E$1008,$I888-8)))</x:f>
      </x:c>
      <x:c r="F888" s="51" t="str">
        <x:f>IF(880&gt;$H$4,"",IF(INDEX('Fleet dates'!$F$9:$F$1008,$I888-8)="","",INDEX('Fleet dates'!$F$9:$F$1008,$I888-8)))</x:f>
      </x:c>
      <x:c r="G888" s="50" t="str">
        <x:f>IF(880&gt;$H$4,"",IF(INDEX('Fleet dates'!$G$9:$G$1008,$I888-8)="","",INDEX('Fleet dates'!$G$9:$G$1008,$I888-8)))</x:f>
      </x:c>
      <x:c r="H888" s="50" t="str">
        <x:f>IF(880&gt;$H$4,"",IF(INDEX('Fleet dates'!$I$9:$I$1008,$I888-8)="","",INDEX('Fleet dates'!$I$9:$I$1008,$I888-8)))</x:f>
      </x:c>
      <x:c r="I888" t="str">
        <x:f>IF(880&gt;$H$4,"",MATCH(880,'Fleet dates'!$M$9:$M$1008,0)+8)</x:f>
      </x:c>
    </x:row>
    <x:row r="889" ht="36" customHeight="1">
      <x:c r="A889" s="50" t="str">
        <x:f>IF(881&gt;$H$4,"",IF(INDEX('Fleet dates'!$A$9:$A$1008,$I889-8)="","",INDEX('Fleet dates'!$A$9:$A$1008,$I889-8)))</x:f>
      </x:c>
      <x:c r="B889" s="50" t="str">
        <x:f>IF(881&gt;$H$4,"",IF(INDEX('Fleet dates'!$B$9:$B$1008,$I889-8)="","",INDEX('Fleet dates'!$B$9:$B$1008,$I889-8)))</x:f>
      </x:c>
      <x:c r="C889" s="51" t="str">
        <x:f>IF(881&gt;$H$4,"",IF(INDEX('Fleet dates'!$C$9:$C$1008,$I889-8)="","",INDEX('Fleet dates'!$C$9:$C$1008,$I889-8)))</x:f>
      </x:c>
      <x:c r="D889" s="51" t="str">
        <x:f>IF(881&gt;$H$4,"",IF(INDEX('Fleet dates'!$D$9:$D$1008,$I889-8)="","",INDEX('Fleet dates'!$D$9:$D$1008,$I889-8)))</x:f>
      </x:c>
      <x:c r="E889" s="51" t="str">
        <x:f>IF(881&gt;$H$4,"",IF(INDEX('Fleet dates'!$E$9:$E$1008,$I889-8)="","",INDEX('Fleet dates'!$E$9:$E$1008,$I889-8)))</x:f>
      </x:c>
      <x:c r="F889" s="51" t="str">
        <x:f>IF(881&gt;$H$4,"",IF(INDEX('Fleet dates'!$F$9:$F$1008,$I889-8)="","",INDEX('Fleet dates'!$F$9:$F$1008,$I889-8)))</x:f>
      </x:c>
      <x:c r="G889" s="50" t="str">
        <x:f>IF(881&gt;$H$4,"",IF(INDEX('Fleet dates'!$G$9:$G$1008,$I889-8)="","",INDEX('Fleet dates'!$G$9:$G$1008,$I889-8)))</x:f>
      </x:c>
      <x:c r="H889" s="50" t="str">
        <x:f>IF(881&gt;$H$4,"",IF(INDEX('Fleet dates'!$I$9:$I$1008,$I889-8)="","",INDEX('Fleet dates'!$I$9:$I$1008,$I889-8)))</x:f>
      </x:c>
      <x:c r="I889" t="str">
        <x:f>IF(881&gt;$H$4,"",MATCH(881,'Fleet dates'!$M$9:$M$1008,0)+8)</x:f>
      </x:c>
    </x:row>
    <x:row r="890" ht="36" customHeight="1">
      <x:c r="A890" s="50" t="str">
        <x:f>IF(882&gt;$H$4,"",IF(INDEX('Fleet dates'!$A$9:$A$1008,$I890-8)="","",INDEX('Fleet dates'!$A$9:$A$1008,$I890-8)))</x:f>
      </x:c>
      <x:c r="B890" s="50" t="str">
        <x:f>IF(882&gt;$H$4,"",IF(INDEX('Fleet dates'!$B$9:$B$1008,$I890-8)="","",INDEX('Fleet dates'!$B$9:$B$1008,$I890-8)))</x:f>
      </x:c>
      <x:c r="C890" s="51" t="str">
        <x:f>IF(882&gt;$H$4,"",IF(INDEX('Fleet dates'!$C$9:$C$1008,$I890-8)="","",INDEX('Fleet dates'!$C$9:$C$1008,$I890-8)))</x:f>
      </x:c>
      <x:c r="D890" s="51" t="str">
        <x:f>IF(882&gt;$H$4,"",IF(INDEX('Fleet dates'!$D$9:$D$1008,$I890-8)="","",INDEX('Fleet dates'!$D$9:$D$1008,$I890-8)))</x:f>
      </x:c>
      <x:c r="E890" s="51" t="str">
        <x:f>IF(882&gt;$H$4,"",IF(INDEX('Fleet dates'!$E$9:$E$1008,$I890-8)="","",INDEX('Fleet dates'!$E$9:$E$1008,$I890-8)))</x:f>
      </x:c>
      <x:c r="F890" s="51" t="str">
        <x:f>IF(882&gt;$H$4,"",IF(INDEX('Fleet dates'!$F$9:$F$1008,$I890-8)="","",INDEX('Fleet dates'!$F$9:$F$1008,$I890-8)))</x:f>
      </x:c>
      <x:c r="G890" s="50" t="str">
        <x:f>IF(882&gt;$H$4,"",IF(INDEX('Fleet dates'!$G$9:$G$1008,$I890-8)="","",INDEX('Fleet dates'!$G$9:$G$1008,$I890-8)))</x:f>
      </x:c>
      <x:c r="H890" s="50" t="str">
        <x:f>IF(882&gt;$H$4,"",IF(INDEX('Fleet dates'!$I$9:$I$1008,$I890-8)="","",INDEX('Fleet dates'!$I$9:$I$1008,$I890-8)))</x:f>
      </x:c>
      <x:c r="I890" t="str">
        <x:f>IF(882&gt;$H$4,"",MATCH(882,'Fleet dates'!$M$9:$M$1008,0)+8)</x:f>
      </x:c>
    </x:row>
    <x:row r="891" ht="36" customHeight="1">
      <x:c r="A891" s="50" t="str">
        <x:f>IF(883&gt;$H$4,"",IF(INDEX('Fleet dates'!$A$9:$A$1008,$I891-8)="","",INDEX('Fleet dates'!$A$9:$A$1008,$I891-8)))</x:f>
      </x:c>
      <x:c r="B891" s="50" t="str">
        <x:f>IF(883&gt;$H$4,"",IF(INDEX('Fleet dates'!$B$9:$B$1008,$I891-8)="","",INDEX('Fleet dates'!$B$9:$B$1008,$I891-8)))</x:f>
      </x:c>
      <x:c r="C891" s="51" t="str">
        <x:f>IF(883&gt;$H$4,"",IF(INDEX('Fleet dates'!$C$9:$C$1008,$I891-8)="","",INDEX('Fleet dates'!$C$9:$C$1008,$I891-8)))</x:f>
      </x:c>
      <x:c r="D891" s="51" t="str">
        <x:f>IF(883&gt;$H$4,"",IF(INDEX('Fleet dates'!$D$9:$D$1008,$I891-8)="","",INDEX('Fleet dates'!$D$9:$D$1008,$I891-8)))</x:f>
      </x:c>
      <x:c r="E891" s="51" t="str">
        <x:f>IF(883&gt;$H$4,"",IF(INDEX('Fleet dates'!$E$9:$E$1008,$I891-8)="","",INDEX('Fleet dates'!$E$9:$E$1008,$I891-8)))</x:f>
      </x:c>
      <x:c r="F891" s="51" t="str">
        <x:f>IF(883&gt;$H$4,"",IF(INDEX('Fleet dates'!$F$9:$F$1008,$I891-8)="","",INDEX('Fleet dates'!$F$9:$F$1008,$I891-8)))</x:f>
      </x:c>
      <x:c r="G891" s="50" t="str">
        <x:f>IF(883&gt;$H$4,"",IF(INDEX('Fleet dates'!$G$9:$G$1008,$I891-8)="","",INDEX('Fleet dates'!$G$9:$G$1008,$I891-8)))</x:f>
      </x:c>
      <x:c r="H891" s="50" t="str">
        <x:f>IF(883&gt;$H$4,"",IF(INDEX('Fleet dates'!$I$9:$I$1008,$I891-8)="","",INDEX('Fleet dates'!$I$9:$I$1008,$I891-8)))</x:f>
      </x:c>
      <x:c r="I891" t="str">
        <x:f>IF(883&gt;$H$4,"",MATCH(883,'Fleet dates'!$M$9:$M$1008,0)+8)</x:f>
      </x:c>
    </x:row>
    <x:row r="892" ht="36" customHeight="1">
      <x:c r="A892" s="50" t="str">
        <x:f>IF(884&gt;$H$4,"",IF(INDEX('Fleet dates'!$A$9:$A$1008,$I892-8)="","",INDEX('Fleet dates'!$A$9:$A$1008,$I892-8)))</x:f>
      </x:c>
      <x:c r="B892" s="50" t="str">
        <x:f>IF(884&gt;$H$4,"",IF(INDEX('Fleet dates'!$B$9:$B$1008,$I892-8)="","",INDEX('Fleet dates'!$B$9:$B$1008,$I892-8)))</x:f>
      </x:c>
      <x:c r="C892" s="51" t="str">
        <x:f>IF(884&gt;$H$4,"",IF(INDEX('Fleet dates'!$C$9:$C$1008,$I892-8)="","",INDEX('Fleet dates'!$C$9:$C$1008,$I892-8)))</x:f>
      </x:c>
      <x:c r="D892" s="51" t="str">
        <x:f>IF(884&gt;$H$4,"",IF(INDEX('Fleet dates'!$D$9:$D$1008,$I892-8)="","",INDEX('Fleet dates'!$D$9:$D$1008,$I892-8)))</x:f>
      </x:c>
      <x:c r="E892" s="51" t="str">
        <x:f>IF(884&gt;$H$4,"",IF(INDEX('Fleet dates'!$E$9:$E$1008,$I892-8)="","",INDEX('Fleet dates'!$E$9:$E$1008,$I892-8)))</x:f>
      </x:c>
      <x:c r="F892" s="51" t="str">
        <x:f>IF(884&gt;$H$4,"",IF(INDEX('Fleet dates'!$F$9:$F$1008,$I892-8)="","",INDEX('Fleet dates'!$F$9:$F$1008,$I892-8)))</x:f>
      </x:c>
      <x:c r="G892" s="50" t="str">
        <x:f>IF(884&gt;$H$4,"",IF(INDEX('Fleet dates'!$G$9:$G$1008,$I892-8)="","",INDEX('Fleet dates'!$G$9:$G$1008,$I892-8)))</x:f>
      </x:c>
      <x:c r="H892" s="50" t="str">
        <x:f>IF(884&gt;$H$4,"",IF(INDEX('Fleet dates'!$I$9:$I$1008,$I892-8)="","",INDEX('Fleet dates'!$I$9:$I$1008,$I892-8)))</x:f>
      </x:c>
      <x:c r="I892" t="str">
        <x:f>IF(884&gt;$H$4,"",MATCH(884,'Fleet dates'!$M$9:$M$1008,0)+8)</x:f>
      </x:c>
    </x:row>
    <x:row r="893" ht="36" customHeight="1">
      <x:c r="A893" s="50" t="str">
        <x:f>IF(885&gt;$H$4,"",IF(INDEX('Fleet dates'!$A$9:$A$1008,$I893-8)="","",INDEX('Fleet dates'!$A$9:$A$1008,$I893-8)))</x:f>
      </x:c>
      <x:c r="B893" s="50" t="str">
        <x:f>IF(885&gt;$H$4,"",IF(INDEX('Fleet dates'!$B$9:$B$1008,$I893-8)="","",INDEX('Fleet dates'!$B$9:$B$1008,$I893-8)))</x:f>
      </x:c>
      <x:c r="C893" s="51" t="str">
        <x:f>IF(885&gt;$H$4,"",IF(INDEX('Fleet dates'!$C$9:$C$1008,$I893-8)="","",INDEX('Fleet dates'!$C$9:$C$1008,$I893-8)))</x:f>
      </x:c>
      <x:c r="D893" s="51" t="str">
        <x:f>IF(885&gt;$H$4,"",IF(INDEX('Fleet dates'!$D$9:$D$1008,$I893-8)="","",INDEX('Fleet dates'!$D$9:$D$1008,$I893-8)))</x:f>
      </x:c>
      <x:c r="E893" s="51" t="str">
        <x:f>IF(885&gt;$H$4,"",IF(INDEX('Fleet dates'!$E$9:$E$1008,$I893-8)="","",INDEX('Fleet dates'!$E$9:$E$1008,$I893-8)))</x:f>
      </x:c>
      <x:c r="F893" s="51" t="str">
        <x:f>IF(885&gt;$H$4,"",IF(INDEX('Fleet dates'!$F$9:$F$1008,$I893-8)="","",INDEX('Fleet dates'!$F$9:$F$1008,$I893-8)))</x:f>
      </x:c>
      <x:c r="G893" s="50" t="str">
        <x:f>IF(885&gt;$H$4,"",IF(INDEX('Fleet dates'!$G$9:$G$1008,$I893-8)="","",INDEX('Fleet dates'!$G$9:$G$1008,$I893-8)))</x:f>
      </x:c>
      <x:c r="H893" s="50" t="str">
        <x:f>IF(885&gt;$H$4,"",IF(INDEX('Fleet dates'!$I$9:$I$1008,$I893-8)="","",INDEX('Fleet dates'!$I$9:$I$1008,$I893-8)))</x:f>
      </x:c>
      <x:c r="I893" t="str">
        <x:f>IF(885&gt;$H$4,"",MATCH(885,'Fleet dates'!$M$9:$M$1008,0)+8)</x:f>
      </x:c>
    </x:row>
    <x:row r="894" ht="36" customHeight="1">
      <x:c r="A894" s="50" t="str">
        <x:f>IF(886&gt;$H$4,"",IF(INDEX('Fleet dates'!$A$9:$A$1008,$I894-8)="","",INDEX('Fleet dates'!$A$9:$A$1008,$I894-8)))</x:f>
      </x:c>
      <x:c r="B894" s="50" t="str">
        <x:f>IF(886&gt;$H$4,"",IF(INDEX('Fleet dates'!$B$9:$B$1008,$I894-8)="","",INDEX('Fleet dates'!$B$9:$B$1008,$I894-8)))</x:f>
      </x:c>
      <x:c r="C894" s="51" t="str">
        <x:f>IF(886&gt;$H$4,"",IF(INDEX('Fleet dates'!$C$9:$C$1008,$I894-8)="","",INDEX('Fleet dates'!$C$9:$C$1008,$I894-8)))</x:f>
      </x:c>
      <x:c r="D894" s="51" t="str">
        <x:f>IF(886&gt;$H$4,"",IF(INDEX('Fleet dates'!$D$9:$D$1008,$I894-8)="","",INDEX('Fleet dates'!$D$9:$D$1008,$I894-8)))</x:f>
      </x:c>
      <x:c r="E894" s="51" t="str">
        <x:f>IF(886&gt;$H$4,"",IF(INDEX('Fleet dates'!$E$9:$E$1008,$I894-8)="","",INDEX('Fleet dates'!$E$9:$E$1008,$I894-8)))</x:f>
      </x:c>
      <x:c r="F894" s="51" t="str">
        <x:f>IF(886&gt;$H$4,"",IF(INDEX('Fleet dates'!$F$9:$F$1008,$I894-8)="","",INDEX('Fleet dates'!$F$9:$F$1008,$I894-8)))</x:f>
      </x:c>
      <x:c r="G894" s="50" t="str">
        <x:f>IF(886&gt;$H$4,"",IF(INDEX('Fleet dates'!$G$9:$G$1008,$I894-8)="","",INDEX('Fleet dates'!$G$9:$G$1008,$I894-8)))</x:f>
      </x:c>
      <x:c r="H894" s="50" t="str">
        <x:f>IF(886&gt;$H$4,"",IF(INDEX('Fleet dates'!$I$9:$I$1008,$I894-8)="","",INDEX('Fleet dates'!$I$9:$I$1008,$I894-8)))</x:f>
      </x:c>
      <x:c r="I894" t="str">
        <x:f>IF(886&gt;$H$4,"",MATCH(886,'Fleet dates'!$M$9:$M$1008,0)+8)</x:f>
      </x:c>
    </x:row>
    <x:row r="895" ht="36" customHeight="1">
      <x:c r="A895" s="50" t="str">
        <x:f>IF(887&gt;$H$4,"",IF(INDEX('Fleet dates'!$A$9:$A$1008,$I895-8)="","",INDEX('Fleet dates'!$A$9:$A$1008,$I895-8)))</x:f>
      </x:c>
      <x:c r="B895" s="50" t="str">
        <x:f>IF(887&gt;$H$4,"",IF(INDEX('Fleet dates'!$B$9:$B$1008,$I895-8)="","",INDEX('Fleet dates'!$B$9:$B$1008,$I895-8)))</x:f>
      </x:c>
      <x:c r="C895" s="51" t="str">
        <x:f>IF(887&gt;$H$4,"",IF(INDEX('Fleet dates'!$C$9:$C$1008,$I895-8)="","",INDEX('Fleet dates'!$C$9:$C$1008,$I895-8)))</x:f>
      </x:c>
      <x:c r="D895" s="51" t="str">
        <x:f>IF(887&gt;$H$4,"",IF(INDEX('Fleet dates'!$D$9:$D$1008,$I895-8)="","",INDEX('Fleet dates'!$D$9:$D$1008,$I895-8)))</x:f>
      </x:c>
      <x:c r="E895" s="51" t="str">
        <x:f>IF(887&gt;$H$4,"",IF(INDEX('Fleet dates'!$E$9:$E$1008,$I895-8)="","",INDEX('Fleet dates'!$E$9:$E$1008,$I895-8)))</x:f>
      </x:c>
      <x:c r="F895" s="51" t="str">
        <x:f>IF(887&gt;$H$4,"",IF(INDEX('Fleet dates'!$F$9:$F$1008,$I895-8)="","",INDEX('Fleet dates'!$F$9:$F$1008,$I895-8)))</x:f>
      </x:c>
      <x:c r="G895" s="50" t="str">
        <x:f>IF(887&gt;$H$4,"",IF(INDEX('Fleet dates'!$G$9:$G$1008,$I895-8)="","",INDEX('Fleet dates'!$G$9:$G$1008,$I895-8)))</x:f>
      </x:c>
      <x:c r="H895" s="50" t="str">
        <x:f>IF(887&gt;$H$4,"",IF(INDEX('Fleet dates'!$I$9:$I$1008,$I895-8)="","",INDEX('Fleet dates'!$I$9:$I$1008,$I895-8)))</x:f>
      </x:c>
      <x:c r="I895" t="str">
        <x:f>IF(887&gt;$H$4,"",MATCH(887,'Fleet dates'!$M$9:$M$1008,0)+8)</x:f>
      </x:c>
    </x:row>
    <x:row r="896" ht="36" customHeight="1">
      <x:c r="A896" s="50" t="str">
        <x:f>IF(888&gt;$H$4,"",IF(INDEX('Fleet dates'!$A$9:$A$1008,$I896-8)="","",INDEX('Fleet dates'!$A$9:$A$1008,$I896-8)))</x:f>
      </x:c>
      <x:c r="B896" s="50" t="str">
        <x:f>IF(888&gt;$H$4,"",IF(INDEX('Fleet dates'!$B$9:$B$1008,$I896-8)="","",INDEX('Fleet dates'!$B$9:$B$1008,$I896-8)))</x:f>
      </x:c>
      <x:c r="C896" s="51" t="str">
        <x:f>IF(888&gt;$H$4,"",IF(INDEX('Fleet dates'!$C$9:$C$1008,$I896-8)="","",INDEX('Fleet dates'!$C$9:$C$1008,$I896-8)))</x:f>
      </x:c>
      <x:c r="D896" s="51" t="str">
        <x:f>IF(888&gt;$H$4,"",IF(INDEX('Fleet dates'!$D$9:$D$1008,$I896-8)="","",INDEX('Fleet dates'!$D$9:$D$1008,$I896-8)))</x:f>
      </x:c>
      <x:c r="E896" s="51" t="str">
        <x:f>IF(888&gt;$H$4,"",IF(INDEX('Fleet dates'!$E$9:$E$1008,$I896-8)="","",INDEX('Fleet dates'!$E$9:$E$1008,$I896-8)))</x:f>
      </x:c>
      <x:c r="F896" s="51" t="str">
        <x:f>IF(888&gt;$H$4,"",IF(INDEX('Fleet dates'!$F$9:$F$1008,$I896-8)="","",INDEX('Fleet dates'!$F$9:$F$1008,$I896-8)))</x:f>
      </x:c>
      <x:c r="G896" s="50" t="str">
        <x:f>IF(888&gt;$H$4,"",IF(INDEX('Fleet dates'!$G$9:$G$1008,$I896-8)="","",INDEX('Fleet dates'!$G$9:$G$1008,$I896-8)))</x:f>
      </x:c>
      <x:c r="H896" s="50" t="str">
        <x:f>IF(888&gt;$H$4,"",IF(INDEX('Fleet dates'!$I$9:$I$1008,$I896-8)="","",INDEX('Fleet dates'!$I$9:$I$1008,$I896-8)))</x:f>
      </x:c>
      <x:c r="I896" t="str">
        <x:f>IF(888&gt;$H$4,"",MATCH(888,'Fleet dates'!$M$9:$M$1008,0)+8)</x:f>
      </x:c>
    </x:row>
    <x:row r="897" ht="36" customHeight="1">
      <x:c r="A897" s="50" t="str">
        <x:f>IF(889&gt;$H$4,"",IF(INDEX('Fleet dates'!$A$9:$A$1008,$I897-8)="","",INDEX('Fleet dates'!$A$9:$A$1008,$I897-8)))</x:f>
      </x:c>
      <x:c r="B897" s="50" t="str">
        <x:f>IF(889&gt;$H$4,"",IF(INDEX('Fleet dates'!$B$9:$B$1008,$I897-8)="","",INDEX('Fleet dates'!$B$9:$B$1008,$I897-8)))</x:f>
      </x:c>
      <x:c r="C897" s="51" t="str">
        <x:f>IF(889&gt;$H$4,"",IF(INDEX('Fleet dates'!$C$9:$C$1008,$I897-8)="","",INDEX('Fleet dates'!$C$9:$C$1008,$I897-8)))</x:f>
      </x:c>
      <x:c r="D897" s="51" t="str">
        <x:f>IF(889&gt;$H$4,"",IF(INDEX('Fleet dates'!$D$9:$D$1008,$I897-8)="","",INDEX('Fleet dates'!$D$9:$D$1008,$I897-8)))</x:f>
      </x:c>
      <x:c r="E897" s="51" t="str">
        <x:f>IF(889&gt;$H$4,"",IF(INDEX('Fleet dates'!$E$9:$E$1008,$I897-8)="","",INDEX('Fleet dates'!$E$9:$E$1008,$I897-8)))</x:f>
      </x:c>
      <x:c r="F897" s="51" t="str">
        <x:f>IF(889&gt;$H$4,"",IF(INDEX('Fleet dates'!$F$9:$F$1008,$I897-8)="","",INDEX('Fleet dates'!$F$9:$F$1008,$I897-8)))</x:f>
      </x:c>
      <x:c r="G897" s="50" t="str">
        <x:f>IF(889&gt;$H$4,"",IF(INDEX('Fleet dates'!$G$9:$G$1008,$I897-8)="","",INDEX('Fleet dates'!$G$9:$G$1008,$I897-8)))</x:f>
      </x:c>
      <x:c r="H897" s="50" t="str">
        <x:f>IF(889&gt;$H$4,"",IF(INDEX('Fleet dates'!$I$9:$I$1008,$I897-8)="","",INDEX('Fleet dates'!$I$9:$I$1008,$I897-8)))</x:f>
      </x:c>
      <x:c r="I897" t="str">
        <x:f>IF(889&gt;$H$4,"",MATCH(889,'Fleet dates'!$M$9:$M$1008,0)+8)</x:f>
      </x:c>
    </x:row>
    <x:row r="898" ht="36" customHeight="1">
      <x:c r="A898" s="50" t="str">
        <x:f>IF(890&gt;$H$4,"",IF(INDEX('Fleet dates'!$A$9:$A$1008,$I898-8)="","",INDEX('Fleet dates'!$A$9:$A$1008,$I898-8)))</x:f>
      </x:c>
      <x:c r="B898" s="50" t="str">
        <x:f>IF(890&gt;$H$4,"",IF(INDEX('Fleet dates'!$B$9:$B$1008,$I898-8)="","",INDEX('Fleet dates'!$B$9:$B$1008,$I898-8)))</x:f>
      </x:c>
      <x:c r="C898" s="51" t="str">
        <x:f>IF(890&gt;$H$4,"",IF(INDEX('Fleet dates'!$C$9:$C$1008,$I898-8)="","",INDEX('Fleet dates'!$C$9:$C$1008,$I898-8)))</x:f>
      </x:c>
      <x:c r="D898" s="51" t="str">
        <x:f>IF(890&gt;$H$4,"",IF(INDEX('Fleet dates'!$D$9:$D$1008,$I898-8)="","",INDEX('Fleet dates'!$D$9:$D$1008,$I898-8)))</x:f>
      </x:c>
      <x:c r="E898" s="51" t="str">
        <x:f>IF(890&gt;$H$4,"",IF(INDEX('Fleet dates'!$E$9:$E$1008,$I898-8)="","",INDEX('Fleet dates'!$E$9:$E$1008,$I898-8)))</x:f>
      </x:c>
      <x:c r="F898" s="51" t="str">
        <x:f>IF(890&gt;$H$4,"",IF(INDEX('Fleet dates'!$F$9:$F$1008,$I898-8)="","",INDEX('Fleet dates'!$F$9:$F$1008,$I898-8)))</x:f>
      </x:c>
      <x:c r="G898" s="50" t="str">
        <x:f>IF(890&gt;$H$4,"",IF(INDEX('Fleet dates'!$G$9:$G$1008,$I898-8)="","",INDEX('Fleet dates'!$G$9:$G$1008,$I898-8)))</x:f>
      </x:c>
      <x:c r="H898" s="50" t="str">
        <x:f>IF(890&gt;$H$4,"",IF(INDEX('Fleet dates'!$I$9:$I$1008,$I898-8)="","",INDEX('Fleet dates'!$I$9:$I$1008,$I898-8)))</x:f>
      </x:c>
      <x:c r="I898" t="str">
        <x:f>IF(890&gt;$H$4,"",MATCH(890,'Fleet dates'!$M$9:$M$1008,0)+8)</x:f>
      </x:c>
    </x:row>
    <x:row r="899" ht="36" customHeight="1">
      <x:c r="A899" s="50" t="str">
        <x:f>IF(891&gt;$H$4,"",IF(INDEX('Fleet dates'!$A$9:$A$1008,$I899-8)="","",INDEX('Fleet dates'!$A$9:$A$1008,$I899-8)))</x:f>
      </x:c>
      <x:c r="B899" s="50" t="str">
        <x:f>IF(891&gt;$H$4,"",IF(INDEX('Fleet dates'!$B$9:$B$1008,$I899-8)="","",INDEX('Fleet dates'!$B$9:$B$1008,$I899-8)))</x:f>
      </x:c>
      <x:c r="C899" s="51" t="str">
        <x:f>IF(891&gt;$H$4,"",IF(INDEX('Fleet dates'!$C$9:$C$1008,$I899-8)="","",INDEX('Fleet dates'!$C$9:$C$1008,$I899-8)))</x:f>
      </x:c>
      <x:c r="D899" s="51" t="str">
        <x:f>IF(891&gt;$H$4,"",IF(INDEX('Fleet dates'!$D$9:$D$1008,$I899-8)="","",INDEX('Fleet dates'!$D$9:$D$1008,$I899-8)))</x:f>
      </x:c>
      <x:c r="E899" s="51" t="str">
        <x:f>IF(891&gt;$H$4,"",IF(INDEX('Fleet dates'!$E$9:$E$1008,$I899-8)="","",INDEX('Fleet dates'!$E$9:$E$1008,$I899-8)))</x:f>
      </x:c>
      <x:c r="F899" s="51" t="str">
        <x:f>IF(891&gt;$H$4,"",IF(INDEX('Fleet dates'!$F$9:$F$1008,$I899-8)="","",INDEX('Fleet dates'!$F$9:$F$1008,$I899-8)))</x:f>
      </x:c>
      <x:c r="G899" s="50" t="str">
        <x:f>IF(891&gt;$H$4,"",IF(INDEX('Fleet dates'!$G$9:$G$1008,$I899-8)="","",INDEX('Fleet dates'!$G$9:$G$1008,$I899-8)))</x:f>
      </x:c>
      <x:c r="H899" s="50" t="str">
        <x:f>IF(891&gt;$H$4,"",IF(INDEX('Fleet dates'!$I$9:$I$1008,$I899-8)="","",INDEX('Fleet dates'!$I$9:$I$1008,$I899-8)))</x:f>
      </x:c>
      <x:c r="I899" t="str">
        <x:f>IF(891&gt;$H$4,"",MATCH(891,'Fleet dates'!$M$9:$M$1008,0)+8)</x:f>
      </x:c>
    </x:row>
    <x:row r="900" ht="36" customHeight="1">
      <x:c r="A900" s="50" t="str">
        <x:f>IF(892&gt;$H$4,"",IF(INDEX('Fleet dates'!$A$9:$A$1008,$I900-8)="","",INDEX('Fleet dates'!$A$9:$A$1008,$I900-8)))</x:f>
      </x:c>
      <x:c r="B900" s="50" t="str">
        <x:f>IF(892&gt;$H$4,"",IF(INDEX('Fleet dates'!$B$9:$B$1008,$I900-8)="","",INDEX('Fleet dates'!$B$9:$B$1008,$I900-8)))</x:f>
      </x:c>
      <x:c r="C900" s="51" t="str">
        <x:f>IF(892&gt;$H$4,"",IF(INDEX('Fleet dates'!$C$9:$C$1008,$I900-8)="","",INDEX('Fleet dates'!$C$9:$C$1008,$I900-8)))</x:f>
      </x:c>
      <x:c r="D900" s="51" t="str">
        <x:f>IF(892&gt;$H$4,"",IF(INDEX('Fleet dates'!$D$9:$D$1008,$I900-8)="","",INDEX('Fleet dates'!$D$9:$D$1008,$I900-8)))</x:f>
      </x:c>
      <x:c r="E900" s="51" t="str">
        <x:f>IF(892&gt;$H$4,"",IF(INDEX('Fleet dates'!$E$9:$E$1008,$I900-8)="","",INDEX('Fleet dates'!$E$9:$E$1008,$I900-8)))</x:f>
      </x:c>
      <x:c r="F900" s="51" t="str">
        <x:f>IF(892&gt;$H$4,"",IF(INDEX('Fleet dates'!$F$9:$F$1008,$I900-8)="","",INDEX('Fleet dates'!$F$9:$F$1008,$I900-8)))</x:f>
      </x:c>
      <x:c r="G900" s="50" t="str">
        <x:f>IF(892&gt;$H$4,"",IF(INDEX('Fleet dates'!$G$9:$G$1008,$I900-8)="","",INDEX('Fleet dates'!$G$9:$G$1008,$I900-8)))</x:f>
      </x:c>
      <x:c r="H900" s="50" t="str">
        <x:f>IF(892&gt;$H$4,"",IF(INDEX('Fleet dates'!$I$9:$I$1008,$I900-8)="","",INDEX('Fleet dates'!$I$9:$I$1008,$I900-8)))</x:f>
      </x:c>
      <x:c r="I900" t="str">
        <x:f>IF(892&gt;$H$4,"",MATCH(892,'Fleet dates'!$M$9:$M$1008,0)+8)</x:f>
      </x:c>
    </x:row>
    <x:row r="901" ht="36" customHeight="1">
      <x:c r="A901" s="50" t="str">
        <x:f>IF(893&gt;$H$4,"",IF(INDEX('Fleet dates'!$A$9:$A$1008,$I901-8)="","",INDEX('Fleet dates'!$A$9:$A$1008,$I901-8)))</x:f>
      </x:c>
      <x:c r="B901" s="50" t="str">
        <x:f>IF(893&gt;$H$4,"",IF(INDEX('Fleet dates'!$B$9:$B$1008,$I901-8)="","",INDEX('Fleet dates'!$B$9:$B$1008,$I901-8)))</x:f>
      </x:c>
      <x:c r="C901" s="51" t="str">
        <x:f>IF(893&gt;$H$4,"",IF(INDEX('Fleet dates'!$C$9:$C$1008,$I901-8)="","",INDEX('Fleet dates'!$C$9:$C$1008,$I901-8)))</x:f>
      </x:c>
      <x:c r="D901" s="51" t="str">
        <x:f>IF(893&gt;$H$4,"",IF(INDEX('Fleet dates'!$D$9:$D$1008,$I901-8)="","",INDEX('Fleet dates'!$D$9:$D$1008,$I901-8)))</x:f>
      </x:c>
      <x:c r="E901" s="51" t="str">
        <x:f>IF(893&gt;$H$4,"",IF(INDEX('Fleet dates'!$E$9:$E$1008,$I901-8)="","",INDEX('Fleet dates'!$E$9:$E$1008,$I901-8)))</x:f>
      </x:c>
      <x:c r="F901" s="51" t="str">
        <x:f>IF(893&gt;$H$4,"",IF(INDEX('Fleet dates'!$F$9:$F$1008,$I901-8)="","",INDEX('Fleet dates'!$F$9:$F$1008,$I901-8)))</x:f>
      </x:c>
      <x:c r="G901" s="50" t="str">
        <x:f>IF(893&gt;$H$4,"",IF(INDEX('Fleet dates'!$G$9:$G$1008,$I901-8)="","",INDEX('Fleet dates'!$G$9:$G$1008,$I901-8)))</x:f>
      </x:c>
      <x:c r="H901" s="50" t="str">
        <x:f>IF(893&gt;$H$4,"",IF(INDEX('Fleet dates'!$I$9:$I$1008,$I901-8)="","",INDEX('Fleet dates'!$I$9:$I$1008,$I901-8)))</x:f>
      </x:c>
      <x:c r="I901" t="str">
        <x:f>IF(893&gt;$H$4,"",MATCH(893,'Fleet dates'!$M$9:$M$1008,0)+8)</x:f>
      </x:c>
    </x:row>
    <x:row r="902" ht="36" customHeight="1">
      <x:c r="A902" s="50" t="str">
        <x:f>IF(894&gt;$H$4,"",IF(INDEX('Fleet dates'!$A$9:$A$1008,$I902-8)="","",INDEX('Fleet dates'!$A$9:$A$1008,$I902-8)))</x:f>
      </x:c>
      <x:c r="B902" s="50" t="str">
        <x:f>IF(894&gt;$H$4,"",IF(INDEX('Fleet dates'!$B$9:$B$1008,$I902-8)="","",INDEX('Fleet dates'!$B$9:$B$1008,$I902-8)))</x:f>
      </x:c>
      <x:c r="C902" s="51" t="str">
        <x:f>IF(894&gt;$H$4,"",IF(INDEX('Fleet dates'!$C$9:$C$1008,$I902-8)="","",INDEX('Fleet dates'!$C$9:$C$1008,$I902-8)))</x:f>
      </x:c>
      <x:c r="D902" s="51" t="str">
        <x:f>IF(894&gt;$H$4,"",IF(INDEX('Fleet dates'!$D$9:$D$1008,$I902-8)="","",INDEX('Fleet dates'!$D$9:$D$1008,$I902-8)))</x:f>
      </x:c>
      <x:c r="E902" s="51" t="str">
        <x:f>IF(894&gt;$H$4,"",IF(INDEX('Fleet dates'!$E$9:$E$1008,$I902-8)="","",INDEX('Fleet dates'!$E$9:$E$1008,$I902-8)))</x:f>
      </x:c>
      <x:c r="F902" s="51" t="str">
        <x:f>IF(894&gt;$H$4,"",IF(INDEX('Fleet dates'!$F$9:$F$1008,$I902-8)="","",INDEX('Fleet dates'!$F$9:$F$1008,$I902-8)))</x:f>
      </x:c>
      <x:c r="G902" s="50" t="str">
        <x:f>IF(894&gt;$H$4,"",IF(INDEX('Fleet dates'!$G$9:$G$1008,$I902-8)="","",INDEX('Fleet dates'!$G$9:$G$1008,$I902-8)))</x:f>
      </x:c>
      <x:c r="H902" s="50" t="str">
        <x:f>IF(894&gt;$H$4,"",IF(INDEX('Fleet dates'!$I$9:$I$1008,$I902-8)="","",INDEX('Fleet dates'!$I$9:$I$1008,$I902-8)))</x:f>
      </x:c>
      <x:c r="I902" t="str">
        <x:f>IF(894&gt;$H$4,"",MATCH(894,'Fleet dates'!$M$9:$M$1008,0)+8)</x:f>
      </x:c>
    </x:row>
    <x:row r="903" ht="36" customHeight="1">
      <x:c r="A903" s="50" t="str">
        <x:f>IF(895&gt;$H$4,"",IF(INDEX('Fleet dates'!$A$9:$A$1008,$I903-8)="","",INDEX('Fleet dates'!$A$9:$A$1008,$I903-8)))</x:f>
      </x:c>
      <x:c r="B903" s="50" t="str">
        <x:f>IF(895&gt;$H$4,"",IF(INDEX('Fleet dates'!$B$9:$B$1008,$I903-8)="","",INDEX('Fleet dates'!$B$9:$B$1008,$I903-8)))</x:f>
      </x:c>
      <x:c r="C903" s="51" t="str">
        <x:f>IF(895&gt;$H$4,"",IF(INDEX('Fleet dates'!$C$9:$C$1008,$I903-8)="","",INDEX('Fleet dates'!$C$9:$C$1008,$I903-8)))</x:f>
      </x:c>
      <x:c r="D903" s="51" t="str">
        <x:f>IF(895&gt;$H$4,"",IF(INDEX('Fleet dates'!$D$9:$D$1008,$I903-8)="","",INDEX('Fleet dates'!$D$9:$D$1008,$I903-8)))</x:f>
      </x:c>
      <x:c r="E903" s="51" t="str">
        <x:f>IF(895&gt;$H$4,"",IF(INDEX('Fleet dates'!$E$9:$E$1008,$I903-8)="","",INDEX('Fleet dates'!$E$9:$E$1008,$I903-8)))</x:f>
      </x:c>
      <x:c r="F903" s="51" t="str">
        <x:f>IF(895&gt;$H$4,"",IF(INDEX('Fleet dates'!$F$9:$F$1008,$I903-8)="","",INDEX('Fleet dates'!$F$9:$F$1008,$I903-8)))</x:f>
      </x:c>
      <x:c r="G903" s="50" t="str">
        <x:f>IF(895&gt;$H$4,"",IF(INDEX('Fleet dates'!$G$9:$G$1008,$I903-8)="","",INDEX('Fleet dates'!$G$9:$G$1008,$I903-8)))</x:f>
      </x:c>
      <x:c r="H903" s="50" t="str">
        <x:f>IF(895&gt;$H$4,"",IF(INDEX('Fleet dates'!$I$9:$I$1008,$I903-8)="","",INDEX('Fleet dates'!$I$9:$I$1008,$I903-8)))</x:f>
      </x:c>
      <x:c r="I903" t="str">
        <x:f>IF(895&gt;$H$4,"",MATCH(895,'Fleet dates'!$M$9:$M$1008,0)+8)</x:f>
      </x:c>
    </x:row>
    <x:row r="904" ht="36" customHeight="1">
      <x:c r="A904" s="50" t="str">
        <x:f>IF(896&gt;$H$4,"",IF(INDEX('Fleet dates'!$A$9:$A$1008,$I904-8)="","",INDEX('Fleet dates'!$A$9:$A$1008,$I904-8)))</x:f>
      </x:c>
      <x:c r="B904" s="50" t="str">
        <x:f>IF(896&gt;$H$4,"",IF(INDEX('Fleet dates'!$B$9:$B$1008,$I904-8)="","",INDEX('Fleet dates'!$B$9:$B$1008,$I904-8)))</x:f>
      </x:c>
      <x:c r="C904" s="51" t="str">
        <x:f>IF(896&gt;$H$4,"",IF(INDEX('Fleet dates'!$C$9:$C$1008,$I904-8)="","",INDEX('Fleet dates'!$C$9:$C$1008,$I904-8)))</x:f>
      </x:c>
      <x:c r="D904" s="51" t="str">
        <x:f>IF(896&gt;$H$4,"",IF(INDEX('Fleet dates'!$D$9:$D$1008,$I904-8)="","",INDEX('Fleet dates'!$D$9:$D$1008,$I904-8)))</x:f>
      </x:c>
      <x:c r="E904" s="51" t="str">
        <x:f>IF(896&gt;$H$4,"",IF(INDEX('Fleet dates'!$E$9:$E$1008,$I904-8)="","",INDEX('Fleet dates'!$E$9:$E$1008,$I904-8)))</x:f>
      </x:c>
      <x:c r="F904" s="51" t="str">
        <x:f>IF(896&gt;$H$4,"",IF(INDEX('Fleet dates'!$F$9:$F$1008,$I904-8)="","",INDEX('Fleet dates'!$F$9:$F$1008,$I904-8)))</x:f>
      </x:c>
      <x:c r="G904" s="50" t="str">
        <x:f>IF(896&gt;$H$4,"",IF(INDEX('Fleet dates'!$G$9:$G$1008,$I904-8)="","",INDEX('Fleet dates'!$G$9:$G$1008,$I904-8)))</x:f>
      </x:c>
      <x:c r="H904" s="50" t="str">
        <x:f>IF(896&gt;$H$4,"",IF(INDEX('Fleet dates'!$I$9:$I$1008,$I904-8)="","",INDEX('Fleet dates'!$I$9:$I$1008,$I904-8)))</x:f>
      </x:c>
      <x:c r="I904" t="str">
        <x:f>IF(896&gt;$H$4,"",MATCH(896,'Fleet dates'!$M$9:$M$1008,0)+8)</x:f>
      </x:c>
    </x:row>
    <x:row r="905" ht="36" customHeight="1">
      <x:c r="A905" s="50" t="str">
        <x:f>IF(897&gt;$H$4,"",IF(INDEX('Fleet dates'!$A$9:$A$1008,$I905-8)="","",INDEX('Fleet dates'!$A$9:$A$1008,$I905-8)))</x:f>
      </x:c>
      <x:c r="B905" s="50" t="str">
        <x:f>IF(897&gt;$H$4,"",IF(INDEX('Fleet dates'!$B$9:$B$1008,$I905-8)="","",INDEX('Fleet dates'!$B$9:$B$1008,$I905-8)))</x:f>
      </x:c>
      <x:c r="C905" s="51" t="str">
        <x:f>IF(897&gt;$H$4,"",IF(INDEX('Fleet dates'!$C$9:$C$1008,$I905-8)="","",INDEX('Fleet dates'!$C$9:$C$1008,$I905-8)))</x:f>
      </x:c>
      <x:c r="D905" s="51" t="str">
        <x:f>IF(897&gt;$H$4,"",IF(INDEX('Fleet dates'!$D$9:$D$1008,$I905-8)="","",INDEX('Fleet dates'!$D$9:$D$1008,$I905-8)))</x:f>
      </x:c>
      <x:c r="E905" s="51" t="str">
        <x:f>IF(897&gt;$H$4,"",IF(INDEX('Fleet dates'!$E$9:$E$1008,$I905-8)="","",INDEX('Fleet dates'!$E$9:$E$1008,$I905-8)))</x:f>
      </x:c>
      <x:c r="F905" s="51" t="str">
        <x:f>IF(897&gt;$H$4,"",IF(INDEX('Fleet dates'!$F$9:$F$1008,$I905-8)="","",INDEX('Fleet dates'!$F$9:$F$1008,$I905-8)))</x:f>
      </x:c>
      <x:c r="G905" s="50" t="str">
        <x:f>IF(897&gt;$H$4,"",IF(INDEX('Fleet dates'!$G$9:$G$1008,$I905-8)="","",INDEX('Fleet dates'!$G$9:$G$1008,$I905-8)))</x:f>
      </x:c>
      <x:c r="H905" s="50" t="str">
        <x:f>IF(897&gt;$H$4,"",IF(INDEX('Fleet dates'!$I$9:$I$1008,$I905-8)="","",INDEX('Fleet dates'!$I$9:$I$1008,$I905-8)))</x:f>
      </x:c>
      <x:c r="I905" t="str">
        <x:f>IF(897&gt;$H$4,"",MATCH(897,'Fleet dates'!$M$9:$M$1008,0)+8)</x:f>
      </x:c>
    </x:row>
    <x:row r="906" ht="36" customHeight="1">
      <x:c r="A906" s="50" t="str">
        <x:f>IF(898&gt;$H$4,"",IF(INDEX('Fleet dates'!$A$9:$A$1008,$I906-8)="","",INDEX('Fleet dates'!$A$9:$A$1008,$I906-8)))</x:f>
      </x:c>
      <x:c r="B906" s="50" t="str">
        <x:f>IF(898&gt;$H$4,"",IF(INDEX('Fleet dates'!$B$9:$B$1008,$I906-8)="","",INDEX('Fleet dates'!$B$9:$B$1008,$I906-8)))</x:f>
      </x:c>
      <x:c r="C906" s="51" t="str">
        <x:f>IF(898&gt;$H$4,"",IF(INDEX('Fleet dates'!$C$9:$C$1008,$I906-8)="","",INDEX('Fleet dates'!$C$9:$C$1008,$I906-8)))</x:f>
      </x:c>
      <x:c r="D906" s="51" t="str">
        <x:f>IF(898&gt;$H$4,"",IF(INDEX('Fleet dates'!$D$9:$D$1008,$I906-8)="","",INDEX('Fleet dates'!$D$9:$D$1008,$I906-8)))</x:f>
      </x:c>
      <x:c r="E906" s="51" t="str">
        <x:f>IF(898&gt;$H$4,"",IF(INDEX('Fleet dates'!$E$9:$E$1008,$I906-8)="","",INDEX('Fleet dates'!$E$9:$E$1008,$I906-8)))</x:f>
      </x:c>
      <x:c r="F906" s="51" t="str">
        <x:f>IF(898&gt;$H$4,"",IF(INDEX('Fleet dates'!$F$9:$F$1008,$I906-8)="","",INDEX('Fleet dates'!$F$9:$F$1008,$I906-8)))</x:f>
      </x:c>
      <x:c r="G906" s="50" t="str">
        <x:f>IF(898&gt;$H$4,"",IF(INDEX('Fleet dates'!$G$9:$G$1008,$I906-8)="","",INDEX('Fleet dates'!$G$9:$G$1008,$I906-8)))</x:f>
      </x:c>
      <x:c r="H906" s="50" t="str">
        <x:f>IF(898&gt;$H$4,"",IF(INDEX('Fleet dates'!$I$9:$I$1008,$I906-8)="","",INDEX('Fleet dates'!$I$9:$I$1008,$I906-8)))</x:f>
      </x:c>
      <x:c r="I906" t="str">
        <x:f>IF(898&gt;$H$4,"",MATCH(898,'Fleet dates'!$M$9:$M$1008,0)+8)</x:f>
      </x:c>
    </x:row>
    <x:row r="907" ht="36" customHeight="1">
      <x:c r="A907" s="50" t="str">
        <x:f>IF(899&gt;$H$4,"",IF(INDEX('Fleet dates'!$A$9:$A$1008,$I907-8)="","",INDEX('Fleet dates'!$A$9:$A$1008,$I907-8)))</x:f>
      </x:c>
      <x:c r="B907" s="50" t="str">
        <x:f>IF(899&gt;$H$4,"",IF(INDEX('Fleet dates'!$B$9:$B$1008,$I907-8)="","",INDEX('Fleet dates'!$B$9:$B$1008,$I907-8)))</x:f>
      </x:c>
      <x:c r="C907" s="51" t="str">
        <x:f>IF(899&gt;$H$4,"",IF(INDEX('Fleet dates'!$C$9:$C$1008,$I907-8)="","",INDEX('Fleet dates'!$C$9:$C$1008,$I907-8)))</x:f>
      </x:c>
      <x:c r="D907" s="51" t="str">
        <x:f>IF(899&gt;$H$4,"",IF(INDEX('Fleet dates'!$D$9:$D$1008,$I907-8)="","",INDEX('Fleet dates'!$D$9:$D$1008,$I907-8)))</x:f>
      </x:c>
      <x:c r="E907" s="51" t="str">
        <x:f>IF(899&gt;$H$4,"",IF(INDEX('Fleet dates'!$E$9:$E$1008,$I907-8)="","",INDEX('Fleet dates'!$E$9:$E$1008,$I907-8)))</x:f>
      </x:c>
      <x:c r="F907" s="51" t="str">
        <x:f>IF(899&gt;$H$4,"",IF(INDEX('Fleet dates'!$F$9:$F$1008,$I907-8)="","",INDEX('Fleet dates'!$F$9:$F$1008,$I907-8)))</x:f>
      </x:c>
      <x:c r="G907" s="50" t="str">
        <x:f>IF(899&gt;$H$4,"",IF(INDEX('Fleet dates'!$G$9:$G$1008,$I907-8)="","",INDEX('Fleet dates'!$G$9:$G$1008,$I907-8)))</x:f>
      </x:c>
      <x:c r="H907" s="50" t="str">
        <x:f>IF(899&gt;$H$4,"",IF(INDEX('Fleet dates'!$I$9:$I$1008,$I907-8)="","",INDEX('Fleet dates'!$I$9:$I$1008,$I907-8)))</x:f>
      </x:c>
      <x:c r="I907" t="str">
        <x:f>IF(899&gt;$H$4,"",MATCH(899,'Fleet dates'!$M$9:$M$1008,0)+8)</x:f>
      </x:c>
    </x:row>
    <x:row r="908" ht="36" customHeight="1">
      <x:c r="A908" s="50" t="str">
        <x:f>IF(900&gt;$H$4,"",IF(INDEX('Fleet dates'!$A$9:$A$1008,$I908-8)="","",INDEX('Fleet dates'!$A$9:$A$1008,$I908-8)))</x:f>
      </x:c>
      <x:c r="B908" s="50" t="str">
        <x:f>IF(900&gt;$H$4,"",IF(INDEX('Fleet dates'!$B$9:$B$1008,$I908-8)="","",INDEX('Fleet dates'!$B$9:$B$1008,$I908-8)))</x:f>
      </x:c>
      <x:c r="C908" s="51" t="str">
        <x:f>IF(900&gt;$H$4,"",IF(INDEX('Fleet dates'!$C$9:$C$1008,$I908-8)="","",INDEX('Fleet dates'!$C$9:$C$1008,$I908-8)))</x:f>
      </x:c>
      <x:c r="D908" s="51" t="str">
        <x:f>IF(900&gt;$H$4,"",IF(INDEX('Fleet dates'!$D$9:$D$1008,$I908-8)="","",INDEX('Fleet dates'!$D$9:$D$1008,$I908-8)))</x:f>
      </x:c>
      <x:c r="E908" s="51" t="str">
        <x:f>IF(900&gt;$H$4,"",IF(INDEX('Fleet dates'!$E$9:$E$1008,$I908-8)="","",INDEX('Fleet dates'!$E$9:$E$1008,$I908-8)))</x:f>
      </x:c>
      <x:c r="F908" s="51" t="str">
        <x:f>IF(900&gt;$H$4,"",IF(INDEX('Fleet dates'!$F$9:$F$1008,$I908-8)="","",INDEX('Fleet dates'!$F$9:$F$1008,$I908-8)))</x:f>
      </x:c>
      <x:c r="G908" s="50" t="str">
        <x:f>IF(900&gt;$H$4,"",IF(INDEX('Fleet dates'!$G$9:$G$1008,$I908-8)="","",INDEX('Fleet dates'!$G$9:$G$1008,$I908-8)))</x:f>
      </x:c>
      <x:c r="H908" s="50" t="str">
        <x:f>IF(900&gt;$H$4,"",IF(INDEX('Fleet dates'!$I$9:$I$1008,$I908-8)="","",INDEX('Fleet dates'!$I$9:$I$1008,$I908-8)))</x:f>
      </x:c>
      <x:c r="I908" t="str">
        <x:f>IF(900&gt;$H$4,"",MATCH(900,'Fleet dates'!$M$9:$M$1008,0)+8)</x:f>
      </x:c>
    </x:row>
    <x:row r="909" ht="36" customHeight="1">
      <x:c r="A909" s="50" t="str">
        <x:f>IF(901&gt;$H$4,"",IF(INDEX('Fleet dates'!$A$9:$A$1008,$I909-8)="","",INDEX('Fleet dates'!$A$9:$A$1008,$I909-8)))</x:f>
      </x:c>
      <x:c r="B909" s="50" t="str">
        <x:f>IF(901&gt;$H$4,"",IF(INDEX('Fleet dates'!$B$9:$B$1008,$I909-8)="","",INDEX('Fleet dates'!$B$9:$B$1008,$I909-8)))</x:f>
      </x:c>
      <x:c r="C909" s="51" t="str">
        <x:f>IF(901&gt;$H$4,"",IF(INDEX('Fleet dates'!$C$9:$C$1008,$I909-8)="","",INDEX('Fleet dates'!$C$9:$C$1008,$I909-8)))</x:f>
      </x:c>
      <x:c r="D909" s="51" t="str">
        <x:f>IF(901&gt;$H$4,"",IF(INDEX('Fleet dates'!$D$9:$D$1008,$I909-8)="","",INDEX('Fleet dates'!$D$9:$D$1008,$I909-8)))</x:f>
      </x:c>
      <x:c r="E909" s="51" t="str">
        <x:f>IF(901&gt;$H$4,"",IF(INDEX('Fleet dates'!$E$9:$E$1008,$I909-8)="","",INDEX('Fleet dates'!$E$9:$E$1008,$I909-8)))</x:f>
      </x:c>
      <x:c r="F909" s="51" t="str">
        <x:f>IF(901&gt;$H$4,"",IF(INDEX('Fleet dates'!$F$9:$F$1008,$I909-8)="","",INDEX('Fleet dates'!$F$9:$F$1008,$I909-8)))</x:f>
      </x:c>
      <x:c r="G909" s="50" t="str">
        <x:f>IF(901&gt;$H$4,"",IF(INDEX('Fleet dates'!$G$9:$G$1008,$I909-8)="","",INDEX('Fleet dates'!$G$9:$G$1008,$I909-8)))</x:f>
      </x:c>
      <x:c r="H909" s="50" t="str">
        <x:f>IF(901&gt;$H$4,"",IF(INDEX('Fleet dates'!$I$9:$I$1008,$I909-8)="","",INDEX('Fleet dates'!$I$9:$I$1008,$I909-8)))</x:f>
      </x:c>
      <x:c r="I909" t="str">
        <x:f>IF(901&gt;$H$4,"",MATCH(901,'Fleet dates'!$M$9:$M$1008,0)+8)</x:f>
      </x:c>
    </x:row>
    <x:row r="910" ht="36" customHeight="1">
      <x:c r="A910" s="50" t="str">
        <x:f>IF(902&gt;$H$4,"",IF(INDEX('Fleet dates'!$A$9:$A$1008,$I910-8)="","",INDEX('Fleet dates'!$A$9:$A$1008,$I910-8)))</x:f>
      </x:c>
      <x:c r="B910" s="50" t="str">
        <x:f>IF(902&gt;$H$4,"",IF(INDEX('Fleet dates'!$B$9:$B$1008,$I910-8)="","",INDEX('Fleet dates'!$B$9:$B$1008,$I910-8)))</x:f>
      </x:c>
      <x:c r="C910" s="51" t="str">
        <x:f>IF(902&gt;$H$4,"",IF(INDEX('Fleet dates'!$C$9:$C$1008,$I910-8)="","",INDEX('Fleet dates'!$C$9:$C$1008,$I910-8)))</x:f>
      </x:c>
      <x:c r="D910" s="51" t="str">
        <x:f>IF(902&gt;$H$4,"",IF(INDEX('Fleet dates'!$D$9:$D$1008,$I910-8)="","",INDEX('Fleet dates'!$D$9:$D$1008,$I910-8)))</x:f>
      </x:c>
      <x:c r="E910" s="51" t="str">
        <x:f>IF(902&gt;$H$4,"",IF(INDEX('Fleet dates'!$E$9:$E$1008,$I910-8)="","",INDEX('Fleet dates'!$E$9:$E$1008,$I910-8)))</x:f>
      </x:c>
      <x:c r="F910" s="51" t="str">
        <x:f>IF(902&gt;$H$4,"",IF(INDEX('Fleet dates'!$F$9:$F$1008,$I910-8)="","",INDEX('Fleet dates'!$F$9:$F$1008,$I910-8)))</x:f>
      </x:c>
      <x:c r="G910" s="50" t="str">
        <x:f>IF(902&gt;$H$4,"",IF(INDEX('Fleet dates'!$G$9:$G$1008,$I910-8)="","",INDEX('Fleet dates'!$G$9:$G$1008,$I910-8)))</x:f>
      </x:c>
      <x:c r="H910" s="50" t="str">
        <x:f>IF(902&gt;$H$4,"",IF(INDEX('Fleet dates'!$I$9:$I$1008,$I910-8)="","",INDEX('Fleet dates'!$I$9:$I$1008,$I910-8)))</x:f>
      </x:c>
      <x:c r="I910" t="str">
        <x:f>IF(902&gt;$H$4,"",MATCH(902,'Fleet dates'!$M$9:$M$1008,0)+8)</x:f>
      </x:c>
    </x:row>
    <x:row r="911" ht="36" customHeight="1">
      <x:c r="A911" s="50" t="str">
        <x:f>IF(903&gt;$H$4,"",IF(INDEX('Fleet dates'!$A$9:$A$1008,$I911-8)="","",INDEX('Fleet dates'!$A$9:$A$1008,$I911-8)))</x:f>
      </x:c>
      <x:c r="B911" s="50" t="str">
        <x:f>IF(903&gt;$H$4,"",IF(INDEX('Fleet dates'!$B$9:$B$1008,$I911-8)="","",INDEX('Fleet dates'!$B$9:$B$1008,$I911-8)))</x:f>
      </x:c>
      <x:c r="C911" s="51" t="str">
        <x:f>IF(903&gt;$H$4,"",IF(INDEX('Fleet dates'!$C$9:$C$1008,$I911-8)="","",INDEX('Fleet dates'!$C$9:$C$1008,$I911-8)))</x:f>
      </x:c>
      <x:c r="D911" s="51" t="str">
        <x:f>IF(903&gt;$H$4,"",IF(INDEX('Fleet dates'!$D$9:$D$1008,$I911-8)="","",INDEX('Fleet dates'!$D$9:$D$1008,$I911-8)))</x:f>
      </x:c>
      <x:c r="E911" s="51" t="str">
        <x:f>IF(903&gt;$H$4,"",IF(INDEX('Fleet dates'!$E$9:$E$1008,$I911-8)="","",INDEX('Fleet dates'!$E$9:$E$1008,$I911-8)))</x:f>
      </x:c>
      <x:c r="F911" s="51" t="str">
        <x:f>IF(903&gt;$H$4,"",IF(INDEX('Fleet dates'!$F$9:$F$1008,$I911-8)="","",INDEX('Fleet dates'!$F$9:$F$1008,$I911-8)))</x:f>
      </x:c>
      <x:c r="G911" s="50" t="str">
        <x:f>IF(903&gt;$H$4,"",IF(INDEX('Fleet dates'!$G$9:$G$1008,$I911-8)="","",INDEX('Fleet dates'!$G$9:$G$1008,$I911-8)))</x:f>
      </x:c>
      <x:c r="H911" s="50" t="str">
        <x:f>IF(903&gt;$H$4,"",IF(INDEX('Fleet dates'!$I$9:$I$1008,$I911-8)="","",INDEX('Fleet dates'!$I$9:$I$1008,$I911-8)))</x:f>
      </x:c>
      <x:c r="I911" t="str">
        <x:f>IF(903&gt;$H$4,"",MATCH(903,'Fleet dates'!$M$9:$M$1008,0)+8)</x:f>
      </x:c>
    </x:row>
    <x:row r="912" ht="36" customHeight="1">
      <x:c r="A912" s="50" t="str">
        <x:f>IF(904&gt;$H$4,"",IF(INDEX('Fleet dates'!$A$9:$A$1008,$I912-8)="","",INDEX('Fleet dates'!$A$9:$A$1008,$I912-8)))</x:f>
      </x:c>
      <x:c r="B912" s="50" t="str">
        <x:f>IF(904&gt;$H$4,"",IF(INDEX('Fleet dates'!$B$9:$B$1008,$I912-8)="","",INDEX('Fleet dates'!$B$9:$B$1008,$I912-8)))</x:f>
      </x:c>
      <x:c r="C912" s="51" t="str">
        <x:f>IF(904&gt;$H$4,"",IF(INDEX('Fleet dates'!$C$9:$C$1008,$I912-8)="","",INDEX('Fleet dates'!$C$9:$C$1008,$I912-8)))</x:f>
      </x:c>
      <x:c r="D912" s="51" t="str">
        <x:f>IF(904&gt;$H$4,"",IF(INDEX('Fleet dates'!$D$9:$D$1008,$I912-8)="","",INDEX('Fleet dates'!$D$9:$D$1008,$I912-8)))</x:f>
      </x:c>
      <x:c r="E912" s="51" t="str">
        <x:f>IF(904&gt;$H$4,"",IF(INDEX('Fleet dates'!$E$9:$E$1008,$I912-8)="","",INDEX('Fleet dates'!$E$9:$E$1008,$I912-8)))</x:f>
      </x:c>
      <x:c r="F912" s="51" t="str">
        <x:f>IF(904&gt;$H$4,"",IF(INDEX('Fleet dates'!$F$9:$F$1008,$I912-8)="","",INDEX('Fleet dates'!$F$9:$F$1008,$I912-8)))</x:f>
      </x:c>
      <x:c r="G912" s="50" t="str">
        <x:f>IF(904&gt;$H$4,"",IF(INDEX('Fleet dates'!$G$9:$G$1008,$I912-8)="","",INDEX('Fleet dates'!$G$9:$G$1008,$I912-8)))</x:f>
      </x:c>
      <x:c r="H912" s="50" t="str">
        <x:f>IF(904&gt;$H$4,"",IF(INDEX('Fleet dates'!$I$9:$I$1008,$I912-8)="","",INDEX('Fleet dates'!$I$9:$I$1008,$I912-8)))</x:f>
      </x:c>
      <x:c r="I912" t="str">
        <x:f>IF(904&gt;$H$4,"",MATCH(904,'Fleet dates'!$M$9:$M$1008,0)+8)</x:f>
      </x:c>
    </x:row>
    <x:row r="913" ht="36" customHeight="1">
      <x:c r="A913" s="50" t="str">
        <x:f>IF(905&gt;$H$4,"",IF(INDEX('Fleet dates'!$A$9:$A$1008,$I913-8)="","",INDEX('Fleet dates'!$A$9:$A$1008,$I913-8)))</x:f>
      </x:c>
      <x:c r="B913" s="50" t="str">
        <x:f>IF(905&gt;$H$4,"",IF(INDEX('Fleet dates'!$B$9:$B$1008,$I913-8)="","",INDEX('Fleet dates'!$B$9:$B$1008,$I913-8)))</x:f>
      </x:c>
      <x:c r="C913" s="51" t="str">
        <x:f>IF(905&gt;$H$4,"",IF(INDEX('Fleet dates'!$C$9:$C$1008,$I913-8)="","",INDEX('Fleet dates'!$C$9:$C$1008,$I913-8)))</x:f>
      </x:c>
      <x:c r="D913" s="51" t="str">
        <x:f>IF(905&gt;$H$4,"",IF(INDEX('Fleet dates'!$D$9:$D$1008,$I913-8)="","",INDEX('Fleet dates'!$D$9:$D$1008,$I913-8)))</x:f>
      </x:c>
      <x:c r="E913" s="51" t="str">
        <x:f>IF(905&gt;$H$4,"",IF(INDEX('Fleet dates'!$E$9:$E$1008,$I913-8)="","",INDEX('Fleet dates'!$E$9:$E$1008,$I913-8)))</x:f>
      </x:c>
      <x:c r="F913" s="51" t="str">
        <x:f>IF(905&gt;$H$4,"",IF(INDEX('Fleet dates'!$F$9:$F$1008,$I913-8)="","",INDEX('Fleet dates'!$F$9:$F$1008,$I913-8)))</x:f>
      </x:c>
      <x:c r="G913" s="50" t="str">
        <x:f>IF(905&gt;$H$4,"",IF(INDEX('Fleet dates'!$G$9:$G$1008,$I913-8)="","",INDEX('Fleet dates'!$G$9:$G$1008,$I913-8)))</x:f>
      </x:c>
      <x:c r="H913" s="50" t="str">
        <x:f>IF(905&gt;$H$4,"",IF(INDEX('Fleet dates'!$I$9:$I$1008,$I913-8)="","",INDEX('Fleet dates'!$I$9:$I$1008,$I913-8)))</x:f>
      </x:c>
      <x:c r="I913" t="str">
        <x:f>IF(905&gt;$H$4,"",MATCH(905,'Fleet dates'!$M$9:$M$1008,0)+8)</x:f>
      </x:c>
    </x:row>
    <x:row r="914" ht="36" customHeight="1">
      <x:c r="A914" s="50" t="str">
        <x:f>IF(906&gt;$H$4,"",IF(INDEX('Fleet dates'!$A$9:$A$1008,$I914-8)="","",INDEX('Fleet dates'!$A$9:$A$1008,$I914-8)))</x:f>
      </x:c>
      <x:c r="B914" s="50" t="str">
        <x:f>IF(906&gt;$H$4,"",IF(INDEX('Fleet dates'!$B$9:$B$1008,$I914-8)="","",INDEX('Fleet dates'!$B$9:$B$1008,$I914-8)))</x:f>
      </x:c>
      <x:c r="C914" s="51" t="str">
        <x:f>IF(906&gt;$H$4,"",IF(INDEX('Fleet dates'!$C$9:$C$1008,$I914-8)="","",INDEX('Fleet dates'!$C$9:$C$1008,$I914-8)))</x:f>
      </x:c>
      <x:c r="D914" s="51" t="str">
        <x:f>IF(906&gt;$H$4,"",IF(INDEX('Fleet dates'!$D$9:$D$1008,$I914-8)="","",INDEX('Fleet dates'!$D$9:$D$1008,$I914-8)))</x:f>
      </x:c>
      <x:c r="E914" s="51" t="str">
        <x:f>IF(906&gt;$H$4,"",IF(INDEX('Fleet dates'!$E$9:$E$1008,$I914-8)="","",INDEX('Fleet dates'!$E$9:$E$1008,$I914-8)))</x:f>
      </x:c>
      <x:c r="F914" s="51" t="str">
        <x:f>IF(906&gt;$H$4,"",IF(INDEX('Fleet dates'!$F$9:$F$1008,$I914-8)="","",INDEX('Fleet dates'!$F$9:$F$1008,$I914-8)))</x:f>
      </x:c>
      <x:c r="G914" s="50" t="str">
        <x:f>IF(906&gt;$H$4,"",IF(INDEX('Fleet dates'!$G$9:$G$1008,$I914-8)="","",INDEX('Fleet dates'!$G$9:$G$1008,$I914-8)))</x:f>
      </x:c>
      <x:c r="H914" s="50" t="str">
        <x:f>IF(906&gt;$H$4,"",IF(INDEX('Fleet dates'!$I$9:$I$1008,$I914-8)="","",INDEX('Fleet dates'!$I$9:$I$1008,$I914-8)))</x:f>
      </x:c>
      <x:c r="I914" t="str">
        <x:f>IF(906&gt;$H$4,"",MATCH(906,'Fleet dates'!$M$9:$M$1008,0)+8)</x:f>
      </x:c>
    </x:row>
    <x:row r="915" ht="36" customHeight="1">
      <x:c r="A915" s="50" t="str">
        <x:f>IF(907&gt;$H$4,"",IF(INDEX('Fleet dates'!$A$9:$A$1008,$I915-8)="","",INDEX('Fleet dates'!$A$9:$A$1008,$I915-8)))</x:f>
      </x:c>
      <x:c r="B915" s="50" t="str">
        <x:f>IF(907&gt;$H$4,"",IF(INDEX('Fleet dates'!$B$9:$B$1008,$I915-8)="","",INDEX('Fleet dates'!$B$9:$B$1008,$I915-8)))</x:f>
      </x:c>
      <x:c r="C915" s="51" t="str">
        <x:f>IF(907&gt;$H$4,"",IF(INDEX('Fleet dates'!$C$9:$C$1008,$I915-8)="","",INDEX('Fleet dates'!$C$9:$C$1008,$I915-8)))</x:f>
      </x:c>
      <x:c r="D915" s="51" t="str">
        <x:f>IF(907&gt;$H$4,"",IF(INDEX('Fleet dates'!$D$9:$D$1008,$I915-8)="","",INDEX('Fleet dates'!$D$9:$D$1008,$I915-8)))</x:f>
      </x:c>
      <x:c r="E915" s="51" t="str">
        <x:f>IF(907&gt;$H$4,"",IF(INDEX('Fleet dates'!$E$9:$E$1008,$I915-8)="","",INDEX('Fleet dates'!$E$9:$E$1008,$I915-8)))</x:f>
      </x:c>
      <x:c r="F915" s="51" t="str">
        <x:f>IF(907&gt;$H$4,"",IF(INDEX('Fleet dates'!$F$9:$F$1008,$I915-8)="","",INDEX('Fleet dates'!$F$9:$F$1008,$I915-8)))</x:f>
      </x:c>
      <x:c r="G915" s="50" t="str">
        <x:f>IF(907&gt;$H$4,"",IF(INDEX('Fleet dates'!$G$9:$G$1008,$I915-8)="","",INDEX('Fleet dates'!$G$9:$G$1008,$I915-8)))</x:f>
      </x:c>
      <x:c r="H915" s="50" t="str">
        <x:f>IF(907&gt;$H$4,"",IF(INDEX('Fleet dates'!$I$9:$I$1008,$I915-8)="","",INDEX('Fleet dates'!$I$9:$I$1008,$I915-8)))</x:f>
      </x:c>
      <x:c r="I915" t="str">
        <x:f>IF(907&gt;$H$4,"",MATCH(907,'Fleet dates'!$M$9:$M$1008,0)+8)</x:f>
      </x:c>
    </x:row>
    <x:row r="916" ht="36" customHeight="1">
      <x:c r="A916" s="50" t="str">
        <x:f>IF(908&gt;$H$4,"",IF(INDEX('Fleet dates'!$A$9:$A$1008,$I916-8)="","",INDEX('Fleet dates'!$A$9:$A$1008,$I916-8)))</x:f>
      </x:c>
      <x:c r="B916" s="50" t="str">
        <x:f>IF(908&gt;$H$4,"",IF(INDEX('Fleet dates'!$B$9:$B$1008,$I916-8)="","",INDEX('Fleet dates'!$B$9:$B$1008,$I916-8)))</x:f>
      </x:c>
      <x:c r="C916" s="51" t="str">
        <x:f>IF(908&gt;$H$4,"",IF(INDEX('Fleet dates'!$C$9:$C$1008,$I916-8)="","",INDEX('Fleet dates'!$C$9:$C$1008,$I916-8)))</x:f>
      </x:c>
      <x:c r="D916" s="51" t="str">
        <x:f>IF(908&gt;$H$4,"",IF(INDEX('Fleet dates'!$D$9:$D$1008,$I916-8)="","",INDEX('Fleet dates'!$D$9:$D$1008,$I916-8)))</x:f>
      </x:c>
      <x:c r="E916" s="51" t="str">
        <x:f>IF(908&gt;$H$4,"",IF(INDEX('Fleet dates'!$E$9:$E$1008,$I916-8)="","",INDEX('Fleet dates'!$E$9:$E$1008,$I916-8)))</x:f>
      </x:c>
      <x:c r="F916" s="51" t="str">
        <x:f>IF(908&gt;$H$4,"",IF(INDEX('Fleet dates'!$F$9:$F$1008,$I916-8)="","",INDEX('Fleet dates'!$F$9:$F$1008,$I916-8)))</x:f>
      </x:c>
      <x:c r="G916" s="50" t="str">
        <x:f>IF(908&gt;$H$4,"",IF(INDEX('Fleet dates'!$G$9:$G$1008,$I916-8)="","",INDEX('Fleet dates'!$G$9:$G$1008,$I916-8)))</x:f>
      </x:c>
      <x:c r="H916" s="50" t="str">
        <x:f>IF(908&gt;$H$4,"",IF(INDEX('Fleet dates'!$I$9:$I$1008,$I916-8)="","",INDEX('Fleet dates'!$I$9:$I$1008,$I916-8)))</x:f>
      </x:c>
      <x:c r="I916" t="str">
        <x:f>IF(908&gt;$H$4,"",MATCH(908,'Fleet dates'!$M$9:$M$1008,0)+8)</x:f>
      </x:c>
    </x:row>
    <x:row r="917" ht="36" customHeight="1">
      <x:c r="A917" s="50" t="str">
        <x:f>IF(909&gt;$H$4,"",IF(INDEX('Fleet dates'!$A$9:$A$1008,$I917-8)="","",INDEX('Fleet dates'!$A$9:$A$1008,$I917-8)))</x:f>
      </x:c>
      <x:c r="B917" s="50" t="str">
        <x:f>IF(909&gt;$H$4,"",IF(INDEX('Fleet dates'!$B$9:$B$1008,$I917-8)="","",INDEX('Fleet dates'!$B$9:$B$1008,$I917-8)))</x:f>
      </x:c>
      <x:c r="C917" s="51" t="str">
        <x:f>IF(909&gt;$H$4,"",IF(INDEX('Fleet dates'!$C$9:$C$1008,$I917-8)="","",INDEX('Fleet dates'!$C$9:$C$1008,$I917-8)))</x:f>
      </x:c>
      <x:c r="D917" s="51" t="str">
        <x:f>IF(909&gt;$H$4,"",IF(INDEX('Fleet dates'!$D$9:$D$1008,$I917-8)="","",INDEX('Fleet dates'!$D$9:$D$1008,$I917-8)))</x:f>
      </x:c>
      <x:c r="E917" s="51" t="str">
        <x:f>IF(909&gt;$H$4,"",IF(INDEX('Fleet dates'!$E$9:$E$1008,$I917-8)="","",INDEX('Fleet dates'!$E$9:$E$1008,$I917-8)))</x:f>
      </x:c>
      <x:c r="F917" s="51" t="str">
        <x:f>IF(909&gt;$H$4,"",IF(INDEX('Fleet dates'!$F$9:$F$1008,$I917-8)="","",INDEX('Fleet dates'!$F$9:$F$1008,$I917-8)))</x:f>
      </x:c>
      <x:c r="G917" s="50" t="str">
        <x:f>IF(909&gt;$H$4,"",IF(INDEX('Fleet dates'!$G$9:$G$1008,$I917-8)="","",INDEX('Fleet dates'!$G$9:$G$1008,$I917-8)))</x:f>
      </x:c>
      <x:c r="H917" s="50" t="str">
        <x:f>IF(909&gt;$H$4,"",IF(INDEX('Fleet dates'!$I$9:$I$1008,$I917-8)="","",INDEX('Fleet dates'!$I$9:$I$1008,$I917-8)))</x:f>
      </x:c>
      <x:c r="I917" t="str">
        <x:f>IF(909&gt;$H$4,"",MATCH(909,'Fleet dates'!$M$9:$M$1008,0)+8)</x:f>
      </x:c>
    </x:row>
    <x:row r="918" ht="36" customHeight="1">
      <x:c r="A918" s="50" t="str">
        <x:f>IF(910&gt;$H$4,"",IF(INDEX('Fleet dates'!$A$9:$A$1008,$I918-8)="","",INDEX('Fleet dates'!$A$9:$A$1008,$I918-8)))</x:f>
      </x:c>
      <x:c r="B918" s="50" t="str">
        <x:f>IF(910&gt;$H$4,"",IF(INDEX('Fleet dates'!$B$9:$B$1008,$I918-8)="","",INDEX('Fleet dates'!$B$9:$B$1008,$I918-8)))</x:f>
      </x:c>
      <x:c r="C918" s="51" t="str">
        <x:f>IF(910&gt;$H$4,"",IF(INDEX('Fleet dates'!$C$9:$C$1008,$I918-8)="","",INDEX('Fleet dates'!$C$9:$C$1008,$I918-8)))</x:f>
      </x:c>
      <x:c r="D918" s="51" t="str">
        <x:f>IF(910&gt;$H$4,"",IF(INDEX('Fleet dates'!$D$9:$D$1008,$I918-8)="","",INDEX('Fleet dates'!$D$9:$D$1008,$I918-8)))</x:f>
      </x:c>
      <x:c r="E918" s="51" t="str">
        <x:f>IF(910&gt;$H$4,"",IF(INDEX('Fleet dates'!$E$9:$E$1008,$I918-8)="","",INDEX('Fleet dates'!$E$9:$E$1008,$I918-8)))</x:f>
      </x:c>
      <x:c r="F918" s="51" t="str">
        <x:f>IF(910&gt;$H$4,"",IF(INDEX('Fleet dates'!$F$9:$F$1008,$I918-8)="","",INDEX('Fleet dates'!$F$9:$F$1008,$I918-8)))</x:f>
      </x:c>
      <x:c r="G918" s="50" t="str">
        <x:f>IF(910&gt;$H$4,"",IF(INDEX('Fleet dates'!$G$9:$G$1008,$I918-8)="","",INDEX('Fleet dates'!$G$9:$G$1008,$I918-8)))</x:f>
      </x:c>
      <x:c r="H918" s="50" t="str">
        <x:f>IF(910&gt;$H$4,"",IF(INDEX('Fleet dates'!$I$9:$I$1008,$I918-8)="","",INDEX('Fleet dates'!$I$9:$I$1008,$I918-8)))</x:f>
      </x:c>
      <x:c r="I918" t="str">
        <x:f>IF(910&gt;$H$4,"",MATCH(910,'Fleet dates'!$M$9:$M$1008,0)+8)</x:f>
      </x:c>
    </x:row>
    <x:row r="919" ht="36" customHeight="1">
      <x:c r="A919" s="50" t="str">
        <x:f>IF(911&gt;$H$4,"",IF(INDEX('Fleet dates'!$A$9:$A$1008,$I919-8)="","",INDEX('Fleet dates'!$A$9:$A$1008,$I919-8)))</x:f>
      </x:c>
      <x:c r="B919" s="50" t="str">
        <x:f>IF(911&gt;$H$4,"",IF(INDEX('Fleet dates'!$B$9:$B$1008,$I919-8)="","",INDEX('Fleet dates'!$B$9:$B$1008,$I919-8)))</x:f>
      </x:c>
      <x:c r="C919" s="51" t="str">
        <x:f>IF(911&gt;$H$4,"",IF(INDEX('Fleet dates'!$C$9:$C$1008,$I919-8)="","",INDEX('Fleet dates'!$C$9:$C$1008,$I919-8)))</x:f>
      </x:c>
      <x:c r="D919" s="51" t="str">
        <x:f>IF(911&gt;$H$4,"",IF(INDEX('Fleet dates'!$D$9:$D$1008,$I919-8)="","",INDEX('Fleet dates'!$D$9:$D$1008,$I919-8)))</x:f>
      </x:c>
      <x:c r="E919" s="51" t="str">
        <x:f>IF(911&gt;$H$4,"",IF(INDEX('Fleet dates'!$E$9:$E$1008,$I919-8)="","",INDEX('Fleet dates'!$E$9:$E$1008,$I919-8)))</x:f>
      </x:c>
      <x:c r="F919" s="51" t="str">
        <x:f>IF(911&gt;$H$4,"",IF(INDEX('Fleet dates'!$F$9:$F$1008,$I919-8)="","",INDEX('Fleet dates'!$F$9:$F$1008,$I919-8)))</x:f>
      </x:c>
      <x:c r="G919" s="50" t="str">
        <x:f>IF(911&gt;$H$4,"",IF(INDEX('Fleet dates'!$G$9:$G$1008,$I919-8)="","",INDEX('Fleet dates'!$G$9:$G$1008,$I919-8)))</x:f>
      </x:c>
      <x:c r="H919" s="50" t="str">
        <x:f>IF(911&gt;$H$4,"",IF(INDEX('Fleet dates'!$I$9:$I$1008,$I919-8)="","",INDEX('Fleet dates'!$I$9:$I$1008,$I919-8)))</x:f>
      </x:c>
      <x:c r="I919" t="str">
        <x:f>IF(911&gt;$H$4,"",MATCH(911,'Fleet dates'!$M$9:$M$1008,0)+8)</x:f>
      </x:c>
    </x:row>
    <x:row r="920" ht="36" customHeight="1">
      <x:c r="A920" s="50" t="str">
        <x:f>IF(912&gt;$H$4,"",IF(INDEX('Fleet dates'!$A$9:$A$1008,$I920-8)="","",INDEX('Fleet dates'!$A$9:$A$1008,$I920-8)))</x:f>
      </x:c>
      <x:c r="B920" s="50" t="str">
        <x:f>IF(912&gt;$H$4,"",IF(INDEX('Fleet dates'!$B$9:$B$1008,$I920-8)="","",INDEX('Fleet dates'!$B$9:$B$1008,$I920-8)))</x:f>
      </x:c>
      <x:c r="C920" s="51" t="str">
        <x:f>IF(912&gt;$H$4,"",IF(INDEX('Fleet dates'!$C$9:$C$1008,$I920-8)="","",INDEX('Fleet dates'!$C$9:$C$1008,$I920-8)))</x:f>
      </x:c>
      <x:c r="D920" s="51" t="str">
        <x:f>IF(912&gt;$H$4,"",IF(INDEX('Fleet dates'!$D$9:$D$1008,$I920-8)="","",INDEX('Fleet dates'!$D$9:$D$1008,$I920-8)))</x:f>
      </x:c>
      <x:c r="E920" s="51" t="str">
        <x:f>IF(912&gt;$H$4,"",IF(INDEX('Fleet dates'!$E$9:$E$1008,$I920-8)="","",INDEX('Fleet dates'!$E$9:$E$1008,$I920-8)))</x:f>
      </x:c>
      <x:c r="F920" s="51" t="str">
        <x:f>IF(912&gt;$H$4,"",IF(INDEX('Fleet dates'!$F$9:$F$1008,$I920-8)="","",INDEX('Fleet dates'!$F$9:$F$1008,$I920-8)))</x:f>
      </x:c>
      <x:c r="G920" s="50" t="str">
        <x:f>IF(912&gt;$H$4,"",IF(INDEX('Fleet dates'!$G$9:$G$1008,$I920-8)="","",INDEX('Fleet dates'!$G$9:$G$1008,$I920-8)))</x:f>
      </x:c>
      <x:c r="H920" s="50" t="str">
        <x:f>IF(912&gt;$H$4,"",IF(INDEX('Fleet dates'!$I$9:$I$1008,$I920-8)="","",INDEX('Fleet dates'!$I$9:$I$1008,$I920-8)))</x:f>
      </x:c>
      <x:c r="I920" t="str">
        <x:f>IF(912&gt;$H$4,"",MATCH(912,'Fleet dates'!$M$9:$M$1008,0)+8)</x:f>
      </x:c>
    </x:row>
    <x:row r="921" ht="36" customHeight="1">
      <x:c r="A921" s="50" t="str">
        <x:f>IF(913&gt;$H$4,"",IF(INDEX('Fleet dates'!$A$9:$A$1008,$I921-8)="","",INDEX('Fleet dates'!$A$9:$A$1008,$I921-8)))</x:f>
      </x:c>
      <x:c r="B921" s="50" t="str">
        <x:f>IF(913&gt;$H$4,"",IF(INDEX('Fleet dates'!$B$9:$B$1008,$I921-8)="","",INDEX('Fleet dates'!$B$9:$B$1008,$I921-8)))</x:f>
      </x:c>
      <x:c r="C921" s="51" t="str">
        <x:f>IF(913&gt;$H$4,"",IF(INDEX('Fleet dates'!$C$9:$C$1008,$I921-8)="","",INDEX('Fleet dates'!$C$9:$C$1008,$I921-8)))</x:f>
      </x:c>
      <x:c r="D921" s="51" t="str">
        <x:f>IF(913&gt;$H$4,"",IF(INDEX('Fleet dates'!$D$9:$D$1008,$I921-8)="","",INDEX('Fleet dates'!$D$9:$D$1008,$I921-8)))</x:f>
      </x:c>
      <x:c r="E921" s="51" t="str">
        <x:f>IF(913&gt;$H$4,"",IF(INDEX('Fleet dates'!$E$9:$E$1008,$I921-8)="","",INDEX('Fleet dates'!$E$9:$E$1008,$I921-8)))</x:f>
      </x:c>
      <x:c r="F921" s="51" t="str">
        <x:f>IF(913&gt;$H$4,"",IF(INDEX('Fleet dates'!$F$9:$F$1008,$I921-8)="","",INDEX('Fleet dates'!$F$9:$F$1008,$I921-8)))</x:f>
      </x:c>
      <x:c r="G921" s="50" t="str">
        <x:f>IF(913&gt;$H$4,"",IF(INDEX('Fleet dates'!$G$9:$G$1008,$I921-8)="","",INDEX('Fleet dates'!$G$9:$G$1008,$I921-8)))</x:f>
      </x:c>
      <x:c r="H921" s="50" t="str">
        <x:f>IF(913&gt;$H$4,"",IF(INDEX('Fleet dates'!$I$9:$I$1008,$I921-8)="","",INDEX('Fleet dates'!$I$9:$I$1008,$I921-8)))</x:f>
      </x:c>
      <x:c r="I921" t="str">
        <x:f>IF(913&gt;$H$4,"",MATCH(913,'Fleet dates'!$M$9:$M$1008,0)+8)</x:f>
      </x:c>
    </x:row>
    <x:row r="922" ht="36" customHeight="1">
      <x:c r="A922" s="50" t="str">
        <x:f>IF(914&gt;$H$4,"",IF(INDEX('Fleet dates'!$A$9:$A$1008,$I922-8)="","",INDEX('Fleet dates'!$A$9:$A$1008,$I922-8)))</x:f>
      </x:c>
      <x:c r="B922" s="50" t="str">
        <x:f>IF(914&gt;$H$4,"",IF(INDEX('Fleet dates'!$B$9:$B$1008,$I922-8)="","",INDEX('Fleet dates'!$B$9:$B$1008,$I922-8)))</x:f>
      </x:c>
      <x:c r="C922" s="51" t="str">
        <x:f>IF(914&gt;$H$4,"",IF(INDEX('Fleet dates'!$C$9:$C$1008,$I922-8)="","",INDEX('Fleet dates'!$C$9:$C$1008,$I922-8)))</x:f>
      </x:c>
      <x:c r="D922" s="51" t="str">
        <x:f>IF(914&gt;$H$4,"",IF(INDEX('Fleet dates'!$D$9:$D$1008,$I922-8)="","",INDEX('Fleet dates'!$D$9:$D$1008,$I922-8)))</x:f>
      </x:c>
      <x:c r="E922" s="51" t="str">
        <x:f>IF(914&gt;$H$4,"",IF(INDEX('Fleet dates'!$E$9:$E$1008,$I922-8)="","",INDEX('Fleet dates'!$E$9:$E$1008,$I922-8)))</x:f>
      </x:c>
      <x:c r="F922" s="51" t="str">
        <x:f>IF(914&gt;$H$4,"",IF(INDEX('Fleet dates'!$F$9:$F$1008,$I922-8)="","",INDEX('Fleet dates'!$F$9:$F$1008,$I922-8)))</x:f>
      </x:c>
      <x:c r="G922" s="50" t="str">
        <x:f>IF(914&gt;$H$4,"",IF(INDEX('Fleet dates'!$G$9:$G$1008,$I922-8)="","",INDEX('Fleet dates'!$G$9:$G$1008,$I922-8)))</x:f>
      </x:c>
      <x:c r="H922" s="50" t="str">
        <x:f>IF(914&gt;$H$4,"",IF(INDEX('Fleet dates'!$I$9:$I$1008,$I922-8)="","",INDEX('Fleet dates'!$I$9:$I$1008,$I922-8)))</x:f>
      </x:c>
      <x:c r="I922" t="str">
        <x:f>IF(914&gt;$H$4,"",MATCH(914,'Fleet dates'!$M$9:$M$1008,0)+8)</x:f>
      </x:c>
    </x:row>
    <x:row r="923" ht="36" customHeight="1">
      <x:c r="A923" s="50" t="str">
        <x:f>IF(915&gt;$H$4,"",IF(INDEX('Fleet dates'!$A$9:$A$1008,$I923-8)="","",INDEX('Fleet dates'!$A$9:$A$1008,$I923-8)))</x:f>
      </x:c>
      <x:c r="B923" s="50" t="str">
        <x:f>IF(915&gt;$H$4,"",IF(INDEX('Fleet dates'!$B$9:$B$1008,$I923-8)="","",INDEX('Fleet dates'!$B$9:$B$1008,$I923-8)))</x:f>
      </x:c>
      <x:c r="C923" s="51" t="str">
        <x:f>IF(915&gt;$H$4,"",IF(INDEX('Fleet dates'!$C$9:$C$1008,$I923-8)="","",INDEX('Fleet dates'!$C$9:$C$1008,$I923-8)))</x:f>
      </x:c>
      <x:c r="D923" s="51" t="str">
        <x:f>IF(915&gt;$H$4,"",IF(INDEX('Fleet dates'!$D$9:$D$1008,$I923-8)="","",INDEX('Fleet dates'!$D$9:$D$1008,$I923-8)))</x:f>
      </x:c>
      <x:c r="E923" s="51" t="str">
        <x:f>IF(915&gt;$H$4,"",IF(INDEX('Fleet dates'!$E$9:$E$1008,$I923-8)="","",INDEX('Fleet dates'!$E$9:$E$1008,$I923-8)))</x:f>
      </x:c>
      <x:c r="F923" s="51" t="str">
        <x:f>IF(915&gt;$H$4,"",IF(INDEX('Fleet dates'!$F$9:$F$1008,$I923-8)="","",INDEX('Fleet dates'!$F$9:$F$1008,$I923-8)))</x:f>
      </x:c>
      <x:c r="G923" s="50" t="str">
        <x:f>IF(915&gt;$H$4,"",IF(INDEX('Fleet dates'!$G$9:$G$1008,$I923-8)="","",INDEX('Fleet dates'!$G$9:$G$1008,$I923-8)))</x:f>
      </x:c>
      <x:c r="H923" s="50" t="str">
        <x:f>IF(915&gt;$H$4,"",IF(INDEX('Fleet dates'!$I$9:$I$1008,$I923-8)="","",INDEX('Fleet dates'!$I$9:$I$1008,$I923-8)))</x:f>
      </x:c>
      <x:c r="I923" t="str">
        <x:f>IF(915&gt;$H$4,"",MATCH(915,'Fleet dates'!$M$9:$M$1008,0)+8)</x:f>
      </x:c>
    </x:row>
    <x:row r="924" ht="36" customHeight="1">
      <x:c r="A924" s="50" t="str">
        <x:f>IF(916&gt;$H$4,"",IF(INDEX('Fleet dates'!$A$9:$A$1008,$I924-8)="","",INDEX('Fleet dates'!$A$9:$A$1008,$I924-8)))</x:f>
      </x:c>
      <x:c r="B924" s="50" t="str">
        <x:f>IF(916&gt;$H$4,"",IF(INDEX('Fleet dates'!$B$9:$B$1008,$I924-8)="","",INDEX('Fleet dates'!$B$9:$B$1008,$I924-8)))</x:f>
      </x:c>
      <x:c r="C924" s="51" t="str">
        <x:f>IF(916&gt;$H$4,"",IF(INDEX('Fleet dates'!$C$9:$C$1008,$I924-8)="","",INDEX('Fleet dates'!$C$9:$C$1008,$I924-8)))</x:f>
      </x:c>
      <x:c r="D924" s="51" t="str">
        <x:f>IF(916&gt;$H$4,"",IF(INDEX('Fleet dates'!$D$9:$D$1008,$I924-8)="","",INDEX('Fleet dates'!$D$9:$D$1008,$I924-8)))</x:f>
      </x:c>
      <x:c r="E924" s="51" t="str">
        <x:f>IF(916&gt;$H$4,"",IF(INDEX('Fleet dates'!$E$9:$E$1008,$I924-8)="","",INDEX('Fleet dates'!$E$9:$E$1008,$I924-8)))</x:f>
      </x:c>
      <x:c r="F924" s="51" t="str">
        <x:f>IF(916&gt;$H$4,"",IF(INDEX('Fleet dates'!$F$9:$F$1008,$I924-8)="","",INDEX('Fleet dates'!$F$9:$F$1008,$I924-8)))</x:f>
      </x:c>
      <x:c r="G924" s="50" t="str">
        <x:f>IF(916&gt;$H$4,"",IF(INDEX('Fleet dates'!$G$9:$G$1008,$I924-8)="","",INDEX('Fleet dates'!$G$9:$G$1008,$I924-8)))</x:f>
      </x:c>
      <x:c r="H924" s="50" t="str">
        <x:f>IF(916&gt;$H$4,"",IF(INDEX('Fleet dates'!$I$9:$I$1008,$I924-8)="","",INDEX('Fleet dates'!$I$9:$I$1008,$I924-8)))</x:f>
      </x:c>
      <x:c r="I924" t="str">
        <x:f>IF(916&gt;$H$4,"",MATCH(916,'Fleet dates'!$M$9:$M$1008,0)+8)</x:f>
      </x:c>
    </x:row>
    <x:row r="925" ht="36" customHeight="1">
      <x:c r="A925" s="50" t="str">
        <x:f>IF(917&gt;$H$4,"",IF(INDEX('Fleet dates'!$A$9:$A$1008,$I925-8)="","",INDEX('Fleet dates'!$A$9:$A$1008,$I925-8)))</x:f>
      </x:c>
      <x:c r="B925" s="50" t="str">
        <x:f>IF(917&gt;$H$4,"",IF(INDEX('Fleet dates'!$B$9:$B$1008,$I925-8)="","",INDEX('Fleet dates'!$B$9:$B$1008,$I925-8)))</x:f>
      </x:c>
      <x:c r="C925" s="51" t="str">
        <x:f>IF(917&gt;$H$4,"",IF(INDEX('Fleet dates'!$C$9:$C$1008,$I925-8)="","",INDEX('Fleet dates'!$C$9:$C$1008,$I925-8)))</x:f>
      </x:c>
      <x:c r="D925" s="51" t="str">
        <x:f>IF(917&gt;$H$4,"",IF(INDEX('Fleet dates'!$D$9:$D$1008,$I925-8)="","",INDEX('Fleet dates'!$D$9:$D$1008,$I925-8)))</x:f>
      </x:c>
      <x:c r="E925" s="51" t="str">
        <x:f>IF(917&gt;$H$4,"",IF(INDEX('Fleet dates'!$E$9:$E$1008,$I925-8)="","",INDEX('Fleet dates'!$E$9:$E$1008,$I925-8)))</x:f>
      </x:c>
      <x:c r="F925" s="51" t="str">
        <x:f>IF(917&gt;$H$4,"",IF(INDEX('Fleet dates'!$F$9:$F$1008,$I925-8)="","",INDEX('Fleet dates'!$F$9:$F$1008,$I925-8)))</x:f>
      </x:c>
      <x:c r="G925" s="50" t="str">
        <x:f>IF(917&gt;$H$4,"",IF(INDEX('Fleet dates'!$G$9:$G$1008,$I925-8)="","",INDEX('Fleet dates'!$G$9:$G$1008,$I925-8)))</x:f>
      </x:c>
      <x:c r="H925" s="50" t="str">
        <x:f>IF(917&gt;$H$4,"",IF(INDEX('Fleet dates'!$I$9:$I$1008,$I925-8)="","",INDEX('Fleet dates'!$I$9:$I$1008,$I925-8)))</x:f>
      </x:c>
      <x:c r="I925" t="str">
        <x:f>IF(917&gt;$H$4,"",MATCH(917,'Fleet dates'!$M$9:$M$1008,0)+8)</x:f>
      </x:c>
    </x:row>
    <x:row r="926" ht="36" customHeight="1">
      <x:c r="A926" s="50" t="str">
        <x:f>IF(918&gt;$H$4,"",IF(INDEX('Fleet dates'!$A$9:$A$1008,$I926-8)="","",INDEX('Fleet dates'!$A$9:$A$1008,$I926-8)))</x:f>
      </x:c>
      <x:c r="B926" s="50" t="str">
        <x:f>IF(918&gt;$H$4,"",IF(INDEX('Fleet dates'!$B$9:$B$1008,$I926-8)="","",INDEX('Fleet dates'!$B$9:$B$1008,$I926-8)))</x:f>
      </x:c>
      <x:c r="C926" s="51" t="str">
        <x:f>IF(918&gt;$H$4,"",IF(INDEX('Fleet dates'!$C$9:$C$1008,$I926-8)="","",INDEX('Fleet dates'!$C$9:$C$1008,$I926-8)))</x:f>
      </x:c>
      <x:c r="D926" s="51" t="str">
        <x:f>IF(918&gt;$H$4,"",IF(INDEX('Fleet dates'!$D$9:$D$1008,$I926-8)="","",INDEX('Fleet dates'!$D$9:$D$1008,$I926-8)))</x:f>
      </x:c>
      <x:c r="E926" s="51" t="str">
        <x:f>IF(918&gt;$H$4,"",IF(INDEX('Fleet dates'!$E$9:$E$1008,$I926-8)="","",INDEX('Fleet dates'!$E$9:$E$1008,$I926-8)))</x:f>
      </x:c>
      <x:c r="F926" s="51" t="str">
        <x:f>IF(918&gt;$H$4,"",IF(INDEX('Fleet dates'!$F$9:$F$1008,$I926-8)="","",INDEX('Fleet dates'!$F$9:$F$1008,$I926-8)))</x:f>
      </x:c>
      <x:c r="G926" s="50" t="str">
        <x:f>IF(918&gt;$H$4,"",IF(INDEX('Fleet dates'!$G$9:$G$1008,$I926-8)="","",INDEX('Fleet dates'!$G$9:$G$1008,$I926-8)))</x:f>
      </x:c>
      <x:c r="H926" s="50" t="str">
        <x:f>IF(918&gt;$H$4,"",IF(INDEX('Fleet dates'!$I$9:$I$1008,$I926-8)="","",INDEX('Fleet dates'!$I$9:$I$1008,$I926-8)))</x:f>
      </x:c>
      <x:c r="I926" t="str">
        <x:f>IF(918&gt;$H$4,"",MATCH(918,'Fleet dates'!$M$9:$M$1008,0)+8)</x:f>
      </x:c>
    </x:row>
    <x:row r="927" ht="36" customHeight="1">
      <x:c r="A927" s="50" t="str">
        <x:f>IF(919&gt;$H$4,"",IF(INDEX('Fleet dates'!$A$9:$A$1008,$I927-8)="","",INDEX('Fleet dates'!$A$9:$A$1008,$I927-8)))</x:f>
      </x:c>
      <x:c r="B927" s="50" t="str">
        <x:f>IF(919&gt;$H$4,"",IF(INDEX('Fleet dates'!$B$9:$B$1008,$I927-8)="","",INDEX('Fleet dates'!$B$9:$B$1008,$I927-8)))</x:f>
      </x:c>
      <x:c r="C927" s="51" t="str">
        <x:f>IF(919&gt;$H$4,"",IF(INDEX('Fleet dates'!$C$9:$C$1008,$I927-8)="","",INDEX('Fleet dates'!$C$9:$C$1008,$I927-8)))</x:f>
      </x:c>
      <x:c r="D927" s="51" t="str">
        <x:f>IF(919&gt;$H$4,"",IF(INDEX('Fleet dates'!$D$9:$D$1008,$I927-8)="","",INDEX('Fleet dates'!$D$9:$D$1008,$I927-8)))</x:f>
      </x:c>
      <x:c r="E927" s="51" t="str">
        <x:f>IF(919&gt;$H$4,"",IF(INDEX('Fleet dates'!$E$9:$E$1008,$I927-8)="","",INDEX('Fleet dates'!$E$9:$E$1008,$I927-8)))</x:f>
      </x:c>
      <x:c r="F927" s="51" t="str">
        <x:f>IF(919&gt;$H$4,"",IF(INDEX('Fleet dates'!$F$9:$F$1008,$I927-8)="","",INDEX('Fleet dates'!$F$9:$F$1008,$I927-8)))</x:f>
      </x:c>
      <x:c r="G927" s="50" t="str">
        <x:f>IF(919&gt;$H$4,"",IF(INDEX('Fleet dates'!$G$9:$G$1008,$I927-8)="","",INDEX('Fleet dates'!$G$9:$G$1008,$I927-8)))</x:f>
      </x:c>
      <x:c r="H927" s="50" t="str">
        <x:f>IF(919&gt;$H$4,"",IF(INDEX('Fleet dates'!$I$9:$I$1008,$I927-8)="","",INDEX('Fleet dates'!$I$9:$I$1008,$I927-8)))</x:f>
      </x:c>
      <x:c r="I927" t="str">
        <x:f>IF(919&gt;$H$4,"",MATCH(919,'Fleet dates'!$M$9:$M$1008,0)+8)</x:f>
      </x:c>
    </x:row>
    <x:row r="928" ht="36" customHeight="1">
      <x:c r="A928" s="50" t="str">
        <x:f>IF(920&gt;$H$4,"",IF(INDEX('Fleet dates'!$A$9:$A$1008,$I928-8)="","",INDEX('Fleet dates'!$A$9:$A$1008,$I928-8)))</x:f>
      </x:c>
      <x:c r="B928" s="50" t="str">
        <x:f>IF(920&gt;$H$4,"",IF(INDEX('Fleet dates'!$B$9:$B$1008,$I928-8)="","",INDEX('Fleet dates'!$B$9:$B$1008,$I928-8)))</x:f>
      </x:c>
      <x:c r="C928" s="51" t="str">
        <x:f>IF(920&gt;$H$4,"",IF(INDEX('Fleet dates'!$C$9:$C$1008,$I928-8)="","",INDEX('Fleet dates'!$C$9:$C$1008,$I928-8)))</x:f>
      </x:c>
      <x:c r="D928" s="51" t="str">
        <x:f>IF(920&gt;$H$4,"",IF(INDEX('Fleet dates'!$D$9:$D$1008,$I928-8)="","",INDEX('Fleet dates'!$D$9:$D$1008,$I928-8)))</x:f>
      </x:c>
      <x:c r="E928" s="51" t="str">
        <x:f>IF(920&gt;$H$4,"",IF(INDEX('Fleet dates'!$E$9:$E$1008,$I928-8)="","",INDEX('Fleet dates'!$E$9:$E$1008,$I928-8)))</x:f>
      </x:c>
      <x:c r="F928" s="51" t="str">
        <x:f>IF(920&gt;$H$4,"",IF(INDEX('Fleet dates'!$F$9:$F$1008,$I928-8)="","",INDEX('Fleet dates'!$F$9:$F$1008,$I928-8)))</x:f>
      </x:c>
      <x:c r="G928" s="50" t="str">
        <x:f>IF(920&gt;$H$4,"",IF(INDEX('Fleet dates'!$G$9:$G$1008,$I928-8)="","",INDEX('Fleet dates'!$G$9:$G$1008,$I928-8)))</x:f>
      </x:c>
      <x:c r="H928" s="50" t="str">
        <x:f>IF(920&gt;$H$4,"",IF(INDEX('Fleet dates'!$I$9:$I$1008,$I928-8)="","",INDEX('Fleet dates'!$I$9:$I$1008,$I928-8)))</x:f>
      </x:c>
      <x:c r="I928" t="str">
        <x:f>IF(920&gt;$H$4,"",MATCH(920,'Fleet dates'!$M$9:$M$1008,0)+8)</x:f>
      </x:c>
    </x:row>
    <x:row r="929" ht="36" customHeight="1">
      <x:c r="A929" s="50" t="str">
        <x:f>IF(921&gt;$H$4,"",IF(INDEX('Fleet dates'!$A$9:$A$1008,$I929-8)="","",INDEX('Fleet dates'!$A$9:$A$1008,$I929-8)))</x:f>
      </x:c>
      <x:c r="B929" s="50" t="str">
        <x:f>IF(921&gt;$H$4,"",IF(INDEX('Fleet dates'!$B$9:$B$1008,$I929-8)="","",INDEX('Fleet dates'!$B$9:$B$1008,$I929-8)))</x:f>
      </x:c>
      <x:c r="C929" s="51" t="str">
        <x:f>IF(921&gt;$H$4,"",IF(INDEX('Fleet dates'!$C$9:$C$1008,$I929-8)="","",INDEX('Fleet dates'!$C$9:$C$1008,$I929-8)))</x:f>
      </x:c>
      <x:c r="D929" s="51" t="str">
        <x:f>IF(921&gt;$H$4,"",IF(INDEX('Fleet dates'!$D$9:$D$1008,$I929-8)="","",INDEX('Fleet dates'!$D$9:$D$1008,$I929-8)))</x:f>
      </x:c>
      <x:c r="E929" s="51" t="str">
        <x:f>IF(921&gt;$H$4,"",IF(INDEX('Fleet dates'!$E$9:$E$1008,$I929-8)="","",INDEX('Fleet dates'!$E$9:$E$1008,$I929-8)))</x:f>
      </x:c>
      <x:c r="F929" s="51" t="str">
        <x:f>IF(921&gt;$H$4,"",IF(INDEX('Fleet dates'!$F$9:$F$1008,$I929-8)="","",INDEX('Fleet dates'!$F$9:$F$1008,$I929-8)))</x:f>
      </x:c>
      <x:c r="G929" s="50" t="str">
        <x:f>IF(921&gt;$H$4,"",IF(INDEX('Fleet dates'!$G$9:$G$1008,$I929-8)="","",INDEX('Fleet dates'!$G$9:$G$1008,$I929-8)))</x:f>
      </x:c>
      <x:c r="H929" s="50" t="str">
        <x:f>IF(921&gt;$H$4,"",IF(INDEX('Fleet dates'!$I$9:$I$1008,$I929-8)="","",INDEX('Fleet dates'!$I$9:$I$1008,$I929-8)))</x:f>
      </x:c>
      <x:c r="I929" t="str">
        <x:f>IF(921&gt;$H$4,"",MATCH(921,'Fleet dates'!$M$9:$M$1008,0)+8)</x:f>
      </x:c>
    </x:row>
    <x:row r="930" ht="36" customHeight="1">
      <x:c r="A930" s="50" t="str">
        <x:f>IF(922&gt;$H$4,"",IF(INDEX('Fleet dates'!$A$9:$A$1008,$I930-8)="","",INDEX('Fleet dates'!$A$9:$A$1008,$I930-8)))</x:f>
      </x:c>
      <x:c r="B930" s="50" t="str">
        <x:f>IF(922&gt;$H$4,"",IF(INDEX('Fleet dates'!$B$9:$B$1008,$I930-8)="","",INDEX('Fleet dates'!$B$9:$B$1008,$I930-8)))</x:f>
      </x:c>
      <x:c r="C930" s="51" t="str">
        <x:f>IF(922&gt;$H$4,"",IF(INDEX('Fleet dates'!$C$9:$C$1008,$I930-8)="","",INDEX('Fleet dates'!$C$9:$C$1008,$I930-8)))</x:f>
      </x:c>
      <x:c r="D930" s="51" t="str">
        <x:f>IF(922&gt;$H$4,"",IF(INDEX('Fleet dates'!$D$9:$D$1008,$I930-8)="","",INDEX('Fleet dates'!$D$9:$D$1008,$I930-8)))</x:f>
      </x:c>
      <x:c r="E930" s="51" t="str">
        <x:f>IF(922&gt;$H$4,"",IF(INDEX('Fleet dates'!$E$9:$E$1008,$I930-8)="","",INDEX('Fleet dates'!$E$9:$E$1008,$I930-8)))</x:f>
      </x:c>
      <x:c r="F930" s="51" t="str">
        <x:f>IF(922&gt;$H$4,"",IF(INDEX('Fleet dates'!$F$9:$F$1008,$I930-8)="","",INDEX('Fleet dates'!$F$9:$F$1008,$I930-8)))</x:f>
      </x:c>
      <x:c r="G930" s="50" t="str">
        <x:f>IF(922&gt;$H$4,"",IF(INDEX('Fleet dates'!$G$9:$G$1008,$I930-8)="","",INDEX('Fleet dates'!$G$9:$G$1008,$I930-8)))</x:f>
      </x:c>
      <x:c r="H930" s="50" t="str">
        <x:f>IF(922&gt;$H$4,"",IF(INDEX('Fleet dates'!$I$9:$I$1008,$I930-8)="","",INDEX('Fleet dates'!$I$9:$I$1008,$I930-8)))</x:f>
      </x:c>
      <x:c r="I930" t="str">
        <x:f>IF(922&gt;$H$4,"",MATCH(922,'Fleet dates'!$M$9:$M$1008,0)+8)</x:f>
      </x:c>
    </x:row>
    <x:row r="931" ht="36" customHeight="1">
      <x:c r="A931" s="50" t="str">
        <x:f>IF(923&gt;$H$4,"",IF(INDEX('Fleet dates'!$A$9:$A$1008,$I931-8)="","",INDEX('Fleet dates'!$A$9:$A$1008,$I931-8)))</x:f>
      </x:c>
      <x:c r="B931" s="50" t="str">
        <x:f>IF(923&gt;$H$4,"",IF(INDEX('Fleet dates'!$B$9:$B$1008,$I931-8)="","",INDEX('Fleet dates'!$B$9:$B$1008,$I931-8)))</x:f>
      </x:c>
      <x:c r="C931" s="51" t="str">
        <x:f>IF(923&gt;$H$4,"",IF(INDEX('Fleet dates'!$C$9:$C$1008,$I931-8)="","",INDEX('Fleet dates'!$C$9:$C$1008,$I931-8)))</x:f>
      </x:c>
      <x:c r="D931" s="51" t="str">
        <x:f>IF(923&gt;$H$4,"",IF(INDEX('Fleet dates'!$D$9:$D$1008,$I931-8)="","",INDEX('Fleet dates'!$D$9:$D$1008,$I931-8)))</x:f>
      </x:c>
      <x:c r="E931" s="51" t="str">
        <x:f>IF(923&gt;$H$4,"",IF(INDEX('Fleet dates'!$E$9:$E$1008,$I931-8)="","",INDEX('Fleet dates'!$E$9:$E$1008,$I931-8)))</x:f>
      </x:c>
      <x:c r="F931" s="51" t="str">
        <x:f>IF(923&gt;$H$4,"",IF(INDEX('Fleet dates'!$F$9:$F$1008,$I931-8)="","",INDEX('Fleet dates'!$F$9:$F$1008,$I931-8)))</x:f>
      </x:c>
      <x:c r="G931" s="50" t="str">
        <x:f>IF(923&gt;$H$4,"",IF(INDEX('Fleet dates'!$G$9:$G$1008,$I931-8)="","",INDEX('Fleet dates'!$G$9:$G$1008,$I931-8)))</x:f>
      </x:c>
      <x:c r="H931" s="50" t="str">
        <x:f>IF(923&gt;$H$4,"",IF(INDEX('Fleet dates'!$I$9:$I$1008,$I931-8)="","",INDEX('Fleet dates'!$I$9:$I$1008,$I931-8)))</x:f>
      </x:c>
      <x:c r="I931" t="str">
        <x:f>IF(923&gt;$H$4,"",MATCH(923,'Fleet dates'!$M$9:$M$1008,0)+8)</x:f>
      </x:c>
    </x:row>
    <x:row r="932" ht="36" customHeight="1">
      <x:c r="A932" s="50" t="str">
        <x:f>IF(924&gt;$H$4,"",IF(INDEX('Fleet dates'!$A$9:$A$1008,$I932-8)="","",INDEX('Fleet dates'!$A$9:$A$1008,$I932-8)))</x:f>
      </x:c>
      <x:c r="B932" s="50" t="str">
        <x:f>IF(924&gt;$H$4,"",IF(INDEX('Fleet dates'!$B$9:$B$1008,$I932-8)="","",INDEX('Fleet dates'!$B$9:$B$1008,$I932-8)))</x:f>
      </x:c>
      <x:c r="C932" s="51" t="str">
        <x:f>IF(924&gt;$H$4,"",IF(INDEX('Fleet dates'!$C$9:$C$1008,$I932-8)="","",INDEX('Fleet dates'!$C$9:$C$1008,$I932-8)))</x:f>
      </x:c>
      <x:c r="D932" s="51" t="str">
        <x:f>IF(924&gt;$H$4,"",IF(INDEX('Fleet dates'!$D$9:$D$1008,$I932-8)="","",INDEX('Fleet dates'!$D$9:$D$1008,$I932-8)))</x:f>
      </x:c>
      <x:c r="E932" s="51" t="str">
        <x:f>IF(924&gt;$H$4,"",IF(INDEX('Fleet dates'!$E$9:$E$1008,$I932-8)="","",INDEX('Fleet dates'!$E$9:$E$1008,$I932-8)))</x:f>
      </x:c>
      <x:c r="F932" s="51" t="str">
        <x:f>IF(924&gt;$H$4,"",IF(INDEX('Fleet dates'!$F$9:$F$1008,$I932-8)="","",INDEX('Fleet dates'!$F$9:$F$1008,$I932-8)))</x:f>
      </x:c>
      <x:c r="G932" s="50" t="str">
        <x:f>IF(924&gt;$H$4,"",IF(INDEX('Fleet dates'!$G$9:$G$1008,$I932-8)="","",INDEX('Fleet dates'!$G$9:$G$1008,$I932-8)))</x:f>
      </x:c>
      <x:c r="H932" s="50" t="str">
        <x:f>IF(924&gt;$H$4,"",IF(INDEX('Fleet dates'!$I$9:$I$1008,$I932-8)="","",INDEX('Fleet dates'!$I$9:$I$1008,$I932-8)))</x:f>
      </x:c>
      <x:c r="I932" t="str">
        <x:f>IF(924&gt;$H$4,"",MATCH(924,'Fleet dates'!$M$9:$M$1008,0)+8)</x:f>
      </x:c>
    </x:row>
    <x:row r="933" ht="36" customHeight="1">
      <x:c r="A933" s="50" t="str">
        <x:f>IF(925&gt;$H$4,"",IF(INDEX('Fleet dates'!$A$9:$A$1008,$I933-8)="","",INDEX('Fleet dates'!$A$9:$A$1008,$I933-8)))</x:f>
      </x:c>
      <x:c r="B933" s="50" t="str">
        <x:f>IF(925&gt;$H$4,"",IF(INDEX('Fleet dates'!$B$9:$B$1008,$I933-8)="","",INDEX('Fleet dates'!$B$9:$B$1008,$I933-8)))</x:f>
      </x:c>
      <x:c r="C933" s="51" t="str">
        <x:f>IF(925&gt;$H$4,"",IF(INDEX('Fleet dates'!$C$9:$C$1008,$I933-8)="","",INDEX('Fleet dates'!$C$9:$C$1008,$I933-8)))</x:f>
      </x:c>
      <x:c r="D933" s="51" t="str">
        <x:f>IF(925&gt;$H$4,"",IF(INDEX('Fleet dates'!$D$9:$D$1008,$I933-8)="","",INDEX('Fleet dates'!$D$9:$D$1008,$I933-8)))</x:f>
      </x:c>
      <x:c r="E933" s="51" t="str">
        <x:f>IF(925&gt;$H$4,"",IF(INDEX('Fleet dates'!$E$9:$E$1008,$I933-8)="","",INDEX('Fleet dates'!$E$9:$E$1008,$I933-8)))</x:f>
      </x:c>
      <x:c r="F933" s="51" t="str">
        <x:f>IF(925&gt;$H$4,"",IF(INDEX('Fleet dates'!$F$9:$F$1008,$I933-8)="","",INDEX('Fleet dates'!$F$9:$F$1008,$I933-8)))</x:f>
      </x:c>
      <x:c r="G933" s="50" t="str">
        <x:f>IF(925&gt;$H$4,"",IF(INDEX('Fleet dates'!$G$9:$G$1008,$I933-8)="","",INDEX('Fleet dates'!$G$9:$G$1008,$I933-8)))</x:f>
      </x:c>
      <x:c r="H933" s="50" t="str">
        <x:f>IF(925&gt;$H$4,"",IF(INDEX('Fleet dates'!$I$9:$I$1008,$I933-8)="","",INDEX('Fleet dates'!$I$9:$I$1008,$I933-8)))</x:f>
      </x:c>
      <x:c r="I933" t="str">
        <x:f>IF(925&gt;$H$4,"",MATCH(925,'Fleet dates'!$M$9:$M$1008,0)+8)</x:f>
      </x:c>
    </x:row>
    <x:row r="934" ht="36" customHeight="1">
      <x:c r="A934" s="50" t="str">
        <x:f>IF(926&gt;$H$4,"",IF(INDEX('Fleet dates'!$A$9:$A$1008,$I934-8)="","",INDEX('Fleet dates'!$A$9:$A$1008,$I934-8)))</x:f>
      </x:c>
      <x:c r="B934" s="50" t="str">
        <x:f>IF(926&gt;$H$4,"",IF(INDEX('Fleet dates'!$B$9:$B$1008,$I934-8)="","",INDEX('Fleet dates'!$B$9:$B$1008,$I934-8)))</x:f>
      </x:c>
      <x:c r="C934" s="51" t="str">
        <x:f>IF(926&gt;$H$4,"",IF(INDEX('Fleet dates'!$C$9:$C$1008,$I934-8)="","",INDEX('Fleet dates'!$C$9:$C$1008,$I934-8)))</x:f>
      </x:c>
      <x:c r="D934" s="51" t="str">
        <x:f>IF(926&gt;$H$4,"",IF(INDEX('Fleet dates'!$D$9:$D$1008,$I934-8)="","",INDEX('Fleet dates'!$D$9:$D$1008,$I934-8)))</x:f>
      </x:c>
      <x:c r="E934" s="51" t="str">
        <x:f>IF(926&gt;$H$4,"",IF(INDEX('Fleet dates'!$E$9:$E$1008,$I934-8)="","",INDEX('Fleet dates'!$E$9:$E$1008,$I934-8)))</x:f>
      </x:c>
      <x:c r="F934" s="51" t="str">
        <x:f>IF(926&gt;$H$4,"",IF(INDEX('Fleet dates'!$F$9:$F$1008,$I934-8)="","",INDEX('Fleet dates'!$F$9:$F$1008,$I934-8)))</x:f>
      </x:c>
      <x:c r="G934" s="50" t="str">
        <x:f>IF(926&gt;$H$4,"",IF(INDEX('Fleet dates'!$G$9:$G$1008,$I934-8)="","",INDEX('Fleet dates'!$G$9:$G$1008,$I934-8)))</x:f>
      </x:c>
      <x:c r="H934" s="50" t="str">
        <x:f>IF(926&gt;$H$4,"",IF(INDEX('Fleet dates'!$I$9:$I$1008,$I934-8)="","",INDEX('Fleet dates'!$I$9:$I$1008,$I934-8)))</x:f>
      </x:c>
      <x:c r="I934" t="str">
        <x:f>IF(926&gt;$H$4,"",MATCH(926,'Fleet dates'!$M$9:$M$1008,0)+8)</x:f>
      </x:c>
    </x:row>
    <x:row r="935" ht="36" customHeight="1">
      <x:c r="A935" s="50" t="str">
        <x:f>IF(927&gt;$H$4,"",IF(INDEX('Fleet dates'!$A$9:$A$1008,$I935-8)="","",INDEX('Fleet dates'!$A$9:$A$1008,$I935-8)))</x:f>
      </x:c>
      <x:c r="B935" s="50" t="str">
        <x:f>IF(927&gt;$H$4,"",IF(INDEX('Fleet dates'!$B$9:$B$1008,$I935-8)="","",INDEX('Fleet dates'!$B$9:$B$1008,$I935-8)))</x:f>
      </x:c>
      <x:c r="C935" s="51" t="str">
        <x:f>IF(927&gt;$H$4,"",IF(INDEX('Fleet dates'!$C$9:$C$1008,$I935-8)="","",INDEX('Fleet dates'!$C$9:$C$1008,$I935-8)))</x:f>
      </x:c>
      <x:c r="D935" s="51" t="str">
        <x:f>IF(927&gt;$H$4,"",IF(INDEX('Fleet dates'!$D$9:$D$1008,$I935-8)="","",INDEX('Fleet dates'!$D$9:$D$1008,$I935-8)))</x:f>
      </x:c>
      <x:c r="E935" s="51" t="str">
        <x:f>IF(927&gt;$H$4,"",IF(INDEX('Fleet dates'!$E$9:$E$1008,$I935-8)="","",INDEX('Fleet dates'!$E$9:$E$1008,$I935-8)))</x:f>
      </x:c>
      <x:c r="F935" s="51" t="str">
        <x:f>IF(927&gt;$H$4,"",IF(INDEX('Fleet dates'!$F$9:$F$1008,$I935-8)="","",INDEX('Fleet dates'!$F$9:$F$1008,$I935-8)))</x:f>
      </x:c>
      <x:c r="G935" s="50" t="str">
        <x:f>IF(927&gt;$H$4,"",IF(INDEX('Fleet dates'!$G$9:$G$1008,$I935-8)="","",INDEX('Fleet dates'!$G$9:$G$1008,$I935-8)))</x:f>
      </x:c>
      <x:c r="H935" s="50" t="str">
        <x:f>IF(927&gt;$H$4,"",IF(INDEX('Fleet dates'!$I$9:$I$1008,$I935-8)="","",INDEX('Fleet dates'!$I$9:$I$1008,$I935-8)))</x:f>
      </x:c>
      <x:c r="I935" t="str">
        <x:f>IF(927&gt;$H$4,"",MATCH(927,'Fleet dates'!$M$9:$M$1008,0)+8)</x:f>
      </x:c>
    </x:row>
    <x:row r="936" ht="36" customHeight="1">
      <x:c r="A936" s="50" t="str">
        <x:f>IF(928&gt;$H$4,"",IF(INDEX('Fleet dates'!$A$9:$A$1008,$I936-8)="","",INDEX('Fleet dates'!$A$9:$A$1008,$I936-8)))</x:f>
      </x:c>
      <x:c r="B936" s="50" t="str">
        <x:f>IF(928&gt;$H$4,"",IF(INDEX('Fleet dates'!$B$9:$B$1008,$I936-8)="","",INDEX('Fleet dates'!$B$9:$B$1008,$I936-8)))</x:f>
      </x:c>
      <x:c r="C936" s="51" t="str">
        <x:f>IF(928&gt;$H$4,"",IF(INDEX('Fleet dates'!$C$9:$C$1008,$I936-8)="","",INDEX('Fleet dates'!$C$9:$C$1008,$I936-8)))</x:f>
      </x:c>
      <x:c r="D936" s="51" t="str">
        <x:f>IF(928&gt;$H$4,"",IF(INDEX('Fleet dates'!$D$9:$D$1008,$I936-8)="","",INDEX('Fleet dates'!$D$9:$D$1008,$I936-8)))</x:f>
      </x:c>
      <x:c r="E936" s="51" t="str">
        <x:f>IF(928&gt;$H$4,"",IF(INDEX('Fleet dates'!$E$9:$E$1008,$I936-8)="","",INDEX('Fleet dates'!$E$9:$E$1008,$I936-8)))</x:f>
      </x:c>
      <x:c r="F936" s="51" t="str">
        <x:f>IF(928&gt;$H$4,"",IF(INDEX('Fleet dates'!$F$9:$F$1008,$I936-8)="","",INDEX('Fleet dates'!$F$9:$F$1008,$I936-8)))</x:f>
      </x:c>
      <x:c r="G936" s="50" t="str">
        <x:f>IF(928&gt;$H$4,"",IF(INDEX('Fleet dates'!$G$9:$G$1008,$I936-8)="","",INDEX('Fleet dates'!$G$9:$G$1008,$I936-8)))</x:f>
      </x:c>
      <x:c r="H936" s="50" t="str">
        <x:f>IF(928&gt;$H$4,"",IF(INDEX('Fleet dates'!$I$9:$I$1008,$I936-8)="","",INDEX('Fleet dates'!$I$9:$I$1008,$I936-8)))</x:f>
      </x:c>
      <x:c r="I936" t="str">
        <x:f>IF(928&gt;$H$4,"",MATCH(928,'Fleet dates'!$M$9:$M$1008,0)+8)</x:f>
      </x:c>
    </x:row>
    <x:row r="937" ht="36" customHeight="1">
      <x:c r="A937" s="50" t="str">
        <x:f>IF(929&gt;$H$4,"",IF(INDEX('Fleet dates'!$A$9:$A$1008,$I937-8)="","",INDEX('Fleet dates'!$A$9:$A$1008,$I937-8)))</x:f>
      </x:c>
      <x:c r="B937" s="50" t="str">
        <x:f>IF(929&gt;$H$4,"",IF(INDEX('Fleet dates'!$B$9:$B$1008,$I937-8)="","",INDEX('Fleet dates'!$B$9:$B$1008,$I937-8)))</x:f>
      </x:c>
      <x:c r="C937" s="51" t="str">
        <x:f>IF(929&gt;$H$4,"",IF(INDEX('Fleet dates'!$C$9:$C$1008,$I937-8)="","",INDEX('Fleet dates'!$C$9:$C$1008,$I937-8)))</x:f>
      </x:c>
      <x:c r="D937" s="51" t="str">
        <x:f>IF(929&gt;$H$4,"",IF(INDEX('Fleet dates'!$D$9:$D$1008,$I937-8)="","",INDEX('Fleet dates'!$D$9:$D$1008,$I937-8)))</x:f>
      </x:c>
      <x:c r="E937" s="51" t="str">
        <x:f>IF(929&gt;$H$4,"",IF(INDEX('Fleet dates'!$E$9:$E$1008,$I937-8)="","",INDEX('Fleet dates'!$E$9:$E$1008,$I937-8)))</x:f>
      </x:c>
      <x:c r="F937" s="51" t="str">
        <x:f>IF(929&gt;$H$4,"",IF(INDEX('Fleet dates'!$F$9:$F$1008,$I937-8)="","",INDEX('Fleet dates'!$F$9:$F$1008,$I937-8)))</x:f>
      </x:c>
      <x:c r="G937" s="50" t="str">
        <x:f>IF(929&gt;$H$4,"",IF(INDEX('Fleet dates'!$G$9:$G$1008,$I937-8)="","",INDEX('Fleet dates'!$G$9:$G$1008,$I937-8)))</x:f>
      </x:c>
      <x:c r="H937" s="50" t="str">
        <x:f>IF(929&gt;$H$4,"",IF(INDEX('Fleet dates'!$I$9:$I$1008,$I937-8)="","",INDEX('Fleet dates'!$I$9:$I$1008,$I937-8)))</x:f>
      </x:c>
      <x:c r="I937" t="str">
        <x:f>IF(929&gt;$H$4,"",MATCH(929,'Fleet dates'!$M$9:$M$1008,0)+8)</x:f>
      </x:c>
    </x:row>
    <x:row r="938" ht="36" customHeight="1">
      <x:c r="A938" s="50" t="str">
        <x:f>IF(930&gt;$H$4,"",IF(INDEX('Fleet dates'!$A$9:$A$1008,$I938-8)="","",INDEX('Fleet dates'!$A$9:$A$1008,$I938-8)))</x:f>
      </x:c>
      <x:c r="B938" s="50" t="str">
        <x:f>IF(930&gt;$H$4,"",IF(INDEX('Fleet dates'!$B$9:$B$1008,$I938-8)="","",INDEX('Fleet dates'!$B$9:$B$1008,$I938-8)))</x:f>
      </x:c>
      <x:c r="C938" s="51" t="str">
        <x:f>IF(930&gt;$H$4,"",IF(INDEX('Fleet dates'!$C$9:$C$1008,$I938-8)="","",INDEX('Fleet dates'!$C$9:$C$1008,$I938-8)))</x:f>
      </x:c>
      <x:c r="D938" s="51" t="str">
        <x:f>IF(930&gt;$H$4,"",IF(INDEX('Fleet dates'!$D$9:$D$1008,$I938-8)="","",INDEX('Fleet dates'!$D$9:$D$1008,$I938-8)))</x:f>
      </x:c>
      <x:c r="E938" s="51" t="str">
        <x:f>IF(930&gt;$H$4,"",IF(INDEX('Fleet dates'!$E$9:$E$1008,$I938-8)="","",INDEX('Fleet dates'!$E$9:$E$1008,$I938-8)))</x:f>
      </x:c>
      <x:c r="F938" s="51" t="str">
        <x:f>IF(930&gt;$H$4,"",IF(INDEX('Fleet dates'!$F$9:$F$1008,$I938-8)="","",INDEX('Fleet dates'!$F$9:$F$1008,$I938-8)))</x:f>
      </x:c>
      <x:c r="G938" s="50" t="str">
        <x:f>IF(930&gt;$H$4,"",IF(INDEX('Fleet dates'!$G$9:$G$1008,$I938-8)="","",INDEX('Fleet dates'!$G$9:$G$1008,$I938-8)))</x:f>
      </x:c>
      <x:c r="H938" s="50" t="str">
        <x:f>IF(930&gt;$H$4,"",IF(INDEX('Fleet dates'!$I$9:$I$1008,$I938-8)="","",INDEX('Fleet dates'!$I$9:$I$1008,$I938-8)))</x:f>
      </x:c>
      <x:c r="I938" t="str">
        <x:f>IF(930&gt;$H$4,"",MATCH(930,'Fleet dates'!$M$9:$M$1008,0)+8)</x:f>
      </x:c>
    </x:row>
    <x:row r="939" ht="36" customHeight="1">
      <x:c r="A939" s="50" t="str">
        <x:f>IF(931&gt;$H$4,"",IF(INDEX('Fleet dates'!$A$9:$A$1008,$I939-8)="","",INDEX('Fleet dates'!$A$9:$A$1008,$I939-8)))</x:f>
      </x:c>
      <x:c r="B939" s="50" t="str">
        <x:f>IF(931&gt;$H$4,"",IF(INDEX('Fleet dates'!$B$9:$B$1008,$I939-8)="","",INDEX('Fleet dates'!$B$9:$B$1008,$I939-8)))</x:f>
      </x:c>
      <x:c r="C939" s="51" t="str">
        <x:f>IF(931&gt;$H$4,"",IF(INDEX('Fleet dates'!$C$9:$C$1008,$I939-8)="","",INDEX('Fleet dates'!$C$9:$C$1008,$I939-8)))</x:f>
      </x:c>
      <x:c r="D939" s="51" t="str">
        <x:f>IF(931&gt;$H$4,"",IF(INDEX('Fleet dates'!$D$9:$D$1008,$I939-8)="","",INDEX('Fleet dates'!$D$9:$D$1008,$I939-8)))</x:f>
      </x:c>
      <x:c r="E939" s="51" t="str">
        <x:f>IF(931&gt;$H$4,"",IF(INDEX('Fleet dates'!$E$9:$E$1008,$I939-8)="","",INDEX('Fleet dates'!$E$9:$E$1008,$I939-8)))</x:f>
      </x:c>
      <x:c r="F939" s="51" t="str">
        <x:f>IF(931&gt;$H$4,"",IF(INDEX('Fleet dates'!$F$9:$F$1008,$I939-8)="","",INDEX('Fleet dates'!$F$9:$F$1008,$I939-8)))</x:f>
      </x:c>
      <x:c r="G939" s="50" t="str">
        <x:f>IF(931&gt;$H$4,"",IF(INDEX('Fleet dates'!$G$9:$G$1008,$I939-8)="","",INDEX('Fleet dates'!$G$9:$G$1008,$I939-8)))</x:f>
      </x:c>
      <x:c r="H939" s="50" t="str">
        <x:f>IF(931&gt;$H$4,"",IF(INDEX('Fleet dates'!$I$9:$I$1008,$I939-8)="","",INDEX('Fleet dates'!$I$9:$I$1008,$I939-8)))</x:f>
      </x:c>
      <x:c r="I939" t="str">
        <x:f>IF(931&gt;$H$4,"",MATCH(931,'Fleet dates'!$M$9:$M$1008,0)+8)</x:f>
      </x:c>
    </x:row>
    <x:row r="940" ht="36" customHeight="1">
      <x:c r="A940" s="50" t="str">
        <x:f>IF(932&gt;$H$4,"",IF(INDEX('Fleet dates'!$A$9:$A$1008,$I940-8)="","",INDEX('Fleet dates'!$A$9:$A$1008,$I940-8)))</x:f>
      </x:c>
      <x:c r="B940" s="50" t="str">
        <x:f>IF(932&gt;$H$4,"",IF(INDEX('Fleet dates'!$B$9:$B$1008,$I940-8)="","",INDEX('Fleet dates'!$B$9:$B$1008,$I940-8)))</x:f>
      </x:c>
      <x:c r="C940" s="51" t="str">
        <x:f>IF(932&gt;$H$4,"",IF(INDEX('Fleet dates'!$C$9:$C$1008,$I940-8)="","",INDEX('Fleet dates'!$C$9:$C$1008,$I940-8)))</x:f>
      </x:c>
      <x:c r="D940" s="51" t="str">
        <x:f>IF(932&gt;$H$4,"",IF(INDEX('Fleet dates'!$D$9:$D$1008,$I940-8)="","",INDEX('Fleet dates'!$D$9:$D$1008,$I940-8)))</x:f>
      </x:c>
      <x:c r="E940" s="51" t="str">
        <x:f>IF(932&gt;$H$4,"",IF(INDEX('Fleet dates'!$E$9:$E$1008,$I940-8)="","",INDEX('Fleet dates'!$E$9:$E$1008,$I940-8)))</x:f>
      </x:c>
      <x:c r="F940" s="51" t="str">
        <x:f>IF(932&gt;$H$4,"",IF(INDEX('Fleet dates'!$F$9:$F$1008,$I940-8)="","",INDEX('Fleet dates'!$F$9:$F$1008,$I940-8)))</x:f>
      </x:c>
      <x:c r="G940" s="50" t="str">
        <x:f>IF(932&gt;$H$4,"",IF(INDEX('Fleet dates'!$G$9:$G$1008,$I940-8)="","",INDEX('Fleet dates'!$G$9:$G$1008,$I940-8)))</x:f>
      </x:c>
      <x:c r="H940" s="50" t="str">
        <x:f>IF(932&gt;$H$4,"",IF(INDEX('Fleet dates'!$I$9:$I$1008,$I940-8)="","",INDEX('Fleet dates'!$I$9:$I$1008,$I940-8)))</x:f>
      </x:c>
      <x:c r="I940" t="str">
        <x:f>IF(932&gt;$H$4,"",MATCH(932,'Fleet dates'!$M$9:$M$1008,0)+8)</x:f>
      </x:c>
    </x:row>
    <x:row r="941" ht="36" customHeight="1">
      <x:c r="A941" s="50" t="str">
        <x:f>IF(933&gt;$H$4,"",IF(INDEX('Fleet dates'!$A$9:$A$1008,$I941-8)="","",INDEX('Fleet dates'!$A$9:$A$1008,$I941-8)))</x:f>
      </x:c>
      <x:c r="B941" s="50" t="str">
        <x:f>IF(933&gt;$H$4,"",IF(INDEX('Fleet dates'!$B$9:$B$1008,$I941-8)="","",INDEX('Fleet dates'!$B$9:$B$1008,$I941-8)))</x:f>
      </x:c>
      <x:c r="C941" s="51" t="str">
        <x:f>IF(933&gt;$H$4,"",IF(INDEX('Fleet dates'!$C$9:$C$1008,$I941-8)="","",INDEX('Fleet dates'!$C$9:$C$1008,$I941-8)))</x:f>
      </x:c>
      <x:c r="D941" s="51" t="str">
        <x:f>IF(933&gt;$H$4,"",IF(INDEX('Fleet dates'!$D$9:$D$1008,$I941-8)="","",INDEX('Fleet dates'!$D$9:$D$1008,$I941-8)))</x:f>
      </x:c>
      <x:c r="E941" s="51" t="str">
        <x:f>IF(933&gt;$H$4,"",IF(INDEX('Fleet dates'!$E$9:$E$1008,$I941-8)="","",INDEX('Fleet dates'!$E$9:$E$1008,$I941-8)))</x:f>
      </x:c>
      <x:c r="F941" s="51" t="str">
        <x:f>IF(933&gt;$H$4,"",IF(INDEX('Fleet dates'!$F$9:$F$1008,$I941-8)="","",INDEX('Fleet dates'!$F$9:$F$1008,$I941-8)))</x:f>
      </x:c>
      <x:c r="G941" s="50" t="str">
        <x:f>IF(933&gt;$H$4,"",IF(INDEX('Fleet dates'!$G$9:$G$1008,$I941-8)="","",INDEX('Fleet dates'!$G$9:$G$1008,$I941-8)))</x:f>
      </x:c>
      <x:c r="H941" s="50" t="str">
        <x:f>IF(933&gt;$H$4,"",IF(INDEX('Fleet dates'!$I$9:$I$1008,$I941-8)="","",INDEX('Fleet dates'!$I$9:$I$1008,$I941-8)))</x:f>
      </x:c>
      <x:c r="I941" t="str">
        <x:f>IF(933&gt;$H$4,"",MATCH(933,'Fleet dates'!$M$9:$M$1008,0)+8)</x:f>
      </x:c>
    </x:row>
    <x:row r="942" ht="36" customHeight="1">
      <x:c r="A942" s="50" t="str">
        <x:f>IF(934&gt;$H$4,"",IF(INDEX('Fleet dates'!$A$9:$A$1008,$I942-8)="","",INDEX('Fleet dates'!$A$9:$A$1008,$I942-8)))</x:f>
      </x:c>
      <x:c r="B942" s="50" t="str">
        <x:f>IF(934&gt;$H$4,"",IF(INDEX('Fleet dates'!$B$9:$B$1008,$I942-8)="","",INDEX('Fleet dates'!$B$9:$B$1008,$I942-8)))</x:f>
      </x:c>
      <x:c r="C942" s="51" t="str">
        <x:f>IF(934&gt;$H$4,"",IF(INDEX('Fleet dates'!$C$9:$C$1008,$I942-8)="","",INDEX('Fleet dates'!$C$9:$C$1008,$I942-8)))</x:f>
      </x:c>
      <x:c r="D942" s="51" t="str">
        <x:f>IF(934&gt;$H$4,"",IF(INDEX('Fleet dates'!$D$9:$D$1008,$I942-8)="","",INDEX('Fleet dates'!$D$9:$D$1008,$I942-8)))</x:f>
      </x:c>
      <x:c r="E942" s="51" t="str">
        <x:f>IF(934&gt;$H$4,"",IF(INDEX('Fleet dates'!$E$9:$E$1008,$I942-8)="","",INDEX('Fleet dates'!$E$9:$E$1008,$I942-8)))</x:f>
      </x:c>
      <x:c r="F942" s="51" t="str">
        <x:f>IF(934&gt;$H$4,"",IF(INDEX('Fleet dates'!$F$9:$F$1008,$I942-8)="","",INDEX('Fleet dates'!$F$9:$F$1008,$I942-8)))</x:f>
      </x:c>
      <x:c r="G942" s="50" t="str">
        <x:f>IF(934&gt;$H$4,"",IF(INDEX('Fleet dates'!$G$9:$G$1008,$I942-8)="","",INDEX('Fleet dates'!$G$9:$G$1008,$I942-8)))</x:f>
      </x:c>
      <x:c r="H942" s="50" t="str">
        <x:f>IF(934&gt;$H$4,"",IF(INDEX('Fleet dates'!$I$9:$I$1008,$I942-8)="","",INDEX('Fleet dates'!$I$9:$I$1008,$I942-8)))</x:f>
      </x:c>
      <x:c r="I942" t="str">
        <x:f>IF(934&gt;$H$4,"",MATCH(934,'Fleet dates'!$M$9:$M$1008,0)+8)</x:f>
      </x:c>
    </x:row>
    <x:row r="943" ht="36" customHeight="1">
      <x:c r="A943" s="50" t="str">
        <x:f>IF(935&gt;$H$4,"",IF(INDEX('Fleet dates'!$A$9:$A$1008,$I943-8)="","",INDEX('Fleet dates'!$A$9:$A$1008,$I943-8)))</x:f>
      </x:c>
      <x:c r="B943" s="50" t="str">
        <x:f>IF(935&gt;$H$4,"",IF(INDEX('Fleet dates'!$B$9:$B$1008,$I943-8)="","",INDEX('Fleet dates'!$B$9:$B$1008,$I943-8)))</x:f>
      </x:c>
      <x:c r="C943" s="51" t="str">
        <x:f>IF(935&gt;$H$4,"",IF(INDEX('Fleet dates'!$C$9:$C$1008,$I943-8)="","",INDEX('Fleet dates'!$C$9:$C$1008,$I943-8)))</x:f>
      </x:c>
      <x:c r="D943" s="51" t="str">
        <x:f>IF(935&gt;$H$4,"",IF(INDEX('Fleet dates'!$D$9:$D$1008,$I943-8)="","",INDEX('Fleet dates'!$D$9:$D$1008,$I943-8)))</x:f>
      </x:c>
      <x:c r="E943" s="51" t="str">
        <x:f>IF(935&gt;$H$4,"",IF(INDEX('Fleet dates'!$E$9:$E$1008,$I943-8)="","",INDEX('Fleet dates'!$E$9:$E$1008,$I943-8)))</x:f>
      </x:c>
      <x:c r="F943" s="51" t="str">
        <x:f>IF(935&gt;$H$4,"",IF(INDEX('Fleet dates'!$F$9:$F$1008,$I943-8)="","",INDEX('Fleet dates'!$F$9:$F$1008,$I943-8)))</x:f>
      </x:c>
      <x:c r="G943" s="50" t="str">
        <x:f>IF(935&gt;$H$4,"",IF(INDEX('Fleet dates'!$G$9:$G$1008,$I943-8)="","",INDEX('Fleet dates'!$G$9:$G$1008,$I943-8)))</x:f>
      </x:c>
      <x:c r="H943" s="50" t="str">
        <x:f>IF(935&gt;$H$4,"",IF(INDEX('Fleet dates'!$I$9:$I$1008,$I943-8)="","",INDEX('Fleet dates'!$I$9:$I$1008,$I943-8)))</x:f>
      </x:c>
      <x:c r="I943" t="str">
        <x:f>IF(935&gt;$H$4,"",MATCH(935,'Fleet dates'!$M$9:$M$1008,0)+8)</x:f>
      </x:c>
    </x:row>
    <x:row r="944" ht="36" customHeight="1">
      <x:c r="A944" s="50" t="str">
        <x:f>IF(936&gt;$H$4,"",IF(INDEX('Fleet dates'!$A$9:$A$1008,$I944-8)="","",INDEX('Fleet dates'!$A$9:$A$1008,$I944-8)))</x:f>
      </x:c>
      <x:c r="B944" s="50" t="str">
        <x:f>IF(936&gt;$H$4,"",IF(INDEX('Fleet dates'!$B$9:$B$1008,$I944-8)="","",INDEX('Fleet dates'!$B$9:$B$1008,$I944-8)))</x:f>
      </x:c>
      <x:c r="C944" s="51" t="str">
        <x:f>IF(936&gt;$H$4,"",IF(INDEX('Fleet dates'!$C$9:$C$1008,$I944-8)="","",INDEX('Fleet dates'!$C$9:$C$1008,$I944-8)))</x:f>
      </x:c>
      <x:c r="D944" s="51" t="str">
        <x:f>IF(936&gt;$H$4,"",IF(INDEX('Fleet dates'!$D$9:$D$1008,$I944-8)="","",INDEX('Fleet dates'!$D$9:$D$1008,$I944-8)))</x:f>
      </x:c>
      <x:c r="E944" s="51" t="str">
        <x:f>IF(936&gt;$H$4,"",IF(INDEX('Fleet dates'!$E$9:$E$1008,$I944-8)="","",INDEX('Fleet dates'!$E$9:$E$1008,$I944-8)))</x:f>
      </x:c>
      <x:c r="F944" s="51" t="str">
        <x:f>IF(936&gt;$H$4,"",IF(INDEX('Fleet dates'!$F$9:$F$1008,$I944-8)="","",INDEX('Fleet dates'!$F$9:$F$1008,$I944-8)))</x:f>
      </x:c>
      <x:c r="G944" s="50" t="str">
        <x:f>IF(936&gt;$H$4,"",IF(INDEX('Fleet dates'!$G$9:$G$1008,$I944-8)="","",INDEX('Fleet dates'!$G$9:$G$1008,$I944-8)))</x:f>
      </x:c>
      <x:c r="H944" s="50" t="str">
        <x:f>IF(936&gt;$H$4,"",IF(INDEX('Fleet dates'!$I$9:$I$1008,$I944-8)="","",INDEX('Fleet dates'!$I$9:$I$1008,$I944-8)))</x:f>
      </x:c>
      <x:c r="I944" t="str">
        <x:f>IF(936&gt;$H$4,"",MATCH(936,'Fleet dates'!$M$9:$M$1008,0)+8)</x:f>
      </x:c>
    </x:row>
    <x:row r="945" ht="36" customHeight="1">
      <x:c r="A945" s="50" t="str">
        <x:f>IF(937&gt;$H$4,"",IF(INDEX('Fleet dates'!$A$9:$A$1008,$I945-8)="","",INDEX('Fleet dates'!$A$9:$A$1008,$I945-8)))</x:f>
      </x:c>
      <x:c r="B945" s="50" t="str">
        <x:f>IF(937&gt;$H$4,"",IF(INDEX('Fleet dates'!$B$9:$B$1008,$I945-8)="","",INDEX('Fleet dates'!$B$9:$B$1008,$I945-8)))</x:f>
      </x:c>
      <x:c r="C945" s="51" t="str">
        <x:f>IF(937&gt;$H$4,"",IF(INDEX('Fleet dates'!$C$9:$C$1008,$I945-8)="","",INDEX('Fleet dates'!$C$9:$C$1008,$I945-8)))</x:f>
      </x:c>
      <x:c r="D945" s="51" t="str">
        <x:f>IF(937&gt;$H$4,"",IF(INDEX('Fleet dates'!$D$9:$D$1008,$I945-8)="","",INDEX('Fleet dates'!$D$9:$D$1008,$I945-8)))</x:f>
      </x:c>
      <x:c r="E945" s="51" t="str">
        <x:f>IF(937&gt;$H$4,"",IF(INDEX('Fleet dates'!$E$9:$E$1008,$I945-8)="","",INDEX('Fleet dates'!$E$9:$E$1008,$I945-8)))</x:f>
      </x:c>
      <x:c r="F945" s="51" t="str">
        <x:f>IF(937&gt;$H$4,"",IF(INDEX('Fleet dates'!$F$9:$F$1008,$I945-8)="","",INDEX('Fleet dates'!$F$9:$F$1008,$I945-8)))</x:f>
      </x:c>
      <x:c r="G945" s="50" t="str">
        <x:f>IF(937&gt;$H$4,"",IF(INDEX('Fleet dates'!$G$9:$G$1008,$I945-8)="","",INDEX('Fleet dates'!$G$9:$G$1008,$I945-8)))</x:f>
      </x:c>
      <x:c r="H945" s="50" t="str">
        <x:f>IF(937&gt;$H$4,"",IF(INDEX('Fleet dates'!$I$9:$I$1008,$I945-8)="","",INDEX('Fleet dates'!$I$9:$I$1008,$I945-8)))</x:f>
      </x:c>
      <x:c r="I945" t="str">
        <x:f>IF(937&gt;$H$4,"",MATCH(937,'Fleet dates'!$M$9:$M$1008,0)+8)</x:f>
      </x:c>
    </x:row>
    <x:row r="946" ht="36" customHeight="1">
      <x:c r="A946" s="50" t="str">
        <x:f>IF(938&gt;$H$4,"",IF(INDEX('Fleet dates'!$A$9:$A$1008,$I946-8)="","",INDEX('Fleet dates'!$A$9:$A$1008,$I946-8)))</x:f>
      </x:c>
      <x:c r="B946" s="50" t="str">
        <x:f>IF(938&gt;$H$4,"",IF(INDEX('Fleet dates'!$B$9:$B$1008,$I946-8)="","",INDEX('Fleet dates'!$B$9:$B$1008,$I946-8)))</x:f>
      </x:c>
      <x:c r="C946" s="51" t="str">
        <x:f>IF(938&gt;$H$4,"",IF(INDEX('Fleet dates'!$C$9:$C$1008,$I946-8)="","",INDEX('Fleet dates'!$C$9:$C$1008,$I946-8)))</x:f>
      </x:c>
      <x:c r="D946" s="51" t="str">
        <x:f>IF(938&gt;$H$4,"",IF(INDEX('Fleet dates'!$D$9:$D$1008,$I946-8)="","",INDEX('Fleet dates'!$D$9:$D$1008,$I946-8)))</x:f>
      </x:c>
      <x:c r="E946" s="51" t="str">
        <x:f>IF(938&gt;$H$4,"",IF(INDEX('Fleet dates'!$E$9:$E$1008,$I946-8)="","",INDEX('Fleet dates'!$E$9:$E$1008,$I946-8)))</x:f>
      </x:c>
      <x:c r="F946" s="51" t="str">
        <x:f>IF(938&gt;$H$4,"",IF(INDEX('Fleet dates'!$F$9:$F$1008,$I946-8)="","",INDEX('Fleet dates'!$F$9:$F$1008,$I946-8)))</x:f>
      </x:c>
      <x:c r="G946" s="50" t="str">
        <x:f>IF(938&gt;$H$4,"",IF(INDEX('Fleet dates'!$G$9:$G$1008,$I946-8)="","",INDEX('Fleet dates'!$G$9:$G$1008,$I946-8)))</x:f>
      </x:c>
      <x:c r="H946" s="50" t="str">
        <x:f>IF(938&gt;$H$4,"",IF(INDEX('Fleet dates'!$I$9:$I$1008,$I946-8)="","",INDEX('Fleet dates'!$I$9:$I$1008,$I946-8)))</x:f>
      </x:c>
      <x:c r="I946" t="str">
        <x:f>IF(938&gt;$H$4,"",MATCH(938,'Fleet dates'!$M$9:$M$1008,0)+8)</x:f>
      </x:c>
    </x:row>
    <x:row r="947" ht="36" customHeight="1">
      <x:c r="A947" s="50" t="str">
        <x:f>IF(939&gt;$H$4,"",IF(INDEX('Fleet dates'!$A$9:$A$1008,$I947-8)="","",INDEX('Fleet dates'!$A$9:$A$1008,$I947-8)))</x:f>
      </x:c>
      <x:c r="B947" s="50" t="str">
        <x:f>IF(939&gt;$H$4,"",IF(INDEX('Fleet dates'!$B$9:$B$1008,$I947-8)="","",INDEX('Fleet dates'!$B$9:$B$1008,$I947-8)))</x:f>
      </x:c>
      <x:c r="C947" s="51" t="str">
        <x:f>IF(939&gt;$H$4,"",IF(INDEX('Fleet dates'!$C$9:$C$1008,$I947-8)="","",INDEX('Fleet dates'!$C$9:$C$1008,$I947-8)))</x:f>
      </x:c>
      <x:c r="D947" s="51" t="str">
        <x:f>IF(939&gt;$H$4,"",IF(INDEX('Fleet dates'!$D$9:$D$1008,$I947-8)="","",INDEX('Fleet dates'!$D$9:$D$1008,$I947-8)))</x:f>
      </x:c>
      <x:c r="E947" s="51" t="str">
        <x:f>IF(939&gt;$H$4,"",IF(INDEX('Fleet dates'!$E$9:$E$1008,$I947-8)="","",INDEX('Fleet dates'!$E$9:$E$1008,$I947-8)))</x:f>
      </x:c>
      <x:c r="F947" s="51" t="str">
        <x:f>IF(939&gt;$H$4,"",IF(INDEX('Fleet dates'!$F$9:$F$1008,$I947-8)="","",INDEX('Fleet dates'!$F$9:$F$1008,$I947-8)))</x:f>
      </x:c>
      <x:c r="G947" s="50" t="str">
        <x:f>IF(939&gt;$H$4,"",IF(INDEX('Fleet dates'!$G$9:$G$1008,$I947-8)="","",INDEX('Fleet dates'!$G$9:$G$1008,$I947-8)))</x:f>
      </x:c>
      <x:c r="H947" s="50" t="str">
        <x:f>IF(939&gt;$H$4,"",IF(INDEX('Fleet dates'!$I$9:$I$1008,$I947-8)="","",INDEX('Fleet dates'!$I$9:$I$1008,$I947-8)))</x:f>
      </x:c>
      <x:c r="I947" t="str">
        <x:f>IF(939&gt;$H$4,"",MATCH(939,'Fleet dates'!$M$9:$M$1008,0)+8)</x:f>
      </x:c>
    </x:row>
    <x:row r="948" ht="36" customHeight="1">
      <x:c r="A948" s="50" t="str">
        <x:f>IF(940&gt;$H$4,"",IF(INDEX('Fleet dates'!$A$9:$A$1008,$I948-8)="","",INDEX('Fleet dates'!$A$9:$A$1008,$I948-8)))</x:f>
      </x:c>
      <x:c r="B948" s="50" t="str">
        <x:f>IF(940&gt;$H$4,"",IF(INDEX('Fleet dates'!$B$9:$B$1008,$I948-8)="","",INDEX('Fleet dates'!$B$9:$B$1008,$I948-8)))</x:f>
      </x:c>
      <x:c r="C948" s="51" t="str">
        <x:f>IF(940&gt;$H$4,"",IF(INDEX('Fleet dates'!$C$9:$C$1008,$I948-8)="","",INDEX('Fleet dates'!$C$9:$C$1008,$I948-8)))</x:f>
      </x:c>
      <x:c r="D948" s="51" t="str">
        <x:f>IF(940&gt;$H$4,"",IF(INDEX('Fleet dates'!$D$9:$D$1008,$I948-8)="","",INDEX('Fleet dates'!$D$9:$D$1008,$I948-8)))</x:f>
      </x:c>
      <x:c r="E948" s="51" t="str">
        <x:f>IF(940&gt;$H$4,"",IF(INDEX('Fleet dates'!$E$9:$E$1008,$I948-8)="","",INDEX('Fleet dates'!$E$9:$E$1008,$I948-8)))</x:f>
      </x:c>
      <x:c r="F948" s="51" t="str">
        <x:f>IF(940&gt;$H$4,"",IF(INDEX('Fleet dates'!$F$9:$F$1008,$I948-8)="","",INDEX('Fleet dates'!$F$9:$F$1008,$I948-8)))</x:f>
      </x:c>
      <x:c r="G948" s="50" t="str">
        <x:f>IF(940&gt;$H$4,"",IF(INDEX('Fleet dates'!$G$9:$G$1008,$I948-8)="","",INDEX('Fleet dates'!$G$9:$G$1008,$I948-8)))</x:f>
      </x:c>
      <x:c r="H948" s="50" t="str">
        <x:f>IF(940&gt;$H$4,"",IF(INDEX('Fleet dates'!$I$9:$I$1008,$I948-8)="","",INDEX('Fleet dates'!$I$9:$I$1008,$I948-8)))</x:f>
      </x:c>
      <x:c r="I948" t="str">
        <x:f>IF(940&gt;$H$4,"",MATCH(940,'Fleet dates'!$M$9:$M$1008,0)+8)</x:f>
      </x:c>
    </x:row>
    <x:row r="949" ht="36" customHeight="1">
      <x:c r="A949" s="50" t="str">
        <x:f>IF(941&gt;$H$4,"",IF(INDEX('Fleet dates'!$A$9:$A$1008,$I949-8)="","",INDEX('Fleet dates'!$A$9:$A$1008,$I949-8)))</x:f>
      </x:c>
      <x:c r="B949" s="50" t="str">
        <x:f>IF(941&gt;$H$4,"",IF(INDEX('Fleet dates'!$B$9:$B$1008,$I949-8)="","",INDEX('Fleet dates'!$B$9:$B$1008,$I949-8)))</x:f>
      </x:c>
      <x:c r="C949" s="51" t="str">
        <x:f>IF(941&gt;$H$4,"",IF(INDEX('Fleet dates'!$C$9:$C$1008,$I949-8)="","",INDEX('Fleet dates'!$C$9:$C$1008,$I949-8)))</x:f>
      </x:c>
      <x:c r="D949" s="51" t="str">
        <x:f>IF(941&gt;$H$4,"",IF(INDEX('Fleet dates'!$D$9:$D$1008,$I949-8)="","",INDEX('Fleet dates'!$D$9:$D$1008,$I949-8)))</x:f>
      </x:c>
      <x:c r="E949" s="51" t="str">
        <x:f>IF(941&gt;$H$4,"",IF(INDEX('Fleet dates'!$E$9:$E$1008,$I949-8)="","",INDEX('Fleet dates'!$E$9:$E$1008,$I949-8)))</x:f>
      </x:c>
      <x:c r="F949" s="51" t="str">
        <x:f>IF(941&gt;$H$4,"",IF(INDEX('Fleet dates'!$F$9:$F$1008,$I949-8)="","",INDEX('Fleet dates'!$F$9:$F$1008,$I949-8)))</x:f>
      </x:c>
      <x:c r="G949" s="50" t="str">
        <x:f>IF(941&gt;$H$4,"",IF(INDEX('Fleet dates'!$G$9:$G$1008,$I949-8)="","",INDEX('Fleet dates'!$G$9:$G$1008,$I949-8)))</x:f>
      </x:c>
      <x:c r="H949" s="50" t="str">
        <x:f>IF(941&gt;$H$4,"",IF(INDEX('Fleet dates'!$I$9:$I$1008,$I949-8)="","",INDEX('Fleet dates'!$I$9:$I$1008,$I949-8)))</x:f>
      </x:c>
      <x:c r="I949" t="str">
        <x:f>IF(941&gt;$H$4,"",MATCH(941,'Fleet dates'!$M$9:$M$1008,0)+8)</x:f>
      </x:c>
    </x:row>
    <x:row r="950" ht="36" customHeight="1">
      <x:c r="A950" s="50" t="str">
        <x:f>IF(942&gt;$H$4,"",IF(INDEX('Fleet dates'!$A$9:$A$1008,$I950-8)="","",INDEX('Fleet dates'!$A$9:$A$1008,$I950-8)))</x:f>
      </x:c>
      <x:c r="B950" s="50" t="str">
        <x:f>IF(942&gt;$H$4,"",IF(INDEX('Fleet dates'!$B$9:$B$1008,$I950-8)="","",INDEX('Fleet dates'!$B$9:$B$1008,$I950-8)))</x:f>
      </x:c>
      <x:c r="C950" s="51" t="str">
        <x:f>IF(942&gt;$H$4,"",IF(INDEX('Fleet dates'!$C$9:$C$1008,$I950-8)="","",INDEX('Fleet dates'!$C$9:$C$1008,$I950-8)))</x:f>
      </x:c>
      <x:c r="D950" s="51" t="str">
        <x:f>IF(942&gt;$H$4,"",IF(INDEX('Fleet dates'!$D$9:$D$1008,$I950-8)="","",INDEX('Fleet dates'!$D$9:$D$1008,$I950-8)))</x:f>
      </x:c>
      <x:c r="E950" s="51" t="str">
        <x:f>IF(942&gt;$H$4,"",IF(INDEX('Fleet dates'!$E$9:$E$1008,$I950-8)="","",INDEX('Fleet dates'!$E$9:$E$1008,$I950-8)))</x:f>
      </x:c>
      <x:c r="F950" s="51" t="str">
        <x:f>IF(942&gt;$H$4,"",IF(INDEX('Fleet dates'!$F$9:$F$1008,$I950-8)="","",INDEX('Fleet dates'!$F$9:$F$1008,$I950-8)))</x:f>
      </x:c>
      <x:c r="G950" s="50" t="str">
        <x:f>IF(942&gt;$H$4,"",IF(INDEX('Fleet dates'!$G$9:$G$1008,$I950-8)="","",INDEX('Fleet dates'!$G$9:$G$1008,$I950-8)))</x:f>
      </x:c>
      <x:c r="H950" s="50" t="str">
        <x:f>IF(942&gt;$H$4,"",IF(INDEX('Fleet dates'!$I$9:$I$1008,$I950-8)="","",INDEX('Fleet dates'!$I$9:$I$1008,$I950-8)))</x:f>
      </x:c>
      <x:c r="I950" t="str">
        <x:f>IF(942&gt;$H$4,"",MATCH(942,'Fleet dates'!$M$9:$M$1008,0)+8)</x:f>
      </x:c>
    </x:row>
    <x:row r="951" ht="36" customHeight="1">
      <x:c r="A951" s="50" t="str">
        <x:f>IF(943&gt;$H$4,"",IF(INDEX('Fleet dates'!$A$9:$A$1008,$I951-8)="","",INDEX('Fleet dates'!$A$9:$A$1008,$I951-8)))</x:f>
      </x:c>
      <x:c r="B951" s="50" t="str">
        <x:f>IF(943&gt;$H$4,"",IF(INDEX('Fleet dates'!$B$9:$B$1008,$I951-8)="","",INDEX('Fleet dates'!$B$9:$B$1008,$I951-8)))</x:f>
      </x:c>
      <x:c r="C951" s="51" t="str">
        <x:f>IF(943&gt;$H$4,"",IF(INDEX('Fleet dates'!$C$9:$C$1008,$I951-8)="","",INDEX('Fleet dates'!$C$9:$C$1008,$I951-8)))</x:f>
      </x:c>
      <x:c r="D951" s="51" t="str">
        <x:f>IF(943&gt;$H$4,"",IF(INDEX('Fleet dates'!$D$9:$D$1008,$I951-8)="","",INDEX('Fleet dates'!$D$9:$D$1008,$I951-8)))</x:f>
      </x:c>
      <x:c r="E951" s="51" t="str">
        <x:f>IF(943&gt;$H$4,"",IF(INDEX('Fleet dates'!$E$9:$E$1008,$I951-8)="","",INDEX('Fleet dates'!$E$9:$E$1008,$I951-8)))</x:f>
      </x:c>
      <x:c r="F951" s="51" t="str">
        <x:f>IF(943&gt;$H$4,"",IF(INDEX('Fleet dates'!$F$9:$F$1008,$I951-8)="","",INDEX('Fleet dates'!$F$9:$F$1008,$I951-8)))</x:f>
      </x:c>
      <x:c r="G951" s="50" t="str">
        <x:f>IF(943&gt;$H$4,"",IF(INDEX('Fleet dates'!$G$9:$G$1008,$I951-8)="","",INDEX('Fleet dates'!$G$9:$G$1008,$I951-8)))</x:f>
      </x:c>
      <x:c r="H951" s="50" t="str">
        <x:f>IF(943&gt;$H$4,"",IF(INDEX('Fleet dates'!$I$9:$I$1008,$I951-8)="","",INDEX('Fleet dates'!$I$9:$I$1008,$I951-8)))</x:f>
      </x:c>
      <x:c r="I951" t="str">
        <x:f>IF(943&gt;$H$4,"",MATCH(943,'Fleet dates'!$M$9:$M$1008,0)+8)</x:f>
      </x:c>
    </x:row>
    <x:row r="952" ht="36" customHeight="1">
      <x:c r="A952" s="50" t="str">
        <x:f>IF(944&gt;$H$4,"",IF(INDEX('Fleet dates'!$A$9:$A$1008,$I952-8)="","",INDEX('Fleet dates'!$A$9:$A$1008,$I952-8)))</x:f>
      </x:c>
      <x:c r="B952" s="50" t="str">
        <x:f>IF(944&gt;$H$4,"",IF(INDEX('Fleet dates'!$B$9:$B$1008,$I952-8)="","",INDEX('Fleet dates'!$B$9:$B$1008,$I952-8)))</x:f>
      </x:c>
      <x:c r="C952" s="51" t="str">
        <x:f>IF(944&gt;$H$4,"",IF(INDEX('Fleet dates'!$C$9:$C$1008,$I952-8)="","",INDEX('Fleet dates'!$C$9:$C$1008,$I952-8)))</x:f>
      </x:c>
      <x:c r="D952" s="51" t="str">
        <x:f>IF(944&gt;$H$4,"",IF(INDEX('Fleet dates'!$D$9:$D$1008,$I952-8)="","",INDEX('Fleet dates'!$D$9:$D$1008,$I952-8)))</x:f>
      </x:c>
      <x:c r="E952" s="51" t="str">
        <x:f>IF(944&gt;$H$4,"",IF(INDEX('Fleet dates'!$E$9:$E$1008,$I952-8)="","",INDEX('Fleet dates'!$E$9:$E$1008,$I952-8)))</x:f>
      </x:c>
      <x:c r="F952" s="51" t="str">
        <x:f>IF(944&gt;$H$4,"",IF(INDEX('Fleet dates'!$F$9:$F$1008,$I952-8)="","",INDEX('Fleet dates'!$F$9:$F$1008,$I952-8)))</x:f>
      </x:c>
      <x:c r="G952" s="50" t="str">
        <x:f>IF(944&gt;$H$4,"",IF(INDEX('Fleet dates'!$G$9:$G$1008,$I952-8)="","",INDEX('Fleet dates'!$G$9:$G$1008,$I952-8)))</x:f>
      </x:c>
      <x:c r="H952" s="50" t="str">
        <x:f>IF(944&gt;$H$4,"",IF(INDEX('Fleet dates'!$I$9:$I$1008,$I952-8)="","",INDEX('Fleet dates'!$I$9:$I$1008,$I952-8)))</x:f>
      </x:c>
      <x:c r="I952" t="str">
        <x:f>IF(944&gt;$H$4,"",MATCH(944,'Fleet dates'!$M$9:$M$1008,0)+8)</x:f>
      </x:c>
    </x:row>
    <x:row r="953" ht="36" customHeight="1">
      <x:c r="A953" s="50" t="str">
        <x:f>IF(945&gt;$H$4,"",IF(INDEX('Fleet dates'!$A$9:$A$1008,$I953-8)="","",INDEX('Fleet dates'!$A$9:$A$1008,$I953-8)))</x:f>
      </x:c>
      <x:c r="B953" s="50" t="str">
        <x:f>IF(945&gt;$H$4,"",IF(INDEX('Fleet dates'!$B$9:$B$1008,$I953-8)="","",INDEX('Fleet dates'!$B$9:$B$1008,$I953-8)))</x:f>
      </x:c>
      <x:c r="C953" s="51" t="str">
        <x:f>IF(945&gt;$H$4,"",IF(INDEX('Fleet dates'!$C$9:$C$1008,$I953-8)="","",INDEX('Fleet dates'!$C$9:$C$1008,$I953-8)))</x:f>
      </x:c>
      <x:c r="D953" s="51" t="str">
        <x:f>IF(945&gt;$H$4,"",IF(INDEX('Fleet dates'!$D$9:$D$1008,$I953-8)="","",INDEX('Fleet dates'!$D$9:$D$1008,$I953-8)))</x:f>
      </x:c>
      <x:c r="E953" s="51" t="str">
        <x:f>IF(945&gt;$H$4,"",IF(INDEX('Fleet dates'!$E$9:$E$1008,$I953-8)="","",INDEX('Fleet dates'!$E$9:$E$1008,$I953-8)))</x:f>
      </x:c>
      <x:c r="F953" s="51" t="str">
        <x:f>IF(945&gt;$H$4,"",IF(INDEX('Fleet dates'!$F$9:$F$1008,$I953-8)="","",INDEX('Fleet dates'!$F$9:$F$1008,$I953-8)))</x:f>
      </x:c>
      <x:c r="G953" s="50" t="str">
        <x:f>IF(945&gt;$H$4,"",IF(INDEX('Fleet dates'!$G$9:$G$1008,$I953-8)="","",INDEX('Fleet dates'!$G$9:$G$1008,$I953-8)))</x:f>
      </x:c>
      <x:c r="H953" s="50" t="str">
        <x:f>IF(945&gt;$H$4,"",IF(INDEX('Fleet dates'!$I$9:$I$1008,$I953-8)="","",INDEX('Fleet dates'!$I$9:$I$1008,$I953-8)))</x:f>
      </x:c>
      <x:c r="I953" t="str">
        <x:f>IF(945&gt;$H$4,"",MATCH(945,'Fleet dates'!$M$9:$M$1008,0)+8)</x:f>
      </x:c>
    </x:row>
    <x:row r="954" ht="36" customHeight="1">
      <x:c r="A954" s="50" t="str">
        <x:f>IF(946&gt;$H$4,"",IF(INDEX('Fleet dates'!$A$9:$A$1008,$I954-8)="","",INDEX('Fleet dates'!$A$9:$A$1008,$I954-8)))</x:f>
      </x:c>
      <x:c r="B954" s="50" t="str">
        <x:f>IF(946&gt;$H$4,"",IF(INDEX('Fleet dates'!$B$9:$B$1008,$I954-8)="","",INDEX('Fleet dates'!$B$9:$B$1008,$I954-8)))</x:f>
      </x:c>
      <x:c r="C954" s="51" t="str">
        <x:f>IF(946&gt;$H$4,"",IF(INDEX('Fleet dates'!$C$9:$C$1008,$I954-8)="","",INDEX('Fleet dates'!$C$9:$C$1008,$I954-8)))</x:f>
      </x:c>
      <x:c r="D954" s="51" t="str">
        <x:f>IF(946&gt;$H$4,"",IF(INDEX('Fleet dates'!$D$9:$D$1008,$I954-8)="","",INDEX('Fleet dates'!$D$9:$D$1008,$I954-8)))</x:f>
      </x:c>
      <x:c r="E954" s="51" t="str">
        <x:f>IF(946&gt;$H$4,"",IF(INDEX('Fleet dates'!$E$9:$E$1008,$I954-8)="","",INDEX('Fleet dates'!$E$9:$E$1008,$I954-8)))</x:f>
      </x:c>
      <x:c r="F954" s="51" t="str">
        <x:f>IF(946&gt;$H$4,"",IF(INDEX('Fleet dates'!$F$9:$F$1008,$I954-8)="","",INDEX('Fleet dates'!$F$9:$F$1008,$I954-8)))</x:f>
      </x:c>
      <x:c r="G954" s="50" t="str">
        <x:f>IF(946&gt;$H$4,"",IF(INDEX('Fleet dates'!$G$9:$G$1008,$I954-8)="","",INDEX('Fleet dates'!$G$9:$G$1008,$I954-8)))</x:f>
      </x:c>
      <x:c r="H954" s="50" t="str">
        <x:f>IF(946&gt;$H$4,"",IF(INDEX('Fleet dates'!$I$9:$I$1008,$I954-8)="","",INDEX('Fleet dates'!$I$9:$I$1008,$I954-8)))</x:f>
      </x:c>
      <x:c r="I954" t="str">
        <x:f>IF(946&gt;$H$4,"",MATCH(946,'Fleet dates'!$M$9:$M$1008,0)+8)</x:f>
      </x:c>
    </x:row>
    <x:row r="955" ht="36" customHeight="1">
      <x:c r="A955" s="50" t="str">
        <x:f>IF(947&gt;$H$4,"",IF(INDEX('Fleet dates'!$A$9:$A$1008,$I955-8)="","",INDEX('Fleet dates'!$A$9:$A$1008,$I955-8)))</x:f>
      </x:c>
      <x:c r="B955" s="50" t="str">
        <x:f>IF(947&gt;$H$4,"",IF(INDEX('Fleet dates'!$B$9:$B$1008,$I955-8)="","",INDEX('Fleet dates'!$B$9:$B$1008,$I955-8)))</x:f>
      </x:c>
      <x:c r="C955" s="51" t="str">
        <x:f>IF(947&gt;$H$4,"",IF(INDEX('Fleet dates'!$C$9:$C$1008,$I955-8)="","",INDEX('Fleet dates'!$C$9:$C$1008,$I955-8)))</x:f>
      </x:c>
      <x:c r="D955" s="51" t="str">
        <x:f>IF(947&gt;$H$4,"",IF(INDEX('Fleet dates'!$D$9:$D$1008,$I955-8)="","",INDEX('Fleet dates'!$D$9:$D$1008,$I955-8)))</x:f>
      </x:c>
      <x:c r="E955" s="51" t="str">
        <x:f>IF(947&gt;$H$4,"",IF(INDEX('Fleet dates'!$E$9:$E$1008,$I955-8)="","",INDEX('Fleet dates'!$E$9:$E$1008,$I955-8)))</x:f>
      </x:c>
      <x:c r="F955" s="51" t="str">
        <x:f>IF(947&gt;$H$4,"",IF(INDEX('Fleet dates'!$F$9:$F$1008,$I955-8)="","",INDEX('Fleet dates'!$F$9:$F$1008,$I955-8)))</x:f>
      </x:c>
      <x:c r="G955" s="50" t="str">
        <x:f>IF(947&gt;$H$4,"",IF(INDEX('Fleet dates'!$G$9:$G$1008,$I955-8)="","",INDEX('Fleet dates'!$G$9:$G$1008,$I955-8)))</x:f>
      </x:c>
      <x:c r="H955" s="50" t="str">
        <x:f>IF(947&gt;$H$4,"",IF(INDEX('Fleet dates'!$I$9:$I$1008,$I955-8)="","",INDEX('Fleet dates'!$I$9:$I$1008,$I955-8)))</x:f>
      </x:c>
      <x:c r="I955" t="str">
        <x:f>IF(947&gt;$H$4,"",MATCH(947,'Fleet dates'!$M$9:$M$1008,0)+8)</x:f>
      </x:c>
    </x:row>
    <x:row r="956" ht="36" customHeight="1">
      <x:c r="A956" s="50" t="str">
        <x:f>IF(948&gt;$H$4,"",IF(INDEX('Fleet dates'!$A$9:$A$1008,$I956-8)="","",INDEX('Fleet dates'!$A$9:$A$1008,$I956-8)))</x:f>
      </x:c>
      <x:c r="B956" s="50" t="str">
        <x:f>IF(948&gt;$H$4,"",IF(INDEX('Fleet dates'!$B$9:$B$1008,$I956-8)="","",INDEX('Fleet dates'!$B$9:$B$1008,$I956-8)))</x:f>
      </x:c>
      <x:c r="C956" s="51" t="str">
        <x:f>IF(948&gt;$H$4,"",IF(INDEX('Fleet dates'!$C$9:$C$1008,$I956-8)="","",INDEX('Fleet dates'!$C$9:$C$1008,$I956-8)))</x:f>
      </x:c>
      <x:c r="D956" s="51" t="str">
        <x:f>IF(948&gt;$H$4,"",IF(INDEX('Fleet dates'!$D$9:$D$1008,$I956-8)="","",INDEX('Fleet dates'!$D$9:$D$1008,$I956-8)))</x:f>
      </x:c>
      <x:c r="E956" s="51" t="str">
        <x:f>IF(948&gt;$H$4,"",IF(INDEX('Fleet dates'!$E$9:$E$1008,$I956-8)="","",INDEX('Fleet dates'!$E$9:$E$1008,$I956-8)))</x:f>
      </x:c>
      <x:c r="F956" s="51" t="str">
        <x:f>IF(948&gt;$H$4,"",IF(INDEX('Fleet dates'!$F$9:$F$1008,$I956-8)="","",INDEX('Fleet dates'!$F$9:$F$1008,$I956-8)))</x:f>
      </x:c>
      <x:c r="G956" s="50" t="str">
        <x:f>IF(948&gt;$H$4,"",IF(INDEX('Fleet dates'!$G$9:$G$1008,$I956-8)="","",INDEX('Fleet dates'!$G$9:$G$1008,$I956-8)))</x:f>
      </x:c>
      <x:c r="H956" s="50" t="str">
        <x:f>IF(948&gt;$H$4,"",IF(INDEX('Fleet dates'!$I$9:$I$1008,$I956-8)="","",INDEX('Fleet dates'!$I$9:$I$1008,$I956-8)))</x:f>
      </x:c>
      <x:c r="I956" t="str">
        <x:f>IF(948&gt;$H$4,"",MATCH(948,'Fleet dates'!$M$9:$M$1008,0)+8)</x:f>
      </x:c>
    </x:row>
    <x:row r="957" ht="36" customHeight="1">
      <x:c r="A957" s="50" t="str">
        <x:f>IF(949&gt;$H$4,"",IF(INDEX('Fleet dates'!$A$9:$A$1008,$I957-8)="","",INDEX('Fleet dates'!$A$9:$A$1008,$I957-8)))</x:f>
      </x:c>
      <x:c r="B957" s="50" t="str">
        <x:f>IF(949&gt;$H$4,"",IF(INDEX('Fleet dates'!$B$9:$B$1008,$I957-8)="","",INDEX('Fleet dates'!$B$9:$B$1008,$I957-8)))</x:f>
      </x:c>
      <x:c r="C957" s="51" t="str">
        <x:f>IF(949&gt;$H$4,"",IF(INDEX('Fleet dates'!$C$9:$C$1008,$I957-8)="","",INDEX('Fleet dates'!$C$9:$C$1008,$I957-8)))</x:f>
      </x:c>
      <x:c r="D957" s="51" t="str">
        <x:f>IF(949&gt;$H$4,"",IF(INDEX('Fleet dates'!$D$9:$D$1008,$I957-8)="","",INDEX('Fleet dates'!$D$9:$D$1008,$I957-8)))</x:f>
      </x:c>
      <x:c r="E957" s="51" t="str">
        <x:f>IF(949&gt;$H$4,"",IF(INDEX('Fleet dates'!$E$9:$E$1008,$I957-8)="","",INDEX('Fleet dates'!$E$9:$E$1008,$I957-8)))</x:f>
      </x:c>
      <x:c r="F957" s="51" t="str">
        <x:f>IF(949&gt;$H$4,"",IF(INDEX('Fleet dates'!$F$9:$F$1008,$I957-8)="","",INDEX('Fleet dates'!$F$9:$F$1008,$I957-8)))</x:f>
      </x:c>
      <x:c r="G957" s="50" t="str">
        <x:f>IF(949&gt;$H$4,"",IF(INDEX('Fleet dates'!$G$9:$G$1008,$I957-8)="","",INDEX('Fleet dates'!$G$9:$G$1008,$I957-8)))</x:f>
      </x:c>
      <x:c r="H957" s="50" t="str">
        <x:f>IF(949&gt;$H$4,"",IF(INDEX('Fleet dates'!$I$9:$I$1008,$I957-8)="","",INDEX('Fleet dates'!$I$9:$I$1008,$I957-8)))</x:f>
      </x:c>
      <x:c r="I957" t="str">
        <x:f>IF(949&gt;$H$4,"",MATCH(949,'Fleet dates'!$M$9:$M$1008,0)+8)</x:f>
      </x:c>
    </x:row>
    <x:row r="958" ht="36" customHeight="1">
      <x:c r="A958" s="50" t="str">
        <x:f>IF(950&gt;$H$4,"",IF(INDEX('Fleet dates'!$A$9:$A$1008,$I958-8)="","",INDEX('Fleet dates'!$A$9:$A$1008,$I958-8)))</x:f>
      </x:c>
      <x:c r="B958" s="50" t="str">
        <x:f>IF(950&gt;$H$4,"",IF(INDEX('Fleet dates'!$B$9:$B$1008,$I958-8)="","",INDEX('Fleet dates'!$B$9:$B$1008,$I958-8)))</x:f>
      </x:c>
      <x:c r="C958" s="51" t="str">
        <x:f>IF(950&gt;$H$4,"",IF(INDEX('Fleet dates'!$C$9:$C$1008,$I958-8)="","",INDEX('Fleet dates'!$C$9:$C$1008,$I958-8)))</x:f>
      </x:c>
      <x:c r="D958" s="51" t="str">
        <x:f>IF(950&gt;$H$4,"",IF(INDEX('Fleet dates'!$D$9:$D$1008,$I958-8)="","",INDEX('Fleet dates'!$D$9:$D$1008,$I958-8)))</x:f>
      </x:c>
      <x:c r="E958" s="51" t="str">
        <x:f>IF(950&gt;$H$4,"",IF(INDEX('Fleet dates'!$E$9:$E$1008,$I958-8)="","",INDEX('Fleet dates'!$E$9:$E$1008,$I958-8)))</x:f>
      </x:c>
      <x:c r="F958" s="51" t="str">
        <x:f>IF(950&gt;$H$4,"",IF(INDEX('Fleet dates'!$F$9:$F$1008,$I958-8)="","",INDEX('Fleet dates'!$F$9:$F$1008,$I958-8)))</x:f>
      </x:c>
      <x:c r="G958" s="50" t="str">
        <x:f>IF(950&gt;$H$4,"",IF(INDEX('Fleet dates'!$G$9:$G$1008,$I958-8)="","",INDEX('Fleet dates'!$G$9:$G$1008,$I958-8)))</x:f>
      </x:c>
      <x:c r="H958" s="50" t="str">
        <x:f>IF(950&gt;$H$4,"",IF(INDEX('Fleet dates'!$I$9:$I$1008,$I958-8)="","",INDEX('Fleet dates'!$I$9:$I$1008,$I958-8)))</x:f>
      </x:c>
      <x:c r="I958" t="str">
        <x:f>IF(950&gt;$H$4,"",MATCH(950,'Fleet dates'!$M$9:$M$1008,0)+8)</x:f>
      </x:c>
    </x:row>
    <x:row r="959" ht="36" customHeight="1">
      <x:c r="A959" s="50" t="str">
        <x:f>IF(951&gt;$H$4,"",IF(INDEX('Fleet dates'!$A$9:$A$1008,$I959-8)="","",INDEX('Fleet dates'!$A$9:$A$1008,$I959-8)))</x:f>
      </x:c>
      <x:c r="B959" s="50" t="str">
        <x:f>IF(951&gt;$H$4,"",IF(INDEX('Fleet dates'!$B$9:$B$1008,$I959-8)="","",INDEX('Fleet dates'!$B$9:$B$1008,$I959-8)))</x:f>
      </x:c>
      <x:c r="C959" s="51" t="str">
        <x:f>IF(951&gt;$H$4,"",IF(INDEX('Fleet dates'!$C$9:$C$1008,$I959-8)="","",INDEX('Fleet dates'!$C$9:$C$1008,$I959-8)))</x:f>
      </x:c>
      <x:c r="D959" s="51" t="str">
        <x:f>IF(951&gt;$H$4,"",IF(INDEX('Fleet dates'!$D$9:$D$1008,$I959-8)="","",INDEX('Fleet dates'!$D$9:$D$1008,$I959-8)))</x:f>
      </x:c>
      <x:c r="E959" s="51" t="str">
        <x:f>IF(951&gt;$H$4,"",IF(INDEX('Fleet dates'!$E$9:$E$1008,$I959-8)="","",INDEX('Fleet dates'!$E$9:$E$1008,$I959-8)))</x:f>
      </x:c>
      <x:c r="F959" s="51" t="str">
        <x:f>IF(951&gt;$H$4,"",IF(INDEX('Fleet dates'!$F$9:$F$1008,$I959-8)="","",INDEX('Fleet dates'!$F$9:$F$1008,$I959-8)))</x:f>
      </x:c>
      <x:c r="G959" s="50" t="str">
        <x:f>IF(951&gt;$H$4,"",IF(INDEX('Fleet dates'!$G$9:$G$1008,$I959-8)="","",INDEX('Fleet dates'!$G$9:$G$1008,$I959-8)))</x:f>
      </x:c>
      <x:c r="H959" s="50" t="str">
        <x:f>IF(951&gt;$H$4,"",IF(INDEX('Fleet dates'!$I$9:$I$1008,$I959-8)="","",INDEX('Fleet dates'!$I$9:$I$1008,$I959-8)))</x:f>
      </x:c>
      <x:c r="I959" t="str">
        <x:f>IF(951&gt;$H$4,"",MATCH(951,'Fleet dates'!$M$9:$M$1008,0)+8)</x:f>
      </x:c>
    </x:row>
    <x:row r="960" ht="36" customHeight="1">
      <x:c r="A960" s="50" t="str">
        <x:f>IF(952&gt;$H$4,"",IF(INDEX('Fleet dates'!$A$9:$A$1008,$I960-8)="","",INDEX('Fleet dates'!$A$9:$A$1008,$I960-8)))</x:f>
      </x:c>
      <x:c r="B960" s="50" t="str">
        <x:f>IF(952&gt;$H$4,"",IF(INDEX('Fleet dates'!$B$9:$B$1008,$I960-8)="","",INDEX('Fleet dates'!$B$9:$B$1008,$I960-8)))</x:f>
      </x:c>
      <x:c r="C960" s="51" t="str">
        <x:f>IF(952&gt;$H$4,"",IF(INDEX('Fleet dates'!$C$9:$C$1008,$I960-8)="","",INDEX('Fleet dates'!$C$9:$C$1008,$I960-8)))</x:f>
      </x:c>
      <x:c r="D960" s="51" t="str">
        <x:f>IF(952&gt;$H$4,"",IF(INDEX('Fleet dates'!$D$9:$D$1008,$I960-8)="","",INDEX('Fleet dates'!$D$9:$D$1008,$I960-8)))</x:f>
      </x:c>
      <x:c r="E960" s="51" t="str">
        <x:f>IF(952&gt;$H$4,"",IF(INDEX('Fleet dates'!$E$9:$E$1008,$I960-8)="","",INDEX('Fleet dates'!$E$9:$E$1008,$I960-8)))</x:f>
      </x:c>
      <x:c r="F960" s="51" t="str">
        <x:f>IF(952&gt;$H$4,"",IF(INDEX('Fleet dates'!$F$9:$F$1008,$I960-8)="","",INDEX('Fleet dates'!$F$9:$F$1008,$I960-8)))</x:f>
      </x:c>
      <x:c r="G960" s="50" t="str">
        <x:f>IF(952&gt;$H$4,"",IF(INDEX('Fleet dates'!$G$9:$G$1008,$I960-8)="","",INDEX('Fleet dates'!$G$9:$G$1008,$I960-8)))</x:f>
      </x:c>
      <x:c r="H960" s="50" t="str">
        <x:f>IF(952&gt;$H$4,"",IF(INDEX('Fleet dates'!$I$9:$I$1008,$I960-8)="","",INDEX('Fleet dates'!$I$9:$I$1008,$I960-8)))</x:f>
      </x:c>
      <x:c r="I960" t="str">
        <x:f>IF(952&gt;$H$4,"",MATCH(952,'Fleet dates'!$M$9:$M$1008,0)+8)</x:f>
      </x:c>
    </x:row>
    <x:row r="961" ht="36" customHeight="1">
      <x:c r="A961" s="50" t="str">
        <x:f>IF(953&gt;$H$4,"",IF(INDEX('Fleet dates'!$A$9:$A$1008,$I961-8)="","",INDEX('Fleet dates'!$A$9:$A$1008,$I961-8)))</x:f>
      </x:c>
      <x:c r="B961" s="50" t="str">
        <x:f>IF(953&gt;$H$4,"",IF(INDEX('Fleet dates'!$B$9:$B$1008,$I961-8)="","",INDEX('Fleet dates'!$B$9:$B$1008,$I961-8)))</x:f>
      </x:c>
      <x:c r="C961" s="51" t="str">
        <x:f>IF(953&gt;$H$4,"",IF(INDEX('Fleet dates'!$C$9:$C$1008,$I961-8)="","",INDEX('Fleet dates'!$C$9:$C$1008,$I961-8)))</x:f>
      </x:c>
      <x:c r="D961" s="51" t="str">
        <x:f>IF(953&gt;$H$4,"",IF(INDEX('Fleet dates'!$D$9:$D$1008,$I961-8)="","",INDEX('Fleet dates'!$D$9:$D$1008,$I961-8)))</x:f>
      </x:c>
      <x:c r="E961" s="51" t="str">
        <x:f>IF(953&gt;$H$4,"",IF(INDEX('Fleet dates'!$E$9:$E$1008,$I961-8)="","",INDEX('Fleet dates'!$E$9:$E$1008,$I961-8)))</x:f>
      </x:c>
      <x:c r="F961" s="51" t="str">
        <x:f>IF(953&gt;$H$4,"",IF(INDEX('Fleet dates'!$F$9:$F$1008,$I961-8)="","",INDEX('Fleet dates'!$F$9:$F$1008,$I961-8)))</x:f>
      </x:c>
      <x:c r="G961" s="50" t="str">
        <x:f>IF(953&gt;$H$4,"",IF(INDEX('Fleet dates'!$G$9:$G$1008,$I961-8)="","",INDEX('Fleet dates'!$G$9:$G$1008,$I961-8)))</x:f>
      </x:c>
      <x:c r="H961" s="50" t="str">
        <x:f>IF(953&gt;$H$4,"",IF(INDEX('Fleet dates'!$I$9:$I$1008,$I961-8)="","",INDEX('Fleet dates'!$I$9:$I$1008,$I961-8)))</x:f>
      </x:c>
      <x:c r="I961" t="str">
        <x:f>IF(953&gt;$H$4,"",MATCH(953,'Fleet dates'!$M$9:$M$1008,0)+8)</x:f>
      </x:c>
    </x:row>
    <x:row r="962" ht="36" customHeight="1">
      <x:c r="A962" s="50" t="str">
        <x:f>IF(954&gt;$H$4,"",IF(INDEX('Fleet dates'!$A$9:$A$1008,$I962-8)="","",INDEX('Fleet dates'!$A$9:$A$1008,$I962-8)))</x:f>
      </x:c>
      <x:c r="B962" s="50" t="str">
        <x:f>IF(954&gt;$H$4,"",IF(INDEX('Fleet dates'!$B$9:$B$1008,$I962-8)="","",INDEX('Fleet dates'!$B$9:$B$1008,$I962-8)))</x:f>
      </x:c>
      <x:c r="C962" s="51" t="str">
        <x:f>IF(954&gt;$H$4,"",IF(INDEX('Fleet dates'!$C$9:$C$1008,$I962-8)="","",INDEX('Fleet dates'!$C$9:$C$1008,$I962-8)))</x:f>
      </x:c>
      <x:c r="D962" s="51" t="str">
        <x:f>IF(954&gt;$H$4,"",IF(INDEX('Fleet dates'!$D$9:$D$1008,$I962-8)="","",INDEX('Fleet dates'!$D$9:$D$1008,$I962-8)))</x:f>
      </x:c>
      <x:c r="E962" s="51" t="str">
        <x:f>IF(954&gt;$H$4,"",IF(INDEX('Fleet dates'!$E$9:$E$1008,$I962-8)="","",INDEX('Fleet dates'!$E$9:$E$1008,$I962-8)))</x:f>
      </x:c>
      <x:c r="F962" s="51" t="str">
        <x:f>IF(954&gt;$H$4,"",IF(INDEX('Fleet dates'!$F$9:$F$1008,$I962-8)="","",INDEX('Fleet dates'!$F$9:$F$1008,$I962-8)))</x:f>
      </x:c>
      <x:c r="G962" s="50" t="str">
        <x:f>IF(954&gt;$H$4,"",IF(INDEX('Fleet dates'!$G$9:$G$1008,$I962-8)="","",INDEX('Fleet dates'!$G$9:$G$1008,$I962-8)))</x:f>
      </x:c>
      <x:c r="H962" s="50" t="str">
        <x:f>IF(954&gt;$H$4,"",IF(INDEX('Fleet dates'!$I$9:$I$1008,$I962-8)="","",INDEX('Fleet dates'!$I$9:$I$1008,$I962-8)))</x:f>
      </x:c>
      <x:c r="I962" t="str">
        <x:f>IF(954&gt;$H$4,"",MATCH(954,'Fleet dates'!$M$9:$M$1008,0)+8)</x:f>
      </x:c>
    </x:row>
    <x:row r="963" ht="36" customHeight="1">
      <x:c r="A963" s="50" t="str">
        <x:f>IF(955&gt;$H$4,"",IF(INDEX('Fleet dates'!$A$9:$A$1008,$I963-8)="","",INDEX('Fleet dates'!$A$9:$A$1008,$I963-8)))</x:f>
      </x:c>
      <x:c r="B963" s="50" t="str">
        <x:f>IF(955&gt;$H$4,"",IF(INDEX('Fleet dates'!$B$9:$B$1008,$I963-8)="","",INDEX('Fleet dates'!$B$9:$B$1008,$I963-8)))</x:f>
      </x:c>
      <x:c r="C963" s="51" t="str">
        <x:f>IF(955&gt;$H$4,"",IF(INDEX('Fleet dates'!$C$9:$C$1008,$I963-8)="","",INDEX('Fleet dates'!$C$9:$C$1008,$I963-8)))</x:f>
      </x:c>
      <x:c r="D963" s="51" t="str">
        <x:f>IF(955&gt;$H$4,"",IF(INDEX('Fleet dates'!$D$9:$D$1008,$I963-8)="","",INDEX('Fleet dates'!$D$9:$D$1008,$I963-8)))</x:f>
      </x:c>
      <x:c r="E963" s="51" t="str">
        <x:f>IF(955&gt;$H$4,"",IF(INDEX('Fleet dates'!$E$9:$E$1008,$I963-8)="","",INDEX('Fleet dates'!$E$9:$E$1008,$I963-8)))</x:f>
      </x:c>
      <x:c r="F963" s="51" t="str">
        <x:f>IF(955&gt;$H$4,"",IF(INDEX('Fleet dates'!$F$9:$F$1008,$I963-8)="","",INDEX('Fleet dates'!$F$9:$F$1008,$I963-8)))</x:f>
      </x:c>
      <x:c r="G963" s="50" t="str">
        <x:f>IF(955&gt;$H$4,"",IF(INDEX('Fleet dates'!$G$9:$G$1008,$I963-8)="","",INDEX('Fleet dates'!$G$9:$G$1008,$I963-8)))</x:f>
      </x:c>
      <x:c r="H963" s="50" t="str">
        <x:f>IF(955&gt;$H$4,"",IF(INDEX('Fleet dates'!$I$9:$I$1008,$I963-8)="","",INDEX('Fleet dates'!$I$9:$I$1008,$I963-8)))</x:f>
      </x:c>
      <x:c r="I963" t="str">
        <x:f>IF(955&gt;$H$4,"",MATCH(955,'Fleet dates'!$M$9:$M$1008,0)+8)</x:f>
      </x:c>
    </x:row>
    <x:row r="964" ht="36" customHeight="1">
      <x:c r="A964" s="50" t="str">
        <x:f>IF(956&gt;$H$4,"",IF(INDEX('Fleet dates'!$A$9:$A$1008,$I964-8)="","",INDEX('Fleet dates'!$A$9:$A$1008,$I964-8)))</x:f>
      </x:c>
      <x:c r="B964" s="50" t="str">
        <x:f>IF(956&gt;$H$4,"",IF(INDEX('Fleet dates'!$B$9:$B$1008,$I964-8)="","",INDEX('Fleet dates'!$B$9:$B$1008,$I964-8)))</x:f>
      </x:c>
      <x:c r="C964" s="51" t="str">
        <x:f>IF(956&gt;$H$4,"",IF(INDEX('Fleet dates'!$C$9:$C$1008,$I964-8)="","",INDEX('Fleet dates'!$C$9:$C$1008,$I964-8)))</x:f>
      </x:c>
      <x:c r="D964" s="51" t="str">
        <x:f>IF(956&gt;$H$4,"",IF(INDEX('Fleet dates'!$D$9:$D$1008,$I964-8)="","",INDEX('Fleet dates'!$D$9:$D$1008,$I964-8)))</x:f>
      </x:c>
      <x:c r="E964" s="51" t="str">
        <x:f>IF(956&gt;$H$4,"",IF(INDEX('Fleet dates'!$E$9:$E$1008,$I964-8)="","",INDEX('Fleet dates'!$E$9:$E$1008,$I964-8)))</x:f>
      </x:c>
      <x:c r="F964" s="51" t="str">
        <x:f>IF(956&gt;$H$4,"",IF(INDEX('Fleet dates'!$F$9:$F$1008,$I964-8)="","",INDEX('Fleet dates'!$F$9:$F$1008,$I964-8)))</x:f>
      </x:c>
      <x:c r="G964" s="50" t="str">
        <x:f>IF(956&gt;$H$4,"",IF(INDEX('Fleet dates'!$G$9:$G$1008,$I964-8)="","",INDEX('Fleet dates'!$G$9:$G$1008,$I964-8)))</x:f>
      </x:c>
      <x:c r="H964" s="50" t="str">
        <x:f>IF(956&gt;$H$4,"",IF(INDEX('Fleet dates'!$I$9:$I$1008,$I964-8)="","",INDEX('Fleet dates'!$I$9:$I$1008,$I964-8)))</x:f>
      </x:c>
      <x:c r="I964" t="str">
        <x:f>IF(956&gt;$H$4,"",MATCH(956,'Fleet dates'!$M$9:$M$1008,0)+8)</x:f>
      </x:c>
    </x:row>
    <x:row r="965" ht="36" customHeight="1">
      <x:c r="A965" s="50" t="str">
        <x:f>IF(957&gt;$H$4,"",IF(INDEX('Fleet dates'!$A$9:$A$1008,$I965-8)="","",INDEX('Fleet dates'!$A$9:$A$1008,$I965-8)))</x:f>
      </x:c>
      <x:c r="B965" s="50" t="str">
        <x:f>IF(957&gt;$H$4,"",IF(INDEX('Fleet dates'!$B$9:$B$1008,$I965-8)="","",INDEX('Fleet dates'!$B$9:$B$1008,$I965-8)))</x:f>
      </x:c>
      <x:c r="C965" s="51" t="str">
        <x:f>IF(957&gt;$H$4,"",IF(INDEX('Fleet dates'!$C$9:$C$1008,$I965-8)="","",INDEX('Fleet dates'!$C$9:$C$1008,$I965-8)))</x:f>
      </x:c>
      <x:c r="D965" s="51" t="str">
        <x:f>IF(957&gt;$H$4,"",IF(INDEX('Fleet dates'!$D$9:$D$1008,$I965-8)="","",INDEX('Fleet dates'!$D$9:$D$1008,$I965-8)))</x:f>
      </x:c>
      <x:c r="E965" s="51" t="str">
        <x:f>IF(957&gt;$H$4,"",IF(INDEX('Fleet dates'!$E$9:$E$1008,$I965-8)="","",INDEX('Fleet dates'!$E$9:$E$1008,$I965-8)))</x:f>
      </x:c>
      <x:c r="F965" s="51" t="str">
        <x:f>IF(957&gt;$H$4,"",IF(INDEX('Fleet dates'!$F$9:$F$1008,$I965-8)="","",INDEX('Fleet dates'!$F$9:$F$1008,$I965-8)))</x:f>
      </x:c>
      <x:c r="G965" s="50" t="str">
        <x:f>IF(957&gt;$H$4,"",IF(INDEX('Fleet dates'!$G$9:$G$1008,$I965-8)="","",INDEX('Fleet dates'!$G$9:$G$1008,$I965-8)))</x:f>
      </x:c>
      <x:c r="H965" s="50" t="str">
        <x:f>IF(957&gt;$H$4,"",IF(INDEX('Fleet dates'!$I$9:$I$1008,$I965-8)="","",INDEX('Fleet dates'!$I$9:$I$1008,$I965-8)))</x:f>
      </x:c>
      <x:c r="I965" t="str">
        <x:f>IF(957&gt;$H$4,"",MATCH(957,'Fleet dates'!$M$9:$M$1008,0)+8)</x:f>
      </x:c>
    </x:row>
    <x:row r="966" ht="36" customHeight="1">
      <x:c r="A966" s="50" t="str">
        <x:f>IF(958&gt;$H$4,"",IF(INDEX('Fleet dates'!$A$9:$A$1008,$I966-8)="","",INDEX('Fleet dates'!$A$9:$A$1008,$I966-8)))</x:f>
      </x:c>
      <x:c r="B966" s="50" t="str">
        <x:f>IF(958&gt;$H$4,"",IF(INDEX('Fleet dates'!$B$9:$B$1008,$I966-8)="","",INDEX('Fleet dates'!$B$9:$B$1008,$I966-8)))</x:f>
      </x:c>
      <x:c r="C966" s="51" t="str">
        <x:f>IF(958&gt;$H$4,"",IF(INDEX('Fleet dates'!$C$9:$C$1008,$I966-8)="","",INDEX('Fleet dates'!$C$9:$C$1008,$I966-8)))</x:f>
      </x:c>
      <x:c r="D966" s="51" t="str">
        <x:f>IF(958&gt;$H$4,"",IF(INDEX('Fleet dates'!$D$9:$D$1008,$I966-8)="","",INDEX('Fleet dates'!$D$9:$D$1008,$I966-8)))</x:f>
      </x:c>
      <x:c r="E966" s="51" t="str">
        <x:f>IF(958&gt;$H$4,"",IF(INDEX('Fleet dates'!$E$9:$E$1008,$I966-8)="","",INDEX('Fleet dates'!$E$9:$E$1008,$I966-8)))</x:f>
      </x:c>
      <x:c r="F966" s="51" t="str">
        <x:f>IF(958&gt;$H$4,"",IF(INDEX('Fleet dates'!$F$9:$F$1008,$I966-8)="","",INDEX('Fleet dates'!$F$9:$F$1008,$I966-8)))</x:f>
      </x:c>
      <x:c r="G966" s="50" t="str">
        <x:f>IF(958&gt;$H$4,"",IF(INDEX('Fleet dates'!$G$9:$G$1008,$I966-8)="","",INDEX('Fleet dates'!$G$9:$G$1008,$I966-8)))</x:f>
      </x:c>
      <x:c r="H966" s="50" t="str">
        <x:f>IF(958&gt;$H$4,"",IF(INDEX('Fleet dates'!$I$9:$I$1008,$I966-8)="","",INDEX('Fleet dates'!$I$9:$I$1008,$I966-8)))</x:f>
      </x:c>
      <x:c r="I966" t="str">
        <x:f>IF(958&gt;$H$4,"",MATCH(958,'Fleet dates'!$M$9:$M$1008,0)+8)</x:f>
      </x:c>
    </x:row>
    <x:row r="967" ht="36" customHeight="1">
      <x:c r="A967" s="50" t="str">
        <x:f>IF(959&gt;$H$4,"",IF(INDEX('Fleet dates'!$A$9:$A$1008,$I967-8)="","",INDEX('Fleet dates'!$A$9:$A$1008,$I967-8)))</x:f>
      </x:c>
      <x:c r="B967" s="50" t="str">
        <x:f>IF(959&gt;$H$4,"",IF(INDEX('Fleet dates'!$B$9:$B$1008,$I967-8)="","",INDEX('Fleet dates'!$B$9:$B$1008,$I967-8)))</x:f>
      </x:c>
      <x:c r="C967" s="51" t="str">
        <x:f>IF(959&gt;$H$4,"",IF(INDEX('Fleet dates'!$C$9:$C$1008,$I967-8)="","",INDEX('Fleet dates'!$C$9:$C$1008,$I967-8)))</x:f>
      </x:c>
      <x:c r="D967" s="51" t="str">
        <x:f>IF(959&gt;$H$4,"",IF(INDEX('Fleet dates'!$D$9:$D$1008,$I967-8)="","",INDEX('Fleet dates'!$D$9:$D$1008,$I967-8)))</x:f>
      </x:c>
      <x:c r="E967" s="51" t="str">
        <x:f>IF(959&gt;$H$4,"",IF(INDEX('Fleet dates'!$E$9:$E$1008,$I967-8)="","",INDEX('Fleet dates'!$E$9:$E$1008,$I967-8)))</x:f>
      </x:c>
      <x:c r="F967" s="51" t="str">
        <x:f>IF(959&gt;$H$4,"",IF(INDEX('Fleet dates'!$F$9:$F$1008,$I967-8)="","",INDEX('Fleet dates'!$F$9:$F$1008,$I967-8)))</x:f>
      </x:c>
      <x:c r="G967" s="50" t="str">
        <x:f>IF(959&gt;$H$4,"",IF(INDEX('Fleet dates'!$G$9:$G$1008,$I967-8)="","",INDEX('Fleet dates'!$G$9:$G$1008,$I967-8)))</x:f>
      </x:c>
      <x:c r="H967" s="50" t="str">
        <x:f>IF(959&gt;$H$4,"",IF(INDEX('Fleet dates'!$I$9:$I$1008,$I967-8)="","",INDEX('Fleet dates'!$I$9:$I$1008,$I967-8)))</x:f>
      </x:c>
      <x:c r="I967" t="str">
        <x:f>IF(959&gt;$H$4,"",MATCH(959,'Fleet dates'!$M$9:$M$1008,0)+8)</x:f>
      </x:c>
    </x:row>
    <x:row r="968" ht="36" customHeight="1">
      <x:c r="A968" s="50" t="str">
        <x:f>IF(960&gt;$H$4,"",IF(INDEX('Fleet dates'!$A$9:$A$1008,$I968-8)="","",INDEX('Fleet dates'!$A$9:$A$1008,$I968-8)))</x:f>
      </x:c>
      <x:c r="B968" s="50" t="str">
        <x:f>IF(960&gt;$H$4,"",IF(INDEX('Fleet dates'!$B$9:$B$1008,$I968-8)="","",INDEX('Fleet dates'!$B$9:$B$1008,$I968-8)))</x:f>
      </x:c>
      <x:c r="C968" s="51" t="str">
        <x:f>IF(960&gt;$H$4,"",IF(INDEX('Fleet dates'!$C$9:$C$1008,$I968-8)="","",INDEX('Fleet dates'!$C$9:$C$1008,$I968-8)))</x:f>
      </x:c>
      <x:c r="D968" s="51" t="str">
        <x:f>IF(960&gt;$H$4,"",IF(INDEX('Fleet dates'!$D$9:$D$1008,$I968-8)="","",INDEX('Fleet dates'!$D$9:$D$1008,$I968-8)))</x:f>
      </x:c>
      <x:c r="E968" s="51" t="str">
        <x:f>IF(960&gt;$H$4,"",IF(INDEX('Fleet dates'!$E$9:$E$1008,$I968-8)="","",INDEX('Fleet dates'!$E$9:$E$1008,$I968-8)))</x:f>
      </x:c>
      <x:c r="F968" s="51" t="str">
        <x:f>IF(960&gt;$H$4,"",IF(INDEX('Fleet dates'!$F$9:$F$1008,$I968-8)="","",INDEX('Fleet dates'!$F$9:$F$1008,$I968-8)))</x:f>
      </x:c>
      <x:c r="G968" s="50" t="str">
        <x:f>IF(960&gt;$H$4,"",IF(INDEX('Fleet dates'!$G$9:$G$1008,$I968-8)="","",INDEX('Fleet dates'!$G$9:$G$1008,$I968-8)))</x:f>
      </x:c>
      <x:c r="H968" s="50" t="str">
        <x:f>IF(960&gt;$H$4,"",IF(INDEX('Fleet dates'!$I$9:$I$1008,$I968-8)="","",INDEX('Fleet dates'!$I$9:$I$1008,$I968-8)))</x:f>
      </x:c>
      <x:c r="I968" t="str">
        <x:f>IF(960&gt;$H$4,"",MATCH(960,'Fleet dates'!$M$9:$M$1008,0)+8)</x:f>
      </x:c>
    </x:row>
    <x:row r="969" ht="36" customHeight="1">
      <x:c r="A969" s="50" t="str">
        <x:f>IF(961&gt;$H$4,"",IF(INDEX('Fleet dates'!$A$9:$A$1008,$I969-8)="","",INDEX('Fleet dates'!$A$9:$A$1008,$I969-8)))</x:f>
      </x:c>
      <x:c r="B969" s="50" t="str">
        <x:f>IF(961&gt;$H$4,"",IF(INDEX('Fleet dates'!$B$9:$B$1008,$I969-8)="","",INDEX('Fleet dates'!$B$9:$B$1008,$I969-8)))</x:f>
      </x:c>
      <x:c r="C969" s="51" t="str">
        <x:f>IF(961&gt;$H$4,"",IF(INDEX('Fleet dates'!$C$9:$C$1008,$I969-8)="","",INDEX('Fleet dates'!$C$9:$C$1008,$I969-8)))</x:f>
      </x:c>
      <x:c r="D969" s="51" t="str">
        <x:f>IF(961&gt;$H$4,"",IF(INDEX('Fleet dates'!$D$9:$D$1008,$I969-8)="","",INDEX('Fleet dates'!$D$9:$D$1008,$I969-8)))</x:f>
      </x:c>
      <x:c r="E969" s="51" t="str">
        <x:f>IF(961&gt;$H$4,"",IF(INDEX('Fleet dates'!$E$9:$E$1008,$I969-8)="","",INDEX('Fleet dates'!$E$9:$E$1008,$I969-8)))</x:f>
      </x:c>
      <x:c r="F969" s="51" t="str">
        <x:f>IF(961&gt;$H$4,"",IF(INDEX('Fleet dates'!$F$9:$F$1008,$I969-8)="","",INDEX('Fleet dates'!$F$9:$F$1008,$I969-8)))</x:f>
      </x:c>
      <x:c r="G969" s="50" t="str">
        <x:f>IF(961&gt;$H$4,"",IF(INDEX('Fleet dates'!$G$9:$G$1008,$I969-8)="","",INDEX('Fleet dates'!$G$9:$G$1008,$I969-8)))</x:f>
      </x:c>
      <x:c r="H969" s="50" t="str">
        <x:f>IF(961&gt;$H$4,"",IF(INDEX('Fleet dates'!$I$9:$I$1008,$I969-8)="","",INDEX('Fleet dates'!$I$9:$I$1008,$I969-8)))</x:f>
      </x:c>
      <x:c r="I969" t="str">
        <x:f>IF(961&gt;$H$4,"",MATCH(961,'Fleet dates'!$M$9:$M$1008,0)+8)</x:f>
      </x:c>
    </x:row>
    <x:row r="970" ht="36" customHeight="1">
      <x:c r="A970" s="50" t="str">
        <x:f>IF(962&gt;$H$4,"",IF(INDEX('Fleet dates'!$A$9:$A$1008,$I970-8)="","",INDEX('Fleet dates'!$A$9:$A$1008,$I970-8)))</x:f>
      </x:c>
      <x:c r="B970" s="50" t="str">
        <x:f>IF(962&gt;$H$4,"",IF(INDEX('Fleet dates'!$B$9:$B$1008,$I970-8)="","",INDEX('Fleet dates'!$B$9:$B$1008,$I970-8)))</x:f>
      </x:c>
      <x:c r="C970" s="51" t="str">
        <x:f>IF(962&gt;$H$4,"",IF(INDEX('Fleet dates'!$C$9:$C$1008,$I970-8)="","",INDEX('Fleet dates'!$C$9:$C$1008,$I970-8)))</x:f>
      </x:c>
      <x:c r="D970" s="51" t="str">
        <x:f>IF(962&gt;$H$4,"",IF(INDEX('Fleet dates'!$D$9:$D$1008,$I970-8)="","",INDEX('Fleet dates'!$D$9:$D$1008,$I970-8)))</x:f>
      </x:c>
      <x:c r="E970" s="51" t="str">
        <x:f>IF(962&gt;$H$4,"",IF(INDEX('Fleet dates'!$E$9:$E$1008,$I970-8)="","",INDEX('Fleet dates'!$E$9:$E$1008,$I970-8)))</x:f>
      </x:c>
      <x:c r="F970" s="51" t="str">
        <x:f>IF(962&gt;$H$4,"",IF(INDEX('Fleet dates'!$F$9:$F$1008,$I970-8)="","",INDEX('Fleet dates'!$F$9:$F$1008,$I970-8)))</x:f>
      </x:c>
      <x:c r="G970" s="50" t="str">
        <x:f>IF(962&gt;$H$4,"",IF(INDEX('Fleet dates'!$G$9:$G$1008,$I970-8)="","",INDEX('Fleet dates'!$G$9:$G$1008,$I970-8)))</x:f>
      </x:c>
      <x:c r="H970" s="50" t="str">
        <x:f>IF(962&gt;$H$4,"",IF(INDEX('Fleet dates'!$I$9:$I$1008,$I970-8)="","",INDEX('Fleet dates'!$I$9:$I$1008,$I970-8)))</x:f>
      </x:c>
      <x:c r="I970" t="str">
        <x:f>IF(962&gt;$H$4,"",MATCH(962,'Fleet dates'!$M$9:$M$1008,0)+8)</x:f>
      </x:c>
    </x:row>
    <x:row r="971" ht="36" customHeight="1">
      <x:c r="A971" s="50" t="str">
        <x:f>IF(963&gt;$H$4,"",IF(INDEX('Fleet dates'!$A$9:$A$1008,$I971-8)="","",INDEX('Fleet dates'!$A$9:$A$1008,$I971-8)))</x:f>
      </x:c>
      <x:c r="B971" s="50" t="str">
        <x:f>IF(963&gt;$H$4,"",IF(INDEX('Fleet dates'!$B$9:$B$1008,$I971-8)="","",INDEX('Fleet dates'!$B$9:$B$1008,$I971-8)))</x:f>
      </x:c>
      <x:c r="C971" s="51" t="str">
        <x:f>IF(963&gt;$H$4,"",IF(INDEX('Fleet dates'!$C$9:$C$1008,$I971-8)="","",INDEX('Fleet dates'!$C$9:$C$1008,$I971-8)))</x:f>
      </x:c>
      <x:c r="D971" s="51" t="str">
        <x:f>IF(963&gt;$H$4,"",IF(INDEX('Fleet dates'!$D$9:$D$1008,$I971-8)="","",INDEX('Fleet dates'!$D$9:$D$1008,$I971-8)))</x:f>
      </x:c>
      <x:c r="E971" s="51" t="str">
        <x:f>IF(963&gt;$H$4,"",IF(INDEX('Fleet dates'!$E$9:$E$1008,$I971-8)="","",INDEX('Fleet dates'!$E$9:$E$1008,$I971-8)))</x:f>
      </x:c>
      <x:c r="F971" s="51" t="str">
        <x:f>IF(963&gt;$H$4,"",IF(INDEX('Fleet dates'!$F$9:$F$1008,$I971-8)="","",INDEX('Fleet dates'!$F$9:$F$1008,$I971-8)))</x:f>
      </x:c>
      <x:c r="G971" s="50" t="str">
        <x:f>IF(963&gt;$H$4,"",IF(INDEX('Fleet dates'!$G$9:$G$1008,$I971-8)="","",INDEX('Fleet dates'!$G$9:$G$1008,$I971-8)))</x:f>
      </x:c>
      <x:c r="H971" s="50" t="str">
        <x:f>IF(963&gt;$H$4,"",IF(INDEX('Fleet dates'!$I$9:$I$1008,$I971-8)="","",INDEX('Fleet dates'!$I$9:$I$1008,$I971-8)))</x:f>
      </x:c>
      <x:c r="I971" t="str">
        <x:f>IF(963&gt;$H$4,"",MATCH(963,'Fleet dates'!$M$9:$M$1008,0)+8)</x:f>
      </x:c>
    </x:row>
    <x:row r="972" ht="36" customHeight="1">
      <x:c r="A972" s="50" t="str">
        <x:f>IF(964&gt;$H$4,"",IF(INDEX('Fleet dates'!$A$9:$A$1008,$I972-8)="","",INDEX('Fleet dates'!$A$9:$A$1008,$I972-8)))</x:f>
      </x:c>
      <x:c r="B972" s="50" t="str">
        <x:f>IF(964&gt;$H$4,"",IF(INDEX('Fleet dates'!$B$9:$B$1008,$I972-8)="","",INDEX('Fleet dates'!$B$9:$B$1008,$I972-8)))</x:f>
      </x:c>
      <x:c r="C972" s="51" t="str">
        <x:f>IF(964&gt;$H$4,"",IF(INDEX('Fleet dates'!$C$9:$C$1008,$I972-8)="","",INDEX('Fleet dates'!$C$9:$C$1008,$I972-8)))</x:f>
      </x:c>
      <x:c r="D972" s="51" t="str">
        <x:f>IF(964&gt;$H$4,"",IF(INDEX('Fleet dates'!$D$9:$D$1008,$I972-8)="","",INDEX('Fleet dates'!$D$9:$D$1008,$I972-8)))</x:f>
      </x:c>
      <x:c r="E972" s="51" t="str">
        <x:f>IF(964&gt;$H$4,"",IF(INDEX('Fleet dates'!$E$9:$E$1008,$I972-8)="","",INDEX('Fleet dates'!$E$9:$E$1008,$I972-8)))</x:f>
      </x:c>
      <x:c r="F972" s="51" t="str">
        <x:f>IF(964&gt;$H$4,"",IF(INDEX('Fleet dates'!$F$9:$F$1008,$I972-8)="","",INDEX('Fleet dates'!$F$9:$F$1008,$I972-8)))</x:f>
      </x:c>
      <x:c r="G972" s="50" t="str">
        <x:f>IF(964&gt;$H$4,"",IF(INDEX('Fleet dates'!$G$9:$G$1008,$I972-8)="","",INDEX('Fleet dates'!$G$9:$G$1008,$I972-8)))</x:f>
      </x:c>
      <x:c r="H972" s="50" t="str">
        <x:f>IF(964&gt;$H$4,"",IF(INDEX('Fleet dates'!$I$9:$I$1008,$I972-8)="","",INDEX('Fleet dates'!$I$9:$I$1008,$I972-8)))</x:f>
      </x:c>
      <x:c r="I972" t="str">
        <x:f>IF(964&gt;$H$4,"",MATCH(964,'Fleet dates'!$M$9:$M$1008,0)+8)</x:f>
      </x:c>
    </x:row>
    <x:row r="973" ht="36" customHeight="1">
      <x:c r="A973" s="50" t="str">
        <x:f>IF(965&gt;$H$4,"",IF(INDEX('Fleet dates'!$A$9:$A$1008,$I973-8)="","",INDEX('Fleet dates'!$A$9:$A$1008,$I973-8)))</x:f>
      </x:c>
      <x:c r="B973" s="50" t="str">
        <x:f>IF(965&gt;$H$4,"",IF(INDEX('Fleet dates'!$B$9:$B$1008,$I973-8)="","",INDEX('Fleet dates'!$B$9:$B$1008,$I973-8)))</x:f>
      </x:c>
      <x:c r="C973" s="51" t="str">
        <x:f>IF(965&gt;$H$4,"",IF(INDEX('Fleet dates'!$C$9:$C$1008,$I973-8)="","",INDEX('Fleet dates'!$C$9:$C$1008,$I973-8)))</x:f>
      </x:c>
      <x:c r="D973" s="51" t="str">
        <x:f>IF(965&gt;$H$4,"",IF(INDEX('Fleet dates'!$D$9:$D$1008,$I973-8)="","",INDEX('Fleet dates'!$D$9:$D$1008,$I973-8)))</x:f>
      </x:c>
      <x:c r="E973" s="51" t="str">
        <x:f>IF(965&gt;$H$4,"",IF(INDEX('Fleet dates'!$E$9:$E$1008,$I973-8)="","",INDEX('Fleet dates'!$E$9:$E$1008,$I973-8)))</x:f>
      </x:c>
      <x:c r="F973" s="51" t="str">
        <x:f>IF(965&gt;$H$4,"",IF(INDEX('Fleet dates'!$F$9:$F$1008,$I973-8)="","",INDEX('Fleet dates'!$F$9:$F$1008,$I973-8)))</x:f>
      </x:c>
      <x:c r="G973" s="50" t="str">
        <x:f>IF(965&gt;$H$4,"",IF(INDEX('Fleet dates'!$G$9:$G$1008,$I973-8)="","",INDEX('Fleet dates'!$G$9:$G$1008,$I973-8)))</x:f>
      </x:c>
      <x:c r="H973" s="50" t="str">
        <x:f>IF(965&gt;$H$4,"",IF(INDEX('Fleet dates'!$I$9:$I$1008,$I973-8)="","",INDEX('Fleet dates'!$I$9:$I$1008,$I973-8)))</x:f>
      </x:c>
      <x:c r="I973" t="str">
        <x:f>IF(965&gt;$H$4,"",MATCH(965,'Fleet dates'!$M$9:$M$1008,0)+8)</x:f>
      </x:c>
    </x:row>
    <x:row r="974" ht="36" customHeight="1">
      <x:c r="A974" s="50" t="str">
        <x:f>IF(966&gt;$H$4,"",IF(INDEX('Fleet dates'!$A$9:$A$1008,$I974-8)="","",INDEX('Fleet dates'!$A$9:$A$1008,$I974-8)))</x:f>
      </x:c>
      <x:c r="B974" s="50" t="str">
        <x:f>IF(966&gt;$H$4,"",IF(INDEX('Fleet dates'!$B$9:$B$1008,$I974-8)="","",INDEX('Fleet dates'!$B$9:$B$1008,$I974-8)))</x:f>
      </x:c>
      <x:c r="C974" s="51" t="str">
        <x:f>IF(966&gt;$H$4,"",IF(INDEX('Fleet dates'!$C$9:$C$1008,$I974-8)="","",INDEX('Fleet dates'!$C$9:$C$1008,$I974-8)))</x:f>
      </x:c>
      <x:c r="D974" s="51" t="str">
        <x:f>IF(966&gt;$H$4,"",IF(INDEX('Fleet dates'!$D$9:$D$1008,$I974-8)="","",INDEX('Fleet dates'!$D$9:$D$1008,$I974-8)))</x:f>
      </x:c>
      <x:c r="E974" s="51" t="str">
        <x:f>IF(966&gt;$H$4,"",IF(INDEX('Fleet dates'!$E$9:$E$1008,$I974-8)="","",INDEX('Fleet dates'!$E$9:$E$1008,$I974-8)))</x:f>
      </x:c>
      <x:c r="F974" s="51" t="str">
        <x:f>IF(966&gt;$H$4,"",IF(INDEX('Fleet dates'!$F$9:$F$1008,$I974-8)="","",INDEX('Fleet dates'!$F$9:$F$1008,$I974-8)))</x:f>
      </x:c>
      <x:c r="G974" s="50" t="str">
        <x:f>IF(966&gt;$H$4,"",IF(INDEX('Fleet dates'!$G$9:$G$1008,$I974-8)="","",INDEX('Fleet dates'!$G$9:$G$1008,$I974-8)))</x:f>
      </x:c>
      <x:c r="H974" s="50" t="str">
        <x:f>IF(966&gt;$H$4,"",IF(INDEX('Fleet dates'!$I$9:$I$1008,$I974-8)="","",INDEX('Fleet dates'!$I$9:$I$1008,$I974-8)))</x:f>
      </x:c>
      <x:c r="I974" t="str">
        <x:f>IF(966&gt;$H$4,"",MATCH(966,'Fleet dates'!$M$9:$M$1008,0)+8)</x:f>
      </x:c>
    </x:row>
    <x:row r="975" ht="36" customHeight="1">
      <x:c r="A975" s="50" t="str">
        <x:f>IF(967&gt;$H$4,"",IF(INDEX('Fleet dates'!$A$9:$A$1008,$I975-8)="","",INDEX('Fleet dates'!$A$9:$A$1008,$I975-8)))</x:f>
      </x:c>
      <x:c r="B975" s="50" t="str">
        <x:f>IF(967&gt;$H$4,"",IF(INDEX('Fleet dates'!$B$9:$B$1008,$I975-8)="","",INDEX('Fleet dates'!$B$9:$B$1008,$I975-8)))</x:f>
      </x:c>
      <x:c r="C975" s="51" t="str">
        <x:f>IF(967&gt;$H$4,"",IF(INDEX('Fleet dates'!$C$9:$C$1008,$I975-8)="","",INDEX('Fleet dates'!$C$9:$C$1008,$I975-8)))</x:f>
      </x:c>
      <x:c r="D975" s="51" t="str">
        <x:f>IF(967&gt;$H$4,"",IF(INDEX('Fleet dates'!$D$9:$D$1008,$I975-8)="","",INDEX('Fleet dates'!$D$9:$D$1008,$I975-8)))</x:f>
      </x:c>
      <x:c r="E975" s="51" t="str">
        <x:f>IF(967&gt;$H$4,"",IF(INDEX('Fleet dates'!$E$9:$E$1008,$I975-8)="","",INDEX('Fleet dates'!$E$9:$E$1008,$I975-8)))</x:f>
      </x:c>
      <x:c r="F975" s="51" t="str">
        <x:f>IF(967&gt;$H$4,"",IF(INDEX('Fleet dates'!$F$9:$F$1008,$I975-8)="","",INDEX('Fleet dates'!$F$9:$F$1008,$I975-8)))</x:f>
      </x:c>
      <x:c r="G975" s="50" t="str">
        <x:f>IF(967&gt;$H$4,"",IF(INDEX('Fleet dates'!$G$9:$G$1008,$I975-8)="","",INDEX('Fleet dates'!$G$9:$G$1008,$I975-8)))</x:f>
      </x:c>
      <x:c r="H975" s="50" t="str">
        <x:f>IF(967&gt;$H$4,"",IF(INDEX('Fleet dates'!$I$9:$I$1008,$I975-8)="","",INDEX('Fleet dates'!$I$9:$I$1008,$I975-8)))</x:f>
      </x:c>
      <x:c r="I975" t="str">
        <x:f>IF(967&gt;$H$4,"",MATCH(967,'Fleet dates'!$M$9:$M$1008,0)+8)</x:f>
      </x:c>
    </x:row>
    <x:row r="976" ht="36" customHeight="1">
      <x:c r="A976" s="50" t="str">
        <x:f>IF(968&gt;$H$4,"",IF(INDEX('Fleet dates'!$A$9:$A$1008,$I976-8)="","",INDEX('Fleet dates'!$A$9:$A$1008,$I976-8)))</x:f>
      </x:c>
      <x:c r="B976" s="50" t="str">
        <x:f>IF(968&gt;$H$4,"",IF(INDEX('Fleet dates'!$B$9:$B$1008,$I976-8)="","",INDEX('Fleet dates'!$B$9:$B$1008,$I976-8)))</x:f>
      </x:c>
      <x:c r="C976" s="51" t="str">
        <x:f>IF(968&gt;$H$4,"",IF(INDEX('Fleet dates'!$C$9:$C$1008,$I976-8)="","",INDEX('Fleet dates'!$C$9:$C$1008,$I976-8)))</x:f>
      </x:c>
      <x:c r="D976" s="51" t="str">
        <x:f>IF(968&gt;$H$4,"",IF(INDEX('Fleet dates'!$D$9:$D$1008,$I976-8)="","",INDEX('Fleet dates'!$D$9:$D$1008,$I976-8)))</x:f>
      </x:c>
      <x:c r="E976" s="51" t="str">
        <x:f>IF(968&gt;$H$4,"",IF(INDEX('Fleet dates'!$E$9:$E$1008,$I976-8)="","",INDEX('Fleet dates'!$E$9:$E$1008,$I976-8)))</x:f>
      </x:c>
      <x:c r="F976" s="51" t="str">
        <x:f>IF(968&gt;$H$4,"",IF(INDEX('Fleet dates'!$F$9:$F$1008,$I976-8)="","",INDEX('Fleet dates'!$F$9:$F$1008,$I976-8)))</x:f>
      </x:c>
      <x:c r="G976" s="50" t="str">
        <x:f>IF(968&gt;$H$4,"",IF(INDEX('Fleet dates'!$G$9:$G$1008,$I976-8)="","",INDEX('Fleet dates'!$G$9:$G$1008,$I976-8)))</x:f>
      </x:c>
      <x:c r="H976" s="50" t="str">
        <x:f>IF(968&gt;$H$4,"",IF(INDEX('Fleet dates'!$I$9:$I$1008,$I976-8)="","",INDEX('Fleet dates'!$I$9:$I$1008,$I976-8)))</x:f>
      </x:c>
      <x:c r="I976" t="str">
        <x:f>IF(968&gt;$H$4,"",MATCH(968,'Fleet dates'!$M$9:$M$1008,0)+8)</x:f>
      </x:c>
    </x:row>
    <x:row r="977" ht="36" customHeight="1">
      <x:c r="A977" s="50" t="str">
        <x:f>IF(969&gt;$H$4,"",IF(INDEX('Fleet dates'!$A$9:$A$1008,$I977-8)="","",INDEX('Fleet dates'!$A$9:$A$1008,$I977-8)))</x:f>
      </x:c>
      <x:c r="B977" s="50" t="str">
        <x:f>IF(969&gt;$H$4,"",IF(INDEX('Fleet dates'!$B$9:$B$1008,$I977-8)="","",INDEX('Fleet dates'!$B$9:$B$1008,$I977-8)))</x:f>
      </x:c>
      <x:c r="C977" s="51" t="str">
        <x:f>IF(969&gt;$H$4,"",IF(INDEX('Fleet dates'!$C$9:$C$1008,$I977-8)="","",INDEX('Fleet dates'!$C$9:$C$1008,$I977-8)))</x:f>
      </x:c>
      <x:c r="D977" s="51" t="str">
        <x:f>IF(969&gt;$H$4,"",IF(INDEX('Fleet dates'!$D$9:$D$1008,$I977-8)="","",INDEX('Fleet dates'!$D$9:$D$1008,$I977-8)))</x:f>
      </x:c>
      <x:c r="E977" s="51" t="str">
        <x:f>IF(969&gt;$H$4,"",IF(INDEX('Fleet dates'!$E$9:$E$1008,$I977-8)="","",INDEX('Fleet dates'!$E$9:$E$1008,$I977-8)))</x:f>
      </x:c>
      <x:c r="F977" s="51" t="str">
        <x:f>IF(969&gt;$H$4,"",IF(INDEX('Fleet dates'!$F$9:$F$1008,$I977-8)="","",INDEX('Fleet dates'!$F$9:$F$1008,$I977-8)))</x:f>
      </x:c>
      <x:c r="G977" s="50" t="str">
        <x:f>IF(969&gt;$H$4,"",IF(INDEX('Fleet dates'!$G$9:$G$1008,$I977-8)="","",INDEX('Fleet dates'!$G$9:$G$1008,$I977-8)))</x:f>
      </x:c>
      <x:c r="H977" s="50" t="str">
        <x:f>IF(969&gt;$H$4,"",IF(INDEX('Fleet dates'!$I$9:$I$1008,$I977-8)="","",INDEX('Fleet dates'!$I$9:$I$1008,$I977-8)))</x:f>
      </x:c>
      <x:c r="I977" t="str">
        <x:f>IF(969&gt;$H$4,"",MATCH(969,'Fleet dates'!$M$9:$M$1008,0)+8)</x:f>
      </x:c>
    </x:row>
    <x:row r="978" ht="36" customHeight="1">
      <x:c r="A978" s="50" t="str">
        <x:f>IF(970&gt;$H$4,"",IF(INDEX('Fleet dates'!$A$9:$A$1008,$I978-8)="","",INDEX('Fleet dates'!$A$9:$A$1008,$I978-8)))</x:f>
      </x:c>
      <x:c r="B978" s="50" t="str">
        <x:f>IF(970&gt;$H$4,"",IF(INDEX('Fleet dates'!$B$9:$B$1008,$I978-8)="","",INDEX('Fleet dates'!$B$9:$B$1008,$I978-8)))</x:f>
      </x:c>
      <x:c r="C978" s="51" t="str">
        <x:f>IF(970&gt;$H$4,"",IF(INDEX('Fleet dates'!$C$9:$C$1008,$I978-8)="","",INDEX('Fleet dates'!$C$9:$C$1008,$I978-8)))</x:f>
      </x:c>
      <x:c r="D978" s="51" t="str">
        <x:f>IF(970&gt;$H$4,"",IF(INDEX('Fleet dates'!$D$9:$D$1008,$I978-8)="","",INDEX('Fleet dates'!$D$9:$D$1008,$I978-8)))</x:f>
      </x:c>
      <x:c r="E978" s="51" t="str">
        <x:f>IF(970&gt;$H$4,"",IF(INDEX('Fleet dates'!$E$9:$E$1008,$I978-8)="","",INDEX('Fleet dates'!$E$9:$E$1008,$I978-8)))</x:f>
      </x:c>
      <x:c r="F978" s="51" t="str">
        <x:f>IF(970&gt;$H$4,"",IF(INDEX('Fleet dates'!$F$9:$F$1008,$I978-8)="","",INDEX('Fleet dates'!$F$9:$F$1008,$I978-8)))</x:f>
      </x:c>
      <x:c r="G978" s="50" t="str">
        <x:f>IF(970&gt;$H$4,"",IF(INDEX('Fleet dates'!$G$9:$G$1008,$I978-8)="","",INDEX('Fleet dates'!$G$9:$G$1008,$I978-8)))</x:f>
      </x:c>
      <x:c r="H978" s="50" t="str">
        <x:f>IF(970&gt;$H$4,"",IF(INDEX('Fleet dates'!$I$9:$I$1008,$I978-8)="","",INDEX('Fleet dates'!$I$9:$I$1008,$I978-8)))</x:f>
      </x:c>
      <x:c r="I978" t="str">
        <x:f>IF(970&gt;$H$4,"",MATCH(970,'Fleet dates'!$M$9:$M$1008,0)+8)</x:f>
      </x:c>
    </x:row>
    <x:row r="979" ht="36" customHeight="1">
      <x:c r="A979" s="50" t="str">
        <x:f>IF(971&gt;$H$4,"",IF(INDEX('Fleet dates'!$A$9:$A$1008,$I979-8)="","",INDEX('Fleet dates'!$A$9:$A$1008,$I979-8)))</x:f>
      </x:c>
      <x:c r="B979" s="50" t="str">
        <x:f>IF(971&gt;$H$4,"",IF(INDEX('Fleet dates'!$B$9:$B$1008,$I979-8)="","",INDEX('Fleet dates'!$B$9:$B$1008,$I979-8)))</x:f>
      </x:c>
      <x:c r="C979" s="51" t="str">
        <x:f>IF(971&gt;$H$4,"",IF(INDEX('Fleet dates'!$C$9:$C$1008,$I979-8)="","",INDEX('Fleet dates'!$C$9:$C$1008,$I979-8)))</x:f>
      </x:c>
      <x:c r="D979" s="51" t="str">
        <x:f>IF(971&gt;$H$4,"",IF(INDEX('Fleet dates'!$D$9:$D$1008,$I979-8)="","",INDEX('Fleet dates'!$D$9:$D$1008,$I979-8)))</x:f>
      </x:c>
      <x:c r="E979" s="51" t="str">
        <x:f>IF(971&gt;$H$4,"",IF(INDEX('Fleet dates'!$E$9:$E$1008,$I979-8)="","",INDEX('Fleet dates'!$E$9:$E$1008,$I979-8)))</x:f>
      </x:c>
      <x:c r="F979" s="51" t="str">
        <x:f>IF(971&gt;$H$4,"",IF(INDEX('Fleet dates'!$F$9:$F$1008,$I979-8)="","",INDEX('Fleet dates'!$F$9:$F$1008,$I979-8)))</x:f>
      </x:c>
      <x:c r="G979" s="50" t="str">
        <x:f>IF(971&gt;$H$4,"",IF(INDEX('Fleet dates'!$G$9:$G$1008,$I979-8)="","",INDEX('Fleet dates'!$G$9:$G$1008,$I979-8)))</x:f>
      </x:c>
      <x:c r="H979" s="50" t="str">
        <x:f>IF(971&gt;$H$4,"",IF(INDEX('Fleet dates'!$I$9:$I$1008,$I979-8)="","",INDEX('Fleet dates'!$I$9:$I$1008,$I979-8)))</x:f>
      </x:c>
      <x:c r="I979" t="str">
        <x:f>IF(971&gt;$H$4,"",MATCH(971,'Fleet dates'!$M$9:$M$1008,0)+8)</x:f>
      </x:c>
    </x:row>
    <x:row r="980" ht="36" customHeight="1">
      <x:c r="A980" s="50" t="str">
        <x:f>IF(972&gt;$H$4,"",IF(INDEX('Fleet dates'!$A$9:$A$1008,$I980-8)="","",INDEX('Fleet dates'!$A$9:$A$1008,$I980-8)))</x:f>
      </x:c>
      <x:c r="B980" s="50" t="str">
        <x:f>IF(972&gt;$H$4,"",IF(INDEX('Fleet dates'!$B$9:$B$1008,$I980-8)="","",INDEX('Fleet dates'!$B$9:$B$1008,$I980-8)))</x:f>
      </x:c>
      <x:c r="C980" s="51" t="str">
        <x:f>IF(972&gt;$H$4,"",IF(INDEX('Fleet dates'!$C$9:$C$1008,$I980-8)="","",INDEX('Fleet dates'!$C$9:$C$1008,$I980-8)))</x:f>
      </x:c>
      <x:c r="D980" s="51" t="str">
        <x:f>IF(972&gt;$H$4,"",IF(INDEX('Fleet dates'!$D$9:$D$1008,$I980-8)="","",INDEX('Fleet dates'!$D$9:$D$1008,$I980-8)))</x:f>
      </x:c>
      <x:c r="E980" s="51" t="str">
        <x:f>IF(972&gt;$H$4,"",IF(INDEX('Fleet dates'!$E$9:$E$1008,$I980-8)="","",INDEX('Fleet dates'!$E$9:$E$1008,$I980-8)))</x:f>
      </x:c>
      <x:c r="F980" s="51" t="str">
        <x:f>IF(972&gt;$H$4,"",IF(INDEX('Fleet dates'!$F$9:$F$1008,$I980-8)="","",INDEX('Fleet dates'!$F$9:$F$1008,$I980-8)))</x:f>
      </x:c>
      <x:c r="G980" s="50" t="str">
        <x:f>IF(972&gt;$H$4,"",IF(INDEX('Fleet dates'!$G$9:$G$1008,$I980-8)="","",INDEX('Fleet dates'!$G$9:$G$1008,$I980-8)))</x:f>
      </x:c>
      <x:c r="H980" s="50" t="str">
        <x:f>IF(972&gt;$H$4,"",IF(INDEX('Fleet dates'!$I$9:$I$1008,$I980-8)="","",INDEX('Fleet dates'!$I$9:$I$1008,$I980-8)))</x:f>
      </x:c>
      <x:c r="I980" t="str">
        <x:f>IF(972&gt;$H$4,"",MATCH(972,'Fleet dates'!$M$9:$M$1008,0)+8)</x:f>
      </x:c>
    </x:row>
    <x:row r="981" ht="36" customHeight="1">
      <x:c r="A981" s="50" t="str">
        <x:f>IF(973&gt;$H$4,"",IF(INDEX('Fleet dates'!$A$9:$A$1008,$I981-8)="","",INDEX('Fleet dates'!$A$9:$A$1008,$I981-8)))</x:f>
      </x:c>
      <x:c r="B981" s="50" t="str">
        <x:f>IF(973&gt;$H$4,"",IF(INDEX('Fleet dates'!$B$9:$B$1008,$I981-8)="","",INDEX('Fleet dates'!$B$9:$B$1008,$I981-8)))</x:f>
      </x:c>
      <x:c r="C981" s="51" t="str">
        <x:f>IF(973&gt;$H$4,"",IF(INDEX('Fleet dates'!$C$9:$C$1008,$I981-8)="","",INDEX('Fleet dates'!$C$9:$C$1008,$I981-8)))</x:f>
      </x:c>
      <x:c r="D981" s="51" t="str">
        <x:f>IF(973&gt;$H$4,"",IF(INDEX('Fleet dates'!$D$9:$D$1008,$I981-8)="","",INDEX('Fleet dates'!$D$9:$D$1008,$I981-8)))</x:f>
      </x:c>
      <x:c r="E981" s="51" t="str">
        <x:f>IF(973&gt;$H$4,"",IF(INDEX('Fleet dates'!$E$9:$E$1008,$I981-8)="","",INDEX('Fleet dates'!$E$9:$E$1008,$I981-8)))</x:f>
      </x:c>
      <x:c r="F981" s="51" t="str">
        <x:f>IF(973&gt;$H$4,"",IF(INDEX('Fleet dates'!$F$9:$F$1008,$I981-8)="","",INDEX('Fleet dates'!$F$9:$F$1008,$I981-8)))</x:f>
      </x:c>
      <x:c r="G981" s="50" t="str">
        <x:f>IF(973&gt;$H$4,"",IF(INDEX('Fleet dates'!$G$9:$G$1008,$I981-8)="","",INDEX('Fleet dates'!$G$9:$G$1008,$I981-8)))</x:f>
      </x:c>
      <x:c r="H981" s="50" t="str">
        <x:f>IF(973&gt;$H$4,"",IF(INDEX('Fleet dates'!$I$9:$I$1008,$I981-8)="","",INDEX('Fleet dates'!$I$9:$I$1008,$I981-8)))</x:f>
      </x:c>
      <x:c r="I981" t="str">
        <x:f>IF(973&gt;$H$4,"",MATCH(973,'Fleet dates'!$M$9:$M$1008,0)+8)</x:f>
      </x:c>
    </x:row>
    <x:row r="982" ht="36" customHeight="1">
      <x:c r="A982" s="50" t="str">
        <x:f>IF(974&gt;$H$4,"",IF(INDEX('Fleet dates'!$A$9:$A$1008,$I982-8)="","",INDEX('Fleet dates'!$A$9:$A$1008,$I982-8)))</x:f>
      </x:c>
      <x:c r="B982" s="50" t="str">
        <x:f>IF(974&gt;$H$4,"",IF(INDEX('Fleet dates'!$B$9:$B$1008,$I982-8)="","",INDEX('Fleet dates'!$B$9:$B$1008,$I982-8)))</x:f>
      </x:c>
      <x:c r="C982" s="51" t="str">
        <x:f>IF(974&gt;$H$4,"",IF(INDEX('Fleet dates'!$C$9:$C$1008,$I982-8)="","",INDEX('Fleet dates'!$C$9:$C$1008,$I982-8)))</x:f>
      </x:c>
      <x:c r="D982" s="51" t="str">
        <x:f>IF(974&gt;$H$4,"",IF(INDEX('Fleet dates'!$D$9:$D$1008,$I982-8)="","",INDEX('Fleet dates'!$D$9:$D$1008,$I982-8)))</x:f>
      </x:c>
      <x:c r="E982" s="51" t="str">
        <x:f>IF(974&gt;$H$4,"",IF(INDEX('Fleet dates'!$E$9:$E$1008,$I982-8)="","",INDEX('Fleet dates'!$E$9:$E$1008,$I982-8)))</x:f>
      </x:c>
      <x:c r="F982" s="51" t="str">
        <x:f>IF(974&gt;$H$4,"",IF(INDEX('Fleet dates'!$F$9:$F$1008,$I982-8)="","",INDEX('Fleet dates'!$F$9:$F$1008,$I982-8)))</x:f>
      </x:c>
      <x:c r="G982" s="50" t="str">
        <x:f>IF(974&gt;$H$4,"",IF(INDEX('Fleet dates'!$G$9:$G$1008,$I982-8)="","",INDEX('Fleet dates'!$G$9:$G$1008,$I982-8)))</x:f>
      </x:c>
      <x:c r="H982" s="50" t="str">
        <x:f>IF(974&gt;$H$4,"",IF(INDEX('Fleet dates'!$I$9:$I$1008,$I982-8)="","",INDEX('Fleet dates'!$I$9:$I$1008,$I982-8)))</x:f>
      </x:c>
      <x:c r="I982" t="str">
        <x:f>IF(974&gt;$H$4,"",MATCH(974,'Fleet dates'!$M$9:$M$1008,0)+8)</x:f>
      </x:c>
    </x:row>
    <x:row r="983" ht="36" customHeight="1">
      <x:c r="A983" s="50" t="str">
        <x:f>IF(975&gt;$H$4,"",IF(INDEX('Fleet dates'!$A$9:$A$1008,$I983-8)="","",INDEX('Fleet dates'!$A$9:$A$1008,$I983-8)))</x:f>
      </x:c>
      <x:c r="B983" s="50" t="str">
        <x:f>IF(975&gt;$H$4,"",IF(INDEX('Fleet dates'!$B$9:$B$1008,$I983-8)="","",INDEX('Fleet dates'!$B$9:$B$1008,$I983-8)))</x:f>
      </x:c>
      <x:c r="C983" s="51" t="str">
        <x:f>IF(975&gt;$H$4,"",IF(INDEX('Fleet dates'!$C$9:$C$1008,$I983-8)="","",INDEX('Fleet dates'!$C$9:$C$1008,$I983-8)))</x:f>
      </x:c>
      <x:c r="D983" s="51" t="str">
        <x:f>IF(975&gt;$H$4,"",IF(INDEX('Fleet dates'!$D$9:$D$1008,$I983-8)="","",INDEX('Fleet dates'!$D$9:$D$1008,$I983-8)))</x:f>
      </x:c>
      <x:c r="E983" s="51" t="str">
        <x:f>IF(975&gt;$H$4,"",IF(INDEX('Fleet dates'!$E$9:$E$1008,$I983-8)="","",INDEX('Fleet dates'!$E$9:$E$1008,$I983-8)))</x:f>
      </x:c>
      <x:c r="F983" s="51" t="str">
        <x:f>IF(975&gt;$H$4,"",IF(INDEX('Fleet dates'!$F$9:$F$1008,$I983-8)="","",INDEX('Fleet dates'!$F$9:$F$1008,$I983-8)))</x:f>
      </x:c>
      <x:c r="G983" s="50" t="str">
        <x:f>IF(975&gt;$H$4,"",IF(INDEX('Fleet dates'!$G$9:$G$1008,$I983-8)="","",INDEX('Fleet dates'!$G$9:$G$1008,$I983-8)))</x:f>
      </x:c>
      <x:c r="H983" s="50" t="str">
        <x:f>IF(975&gt;$H$4,"",IF(INDEX('Fleet dates'!$I$9:$I$1008,$I983-8)="","",INDEX('Fleet dates'!$I$9:$I$1008,$I983-8)))</x:f>
      </x:c>
      <x:c r="I983" t="str">
        <x:f>IF(975&gt;$H$4,"",MATCH(975,'Fleet dates'!$M$9:$M$1008,0)+8)</x:f>
      </x:c>
    </x:row>
    <x:row r="984" ht="36" customHeight="1">
      <x:c r="A984" s="50" t="str">
        <x:f>IF(976&gt;$H$4,"",IF(INDEX('Fleet dates'!$A$9:$A$1008,$I984-8)="","",INDEX('Fleet dates'!$A$9:$A$1008,$I984-8)))</x:f>
      </x:c>
      <x:c r="B984" s="50" t="str">
        <x:f>IF(976&gt;$H$4,"",IF(INDEX('Fleet dates'!$B$9:$B$1008,$I984-8)="","",INDEX('Fleet dates'!$B$9:$B$1008,$I984-8)))</x:f>
      </x:c>
      <x:c r="C984" s="51" t="str">
        <x:f>IF(976&gt;$H$4,"",IF(INDEX('Fleet dates'!$C$9:$C$1008,$I984-8)="","",INDEX('Fleet dates'!$C$9:$C$1008,$I984-8)))</x:f>
      </x:c>
      <x:c r="D984" s="51" t="str">
        <x:f>IF(976&gt;$H$4,"",IF(INDEX('Fleet dates'!$D$9:$D$1008,$I984-8)="","",INDEX('Fleet dates'!$D$9:$D$1008,$I984-8)))</x:f>
      </x:c>
      <x:c r="E984" s="51" t="str">
        <x:f>IF(976&gt;$H$4,"",IF(INDEX('Fleet dates'!$E$9:$E$1008,$I984-8)="","",INDEX('Fleet dates'!$E$9:$E$1008,$I984-8)))</x:f>
      </x:c>
      <x:c r="F984" s="51" t="str">
        <x:f>IF(976&gt;$H$4,"",IF(INDEX('Fleet dates'!$F$9:$F$1008,$I984-8)="","",INDEX('Fleet dates'!$F$9:$F$1008,$I984-8)))</x:f>
      </x:c>
      <x:c r="G984" s="50" t="str">
        <x:f>IF(976&gt;$H$4,"",IF(INDEX('Fleet dates'!$G$9:$G$1008,$I984-8)="","",INDEX('Fleet dates'!$G$9:$G$1008,$I984-8)))</x:f>
      </x:c>
      <x:c r="H984" s="50" t="str">
        <x:f>IF(976&gt;$H$4,"",IF(INDEX('Fleet dates'!$I$9:$I$1008,$I984-8)="","",INDEX('Fleet dates'!$I$9:$I$1008,$I984-8)))</x:f>
      </x:c>
      <x:c r="I984" t="str">
        <x:f>IF(976&gt;$H$4,"",MATCH(976,'Fleet dates'!$M$9:$M$1008,0)+8)</x:f>
      </x:c>
    </x:row>
    <x:row r="985" ht="36" customHeight="1">
      <x:c r="A985" s="50" t="str">
        <x:f>IF(977&gt;$H$4,"",IF(INDEX('Fleet dates'!$A$9:$A$1008,$I985-8)="","",INDEX('Fleet dates'!$A$9:$A$1008,$I985-8)))</x:f>
      </x:c>
      <x:c r="B985" s="50" t="str">
        <x:f>IF(977&gt;$H$4,"",IF(INDEX('Fleet dates'!$B$9:$B$1008,$I985-8)="","",INDEX('Fleet dates'!$B$9:$B$1008,$I985-8)))</x:f>
      </x:c>
      <x:c r="C985" s="51" t="str">
        <x:f>IF(977&gt;$H$4,"",IF(INDEX('Fleet dates'!$C$9:$C$1008,$I985-8)="","",INDEX('Fleet dates'!$C$9:$C$1008,$I985-8)))</x:f>
      </x:c>
      <x:c r="D985" s="51" t="str">
        <x:f>IF(977&gt;$H$4,"",IF(INDEX('Fleet dates'!$D$9:$D$1008,$I985-8)="","",INDEX('Fleet dates'!$D$9:$D$1008,$I985-8)))</x:f>
      </x:c>
      <x:c r="E985" s="51" t="str">
        <x:f>IF(977&gt;$H$4,"",IF(INDEX('Fleet dates'!$E$9:$E$1008,$I985-8)="","",INDEX('Fleet dates'!$E$9:$E$1008,$I985-8)))</x:f>
      </x:c>
      <x:c r="F985" s="51" t="str">
        <x:f>IF(977&gt;$H$4,"",IF(INDEX('Fleet dates'!$F$9:$F$1008,$I985-8)="","",INDEX('Fleet dates'!$F$9:$F$1008,$I985-8)))</x:f>
      </x:c>
      <x:c r="G985" s="50" t="str">
        <x:f>IF(977&gt;$H$4,"",IF(INDEX('Fleet dates'!$G$9:$G$1008,$I985-8)="","",INDEX('Fleet dates'!$G$9:$G$1008,$I985-8)))</x:f>
      </x:c>
      <x:c r="H985" s="50" t="str">
        <x:f>IF(977&gt;$H$4,"",IF(INDEX('Fleet dates'!$I$9:$I$1008,$I985-8)="","",INDEX('Fleet dates'!$I$9:$I$1008,$I985-8)))</x:f>
      </x:c>
      <x:c r="I985" t="str">
        <x:f>IF(977&gt;$H$4,"",MATCH(977,'Fleet dates'!$M$9:$M$1008,0)+8)</x:f>
      </x:c>
    </x:row>
    <x:row r="986" ht="36" customHeight="1">
      <x:c r="A986" s="50" t="str">
        <x:f>IF(978&gt;$H$4,"",IF(INDEX('Fleet dates'!$A$9:$A$1008,$I986-8)="","",INDEX('Fleet dates'!$A$9:$A$1008,$I986-8)))</x:f>
      </x:c>
      <x:c r="B986" s="50" t="str">
        <x:f>IF(978&gt;$H$4,"",IF(INDEX('Fleet dates'!$B$9:$B$1008,$I986-8)="","",INDEX('Fleet dates'!$B$9:$B$1008,$I986-8)))</x:f>
      </x:c>
      <x:c r="C986" s="51" t="str">
        <x:f>IF(978&gt;$H$4,"",IF(INDEX('Fleet dates'!$C$9:$C$1008,$I986-8)="","",INDEX('Fleet dates'!$C$9:$C$1008,$I986-8)))</x:f>
      </x:c>
      <x:c r="D986" s="51" t="str">
        <x:f>IF(978&gt;$H$4,"",IF(INDEX('Fleet dates'!$D$9:$D$1008,$I986-8)="","",INDEX('Fleet dates'!$D$9:$D$1008,$I986-8)))</x:f>
      </x:c>
      <x:c r="E986" s="51" t="str">
        <x:f>IF(978&gt;$H$4,"",IF(INDEX('Fleet dates'!$E$9:$E$1008,$I986-8)="","",INDEX('Fleet dates'!$E$9:$E$1008,$I986-8)))</x:f>
      </x:c>
      <x:c r="F986" s="51" t="str">
        <x:f>IF(978&gt;$H$4,"",IF(INDEX('Fleet dates'!$F$9:$F$1008,$I986-8)="","",INDEX('Fleet dates'!$F$9:$F$1008,$I986-8)))</x:f>
      </x:c>
      <x:c r="G986" s="50" t="str">
        <x:f>IF(978&gt;$H$4,"",IF(INDEX('Fleet dates'!$G$9:$G$1008,$I986-8)="","",INDEX('Fleet dates'!$G$9:$G$1008,$I986-8)))</x:f>
      </x:c>
      <x:c r="H986" s="50" t="str">
        <x:f>IF(978&gt;$H$4,"",IF(INDEX('Fleet dates'!$I$9:$I$1008,$I986-8)="","",INDEX('Fleet dates'!$I$9:$I$1008,$I986-8)))</x:f>
      </x:c>
      <x:c r="I986" t="str">
        <x:f>IF(978&gt;$H$4,"",MATCH(978,'Fleet dates'!$M$9:$M$1008,0)+8)</x:f>
      </x:c>
    </x:row>
    <x:row r="987" ht="36" customHeight="1">
      <x:c r="A987" s="50" t="str">
        <x:f>IF(979&gt;$H$4,"",IF(INDEX('Fleet dates'!$A$9:$A$1008,$I987-8)="","",INDEX('Fleet dates'!$A$9:$A$1008,$I987-8)))</x:f>
      </x:c>
      <x:c r="B987" s="50" t="str">
        <x:f>IF(979&gt;$H$4,"",IF(INDEX('Fleet dates'!$B$9:$B$1008,$I987-8)="","",INDEX('Fleet dates'!$B$9:$B$1008,$I987-8)))</x:f>
      </x:c>
      <x:c r="C987" s="51" t="str">
        <x:f>IF(979&gt;$H$4,"",IF(INDEX('Fleet dates'!$C$9:$C$1008,$I987-8)="","",INDEX('Fleet dates'!$C$9:$C$1008,$I987-8)))</x:f>
      </x:c>
      <x:c r="D987" s="51" t="str">
        <x:f>IF(979&gt;$H$4,"",IF(INDEX('Fleet dates'!$D$9:$D$1008,$I987-8)="","",INDEX('Fleet dates'!$D$9:$D$1008,$I987-8)))</x:f>
      </x:c>
      <x:c r="E987" s="51" t="str">
        <x:f>IF(979&gt;$H$4,"",IF(INDEX('Fleet dates'!$E$9:$E$1008,$I987-8)="","",INDEX('Fleet dates'!$E$9:$E$1008,$I987-8)))</x:f>
      </x:c>
      <x:c r="F987" s="51" t="str">
        <x:f>IF(979&gt;$H$4,"",IF(INDEX('Fleet dates'!$F$9:$F$1008,$I987-8)="","",INDEX('Fleet dates'!$F$9:$F$1008,$I987-8)))</x:f>
      </x:c>
      <x:c r="G987" s="50" t="str">
        <x:f>IF(979&gt;$H$4,"",IF(INDEX('Fleet dates'!$G$9:$G$1008,$I987-8)="","",INDEX('Fleet dates'!$G$9:$G$1008,$I987-8)))</x:f>
      </x:c>
      <x:c r="H987" s="50" t="str">
        <x:f>IF(979&gt;$H$4,"",IF(INDEX('Fleet dates'!$I$9:$I$1008,$I987-8)="","",INDEX('Fleet dates'!$I$9:$I$1008,$I987-8)))</x:f>
      </x:c>
      <x:c r="I987" t="str">
        <x:f>IF(979&gt;$H$4,"",MATCH(979,'Fleet dates'!$M$9:$M$1008,0)+8)</x:f>
      </x:c>
    </x:row>
    <x:row r="988" ht="36" customHeight="1">
      <x:c r="A988" s="50" t="str">
        <x:f>IF(980&gt;$H$4,"",IF(INDEX('Fleet dates'!$A$9:$A$1008,$I988-8)="","",INDEX('Fleet dates'!$A$9:$A$1008,$I988-8)))</x:f>
      </x:c>
      <x:c r="B988" s="50" t="str">
        <x:f>IF(980&gt;$H$4,"",IF(INDEX('Fleet dates'!$B$9:$B$1008,$I988-8)="","",INDEX('Fleet dates'!$B$9:$B$1008,$I988-8)))</x:f>
      </x:c>
      <x:c r="C988" s="51" t="str">
        <x:f>IF(980&gt;$H$4,"",IF(INDEX('Fleet dates'!$C$9:$C$1008,$I988-8)="","",INDEX('Fleet dates'!$C$9:$C$1008,$I988-8)))</x:f>
      </x:c>
      <x:c r="D988" s="51" t="str">
        <x:f>IF(980&gt;$H$4,"",IF(INDEX('Fleet dates'!$D$9:$D$1008,$I988-8)="","",INDEX('Fleet dates'!$D$9:$D$1008,$I988-8)))</x:f>
      </x:c>
      <x:c r="E988" s="51" t="str">
        <x:f>IF(980&gt;$H$4,"",IF(INDEX('Fleet dates'!$E$9:$E$1008,$I988-8)="","",INDEX('Fleet dates'!$E$9:$E$1008,$I988-8)))</x:f>
      </x:c>
      <x:c r="F988" s="51" t="str">
        <x:f>IF(980&gt;$H$4,"",IF(INDEX('Fleet dates'!$F$9:$F$1008,$I988-8)="","",INDEX('Fleet dates'!$F$9:$F$1008,$I988-8)))</x:f>
      </x:c>
      <x:c r="G988" s="50" t="str">
        <x:f>IF(980&gt;$H$4,"",IF(INDEX('Fleet dates'!$G$9:$G$1008,$I988-8)="","",INDEX('Fleet dates'!$G$9:$G$1008,$I988-8)))</x:f>
      </x:c>
      <x:c r="H988" s="50" t="str">
        <x:f>IF(980&gt;$H$4,"",IF(INDEX('Fleet dates'!$I$9:$I$1008,$I988-8)="","",INDEX('Fleet dates'!$I$9:$I$1008,$I988-8)))</x:f>
      </x:c>
      <x:c r="I988" t="str">
        <x:f>IF(980&gt;$H$4,"",MATCH(980,'Fleet dates'!$M$9:$M$1008,0)+8)</x:f>
      </x:c>
    </x:row>
    <x:row r="989" ht="36" customHeight="1">
      <x:c r="A989" s="50" t="str">
        <x:f>IF(981&gt;$H$4,"",IF(INDEX('Fleet dates'!$A$9:$A$1008,$I989-8)="","",INDEX('Fleet dates'!$A$9:$A$1008,$I989-8)))</x:f>
      </x:c>
      <x:c r="B989" s="50" t="str">
        <x:f>IF(981&gt;$H$4,"",IF(INDEX('Fleet dates'!$B$9:$B$1008,$I989-8)="","",INDEX('Fleet dates'!$B$9:$B$1008,$I989-8)))</x:f>
      </x:c>
      <x:c r="C989" s="51" t="str">
        <x:f>IF(981&gt;$H$4,"",IF(INDEX('Fleet dates'!$C$9:$C$1008,$I989-8)="","",INDEX('Fleet dates'!$C$9:$C$1008,$I989-8)))</x:f>
      </x:c>
      <x:c r="D989" s="51" t="str">
        <x:f>IF(981&gt;$H$4,"",IF(INDEX('Fleet dates'!$D$9:$D$1008,$I989-8)="","",INDEX('Fleet dates'!$D$9:$D$1008,$I989-8)))</x:f>
      </x:c>
      <x:c r="E989" s="51" t="str">
        <x:f>IF(981&gt;$H$4,"",IF(INDEX('Fleet dates'!$E$9:$E$1008,$I989-8)="","",INDEX('Fleet dates'!$E$9:$E$1008,$I989-8)))</x:f>
      </x:c>
      <x:c r="F989" s="51" t="str">
        <x:f>IF(981&gt;$H$4,"",IF(INDEX('Fleet dates'!$F$9:$F$1008,$I989-8)="","",INDEX('Fleet dates'!$F$9:$F$1008,$I989-8)))</x:f>
      </x:c>
      <x:c r="G989" s="50" t="str">
        <x:f>IF(981&gt;$H$4,"",IF(INDEX('Fleet dates'!$G$9:$G$1008,$I989-8)="","",INDEX('Fleet dates'!$G$9:$G$1008,$I989-8)))</x:f>
      </x:c>
      <x:c r="H989" s="50" t="str">
        <x:f>IF(981&gt;$H$4,"",IF(INDEX('Fleet dates'!$I$9:$I$1008,$I989-8)="","",INDEX('Fleet dates'!$I$9:$I$1008,$I989-8)))</x:f>
      </x:c>
      <x:c r="I989" t="str">
        <x:f>IF(981&gt;$H$4,"",MATCH(981,'Fleet dates'!$M$9:$M$1008,0)+8)</x:f>
      </x:c>
    </x:row>
    <x:row r="990" ht="36" customHeight="1">
      <x:c r="A990" s="50" t="str">
        <x:f>IF(982&gt;$H$4,"",IF(INDEX('Fleet dates'!$A$9:$A$1008,$I990-8)="","",INDEX('Fleet dates'!$A$9:$A$1008,$I990-8)))</x:f>
      </x:c>
      <x:c r="B990" s="50" t="str">
        <x:f>IF(982&gt;$H$4,"",IF(INDEX('Fleet dates'!$B$9:$B$1008,$I990-8)="","",INDEX('Fleet dates'!$B$9:$B$1008,$I990-8)))</x:f>
      </x:c>
      <x:c r="C990" s="51" t="str">
        <x:f>IF(982&gt;$H$4,"",IF(INDEX('Fleet dates'!$C$9:$C$1008,$I990-8)="","",INDEX('Fleet dates'!$C$9:$C$1008,$I990-8)))</x:f>
      </x:c>
      <x:c r="D990" s="51" t="str">
        <x:f>IF(982&gt;$H$4,"",IF(INDEX('Fleet dates'!$D$9:$D$1008,$I990-8)="","",INDEX('Fleet dates'!$D$9:$D$1008,$I990-8)))</x:f>
      </x:c>
      <x:c r="E990" s="51" t="str">
        <x:f>IF(982&gt;$H$4,"",IF(INDEX('Fleet dates'!$E$9:$E$1008,$I990-8)="","",INDEX('Fleet dates'!$E$9:$E$1008,$I990-8)))</x:f>
      </x:c>
      <x:c r="F990" s="51" t="str">
        <x:f>IF(982&gt;$H$4,"",IF(INDEX('Fleet dates'!$F$9:$F$1008,$I990-8)="","",INDEX('Fleet dates'!$F$9:$F$1008,$I990-8)))</x:f>
      </x:c>
      <x:c r="G990" s="50" t="str">
        <x:f>IF(982&gt;$H$4,"",IF(INDEX('Fleet dates'!$G$9:$G$1008,$I990-8)="","",INDEX('Fleet dates'!$G$9:$G$1008,$I990-8)))</x:f>
      </x:c>
      <x:c r="H990" s="50" t="str">
        <x:f>IF(982&gt;$H$4,"",IF(INDEX('Fleet dates'!$I$9:$I$1008,$I990-8)="","",INDEX('Fleet dates'!$I$9:$I$1008,$I990-8)))</x:f>
      </x:c>
      <x:c r="I990" t="str">
        <x:f>IF(982&gt;$H$4,"",MATCH(982,'Fleet dates'!$M$9:$M$1008,0)+8)</x:f>
      </x:c>
    </x:row>
    <x:row r="991" ht="36" customHeight="1">
      <x:c r="A991" s="50" t="str">
        <x:f>IF(983&gt;$H$4,"",IF(INDEX('Fleet dates'!$A$9:$A$1008,$I991-8)="","",INDEX('Fleet dates'!$A$9:$A$1008,$I991-8)))</x:f>
      </x:c>
      <x:c r="B991" s="50" t="str">
        <x:f>IF(983&gt;$H$4,"",IF(INDEX('Fleet dates'!$B$9:$B$1008,$I991-8)="","",INDEX('Fleet dates'!$B$9:$B$1008,$I991-8)))</x:f>
      </x:c>
      <x:c r="C991" s="51" t="str">
        <x:f>IF(983&gt;$H$4,"",IF(INDEX('Fleet dates'!$C$9:$C$1008,$I991-8)="","",INDEX('Fleet dates'!$C$9:$C$1008,$I991-8)))</x:f>
      </x:c>
      <x:c r="D991" s="51" t="str">
        <x:f>IF(983&gt;$H$4,"",IF(INDEX('Fleet dates'!$D$9:$D$1008,$I991-8)="","",INDEX('Fleet dates'!$D$9:$D$1008,$I991-8)))</x:f>
      </x:c>
      <x:c r="E991" s="51" t="str">
        <x:f>IF(983&gt;$H$4,"",IF(INDEX('Fleet dates'!$E$9:$E$1008,$I991-8)="","",INDEX('Fleet dates'!$E$9:$E$1008,$I991-8)))</x:f>
      </x:c>
      <x:c r="F991" s="51" t="str">
        <x:f>IF(983&gt;$H$4,"",IF(INDEX('Fleet dates'!$F$9:$F$1008,$I991-8)="","",INDEX('Fleet dates'!$F$9:$F$1008,$I991-8)))</x:f>
      </x:c>
      <x:c r="G991" s="50" t="str">
        <x:f>IF(983&gt;$H$4,"",IF(INDEX('Fleet dates'!$G$9:$G$1008,$I991-8)="","",INDEX('Fleet dates'!$G$9:$G$1008,$I991-8)))</x:f>
      </x:c>
      <x:c r="H991" s="50" t="str">
        <x:f>IF(983&gt;$H$4,"",IF(INDEX('Fleet dates'!$I$9:$I$1008,$I991-8)="","",INDEX('Fleet dates'!$I$9:$I$1008,$I991-8)))</x:f>
      </x:c>
      <x:c r="I991" t="str">
        <x:f>IF(983&gt;$H$4,"",MATCH(983,'Fleet dates'!$M$9:$M$1008,0)+8)</x:f>
      </x:c>
    </x:row>
    <x:row r="992" ht="36" customHeight="1">
      <x:c r="A992" s="50" t="str">
        <x:f>IF(984&gt;$H$4,"",IF(INDEX('Fleet dates'!$A$9:$A$1008,$I992-8)="","",INDEX('Fleet dates'!$A$9:$A$1008,$I992-8)))</x:f>
      </x:c>
      <x:c r="B992" s="50" t="str">
        <x:f>IF(984&gt;$H$4,"",IF(INDEX('Fleet dates'!$B$9:$B$1008,$I992-8)="","",INDEX('Fleet dates'!$B$9:$B$1008,$I992-8)))</x:f>
      </x:c>
      <x:c r="C992" s="51" t="str">
        <x:f>IF(984&gt;$H$4,"",IF(INDEX('Fleet dates'!$C$9:$C$1008,$I992-8)="","",INDEX('Fleet dates'!$C$9:$C$1008,$I992-8)))</x:f>
      </x:c>
      <x:c r="D992" s="51" t="str">
        <x:f>IF(984&gt;$H$4,"",IF(INDEX('Fleet dates'!$D$9:$D$1008,$I992-8)="","",INDEX('Fleet dates'!$D$9:$D$1008,$I992-8)))</x:f>
      </x:c>
      <x:c r="E992" s="51" t="str">
        <x:f>IF(984&gt;$H$4,"",IF(INDEX('Fleet dates'!$E$9:$E$1008,$I992-8)="","",INDEX('Fleet dates'!$E$9:$E$1008,$I992-8)))</x:f>
      </x:c>
      <x:c r="F992" s="51" t="str">
        <x:f>IF(984&gt;$H$4,"",IF(INDEX('Fleet dates'!$F$9:$F$1008,$I992-8)="","",INDEX('Fleet dates'!$F$9:$F$1008,$I992-8)))</x:f>
      </x:c>
      <x:c r="G992" s="50" t="str">
        <x:f>IF(984&gt;$H$4,"",IF(INDEX('Fleet dates'!$G$9:$G$1008,$I992-8)="","",INDEX('Fleet dates'!$G$9:$G$1008,$I992-8)))</x:f>
      </x:c>
      <x:c r="H992" s="50" t="str">
        <x:f>IF(984&gt;$H$4,"",IF(INDEX('Fleet dates'!$I$9:$I$1008,$I992-8)="","",INDEX('Fleet dates'!$I$9:$I$1008,$I992-8)))</x:f>
      </x:c>
      <x:c r="I992" t="str">
        <x:f>IF(984&gt;$H$4,"",MATCH(984,'Fleet dates'!$M$9:$M$1008,0)+8)</x:f>
      </x:c>
    </x:row>
    <x:row r="993" ht="36" customHeight="1">
      <x:c r="A993" s="50" t="str">
        <x:f>IF(985&gt;$H$4,"",IF(INDEX('Fleet dates'!$A$9:$A$1008,$I993-8)="","",INDEX('Fleet dates'!$A$9:$A$1008,$I993-8)))</x:f>
      </x:c>
      <x:c r="B993" s="50" t="str">
        <x:f>IF(985&gt;$H$4,"",IF(INDEX('Fleet dates'!$B$9:$B$1008,$I993-8)="","",INDEX('Fleet dates'!$B$9:$B$1008,$I993-8)))</x:f>
      </x:c>
      <x:c r="C993" s="51" t="str">
        <x:f>IF(985&gt;$H$4,"",IF(INDEX('Fleet dates'!$C$9:$C$1008,$I993-8)="","",INDEX('Fleet dates'!$C$9:$C$1008,$I993-8)))</x:f>
      </x:c>
      <x:c r="D993" s="51" t="str">
        <x:f>IF(985&gt;$H$4,"",IF(INDEX('Fleet dates'!$D$9:$D$1008,$I993-8)="","",INDEX('Fleet dates'!$D$9:$D$1008,$I993-8)))</x:f>
      </x:c>
      <x:c r="E993" s="51" t="str">
        <x:f>IF(985&gt;$H$4,"",IF(INDEX('Fleet dates'!$E$9:$E$1008,$I993-8)="","",INDEX('Fleet dates'!$E$9:$E$1008,$I993-8)))</x:f>
      </x:c>
      <x:c r="F993" s="51" t="str">
        <x:f>IF(985&gt;$H$4,"",IF(INDEX('Fleet dates'!$F$9:$F$1008,$I993-8)="","",INDEX('Fleet dates'!$F$9:$F$1008,$I993-8)))</x:f>
      </x:c>
      <x:c r="G993" s="50" t="str">
        <x:f>IF(985&gt;$H$4,"",IF(INDEX('Fleet dates'!$G$9:$G$1008,$I993-8)="","",INDEX('Fleet dates'!$G$9:$G$1008,$I993-8)))</x:f>
      </x:c>
      <x:c r="H993" s="50" t="str">
        <x:f>IF(985&gt;$H$4,"",IF(INDEX('Fleet dates'!$I$9:$I$1008,$I993-8)="","",INDEX('Fleet dates'!$I$9:$I$1008,$I993-8)))</x:f>
      </x:c>
      <x:c r="I993" t="str">
        <x:f>IF(985&gt;$H$4,"",MATCH(985,'Fleet dates'!$M$9:$M$1008,0)+8)</x:f>
      </x:c>
    </x:row>
    <x:row r="994" ht="36" customHeight="1">
      <x:c r="A994" s="50" t="str">
        <x:f>IF(986&gt;$H$4,"",IF(INDEX('Fleet dates'!$A$9:$A$1008,$I994-8)="","",INDEX('Fleet dates'!$A$9:$A$1008,$I994-8)))</x:f>
      </x:c>
      <x:c r="B994" s="50" t="str">
        <x:f>IF(986&gt;$H$4,"",IF(INDEX('Fleet dates'!$B$9:$B$1008,$I994-8)="","",INDEX('Fleet dates'!$B$9:$B$1008,$I994-8)))</x:f>
      </x:c>
      <x:c r="C994" s="51" t="str">
        <x:f>IF(986&gt;$H$4,"",IF(INDEX('Fleet dates'!$C$9:$C$1008,$I994-8)="","",INDEX('Fleet dates'!$C$9:$C$1008,$I994-8)))</x:f>
      </x:c>
      <x:c r="D994" s="51" t="str">
        <x:f>IF(986&gt;$H$4,"",IF(INDEX('Fleet dates'!$D$9:$D$1008,$I994-8)="","",INDEX('Fleet dates'!$D$9:$D$1008,$I994-8)))</x:f>
      </x:c>
      <x:c r="E994" s="51" t="str">
        <x:f>IF(986&gt;$H$4,"",IF(INDEX('Fleet dates'!$E$9:$E$1008,$I994-8)="","",INDEX('Fleet dates'!$E$9:$E$1008,$I994-8)))</x:f>
      </x:c>
      <x:c r="F994" s="51" t="str">
        <x:f>IF(986&gt;$H$4,"",IF(INDEX('Fleet dates'!$F$9:$F$1008,$I994-8)="","",INDEX('Fleet dates'!$F$9:$F$1008,$I994-8)))</x:f>
      </x:c>
      <x:c r="G994" s="50" t="str">
        <x:f>IF(986&gt;$H$4,"",IF(INDEX('Fleet dates'!$G$9:$G$1008,$I994-8)="","",INDEX('Fleet dates'!$G$9:$G$1008,$I994-8)))</x:f>
      </x:c>
      <x:c r="H994" s="50" t="str">
        <x:f>IF(986&gt;$H$4,"",IF(INDEX('Fleet dates'!$I$9:$I$1008,$I994-8)="","",INDEX('Fleet dates'!$I$9:$I$1008,$I994-8)))</x:f>
      </x:c>
      <x:c r="I994" t="str">
        <x:f>IF(986&gt;$H$4,"",MATCH(986,'Fleet dates'!$M$9:$M$1008,0)+8)</x:f>
      </x:c>
    </x:row>
    <x:row r="995" ht="36" customHeight="1">
      <x:c r="A995" s="50" t="str">
        <x:f>IF(987&gt;$H$4,"",IF(INDEX('Fleet dates'!$A$9:$A$1008,$I995-8)="","",INDEX('Fleet dates'!$A$9:$A$1008,$I995-8)))</x:f>
      </x:c>
      <x:c r="B995" s="50" t="str">
        <x:f>IF(987&gt;$H$4,"",IF(INDEX('Fleet dates'!$B$9:$B$1008,$I995-8)="","",INDEX('Fleet dates'!$B$9:$B$1008,$I995-8)))</x:f>
      </x:c>
      <x:c r="C995" s="51" t="str">
        <x:f>IF(987&gt;$H$4,"",IF(INDEX('Fleet dates'!$C$9:$C$1008,$I995-8)="","",INDEX('Fleet dates'!$C$9:$C$1008,$I995-8)))</x:f>
      </x:c>
      <x:c r="D995" s="51" t="str">
        <x:f>IF(987&gt;$H$4,"",IF(INDEX('Fleet dates'!$D$9:$D$1008,$I995-8)="","",INDEX('Fleet dates'!$D$9:$D$1008,$I995-8)))</x:f>
      </x:c>
      <x:c r="E995" s="51" t="str">
        <x:f>IF(987&gt;$H$4,"",IF(INDEX('Fleet dates'!$E$9:$E$1008,$I995-8)="","",INDEX('Fleet dates'!$E$9:$E$1008,$I995-8)))</x:f>
      </x:c>
      <x:c r="F995" s="51" t="str">
        <x:f>IF(987&gt;$H$4,"",IF(INDEX('Fleet dates'!$F$9:$F$1008,$I995-8)="","",INDEX('Fleet dates'!$F$9:$F$1008,$I995-8)))</x:f>
      </x:c>
      <x:c r="G995" s="50" t="str">
        <x:f>IF(987&gt;$H$4,"",IF(INDEX('Fleet dates'!$G$9:$G$1008,$I995-8)="","",INDEX('Fleet dates'!$G$9:$G$1008,$I995-8)))</x:f>
      </x:c>
      <x:c r="H995" s="50" t="str">
        <x:f>IF(987&gt;$H$4,"",IF(INDEX('Fleet dates'!$I$9:$I$1008,$I995-8)="","",INDEX('Fleet dates'!$I$9:$I$1008,$I995-8)))</x:f>
      </x:c>
      <x:c r="I995" t="str">
        <x:f>IF(987&gt;$H$4,"",MATCH(987,'Fleet dates'!$M$9:$M$1008,0)+8)</x:f>
      </x:c>
    </x:row>
    <x:row r="996" ht="36" customHeight="1">
      <x:c r="A996" s="50" t="str">
        <x:f>IF(988&gt;$H$4,"",IF(INDEX('Fleet dates'!$A$9:$A$1008,$I996-8)="","",INDEX('Fleet dates'!$A$9:$A$1008,$I996-8)))</x:f>
      </x:c>
      <x:c r="B996" s="50" t="str">
        <x:f>IF(988&gt;$H$4,"",IF(INDEX('Fleet dates'!$B$9:$B$1008,$I996-8)="","",INDEX('Fleet dates'!$B$9:$B$1008,$I996-8)))</x:f>
      </x:c>
      <x:c r="C996" s="51" t="str">
        <x:f>IF(988&gt;$H$4,"",IF(INDEX('Fleet dates'!$C$9:$C$1008,$I996-8)="","",INDEX('Fleet dates'!$C$9:$C$1008,$I996-8)))</x:f>
      </x:c>
      <x:c r="D996" s="51" t="str">
        <x:f>IF(988&gt;$H$4,"",IF(INDEX('Fleet dates'!$D$9:$D$1008,$I996-8)="","",INDEX('Fleet dates'!$D$9:$D$1008,$I996-8)))</x:f>
      </x:c>
      <x:c r="E996" s="51" t="str">
        <x:f>IF(988&gt;$H$4,"",IF(INDEX('Fleet dates'!$E$9:$E$1008,$I996-8)="","",INDEX('Fleet dates'!$E$9:$E$1008,$I996-8)))</x:f>
      </x:c>
      <x:c r="F996" s="51" t="str">
        <x:f>IF(988&gt;$H$4,"",IF(INDEX('Fleet dates'!$F$9:$F$1008,$I996-8)="","",INDEX('Fleet dates'!$F$9:$F$1008,$I996-8)))</x:f>
      </x:c>
      <x:c r="G996" s="50" t="str">
        <x:f>IF(988&gt;$H$4,"",IF(INDEX('Fleet dates'!$G$9:$G$1008,$I996-8)="","",INDEX('Fleet dates'!$G$9:$G$1008,$I996-8)))</x:f>
      </x:c>
      <x:c r="H996" s="50" t="str">
        <x:f>IF(988&gt;$H$4,"",IF(INDEX('Fleet dates'!$I$9:$I$1008,$I996-8)="","",INDEX('Fleet dates'!$I$9:$I$1008,$I996-8)))</x:f>
      </x:c>
      <x:c r="I996" t="str">
        <x:f>IF(988&gt;$H$4,"",MATCH(988,'Fleet dates'!$M$9:$M$1008,0)+8)</x:f>
      </x:c>
    </x:row>
    <x:row r="997" ht="36" customHeight="1">
      <x:c r="A997" s="50" t="str">
        <x:f>IF(989&gt;$H$4,"",IF(INDEX('Fleet dates'!$A$9:$A$1008,$I997-8)="","",INDEX('Fleet dates'!$A$9:$A$1008,$I997-8)))</x:f>
      </x:c>
      <x:c r="B997" s="50" t="str">
        <x:f>IF(989&gt;$H$4,"",IF(INDEX('Fleet dates'!$B$9:$B$1008,$I997-8)="","",INDEX('Fleet dates'!$B$9:$B$1008,$I997-8)))</x:f>
      </x:c>
      <x:c r="C997" s="51" t="str">
        <x:f>IF(989&gt;$H$4,"",IF(INDEX('Fleet dates'!$C$9:$C$1008,$I997-8)="","",INDEX('Fleet dates'!$C$9:$C$1008,$I997-8)))</x:f>
      </x:c>
      <x:c r="D997" s="51" t="str">
        <x:f>IF(989&gt;$H$4,"",IF(INDEX('Fleet dates'!$D$9:$D$1008,$I997-8)="","",INDEX('Fleet dates'!$D$9:$D$1008,$I997-8)))</x:f>
      </x:c>
      <x:c r="E997" s="51" t="str">
        <x:f>IF(989&gt;$H$4,"",IF(INDEX('Fleet dates'!$E$9:$E$1008,$I997-8)="","",INDEX('Fleet dates'!$E$9:$E$1008,$I997-8)))</x:f>
      </x:c>
      <x:c r="F997" s="51" t="str">
        <x:f>IF(989&gt;$H$4,"",IF(INDEX('Fleet dates'!$F$9:$F$1008,$I997-8)="","",INDEX('Fleet dates'!$F$9:$F$1008,$I997-8)))</x:f>
      </x:c>
      <x:c r="G997" s="50" t="str">
        <x:f>IF(989&gt;$H$4,"",IF(INDEX('Fleet dates'!$G$9:$G$1008,$I997-8)="","",INDEX('Fleet dates'!$G$9:$G$1008,$I997-8)))</x:f>
      </x:c>
      <x:c r="H997" s="50" t="str">
        <x:f>IF(989&gt;$H$4,"",IF(INDEX('Fleet dates'!$I$9:$I$1008,$I997-8)="","",INDEX('Fleet dates'!$I$9:$I$1008,$I997-8)))</x:f>
      </x:c>
      <x:c r="I997" t="str">
        <x:f>IF(989&gt;$H$4,"",MATCH(989,'Fleet dates'!$M$9:$M$1008,0)+8)</x:f>
      </x:c>
    </x:row>
    <x:row r="998" ht="36" customHeight="1">
      <x:c r="A998" s="50" t="str">
        <x:f>IF(990&gt;$H$4,"",IF(INDEX('Fleet dates'!$A$9:$A$1008,$I998-8)="","",INDEX('Fleet dates'!$A$9:$A$1008,$I998-8)))</x:f>
      </x:c>
      <x:c r="B998" s="50" t="str">
        <x:f>IF(990&gt;$H$4,"",IF(INDEX('Fleet dates'!$B$9:$B$1008,$I998-8)="","",INDEX('Fleet dates'!$B$9:$B$1008,$I998-8)))</x:f>
      </x:c>
      <x:c r="C998" s="51" t="str">
        <x:f>IF(990&gt;$H$4,"",IF(INDEX('Fleet dates'!$C$9:$C$1008,$I998-8)="","",INDEX('Fleet dates'!$C$9:$C$1008,$I998-8)))</x:f>
      </x:c>
      <x:c r="D998" s="51" t="str">
        <x:f>IF(990&gt;$H$4,"",IF(INDEX('Fleet dates'!$D$9:$D$1008,$I998-8)="","",INDEX('Fleet dates'!$D$9:$D$1008,$I998-8)))</x:f>
      </x:c>
      <x:c r="E998" s="51" t="str">
        <x:f>IF(990&gt;$H$4,"",IF(INDEX('Fleet dates'!$E$9:$E$1008,$I998-8)="","",INDEX('Fleet dates'!$E$9:$E$1008,$I998-8)))</x:f>
      </x:c>
      <x:c r="F998" s="51" t="str">
        <x:f>IF(990&gt;$H$4,"",IF(INDEX('Fleet dates'!$F$9:$F$1008,$I998-8)="","",INDEX('Fleet dates'!$F$9:$F$1008,$I998-8)))</x:f>
      </x:c>
      <x:c r="G998" s="50" t="str">
        <x:f>IF(990&gt;$H$4,"",IF(INDEX('Fleet dates'!$G$9:$G$1008,$I998-8)="","",INDEX('Fleet dates'!$G$9:$G$1008,$I998-8)))</x:f>
      </x:c>
      <x:c r="H998" s="50" t="str">
        <x:f>IF(990&gt;$H$4,"",IF(INDEX('Fleet dates'!$I$9:$I$1008,$I998-8)="","",INDEX('Fleet dates'!$I$9:$I$1008,$I998-8)))</x:f>
      </x:c>
      <x:c r="I998" t="str">
        <x:f>IF(990&gt;$H$4,"",MATCH(990,'Fleet dates'!$M$9:$M$1008,0)+8)</x:f>
      </x:c>
    </x:row>
    <x:row r="999" ht="36" customHeight="1">
      <x:c r="A999" s="50" t="str">
        <x:f>IF(991&gt;$H$4,"",IF(INDEX('Fleet dates'!$A$9:$A$1008,$I999-8)="","",INDEX('Fleet dates'!$A$9:$A$1008,$I999-8)))</x:f>
      </x:c>
      <x:c r="B999" s="50" t="str">
        <x:f>IF(991&gt;$H$4,"",IF(INDEX('Fleet dates'!$B$9:$B$1008,$I999-8)="","",INDEX('Fleet dates'!$B$9:$B$1008,$I999-8)))</x:f>
      </x:c>
      <x:c r="C999" s="51" t="str">
        <x:f>IF(991&gt;$H$4,"",IF(INDEX('Fleet dates'!$C$9:$C$1008,$I999-8)="","",INDEX('Fleet dates'!$C$9:$C$1008,$I999-8)))</x:f>
      </x:c>
      <x:c r="D999" s="51" t="str">
        <x:f>IF(991&gt;$H$4,"",IF(INDEX('Fleet dates'!$D$9:$D$1008,$I999-8)="","",INDEX('Fleet dates'!$D$9:$D$1008,$I999-8)))</x:f>
      </x:c>
      <x:c r="E999" s="51" t="str">
        <x:f>IF(991&gt;$H$4,"",IF(INDEX('Fleet dates'!$E$9:$E$1008,$I999-8)="","",INDEX('Fleet dates'!$E$9:$E$1008,$I999-8)))</x:f>
      </x:c>
      <x:c r="F999" s="51" t="str">
        <x:f>IF(991&gt;$H$4,"",IF(INDEX('Fleet dates'!$F$9:$F$1008,$I999-8)="","",INDEX('Fleet dates'!$F$9:$F$1008,$I999-8)))</x:f>
      </x:c>
      <x:c r="G999" s="50" t="str">
        <x:f>IF(991&gt;$H$4,"",IF(INDEX('Fleet dates'!$G$9:$G$1008,$I999-8)="","",INDEX('Fleet dates'!$G$9:$G$1008,$I999-8)))</x:f>
      </x:c>
      <x:c r="H999" s="50" t="str">
        <x:f>IF(991&gt;$H$4,"",IF(INDEX('Fleet dates'!$I$9:$I$1008,$I999-8)="","",INDEX('Fleet dates'!$I$9:$I$1008,$I999-8)))</x:f>
      </x:c>
      <x:c r="I999" t="str">
        <x:f>IF(991&gt;$H$4,"",MATCH(991,'Fleet dates'!$M$9:$M$1008,0)+8)</x:f>
      </x:c>
    </x:row>
    <x:row r="1000" ht="36" customHeight="1">
      <x:c r="A1000" s="50" t="str">
        <x:f>IF(992&gt;$H$4,"",IF(INDEX('Fleet dates'!$A$9:$A$1008,$I1000-8)="","",INDEX('Fleet dates'!$A$9:$A$1008,$I1000-8)))</x:f>
      </x:c>
      <x:c r="B1000" s="50" t="str">
        <x:f>IF(992&gt;$H$4,"",IF(INDEX('Fleet dates'!$B$9:$B$1008,$I1000-8)="","",INDEX('Fleet dates'!$B$9:$B$1008,$I1000-8)))</x:f>
      </x:c>
      <x:c r="C1000" s="51" t="str">
        <x:f>IF(992&gt;$H$4,"",IF(INDEX('Fleet dates'!$C$9:$C$1008,$I1000-8)="","",INDEX('Fleet dates'!$C$9:$C$1008,$I1000-8)))</x:f>
      </x:c>
      <x:c r="D1000" s="51" t="str">
        <x:f>IF(992&gt;$H$4,"",IF(INDEX('Fleet dates'!$D$9:$D$1008,$I1000-8)="","",INDEX('Fleet dates'!$D$9:$D$1008,$I1000-8)))</x:f>
      </x:c>
      <x:c r="E1000" s="51" t="str">
        <x:f>IF(992&gt;$H$4,"",IF(INDEX('Fleet dates'!$E$9:$E$1008,$I1000-8)="","",INDEX('Fleet dates'!$E$9:$E$1008,$I1000-8)))</x:f>
      </x:c>
      <x:c r="F1000" s="51" t="str">
        <x:f>IF(992&gt;$H$4,"",IF(INDEX('Fleet dates'!$F$9:$F$1008,$I1000-8)="","",INDEX('Fleet dates'!$F$9:$F$1008,$I1000-8)))</x:f>
      </x:c>
      <x:c r="G1000" s="50" t="str">
        <x:f>IF(992&gt;$H$4,"",IF(INDEX('Fleet dates'!$G$9:$G$1008,$I1000-8)="","",INDEX('Fleet dates'!$G$9:$G$1008,$I1000-8)))</x:f>
      </x:c>
      <x:c r="H1000" s="50" t="str">
        <x:f>IF(992&gt;$H$4,"",IF(INDEX('Fleet dates'!$I$9:$I$1008,$I1000-8)="","",INDEX('Fleet dates'!$I$9:$I$1008,$I1000-8)))</x:f>
      </x:c>
      <x:c r="I1000" t="str">
        <x:f>IF(992&gt;$H$4,"",MATCH(992,'Fleet dates'!$M$9:$M$1008,0)+8)</x:f>
      </x:c>
    </x:row>
    <x:row r="1001" ht="36" customHeight="1">
      <x:c r="A1001" s="50" t="str">
        <x:f>IF(993&gt;$H$4,"",IF(INDEX('Fleet dates'!$A$9:$A$1008,$I1001-8)="","",INDEX('Fleet dates'!$A$9:$A$1008,$I1001-8)))</x:f>
      </x:c>
      <x:c r="B1001" s="50" t="str">
        <x:f>IF(993&gt;$H$4,"",IF(INDEX('Fleet dates'!$B$9:$B$1008,$I1001-8)="","",INDEX('Fleet dates'!$B$9:$B$1008,$I1001-8)))</x:f>
      </x:c>
      <x:c r="C1001" s="51" t="str">
        <x:f>IF(993&gt;$H$4,"",IF(INDEX('Fleet dates'!$C$9:$C$1008,$I1001-8)="","",INDEX('Fleet dates'!$C$9:$C$1008,$I1001-8)))</x:f>
      </x:c>
      <x:c r="D1001" s="51" t="str">
        <x:f>IF(993&gt;$H$4,"",IF(INDEX('Fleet dates'!$D$9:$D$1008,$I1001-8)="","",INDEX('Fleet dates'!$D$9:$D$1008,$I1001-8)))</x:f>
      </x:c>
      <x:c r="E1001" s="51" t="str">
        <x:f>IF(993&gt;$H$4,"",IF(INDEX('Fleet dates'!$E$9:$E$1008,$I1001-8)="","",INDEX('Fleet dates'!$E$9:$E$1008,$I1001-8)))</x:f>
      </x:c>
      <x:c r="F1001" s="51" t="str">
        <x:f>IF(993&gt;$H$4,"",IF(INDEX('Fleet dates'!$F$9:$F$1008,$I1001-8)="","",INDEX('Fleet dates'!$F$9:$F$1008,$I1001-8)))</x:f>
      </x:c>
      <x:c r="G1001" s="50" t="str">
        <x:f>IF(993&gt;$H$4,"",IF(INDEX('Fleet dates'!$G$9:$G$1008,$I1001-8)="","",INDEX('Fleet dates'!$G$9:$G$1008,$I1001-8)))</x:f>
      </x:c>
      <x:c r="H1001" s="50" t="str">
        <x:f>IF(993&gt;$H$4,"",IF(INDEX('Fleet dates'!$I$9:$I$1008,$I1001-8)="","",INDEX('Fleet dates'!$I$9:$I$1008,$I1001-8)))</x:f>
      </x:c>
      <x:c r="I1001" t="str">
        <x:f>IF(993&gt;$H$4,"",MATCH(993,'Fleet dates'!$M$9:$M$1008,0)+8)</x:f>
      </x:c>
    </x:row>
    <x:row r="1002" ht="36" customHeight="1">
      <x:c r="A1002" s="50" t="str">
        <x:f>IF(994&gt;$H$4,"",IF(INDEX('Fleet dates'!$A$9:$A$1008,$I1002-8)="","",INDEX('Fleet dates'!$A$9:$A$1008,$I1002-8)))</x:f>
      </x:c>
      <x:c r="B1002" s="50" t="str">
        <x:f>IF(994&gt;$H$4,"",IF(INDEX('Fleet dates'!$B$9:$B$1008,$I1002-8)="","",INDEX('Fleet dates'!$B$9:$B$1008,$I1002-8)))</x:f>
      </x:c>
      <x:c r="C1002" s="51" t="str">
        <x:f>IF(994&gt;$H$4,"",IF(INDEX('Fleet dates'!$C$9:$C$1008,$I1002-8)="","",INDEX('Fleet dates'!$C$9:$C$1008,$I1002-8)))</x:f>
      </x:c>
      <x:c r="D1002" s="51" t="str">
        <x:f>IF(994&gt;$H$4,"",IF(INDEX('Fleet dates'!$D$9:$D$1008,$I1002-8)="","",INDEX('Fleet dates'!$D$9:$D$1008,$I1002-8)))</x:f>
      </x:c>
      <x:c r="E1002" s="51" t="str">
        <x:f>IF(994&gt;$H$4,"",IF(INDEX('Fleet dates'!$E$9:$E$1008,$I1002-8)="","",INDEX('Fleet dates'!$E$9:$E$1008,$I1002-8)))</x:f>
      </x:c>
      <x:c r="F1002" s="51" t="str">
        <x:f>IF(994&gt;$H$4,"",IF(INDEX('Fleet dates'!$F$9:$F$1008,$I1002-8)="","",INDEX('Fleet dates'!$F$9:$F$1008,$I1002-8)))</x:f>
      </x:c>
      <x:c r="G1002" s="50" t="str">
        <x:f>IF(994&gt;$H$4,"",IF(INDEX('Fleet dates'!$G$9:$G$1008,$I1002-8)="","",INDEX('Fleet dates'!$G$9:$G$1008,$I1002-8)))</x:f>
      </x:c>
      <x:c r="H1002" s="50" t="str">
        <x:f>IF(994&gt;$H$4,"",IF(INDEX('Fleet dates'!$I$9:$I$1008,$I1002-8)="","",INDEX('Fleet dates'!$I$9:$I$1008,$I1002-8)))</x:f>
      </x:c>
      <x:c r="I1002" t="str">
        <x:f>IF(994&gt;$H$4,"",MATCH(994,'Fleet dates'!$M$9:$M$1008,0)+8)</x:f>
      </x:c>
    </x:row>
    <x:row r="1003" ht="36" customHeight="1">
      <x:c r="A1003" s="50" t="str">
        <x:f>IF(995&gt;$H$4,"",IF(INDEX('Fleet dates'!$A$9:$A$1008,$I1003-8)="","",INDEX('Fleet dates'!$A$9:$A$1008,$I1003-8)))</x:f>
      </x:c>
      <x:c r="B1003" s="50" t="str">
        <x:f>IF(995&gt;$H$4,"",IF(INDEX('Fleet dates'!$B$9:$B$1008,$I1003-8)="","",INDEX('Fleet dates'!$B$9:$B$1008,$I1003-8)))</x:f>
      </x:c>
      <x:c r="C1003" s="51" t="str">
        <x:f>IF(995&gt;$H$4,"",IF(INDEX('Fleet dates'!$C$9:$C$1008,$I1003-8)="","",INDEX('Fleet dates'!$C$9:$C$1008,$I1003-8)))</x:f>
      </x:c>
      <x:c r="D1003" s="51" t="str">
        <x:f>IF(995&gt;$H$4,"",IF(INDEX('Fleet dates'!$D$9:$D$1008,$I1003-8)="","",INDEX('Fleet dates'!$D$9:$D$1008,$I1003-8)))</x:f>
      </x:c>
      <x:c r="E1003" s="51" t="str">
        <x:f>IF(995&gt;$H$4,"",IF(INDEX('Fleet dates'!$E$9:$E$1008,$I1003-8)="","",INDEX('Fleet dates'!$E$9:$E$1008,$I1003-8)))</x:f>
      </x:c>
      <x:c r="F1003" s="51" t="str">
        <x:f>IF(995&gt;$H$4,"",IF(INDEX('Fleet dates'!$F$9:$F$1008,$I1003-8)="","",INDEX('Fleet dates'!$F$9:$F$1008,$I1003-8)))</x:f>
      </x:c>
      <x:c r="G1003" s="50" t="str">
        <x:f>IF(995&gt;$H$4,"",IF(INDEX('Fleet dates'!$G$9:$G$1008,$I1003-8)="","",INDEX('Fleet dates'!$G$9:$G$1008,$I1003-8)))</x:f>
      </x:c>
      <x:c r="H1003" s="50" t="str">
        <x:f>IF(995&gt;$H$4,"",IF(INDEX('Fleet dates'!$I$9:$I$1008,$I1003-8)="","",INDEX('Fleet dates'!$I$9:$I$1008,$I1003-8)))</x:f>
      </x:c>
      <x:c r="I1003" t="str">
        <x:f>IF(995&gt;$H$4,"",MATCH(995,'Fleet dates'!$M$9:$M$1008,0)+8)</x:f>
      </x:c>
    </x:row>
    <x:row r="1004" ht="36" customHeight="1">
      <x:c r="A1004" s="50" t="str">
        <x:f>IF(996&gt;$H$4,"",IF(INDEX('Fleet dates'!$A$9:$A$1008,$I1004-8)="","",INDEX('Fleet dates'!$A$9:$A$1008,$I1004-8)))</x:f>
      </x:c>
      <x:c r="B1004" s="50" t="str">
        <x:f>IF(996&gt;$H$4,"",IF(INDEX('Fleet dates'!$B$9:$B$1008,$I1004-8)="","",INDEX('Fleet dates'!$B$9:$B$1008,$I1004-8)))</x:f>
      </x:c>
      <x:c r="C1004" s="51" t="str">
        <x:f>IF(996&gt;$H$4,"",IF(INDEX('Fleet dates'!$C$9:$C$1008,$I1004-8)="","",INDEX('Fleet dates'!$C$9:$C$1008,$I1004-8)))</x:f>
      </x:c>
      <x:c r="D1004" s="51" t="str">
        <x:f>IF(996&gt;$H$4,"",IF(INDEX('Fleet dates'!$D$9:$D$1008,$I1004-8)="","",INDEX('Fleet dates'!$D$9:$D$1008,$I1004-8)))</x:f>
      </x:c>
      <x:c r="E1004" s="51" t="str">
        <x:f>IF(996&gt;$H$4,"",IF(INDEX('Fleet dates'!$E$9:$E$1008,$I1004-8)="","",INDEX('Fleet dates'!$E$9:$E$1008,$I1004-8)))</x:f>
      </x:c>
      <x:c r="F1004" s="51" t="str">
        <x:f>IF(996&gt;$H$4,"",IF(INDEX('Fleet dates'!$F$9:$F$1008,$I1004-8)="","",INDEX('Fleet dates'!$F$9:$F$1008,$I1004-8)))</x:f>
      </x:c>
      <x:c r="G1004" s="50" t="str">
        <x:f>IF(996&gt;$H$4,"",IF(INDEX('Fleet dates'!$G$9:$G$1008,$I1004-8)="","",INDEX('Fleet dates'!$G$9:$G$1008,$I1004-8)))</x:f>
      </x:c>
      <x:c r="H1004" s="50" t="str">
        <x:f>IF(996&gt;$H$4,"",IF(INDEX('Fleet dates'!$I$9:$I$1008,$I1004-8)="","",INDEX('Fleet dates'!$I$9:$I$1008,$I1004-8)))</x:f>
      </x:c>
      <x:c r="I1004" t="str">
        <x:f>IF(996&gt;$H$4,"",MATCH(996,'Fleet dates'!$M$9:$M$1008,0)+8)</x:f>
      </x:c>
    </x:row>
    <x:row r="1005" ht="36" customHeight="1">
      <x:c r="A1005" s="50" t="str">
        <x:f>IF(997&gt;$H$4,"",IF(INDEX('Fleet dates'!$A$9:$A$1008,$I1005-8)="","",INDEX('Fleet dates'!$A$9:$A$1008,$I1005-8)))</x:f>
      </x:c>
      <x:c r="B1005" s="50" t="str">
        <x:f>IF(997&gt;$H$4,"",IF(INDEX('Fleet dates'!$B$9:$B$1008,$I1005-8)="","",INDEX('Fleet dates'!$B$9:$B$1008,$I1005-8)))</x:f>
      </x:c>
      <x:c r="C1005" s="51" t="str">
        <x:f>IF(997&gt;$H$4,"",IF(INDEX('Fleet dates'!$C$9:$C$1008,$I1005-8)="","",INDEX('Fleet dates'!$C$9:$C$1008,$I1005-8)))</x:f>
      </x:c>
      <x:c r="D1005" s="51" t="str">
        <x:f>IF(997&gt;$H$4,"",IF(INDEX('Fleet dates'!$D$9:$D$1008,$I1005-8)="","",INDEX('Fleet dates'!$D$9:$D$1008,$I1005-8)))</x:f>
      </x:c>
      <x:c r="E1005" s="51" t="str">
        <x:f>IF(997&gt;$H$4,"",IF(INDEX('Fleet dates'!$E$9:$E$1008,$I1005-8)="","",INDEX('Fleet dates'!$E$9:$E$1008,$I1005-8)))</x:f>
      </x:c>
      <x:c r="F1005" s="51" t="str">
        <x:f>IF(997&gt;$H$4,"",IF(INDEX('Fleet dates'!$F$9:$F$1008,$I1005-8)="","",INDEX('Fleet dates'!$F$9:$F$1008,$I1005-8)))</x:f>
      </x:c>
      <x:c r="G1005" s="50" t="str">
        <x:f>IF(997&gt;$H$4,"",IF(INDEX('Fleet dates'!$G$9:$G$1008,$I1005-8)="","",INDEX('Fleet dates'!$G$9:$G$1008,$I1005-8)))</x:f>
      </x:c>
      <x:c r="H1005" s="50" t="str">
        <x:f>IF(997&gt;$H$4,"",IF(INDEX('Fleet dates'!$I$9:$I$1008,$I1005-8)="","",INDEX('Fleet dates'!$I$9:$I$1008,$I1005-8)))</x:f>
      </x:c>
      <x:c r="I1005" t="str">
        <x:f>IF(997&gt;$H$4,"",MATCH(997,'Fleet dates'!$M$9:$M$1008,0)+8)</x:f>
      </x:c>
    </x:row>
    <x:row r="1006" ht="36" customHeight="1">
      <x:c r="A1006" s="50" t="str">
        <x:f>IF(998&gt;$H$4,"",IF(INDEX('Fleet dates'!$A$9:$A$1008,$I1006-8)="","",INDEX('Fleet dates'!$A$9:$A$1008,$I1006-8)))</x:f>
      </x:c>
      <x:c r="B1006" s="50" t="str">
        <x:f>IF(998&gt;$H$4,"",IF(INDEX('Fleet dates'!$B$9:$B$1008,$I1006-8)="","",INDEX('Fleet dates'!$B$9:$B$1008,$I1006-8)))</x:f>
      </x:c>
      <x:c r="C1006" s="51" t="str">
        <x:f>IF(998&gt;$H$4,"",IF(INDEX('Fleet dates'!$C$9:$C$1008,$I1006-8)="","",INDEX('Fleet dates'!$C$9:$C$1008,$I1006-8)))</x:f>
      </x:c>
      <x:c r="D1006" s="51" t="str">
        <x:f>IF(998&gt;$H$4,"",IF(INDEX('Fleet dates'!$D$9:$D$1008,$I1006-8)="","",INDEX('Fleet dates'!$D$9:$D$1008,$I1006-8)))</x:f>
      </x:c>
      <x:c r="E1006" s="51" t="str">
        <x:f>IF(998&gt;$H$4,"",IF(INDEX('Fleet dates'!$E$9:$E$1008,$I1006-8)="","",INDEX('Fleet dates'!$E$9:$E$1008,$I1006-8)))</x:f>
      </x:c>
      <x:c r="F1006" s="51" t="str">
        <x:f>IF(998&gt;$H$4,"",IF(INDEX('Fleet dates'!$F$9:$F$1008,$I1006-8)="","",INDEX('Fleet dates'!$F$9:$F$1008,$I1006-8)))</x:f>
      </x:c>
      <x:c r="G1006" s="50" t="str">
        <x:f>IF(998&gt;$H$4,"",IF(INDEX('Fleet dates'!$G$9:$G$1008,$I1006-8)="","",INDEX('Fleet dates'!$G$9:$G$1008,$I1006-8)))</x:f>
      </x:c>
      <x:c r="H1006" s="50" t="str">
        <x:f>IF(998&gt;$H$4,"",IF(INDEX('Fleet dates'!$I$9:$I$1008,$I1006-8)="","",INDEX('Fleet dates'!$I$9:$I$1008,$I1006-8)))</x:f>
      </x:c>
      <x:c r="I1006" t="str">
        <x:f>IF(998&gt;$H$4,"",MATCH(998,'Fleet dates'!$M$9:$M$1008,0)+8)</x:f>
      </x:c>
    </x:row>
    <x:row r="1007" ht="36" customHeight="1">
      <x:c r="A1007" s="50" t="str">
        <x:f>IF(999&gt;$H$4,"",IF(INDEX('Fleet dates'!$A$9:$A$1008,$I1007-8)="","",INDEX('Fleet dates'!$A$9:$A$1008,$I1007-8)))</x:f>
      </x:c>
      <x:c r="B1007" s="50" t="str">
        <x:f>IF(999&gt;$H$4,"",IF(INDEX('Fleet dates'!$B$9:$B$1008,$I1007-8)="","",INDEX('Fleet dates'!$B$9:$B$1008,$I1007-8)))</x:f>
      </x:c>
      <x:c r="C1007" s="51" t="str">
        <x:f>IF(999&gt;$H$4,"",IF(INDEX('Fleet dates'!$C$9:$C$1008,$I1007-8)="","",INDEX('Fleet dates'!$C$9:$C$1008,$I1007-8)))</x:f>
      </x:c>
      <x:c r="D1007" s="51" t="str">
        <x:f>IF(999&gt;$H$4,"",IF(INDEX('Fleet dates'!$D$9:$D$1008,$I1007-8)="","",INDEX('Fleet dates'!$D$9:$D$1008,$I1007-8)))</x:f>
      </x:c>
      <x:c r="E1007" s="51" t="str">
        <x:f>IF(999&gt;$H$4,"",IF(INDEX('Fleet dates'!$E$9:$E$1008,$I1007-8)="","",INDEX('Fleet dates'!$E$9:$E$1008,$I1007-8)))</x:f>
      </x:c>
      <x:c r="F1007" s="51" t="str">
        <x:f>IF(999&gt;$H$4,"",IF(INDEX('Fleet dates'!$F$9:$F$1008,$I1007-8)="","",INDEX('Fleet dates'!$F$9:$F$1008,$I1007-8)))</x:f>
      </x:c>
      <x:c r="G1007" s="50" t="str">
        <x:f>IF(999&gt;$H$4,"",IF(INDEX('Fleet dates'!$G$9:$G$1008,$I1007-8)="","",INDEX('Fleet dates'!$G$9:$G$1008,$I1007-8)))</x:f>
      </x:c>
      <x:c r="H1007" s="50" t="str">
        <x:f>IF(999&gt;$H$4,"",IF(INDEX('Fleet dates'!$I$9:$I$1008,$I1007-8)="","",INDEX('Fleet dates'!$I$9:$I$1008,$I1007-8)))</x:f>
      </x:c>
      <x:c r="I1007" t="str">
        <x:f>IF(999&gt;$H$4,"",MATCH(999,'Fleet dates'!$M$9:$M$1008,0)+8)</x:f>
      </x:c>
    </x:row>
    <x:row r="1008" ht="36" customHeight="1">
      <x:c r="A1008" s="50" t="str">
        <x:f>IF(1000&gt;$H$4,"",IF(INDEX('Fleet dates'!$A$9:$A$1008,$I1008-8)="","",INDEX('Fleet dates'!$A$9:$A$1008,$I1008-8)))</x:f>
      </x:c>
      <x:c r="B1008" s="50" t="str">
        <x:f>IF(1000&gt;$H$4,"",IF(INDEX('Fleet dates'!$B$9:$B$1008,$I1008-8)="","",INDEX('Fleet dates'!$B$9:$B$1008,$I1008-8)))</x:f>
      </x:c>
      <x:c r="C1008" s="51" t="str">
        <x:f>IF(1000&gt;$H$4,"",IF(INDEX('Fleet dates'!$C$9:$C$1008,$I1008-8)="","",INDEX('Fleet dates'!$C$9:$C$1008,$I1008-8)))</x:f>
      </x:c>
      <x:c r="D1008" s="51" t="str">
        <x:f>IF(1000&gt;$H$4,"",IF(INDEX('Fleet dates'!$D$9:$D$1008,$I1008-8)="","",INDEX('Fleet dates'!$D$9:$D$1008,$I1008-8)))</x:f>
      </x:c>
      <x:c r="E1008" s="51" t="str">
        <x:f>IF(1000&gt;$H$4,"",IF(INDEX('Fleet dates'!$E$9:$E$1008,$I1008-8)="","",INDEX('Fleet dates'!$E$9:$E$1008,$I1008-8)))</x:f>
      </x:c>
      <x:c r="F1008" s="51" t="str">
        <x:f>IF(1000&gt;$H$4,"",IF(INDEX('Fleet dates'!$F$9:$F$1008,$I1008-8)="","",INDEX('Fleet dates'!$F$9:$F$1008,$I1008-8)))</x:f>
      </x:c>
      <x:c r="G1008" s="50" t="str">
        <x:f>IF(1000&gt;$H$4,"",IF(INDEX('Fleet dates'!$G$9:$G$1008,$I1008-8)="","",INDEX('Fleet dates'!$G$9:$G$1008,$I1008-8)))</x:f>
      </x:c>
      <x:c r="H1008" s="50" t="str">
        <x:f>IF(1000&gt;$H$4,"",IF(INDEX('Fleet dates'!$I$9:$I$1008,$I1008-8)="","",INDEX('Fleet dates'!$I$9:$I$1008,$I1008-8)))</x:f>
      </x:c>
      <x:c r="I1008" t="str">
        <x:f>IF(1000&gt;$H$4,"",MATCH(1000,'Fleet dates'!$M$9:$M$1008,0)+8)</x:f>
      </x:c>
    </x:row>
  </x:sheetData>
  <x:sheetProtection sheet="1" objects="1" scenarios="1" autoFilter="0" selectLockedCells="0" selectUnlockedCells="0"/>
  <x:mergeCells>
    <x:mergeCell ref="B1:H2"/>
    <x:mergeCell ref="A4:G4"/>
    <x:mergeCell ref="A5:H5"/>
    <x:mergeCell ref="A6:H6"/>
  </x:mergeCells>
  <x:pageMargins left="0.7" right="0.7" top="0.75" bottom="0.75" header="0.3" footer="0.3"/>
  <x:hyperlinks>
    <x:hyperlink ref="A6" location="'Summary'!A8" tooltip="Back to Summary"/>
  </x:hyperlinks>
  <x:drawing ns1:id="Re5c38885b3814e8c"/>
</x:worksheet>
</file>

<file path=xl/worksheets/sheet7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6.670000076293945" hidden="0" customWidth="1"/>
    <x:col min="2" max="2" width="20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5.5600004196167" hidden="0" customWidth="1"/>
    <x:col min="7" max="7" width="18.329999923706055" hidden="0" customWidth="1"/>
    <x:col min="8" max="8" width="28.889999389648438" hidden="0" customWidth="1"/>
    <x:col min="9" max="9" hidden="1" width="14" customWidth="1"/>
  </x:cols>
  <x:sheetData>
    <x:row r="1" ht="40" customHeight="1">
      <x:c r="A1" s="3"/>
      <x:c r="B1" s="6" t="str">
        <x:v>Reviewed N/A</x:v>
      </x:c>
      <x:c r="C1" s="6" t="str">
        <x:v>Reviewed N/A</x:v>
      </x:c>
      <x:c r="D1" s="6" t="str">
        <x:v>Reviewed N/A</x:v>
      </x:c>
      <x:c r="E1" s="6" t="str">
        <x:v>Reviewed N/A</x:v>
      </x:c>
      <x:c r="F1" s="6" t="str">
        <x:v>Reviewed N/A</x:v>
      </x:c>
      <x:c r="G1" s="6" t="str">
        <x:v>Reviewed N/A</x:v>
      </x:c>
      <x:c r="H1" s="6" t="str">
        <x:v>Reviewed N/A</x:v>
      </x:c>
    </x:row>
    <x:row r="2" ht="40" customHeight="1">
      <x:c r="A2" s="3"/>
      <x:c r="B2" s="6" t="str">
        <x:v>Reviewed N/A</x:v>
      </x:c>
      <x:c r="C2" s="6" t="str">
        <x:v>Reviewed N/A</x:v>
      </x:c>
      <x:c r="D2" s="6" t="str">
        <x:v>Reviewed N/A</x:v>
      </x:c>
      <x:c r="E2" s="6" t="str">
        <x:v>Reviewed N/A</x:v>
      </x:c>
      <x:c r="F2" s="6" t="str">
        <x:v>Reviewed N/A</x:v>
      </x:c>
      <x:c r="G2" s="6" t="str">
        <x:v>Reviewed N/A</x:v>
      </x:c>
      <x:c r="H2" s="6" t="str">
        <x:v>Reviewed N/A</x:v>
      </x:c>
    </x:row>
    <x:row r="3" ht="36" customHeight="1">
      <x:c r="A3" s="2"/>
      <x:c r="B3" s="2"/>
      <x:c r="C3" s="2"/>
      <x:c r="D3" s="2"/>
      <x:c r="E3" s="2"/>
      <x:c r="F3" s="2"/>
      <x:c r="G3" s="2"/>
      <x:c r="H3" s="2"/>
    </x:row>
    <x:row r="4" ht="36" customHeight="1">
      <x:c r="A4" s="26" t="str">
        <x:v>Matching vehicles or rows</x:v>
      </x:c>
      <x:c r="B4" s="26" t="str">
        <x:v>Matching vehicles or rows</x:v>
      </x:c>
      <x:c r="C4" s="26" t="str">
        <x:v>Matching vehicles or rows</x:v>
      </x:c>
      <x:c r="D4" s="26" t="str">
        <x:v>Matching vehicles or rows</x:v>
      </x:c>
      <x:c r="E4" s="26" t="str">
        <x:v>Matching vehicles or rows</x:v>
      </x:c>
      <x:c r="F4" s="26" t="str">
        <x:v>Matching vehicles or rows</x:v>
      </x:c>
      <x:c r="G4" s="26" t="str">
        <x:v>Matching vehicles or rows</x:v>
      </x:c>
      <x:c r="H4" s="48" t="n">
        <x:f>COUNT('Fleet dates'!$N$9:$N$1008)</x:f>
        <x:v>0</x:v>
      </x:c>
    </x:row>
    <x:row r="5" ht="36" customHeight="1">
      <x:c r="A5" s="9" t="str">
        <x:v>Read-only list. Dates update when the workbook recalculates. Edit records on Fleet dates.</x:v>
      </x:c>
      <x:c r="B5" s="9" t="str">
        <x:v>Read-only list. Dates update when the workbook recalculates. Edit records on Fleet dates.</x:v>
      </x:c>
      <x:c r="C5" s="9" t="str">
        <x:v>Read-only list. Dates update when the workbook recalculates. Edit records on Fleet dates.</x:v>
      </x:c>
      <x:c r="D5" s="9" t="str">
        <x:v>Read-only list. Dates update when the workbook recalculates. Edit records on Fleet dates.</x:v>
      </x:c>
      <x:c r="E5" s="9" t="str">
        <x:v>Read-only list. Dates update when the workbook recalculates. Edit records on Fleet dates.</x:v>
      </x:c>
      <x:c r="F5" s="9" t="str">
        <x:v>Read-only list. Dates update when the workbook recalculates. Edit records on Fleet dates.</x:v>
      </x:c>
      <x:c r="G5" s="9" t="str">
        <x:v>Read-only list. Dates update when the workbook recalculates. Edit records on Fleet dates.</x:v>
      </x:c>
      <x:c r="H5" s="9" t="str">
        <x:v>Read-only list. Dates update when the workbook recalculates. Edit records on Fleet dates.</x:v>
      </x:c>
    </x:row>
    <x:row r="6" ht="36" customHeight="1">
      <x:c r="A6" s="9" t="str">
        <x:v>Back to Summary</x:v>
      </x:c>
      <x:c r="B6" s="9" t="str">
        <x:v>Back to Summary</x:v>
      </x:c>
      <x:c r="C6" s="9" t="str">
        <x:v>Back to Summary</x:v>
      </x:c>
      <x:c r="D6" s="9" t="str">
        <x:v>Back to Summary</x:v>
      </x:c>
      <x:c r="E6" s="9" t="str">
        <x:v>Back to Summary</x:v>
      </x:c>
      <x:c r="F6" s="9" t="str">
        <x:v>Back to Summary</x:v>
      </x:c>
      <x:c r="G6" s="9" t="str">
        <x:v>Back to Summary</x:v>
      </x:c>
      <x:c r="H6" s="9" t="str">
        <x:v>Back to Summary</x:v>
      </x:c>
    </x:row>
    <x:row r="7" ht="36" customHeight="1">
      <x:c r="A7" s="2"/>
      <x:c r="B7" s="2"/>
      <x:c r="C7" s="2"/>
      <x:c r="D7" s="2"/>
      <x:c r="E7" s="2"/>
      <x:c r="F7" s="2"/>
      <x:c r="G7" s="2"/>
      <x:c r="H7" s="2"/>
    </x:row>
    <x:row r="8" ht="48" customHeight="1">
      <x:c r="A8" s="49" t="str">
        <x:v>Vehicle registration</x:v>
      </x:c>
      <x:c r="B8" s="49" t="str">
        <x:v>Vehicle label</x:v>
      </x:c>
      <x:c r="C8" s="49" t="str">
        <x:v>MOT due</x:v>
      </x:c>
      <x:c r="D8" s="49" t="str">
        <x:v>Tax due</x:v>
      </x:c>
      <x:c r="E8" s="49" t="str">
        <x:v>Insurance due</x:v>
      </x:c>
      <x:c r="F8" s="49" t="str">
        <x:v>Next service due</x:v>
      </x:c>
      <x:c r="G8" s="49" t="str">
        <x:v>Responsible person</x:v>
      </x:c>
      <x:c r="H8" s="49" t="str">
        <x:v>Notes / exemptions</x:v>
      </x:c>
    </x:row>
    <x:row r="9" ht="36" customHeight="1">
      <x:c r="A9" s="50" t="str">
        <x:f>IF(1&gt;$H$4,"",IF(INDEX('Fleet dates'!$A$9:$A$1008,$I9-8)="","",INDEX('Fleet dates'!$A$9:$A$1008,$I9-8)))</x:f>
      </x:c>
      <x:c r="B9" s="50" t="str">
        <x:f>IF(1&gt;$H$4,"",IF(INDEX('Fleet dates'!$B$9:$B$1008,$I9-8)="","",INDEX('Fleet dates'!$B$9:$B$1008,$I9-8)))</x:f>
      </x:c>
      <x:c r="C9" s="51" t="str">
        <x:f>IF(1&gt;$H$4,"",IF(INDEX('Fleet dates'!$C$9:$C$1008,$I9-8)="","",INDEX('Fleet dates'!$C$9:$C$1008,$I9-8)))</x:f>
      </x:c>
      <x:c r="D9" s="51" t="str">
        <x:f>IF(1&gt;$H$4,"",IF(INDEX('Fleet dates'!$D$9:$D$1008,$I9-8)="","",INDEX('Fleet dates'!$D$9:$D$1008,$I9-8)))</x:f>
      </x:c>
      <x:c r="E9" s="51" t="str">
        <x:f>IF(1&gt;$H$4,"",IF(INDEX('Fleet dates'!$E$9:$E$1008,$I9-8)="","",INDEX('Fleet dates'!$E$9:$E$1008,$I9-8)))</x:f>
      </x:c>
      <x:c r="F9" s="51" t="str">
        <x:f>IF(1&gt;$H$4,"",IF(INDEX('Fleet dates'!$F$9:$F$1008,$I9-8)="","",INDEX('Fleet dates'!$F$9:$F$1008,$I9-8)))</x:f>
      </x:c>
      <x:c r="G9" s="50" t="str">
        <x:f>IF(1&gt;$H$4,"",IF(INDEX('Fleet dates'!$G$9:$G$1008,$I9-8)="","",INDEX('Fleet dates'!$G$9:$G$1008,$I9-8)))</x:f>
      </x:c>
      <x:c r="H9" s="50" t="str">
        <x:f>IF(1&gt;$H$4,"",IF(INDEX('Fleet dates'!$I$9:$I$1008,$I9-8)="","",INDEX('Fleet dates'!$I$9:$I$1008,$I9-8)))</x:f>
      </x:c>
      <x:c r="I9" t="str">
        <x:f>IF(1&gt;$H$4,"",MATCH(1,'Fleet dates'!$N$9:$N$1008,0)+8)</x:f>
      </x:c>
    </x:row>
    <x:row r="10" ht="36" customHeight="1">
      <x:c r="A10" s="50" t="str">
        <x:f>IF(2&gt;$H$4,"",IF(INDEX('Fleet dates'!$A$9:$A$1008,$I10-8)="","",INDEX('Fleet dates'!$A$9:$A$1008,$I10-8)))</x:f>
      </x:c>
      <x:c r="B10" s="50" t="str">
        <x:f>IF(2&gt;$H$4,"",IF(INDEX('Fleet dates'!$B$9:$B$1008,$I10-8)="","",INDEX('Fleet dates'!$B$9:$B$1008,$I10-8)))</x:f>
      </x:c>
      <x:c r="C10" s="51" t="str">
        <x:f>IF(2&gt;$H$4,"",IF(INDEX('Fleet dates'!$C$9:$C$1008,$I10-8)="","",INDEX('Fleet dates'!$C$9:$C$1008,$I10-8)))</x:f>
      </x:c>
      <x:c r="D10" s="51" t="str">
        <x:f>IF(2&gt;$H$4,"",IF(INDEX('Fleet dates'!$D$9:$D$1008,$I10-8)="","",INDEX('Fleet dates'!$D$9:$D$1008,$I10-8)))</x:f>
      </x:c>
      <x:c r="E10" s="51" t="str">
        <x:f>IF(2&gt;$H$4,"",IF(INDEX('Fleet dates'!$E$9:$E$1008,$I10-8)="","",INDEX('Fleet dates'!$E$9:$E$1008,$I10-8)))</x:f>
      </x:c>
      <x:c r="F10" s="51" t="str">
        <x:f>IF(2&gt;$H$4,"",IF(INDEX('Fleet dates'!$F$9:$F$1008,$I10-8)="","",INDEX('Fleet dates'!$F$9:$F$1008,$I10-8)))</x:f>
      </x:c>
      <x:c r="G10" s="50" t="str">
        <x:f>IF(2&gt;$H$4,"",IF(INDEX('Fleet dates'!$G$9:$G$1008,$I10-8)="","",INDEX('Fleet dates'!$G$9:$G$1008,$I10-8)))</x:f>
      </x:c>
      <x:c r="H10" s="50" t="str">
        <x:f>IF(2&gt;$H$4,"",IF(INDEX('Fleet dates'!$I$9:$I$1008,$I10-8)="","",INDEX('Fleet dates'!$I$9:$I$1008,$I10-8)))</x:f>
      </x:c>
      <x:c r="I10" t="str">
        <x:f>IF(2&gt;$H$4,"",MATCH(2,'Fleet dates'!$N$9:$N$1008,0)+8)</x:f>
      </x:c>
    </x:row>
    <x:row r="11" ht="36" customHeight="1">
      <x:c r="A11" s="50" t="str">
        <x:f>IF(3&gt;$H$4,"",IF(INDEX('Fleet dates'!$A$9:$A$1008,$I11-8)="","",INDEX('Fleet dates'!$A$9:$A$1008,$I11-8)))</x:f>
      </x:c>
      <x:c r="B11" s="50" t="str">
        <x:f>IF(3&gt;$H$4,"",IF(INDEX('Fleet dates'!$B$9:$B$1008,$I11-8)="","",INDEX('Fleet dates'!$B$9:$B$1008,$I11-8)))</x:f>
      </x:c>
      <x:c r="C11" s="51" t="str">
        <x:f>IF(3&gt;$H$4,"",IF(INDEX('Fleet dates'!$C$9:$C$1008,$I11-8)="","",INDEX('Fleet dates'!$C$9:$C$1008,$I11-8)))</x:f>
      </x:c>
      <x:c r="D11" s="51" t="str">
        <x:f>IF(3&gt;$H$4,"",IF(INDEX('Fleet dates'!$D$9:$D$1008,$I11-8)="","",INDEX('Fleet dates'!$D$9:$D$1008,$I11-8)))</x:f>
      </x:c>
      <x:c r="E11" s="51" t="str">
        <x:f>IF(3&gt;$H$4,"",IF(INDEX('Fleet dates'!$E$9:$E$1008,$I11-8)="","",INDEX('Fleet dates'!$E$9:$E$1008,$I11-8)))</x:f>
      </x:c>
      <x:c r="F11" s="51" t="str">
        <x:f>IF(3&gt;$H$4,"",IF(INDEX('Fleet dates'!$F$9:$F$1008,$I11-8)="","",INDEX('Fleet dates'!$F$9:$F$1008,$I11-8)))</x:f>
      </x:c>
      <x:c r="G11" s="50" t="str">
        <x:f>IF(3&gt;$H$4,"",IF(INDEX('Fleet dates'!$G$9:$G$1008,$I11-8)="","",INDEX('Fleet dates'!$G$9:$G$1008,$I11-8)))</x:f>
      </x:c>
      <x:c r="H11" s="50" t="str">
        <x:f>IF(3&gt;$H$4,"",IF(INDEX('Fleet dates'!$I$9:$I$1008,$I11-8)="","",INDEX('Fleet dates'!$I$9:$I$1008,$I11-8)))</x:f>
      </x:c>
      <x:c r="I11" t="str">
        <x:f>IF(3&gt;$H$4,"",MATCH(3,'Fleet dates'!$N$9:$N$1008,0)+8)</x:f>
      </x:c>
    </x:row>
    <x:row r="12" ht="36" customHeight="1">
      <x:c r="A12" s="50" t="str">
        <x:f>IF(4&gt;$H$4,"",IF(INDEX('Fleet dates'!$A$9:$A$1008,$I12-8)="","",INDEX('Fleet dates'!$A$9:$A$1008,$I12-8)))</x:f>
      </x:c>
      <x:c r="B12" s="50" t="str">
        <x:f>IF(4&gt;$H$4,"",IF(INDEX('Fleet dates'!$B$9:$B$1008,$I12-8)="","",INDEX('Fleet dates'!$B$9:$B$1008,$I12-8)))</x:f>
      </x:c>
      <x:c r="C12" s="51" t="str">
        <x:f>IF(4&gt;$H$4,"",IF(INDEX('Fleet dates'!$C$9:$C$1008,$I12-8)="","",INDEX('Fleet dates'!$C$9:$C$1008,$I12-8)))</x:f>
      </x:c>
      <x:c r="D12" s="51" t="str">
        <x:f>IF(4&gt;$H$4,"",IF(INDEX('Fleet dates'!$D$9:$D$1008,$I12-8)="","",INDEX('Fleet dates'!$D$9:$D$1008,$I12-8)))</x:f>
      </x:c>
      <x:c r="E12" s="51" t="str">
        <x:f>IF(4&gt;$H$4,"",IF(INDEX('Fleet dates'!$E$9:$E$1008,$I12-8)="","",INDEX('Fleet dates'!$E$9:$E$1008,$I12-8)))</x:f>
      </x:c>
      <x:c r="F12" s="51" t="str">
        <x:f>IF(4&gt;$H$4,"",IF(INDEX('Fleet dates'!$F$9:$F$1008,$I12-8)="","",INDEX('Fleet dates'!$F$9:$F$1008,$I12-8)))</x:f>
      </x:c>
      <x:c r="G12" s="50" t="str">
        <x:f>IF(4&gt;$H$4,"",IF(INDEX('Fleet dates'!$G$9:$G$1008,$I12-8)="","",INDEX('Fleet dates'!$G$9:$G$1008,$I12-8)))</x:f>
      </x:c>
      <x:c r="H12" s="50" t="str">
        <x:f>IF(4&gt;$H$4,"",IF(INDEX('Fleet dates'!$I$9:$I$1008,$I12-8)="","",INDEX('Fleet dates'!$I$9:$I$1008,$I12-8)))</x:f>
      </x:c>
      <x:c r="I12" t="str">
        <x:f>IF(4&gt;$H$4,"",MATCH(4,'Fleet dates'!$N$9:$N$1008,0)+8)</x:f>
      </x:c>
    </x:row>
    <x:row r="13" ht="36" customHeight="1">
      <x:c r="A13" s="50" t="str">
        <x:f>IF(5&gt;$H$4,"",IF(INDEX('Fleet dates'!$A$9:$A$1008,$I13-8)="","",INDEX('Fleet dates'!$A$9:$A$1008,$I13-8)))</x:f>
      </x:c>
      <x:c r="B13" s="50" t="str">
        <x:f>IF(5&gt;$H$4,"",IF(INDEX('Fleet dates'!$B$9:$B$1008,$I13-8)="","",INDEX('Fleet dates'!$B$9:$B$1008,$I13-8)))</x:f>
      </x:c>
      <x:c r="C13" s="51" t="str">
        <x:f>IF(5&gt;$H$4,"",IF(INDEX('Fleet dates'!$C$9:$C$1008,$I13-8)="","",INDEX('Fleet dates'!$C$9:$C$1008,$I13-8)))</x:f>
      </x:c>
      <x:c r="D13" s="51" t="str">
        <x:f>IF(5&gt;$H$4,"",IF(INDEX('Fleet dates'!$D$9:$D$1008,$I13-8)="","",INDEX('Fleet dates'!$D$9:$D$1008,$I13-8)))</x:f>
      </x:c>
      <x:c r="E13" s="51" t="str">
        <x:f>IF(5&gt;$H$4,"",IF(INDEX('Fleet dates'!$E$9:$E$1008,$I13-8)="","",INDEX('Fleet dates'!$E$9:$E$1008,$I13-8)))</x:f>
      </x:c>
      <x:c r="F13" s="51" t="str">
        <x:f>IF(5&gt;$H$4,"",IF(INDEX('Fleet dates'!$F$9:$F$1008,$I13-8)="","",INDEX('Fleet dates'!$F$9:$F$1008,$I13-8)))</x:f>
      </x:c>
      <x:c r="G13" s="50" t="str">
        <x:f>IF(5&gt;$H$4,"",IF(INDEX('Fleet dates'!$G$9:$G$1008,$I13-8)="","",INDEX('Fleet dates'!$G$9:$G$1008,$I13-8)))</x:f>
      </x:c>
      <x:c r="H13" s="50" t="str">
        <x:f>IF(5&gt;$H$4,"",IF(INDEX('Fleet dates'!$I$9:$I$1008,$I13-8)="","",INDEX('Fleet dates'!$I$9:$I$1008,$I13-8)))</x:f>
      </x:c>
      <x:c r="I13" t="str">
        <x:f>IF(5&gt;$H$4,"",MATCH(5,'Fleet dates'!$N$9:$N$1008,0)+8)</x:f>
      </x:c>
    </x:row>
    <x:row r="14" ht="36" customHeight="1">
      <x:c r="A14" s="50" t="str">
        <x:f>IF(6&gt;$H$4,"",IF(INDEX('Fleet dates'!$A$9:$A$1008,$I14-8)="","",INDEX('Fleet dates'!$A$9:$A$1008,$I14-8)))</x:f>
      </x:c>
      <x:c r="B14" s="50" t="str">
        <x:f>IF(6&gt;$H$4,"",IF(INDEX('Fleet dates'!$B$9:$B$1008,$I14-8)="","",INDEX('Fleet dates'!$B$9:$B$1008,$I14-8)))</x:f>
      </x:c>
      <x:c r="C14" s="51" t="str">
        <x:f>IF(6&gt;$H$4,"",IF(INDEX('Fleet dates'!$C$9:$C$1008,$I14-8)="","",INDEX('Fleet dates'!$C$9:$C$1008,$I14-8)))</x:f>
      </x:c>
      <x:c r="D14" s="51" t="str">
        <x:f>IF(6&gt;$H$4,"",IF(INDEX('Fleet dates'!$D$9:$D$1008,$I14-8)="","",INDEX('Fleet dates'!$D$9:$D$1008,$I14-8)))</x:f>
      </x:c>
      <x:c r="E14" s="51" t="str">
        <x:f>IF(6&gt;$H$4,"",IF(INDEX('Fleet dates'!$E$9:$E$1008,$I14-8)="","",INDEX('Fleet dates'!$E$9:$E$1008,$I14-8)))</x:f>
      </x:c>
      <x:c r="F14" s="51" t="str">
        <x:f>IF(6&gt;$H$4,"",IF(INDEX('Fleet dates'!$F$9:$F$1008,$I14-8)="","",INDEX('Fleet dates'!$F$9:$F$1008,$I14-8)))</x:f>
      </x:c>
      <x:c r="G14" s="50" t="str">
        <x:f>IF(6&gt;$H$4,"",IF(INDEX('Fleet dates'!$G$9:$G$1008,$I14-8)="","",INDEX('Fleet dates'!$G$9:$G$1008,$I14-8)))</x:f>
      </x:c>
      <x:c r="H14" s="50" t="str">
        <x:f>IF(6&gt;$H$4,"",IF(INDEX('Fleet dates'!$I$9:$I$1008,$I14-8)="","",INDEX('Fleet dates'!$I$9:$I$1008,$I14-8)))</x:f>
      </x:c>
      <x:c r="I14" t="str">
        <x:f>IF(6&gt;$H$4,"",MATCH(6,'Fleet dates'!$N$9:$N$1008,0)+8)</x:f>
      </x:c>
    </x:row>
    <x:row r="15" ht="36" customHeight="1">
      <x:c r="A15" s="50" t="str">
        <x:f>IF(7&gt;$H$4,"",IF(INDEX('Fleet dates'!$A$9:$A$1008,$I15-8)="","",INDEX('Fleet dates'!$A$9:$A$1008,$I15-8)))</x:f>
      </x:c>
      <x:c r="B15" s="50" t="str">
        <x:f>IF(7&gt;$H$4,"",IF(INDEX('Fleet dates'!$B$9:$B$1008,$I15-8)="","",INDEX('Fleet dates'!$B$9:$B$1008,$I15-8)))</x:f>
      </x:c>
      <x:c r="C15" s="51" t="str">
        <x:f>IF(7&gt;$H$4,"",IF(INDEX('Fleet dates'!$C$9:$C$1008,$I15-8)="","",INDEX('Fleet dates'!$C$9:$C$1008,$I15-8)))</x:f>
      </x:c>
      <x:c r="D15" s="51" t="str">
        <x:f>IF(7&gt;$H$4,"",IF(INDEX('Fleet dates'!$D$9:$D$1008,$I15-8)="","",INDEX('Fleet dates'!$D$9:$D$1008,$I15-8)))</x:f>
      </x:c>
      <x:c r="E15" s="51" t="str">
        <x:f>IF(7&gt;$H$4,"",IF(INDEX('Fleet dates'!$E$9:$E$1008,$I15-8)="","",INDEX('Fleet dates'!$E$9:$E$1008,$I15-8)))</x:f>
      </x:c>
      <x:c r="F15" s="51" t="str">
        <x:f>IF(7&gt;$H$4,"",IF(INDEX('Fleet dates'!$F$9:$F$1008,$I15-8)="","",INDEX('Fleet dates'!$F$9:$F$1008,$I15-8)))</x:f>
      </x:c>
      <x:c r="G15" s="50" t="str">
        <x:f>IF(7&gt;$H$4,"",IF(INDEX('Fleet dates'!$G$9:$G$1008,$I15-8)="","",INDEX('Fleet dates'!$G$9:$G$1008,$I15-8)))</x:f>
      </x:c>
      <x:c r="H15" s="50" t="str">
        <x:f>IF(7&gt;$H$4,"",IF(INDEX('Fleet dates'!$I$9:$I$1008,$I15-8)="","",INDEX('Fleet dates'!$I$9:$I$1008,$I15-8)))</x:f>
      </x:c>
      <x:c r="I15" t="str">
        <x:f>IF(7&gt;$H$4,"",MATCH(7,'Fleet dates'!$N$9:$N$1008,0)+8)</x:f>
      </x:c>
    </x:row>
    <x:row r="16" ht="36" customHeight="1">
      <x:c r="A16" s="50" t="str">
        <x:f>IF(8&gt;$H$4,"",IF(INDEX('Fleet dates'!$A$9:$A$1008,$I16-8)="","",INDEX('Fleet dates'!$A$9:$A$1008,$I16-8)))</x:f>
      </x:c>
      <x:c r="B16" s="50" t="str">
        <x:f>IF(8&gt;$H$4,"",IF(INDEX('Fleet dates'!$B$9:$B$1008,$I16-8)="","",INDEX('Fleet dates'!$B$9:$B$1008,$I16-8)))</x:f>
      </x:c>
      <x:c r="C16" s="51" t="str">
        <x:f>IF(8&gt;$H$4,"",IF(INDEX('Fleet dates'!$C$9:$C$1008,$I16-8)="","",INDEX('Fleet dates'!$C$9:$C$1008,$I16-8)))</x:f>
      </x:c>
      <x:c r="D16" s="51" t="str">
        <x:f>IF(8&gt;$H$4,"",IF(INDEX('Fleet dates'!$D$9:$D$1008,$I16-8)="","",INDEX('Fleet dates'!$D$9:$D$1008,$I16-8)))</x:f>
      </x:c>
      <x:c r="E16" s="51" t="str">
        <x:f>IF(8&gt;$H$4,"",IF(INDEX('Fleet dates'!$E$9:$E$1008,$I16-8)="","",INDEX('Fleet dates'!$E$9:$E$1008,$I16-8)))</x:f>
      </x:c>
      <x:c r="F16" s="51" t="str">
        <x:f>IF(8&gt;$H$4,"",IF(INDEX('Fleet dates'!$F$9:$F$1008,$I16-8)="","",INDEX('Fleet dates'!$F$9:$F$1008,$I16-8)))</x:f>
      </x:c>
      <x:c r="G16" s="50" t="str">
        <x:f>IF(8&gt;$H$4,"",IF(INDEX('Fleet dates'!$G$9:$G$1008,$I16-8)="","",INDEX('Fleet dates'!$G$9:$G$1008,$I16-8)))</x:f>
      </x:c>
      <x:c r="H16" s="50" t="str">
        <x:f>IF(8&gt;$H$4,"",IF(INDEX('Fleet dates'!$I$9:$I$1008,$I16-8)="","",INDEX('Fleet dates'!$I$9:$I$1008,$I16-8)))</x:f>
      </x:c>
      <x:c r="I16" t="str">
        <x:f>IF(8&gt;$H$4,"",MATCH(8,'Fleet dates'!$N$9:$N$1008,0)+8)</x:f>
      </x:c>
    </x:row>
    <x:row r="17" ht="36" customHeight="1">
      <x:c r="A17" s="50" t="str">
        <x:f>IF(9&gt;$H$4,"",IF(INDEX('Fleet dates'!$A$9:$A$1008,$I17-8)="","",INDEX('Fleet dates'!$A$9:$A$1008,$I17-8)))</x:f>
      </x:c>
      <x:c r="B17" s="50" t="str">
        <x:f>IF(9&gt;$H$4,"",IF(INDEX('Fleet dates'!$B$9:$B$1008,$I17-8)="","",INDEX('Fleet dates'!$B$9:$B$1008,$I17-8)))</x:f>
      </x:c>
      <x:c r="C17" s="51" t="str">
        <x:f>IF(9&gt;$H$4,"",IF(INDEX('Fleet dates'!$C$9:$C$1008,$I17-8)="","",INDEX('Fleet dates'!$C$9:$C$1008,$I17-8)))</x:f>
      </x:c>
      <x:c r="D17" s="51" t="str">
        <x:f>IF(9&gt;$H$4,"",IF(INDEX('Fleet dates'!$D$9:$D$1008,$I17-8)="","",INDEX('Fleet dates'!$D$9:$D$1008,$I17-8)))</x:f>
      </x:c>
      <x:c r="E17" s="51" t="str">
        <x:f>IF(9&gt;$H$4,"",IF(INDEX('Fleet dates'!$E$9:$E$1008,$I17-8)="","",INDEX('Fleet dates'!$E$9:$E$1008,$I17-8)))</x:f>
      </x:c>
      <x:c r="F17" s="51" t="str">
        <x:f>IF(9&gt;$H$4,"",IF(INDEX('Fleet dates'!$F$9:$F$1008,$I17-8)="","",INDEX('Fleet dates'!$F$9:$F$1008,$I17-8)))</x:f>
      </x:c>
      <x:c r="G17" s="50" t="str">
        <x:f>IF(9&gt;$H$4,"",IF(INDEX('Fleet dates'!$G$9:$G$1008,$I17-8)="","",INDEX('Fleet dates'!$G$9:$G$1008,$I17-8)))</x:f>
      </x:c>
      <x:c r="H17" s="50" t="str">
        <x:f>IF(9&gt;$H$4,"",IF(INDEX('Fleet dates'!$I$9:$I$1008,$I17-8)="","",INDEX('Fleet dates'!$I$9:$I$1008,$I17-8)))</x:f>
      </x:c>
      <x:c r="I17" t="str">
        <x:f>IF(9&gt;$H$4,"",MATCH(9,'Fleet dates'!$N$9:$N$1008,0)+8)</x:f>
      </x:c>
    </x:row>
    <x:row r="18" ht="36" customHeight="1">
      <x:c r="A18" s="50" t="str">
        <x:f>IF(10&gt;$H$4,"",IF(INDEX('Fleet dates'!$A$9:$A$1008,$I18-8)="","",INDEX('Fleet dates'!$A$9:$A$1008,$I18-8)))</x:f>
      </x:c>
      <x:c r="B18" s="50" t="str">
        <x:f>IF(10&gt;$H$4,"",IF(INDEX('Fleet dates'!$B$9:$B$1008,$I18-8)="","",INDEX('Fleet dates'!$B$9:$B$1008,$I18-8)))</x:f>
      </x:c>
      <x:c r="C18" s="51" t="str">
        <x:f>IF(10&gt;$H$4,"",IF(INDEX('Fleet dates'!$C$9:$C$1008,$I18-8)="","",INDEX('Fleet dates'!$C$9:$C$1008,$I18-8)))</x:f>
      </x:c>
      <x:c r="D18" s="51" t="str">
        <x:f>IF(10&gt;$H$4,"",IF(INDEX('Fleet dates'!$D$9:$D$1008,$I18-8)="","",INDEX('Fleet dates'!$D$9:$D$1008,$I18-8)))</x:f>
      </x:c>
      <x:c r="E18" s="51" t="str">
        <x:f>IF(10&gt;$H$4,"",IF(INDEX('Fleet dates'!$E$9:$E$1008,$I18-8)="","",INDEX('Fleet dates'!$E$9:$E$1008,$I18-8)))</x:f>
      </x:c>
      <x:c r="F18" s="51" t="str">
        <x:f>IF(10&gt;$H$4,"",IF(INDEX('Fleet dates'!$F$9:$F$1008,$I18-8)="","",INDEX('Fleet dates'!$F$9:$F$1008,$I18-8)))</x:f>
      </x:c>
      <x:c r="G18" s="50" t="str">
        <x:f>IF(10&gt;$H$4,"",IF(INDEX('Fleet dates'!$G$9:$G$1008,$I18-8)="","",INDEX('Fleet dates'!$G$9:$G$1008,$I18-8)))</x:f>
      </x:c>
      <x:c r="H18" s="50" t="str">
        <x:f>IF(10&gt;$H$4,"",IF(INDEX('Fleet dates'!$I$9:$I$1008,$I18-8)="","",INDEX('Fleet dates'!$I$9:$I$1008,$I18-8)))</x:f>
      </x:c>
      <x:c r="I18" t="str">
        <x:f>IF(10&gt;$H$4,"",MATCH(10,'Fleet dates'!$N$9:$N$1008,0)+8)</x:f>
      </x:c>
    </x:row>
    <x:row r="19" ht="36" customHeight="1">
      <x:c r="A19" s="50" t="str">
        <x:f>IF(11&gt;$H$4,"",IF(INDEX('Fleet dates'!$A$9:$A$1008,$I19-8)="","",INDEX('Fleet dates'!$A$9:$A$1008,$I19-8)))</x:f>
      </x:c>
      <x:c r="B19" s="50" t="str">
        <x:f>IF(11&gt;$H$4,"",IF(INDEX('Fleet dates'!$B$9:$B$1008,$I19-8)="","",INDEX('Fleet dates'!$B$9:$B$1008,$I19-8)))</x:f>
      </x:c>
      <x:c r="C19" s="51" t="str">
        <x:f>IF(11&gt;$H$4,"",IF(INDEX('Fleet dates'!$C$9:$C$1008,$I19-8)="","",INDEX('Fleet dates'!$C$9:$C$1008,$I19-8)))</x:f>
      </x:c>
      <x:c r="D19" s="51" t="str">
        <x:f>IF(11&gt;$H$4,"",IF(INDEX('Fleet dates'!$D$9:$D$1008,$I19-8)="","",INDEX('Fleet dates'!$D$9:$D$1008,$I19-8)))</x:f>
      </x:c>
      <x:c r="E19" s="51" t="str">
        <x:f>IF(11&gt;$H$4,"",IF(INDEX('Fleet dates'!$E$9:$E$1008,$I19-8)="","",INDEX('Fleet dates'!$E$9:$E$1008,$I19-8)))</x:f>
      </x:c>
      <x:c r="F19" s="51" t="str">
        <x:f>IF(11&gt;$H$4,"",IF(INDEX('Fleet dates'!$F$9:$F$1008,$I19-8)="","",INDEX('Fleet dates'!$F$9:$F$1008,$I19-8)))</x:f>
      </x:c>
      <x:c r="G19" s="50" t="str">
        <x:f>IF(11&gt;$H$4,"",IF(INDEX('Fleet dates'!$G$9:$G$1008,$I19-8)="","",INDEX('Fleet dates'!$G$9:$G$1008,$I19-8)))</x:f>
      </x:c>
      <x:c r="H19" s="50" t="str">
        <x:f>IF(11&gt;$H$4,"",IF(INDEX('Fleet dates'!$I$9:$I$1008,$I19-8)="","",INDEX('Fleet dates'!$I$9:$I$1008,$I19-8)))</x:f>
      </x:c>
      <x:c r="I19" t="str">
        <x:f>IF(11&gt;$H$4,"",MATCH(11,'Fleet dates'!$N$9:$N$1008,0)+8)</x:f>
      </x:c>
    </x:row>
    <x:row r="20" ht="36" customHeight="1">
      <x:c r="A20" s="50" t="str">
        <x:f>IF(12&gt;$H$4,"",IF(INDEX('Fleet dates'!$A$9:$A$1008,$I20-8)="","",INDEX('Fleet dates'!$A$9:$A$1008,$I20-8)))</x:f>
      </x:c>
      <x:c r="B20" s="50" t="str">
        <x:f>IF(12&gt;$H$4,"",IF(INDEX('Fleet dates'!$B$9:$B$1008,$I20-8)="","",INDEX('Fleet dates'!$B$9:$B$1008,$I20-8)))</x:f>
      </x:c>
      <x:c r="C20" s="51" t="str">
        <x:f>IF(12&gt;$H$4,"",IF(INDEX('Fleet dates'!$C$9:$C$1008,$I20-8)="","",INDEX('Fleet dates'!$C$9:$C$1008,$I20-8)))</x:f>
      </x:c>
      <x:c r="D20" s="51" t="str">
        <x:f>IF(12&gt;$H$4,"",IF(INDEX('Fleet dates'!$D$9:$D$1008,$I20-8)="","",INDEX('Fleet dates'!$D$9:$D$1008,$I20-8)))</x:f>
      </x:c>
      <x:c r="E20" s="51" t="str">
        <x:f>IF(12&gt;$H$4,"",IF(INDEX('Fleet dates'!$E$9:$E$1008,$I20-8)="","",INDEX('Fleet dates'!$E$9:$E$1008,$I20-8)))</x:f>
      </x:c>
      <x:c r="F20" s="51" t="str">
        <x:f>IF(12&gt;$H$4,"",IF(INDEX('Fleet dates'!$F$9:$F$1008,$I20-8)="","",INDEX('Fleet dates'!$F$9:$F$1008,$I20-8)))</x:f>
      </x:c>
      <x:c r="G20" s="50" t="str">
        <x:f>IF(12&gt;$H$4,"",IF(INDEX('Fleet dates'!$G$9:$G$1008,$I20-8)="","",INDEX('Fleet dates'!$G$9:$G$1008,$I20-8)))</x:f>
      </x:c>
      <x:c r="H20" s="50" t="str">
        <x:f>IF(12&gt;$H$4,"",IF(INDEX('Fleet dates'!$I$9:$I$1008,$I20-8)="","",INDEX('Fleet dates'!$I$9:$I$1008,$I20-8)))</x:f>
      </x:c>
      <x:c r="I20" t="str">
        <x:f>IF(12&gt;$H$4,"",MATCH(12,'Fleet dates'!$N$9:$N$1008,0)+8)</x:f>
      </x:c>
    </x:row>
    <x:row r="21" ht="36" customHeight="1">
      <x:c r="A21" s="50" t="str">
        <x:f>IF(13&gt;$H$4,"",IF(INDEX('Fleet dates'!$A$9:$A$1008,$I21-8)="","",INDEX('Fleet dates'!$A$9:$A$1008,$I21-8)))</x:f>
      </x:c>
      <x:c r="B21" s="50" t="str">
        <x:f>IF(13&gt;$H$4,"",IF(INDEX('Fleet dates'!$B$9:$B$1008,$I21-8)="","",INDEX('Fleet dates'!$B$9:$B$1008,$I21-8)))</x:f>
      </x:c>
      <x:c r="C21" s="51" t="str">
        <x:f>IF(13&gt;$H$4,"",IF(INDEX('Fleet dates'!$C$9:$C$1008,$I21-8)="","",INDEX('Fleet dates'!$C$9:$C$1008,$I21-8)))</x:f>
      </x:c>
      <x:c r="D21" s="51" t="str">
        <x:f>IF(13&gt;$H$4,"",IF(INDEX('Fleet dates'!$D$9:$D$1008,$I21-8)="","",INDEX('Fleet dates'!$D$9:$D$1008,$I21-8)))</x:f>
      </x:c>
      <x:c r="E21" s="51" t="str">
        <x:f>IF(13&gt;$H$4,"",IF(INDEX('Fleet dates'!$E$9:$E$1008,$I21-8)="","",INDEX('Fleet dates'!$E$9:$E$1008,$I21-8)))</x:f>
      </x:c>
      <x:c r="F21" s="51" t="str">
        <x:f>IF(13&gt;$H$4,"",IF(INDEX('Fleet dates'!$F$9:$F$1008,$I21-8)="","",INDEX('Fleet dates'!$F$9:$F$1008,$I21-8)))</x:f>
      </x:c>
      <x:c r="G21" s="50" t="str">
        <x:f>IF(13&gt;$H$4,"",IF(INDEX('Fleet dates'!$G$9:$G$1008,$I21-8)="","",INDEX('Fleet dates'!$G$9:$G$1008,$I21-8)))</x:f>
      </x:c>
      <x:c r="H21" s="50" t="str">
        <x:f>IF(13&gt;$H$4,"",IF(INDEX('Fleet dates'!$I$9:$I$1008,$I21-8)="","",INDEX('Fleet dates'!$I$9:$I$1008,$I21-8)))</x:f>
      </x:c>
      <x:c r="I21" t="str">
        <x:f>IF(13&gt;$H$4,"",MATCH(13,'Fleet dates'!$N$9:$N$1008,0)+8)</x:f>
      </x:c>
    </x:row>
    <x:row r="22" ht="36" customHeight="1">
      <x:c r="A22" s="50" t="str">
        <x:f>IF(14&gt;$H$4,"",IF(INDEX('Fleet dates'!$A$9:$A$1008,$I22-8)="","",INDEX('Fleet dates'!$A$9:$A$1008,$I22-8)))</x:f>
      </x:c>
      <x:c r="B22" s="50" t="str">
        <x:f>IF(14&gt;$H$4,"",IF(INDEX('Fleet dates'!$B$9:$B$1008,$I22-8)="","",INDEX('Fleet dates'!$B$9:$B$1008,$I22-8)))</x:f>
      </x:c>
      <x:c r="C22" s="51" t="str">
        <x:f>IF(14&gt;$H$4,"",IF(INDEX('Fleet dates'!$C$9:$C$1008,$I22-8)="","",INDEX('Fleet dates'!$C$9:$C$1008,$I22-8)))</x:f>
      </x:c>
      <x:c r="D22" s="51" t="str">
        <x:f>IF(14&gt;$H$4,"",IF(INDEX('Fleet dates'!$D$9:$D$1008,$I22-8)="","",INDEX('Fleet dates'!$D$9:$D$1008,$I22-8)))</x:f>
      </x:c>
      <x:c r="E22" s="51" t="str">
        <x:f>IF(14&gt;$H$4,"",IF(INDEX('Fleet dates'!$E$9:$E$1008,$I22-8)="","",INDEX('Fleet dates'!$E$9:$E$1008,$I22-8)))</x:f>
      </x:c>
      <x:c r="F22" s="51" t="str">
        <x:f>IF(14&gt;$H$4,"",IF(INDEX('Fleet dates'!$F$9:$F$1008,$I22-8)="","",INDEX('Fleet dates'!$F$9:$F$1008,$I22-8)))</x:f>
      </x:c>
      <x:c r="G22" s="50" t="str">
        <x:f>IF(14&gt;$H$4,"",IF(INDEX('Fleet dates'!$G$9:$G$1008,$I22-8)="","",INDEX('Fleet dates'!$G$9:$G$1008,$I22-8)))</x:f>
      </x:c>
      <x:c r="H22" s="50" t="str">
        <x:f>IF(14&gt;$H$4,"",IF(INDEX('Fleet dates'!$I$9:$I$1008,$I22-8)="","",INDEX('Fleet dates'!$I$9:$I$1008,$I22-8)))</x:f>
      </x:c>
      <x:c r="I22" t="str">
        <x:f>IF(14&gt;$H$4,"",MATCH(14,'Fleet dates'!$N$9:$N$1008,0)+8)</x:f>
      </x:c>
    </x:row>
    <x:row r="23" ht="36" customHeight="1">
      <x:c r="A23" s="50" t="str">
        <x:f>IF(15&gt;$H$4,"",IF(INDEX('Fleet dates'!$A$9:$A$1008,$I23-8)="","",INDEX('Fleet dates'!$A$9:$A$1008,$I23-8)))</x:f>
      </x:c>
      <x:c r="B23" s="50" t="str">
        <x:f>IF(15&gt;$H$4,"",IF(INDEX('Fleet dates'!$B$9:$B$1008,$I23-8)="","",INDEX('Fleet dates'!$B$9:$B$1008,$I23-8)))</x:f>
      </x:c>
      <x:c r="C23" s="51" t="str">
        <x:f>IF(15&gt;$H$4,"",IF(INDEX('Fleet dates'!$C$9:$C$1008,$I23-8)="","",INDEX('Fleet dates'!$C$9:$C$1008,$I23-8)))</x:f>
      </x:c>
      <x:c r="D23" s="51" t="str">
        <x:f>IF(15&gt;$H$4,"",IF(INDEX('Fleet dates'!$D$9:$D$1008,$I23-8)="","",INDEX('Fleet dates'!$D$9:$D$1008,$I23-8)))</x:f>
      </x:c>
      <x:c r="E23" s="51" t="str">
        <x:f>IF(15&gt;$H$4,"",IF(INDEX('Fleet dates'!$E$9:$E$1008,$I23-8)="","",INDEX('Fleet dates'!$E$9:$E$1008,$I23-8)))</x:f>
      </x:c>
      <x:c r="F23" s="51" t="str">
        <x:f>IF(15&gt;$H$4,"",IF(INDEX('Fleet dates'!$F$9:$F$1008,$I23-8)="","",INDEX('Fleet dates'!$F$9:$F$1008,$I23-8)))</x:f>
      </x:c>
      <x:c r="G23" s="50" t="str">
        <x:f>IF(15&gt;$H$4,"",IF(INDEX('Fleet dates'!$G$9:$G$1008,$I23-8)="","",INDEX('Fleet dates'!$G$9:$G$1008,$I23-8)))</x:f>
      </x:c>
      <x:c r="H23" s="50" t="str">
        <x:f>IF(15&gt;$H$4,"",IF(INDEX('Fleet dates'!$I$9:$I$1008,$I23-8)="","",INDEX('Fleet dates'!$I$9:$I$1008,$I23-8)))</x:f>
      </x:c>
      <x:c r="I23" t="str">
        <x:f>IF(15&gt;$H$4,"",MATCH(15,'Fleet dates'!$N$9:$N$1008,0)+8)</x:f>
      </x:c>
    </x:row>
    <x:row r="24" ht="36" customHeight="1">
      <x:c r="A24" s="50" t="str">
        <x:f>IF(16&gt;$H$4,"",IF(INDEX('Fleet dates'!$A$9:$A$1008,$I24-8)="","",INDEX('Fleet dates'!$A$9:$A$1008,$I24-8)))</x:f>
      </x:c>
      <x:c r="B24" s="50" t="str">
        <x:f>IF(16&gt;$H$4,"",IF(INDEX('Fleet dates'!$B$9:$B$1008,$I24-8)="","",INDEX('Fleet dates'!$B$9:$B$1008,$I24-8)))</x:f>
      </x:c>
      <x:c r="C24" s="51" t="str">
        <x:f>IF(16&gt;$H$4,"",IF(INDEX('Fleet dates'!$C$9:$C$1008,$I24-8)="","",INDEX('Fleet dates'!$C$9:$C$1008,$I24-8)))</x:f>
      </x:c>
      <x:c r="D24" s="51" t="str">
        <x:f>IF(16&gt;$H$4,"",IF(INDEX('Fleet dates'!$D$9:$D$1008,$I24-8)="","",INDEX('Fleet dates'!$D$9:$D$1008,$I24-8)))</x:f>
      </x:c>
      <x:c r="E24" s="51" t="str">
        <x:f>IF(16&gt;$H$4,"",IF(INDEX('Fleet dates'!$E$9:$E$1008,$I24-8)="","",INDEX('Fleet dates'!$E$9:$E$1008,$I24-8)))</x:f>
      </x:c>
      <x:c r="F24" s="51" t="str">
        <x:f>IF(16&gt;$H$4,"",IF(INDEX('Fleet dates'!$F$9:$F$1008,$I24-8)="","",INDEX('Fleet dates'!$F$9:$F$1008,$I24-8)))</x:f>
      </x:c>
      <x:c r="G24" s="50" t="str">
        <x:f>IF(16&gt;$H$4,"",IF(INDEX('Fleet dates'!$G$9:$G$1008,$I24-8)="","",INDEX('Fleet dates'!$G$9:$G$1008,$I24-8)))</x:f>
      </x:c>
      <x:c r="H24" s="50" t="str">
        <x:f>IF(16&gt;$H$4,"",IF(INDEX('Fleet dates'!$I$9:$I$1008,$I24-8)="","",INDEX('Fleet dates'!$I$9:$I$1008,$I24-8)))</x:f>
      </x:c>
      <x:c r="I24" t="str">
        <x:f>IF(16&gt;$H$4,"",MATCH(16,'Fleet dates'!$N$9:$N$1008,0)+8)</x:f>
      </x:c>
    </x:row>
    <x:row r="25" ht="36" customHeight="1">
      <x:c r="A25" s="50" t="str">
        <x:f>IF(17&gt;$H$4,"",IF(INDEX('Fleet dates'!$A$9:$A$1008,$I25-8)="","",INDEX('Fleet dates'!$A$9:$A$1008,$I25-8)))</x:f>
      </x:c>
      <x:c r="B25" s="50" t="str">
        <x:f>IF(17&gt;$H$4,"",IF(INDEX('Fleet dates'!$B$9:$B$1008,$I25-8)="","",INDEX('Fleet dates'!$B$9:$B$1008,$I25-8)))</x:f>
      </x:c>
      <x:c r="C25" s="51" t="str">
        <x:f>IF(17&gt;$H$4,"",IF(INDEX('Fleet dates'!$C$9:$C$1008,$I25-8)="","",INDEX('Fleet dates'!$C$9:$C$1008,$I25-8)))</x:f>
      </x:c>
      <x:c r="D25" s="51" t="str">
        <x:f>IF(17&gt;$H$4,"",IF(INDEX('Fleet dates'!$D$9:$D$1008,$I25-8)="","",INDEX('Fleet dates'!$D$9:$D$1008,$I25-8)))</x:f>
      </x:c>
      <x:c r="E25" s="51" t="str">
        <x:f>IF(17&gt;$H$4,"",IF(INDEX('Fleet dates'!$E$9:$E$1008,$I25-8)="","",INDEX('Fleet dates'!$E$9:$E$1008,$I25-8)))</x:f>
      </x:c>
      <x:c r="F25" s="51" t="str">
        <x:f>IF(17&gt;$H$4,"",IF(INDEX('Fleet dates'!$F$9:$F$1008,$I25-8)="","",INDEX('Fleet dates'!$F$9:$F$1008,$I25-8)))</x:f>
      </x:c>
      <x:c r="G25" s="50" t="str">
        <x:f>IF(17&gt;$H$4,"",IF(INDEX('Fleet dates'!$G$9:$G$1008,$I25-8)="","",INDEX('Fleet dates'!$G$9:$G$1008,$I25-8)))</x:f>
      </x:c>
      <x:c r="H25" s="50" t="str">
        <x:f>IF(17&gt;$H$4,"",IF(INDEX('Fleet dates'!$I$9:$I$1008,$I25-8)="","",INDEX('Fleet dates'!$I$9:$I$1008,$I25-8)))</x:f>
      </x:c>
      <x:c r="I25" t="str">
        <x:f>IF(17&gt;$H$4,"",MATCH(17,'Fleet dates'!$N$9:$N$1008,0)+8)</x:f>
      </x:c>
    </x:row>
    <x:row r="26" ht="36" customHeight="1">
      <x:c r="A26" s="50" t="str">
        <x:f>IF(18&gt;$H$4,"",IF(INDEX('Fleet dates'!$A$9:$A$1008,$I26-8)="","",INDEX('Fleet dates'!$A$9:$A$1008,$I26-8)))</x:f>
      </x:c>
      <x:c r="B26" s="50" t="str">
        <x:f>IF(18&gt;$H$4,"",IF(INDEX('Fleet dates'!$B$9:$B$1008,$I26-8)="","",INDEX('Fleet dates'!$B$9:$B$1008,$I26-8)))</x:f>
      </x:c>
      <x:c r="C26" s="51" t="str">
        <x:f>IF(18&gt;$H$4,"",IF(INDEX('Fleet dates'!$C$9:$C$1008,$I26-8)="","",INDEX('Fleet dates'!$C$9:$C$1008,$I26-8)))</x:f>
      </x:c>
      <x:c r="D26" s="51" t="str">
        <x:f>IF(18&gt;$H$4,"",IF(INDEX('Fleet dates'!$D$9:$D$1008,$I26-8)="","",INDEX('Fleet dates'!$D$9:$D$1008,$I26-8)))</x:f>
      </x:c>
      <x:c r="E26" s="51" t="str">
        <x:f>IF(18&gt;$H$4,"",IF(INDEX('Fleet dates'!$E$9:$E$1008,$I26-8)="","",INDEX('Fleet dates'!$E$9:$E$1008,$I26-8)))</x:f>
      </x:c>
      <x:c r="F26" s="51" t="str">
        <x:f>IF(18&gt;$H$4,"",IF(INDEX('Fleet dates'!$F$9:$F$1008,$I26-8)="","",INDEX('Fleet dates'!$F$9:$F$1008,$I26-8)))</x:f>
      </x:c>
      <x:c r="G26" s="50" t="str">
        <x:f>IF(18&gt;$H$4,"",IF(INDEX('Fleet dates'!$G$9:$G$1008,$I26-8)="","",INDEX('Fleet dates'!$G$9:$G$1008,$I26-8)))</x:f>
      </x:c>
      <x:c r="H26" s="50" t="str">
        <x:f>IF(18&gt;$H$4,"",IF(INDEX('Fleet dates'!$I$9:$I$1008,$I26-8)="","",INDEX('Fleet dates'!$I$9:$I$1008,$I26-8)))</x:f>
      </x:c>
      <x:c r="I26" t="str">
        <x:f>IF(18&gt;$H$4,"",MATCH(18,'Fleet dates'!$N$9:$N$1008,0)+8)</x:f>
      </x:c>
    </x:row>
    <x:row r="27" ht="36" customHeight="1">
      <x:c r="A27" s="50" t="str">
        <x:f>IF(19&gt;$H$4,"",IF(INDEX('Fleet dates'!$A$9:$A$1008,$I27-8)="","",INDEX('Fleet dates'!$A$9:$A$1008,$I27-8)))</x:f>
      </x:c>
      <x:c r="B27" s="50" t="str">
        <x:f>IF(19&gt;$H$4,"",IF(INDEX('Fleet dates'!$B$9:$B$1008,$I27-8)="","",INDEX('Fleet dates'!$B$9:$B$1008,$I27-8)))</x:f>
      </x:c>
      <x:c r="C27" s="51" t="str">
        <x:f>IF(19&gt;$H$4,"",IF(INDEX('Fleet dates'!$C$9:$C$1008,$I27-8)="","",INDEX('Fleet dates'!$C$9:$C$1008,$I27-8)))</x:f>
      </x:c>
      <x:c r="D27" s="51" t="str">
        <x:f>IF(19&gt;$H$4,"",IF(INDEX('Fleet dates'!$D$9:$D$1008,$I27-8)="","",INDEX('Fleet dates'!$D$9:$D$1008,$I27-8)))</x:f>
      </x:c>
      <x:c r="E27" s="51" t="str">
        <x:f>IF(19&gt;$H$4,"",IF(INDEX('Fleet dates'!$E$9:$E$1008,$I27-8)="","",INDEX('Fleet dates'!$E$9:$E$1008,$I27-8)))</x:f>
      </x:c>
      <x:c r="F27" s="51" t="str">
        <x:f>IF(19&gt;$H$4,"",IF(INDEX('Fleet dates'!$F$9:$F$1008,$I27-8)="","",INDEX('Fleet dates'!$F$9:$F$1008,$I27-8)))</x:f>
      </x:c>
      <x:c r="G27" s="50" t="str">
        <x:f>IF(19&gt;$H$4,"",IF(INDEX('Fleet dates'!$G$9:$G$1008,$I27-8)="","",INDEX('Fleet dates'!$G$9:$G$1008,$I27-8)))</x:f>
      </x:c>
      <x:c r="H27" s="50" t="str">
        <x:f>IF(19&gt;$H$4,"",IF(INDEX('Fleet dates'!$I$9:$I$1008,$I27-8)="","",INDEX('Fleet dates'!$I$9:$I$1008,$I27-8)))</x:f>
      </x:c>
      <x:c r="I27" t="str">
        <x:f>IF(19&gt;$H$4,"",MATCH(19,'Fleet dates'!$N$9:$N$1008,0)+8)</x:f>
      </x:c>
    </x:row>
    <x:row r="28" ht="36" customHeight="1">
      <x:c r="A28" s="50" t="str">
        <x:f>IF(20&gt;$H$4,"",IF(INDEX('Fleet dates'!$A$9:$A$1008,$I28-8)="","",INDEX('Fleet dates'!$A$9:$A$1008,$I28-8)))</x:f>
      </x:c>
      <x:c r="B28" s="50" t="str">
        <x:f>IF(20&gt;$H$4,"",IF(INDEX('Fleet dates'!$B$9:$B$1008,$I28-8)="","",INDEX('Fleet dates'!$B$9:$B$1008,$I28-8)))</x:f>
      </x:c>
      <x:c r="C28" s="51" t="str">
        <x:f>IF(20&gt;$H$4,"",IF(INDEX('Fleet dates'!$C$9:$C$1008,$I28-8)="","",INDEX('Fleet dates'!$C$9:$C$1008,$I28-8)))</x:f>
      </x:c>
      <x:c r="D28" s="51" t="str">
        <x:f>IF(20&gt;$H$4,"",IF(INDEX('Fleet dates'!$D$9:$D$1008,$I28-8)="","",INDEX('Fleet dates'!$D$9:$D$1008,$I28-8)))</x:f>
      </x:c>
      <x:c r="E28" s="51" t="str">
        <x:f>IF(20&gt;$H$4,"",IF(INDEX('Fleet dates'!$E$9:$E$1008,$I28-8)="","",INDEX('Fleet dates'!$E$9:$E$1008,$I28-8)))</x:f>
      </x:c>
      <x:c r="F28" s="51" t="str">
        <x:f>IF(20&gt;$H$4,"",IF(INDEX('Fleet dates'!$F$9:$F$1008,$I28-8)="","",INDEX('Fleet dates'!$F$9:$F$1008,$I28-8)))</x:f>
      </x:c>
      <x:c r="G28" s="50" t="str">
        <x:f>IF(20&gt;$H$4,"",IF(INDEX('Fleet dates'!$G$9:$G$1008,$I28-8)="","",INDEX('Fleet dates'!$G$9:$G$1008,$I28-8)))</x:f>
      </x:c>
      <x:c r="H28" s="50" t="str">
        <x:f>IF(20&gt;$H$4,"",IF(INDEX('Fleet dates'!$I$9:$I$1008,$I28-8)="","",INDEX('Fleet dates'!$I$9:$I$1008,$I28-8)))</x:f>
      </x:c>
      <x:c r="I28" t="str">
        <x:f>IF(20&gt;$H$4,"",MATCH(20,'Fleet dates'!$N$9:$N$1008,0)+8)</x:f>
      </x:c>
    </x:row>
    <x:row r="29" ht="36" customHeight="1">
      <x:c r="A29" s="50" t="str">
        <x:f>IF(21&gt;$H$4,"",IF(INDEX('Fleet dates'!$A$9:$A$1008,$I29-8)="","",INDEX('Fleet dates'!$A$9:$A$1008,$I29-8)))</x:f>
      </x:c>
      <x:c r="B29" s="50" t="str">
        <x:f>IF(21&gt;$H$4,"",IF(INDEX('Fleet dates'!$B$9:$B$1008,$I29-8)="","",INDEX('Fleet dates'!$B$9:$B$1008,$I29-8)))</x:f>
      </x:c>
      <x:c r="C29" s="51" t="str">
        <x:f>IF(21&gt;$H$4,"",IF(INDEX('Fleet dates'!$C$9:$C$1008,$I29-8)="","",INDEX('Fleet dates'!$C$9:$C$1008,$I29-8)))</x:f>
      </x:c>
      <x:c r="D29" s="51" t="str">
        <x:f>IF(21&gt;$H$4,"",IF(INDEX('Fleet dates'!$D$9:$D$1008,$I29-8)="","",INDEX('Fleet dates'!$D$9:$D$1008,$I29-8)))</x:f>
      </x:c>
      <x:c r="E29" s="51" t="str">
        <x:f>IF(21&gt;$H$4,"",IF(INDEX('Fleet dates'!$E$9:$E$1008,$I29-8)="","",INDEX('Fleet dates'!$E$9:$E$1008,$I29-8)))</x:f>
      </x:c>
      <x:c r="F29" s="51" t="str">
        <x:f>IF(21&gt;$H$4,"",IF(INDEX('Fleet dates'!$F$9:$F$1008,$I29-8)="","",INDEX('Fleet dates'!$F$9:$F$1008,$I29-8)))</x:f>
      </x:c>
      <x:c r="G29" s="50" t="str">
        <x:f>IF(21&gt;$H$4,"",IF(INDEX('Fleet dates'!$G$9:$G$1008,$I29-8)="","",INDEX('Fleet dates'!$G$9:$G$1008,$I29-8)))</x:f>
      </x:c>
      <x:c r="H29" s="50" t="str">
        <x:f>IF(21&gt;$H$4,"",IF(INDEX('Fleet dates'!$I$9:$I$1008,$I29-8)="","",INDEX('Fleet dates'!$I$9:$I$1008,$I29-8)))</x:f>
      </x:c>
      <x:c r="I29" t="str">
        <x:f>IF(21&gt;$H$4,"",MATCH(21,'Fleet dates'!$N$9:$N$1008,0)+8)</x:f>
      </x:c>
    </x:row>
    <x:row r="30" ht="36" customHeight="1">
      <x:c r="A30" s="50" t="str">
        <x:f>IF(22&gt;$H$4,"",IF(INDEX('Fleet dates'!$A$9:$A$1008,$I30-8)="","",INDEX('Fleet dates'!$A$9:$A$1008,$I30-8)))</x:f>
      </x:c>
      <x:c r="B30" s="50" t="str">
        <x:f>IF(22&gt;$H$4,"",IF(INDEX('Fleet dates'!$B$9:$B$1008,$I30-8)="","",INDEX('Fleet dates'!$B$9:$B$1008,$I30-8)))</x:f>
      </x:c>
      <x:c r="C30" s="51" t="str">
        <x:f>IF(22&gt;$H$4,"",IF(INDEX('Fleet dates'!$C$9:$C$1008,$I30-8)="","",INDEX('Fleet dates'!$C$9:$C$1008,$I30-8)))</x:f>
      </x:c>
      <x:c r="D30" s="51" t="str">
        <x:f>IF(22&gt;$H$4,"",IF(INDEX('Fleet dates'!$D$9:$D$1008,$I30-8)="","",INDEX('Fleet dates'!$D$9:$D$1008,$I30-8)))</x:f>
      </x:c>
      <x:c r="E30" s="51" t="str">
        <x:f>IF(22&gt;$H$4,"",IF(INDEX('Fleet dates'!$E$9:$E$1008,$I30-8)="","",INDEX('Fleet dates'!$E$9:$E$1008,$I30-8)))</x:f>
      </x:c>
      <x:c r="F30" s="51" t="str">
        <x:f>IF(22&gt;$H$4,"",IF(INDEX('Fleet dates'!$F$9:$F$1008,$I30-8)="","",INDEX('Fleet dates'!$F$9:$F$1008,$I30-8)))</x:f>
      </x:c>
      <x:c r="G30" s="50" t="str">
        <x:f>IF(22&gt;$H$4,"",IF(INDEX('Fleet dates'!$G$9:$G$1008,$I30-8)="","",INDEX('Fleet dates'!$G$9:$G$1008,$I30-8)))</x:f>
      </x:c>
      <x:c r="H30" s="50" t="str">
        <x:f>IF(22&gt;$H$4,"",IF(INDEX('Fleet dates'!$I$9:$I$1008,$I30-8)="","",INDEX('Fleet dates'!$I$9:$I$1008,$I30-8)))</x:f>
      </x:c>
      <x:c r="I30" t="str">
        <x:f>IF(22&gt;$H$4,"",MATCH(22,'Fleet dates'!$N$9:$N$1008,0)+8)</x:f>
      </x:c>
    </x:row>
    <x:row r="31" ht="36" customHeight="1">
      <x:c r="A31" s="50" t="str">
        <x:f>IF(23&gt;$H$4,"",IF(INDEX('Fleet dates'!$A$9:$A$1008,$I31-8)="","",INDEX('Fleet dates'!$A$9:$A$1008,$I31-8)))</x:f>
      </x:c>
      <x:c r="B31" s="50" t="str">
        <x:f>IF(23&gt;$H$4,"",IF(INDEX('Fleet dates'!$B$9:$B$1008,$I31-8)="","",INDEX('Fleet dates'!$B$9:$B$1008,$I31-8)))</x:f>
      </x:c>
      <x:c r="C31" s="51" t="str">
        <x:f>IF(23&gt;$H$4,"",IF(INDEX('Fleet dates'!$C$9:$C$1008,$I31-8)="","",INDEX('Fleet dates'!$C$9:$C$1008,$I31-8)))</x:f>
      </x:c>
      <x:c r="D31" s="51" t="str">
        <x:f>IF(23&gt;$H$4,"",IF(INDEX('Fleet dates'!$D$9:$D$1008,$I31-8)="","",INDEX('Fleet dates'!$D$9:$D$1008,$I31-8)))</x:f>
      </x:c>
      <x:c r="E31" s="51" t="str">
        <x:f>IF(23&gt;$H$4,"",IF(INDEX('Fleet dates'!$E$9:$E$1008,$I31-8)="","",INDEX('Fleet dates'!$E$9:$E$1008,$I31-8)))</x:f>
      </x:c>
      <x:c r="F31" s="51" t="str">
        <x:f>IF(23&gt;$H$4,"",IF(INDEX('Fleet dates'!$F$9:$F$1008,$I31-8)="","",INDEX('Fleet dates'!$F$9:$F$1008,$I31-8)))</x:f>
      </x:c>
      <x:c r="G31" s="50" t="str">
        <x:f>IF(23&gt;$H$4,"",IF(INDEX('Fleet dates'!$G$9:$G$1008,$I31-8)="","",INDEX('Fleet dates'!$G$9:$G$1008,$I31-8)))</x:f>
      </x:c>
      <x:c r="H31" s="50" t="str">
        <x:f>IF(23&gt;$H$4,"",IF(INDEX('Fleet dates'!$I$9:$I$1008,$I31-8)="","",INDEX('Fleet dates'!$I$9:$I$1008,$I31-8)))</x:f>
      </x:c>
      <x:c r="I31" t="str">
        <x:f>IF(23&gt;$H$4,"",MATCH(23,'Fleet dates'!$N$9:$N$1008,0)+8)</x:f>
      </x:c>
    </x:row>
    <x:row r="32" ht="36" customHeight="1">
      <x:c r="A32" s="50" t="str">
        <x:f>IF(24&gt;$H$4,"",IF(INDEX('Fleet dates'!$A$9:$A$1008,$I32-8)="","",INDEX('Fleet dates'!$A$9:$A$1008,$I32-8)))</x:f>
      </x:c>
      <x:c r="B32" s="50" t="str">
        <x:f>IF(24&gt;$H$4,"",IF(INDEX('Fleet dates'!$B$9:$B$1008,$I32-8)="","",INDEX('Fleet dates'!$B$9:$B$1008,$I32-8)))</x:f>
      </x:c>
      <x:c r="C32" s="51" t="str">
        <x:f>IF(24&gt;$H$4,"",IF(INDEX('Fleet dates'!$C$9:$C$1008,$I32-8)="","",INDEX('Fleet dates'!$C$9:$C$1008,$I32-8)))</x:f>
      </x:c>
      <x:c r="D32" s="51" t="str">
        <x:f>IF(24&gt;$H$4,"",IF(INDEX('Fleet dates'!$D$9:$D$1008,$I32-8)="","",INDEX('Fleet dates'!$D$9:$D$1008,$I32-8)))</x:f>
      </x:c>
      <x:c r="E32" s="51" t="str">
        <x:f>IF(24&gt;$H$4,"",IF(INDEX('Fleet dates'!$E$9:$E$1008,$I32-8)="","",INDEX('Fleet dates'!$E$9:$E$1008,$I32-8)))</x:f>
      </x:c>
      <x:c r="F32" s="51" t="str">
        <x:f>IF(24&gt;$H$4,"",IF(INDEX('Fleet dates'!$F$9:$F$1008,$I32-8)="","",INDEX('Fleet dates'!$F$9:$F$1008,$I32-8)))</x:f>
      </x:c>
      <x:c r="G32" s="50" t="str">
        <x:f>IF(24&gt;$H$4,"",IF(INDEX('Fleet dates'!$G$9:$G$1008,$I32-8)="","",INDEX('Fleet dates'!$G$9:$G$1008,$I32-8)))</x:f>
      </x:c>
      <x:c r="H32" s="50" t="str">
        <x:f>IF(24&gt;$H$4,"",IF(INDEX('Fleet dates'!$I$9:$I$1008,$I32-8)="","",INDEX('Fleet dates'!$I$9:$I$1008,$I32-8)))</x:f>
      </x:c>
      <x:c r="I32" t="str">
        <x:f>IF(24&gt;$H$4,"",MATCH(24,'Fleet dates'!$N$9:$N$1008,0)+8)</x:f>
      </x:c>
    </x:row>
    <x:row r="33" ht="36" customHeight="1">
      <x:c r="A33" s="50" t="str">
        <x:f>IF(25&gt;$H$4,"",IF(INDEX('Fleet dates'!$A$9:$A$1008,$I33-8)="","",INDEX('Fleet dates'!$A$9:$A$1008,$I33-8)))</x:f>
      </x:c>
      <x:c r="B33" s="50" t="str">
        <x:f>IF(25&gt;$H$4,"",IF(INDEX('Fleet dates'!$B$9:$B$1008,$I33-8)="","",INDEX('Fleet dates'!$B$9:$B$1008,$I33-8)))</x:f>
      </x:c>
      <x:c r="C33" s="51" t="str">
        <x:f>IF(25&gt;$H$4,"",IF(INDEX('Fleet dates'!$C$9:$C$1008,$I33-8)="","",INDEX('Fleet dates'!$C$9:$C$1008,$I33-8)))</x:f>
      </x:c>
      <x:c r="D33" s="51" t="str">
        <x:f>IF(25&gt;$H$4,"",IF(INDEX('Fleet dates'!$D$9:$D$1008,$I33-8)="","",INDEX('Fleet dates'!$D$9:$D$1008,$I33-8)))</x:f>
      </x:c>
      <x:c r="E33" s="51" t="str">
        <x:f>IF(25&gt;$H$4,"",IF(INDEX('Fleet dates'!$E$9:$E$1008,$I33-8)="","",INDEX('Fleet dates'!$E$9:$E$1008,$I33-8)))</x:f>
      </x:c>
      <x:c r="F33" s="51" t="str">
        <x:f>IF(25&gt;$H$4,"",IF(INDEX('Fleet dates'!$F$9:$F$1008,$I33-8)="","",INDEX('Fleet dates'!$F$9:$F$1008,$I33-8)))</x:f>
      </x:c>
      <x:c r="G33" s="50" t="str">
        <x:f>IF(25&gt;$H$4,"",IF(INDEX('Fleet dates'!$G$9:$G$1008,$I33-8)="","",INDEX('Fleet dates'!$G$9:$G$1008,$I33-8)))</x:f>
      </x:c>
      <x:c r="H33" s="50" t="str">
        <x:f>IF(25&gt;$H$4,"",IF(INDEX('Fleet dates'!$I$9:$I$1008,$I33-8)="","",INDEX('Fleet dates'!$I$9:$I$1008,$I33-8)))</x:f>
      </x:c>
      <x:c r="I33" t="str">
        <x:f>IF(25&gt;$H$4,"",MATCH(25,'Fleet dates'!$N$9:$N$1008,0)+8)</x:f>
      </x:c>
    </x:row>
    <x:row r="34" ht="36" customHeight="1">
      <x:c r="A34" s="50" t="str">
        <x:f>IF(26&gt;$H$4,"",IF(INDEX('Fleet dates'!$A$9:$A$1008,$I34-8)="","",INDEX('Fleet dates'!$A$9:$A$1008,$I34-8)))</x:f>
      </x:c>
      <x:c r="B34" s="50" t="str">
        <x:f>IF(26&gt;$H$4,"",IF(INDEX('Fleet dates'!$B$9:$B$1008,$I34-8)="","",INDEX('Fleet dates'!$B$9:$B$1008,$I34-8)))</x:f>
      </x:c>
      <x:c r="C34" s="51" t="str">
        <x:f>IF(26&gt;$H$4,"",IF(INDEX('Fleet dates'!$C$9:$C$1008,$I34-8)="","",INDEX('Fleet dates'!$C$9:$C$1008,$I34-8)))</x:f>
      </x:c>
      <x:c r="D34" s="51" t="str">
        <x:f>IF(26&gt;$H$4,"",IF(INDEX('Fleet dates'!$D$9:$D$1008,$I34-8)="","",INDEX('Fleet dates'!$D$9:$D$1008,$I34-8)))</x:f>
      </x:c>
      <x:c r="E34" s="51" t="str">
        <x:f>IF(26&gt;$H$4,"",IF(INDEX('Fleet dates'!$E$9:$E$1008,$I34-8)="","",INDEX('Fleet dates'!$E$9:$E$1008,$I34-8)))</x:f>
      </x:c>
      <x:c r="F34" s="51" t="str">
        <x:f>IF(26&gt;$H$4,"",IF(INDEX('Fleet dates'!$F$9:$F$1008,$I34-8)="","",INDEX('Fleet dates'!$F$9:$F$1008,$I34-8)))</x:f>
      </x:c>
      <x:c r="G34" s="50" t="str">
        <x:f>IF(26&gt;$H$4,"",IF(INDEX('Fleet dates'!$G$9:$G$1008,$I34-8)="","",INDEX('Fleet dates'!$G$9:$G$1008,$I34-8)))</x:f>
      </x:c>
      <x:c r="H34" s="50" t="str">
        <x:f>IF(26&gt;$H$4,"",IF(INDEX('Fleet dates'!$I$9:$I$1008,$I34-8)="","",INDEX('Fleet dates'!$I$9:$I$1008,$I34-8)))</x:f>
      </x:c>
      <x:c r="I34" t="str">
        <x:f>IF(26&gt;$H$4,"",MATCH(26,'Fleet dates'!$N$9:$N$1008,0)+8)</x:f>
      </x:c>
    </x:row>
    <x:row r="35" ht="36" customHeight="1">
      <x:c r="A35" s="50" t="str">
        <x:f>IF(27&gt;$H$4,"",IF(INDEX('Fleet dates'!$A$9:$A$1008,$I35-8)="","",INDEX('Fleet dates'!$A$9:$A$1008,$I35-8)))</x:f>
      </x:c>
      <x:c r="B35" s="50" t="str">
        <x:f>IF(27&gt;$H$4,"",IF(INDEX('Fleet dates'!$B$9:$B$1008,$I35-8)="","",INDEX('Fleet dates'!$B$9:$B$1008,$I35-8)))</x:f>
      </x:c>
      <x:c r="C35" s="51" t="str">
        <x:f>IF(27&gt;$H$4,"",IF(INDEX('Fleet dates'!$C$9:$C$1008,$I35-8)="","",INDEX('Fleet dates'!$C$9:$C$1008,$I35-8)))</x:f>
      </x:c>
      <x:c r="D35" s="51" t="str">
        <x:f>IF(27&gt;$H$4,"",IF(INDEX('Fleet dates'!$D$9:$D$1008,$I35-8)="","",INDEX('Fleet dates'!$D$9:$D$1008,$I35-8)))</x:f>
      </x:c>
      <x:c r="E35" s="51" t="str">
        <x:f>IF(27&gt;$H$4,"",IF(INDEX('Fleet dates'!$E$9:$E$1008,$I35-8)="","",INDEX('Fleet dates'!$E$9:$E$1008,$I35-8)))</x:f>
      </x:c>
      <x:c r="F35" s="51" t="str">
        <x:f>IF(27&gt;$H$4,"",IF(INDEX('Fleet dates'!$F$9:$F$1008,$I35-8)="","",INDEX('Fleet dates'!$F$9:$F$1008,$I35-8)))</x:f>
      </x:c>
      <x:c r="G35" s="50" t="str">
        <x:f>IF(27&gt;$H$4,"",IF(INDEX('Fleet dates'!$G$9:$G$1008,$I35-8)="","",INDEX('Fleet dates'!$G$9:$G$1008,$I35-8)))</x:f>
      </x:c>
      <x:c r="H35" s="50" t="str">
        <x:f>IF(27&gt;$H$4,"",IF(INDEX('Fleet dates'!$I$9:$I$1008,$I35-8)="","",INDEX('Fleet dates'!$I$9:$I$1008,$I35-8)))</x:f>
      </x:c>
      <x:c r="I35" t="str">
        <x:f>IF(27&gt;$H$4,"",MATCH(27,'Fleet dates'!$N$9:$N$1008,0)+8)</x:f>
      </x:c>
    </x:row>
    <x:row r="36" ht="36" customHeight="1">
      <x:c r="A36" s="50" t="str">
        <x:f>IF(28&gt;$H$4,"",IF(INDEX('Fleet dates'!$A$9:$A$1008,$I36-8)="","",INDEX('Fleet dates'!$A$9:$A$1008,$I36-8)))</x:f>
      </x:c>
      <x:c r="B36" s="50" t="str">
        <x:f>IF(28&gt;$H$4,"",IF(INDEX('Fleet dates'!$B$9:$B$1008,$I36-8)="","",INDEX('Fleet dates'!$B$9:$B$1008,$I36-8)))</x:f>
      </x:c>
      <x:c r="C36" s="51" t="str">
        <x:f>IF(28&gt;$H$4,"",IF(INDEX('Fleet dates'!$C$9:$C$1008,$I36-8)="","",INDEX('Fleet dates'!$C$9:$C$1008,$I36-8)))</x:f>
      </x:c>
      <x:c r="D36" s="51" t="str">
        <x:f>IF(28&gt;$H$4,"",IF(INDEX('Fleet dates'!$D$9:$D$1008,$I36-8)="","",INDEX('Fleet dates'!$D$9:$D$1008,$I36-8)))</x:f>
      </x:c>
      <x:c r="E36" s="51" t="str">
        <x:f>IF(28&gt;$H$4,"",IF(INDEX('Fleet dates'!$E$9:$E$1008,$I36-8)="","",INDEX('Fleet dates'!$E$9:$E$1008,$I36-8)))</x:f>
      </x:c>
      <x:c r="F36" s="51" t="str">
        <x:f>IF(28&gt;$H$4,"",IF(INDEX('Fleet dates'!$F$9:$F$1008,$I36-8)="","",INDEX('Fleet dates'!$F$9:$F$1008,$I36-8)))</x:f>
      </x:c>
      <x:c r="G36" s="50" t="str">
        <x:f>IF(28&gt;$H$4,"",IF(INDEX('Fleet dates'!$G$9:$G$1008,$I36-8)="","",INDEX('Fleet dates'!$G$9:$G$1008,$I36-8)))</x:f>
      </x:c>
      <x:c r="H36" s="50" t="str">
        <x:f>IF(28&gt;$H$4,"",IF(INDEX('Fleet dates'!$I$9:$I$1008,$I36-8)="","",INDEX('Fleet dates'!$I$9:$I$1008,$I36-8)))</x:f>
      </x:c>
      <x:c r="I36" t="str">
        <x:f>IF(28&gt;$H$4,"",MATCH(28,'Fleet dates'!$N$9:$N$1008,0)+8)</x:f>
      </x:c>
    </x:row>
    <x:row r="37" ht="36" customHeight="1">
      <x:c r="A37" s="50" t="str">
        <x:f>IF(29&gt;$H$4,"",IF(INDEX('Fleet dates'!$A$9:$A$1008,$I37-8)="","",INDEX('Fleet dates'!$A$9:$A$1008,$I37-8)))</x:f>
      </x:c>
      <x:c r="B37" s="50" t="str">
        <x:f>IF(29&gt;$H$4,"",IF(INDEX('Fleet dates'!$B$9:$B$1008,$I37-8)="","",INDEX('Fleet dates'!$B$9:$B$1008,$I37-8)))</x:f>
      </x:c>
      <x:c r="C37" s="51" t="str">
        <x:f>IF(29&gt;$H$4,"",IF(INDEX('Fleet dates'!$C$9:$C$1008,$I37-8)="","",INDEX('Fleet dates'!$C$9:$C$1008,$I37-8)))</x:f>
      </x:c>
      <x:c r="D37" s="51" t="str">
        <x:f>IF(29&gt;$H$4,"",IF(INDEX('Fleet dates'!$D$9:$D$1008,$I37-8)="","",INDEX('Fleet dates'!$D$9:$D$1008,$I37-8)))</x:f>
      </x:c>
      <x:c r="E37" s="51" t="str">
        <x:f>IF(29&gt;$H$4,"",IF(INDEX('Fleet dates'!$E$9:$E$1008,$I37-8)="","",INDEX('Fleet dates'!$E$9:$E$1008,$I37-8)))</x:f>
      </x:c>
      <x:c r="F37" s="51" t="str">
        <x:f>IF(29&gt;$H$4,"",IF(INDEX('Fleet dates'!$F$9:$F$1008,$I37-8)="","",INDEX('Fleet dates'!$F$9:$F$1008,$I37-8)))</x:f>
      </x:c>
      <x:c r="G37" s="50" t="str">
        <x:f>IF(29&gt;$H$4,"",IF(INDEX('Fleet dates'!$G$9:$G$1008,$I37-8)="","",INDEX('Fleet dates'!$G$9:$G$1008,$I37-8)))</x:f>
      </x:c>
      <x:c r="H37" s="50" t="str">
        <x:f>IF(29&gt;$H$4,"",IF(INDEX('Fleet dates'!$I$9:$I$1008,$I37-8)="","",INDEX('Fleet dates'!$I$9:$I$1008,$I37-8)))</x:f>
      </x:c>
      <x:c r="I37" t="str">
        <x:f>IF(29&gt;$H$4,"",MATCH(29,'Fleet dates'!$N$9:$N$1008,0)+8)</x:f>
      </x:c>
    </x:row>
    <x:row r="38" ht="36" customHeight="1">
      <x:c r="A38" s="50" t="str">
        <x:f>IF(30&gt;$H$4,"",IF(INDEX('Fleet dates'!$A$9:$A$1008,$I38-8)="","",INDEX('Fleet dates'!$A$9:$A$1008,$I38-8)))</x:f>
      </x:c>
      <x:c r="B38" s="50" t="str">
        <x:f>IF(30&gt;$H$4,"",IF(INDEX('Fleet dates'!$B$9:$B$1008,$I38-8)="","",INDEX('Fleet dates'!$B$9:$B$1008,$I38-8)))</x:f>
      </x:c>
      <x:c r="C38" s="51" t="str">
        <x:f>IF(30&gt;$H$4,"",IF(INDEX('Fleet dates'!$C$9:$C$1008,$I38-8)="","",INDEX('Fleet dates'!$C$9:$C$1008,$I38-8)))</x:f>
      </x:c>
      <x:c r="D38" s="51" t="str">
        <x:f>IF(30&gt;$H$4,"",IF(INDEX('Fleet dates'!$D$9:$D$1008,$I38-8)="","",INDEX('Fleet dates'!$D$9:$D$1008,$I38-8)))</x:f>
      </x:c>
      <x:c r="E38" s="51" t="str">
        <x:f>IF(30&gt;$H$4,"",IF(INDEX('Fleet dates'!$E$9:$E$1008,$I38-8)="","",INDEX('Fleet dates'!$E$9:$E$1008,$I38-8)))</x:f>
      </x:c>
      <x:c r="F38" s="51" t="str">
        <x:f>IF(30&gt;$H$4,"",IF(INDEX('Fleet dates'!$F$9:$F$1008,$I38-8)="","",INDEX('Fleet dates'!$F$9:$F$1008,$I38-8)))</x:f>
      </x:c>
      <x:c r="G38" s="50" t="str">
        <x:f>IF(30&gt;$H$4,"",IF(INDEX('Fleet dates'!$G$9:$G$1008,$I38-8)="","",INDEX('Fleet dates'!$G$9:$G$1008,$I38-8)))</x:f>
      </x:c>
      <x:c r="H38" s="50" t="str">
        <x:f>IF(30&gt;$H$4,"",IF(INDEX('Fleet dates'!$I$9:$I$1008,$I38-8)="","",INDEX('Fleet dates'!$I$9:$I$1008,$I38-8)))</x:f>
      </x:c>
      <x:c r="I38" t="str">
        <x:f>IF(30&gt;$H$4,"",MATCH(30,'Fleet dates'!$N$9:$N$1008,0)+8)</x:f>
      </x:c>
    </x:row>
    <x:row r="39" ht="36" customHeight="1">
      <x:c r="A39" s="50" t="str">
        <x:f>IF(31&gt;$H$4,"",IF(INDEX('Fleet dates'!$A$9:$A$1008,$I39-8)="","",INDEX('Fleet dates'!$A$9:$A$1008,$I39-8)))</x:f>
      </x:c>
      <x:c r="B39" s="50" t="str">
        <x:f>IF(31&gt;$H$4,"",IF(INDEX('Fleet dates'!$B$9:$B$1008,$I39-8)="","",INDEX('Fleet dates'!$B$9:$B$1008,$I39-8)))</x:f>
      </x:c>
      <x:c r="C39" s="51" t="str">
        <x:f>IF(31&gt;$H$4,"",IF(INDEX('Fleet dates'!$C$9:$C$1008,$I39-8)="","",INDEX('Fleet dates'!$C$9:$C$1008,$I39-8)))</x:f>
      </x:c>
      <x:c r="D39" s="51" t="str">
        <x:f>IF(31&gt;$H$4,"",IF(INDEX('Fleet dates'!$D$9:$D$1008,$I39-8)="","",INDEX('Fleet dates'!$D$9:$D$1008,$I39-8)))</x:f>
      </x:c>
      <x:c r="E39" s="51" t="str">
        <x:f>IF(31&gt;$H$4,"",IF(INDEX('Fleet dates'!$E$9:$E$1008,$I39-8)="","",INDEX('Fleet dates'!$E$9:$E$1008,$I39-8)))</x:f>
      </x:c>
      <x:c r="F39" s="51" t="str">
        <x:f>IF(31&gt;$H$4,"",IF(INDEX('Fleet dates'!$F$9:$F$1008,$I39-8)="","",INDEX('Fleet dates'!$F$9:$F$1008,$I39-8)))</x:f>
      </x:c>
      <x:c r="G39" s="50" t="str">
        <x:f>IF(31&gt;$H$4,"",IF(INDEX('Fleet dates'!$G$9:$G$1008,$I39-8)="","",INDEX('Fleet dates'!$G$9:$G$1008,$I39-8)))</x:f>
      </x:c>
      <x:c r="H39" s="50" t="str">
        <x:f>IF(31&gt;$H$4,"",IF(INDEX('Fleet dates'!$I$9:$I$1008,$I39-8)="","",INDEX('Fleet dates'!$I$9:$I$1008,$I39-8)))</x:f>
      </x:c>
      <x:c r="I39" t="str">
        <x:f>IF(31&gt;$H$4,"",MATCH(31,'Fleet dates'!$N$9:$N$1008,0)+8)</x:f>
      </x:c>
    </x:row>
    <x:row r="40" ht="36" customHeight="1">
      <x:c r="A40" s="50" t="str">
        <x:f>IF(32&gt;$H$4,"",IF(INDEX('Fleet dates'!$A$9:$A$1008,$I40-8)="","",INDEX('Fleet dates'!$A$9:$A$1008,$I40-8)))</x:f>
      </x:c>
      <x:c r="B40" s="50" t="str">
        <x:f>IF(32&gt;$H$4,"",IF(INDEX('Fleet dates'!$B$9:$B$1008,$I40-8)="","",INDEX('Fleet dates'!$B$9:$B$1008,$I40-8)))</x:f>
      </x:c>
      <x:c r="C40" s="51" t="str">
        <x:f>IF(32&gt;$H$4,"",IF(INDEX('Fleet dates'!$C$9:$C$1008,$I40-8)="","",INDEX('Fleet dates'!$C$9:$C$1008,$I40-8)))</x:f>
      </x:c>
      <x:c r="D40" s="51" t="str">
        <x:f>IF(32&gt;$H$4,"",IF(INDEX('Fleet dates'!$D$9:$D$1008,$I40-8)="","",INDEX('Fleet dates'!$D$9:$D$1008,$I40-8)))</x:f>
      </x:c>
      <x:c r="E40" s="51" t="str">
        <x:f>IF(32&gt;$H$4,"",IF(INDEX('Fleet dates'!$E$9:$E$1008,$I40-8)="","",INDEX('Fleet dates'!$E$9:$E$1008,$I40-8)))</x:f>
      </x:c>
      <x:c r="F40" s="51" t="str">
        <x:f>IF(32&gt;$H$4,"",IF(INDEX('Fleet dates'!$F$9:$F$1008,$I40-8)="","",INDEX('Fleet dates'!$F$9:$F$1008,$I40-8)))</x:f>
      </x:c>
      <x:c r="G40" s="50" t="str">
        <x:f>IF(32&gt;$H$4,"",IF(INDEX('Fleet dates'!$G$9:$G$1008,$I40-8)="","",INDEX('Fleet dates'!$G$9:$G$1008,$I40-8)))</x:f>
      </x:c>
      <x:c r="H40" s="50" t="str">
        <x:f>IF(32&gt;$H$4,"",IF(INDEX('Fleet dates'!$I$9:$I$1008,$I40-8)="","",INDEX('Fleet dates'!$I$9:$I$1008,$I40-8)))</x:f>
      </x:c>
      <x:c r="I40" t="str">
        <x:f>IF(32&gt;$H$4,"",MATCH(32,'Fleet dates'!$N$9:$N$1008,0)+8)</x:f>
      </x:c>
    </x:row>
    <x:row r="41" ht="36" customHeight="1">
      <x:c r="A41" s="50" t="str">
        <x:f>IF(33&gt;$H$4,"",IF(INDEX('Fleet dates'!$A$9:$A$1008,$I41-8)="","",INDEX('Fleet dates'!$A$9:$A$1008,$I41-8)))</x:f>
      </x:c>
      <x:c r="B41" s="50" t="str">
        <x:f>IF(33&gt;$H$4,"",IF(INDEX('Fleet dates'!$B$9:$B$1008,$I41-8)="","",INDEX('Fleet dates'!$B$9:$B$1008,$I41-8)))</x:f>
      </x:c>
      <x:c r="C41" s="51" t="str">
        <x:f>IF(33&gt;$H$4,"",IF(INDEX('Fleet dates'!$C$9:$C$1008,$I41-8)="","",INDEX('Fleet dates'!$C$9:$C$1008,$I41-8)))</x:f>
      </x:c>
      <x:c r="D41" s="51" t="str">
        <x:f>IF(33&gt;$H$4,"",IF(INDEX('Fleet dates'!$D$9:$D$1008,$I41-8)="","",INDEX('Fleet dates'!$D$9:$D$1008,$I41-8)))</x:f>
      </x:c>
      <x:c r="E41" s="51" t="str">
        <x:f>IF(33&gt;$H$4,"",IF(INDEX('Fleet dates'!$E$9:$E$1008,$I41-8)="","",INDEX('Fleet dates'!$E$9:$E$1008,$I41-8)))</x:f>
      </x:c>
      <x:c r="F41" s="51" t="str">
        <x:f>IF(33&gt;$H$4,"",IF(INDEX('Fleet dates'!$F$9:$F$1008,$I41-8)="","",INDEX('Fleet dates'!$F$9:$F$1008,$I41-8)))</x:f>
      </x:c>
      <x:c r="G41" s="50" t="str">
        <x:f>IF(33&gt;$H$4,"",IF(INDEX('Fleet dates'!$G$9:$G$1008,$I41-8)="","",INDEX('Fleet dates'!$G$9:$G$1008,$I41-8)))</x:f>
      </x:c>
      <x:c r="H41" s="50" t="str">
        <x:f>IF(33&gt;$H$4,"",IF(INDEX('Fleet dates'!$I$9:$I$1008,$I41-8)="","",INDEX('Fleet dates'!$I$9:$I$1008,$I41-8)))</x:f>
      </x:c>
      <x:c r="I41" t="str">
        <x:f>IF(33&gt;$H$4,"",MATCH(33,'Fleet dates'!$N$9:$N$1008,0)+8)</x:f>
      </x:c>
    </x:row>
    <x:row r="42" ht="36" customHeight="1">
      <x:c r="A42" s="50" t="str">
        <x:f>IF(34&gt;$H$4,"",IF(INDEX('Fleet dates'!$A$9:$A$1008,$I42-8)="","",INDEX('Fleet dates'!$A$9:$A$1008,$I42-8)))</x:f>
      </x:c>
      <x:c r="B42" s="50" t="str">
        <x:f>IF(34&gt;$H$4,"",IF(INDEX('Fleet dates'!$B$9:$B$1008,$I42-8)="","",INDEX('Fleet dates'!$B$9:$B$1008,$I42-8)))</x:f>
      </x:c>
      <x:c r="C42" s="51" t="str">
        <x:f>IF(34&gt;$H$4,"",IF(INDEX('Fleet dates'!$C$9:$C$1008,$I42-8)="","",INDEX('Fleet dates'!$C$9:$C$1008,$I42-8)))</x:f>
      </x:c>
      <x:c r="D42" s="51" t="str">
        <x:f>IF(34&gt;$H$4,"",IF(INDEX('Fleet dates'!$D$9:$D$1008,$I42-8)="","",INDEX('Fleet dates'!$D$9:$D$1008,$I42-8)))</x:f>
      </x:c>
      <x:c r="E42" s="51" t="str">
        <x:f>IF(34&gt;$H$4,"",IF(INDEX('Fleet dates'!$E$9:$E$1008,$I42-8)="","",INDEX('Fleet dates'!$E$9:$E$1008,$I42-8)))</x:f>
      </x:c>
      <x:c r="F42" s="51" t="str">
        <x:f>IF(34&gt;$H$4,"",IF(INDEX('Fleet dates'!$F$9:$F$1008,$I42-8)="","",INDEX('Fleet dates'!$F$9:$F$1008,$I42-8)))</x:f>
      </x:c>
      <x:c r="G42" s="50" t="str">
        <x:f>IF(34&gt;$H$4,"",IF(INDEX('Fleet dates'!$G$9:$G$1008,$I42-8)="","",INDEX('Fleet dates'!$G$9:$G$1008,$I42-8)))</x:f>
      </x:c>
      <x:c r="H42" s="50" t="str">
        <x:f>IF(34&gt;$H$4,"",IF(INDEX('Fleet dates'!$I$9:$I$1008,$I42-8)="","",INDEX('Fleet dates'!$I$9:$I$1008,$I42-8)))</x:f>
      </x:c>
      <x:c r="I42" t="str">
        <x:f>IF(34&gt;$H$4,"",MATCH(34,'Fleet dates'!$N$9:$N$1008,0)+8)</x:f>
      </x:c>
    </x:row>
    <x:row r="43" ht="36" customHeight="1">
      <x:c r="A43" s="50" t="str">
        <x:f>IF(35&gt;$H$4,"",IF(INDEX('Fleet dates'!$A$9:$A$1008,$I43-8)="","",INDEX('Fleet dates'!$A$9:$A$1008,$I43-8)))</x:f>
      </x:c>
      <x:c r="B43" s="50" t="str">
        <x:f>IF(35&gt;$H$4,"",IF(INDEX('Fleet dates'!$B$9:$B$1008,$I43-8)="","",INDEX('Fleet dates'!$B$9:$B$1008,$I43-8)))</x:f>
      </x:c>
      <x:c r="C43" s="51" t="str">
        <x:f>IF(35&gt;$H$4,"",IF(INDEX('Fleet dates'!$C$9:$C$1008,$I43-8)="","",INDEX('Fleet dates'!$C$9:$C$1008,$I43-8)))</x:f>
      </x:c>
      <x:c r="D43" s="51" t="str">
        <x:f>IF(35&gt;$H$4,"",IF(INDEX('Fleet dates'!$D$9:$D$1008,$I43-8)="","",INDEX('Fleet dates'!$D$9:$D$1008,$I43-8)))</x:f>
      </x:c>
      <x:c r="E43" s="51" t="str">
        <x:f>IF(35&gt;$H$4,"",IF(INDEX('Fleet dates'!$E$9:$E$1008,$I43-8)="","",INDEX('Fleet dates'!$E$9:$E$1008,$I43-8)))</x:f>
      </x:c>
      <x:c r="F43" s="51" t="str">
        <x:f>IF(35&gt;$H$4,"",IF(INDEX('Fleet dates'!$F$9:$F$1008,$I43-8)="","",INDEX('Fleet dates'!$F$9:$F$1008,$I43-8)))</x:f>
      </x:c>
      <x:c r="G43" s="50" t="str">
        <x:f>IF(35&gt;$H$4,"",IF(INDEX('Fleet dates'!$G$9:$G$1008,$I43-8)="","",INDEX('Fleet dates'!$G$9:$G$1008,$I43-8)))</x:f>
      </x:c>
      <x:c r="H43" s="50" t="str">
        <x:f>IF(35&gt;$H$4,"",IF(INDEX('Fleet dates'!$I$9:$I$1008,$I43-8)="","",INDEX('Fleet dates'!$I$9:$I$1008,$I43-8)))</x:f>
      </x:c>
      <x:c r="I43" t="str">
        <x:f>IF(35&gt;$H$4,"",MATCH(35,'Fleet dates'!$N$9:$N$1008,0)+8)</x:f>
      </x:c>
    </x:row>
    <x:row r="44" ht="36" customHeight="1">
      <x:c r="A44" s="50" t="str">
        <x:f>IF(36&gt;$H$4,"",IF(INDEX('Fleet dates'!$A$9:$A$1008,$I44-8)="","",INDEX('Fleet dates'!$A$9:$A$1008,$I44-8)))</x:f>
      </x:c>
      <x:c r="B44" s="50" t="str">
        <x:f>IF(36&gt;$H$4,"",IF(INDEX('Fleet dates'!$B$9:$B$1008,$I44-8)="","",INDEX('Fleet dates'!$B$9:$B$1008,$I44-8)))</x:f>
      </x:c>
      <x:c r="C44" s="51" t="str">
        <x:f>IF(36&gt;$H$4,"",IF(INDEX('Fleet dates'!$C$9:$C$1008,$I44-8)="","",INDEX('Fleet dates'!$C$9:$C$1008,$I44-8)))</x:f>
      </x:c>
      <x:c r="D44" s="51" t="str">
        <x:f>IF(36&gt;$H$4,"",IF(INDEX('Fleet dates'!$D$9:$D$1008,$I44-8)="","",INDEX('Fleet dates'!$D$9:$D$1008,$I44-8)))</x:f>
      </x:c>
      <x:c r="E44" s="51" t="str">
        <x:f>IF(36&gt;$H$4,"",IF(INDEX('Fleet dates'!$E$9:$E$1008,$I44-8)="","",INDEX('Fleet dates'!$E$9:$E$1008,$I44-8)))</x:f>
      </x:c>
      <x:c r="F44" s="51" t="str">
        <x:f>IF(36&gt;$H$4,"",IF(INDEX('Fleet dates'!$F$9:$F$1008,$I44-8)="","",INDEX('Fleet dates'!$F$9:$F$1008,$I44-8)))</x:f>
      </x:c>
      <x:c r="G44" s="50" t="str">
        <x:f>IF(36&gt;$H$4,"",IF(INDEX('Fleet dates'!$G$9:$G$1008,$I44-8)="","",INDEX('Fleet dates'!$G$9:$G$1008,$I44-8)))</x:f>
      </x:c>
      <x:c r="H44" s="50" t="str">
        <x:f>IF(36&gt;$H$4,"",IF(INDEX('Fleet dates'!$I$9:$I$1008,$I44-8)="","",INDEX('Fleet dates'!$I$9:$I$1008,$I44-8)))</x:f>
      </x:c>
      <x:c r="I44" t="str">
        <x:f>IF(36&gt;$H$4,"",MATCH(36,'Fleet dates'!$N$9:$N$1008,0)+8)</x:f>
      </x:c>
    </x:row>
    <x:row r="45" ht="36" customHeight="1">
      <x:c r="A45" s="50" t="str">
        <x:f>IF(37&gt;$H$4,"",IF(INDEX('Fleet dates'!$A$9:$A$1008,$I45-8)="","",INDEX('Fleet dates'!$A$9:$A$1008,$I45-8)))</x:f>
      </x:c>
      <x:c r="B45" s="50" t="str">
        <x:f>IF(37&gt;$H$4,"",IF(INDEX('Fleet dates'!$B$9:$B$1008,$I45-8)="","",INDEX('Fleet dates'!$B$9:$B$1008,$I45-8)))</x:f>
      </x:c>
      <x:c r="C45" s="51" t="str">
        <x:f>IF(37&gt;$H$4,"",IF(INDEX('Fleet dates'!$C$9:$C$1008,$I45-8)="","",INDEX('Fleet dates'!$C$9:$C$1008,$I45-8)))</x:f>
      </x:c>
      <x:c r="D45" s="51" t="str">
        <x:f>IF(37&gt;$H$4,"",IF(INDEX('Fleet dates'!$D$9:$D$1008,$I45-8)="","",INDEX('Fleet dates'!$D$9:$D$1008,$I45-8)))</x:f>
      </x:c>
      <x:c r="E45" s="51" t="str">
        <x:f>IF(37&gt;$H$4,"",IF(INDEX('Fleet dates'!$E$9:$E$1008,$I45-8)="","",INDEX('Fleet dates'!$E$9:$E$1008,$I45-8)))</x:f>
      </x:c>
      <x:c r="F45" s="51" t="str">
        <x:f>IF(37&gt;$H$4,"",IF(INDEX('Fleet dates'!$F$9:$F$1008,$I45-8)="","",INDEX('Fleet dates'!$F$9:$F$1008,$I45-8)))</x:f>
      </x:c>
      <x:c r="G45" s="50" t="str">
        <x:f>IF(37&gt;$H$4,"",IF(INDEX('Fleet dates'!$G$9:$G$1008,$I45-8)="","",INDEX('Fleet dates'!$G$9:$G$1008,$I45-8)))</x:f>
      </x:c>
      <x:c r="H45" s="50" t="str">
        <x:f>IF(37&gt;$H$4,"",IF(INDEX('Fleet dates'!$I$9:$I$1008,$I45-8)="","",INDEX('Fleet dates'!$I$9:$I$1008,$I45-8)))</x:f>
      </x:c>
      <x:c r="I45" t="str">
        <x:f>IF(37&gt;$H$4,"",MATCH(37,'Fleet dates'!$N$9:$N$1008,0)+8)</x:f>
      </x:c>
    </x:row>
    <x:row r="46" ht="36" customHeight="1">
      <x:c r="A46" s="50" t="str">
        <x:f>IF(38&gt;$H$4,"",IF(INDEX('Fleet dates'!$A$9:$A$1008,$I46-8)="","",INDEX('Fleet dates'!$A$9:$A$1008,$I46-8)))</x:f>
      </x:c>
      <x:c r="B46" s="50" t="str">
        <x:f>IF(38&gt;$H$4,"",IF(INDEX('Fleet dates'!$B$9:$B$1008,$I46-8)="","",INDEX('Fleet dates'!$B$9:$B$1008,$I46-8)))</x:f>
      </x:c>
      <x:c r="C46" s="51" t="str">
        <x:f>IF(38&gt;$H$4,"",IF(INDEX('Fleet dates'!$C$9:$C$1008,$I46-8)="","",INDEX('Fleet dates'!$C$9:$C$1008,$I46-8)))</x:f>
      </x:c>
      <x:c r="D46" s="51" t="str">
        <x:f>IF(38&gt;$H$4,"",IF(INDEX('Fleet dates'!$D$9:$D$1008,$I46-8)="","",INDEX('Fleet dates'!$D$9:$D$1008,$I46-8)))</x:f>
      </x:c>
      <x:c r="E46" s="51" t="str">
        <x:f>IF(38&gt;$H$4,"",IF(INDEX('Fleet dates'!$E$9:$E$1008,$I46-8)="","",INDEX('Fleet dates'!$E$9:$E$1008,$I46-8)))</x:f>
      </x:c>
      <x:c r="F46" s="51" t="str">
        <x:f>IF(38&gt;$H$4,"",IF(INDEX('Fleet dates'!$F$9:$F$1008,$I46-8)="","",INDEX('Fleet dates'!$F$9:$F$1008,$I46-8)))</x:f>
      </x:c>
      <x:c r="G46" s="50" t="str">
        <x:f>IF(38&gt;$H$4,"",IF(INDEX('Fleet dates'!$G$9:$G$1008,$I46-8)="","",INDEX('Fleet dates'!$G$9:$G$1008,$I46-8)))</x:f>
      </x:c>
      <x:c r="H46" s="50" t="str">
        <x:f>IF(38&gt;$H$4,"",IF(INDEX('Fleet dates'!$I$9:$I$1008,$I46-8)="","",INDEX('Fleet dates'!$I$9:$I$1008,$I46-8)))</x:f>
      </x:c>
      <x:c r="I46" t="str">
        <x:f>IF(38&gt;$H$4,"",MATCH(38,'Fleet dates'!$N$9:$N$1008,0)+8)</x:f>
      </x:c>
    </x:row>
    <x:row r="47" ht="36" customHeight="1">
      <x:c r="A47" s="50" t="str">
        <x:f>IF(39&gt;$H$4,"",IF(INDEX('Fleet dates'!$A$9:$A$1008,$I47-8)="","",INDEX('Fleet dates'!$A$9:$A$1008,$I47-8)))</x:f>
      </x:c>
      <x:c r="B47" s="50" t="str">
        <x:f>IF(39&gt;$H$4,"",IF(INDEX('Fleet dates'!$B$9:$B$1008,$I47-8)="","",INDEX('Fleet dates'!$B$9:$B$1008,$I47-8)))</x:f>
      </x:c>
      <x:c r="C47" s="51" t="str">
        <x:f>IF(39&gt;$H$4,"",IF(INDEX('Fleet dates'!$C$9:$C$1008,$I47-8)="","",INDEX('Fleet dates'!$C$9:$C$1008,$I47-8)))</x:f>
      </x:c>
      <x:c r="D47" s="51" t="str">
        <x:f>IF(39&gt;$H$4,"",IF(INDEX('Fleet dates'!$D$9:$D$1008,$I47-8)="","",INDEX('Fleet dates'!$D$9:$D$1008,$I47-8)))</x:f>
      </x:c>
      <x:c r="E47" s="51" t="str">
        <x:f>IF(39&gt;$H$4,"",IF(INDEX('Fleet dates'!$E$9:$E$1008,$I47-8)="","",INDEX('Fleet dates'!$E$9:$E$1008,$I47-8)))</x:f>
      </x:c>
      <x:c r="F47" s="51" t="str">
        <x:f>IF(39&gt;$H$4,"",IF(INDEX('Fleet dates'!$F$9:$F$1008,$I47-8)="","",INDEX('Fleet dates'!$F$9:$F$1008,$I47-8)))</x:f>
      </x:c>
      <x:c r="G47" s="50" t="str">
        <x:f>IF(39&gt;$H$4,"",IF(INDEX('Fleet dates'!$G$9:$G$1008,$I47-8)="","",INDEX('Fleet dates'!$G$9:$G$1008,$I47-8)))</x:f>
      </x:c>
      <x:c r="H47" s="50" t="str">
        <x:f>IF(39&gt;$H$4,"",IF(INDEX('Fleet dates'!$I$9:$I$1008,$I47-8)="","",INDEX('Fleet dates'!$I$9:$I$1008,$I47-8)))</x:f>
      </x:c>
      <x:c r="I47" t="str">
        <x:f>IF(39&gt;$H$4,"",MATCH(39,'Fleet dates'!$N$9:$N$1008,0)+8)</x:f>
      </x:c>
    </x:row>
    <x:row r="48" ht="36" customHeight="1">
      <x:c r="A48" s="50" t="str">
        <x:f>IF(40&gt;$H$4,"",IF(INDEX('Fleet dates'!$A$9:$A$1008,$I48-8)="","",INDEX('Fleet dates'!$A$9:$A$1008,$I48-8)))</x:f>
      </x:c>
      <x:c r="B48" s="50" t="str">
        <x:f>IF(40&gt;$H$4,"",IF(INDEX('Fleet dates'!$B$9:$B$1008,$I48-8)="","",INDEX('Fleet dates'!$B$9:$B$1008,$I48-8)))</x:f>
      </x:c>
      <x:c r="C48" s="51" t="str">
        <x:f>IF(40&gt;$H$4,"",IF(INDEX('Fleet dates'!$C$9:$C$1008,$I48-8)="","",INDEX('Fleet dates'!$C$9:$C$1008,$I48-8)))</x:f>
      </x:c>
      <x:c r="D48" s="51" t="str">
        <x:f>IF(40&gt;$H$4,"",IF(INDEX('Fleet dates'!$D$9:$D$1008,$I48-8)="","",INDEX('Fleet dates'!$D$9:$D$1008,$I48-8)))</x:f>
      </x:c>
      <x:c r="E48" s="51" t="str">
        <x:f>IF(40&gt;$H$4,"",IF(INDEX('Fleet dates'!$E$9:$E$1008,$I48-8)="","",INDEX('Fleet dates'!$E$9:$E$1008,$I48-8)))</x:f>
      </x:c>
      <x:c r="F48" s="51" t="str">
        <x:f>IF(40&gt;$H$4,"",IF(INDEX('Fleet dates'!$F$9:$F$1008,$I48-8)="","",INDEX('Fleet dates'!$F$9:$F$1008,$I48-8)))</x:f>
      </x:c>
      <x:c r="G48" s="50" t="str">
        <x:f>IF(40&gt;$H$4,"",IF(INDEX('Fleet dates'!$G$9:$G$1008,$I48-8)="","",INDEX('Fleet dates'!$G$9:$G$1008,$I48-8)))</x:f>
      </x:c>
      <x:c r="H48" s="50" t="str">
        <x:f>IF(40&gt;$H$4,"",IF(INDEX('Fleet dates'!$I$9:$I$1008,$I48-8)="","",INDEX('Fleet dates'!$I$9:$I$1008,$I48-8)))</x:f>
      </x:c>
      <x:c r="I48" t="str">
        <x:f>IF(40&gt;$H$4,"",MATCH(40,'Fleet dates'!$N$9:$N$1008,0)+8)</x:f>
      </x:c>
    </x:row>
    <x:row r="49" ht="36" customHeight="1">
      <x:c r="A49" s="50" t="str">
        <x:f>IF(41&gt;$H$4,"",IF(INDEX('Fleet dates'!$A$9:$A$1008,$I49-8)="","",INDEX('Fleet dates'!$A$9:$A$1008,$I49-8)))</x:f>
      </x:c>
      <x:c r="B49" s="50" t="str">
        <x:f>IF(41&gt;$H$4,"",IF(INDEX('Fleet dates'!$B$9:$B$1008,$I49-8)="","",INDEX('Fleet dates'!$B$9:$B$1008,$I49-8)))</x:f>
      </x:c>
      <x:c r="C49" s="51" t="str">
        <x:f>IF(41&gt;$H$4,"",IF(INDEX('Fleet dates'!$C$9:$C$1008,$I49-8)="","",INDEX('Fleet dates'!$C$9:$C$1008,$I49-8)))</x:f>
      </x:c>
      <x:c r="D49" s="51" t="str">
        <x:f>IF(41&gt;$H$4,"",IF(INDEX('Fleet dates'!$D$9:$D$1008,$I49-8)="","",INDEX('Fleet dates'!$D$9:$D$1008,$I49-8)))</x:f>
      </x:c>
      <x:c r="E49" s="51" t="str">
        <x:f>IF(41&gt;$H$4,"",IF(INDEX('Fleet dates'!$E$9:$E$1008,$I49-8)="","",INDEX('Fleet dates'!$E$9:$E$1008,$I49-8)))</x:f>
      </x:c>
      <x:c r="F49" s="51" t="str">
        <x:f>IF(41&gt;$H$4,"",IF(INDEX('Fleet dates'!$F$9:$F$1008,$I49-8)="","",INDEX('Fleet dates'!$F$9:$F$1008,$I49-8)))</x:f>
      </x:c>
      <x:c r="G49" s="50" t="str">
        <x:f>IF(41&gt;$H$4,"",IF(INDEX('Fleet dates'!$G$9:$G$1008,$I49-8)="","",INDEX('Fleet dates'!$G$9:$G$1008,$I49-8)))</x:f>
      </x:c>
      <x:c r="H49" s="50" t="str">
        <x:f>IF(41&gt;$H$4,"",IF(INDEX('Fleet dates'!$I$9:$I$1008,$I49-8)="","",INDEX('Fleet dates'!$I$9:$I$1008,$I49-8)))</x:f>
      </x:c>
      <x:c r="I49" t="str">
        <x:f>IF(41&gt;$H$4,"",MATCH(41,'Fleet dates'!$N$9:$N$1008,0)+8)</x:f>
      </x:c>
    </x:row>
    <x:row r="50" ht="36" customHeight="1">
      <x:c r="A50" s="50" t="str">
        <x:f>IF(42&gt;$H$4,"",IF(INDEX('Fleet dates'!$A$9:$A$1008,$I50-8)="","",INDEX('Fleet dates'!$A$9:$A$1008,$I50-8)))</x:f>
      </x:c>
      <x:c r="B50" s="50" t="str">
        <x:f>IF(42&gt;$H$4,"",IF(INDEX('Fleet dates'!$B$9:$B$1008,$I50-8)="","",INDEX('Fleet dates'!$B$9:$B$1008,$I50-8)))</x:f>
      </x:c>
      <x:c r="C50" s="51" t="str">
        <x:f>IF(42&gt;$H$4,"",IF(INDEX('Fleet dates'!$C$9:$C$1008,$I50-8)="","",INDEX('Fleet dates'!$C$9:$C$1008,$I50-8)))</x:f>
      </x:c>
      <x:c r="D50" s="51" t="str">
        <x:f>IF(42&gt;$H$4,"",IF(INDEX('Fleet dates'!$D$9:$D$1008,$I50-8)="","",INDEX('Fleet dates'!$D$9:$D$1008,$I50-8)))</x:f>
      </x:c>
      <x:c r="E50" s="51" t="str">
        <x:f>IF(42&gt;$H$4,"",IF(INDEX('Fleet dates'!$E$9:$E$1008,$I50-8)="","",INDEX('Fleet dates'!$E$9:$E$1008,$I50-8)))</x:f>
      </x:c>
      <x:c r="F50" s="51" t="str">
        <x:f>IF(42&gt;$H$4,"",IF(INDEX('Fleet dates'!$F$9:$F$1008,$I50-8)="","",INDEX('Fleet dates'!$F$9:$F$1008,$I50-8)))</x:f>
      </x:c>
      <x:c r="G50" s="50" t="str">
        <x:f>IF(42&gt;$H$4,"",IF(INDEX('Fleet dates'!$G$9:$G$1008,$I50-8)="","",INDEX('Fleet dates'!$G$9:$G$1008,$I50-8)))</x:f>
      </x:c>
      <x:c r="H50" s="50" t="str">
        <x:f>IF(42&gt;$H$4,"",IF(INDEX('Fleet dates'!$I$9:$I$1008,$I50-8)="","",INDEX('Fleet dates'!$I$9:$I$1008,$I50-8)))</x:f>
      </x:c>
      <x:c r="I50" t="str">
        <x:f>IF(42&gt;$H$4,"",MATCH(42,'Fleet dates'!$N$9:$N$1008,0)+8)</x:f>
      </x:c>
    </x:row>
    <x:row r="51" ht="36" customHeight="1">
      <x:c r="A51" s="50" t="str">
        <x:f>IF(43&gt;$H$4,"",IF(INDEX('Fleet dates'!$A$9:$A$1008,$I51-8)="","",INDEX('Fleet dates'!$A$9:$A$1008,$I51-8)))</x:f>
      </x:c>
      <x:c r="B51" s="50" t="str">
        <x:f>IF(43&gt;$H$4,"",IF(INDEX('Fleet dates'!$B$9:$B$1008,$I51-8)="","",INDEX('Fleet dates'!$B$9:$B$1008,$I51-8)))</x:f>
      </x:c>
      <x:c r="C51" s="51" t="str">
        <x:f>IF(43&gt;$H$4,"",IF(INDEX('Fleet dates'!$C$9:$C$1008,$I51-8)="","",INDEX('Fleet dates'!$C$9:$C$1008,$I51-8)))</x:f>
      </x:c>
      <x:c r="D51" s="51" t="str">
        <x:f>IF(43&gt;$H$4,"",IF(INDEX('Fleet dates'!$D$9:$D$1008,$I51-8)="","",INDEX('Fleet dates'!$D$9:$D$1008,$I51-8)))</x:f>
      </x:c>
      <x:c r="E51" s="51" t="str">
        <x:f>IF(43&gt;$H$4,"",IF(INDEX('Fleet dates'!$E$9:$E$1008,$I51-8)="","",INDEX('Fleet dates'!$E$9:$E$1008,$I51-8)))</x:f>
      </x:c>
      <x:c r="F51" s="51" t="str">
        <x:f>IF(43&gt;$H$4,"",IF(INDEX('Fleet dates'!$F$9:$F$1008,$I51-8)="","",INDEX('Fleet dates'!$F$9:$F$1008,$I51-8)))</x:f>
      </x:c>
      <x:c r="G51" s="50" t="str">
        <x:f>IF(43&gt;$H$4,"",IF(INDEX('Fleet dates'!$G$9:$G$1008,$I51-8)="","",INDEX('Fleet dates'!$G$9:$G$1008,$I51-8)))</x:f>
      </x:c>
      <x:c r="H51" s="50" t="str">
        <x:f>IF(43&gt;$H$4,"",IF(INDEX('Fleet dates'!$I$9:$I$1008,$I51-8)="","",INDEX('Fleet dates'!$I$9:$I$1008,$I51-8)))</x:f>
      </x:c>
      <x:c r="I51" t="str">
        <x:f>IF(43&gt;$H$4,"",MATCH(43,'Fleet dates'!$N$9:$N$1008,0)+8)</x:f>
      </x:c>
    </x:row>
    <x:row r="52" ht="36" customHeight="1">
      <x:c r="A52" s="50" t="str">
        <x:f>IF(44&gt;$H$4,"",IF(INDEX('Fleet dates'!$A$9:$A$1008,$I52-8)="","",INDEX('Fleet dates'!$A$9:$A$1008,$I52-8)))</x:f>
      </x:c>
      <x:c r="B52" s="50" t="str">
        <x:f>IF(44&gt;$H$4,"",IF(INDEX('Fleet dates'!$B$9:$B$1008,$I52-8)="","",INDEX('Fleet dates'!$B$9:$B$1008,$I52-8)))</x:f>
      </x:c>
      <x:c r="C52" s="51" t="str">
        <x:f>IF(44&gt;$H$4,"",IF(INDEX('Fleet dates'!$C$9:$C$1008,$I52-8)="","",INDEX('Fleet dates'!$C$9:$C$1008,$I52-8)))</x:f>
      </x:c>
      <x:c r="D52" s="51" t="str">
        <x:f>IF(44&gt;$H$4,"",IF(INDEX('Fleet dates'!$D$9:$D$1008,$I52-8)="","",INDEX('Fleet dates'!$D$9:$D$1008,$I52-8)))</x:f>
      </x:c>
      <x:c r="E52" s="51" t="str">
        <x:f>IF(44&gt;$H$4,"",IF(INDEX('Fleet dates'!$E$9:$E$1008,$I52-8)="","",INDEX('Fleet dates'!$E$9:$E$1008,$I52-8)))</x:f>
      </x:c>
      <x:c r="F52" s="51" t="str">
        <x:f>IF(44&gt;$H$4,"",IF(INDEX('Fleet dates'!$F$9:$F$1008,$I52-8)="","",INDEX('Fleet dates'!$F$9:$F$1008,$I52-8)))</x:f>
      </x:c>
      <x:c r="G52" s="50" t="str">
        <x:f>IF(44&gt;$H$4,"",IF(INDEX('Fleet dates'!$G$9:$G$1008,$I52-8)="","",INDEX('Fleet dates'!$G$9:$G$1008,$I52-8)))</x:f>
      </x:c>
      <x:c r="H52" s="50" t="str">
        <x:f>IF(44&gt;$H$4,"",IF(INDEX('Fleet dates'!$I$9:$I$1008,$I52-8)="","",INDEX('Fleet dates'!$I$9:$I$1008,$I52-8)))</x:f>
      </x:c>
      <x:c r="I52" t="str">
        <x:f>IF(44&gt;$H$4,"",MATCH(44,'Fleet dates'!$N$9:$N$1008,0)+8)</x:f>
      </x:c>
    </x:row>
    <x:row r="53" ht="36" customHeight="1">
      <x:c r="A53" s="50" t="str">
        <x:f>IF(45&gt;$H$4,"",IF(INDEX('Fleet dates'!$A$9:$A$1008,$I53-8)="","",INDEX('Fleet dates'!$A$9:$A$1008,$I53-8)))</x:f>
      </x:c>
      <x:c r="B53" s="50" t="str">
        <x:f>IF(45&gt;$H$4,"",IF(INDEX('Fleet dates'!$B$9:$B$1008,$I53-8)="","",INDEX('Fleet dates'!$B$9:$B$1008,$I53-8)))</x:f>
      </x:c>
      <x:c r="C53" s="51" t="str">
        <x:f>IF(45&gt;$H$4,"",IF(INDEX('Fleet dates'!$C$9:$C$1008,$I53-8)="","",INDEX('Fleet dates'!$C$9:$C$1008,$I53-8)))</x:f>
      </x:c>
      <x:c r="D53" s="51" t="str">
        <x:f>IF(45&gt;$H$4,"",IF(INDEX('Fleet dates'!$D$9:$D$1008,$I53-8)="","",INDEX('Fleet dates'!$D$9:$D$1008,$I53-8)))</x:f>
      </x:c>
      <x:c r="E53" s="51" t="str">
        <x:f>IF(45&gt;$H$4,"",IF(INDEX('Fleet dates'!$E$9:$E$1008,$I53-8)="","",INDEX('Fleet dates'!$E$9:$E$1008,$I53-8)))</x:f>
      </x:c>
      <x:c r="F53" s="51" t="str">
        <x:f>IF(45&gt;$H$4,"",IF(INDEX('Fleet dates'!$F$9:$F$1008,$I53-8)="","",INDEX('Fleet dates'!$F$9:$F$1008,$I53-8)))</x:f>
      </x:c>
      <x:c r="G53" s="50" t="str">
        <x:f>IF(45&gt;$H$4,"",IF(INDEX('Fleet dates'!$G$9:$G$1008,$I53-8)="","",INDEX('Fleet dates'!$G$9:$G$1008,$I53-8)))</x:f>
      </x:c>
      <x:c r="H53" s="50" t="str">
        <x:f>IF(45&gt;$H$4,"",IF(INDEX('Fleet dates'!$I$9:$I$1008,$I53-8)="","",INDEX('Fleet dates'!$I$9:$I$1008,$I53-8)))</x:f>
      </x:c>
      <x:c r="I53" t="str">
        <x:f>IF(45&gt;$H$4,"",MATCH(45,'Fleet dates'!$N$9:$N$1008,0)+8)</x:f>
      </x:c>
    </x:row>
    <x:row r="54" ht="36" customHeight="1">
      <x:c r="A54" s="50" t="str">
        <x:f>IF(46&gt;$H$4,"",IF(INDEX('Fleet dates'!$A$9:$A$1008,$I54-8)="","",INDEX('Fleet dates'!$A$9:$A$1008,$I54-8)))</x:f>
      </x:c>
      <x:c r="B54" s="50" t="str">
        <x:f>IF(46&gt;$H$4,"",IF(INDEX('Fleet dates'!$B$9:$B$1008,$I54-8)="","",INDEX('Fleet dates'!$B$9:$B$1008,$I54-8)))</x:f>
      </x:c>
      <x:c r="C54" s="51" t="str">
        <x:f>IF(46&gt;$H$4,"",IF(INDEX('Fleet dates'!$C$9:$C$1008,$I54-8)="","",INDEX('Fleet dates'!$C$9:$C$1008,$I54-8)))</x:f>
      </x:c>
      <x:c r="D54" s="51" t="str">
        <x:f>IF(46&gt;$H$4,"",IF(INDEX('Fleet dates'!$D$9:$D$1008,$I54-8)="","",INDEX('Fleet dates'!$D$9:$D$1008,$I54-8)))</x:f>
      </x:c>
      <x:c r="E54" s="51" t="str">
        <x:f>IF(46&gt;$H$4,"",IF(INDEX('Fleet dates'!$E$9:$E$1008,$I54-8)="","",INDEX('Fleet dates'!$E$9:$E$1008,$I54-8)))</x:f>
      </x:c>
      <x:c r="F54" s="51" t="str">
        <x:f>IF(46&gt;$H$4,"",IF(INDEX('Fleet dates'!$F$9:$F$1008,$I54-8)="","",INDEX('Fleet dates'!$F$9:$F$1008,$I54-8)))</x:f>
      </x:c>
      <x:c r="G54" s="50" t="str">
        <x:f>IF(46&gt;$H$4,"",IF(INDEX('Fleet dates'!$G$9:$G$1008,$I54-8)="","",INDEX('Fleet dates'!$G$9:$G$1008,$I54-8)))</x:f>
      </x:c>
      <x:c r="H54" s="50" t="str">
        <x:f>IF(46&gt;$H$4,"",IF(INDEX('Fleet dates'!$I$9:$I$1008,$I54-8)="","",INDEX('Fleet dates'!$I$9:$I$1008,$I54-8)))</x:f>
      </x:c>
      <x:c r="I54" t="str">
        <x:f>IF(46&gt;$H$4,"",MATCH(46,'Fleet dates'!$N$9:$N$1008,0)+8)</x:f>
      </x:c>
    </x:row>
    <x:row r="55" ht="36" customHeight="1">
      <x:c r="A55" s="50" t="str">
        <x:f>IF(47&gt;$H$4,"",IF(INDEX('Fleet dates'!$A$9:$A$1008,$I55-8)="","",INDEX('Fleet dates'!$A$9:$A$1008,$I55-8)))</x:f>
      </x:c>
      <x:c r="B55" s="50" t="str">
        <x:f>IF(47&gt;$H$4,"",IF(INDEX('Fleet dates'!$B$9:$B$1008,$I55-8)="","",INDEX('Fleet dates'!$B$9:$B$1008,$I55-8)))</x:f>
      </x:c>
      <x:c r="C55" s="51" t="str">
        <x:f>IF(47&gt;$H$4,"",IF(INDEX('Fleet dates'!$C$9:$C$1008,$I55-8)="","",INDEX('Fleet dates'!$C$9:$C$1008,$I55-8)))</x:f>
      </x:c>
      <x:c r="D55" s="51" t="str">
        <x:f>IF(47&gt;$H$4,"",IF(INDEX('Fleet dates'!$D$9:$D$1008,$I55-8)="","",INDEX('Fleet dates'!$D$9:$D$1008,$I55-8)))</x:f>
      </x:c>
      <x:c r="E55" s="51" t="str">
        <x:f>IF(47&gt;$H$4,"",IF(INDEX('Fleet dates'!$E$9:$E$1008,$I55-8)="","",INDEX('Fleet dates'!$E$9:$E$1008,$I55-8)))</x:f>
      </x:c>
      <x:c r="F55" s="51" t="str">
        <x:f>IF(47&gt;$H$4,"",IF(INDEX('Fleet dates'!$F$9:$F$1008,$I55-8)="","",INDEX('Fleet dates'!$F$9:$F$1008,$I55-8)))</x:f>
      </x:c>
      <x:c r="G55" s="50" t="str">
        <x:f>IF(47&gt;$H$4,"",IF(INDEX('Fleet dates'!$G$9:$G$1008,$I55-8)="","",INDEX('Fleet dates'!$G$9:$G$1008,$I55-8)))</x:f>
      </x:c>
      <x:c r="H55" s="50" t="str">
        <x:f>IF(47&gt;$H$4,"",IF(INDEX('Fleet dates'!$I$9:$I$1008,$I55-8)="","",INDEX('Fleet dates'!$I$9:$I$1008,$I55-8)))</x:f>
      </x:c>
      <x:c r="I55" t="str">
        <x:f>IF(47&gt;$H$4,"",MATCH(47,'Fleet dates'!$N$9:$N$1008,0)+8)</x:f>
      </x:c>
    </x:row>
    <x:row r="56" ht="36" customHeight="1">
      <x:c r="A56" s="50" t="str">
        <x:f>IF(48&gt;$H$4,"",IF(INDEX('Fleet dates'!$A$9:$A$1008,$I56-8)="","",INDEX('Fleet dates'!$A$9:$A$1008,$I56-8)))</x:f>
      </x:c>
      <x:c r="B56" s="50" t="str">
        <x:f>IF(48&gt;$H$4,"",IF(INDEX('Fleet dates'!$B$9:$B$1008,$I56-8)="","",INDEX('Fleet dates'!$B$9:$B$1008,$I56-8)))</x:f>
      </x:c>
      <x:c r="C56" s="51" t="str">
        <x:f>IF(48&gt;$H$4,"",IF(INDEX('Fleet dates'!$C$9:$C$1008,$I56-8)="","",INDEX('Fleet dates'!$C$9:$C$1008,$I56-8)))</x:f>
      </x:c>
      <x:c r="D56" s="51" t="str">
        <x:f>IF(48&gt;$H$4,"",IF(INDEX('Fleet dates'!$D$9:$D$1008,$I56-8)="","",INDEX('Fleet dates'!$D$9:$D$1008,$I56-8)))</x:f>
      </x:c>
      <x:c r="E56" s="51" t="str">
        <x:f>IF(48&gt;$H$4,"",IF(INDEX('Fleet dates'!$E$9:$E$1008,$I56-8)="","",INDEX('Fleet dates'!$E$9:$E$1008,$I56-8)))</x:f>
      </x:c>
      <x:c r="F56" s="51" t="str">
        <x:f>IF(48&gt;$H$4,"",IF(INDEX('Fleet dates'!$F$9:$F$1008,$I56-8)="","",INDEX('Fleet dates'!$F$9:$F$1008,$I56-8)))</x:f>
      </x:c>
      <x:c r="G56" s="50" t="str">
        <x:f>IF(48&gt;$H$4,"",IF(INDEX('Fleet dates'!$G$9:$G$1008,$I56-8)="","",INDEX('Fleet dates'!$G$9:$G$1008,$I56-8)))</x:f>
      </x:c>
      <x:c r="H56" s="50" t="str">
        <x:f>IF(48&gt;$H$4,"",IF(INDEX('Fleet dates'!$I$9:$I$1008,$I56-8)="","",INDEX('Fleet dates'!$I$9:$I$1008,$I56-8)))</x:f>
      </x:c>
      <x:c r="I56" t="str">
        <x:f>IF(48&gt;$H$4,"",MATCH(48,'Fleet dates'!$N$9:$N$1008,0)+8)</x:f>
      </x:c>
    </x:row>
    <x:row r="57" ht="36" customHeight="1">
      <x:c r="A57" s="50" t="str">
        <x:f>IF(49&gt;$H$4,"",IF(INDEX('Fleet dates'!$A$9:$A$1008,$I57-8)="","",INDEX('Fleet dates'!$A$9:$A$1008,$I57-8)))</x:f>
      </x:c>
      <x:c r="B57" s="50" t="str">
        <x:f>IF(49&gt;$H$4,"",IF(INDEX('Fleet dates'!$B$9:$B$1008,$I57-8)="","",INDEX('Fleet dates'!$B$9:$B$1008,$I57-8)))</x:f>
      </x:c>
      <x:c r="C57" s="51" t="str">
        <x:f>IF(49&gt;$H$4,"",IF(INDEX('Fleet dates'!$C$9:$C$1008,$I57-8)="","",INDEX('Fleet dates'!$C$9:$C$1008,$I57-8)))</x:f>
      </x:c>
      <x:c r="D57" s="51" t="str">
        <x:f>IF(49&gt;$H$4,"",IF(INDEX('Fleet dates'!$D$9:$D$1008,$I57-8)="","",INDEX('Fleet dates'!$D$9:$D$1008,$I57-8)))</x:f>
      </x:c>
      <x:c r="E57" s="51" t="str">
        <x:f>IF(49&gt;$H$4,"",IF(INDEX('Fleet dates'!$E$9:$E$1008,$I57-8)="","",INDEX('Fleet dates'!$E$9:$E$1008,$I57-8)))</x:f>
      </x:c>
      <x:c r="F57" s="51" t="str">
        <x:f>IF(49&gt;$H$4,"",IF(INDEX('Fleet dates'!$F$9:$F$1008,$I57-8)="","",INDEX('Fleet dates'!$F$9:$F$1008,$I57-8)))</x:f>
      </x:c>
      <x:c r="G57" s="50" t="str">
        <x:f>IF(49&gt;$H$4,"",IF(INDEX('Fleet dates'!$G$9:$G$1008,$I57-8)="","",INDEX('Fleet dates'!$G$9:$G$1008,$I57-8)))</x:f>
      </x:c>
      <x:c r="H57" s="50" t="str">
        <x:f>IF(49&gt;$H$4,"",IF(INDEX('Fleet dates'!$I$9:$I$1008,$I57-8)="","",INDEX('Fleet dates'!$I$9:$I$1008,$I57-8)))</x:f>
      </x:c>
      <x:c r="I57" t="str">
        <x:f>IF(49&gt;$H$4,"",MATCH(49,'Fleet dates'!$N$9:$N$1008,0)+8)</x:f>
      </x:c>
    </x:row>
    <x:row r="58" ht="36" customHeight="1">
      <x:c r="A58" s="50" t="str">
        <x:f>IF(50&gt;$H$4,"",IF(INDEX('Fleet dates'!$A$9:$A$1008,$I58-8)="","",INDEX('Fleet dates'!$A$9:$A$1008,$I58-8)))</x:f>
      </x:c>
      <x:c r="B58" s="50" t="str">
        <x:f>IF(50&gt;$H$4,"",IF(INDEX('Fleet dates'!$B$9:$B$1008,$I58-8)="","",INDEX('Fleet dates'!$B$9:$B$1008,$I58-8)))</x:f>
      </x:c>
      <x:c r="C58" s="51" t="str">
        <x:f>IF(50&gt;$H$4,"",IF(INDEX('Fleet dates'!$C$9:$C$1008,$I58-8)="","",INDEX('Fleet dates'!$C$9:$C$1008,$I58-8)))</x:f>
      </x:c>
      <x:c r="D58" s="51" t="str">
        <x:f>IF(50&gt;$H$4,"",IF(INDEX('Fleet dates'!$D$9:$D$1008,$I58-8)="","",INDEX('Fleet dates'!$D$9:$D$1008,$I58-8)))</x:f>
      </x:c>
      <x:c r="E58" s="51" t="str">
        <x:f>IF(50&gt;$H$4,"",IF(INDEX('Fleet dates'!$E$9:$E$1008,$I58-8)="","",INDEX('Fleet dates'!$E$9:$E$1008,$I58-8)))</x:f>
      </x:c>
      <x:c r="F58" s="51" t="str">
        <x:f>IF(50&gt;$H$4,"",IF(INDEX('Fleet dates'!$F$9:$F$1008,$I58-8)="","",INDEX('Fleet dates'!$F$9:$F$1008,$I58-8)))</x:f>
      </x:c>
      <x:c r="G58" s="50" t="str">
        <x:f>IF(50&gt;$H$4,"",IF(INDEX('Fleet dates'!$G$9:$G$1008,$I58-8)="","",INDEX('Fleet dates'!$G$9:$G$1008,$I58-8)))</x:f>
      </x:c>
      <x:c r="H58" s="50" t="str">
        <x:f>IF(50&gt;$H$4,"",IF(INDEX('Fleet dates'!$I$9:$I$1008,$I58-8)="","",INDEX('Fleet dates'!$I$9:$I$1008,$I58-8)))</x:f>
      </x:c>
      <x:c r="I58" t="str">
        <x:f>IF(50&gt;$H$4,"",MATCH(50,'Fleet dates'!$N$9:$N$1008,0)+8)</x:f>
      </x:c>
    </x:row>
    <x:row r="59" ht="36" customHeight="1">
      <x:c r="A59" s="50" t="str">
        <x:f>IF(51&gt;$H$4,"",IF(INDEX('Fleet dates'!$A$9:$A$1008,$I59-8)="","",INDEX('Fleet dates'!$A$9:$A$1008,$I59-8)))</x:f>
      </x:c>
      <x:c r="B59" s="50" t="str">
        <x:f>IF(51&gt;$H$4,"",IF(INDEX('Fleet dates'!$B$9:$B$1008,$I59-8)="","",INDEX('Fleet dates'!$B$9:$B$1008,$I59-8)))</x:f>
      </x:c>
      <x:c r="C59" s="51" t="str">
        <x:f>IF(51&gt;$H$4,"",IF(INDEX('Fleet dates'!$C$9:$C$1008,$I59-8)="","",INDEX('Fleet dates'!$C$9:$C$1008,$I59-8)))</x:f>
      </x:c>
      <x:c r="D59" s="51" t="str">
        <x:f>IF(51&gt;$H$4,"",IF(INDEX('Fleet dates'!$D$9:$D$1008,$I59-8)="","",INDEX('Fleet dates'!$D$9:$D$1008,$I59-8)))</x:f>
      </x:c>
      <x:c r="E59" s="51" t="str">
        <x:f>IF(51&gt;$H$4,"",IF(INDEX('Fleet dates'!$E$9:$E$1008,$I59-8)="","",INDEX('Fleet dates'!$E$9:$E$1008,$I59-8)))</x:f>
      </x:c>
      <x:c r="F59" s="51" t="str">
        <x:f>IF(51&gt;$H$4,"",IF(INDEX('Fleet dates'!$F$9:$F$1008,$I59-8)="","",INDEX('Fleet dates'!$F$9:$F$1008,$I59-8)))</x:f>
      </x:c>
      <x:c r="G59" s="50" t="str">
        <x:f>IF(51&gt;$H$4,"",IF(INDEX('Fleet dates'!$G$9:$G$1008,$I59-8)="","",INDEX('Fleet dates'!$G$9:$G$1008,$I59-8)))</x:f>
      </x:c>
      <x:c r="H59" s="50" t="str">
        <x:f>IF(51&gt;$H$4,"",IF(INDEX('Fleet dates'!$I$9:$I$1008,$I59-8)="","",INDEX('Fleet dates'!$I$9:$I$1008,$I59-8)))</x:f>
      </x:c>
      <x:c r="I59" t="str">
        <x:f>IF(51&gt;$H$4,"",MATCH(51,'Fleet dates'!$N$9:$N$1008,0)+8)</x:f>
      </x:c>
    </x:row>
    <x:row r="60" ht="36" customHeight="1">
      <x:c r="A60" s="50" t="str">
        <x:f>IF(52&gt;$H$4,"",IF(INDEX('Fleet dates'!$A$9:$A$1008,$I60-8)="","",INDEX('Fleet dates'!$A$9:$A$1008,$I60-8)))</x:f>
      </x:c>
      <x:c r="B60" s="50" t="str">
        <x:f>IF(52&gt;$H$4,"",IF(INDEX('Fleet dates'!$B$9:$B$1008,$I60-8)="","",INDEX('Fleet dates'!$B$9:$B$1008,$I60-8)))</x:f>
      </x:c>
      <x:c r="C60" s="51" t="str">
        <x:f>IF(52&gt;$H$4,"",IF(INDEX('Fleet dates'!$C$9:$C$1008,$I60-8)="","",INDEX('Fleet dates'!$C$9:$C$1008,$I60-8)))</x:f>
      </x:c>
      <x:c r="D60" s="51" t="str">
        <x:f>IF(52&gt;$H$4,"",IF(INDEX('Fleet dates'!$D$9:$D$1008,$I60-8)="","",INDEX('Fleet dates'!$D$9:$D$1008,$I60-8)))</x:f>
      </x:c>
      <x:c r="E60" s="51" t="str">
        <x:f>IF(52&gt;$H$4,"",IF(INDEX('Fleet dates'!$E$9:$E$1008,$I60-8)="","",INDEX('Fleet dates'!$E$9:$E$1008,$I60-8)))</x:f>
      </x:c>
      <x:c r="F60" s="51" t="str">
        <x:f>IF(52&gt;$H$4,"",IF(INDEX('Fleet dates'!$F$9:$F$1008,$I60-8)="","",INDEX('Fleet dates'!$F$9:$F$1008,$I60-8)))</x:f>
      </x:c>
      <x:c r="G60" s="50" t="str">
        <x:f>IF(52&gt;$H$4,"",IF(INDEX('Fleet dates'!$G$9:$G$1008,$I60-8)="","",INDEX('Fleet dates'!$G$9:$G$1008,$I60-8)))</x:f>
      </x:c>
      <x:c r="H60" s="50" t="str">
        <x:f>IF(52&gt;$H$4,"",IF(INDEX('Fleet dates'!$I$9:$I$1008,$I60-8)="","",INDEX('Fleet dates'!$I$9:$I$1008,$I60-8)))</x:f>
      </x:c>
      <x:c r="I60" t="str">
        <x:f>IF(52&gt;$H$4,"",MATCH(52,'Fleet dates'!$N$9:$N$1008,0)+8)</x:f>
      </x:c>
    </x:row>
    <x:row r="61" ht="36" customHeight="1">
      <x:c r="A61" s="50" t="str">
        <x:f>IF(53&gt;$H$4,"",IF(INDEX('Fleet dates'!$A$9:$A$1008,$I61-8)="","",INDEX('Fleet dates'!$A$9:$A$1008,$I61-8)))</x:f>
      </x:c>
      <x:c r="B61" s="50" t="str">
        <x:f>IF(53&gt;$H$4,"",IF(INDEX('Fleet dates'!$B$9:$B$1008,$I61-8)="","",INDEX('Fleet dates'!$B$9:$B$1008,$I61-8)))</x:f>
      </x:c>
      <x:c r="C61" s="51" t="str">
        <x:f>IF(53&gt;$H$4,"",IF(INDEX('Fleet dates'!$C$9:$C$1008,$I61-8)="","",INDEX('Fleet dates'!$C$9:$C$1008,$I61-8)))</x:f>
      </x:c>
      <x:c r="D61" s="51" t="str">
        <x:f>IF(53&gt;$H$4,"",IF(INDEX('Fleet dates'!$D$9:$D$1008,$I61-8)="","",INDEX('Fleet dates'!$D$9:$D$1008,$I61-8)))</x:f>
      </x:c>
      <x:c r="E61" s="51" t="str">
        <x:f>IF(53&gt;$H$4,"",IF(INDEX('Fleet dates'!$E$9:$E$1008,$I61-8)="","",INDEX('Fleet dates'!$E$9:$E$1008,$I61-8)))</x:f>
      </x:c>
      <x:c r="F61" s="51" t="str">
        <x:f>IF(53&gt;$H$4,"",IF(INDEX('Fleet dates'!$F$9:$F$1008,$I61-8)="","",INDEX('Fleet dates'!$F$9:$F$1008,$I61-8)))</x:f>
      </x:c>
      <x:c r="G61" s="50" t="str">
        <x:f>IF(53&gt;$H$4,"",IF(INDEX('Fleet dates'!$G$9:$G$1008,$I61-8)="","",INDEX('Fleet dates'!$G$9:$G$1008,$I61-8)))</x:f>
      </x:c>
      <x:c r="H61" s="50" t="str">
        <x:f>IF(53&gt;$H$4,"",IF(INDEX('Fleet dates'!$I$9:$I$1008,$I61-8)="","",INDEX('Fleet dates'!$I$9:$I$1008,$I61-8)))</x:f>
      </x:c>
      <x:c r="I61" t="str">
        <x:f>IF(53&gt;$H$4,"",MATCH(53,'Fleet dates'!$N$9:$N$1008,0)+8)</x:f>
      </x:c>
    </x:row>
    <x:row r="62" ht="36" customHeight="1">
      <x:c r="A62" s="50" t="str">
        <x:f>IF(54&gt;$H$4,"",IF(INDEX('Fleet dates'!$A$9:$A$1008,$I62-8)="","",INDEX('Fleet dates'!$A$9:$A$1008,$I62-8)))</x:f>
      </x:c>
      <x:c r="B62" s="50" t="str">
        <x:f>IF(54&gt;$H$4,"",IF(INDEX('Fleet dates'!$B$9:$B$1008,$I62-8)="","",INDEX('Fleet dates'!$B$9:$B$1008,$I62-8)))</x:f>
      </x:c>
      <x:c r="C62" s="51" t="str">
        <x:f>IF(54&gt;$H$4,"",IF(INDEX('Fleet dates'!$C$9:$C$1008,$I62-8)="","",INDEX('Fleet dates'!$C$9:$C$1008,$I62-8)))</x:f>
      </x:c>
      <x:c r="D62" s="51" t="str">
        <x:f>IF(54&gt;$H$4,"",IF(INDEX('Fleet dates'!$D$9:$D$1008,$I62-8)="","",INDEX('Fleet dates'!$D$9:$D$1008,$I62-8)))</x:f>
      </x:c>
      <x:c r="E62" s="51" t="str">
        <x:f>IF(54&gt;$H$4,"",IF(INDEX('Fleet dates'!$E$9:$E$1008,$I62-8)="","",INDEX('Fleet dates'!$E$9:$E$1008,$I62-8)))</x:f>
      </x:c>
      <x:c r="F62" s="51" t="str">
        <x:f>IF(54&gt;$H$4,"",IF(INDEX('Fleet dates'!$F$9:$F$1008,$I62-8)="","",INDEX('Fleet dates'!$F$9:$F$1008,$I62-8)))</x:f>
      </x:c>
      <x:c r="G62" s="50" t="str">
        <x:f>IF(54&gt;$H$4,"",IF(INDEX('Fleet dates'!$G$9:$G$1008,$I62-8)="","",INDEX('Fleet dates'!$G$9:$G$1008,$I62-8)))</x:f>
      </x:c>
      <x:c r="H62" s="50" t="str">
        <x:f>IF(54&gt;$H$4,"",IF(INDEX('Fleet dates'!$I$9:$I$1008,$I62-8)="","",INDEX('Fleet dates'!$I$9:$I$1008,$I62-8)))</x:f>
      </x:c>
      <x:c r="I62" t="str">
        <x:f>IF(54&gt;$H$4,"",MATCH(54,'Fleet dates'!$N$9:$N$1008,0)+8)</x:f>
      </x:c>
    </x:row>
    <x:row r="63" ht="36" customHeight="1">
      <x:c r="A63" s="50" t="str">
        <x:f>IF(55&gt;$H$4,"",IF(INDEX('Fleet dates'!$A$9:$A$1008,$I63-8)="","",INDEX('Fleet dates'!$A$9:$A$1008,$I63-8)))</x:f>
      </x:c>
      <x:c r="B63" s="50" t="str">
        <x:f>IF(55&gt;$H$4,"",IF(INDEX('Fleet dates'!$B$9:$B$1008,$I63-8)="","",INDEX('Fleet dates'!$B$9:$B$1008,$I63-8)))</x:f>
      </x:c>
      <x:c r="C63" s="51" t="str">
        <x:f>IF(55&gt;$H$4,"",IF(INDEX('Fleet dates'!$C$9:$C$1008,$I63-8)="","",INDEX('Fleet dates'!$C$9:$C$1008,$I63-8)))</x:f>
      </x:c>
      <x:c r="D63" s="51" t="str">
        <x:f>IF(55&gt;$H$4,"",IF(INDEX('Fleet dates'!$D$9:$D$1008,$I63-8)="","",INDEX('Fleet dates'!$D$9:$D$1008,$I63-8)))</x:f>
      </x:c>
      <x:c r="E63" s="51" t="str">
        <x:f>IF(55&gt;$H$4,"",IF(INDEX('Fleet dates'!$E$9:$E$1008,$I63-8)="","",INDEX('Fleet dates'!$E$9:$E$1008,$I63-8)))</x:f>
      </x:c>
      <x:c r="F63" s="51" t="str">
        <x:f>IF(55&gt;$H$4,"",IF(INDEX('Fleet dates'!$F$9:$F$1008,$I63-8)="","",INDEX('Fleet dates'!$F$9:$F$1008,$I63-8)))</x:f>
      </x:c>
      <x:c r="G63" s="50" t="str">
        <x:f>IF(55&gt;$H$4,"",IF(INDEX('Fleet dates'!$G$9:$G$1008,$I63-8)="","",INDEX('Fleet dates'!$G$9:$G$1008,$I63-8)))</x:f>
      </x:c>
      <x:c r="H63" s="50" t="str">
        <x:f>IF(55&gt;$H$4,"",IF(INDEX('Fleet dates'!$I$9:$I$1008,$I63-8)="","",INDEX('Fleet dates'!$I$9:$I$1008,$I63-8)))</x:f>
      </x:c>
      <x:c r="I63" t="str">
        <x:f>IF(55&gt;$H$4,"",MATCH(55,'Fleet dates'!$N$9:$N$1008,0)+8)</x:f>
      </x:c>
    </x:row>
    <x:row r="64" ht="36" customHeight="1">
      <x:c r="A64" s="50" t="str">
        <x:f>IF(56&gt;$H$4,"",IF(INDEX('Fleet dates'!$A$9:$A$1008,$I64-8)="","",INDEX('Fleet dates'!$A$9:$A$1008,$I64-8)))</x:f>
      </x:c>
      <x:c r="B64" s="50" t="str">
        <x:f>IF(56&gt;$H$4,"",IF(INDEX('Fleet dates'!$B$9:$B$1008,$I64-8)="","",INDEX('Fleet dates'!$B$9:$B$1008,$I64-8)))</x:f>
      </x:c>
      <x:c r="C64" s="51" t="str">
        <x:f>IF(56&gt;$H$4,"",IF(INDEX('Fleet dates'!$C$9:$C$1008,$I64-8)="","",INDEX('Fleet dates'!$C$9:$C$1008,$I64-8)))</x:f>
      </x:c>
      <x:c r="D64" s="51" t="str">
        <x:f>IF(56&gt;$H$4,"",IF(INDEX('Fleet dates'!$D$9:$D$1008,$I64-8)="","",INDEX('Fleet dates'!$D$9:$D$1008,$I64-8)))</x:f>
      </x:c>
      <x:c r="E64" s="51" t="str">
        <x:f>IF(56&gt;$H$4,"",IF(INDEX('Fleet dates'!$E$9:$E$1008,$I64-8)="","",INDEX('Fleet dates'!$E$9:$E$1008,$I64-8)))</x:f>
      </x:c>
      <x:c r="F64" s="51" t="str">
        <x:f>IF(56&gt;$H$4,"",IF(INDEX('Fleet dates'!$F$9:$F$1008,$I64-8)="","",INDEX('Fleet dates'!$F$9:$F$1008,$I64-8)))</x:f>
      </x:c>
      <x:c r="G64" s="50" t="str">
        <x:f>IF(56&gt;$H$4,"",IF(INDEX('Fleet dates'!$G$9:$G$1008,$I64-8)="","",INDEX('Fleet dates'!$G$9:$G$1008,$I64-8)))</x:f>
      </x:c>
      <x:c r="H64" s="50" t="str">
        <x:f>IF(56&gt;$H$4,"",IF(INDEX('Fleet dates'!$I$9:$I$1008,$I64-8)="","",INDEX('Fleet dates'!$I$9:$I$1008,$I64-8)))</x:f>
      </x:c>
      <x:c r="I64" t="str">
        <x:f>IF(56&gt;$H$4,"",MATCH(56,'Fleet dates'!$N$9:$N$1008,0)+8)</x:f>
      </x:c>
    </x:row>
    <x:row r="65" ht="36" customHeight="1">
      <x:c r="A65" s="50" t="str">
        <x:f>IF(57&gt;$H$4,"",IF(INDEX('Fleet dates'!$A$9:$A$1008,$I65-8)="","",INDEX('Fleet dates'!$A$9:$A$1008,$I65-8)))</x:f>
      </x:c>
      <x:c r="B65" s="50" t="str">
        <x:f>IF(57&gt;$H$4,"",IF(INDEX('Fleet dates'!$B$9:$B$1008,$I65-8)="","",INDEX('Fleet dates'!$B$9:$B$1008,$I65-8)))</x:f>
      </x:c>
      <x:c r="C65" s="51" t="str">
        <x:f>IF(57&gt;$H$4,"",IF(INDEX('Fleet dates'!$C$9:$C$1008,$I65-8)="","",INDEX('Fleet dates'!$C$9:$C$1008,$I65-8)))</x:f>
      </x:c>
      <x:c r="D65" s="51" t="str">
        <x:f>IF(57&gt;$H$4,"",IF(INDEX('Fleet dates'!$D$9:$D$1008,$I65-8)="","",INDEX('Fleet dates'!$D$9:$D$1008,$I65-8)))</x:f>
      </x:c>
      <x:c r="E65" s="51" t="str">
        <x:f>IF(57&gt;$H$4,"",IF(INDEX('Fleet dates'!$E$9:$E$1008,$I65-8)="","",INDEX('Fleet dates'!$E$9:$E$1008,$I65-8)))</x:f>
      </x:c>
      <x:c r="F65" s="51" t="str">
        <x:f>IF(57&gt;$H$4,"",IF(INDEX('Fleet dates'!$F$9:$F$1008,$I65-8)="","",INDEX('Fleet dates'!$F$9:$F$1008,$I65-8)))</x:f>
      </x:c>
      <x:c r="G65" s="50" t="str">
        <x:f>IF(57&gt;$H$4,"",IF(INDEX('Fleet dates'!$G$9:$G$1008,$I65-8)="","",INDEX('Fleet dates'!$G$9:$G$1008,$I65-8)))</x:f>
      </x:c>
      <x:c r="H65" s="50" t="str">
        <x:f>IF(57&gt;$H$4,"",IF(INDEX('Fleet dates'!$I$9:$I$1008,$I65-8)="","",INDEX('Fleet dates'!$I$9:$I$1008,$I65-8)))</x:f>
      </x:c>
      <x:c r="I65" t="str">
        <x:f>IF(57&gt;$H$4,"",MATCH(57,'Fleet dates'!$N$9:$N$1008,0)+8)</x:f>
      </x:c>
    </x:row>
    <x:row r="66" ht="36" customHeight="1">
      <x:c r="A66" s="50" t="str">
        <x:f>IF(58&gt;$H$4,"",IF(INDEX('Fleet dates'!$A$9:$A$1008,$I66-8)="","",INDEX('Fleet dates'!$A$9:$A$1008,$I66-8)))</x:f>
      </x:c>
      <x:c r="B66" s="50" t="str">
        <x:f>IF(58&gt;$H$4,"",IF(INDEX('Fleet dates'!$B$9:$B$1008,$I66-8)="","",INDEX('Fleet dates'!$B$9:$B$1008,$I66-8)))</x:f>
      </x:c>
      <x:c r="C66" s="51" t="str">
        <x:f>IF(58&gt;$H$4,"",IF(INDEX('Fleet dates'!$C$9:$C$1008,$I66-8)="","",INDEX('Fleet dates'!$C$9:$C$1008,$I66-8)))</x:f>
      </x:c>
      <x:c r="D66" s="51" t="str">
        <x:f>IF(58&gt;$H$4,"",IF(INDEX('Fleet dates'!$D$9:$D$1008,$I66-8)="","",INDEX('Fleet dates'!$D$9:$D$1008,$I66-8)))</x:f>
      </x:c>
      <x:c r="E66" s="51" t="str">
        <x:f>IF(58&gt;$H$4,"",IF(INDEX('Fleet dates'!$E$9:$E$1008,$I66-8)="","",INDEX('Fleet dates'!$E$9:$E$1008,$I66-8)))</x:f>
      </x:c>
      <x:c r="F66" s="51" t="str">
        <x:f>IF(58&gt;$H$4,"",IF(INDEX('Fleet dates'!$F$9:$F$1008,$I66-8)="","",INDEX('Fleet dates'!$F$9:$F$1008,$I66-8)))</x:f>
      </x:c>
      <x:c r="G66" s="50" t="str">
        <x:f>IF(58&gt;$H$4,"",IF(INDEX('Fleet dates'!$G$9:$G$1008,$I66-8)="","",INDEX('Fleet dates'!$G$9:$G$1008,$I66-8)))</x:f>
      </x:c>
      <x:c r="H66" s="50" t="str">
        <x:f>IF(58&gt;$H$4,"",IF(INDEX('Fleet dates'!$I$9:$I$1008,$I66-8)="","",INDEX('Fleet dates'!$I$9:$I$1008,$I66-8)))</x:f>
      </x:c>
      <x:c r="I66" t="str">
        <x:f>IF(58&gt;$H$4,"",MATCH(58,'Fleet dates'!$N$9:$N$1008,0)+8)</x:f>
      </x:c>
    </x:row>
    <x:row r="67" ht="36" customHeight="1">
      <x:c r="A67" s="50" t="str">
        <x:f>IF(59&gt;$H$4,"",IF(INDEX('Fleet dates'!$A$9:$A$1008,$I67-8)="","",INDEX('Fleet dates'!$A$9:$A$1008,$I67-8)))</x:f>
      </x:c>
      <x:c r="B67" s="50" t="str">
        <x:f>IF(59&gt;$H$4,"",IF(INDEX('Fleet dates'!$B$9:$B$1008,$I67-8)="","",INDEX('Fleet dates'!$B$9:$B$1008,$I67-8)))</x:f>
      </x:c>
      <x:c r="C67" s="51" t="str">
        <x:f>IF(59&gt;$H$4,"",IF(INDEX('Fleet dates'!$C$9:$C$1008,$I67-8)="","",INDEX('Fleet dates'!$C$9:$C$1008,$I67-8)))</x:f>
      </x:c>
      <x:c r="D67" s="51" t="str">
        <x:f>IF(59&gt;$H$4,"",IF(INDEX('Fleet dates'!$D$9:$D$1008,$I67-8)="","",INDEX('Fleet dates'!$D$9:$D$1008,$I67-8)))</x:f>
      </x:c>
      <x:c r="E67" s="51" t="str">
        <x:f>IF(59&gt;$H$4,"",IF(INDEX('Fleet dates'!$E$9:$E$1008,$I67-8)="","",INDEX('Fleet dates'!$E$9:$E$1008,$I67-8)))</x:f>
      </x:c>
      <x:c r="F67" s="51" t="str">
        <x:f>IF(59&gt;$H$4,"",IF(INDEX('Fleet dates'!$F$9:$F$1008,$I67-8)="","",INDEX('Fleet dates'!$F$9:$F$1008,$I67-8)))</x:f>
      </x:c>
      <x:c r="G67" s="50" t="str">
        <x:f>IF(59&gt;$H$4,"",IF(INDEX('Fleet dates'!$G$9:$G$1008,$I67-8)="","",INDEX('Fleet dates'!$G$9:$G$1008,$I67-8)))</x:f>
      </x:c>
      <x:c r="H67" s="50" t="str">
        <x:f>IF(59&gt;$H$4,"",IF(INDEX('Fleet dates'!$I$9:$I$1008,$I67-8)="","",INDEX('Fleet dates'!$I$9:$I$1008,$I67-8)))</x:f>
      </x:c>
      <x:c r="I67" t="str">
        <x:f>IF(59&gt;$H$4,"",MATCH(59,'Fleet dates'!$N$9:$N$1008,0)+8)</x:f>
      </x:c>
    </x:row>
    <x:row r="68" ht="36" customHeight="1">
      <x:c r="A68" s="50" t="str">
        <x:f>IF(60&gt;$H$4,"",IF(INDEX('Fleet dates'!$A$9:$A$1008,$I68-8)="","",INDEX('Fleet dates'!$A$9:$A$1008,$I68-8)))</x:f>
      </x:c>
      <x:c r="B68" s="50" t="str">
        <x:f>IF(60&gt;$H$4,"",IF(INDEX('Fleet dates'!$B$9:$B$1008,$I68-8)="","",INDEX('Fleet dates'!$B$9:$B$1008,$I68-8)))</x:f>
      </x:c>
      <x:c r="C68" s="51" t="str">
        <x:f>IF(60&gt;$H$4,"",IF(INDEX('Fleet dates'!$C$9:$C$1008,$I68-8)="","",INDEX('Fleet dates'!$C$9:$C$1008,$I68-8)))</x:f>
      </x:c>
      <x:c r="D68" s="51" t="str">
        <x:f>IF(60&gt;$H$4,"",IF(INDEX('Fleet dates'!$D$9:$D$1008,$I68-8)="","",INDEX('Fleet dates'!$D$9:$D$1008,$I68-8)))</x:f>
      </x:c>
      <x:c r="E68" s="51" t="str">
        <x:f>IF(60&gt;$H$4,"",IF(INDEX('Fleet dates'!$E$9:$E$1008,$I68-8)="","",INDEX('Fleet dates'!$E$9:$E$1008,$I68-8)))</x:f>
      </x:c>
      <x:c r="F68" s="51" t="str">
        <x:f>IF(60&gt;$H$4,"",IF(INDEX('Fleet dates'!$F$9:$F$1008,$I68-8)="","",INDEX('Fleet dates'!$F$9:$F$1008,$I68-8)))</x:f>
      </x:c>
      <x:c r="G68" s="50" t="str">
        <x:f>IF(60&gt;$H$4,"",IF(INDEX('Fleet dates'!$G$9:$G$1008,$I68-8)="","",INDEX('Fleet dates'!$G$9:$G$1008,$I68-8)))</x:f>
      </x:c>
      <x:c r="H68" s="50" t="str">
        <x:f>IF(60&gt;$H$4,"",IF(INDEX('Fleet dates'!$I$9:$I$1008,$I68-8)="","",INDEX('Fleet dates'!$I$9:$I$1008,$I68-8)))</x:f>
      </x:c>
      <x:c r="I68" t="str">
        <x:f>IF(60&gt;$H$4,"",MATCH(60,'Fleet dates'!$N$9:$N$1008,0)+8)</x:f>
      </x:c>
    </x:row>
    <x:row r="69" ht="36" customHeight="1">
      <x:c r="A69" s="50" t="str">
        <x:f>IF(61&gt;$H$4,"",IF(INDEX('Fleet dates'!$A$9:$A$1008,$I69-8)="","",INDEX('Fleet dates'!$A$9:$A$1008,$I69-8)))</x:f>
      </x:c>
      <x:c r="B69" s="50" t="str">
        <x:f>IF(61&gt;$H$4,"",IF(INDEX('Fleet dates'!$B$9:$B$1008,$I69-8)="","",INDEX('Fleet dates'!$B$9:$B$1008,$I69-8)))</x:f>
      </x:c>
      <x:c r="C69" s="51" t="str">
        <x:f>IF(61&gt;$H$4,"",IF(INDEX('Fleet dates'!$C$9:$C$1008,$I69-8)="","",INDEX('Fleet dates'!$C$9:$C$1008,$I69-8)))</x:f>
      </x:c>
      <x:c r="D69" s="51" t="str">
        <x:f>IF(61&gt;$H$4,"",IF(INDEX('Fleet dates'!$D$9:$D$1008,$I69-8)="","",INDEX('Fleet dates'!$D$9:$D$1008,$I69-8)))</x:f>
      </x:c>
      <x:c r="E69" s="51" t="str">
        <x:f>IF(61&gt;$H$4,"",IF(INDEX('Fleet dates'!$E$9:$E$1008,$I69-8)="","",INDEX('Fleet dates'!$E$9:$E$1008,$I69-8)))</x:f>
      </x:c>
      <x:c r="F69" s="51" t="str">
        <x:f>IF(61&gt;$H$4,"",IF(INDEX('Fleet dates'!$F$9:$F$1008,$I69-8)="","",INDEX('Fleet dates'!$F$9:$F$1008,$I69-8)))</x:f>
      </x:c>
      <x:c r="G69" s="50" t="str">
        <x:f>IF(61&gt;$H$4,"",IF(INDEX('Fleet dates'!$G$9:$G$1008,$I69-8)="","",INDEX('Fleet dates'!$G$9:$G$1008,$I69-8)))</x:f>
      </x:c>
      <x:c r="H69" s="50" t="str">
        <x:f>IF(61&gt;$H$4,"",IF(INDEX('Fleet dates'!$I$9:$I$1008,$I69-8)="","",INDEX('Fleet dates'!$I$9:$I$1008,$I69-8)))</x:f>
      </x:c>
      <x:c r="I69" t="str">
        <x:f>IF(61&gt;$H$4,"",MATCH(61,'Fleet dates'!$N$9:$N$1008,0)+8)</x:f>
      </x:c>
    </x:row>
    <x:row r="70" ht="36" customHeight="1">
      <x:c r="A70" s="50" t="str">
        <x:f>IF(62&gt;$H$4,"",IF(INDEX('Fleet dates'!$A$9:$A$1008,$I70-8)="","",INDEX('Fleet dates'!$A$9:$A$1008,$I70-8)))</x:f>
      </x:c>
      <x:c r="B70" s="50" t="str">
        <x:f>IF(62&gt;$H$4,"",IF(INDEX('Fleet dates'!$B$9:$B$1008,$I70-8)="","",INDEX('Fleet dates'!$B$9:$B$1008,$I70-8)))</x:f>
      </x:c>
      <x:c r="C70" s="51" t="str">
        <x:f>IF(62&gt;$H$4,"",IF(INDEX('Fleet dates'!$C$9:$C$1008,$I70-8)="","",INDEX('Fleet dates'!$C$9:$C$1008,$I70-8)))</x:f>
      </x:c>
      <x:c r="D70" s="51" t="str">
        <x:f>IF(62&gt;$H$4,"",IF(INDEX('Fleet dates'!$D$9:$D$1008,$I70-8)="","",INDEX('Fleet dates'!$D$9:$D$1008,$I70-8)))</x:f>
      </x:c>
      <x:c r="E70" s="51" t="str">
        <x:f>IF(62&gt;$H$4,"",IF(INDEX('Fleet dates'!$E$9:$E$1008,$I70-8)="","",INDEX('Fleet dates'!$E$9:$E$1008,$I70-8)))</x:f>
      </x:c>
      <x:c r="F70" s="51" t="str">
        <x:f>IF(62&gt;$H$4,"",IF(INDEX('Fleet dates'!$F$9:$F$1008,$I70-8)="","",INDEX('Fleet dates'!$F$9:$F$1008,$I70-8)))</x:f>
      </x:c>
      <x:c r="G70" s="50" t="str">
        <x:f>IF(62&gt;$H$4,"",IF(INDEX('Fleet dates'!$G$9:$G$1008,$I70-8)="","",INDEX('Fleet dates'!$G$9:$G$1008,$I70-8)))</x:f>
      </x:c>
      <x:c r="H70" s="50" t="str">
        <x:f>IF(62&gt;$H$4,"",IF(INDEX('Fleet dates'!$I$9:$I$1008,$I70-8)="","",INDEX('Fleet dates'!$I$9:$I$1008,$I70-8)))</x:f>
      </x:c>
      <x:c r="I70" t="str">
        <x:f>IF(62&gt;$H$4,"",MATCH(62,'Fleet dates'!$N$9:$N$1008,0)+8)</x:f>
      </x:c>
    </x:row>
    <x:row r="71" ht="36" customHeight="1">
      <x:c r="A71" s="50" t="str">
        <x:f>IF(63&gt;$H$4,"",IF(INDEX('Fleet dates'!$A$9:$A$1008,$I71-8)="","",INDEX('Fleet dates'!$A$9:$A$1008,$I71-8)))</x:f>
      </x:c>
      <x:c r="B71" s="50" t="str">
        <x:f>IF(63&gt;$H$4,"",IF(INDEX('Fleet dates'!$B$9:$B$1008,$I71-8)="","",INDEX('Fleet dates'!$B$9:$B$1008,$I71-8)))</x:f>
      </x:c>
      <x:c r="C71" s="51" t="str">
        <x:f>IF(63&gt;$H$4,"",IF(INDEX('Fleet dates'!$C$9:$C$1008,$I71-8)="","",INDEX('Fleet dates'!$C$9:$C$1008,$I71-8)))</x:f>
      </x:c>
      <x:c r="D71" s="51" t="str">
        <x:f>IF(63&gt;$H$4,"",IF(INDEX('Fleet dates'!$D$9:$D$1008,$I71-8)="","",INDEX('Fleet dates'!$D$9:$D$1008,$I71-8)))</x:f>
      </x:c>
      <x:c r="E71" s="51" t="str">
        <x:f>IF(63&gt;$H$4,"",IF(INDEX('Fleet dates'!$E$9:$E$1008,$I71-8)="","",INDEX('Fleet dates'!$E$9:$E$1008,$I71-8)))</x:f>
      </x:c>
      <x:c r="F71" s="51" t="str">
        <x:f>IF(63&gt;$H$4,"",IF(INDEX('Fleet dates'!$F$9:$F$1008,$I71-8)="","",INDEX('Fleet dates'!$F$9:$F$1008,$I71-8)))</x:f>
      </x:c>
      <x:c r="G71" s="50" t="str">
        <x:f>IF(63&gt;$H$4,"",IF(INDEX('Fleet dates'!$G$9:$G$1008,$I71-8)="","",INDEX('Fleet dates'!$G$9:$G$1008,$I71-8)))</x:f>
      </x:c>
      <x:c r="H71" s="50" t="str">
        <x:f>IF(63&gt;$H$4,"",IF(INDEX('Fleet dates'!$I$9:$I$1008,$I71-8)="","",INDEX('Fleet dates'!$I$9:$I$1008,$I71-8)))</x:f>
      </x:c>
      <x:c r="I71" t="str">
        <x:f>IF(63&gt;$H$4,"",MATCH(63,'Fleet dates'!$N$9:$N$1008,0)+8)</x:f>
      </x:c>
    </x:row>
    <x:row r="72" ht="36" customHeight="1">
      <x:c r="A72" s="50" t="str">
        <x:f>IF(64&gt;$H$4,"",IF(INDEX('Fleet dates'!$A$9:$A$1008,$I72-8)="","",INDEX('Fleet dates'!$A$9:$A$1008,$I72-8)))</x:f>
      </x:c>
      <x:c r="B72" s="50" t="str">
        <x:f>IF(64&gt;$H$4,"",IF(INDEX('Fleet dates'!$B$9:$B$1008,$I72-8)="","",INDEX('Fleet dates'!$B$9:$B$1008,$I72-8)))</x:f>
      </x:c>
      <x:c r="C72" s="51" t="str">
        <x:f>IF(64&gt;$H$4,"",IF(INDEX('Fleet dates'!$C$9:$C$1008,$I72-8)="","",INDEX('Fleet dates'!$C$9:$C$1008,$I72-8)))</x:f>
      </x:c>
      <x:c r="D72" s="51" t="str">
        <x:f>IF(64&gt;$H$4,"",IF(INDEX('Fleet dates'!$D$9:$D$1008,$I72-8)="","",INDEX('Fleet dates'!$D$9:$D$1008,$I72-8)))</x:f>
      </x:c>
      <x:c r="E72" s="51" t="str">
        <x:f>IF(64&gt;$H$4,"",IF(INDEX('Fleet dates'!$E$9:$E$1008,$I72-8)="","",INDEX('Fleet dates'!$E$9:$E$1008,$I72-8)))</x:f>
      </x:c>
      <x:c r="F72" s="51" t="str">
        <x:f>IF(64&gt;$H$4,"",IF(INDEX('Fleet dates'!$F$9:$F$1008,$I72-8)="","",INDEX('Fleet dates'!$F$9:$F$1008,$I72-8)))</x:f>
      </x:c>
      <x:c r="G72" s="50" t="str">
        <x:f>IF(64&gt;$H$4,"",IF(INDEX('Fleet dates'!$G$9:$G$1008,$I72-8)="","",INDEX('Fleet dates'!$G$9:$G$1008,$I72-8)))</x:f>
      </x:c>
      <x:c r="H72" s="50" t="str">
        <x:f>IF(64&gt;$H$4,"",IF(INDEX('Fleet dates'!$I$9:$I$1008,$I72-8)="","",INDEX('Fleet dates'!$I$9:$I$1008,$I72-8)))</x:f>
      </x:c>
      <x:c r="I72" t="str">
        <x:f>IF(64&gt;$H$4,"",MATCH(64,'Fleet dates'!$N$9:$N$1008,0)+8)</x:f>
      </x:c>
    </x:row>
    <x:row r="73" ht="36" customHeight="1">
      <x:c r="A73" s="50" t="str">
        <x:f>IF(65&gt;$H$4,"",IF(INDEX('Fleet dates'!$A$9:$A$1008,$I73-8)="","",INDEX('Fleet dates'!$A$9:$A$1008,$I73-8)))</x:f>
      </x:c>
      <x:c r="B73" s="50" t="str">
        <x:f>IF(65&gt;$H$4,"",IF(INDEX('Fleet dates'!$B$9:$B$1008,$I73-8)="","",INDEX('Fleet dates'!$B$9:$B$1008,$I73-8)))</x:f>
      </x:c>
      <x:c r="C73" s="51" t="str">
        <x:f>IF(65&gt;$H$4,"",IF(INDEX('Fleet dates'!$C$9:$C$1008,$I73-8)="","",INDEX('Fleet dates'!$C$9:$C$1008,$I73-8)))</x:f>
      </x:c>
      <x:c r="D73" s="51" t="str">
        <x:f>IF(65&gt;$H$4,"",IF(INDEX('Fleet dates'!$D$9:$D$1008,$I73-8)="","",INDEX('Fleet dates'!$D$9:$D$1008,$I73-8)))</x:f>
      </x:c>
      <x:c r="E73" s="51" t="str">
        <x:f>IF(65&gt;$H$4,"",IF(INDEX('Fleet dates'!$E$9:$E$1008,$I73-8)="","",INDEX('Fleet dates'!$E$9:$E$1008,$I73-8)))</x:f>
      </x:c>
      <x:c r="F73" s="51" t="str">
        <x:f>IF(65&gt;$H$4,"",IF(INDEX('Fleet dates'!$F$9:$F$1008,$I73-8)="","",INDEX('Fleet dates'!$F$9:$F$1008,$I73-8)))</x:f>
      </x:c>
      <x:c r="G73" s="50" t="str">
        <x:f>IF(65&gt;$H$4,"",IF(INDEX('Fleet dates'!$G$9:$G$1008,$I73-8)="","",INDEX('Fleet dates'!$G$9:$G$1008,$I73-8)))</x:f>
      </x:c>
      <x:c r="H73" s="50" t="str">
        <x:f>IF(65&gt;$H$4,"",IF(INDEX('Fleet dates'!$I$9:$I$1008,$I73-8)="","",INDEX('Fleet dates'!$I$9:$I$1008,$I73-8)))</x:f>
      </x:c>
      <x:c r="I73" t="str">
        <x:f>IF(65&gt;$H$4,"",MATCH(65,'Fleet dates'!$N$9:$N$1008,0)+8)</x:f>
      </x:c>
    </x:row>
    <x:row r="74" ht="36" customHeight="1">
      <x:c r="A74" s="50" t="str">
        <x:f>IF(66&gt;$H$4,"",IF(INDEX('Fleet dates'!$A$9:$A$1008,$I74-8)="","",INDEX('Fleet dates'!$A$9:$A$1008,$I74-8)))</x:f>
      </x:c>
      <x:c r="B74" s="50" t="str">
        <x:f>IF(66&gt;$H$4,"",IF(INDEX('Fleet dates'!$B$9:$B$1008,$I74-8)="","",INDEX('Fleet dates'!$B$9:$B$1008,$I74-8)))</x:f>
      </x:c>
      <x:c r="C74" s="51" t="str">
        <x:f>IF(66&gt;$H$4,"",IF(INDEX('Fleet dates'!$C$9:$C$1008,$I74-8)="","",INDEX('Fleet dates'!$C$9:$C$1008,$I74-8)))</x:f>
      </x:c>
      <x:c r="D74" s="51" t="str">
        <x:f>IF(66&gt;$H$4,"",IF(INDEX('Fleet dates'!$D$9:$D$1008,$I74-8)="","",INDEX('Fleet dates'!$D$9:$D$1008,$I74-8)))</x:f>
      </x:c>
      <x:c r="E74" s="51" t="str">
        <x:f>IF(66&gt;$H$4,"",IF(INDEX('Fleet dates'!$E$9:$E$1008,$I74-8)="","",INDEX('Fleet dates'!$E$9:$E$1008,$I74-8)))</x:f>
      </x:c>
      <x:c r="F74" s="51" t="str">
        <x:f>IF(66&gt;$H$4,"",IF(INDEX('Fleet dates'!$F$9:$F$1008,$I74-8)="","",INDEX('Fleet dates'!$F$9:$F$1008,$I74-8)))</x:f>
      </x:c>
      <x:c r="G74" s="50" t="str">
        <x:f>IF(66&gt;$H$4,"",IF(INDEX('Fleet dates'!$G$9:$G$1008,$I74-8)="","",INDEX('Fleet dates'!$G$9:$G$1008,$I74-8)))</x:f>
      </x:c>
      <x:c r="H74" s="50" t="str">
        <x:f>IF(66&gt;$H$4,"",IF(INDEX('Fleet dates'!$I$9:$I$1008,$I74-8)="","",INDEX('Fleet dates'!$I$9:$I$1008,$I74-8)))</x:f>
      </x:c>
      <x:c r="I74" t="str">
        <x:f>IF(66&gt;$H$4,"",MATCH(66,'Fleet dates'!$N$9:$N$1008,0)+8)</x:f>
      </x:c>
    </x:row>
    <x:row r="75" ht="36" customHeight="1">
      <x:c r="A75" s="50" t="str">
        <x:f>IF(67&gt;$H$4,"",IF(INDEX('Fleet dates'!$A$9:$A$1008,$I75-8)="","",INDEX('Fleet dates'!$A$9:$A$1008,$I75-8)))</x:f>
      </x:c>
      <x:c r="B75" s="50" t="str">
        <x:f>IF(67&gt;$H$4,"",IF(INDEX('Fleet dates'!$B$9:$B$1008,$I75-8)="","",INDEX('Fleet dates'!$B$9:$B$1008,$I75-8)))</x:f>
      </x:c>
      <x:c r="C75" s="51" t="str">
        <x:f>IF(67&gt;$H$4,"",IF(INDEX('Fleet dates'!$C$9:$C$1008,$I75-8)="","",INDEX('Fleet dates'!$C$9:$C$1008,$I75-8)))</x:f>
      </x:c>
      <x:c r="D75" s="51" t="str">
        <x:f>IF(67&gt;$H$4,"",IF(INDEX('Fleet dates'!$D$9:$D$1008,$I75-8)="","",INDEX('Fleet dates'!$D$9:$D$1008,$I75-8)))</x:f>
      </x:c>
      <x:c r="E75" s="51" t="str">
        <x:f>IF(67&gt;$H$4,"",IF(INDEX('Fleet dates'!$E$9:$E$1008,$I75-8)="","",INDEX('Fleet dates'!$E$9:$E$1008,$I75-8)))</x:f>
      </x:c>
      <x:c r="F75" s="51" t="str">
        <x:f>IF(67&gt;$H$4,"",IF(INDEX('Fleet dates'!$F$9:$F$1008,$I75-8)="","",INDEX('Fleet dates'!$F$9:$F$1008,$I75-8)))</x:f>
      </x:c>
      <x:c r="G75" s="50" t="str">
        <x:f>IF(67&gt;$H$4,"",IF(INDEX('Fleet dates'!$G$9:$G$1008,$I75-8)="","",INDEX('Fleet dates'!$G$9:$G$1008,$I75-8)))</x:f>
      </x:c>
      <x:c r="H75" s="50" t="str">
        <x:f>IF(67&gt;$H$4,"",IF(INDEX('Fleet dates'!$I$9:$I$1008,$I75-8)="","",INDEX('Fleet dates'!$I$9:$I$1008,$I75-8)))</x:f>
      </x:c>
      <x:c r="I75" t="str">
        <x:f>IF(67&gt;$H$4,"",MATCH(67,'Fleet dates'!$N$9:$N$1008,0)+8)</x:f>
      </x:c>
    </x:row>
    <x:row r="76" ht="36" customHeight="1">
      <x:c r="A76" s="50" t="str">
        <x:f>IF(68&gt;$H$4,"",IF(INDEX('Fleet dates'!$A$9:$A$1008,$I76-8)="","",INDEX('Fleet dates'!$A$9:$A$1008,$I76-8)))</x:f>
      </x:c>
      <x:c r="B76" s="50" t="str">
        <x:f>IF(68&gt;$H$4,"",IF(INDEX('Fleet dates'!$B$9:$B$1008,$I76-8)="","",INDEX('Fleet dates'!$B$9:$B$1008,$I76-8)))</x:f>
      </x:c>
      <x:c r="C76" s="51" t="str">
        <x:f>IF(68&gt;$H$4,"",IF(INDEX('Fleet dates'!$C$9:$C$1008,$I76-8)="","",INDEX('Fleet dates'!$C$9:$C$1008,$I76-8)))</x:f>
      </x:c>
      <x:c r="D76" s="51" t="str">
        <x:f>IF(68&gt;$H$4,"",IF(INDEX('Fleet dates'!$D$9:$D$1008,$I76-8)="","",INDEX('Fleet dates'!$D$9:$D$1008,$I76-8)))</x:f>
      </x:c>
      <x:c r="E76" s="51" t="str">
        <x:f>IF(68&gt;$H$4,"",IF(INDEX('Fleet dates'!$E$9:$E$1008,$I76-8)="","",INDEX('Fleet dates'!$E$9:$E$1008,$I76-8)))</x:f>
      </x:c>
      <x:c r="F76" s="51" t="str">
        <x:f>IF(68&gt;$H$4,"",IF(INDEX('Fleet dates'!$F$9:$F$1008,$I76-8)="","",INDEX('Fleet dates'!$F$9:$F$1008,$I76-8)))</x:f>
      </x:c>
      <x:c r="G76" s="50" t="str">
        <x:f>IF(68&gt;$H$4,"",IF(INDEX('Fleet dates'!$G$9:$G$1008,$I76-8)="","",INDEX('Fleet dates'!$G$9:$G$1008,$I76-8)))</x:f>
      </x:c>
      <x:c r="H76" s="50" t="str">
        <x:f>IF(68&gt;$H$4,"",IF(INDEX('Fleet dates'!$I$9:$I$1008,$I76-8)="","",INDEX('Fleet dates'!$I$9:$I$1008,$I76-8)))</x:f>
      </x:c>
      <x:c r="I76" t="str">
        <x:f>IF(68&gt;$H$4,"",MATCH(68,'Fleet dates'!$N$9:$N$1008,0)+8)</x:f>
      </x:c>
    </x:row>
    <x:row r="77" ht="36" customHeight="1">
      <x:c r="A77" s="50" t="str">
        <x:f>IF(69&gt;$H$4,"",IF(INDEX('Fleet dates'!$A$9:$A$1008,$I77-8)="","",INDEX('Fleet dates'!$A$9:$A$1008,$I77-8)))</x:f>
      </x:c>
      <x:c r="B77" s="50" t="str">
        <x:f>IF(69&gt;$H$4,"",IF(INDEX('Fleet dates'!$B$9:$B$1008,$I77-8)="","",INDEX('Fleet dates'!$B$9:$B$1008,$I77-8)))</x:f>
      </x:c>
      <x:c r="C77" s="51" t="str">
        <x:f>IF(69&gt;$H$4,"",IF(INDEX('Fleet dates'!$C$9:$C$1008,$I77-8)="","",INDEX('Fleet dates'!$C$9:$C$1008,$I77-8)))</x:f>
      </x:c>
      <x:c r="D77" s="51" t="str">
        <x:f>IF(69&gt;$H$4,"",IF(INDEX('Fleet dates'!$D$9:$D$1008,$I77-8)="","",INDEX('Fleet dates'!$D$9:$D$1008,$I77-8)))</x:f>
      </x:c>
      <x:c r="E77" s="51" t="str">
        <x:f>IF(69&gt;$H$4,"",IF(INDEX('Fleet dates'!$E$9:$E$1008,$I77-8)="","",INDEX('Fleet dates'!$E$9:$E$1008,$I77-8)))</x:f>
      </x:c>
      <x:c r="F77" s="51" t="str">
        <x:f>IF(69&gt;$H$4,"",IF(INDEX('Fleet dates'!$F$9:$F$1008,$I77-8)="","",INDEX('Fleet dates'!$F$9:$F$1008,$I77-8)))</x:f>
      </x:c>
      <x:c r="G77" s="50" t="str">
        <x:f>IF(69&gt;$H$4,"",IF(INDEX('Fleet dates'!$G$9:$G$1008,$I77-8)="","",INDEX('Fleet dates'!$G$9:$G$1008,$I77-8)))</x:f>
      </x:c>
      <x:c r="H77" s="50" t="str">
        <x:f>IF(69&gt;$H$4,"",IF(INDEX('Fleet dates'!$I$9:$I$1008,$I77-8)="","",INDEX('Fleet dates'!$I$9:$I$1008,$I77-8)))</x:f>
      </x:c>
      <x:c r="I77" t="str">
        <x:f>IF(69&gt;$H$4,"",MATCH(69,'Fleet dates'!$N$9:$N$1008,0)+8)</x:f>
      </x:c>
    </x:row>
    <x:row r="78" ht="36" customHeight="1">
      <x:c r="A78" s="50" t="str">
        <x:f>IF(70&gt;$H$4,"",IF(INDEX('Fleet dates'!$A$9:$A$1008,$I78-8)="","",INDEX('Fleet dates'!$A$9:$A$1008,$I78-8)))</x:f>
      </x:c>
      <x:c r="B78" s="50" t="str">
        <x:f>IF(70&gt;$H$4,"",IF(INDEX('Fleet dates'!$B$9:$B$1008,$I78-8)="","",INDEX('Fleet dates'!$B$9:$B$1008,$I78-8)))</x:f>
      </x:c>
      <x:c r="C78" s="51" t="str">
        <x:f>IF(70&gt;$H$4,"",IF(INDEX('Fleet dates'!$C$9:$C$1008,$I78-8)="","",INDEX('Fleet dates'!$C$9:$C$1008,$I78-8)))</x:f>
      </x:c>
      <x:c r="D78" s="51" t="str">
        <x:f>IF(70&gt;$H$4,"",IF(INDEX('Fleet dates'!$D$9:$D$1008,$I78-8)="","",INDEX('Fleet dates'!$D$9:$D$1008,$I78-8)))</x:f>
      </x:c>
      <x:c r="E78" s="51" t="str">
        <x:f>IF(70&gt;$H$4,"",IF(INDEX('Fleet dates'!$E$9:$E$1008,$I78-8)="","",INDEX('Fleet dates'!$E$9:$E$1008,$I78-8)))</x:f>
      </x:c>
      <x:c r="F78" s="51" t="str">
        <x:f>IF(70&gt;$H$4,"",IF(INDEX('Fleet dates'!$F$9:$F$1008,$I78-8)="","",INDEX('Fleet dates'!$F$9:$F$1008,$I78-8)))</x:f>
      </x:c>
      <x:c r="G78" s="50" t="str">
        <x:f>IF(70&gt;$H$4,"",IF(INDEX('Fleet dates'!$G$9:$G$1008,$I78-8)="","",INDEX('Fleet dates'!$G$9:$G$1008,$I78-8)))</x:f>
      </x:c>
      <x:c r="H78" s="50" t="str">
        <x:f>IF(70&gt;$H$4,"",IF(INDEX('Fleet dates'!$I$9:$I$1008,$I78-8)="","",INDEX('Fleet dates'!$I$9:$I$1008,$I78-8)))</x:f>
      </x:c>
      <x:c r="I78" t="str">
        <x:f>IF(70&gt;$H$4,"",MATCH(70,'Fleet dates'!$N$9:$N$1008,0)+8)</x:f>
      </x:c>
    </x:row>
    <x:row r="79" ht="36" customHeight="1">
      <x:c r="A79" s="50" t="str">
        <x:f>IF(71&gt;$H$4,"",IF(INDEX('Fleet dates'!$A$9:$A$1008,$I79-8)="","",INDEX('Fleet dates'!$A$9:$A$1008,$I79-8)))</x:f>
      </x:c>
      <x:c r="B79" s="50" t="str">
        <x:f>IF(71&gt;$H$4,"",IF(INDEX('Fleet dates'!$B$9:$B$1008,$I79-8)="","",INDEX('Fleet dates'!$B$9:$B$1008,$I79-8)))</x:f>
      </x:c>
      <x:c r="C79" s="51" t="str">
        <x:f>IF(71&gt;$H$4,"",IF(INDEX('Fleet dates'!$C$9:$C$1008,$I79-8)="","",INDEX('Fleet dates'!$C$9:$C$1008,$I79-8)))</x:f>
      </x:c>
      <x:c r="D79" s="51" t="str">
        <x:f>IF(71&gt;$H$4,"",IF(INDEX('Fleet dates'!$D$9:$D$1008,$I79-8)="","",INDEX('Fleet dates'!$D$9:$D$1008,$I79-8)))</x:f>
      </x:c>
      <x:c r="E79" s="51" t="str">
        <x:f>IF(71&gt;$H$4,"",IF(INDEX('Fleet dates'!$E$9:$E$1008,$I79-8)="","",INDEX('Fleet dates'!$E$9:$E$1008,$I79-8)))</x:f>
      </x:c>
      <x:c r="F79" s="51" t="str">
        <x:f>IF(71&gt;$H$4,"",IF(INDEX('Fleet dates'!$F$9:$F$1008,$I79-8)="","",INDEX('Fleet dates'!$F$9:$F$1008,$I79-8)))</x:f>
      </x:c>
      <x:c r="G79" s="50" t="str">
        <x:f>IF(71&gt;$H$4,"",IF(INDEX('Fleet dates'!$G$9:$G$1008,$I79-8)="","",INDEX('Fleet dates'!$G$9:$G$1008,$I79-8)))</x:f>
      </x:c>
      <x:c r="H79" s="50" t="str">
        <x:f>IF(71&gt;$H$4,"",IF(INDEX('Fleet dates'!$I$9:$I$1008,$I79-8)="","",INDEX('Fleet dates'!$I$9:$I$1008,$I79-8)))</x:f>
      </x:c>
      <x:c r="I79" t="str">
        <x:f>IF(71&gt;$H$4,"",MATCH(71,'Fleet dates'!$N$9:$N$1008,0)+8)</x:f>
      </x:c>
    </x:row>
    <x:row r="80" ht="36" customHeight="1">
      <x:c r="A80" s="50" t="str">
        <x:f>IF(72&gt;$H$4,"",IF(INDEX('Fleet dates'!$A$9:$A$1008,$I80-8)="","",INDEX('Fleet dates'!$A$9:$A$1008,$I80-8)))</x:f>
      </x:c>
      <x:c r="B80" s="50" t="str">
        <x:f>IF(72&gt;$H$4,"",IF(INDEX('Fleet dates'!$B$9:$B$1008,$I80-8)="","",INDEX('Fleet dates'!$B$9:$B$1008,$I80-8)))</x:f>
      </x:c>
      <x:c r="C80" s="51" t="str">
        <x:f>IF(72&gt;$H$4,"",IF(INDEX('Fleet dates'!$C$9:$C$1008,$I80-8)="","",INDEX('Fleet dates'!$C$9:$C$1008,$I80-8)))</x:f>
      </x:c>
      <x:c r="D80" s="51" t="str">
        <x:f>IF(72&gt;$H$4,"",IF(INDEX('Fleet dates'!$D$9:$D$1008,$I80-8)="","",INDEX('Fleet dates'!$D$9:$D$1008,$I80-8)))</x:f>
      </x:c>
      <x:c r="E80" s="51" t="str">
        <x:f>IF(72&gt;$H$4,"",IF(INDEX('Fleet dates'!$E$9:$E$1008,$I80-8)="","",INDEX('Fleet dates'!$E$9:$E$1008,$I80-8)))</x:f>
      </x:c>
      <x:c r="F80" s="51" t="str">
        <x:f>IF(72&gt;$H$4,"",IF(INDEX('Fleet dates'!$F$9:$F$1008,$I80-8)="","",INDEX('Fleet dates'!$F$9:$F$1008,$I80-8)))</x:f>
      </x:c>
      <x:c r="G80" s="50" t="str">
        <x:f>IF(72&gt;$H$4,"",IF(INDEX('Fleet dates'!$G$9:$G$1008,$I80-8)="","",INDEX('Fleet dates'!$G$9:$G$1008,$I80-8)))</x:f>
      </x:c>
      <x:c r="H80" s="50" t="str">
        <x:f>IF(72&gt;$H$4,"",IF(INDEX('Fleet dates'!$I$9:$I$1008,$I80-8)="","",INDEX('Fleet dates'!$I$9:$I$1008,$I80-8)))</x:f>
      </x:c>
      <x:c r="I80" t="str">
        <x:f>IF(72&gt;$H$4,"",MATCH(72,'Fleet dates'!$N$9:$N$1008,0)+8)</x:f>
      </x:c>
    </x:row>
    <x:row r="81" ht="36" customHeight="1">
      <x:c r="A81" s="50" t="str">
        <x:f>IF(73&gt;$H$4,"",IF(INDEX('Fleet dates'!$A$9:$A$1008,$I81-8)="","",INDEX('Fleet dates'!$A$9:$A$1008,$I81-8)))</x:f>
      </x:c>
      <x:c r="B81" s="50" t="str">
        <x:f>IF(73&gt;$H$4,"",IF(INDEX('Fleet dates'!$B$9:$B$1008,$I81-8)="","",INDEX('Fleet dates'!$B$9:$B$1008,$I81-8)))</x:f>
      </x:c>
      <x:c r="C81" s="51" t="str">
        <x:f>IF(73&gt;$H$4,"",IF(INDEX('Fleet dates'!$C$9:$C$1008,$I81-8)="","",INDEX('Fleet dates'!$C$9:$C$1008,$I81-8)))</x:f>
      </x:c>
      <x:c r="D81" s="51" t="str">
        <x:f>IF(73&gt;$H$4,"",IF(INDEX('Fleet dates'!$D$9:$D$1008,$I81-8)="","",INDEX('Fleet dates'!$D$9:$D$1008,$I81-8)))</x:f>
      </x:c>
      <x:c r="E81" s="51" t="str">
        <x:f>IF(73&gt;$H$4,"",IF(INDEX('Fleet dates'!$E$9:$E$1008,$I81-8)="","",INDEX('Fleet dates'!$E$9:$E$1008,$I81-8)))</x:f>
      </x:c>
      <x:c r="F81" s="51" t="str">
        <x:f>IF(73&gt;$H$4,"",IF(INDEX('Fleet dates'!$F$9:$F$1008,$I81-8)="","",INDEX('Fleet dates'!$F$9:$F$1008,$I81-8)))</x:f>
      </x:c>
      <x:c r="G81" s="50" t="str">
        <x:f>IF(73&gt;$H$4,"",IF(INDEX('Fleet dates'!$G$9:$G$1008,$I81-8)="","",INDEX('Fleet dates'!$G$9:$G$1008,$I81-8)))</x:f>
      </x:c>
      <x:c r="H81" s="50" t="str">
        <x:f>IF(73&gt;$H$4,"",IF(INDEX('Fleet dates'!$I$9:$I$1008,$I81-8)="","",INDEX('Fleet dates'!$I$9:$I$1008,$I81-8)))</x:f>
      </x:c>
      <x:c r="I81" t="str">
        <x:f>IF(73&gt;$H$4,"",MATCH(73,'Fleet dates'!$N$9:$N$1008,0)+8)</x:f>
      </x:c>
    </x:row>
    <x:row r="82" ht="36" customHeight="1">
      <x:c r="A82" s="50" t="str">
        <x:f>IF(74&gt;$H$4,"",IF(INDEX('Fleet dates'!$A$9:$A$1008,$I82-8)="","",INDEX('Fleet dates'!$A$9:$A$1008,$I82-8)))</x:f>
      </x:c>
      <x:c r="B82" s="50" t="str">
        <x:f>IF(74&gt;$H$4,"",IF(INDEX('Fleet dates'!$B$9:$B$1008,$I82-8)="","",INDEX('Fleet dates'!$B$9:$B$1008,$I82-8)))</x:f>
      </x:c>
      <x:c r="C82" s="51" t="str">
        <x:f>IF(74&gt;$H$4,"",IF(INDEX('Fleet dates'!$C$9:$C$1008,$I82-8)="","",INDEX('Fleet dates'!$C$9:$C$1008,$I82-8)))</x:f>
      </x:c>
      <x:c r="D82" s="51" t="str">
        <x:f>IF(74&gt;$H$4,"",IF(INDEX('Fleet dates'!$D$9:$D$1008,$I82-8)="","",INDEX('Fleet dates'!$D$9:$D$1008,$I82-8)))</x:f>
      </x:c>
      <x:c r="E82" s="51" t="str">
        <x:f>IF(74&gt;$H$4,"",IF(INDEX('Fleet dates'!$E$9:$E$1008,$I82-8)="","",INDEX('Fleet dates'!$E$9:$E$1008,$I82-8)))</x:f>
      </x:c>
      <x:c r="F82" s="51" t="str">
        <x:f>IF(74&gt;$H$4,"",IF(INDEX('Fleet dates'!$F$9:$F$1008,$I82-8)="","",INDEX('Fleet dates'!$F$9:$F$1008,$I82-8)))</x:f>
      </x:c>
      <x:c r="G82" s="50" t="str">
        <x:f>IF(74&gt;$H$4,"",IF(INDEX('Fleet dates'!$G$9:$G$1008,$I82-8)="","",INDEX('Fleet dates'!$G$9:$G$1008,$I82-8)))</x:f>
      </x:c>
      <x:c r="H82" s="50" t="str">
        <x:f>IF(74&gt;$H$4,"",IF(INDEX('Fleet dates'!$I$9:$I$1008,$I82-8)="","",INDEX('Fleet dates'!$I$9:$I$1008,$I82-8)))</x:f>
      </x:c>
      <x:c r="I82" t="str">
        <x:f>IF(74&gt;$H$4,"",MATCH(74,'Fleet dates'!$N$9:$N$1008,0)+8)</x:f>
      </x:c>
    </x:row>
    <x:row r="83" ht="36" customHeight="1">
      <x:c r="A83" s="50" t="str">
        <x:f>IF(75&gt;$H$4,"",IF(INDEX('Fleet dates'!$A$9:$A$1008,$I83-8)="","",INDEX('Fleet dates'!$A$9:$A$1008,$I83-8)))</x:f>
      </x:c>
      <x:c r="B83" s="50" t="str">
        <x:f>IF(75&gt;$H$4,"",IF(INDEX('Fleet dates'!$B$9:$B$1008,$I83-8)="","",INDEX('Fleet dates'!$B$9:$B$1008,$I83-8)))</x:f>
      </x:c>
      <x:c r="C83" s="51" t="str">
        <x:f>IF(75&gt;$H$4,"",IF(INDEX('Fleet dates'!$C$9:$C$1008,$I83-8)="","",INDEX('Fleet dates'!$C$9:$C$1008,$I83-8)))</x:f>
      </x:c>
      <x:c r="D83" s="51" t="str">
        <x:f>IF(75&gt;$H$4,"",IF(INDEX('Fleet dates'!$D$9:$D$1008,$I83-8)="","",INDEX('Fleet dates'!$D$9:$D$1008,$I83-8)))</x:f>
      </x:c>
      <x:c r="E83" s="51" t="str">
        <x:f>IF(75&gt;$H$4,"",IF(INDEX('Fleet dates'!$E$9:$E$1008,$I83-8)="","",INDEX('Fleet dates'!$E$9:$E$1008,$I83-8)))</x:f>
      </x:c>
      <x:c r="F83" s="51" t="str">
        <x:f>IF(75&gt;$H$4,"",IF(INDEX('Fleet dates'!$F$9:$F$1008,$I83-8)="","",INDEX('Fleet dates'!$F$9:$F$1008,$I83-8)))</x:f>
      </x:c>
      <x:c r="G83" s="50" t="str">
        <x:f>IF(75&gt;$H$4,"",IF(INDEX('Fleet dates'!$G$9:$G$1008,$I83-8)="","",INDEX('Fleet dates'!$G$9:$G$1008,$I83-8)))</x:f>
      </x:c>
      <x:c r="H83" s="50" t="str">
        <x:f>IF(75&gt;$H$4,"",IF(INDEX('Fleet dates'!$I$9:$I$1008,$I83-8)="","",INDEX('Fleet dates'!$I$9:$I$1008,$I83-8)))</x:f>
      </x:c>
      <x:c r="I83" t="str">
        <x:f>IF(75&gt;$H$4,"",MATCH(75,'Fleet dates'!$N$9:$N$1008,0)+8)</x:f>
      </x:c>
    </x:row>
    <x:row r="84" ht="36" customHeight="1">
      <x:c r="A84" s="50" t="str">
        <x:f>IF(76&gt;$H$4,"",IF(INDEX('Fleet dates'!$A$9:$A$1008,$I84-8)="","",INDEX('Fleet dates'!$A$9:$A$1008,$I84-8)))</x:f>
      </x:c>
      <x:c r="B84" s="50" t="str">
        <x:f>IF(76&gt;$H$4,"",IF(INDEX('Fleet dates'!$B$9:$B$1008,$I84-8)="","",INDEX('Fleet dates'!$B$9:$B$1008,$I84-8)))</x:f>
      </x:c>
      <x:c r="C84" s="51" t="str">
        <x:f>IF(76&gt;$H$4,"",IF(INDEX('Fleet dates'!$C$9:$C$1008,$I84-8)="","",INDEX('Fleet dates'!$C$9:$C$1008,$I84-8)))</x:f>
      </x:c>
      <x:c r="D84" s="51" t="str">
        <x:f>IF(76&gt;$H$4,"",IF(INDEX('Fleet dates'!$D$9:$D$1008,$I84-8)="","",INDEX('Fleet dates'!$D$9:$D$1008,$I84-8)))</x:f>
      </x:c>
      <x:c r="E84" s="51" t="str">
        <x:f>IF(76&gt;$H$4,"",IF(INDEX('Fleet dates'!$E$9:$E$1008,$I84-8)="","",INDEX('Fleet dates'!$E$9:$E$1008,$I84-8)))</x:f>
      </x:c>
      <x:c r="F84" s="51" t="str">
        <x:f>IF(76&gt;$H$4,"",IF(INDEX('Fleet dates'!$F$9:$F$1008,$I84-8)="","",INDEX('Fleet dates'!$F$9:$F$1008,$I84-8)))</x:f>
      </x:c>
      <x:c r="G84" s="50" t="str">
        <x:f>IF(76&gt;$H$4,"",IF(INDEX('Fleet dates'!$G$9:$G$1008,$I84-8)="","",INDEX('Fleet dates'!$G$9:$G$1008,$I84-8)))</x:f>
      </x:c>
      <x:c r="H84" s="50" t="str">
        <x:f>IF(76&gt;$H$4,"",IF(INDEX('Fleet dates'!$I$9:$I$1008,$I84-8)="","",INDEX('Fleet dates'!$I$9:$I$1008,$I84-8)))</x:f>
      </x:c>
      <x:c r="I84" t="str">
        <x:f>IF(76&gt;$H$4,"",MATCH(76,'Fleet dates'!$N$9:$N$1008,0)+8)</x:f>
      </x:c>
    </x:row>
    <x:row r="85" ht="36" customHeight="1">
      <x:c r="A85" s="50" t="str">
        <x:f>IF(77&gt;$H$4,"",IF(INDEX('Fleet dates'!$A$9:$A$1008,$I85-8)="","",INDEX('Fleet dates'!$A$9:$A$1008,$I85-8)))</x:f>
      </x:c>
      <x:c r="B85" s="50" t="str">
        <x:f>IF(77&gt;$H$4,"",IF(INDEX('Fleet dates'!$B$9:$B$1008,$I85-8)="","",INDEX('Fleet dates'!$B$9:$B$1008,$I85-8)))</x:f>
      </x:c>
      <x:c r="C85" s="51" t="str">
        <x:f>IF(77&gt;$H$4,"",IF(INDEX('Fleet dates'!$C$9:$C$1008,$I85-8)="","",INDEX('Fleet dates'!$C$9:$C$1008,$I85-8)))</x:f>
      </x:c>
      <x:c r="D85" s="51" t="str">
        <x:f>IF(77&gt;$H$4,"",IF(INDEX('Fleet dates'!$D$9:$D$1008,$I85-8)="","",INDEX('Fleet dates'!$D$9:$D$1008,$I85-8)))</x:f>
      </x:c>
      <x:c r="E85" s="51" t="str">
        <x:f>IF(77&gt;$H$4,"",IF(INDEX('Fleet dates'!$E$9:$E$1008,$I85-8)="","",INDEX('Fleet dates'!$E$9:$E$1008,$I85-8)))</x:f>
      </x:c>
      <x:c r="F85" s="51" t="str">
        <x:f>IF(77&gt;$H$4,"",IF(INDEX('Fleet dates'!$F$9:$F$1008,$I85-8)="","",INDEX('Fleet dates'!$F$9:$F$1008,$I85-8)))</x:f>
      </x:c>
      <x:c r="G85" s="50" t="str">
        <x:f>IF(77&gt;$H$4,"",IF(INDEX('Fleet dates'!$G$9:$G$1008,$I85-8)="","",INDEX('Fleet dates'!$G$9:$G$1008,$I85-8)))</x:f>
      </x:c>
      <x:c r="H85" s="50" t="str">
        <x:f>IF(77&gt;$H$4,"",IF(INDEX('Fleet dates'!$I$9:$I$1008,$I85-8)="","",INDEX('Fleet dates'!$I$9:$I$1008,$I85-8)))</x:f>
      </x:c>
      <x:c r="I85" t="str">
        <x:f>IF(77&gt;$H$4,"",MATCH(77,'Fleet dates'!$N$9:$N$1008,0)+8)</x:f>
      </x:c>
    </x:row>
    <x:row r="86" ht="36" customHeight="1">
      <x:c r="A86" s="50" t="str">
        <x:f>IF(78&gt;$H$4,"",IF(INDEX('Fleet dates'!$A$9:$A$1008,$I86-8)="","",INDEX('Fleet dates'!$A$9:$A$1008,$I86-8)))</x:f>
      </x:c>
      <x:c r="B86" s="50" t="str">
        <x:f>IF(78&gt;$H$4,"",IF(INDEX('Fleet dates'!$B$9:$B$1008,$I86-8)="","",INDEX('Fleet dates'!$B$9:$B$1008,$I86-8)))</x:f>
      </x:c>
      <x:c r="C86" s="51" t="str">
        <x:f>IF(78&gt;$H$4,"",IF(INDEX('Fleet dates'!$C$9:$C$1008,$I86-8)="","",INDEX('Fleet dates'!$C$9:$C$1008,$I86-8)))</x:f>
      </x:c>
      <x:c r="D86" s="51" t="str">
        <x:f>IF(78&gt;$H$4,"",IF(INDEX('Fleet dates'!$D$9:$D$1008,$I86-8)="","",INDEX('Fleet dates'!$D$9:$D$1008,$I86-8)))</x:f>
      </x:c>
      <x:c r="E86" s="51" t="str">
        <x:f>IF(78&gt;$H$4,"",IF(INDEX('Fleet dates'!$E$9:$E$1008,$I86-8)="","",INDEX('Fleet dates'!$E$9:$E$1008,$I86-8)))</x:f>
      </x:c>
      <x:c r="F86" s="51" t="str">
        <x:f>IF(78&gt;$H$4,"",IF(INDEX('Fleet dates'!$F$9:$F$1008,$I86-8)="","",INDEX('Fleet dates'!$F$9:$F$1008,$I86-8)))</x:f>
      </x:c>
      <x:c r="G86" s="50" t="str">
        <x:f>IF(78&gt;$H$4,"",IF(INDEX('Fleet dates'!$G$9:$G$1008,$I86-8)="","",INDEX('Fleet dates'!$G$9:$G$1008,$I86-8)))</x:f>
      </x:c>
      <x:c r="H86" s="50" t="str">
        <x:f>IF(78&gt;$H$4,"",IF(INDEX('Fleet dates'!$I$9:$I$1008,$I86-8)="","",INDEX('Fleet dates'!$I$9:$I$1008,$I86-8)))</x:f>
      </x:c>
      <x:c r="I86" t="str">
        <x:f>IF(78&gt;$H$4,"",MATCH(78,'Fleet dates'!$N$9:$N$1008,0)+8)</x:f>
      </x:c>
    </x:row>
    <x:row r="87" ht="36" customHeight="1">
      <x:c r="A87" s="50" t="str">
        <x:f>IF(79&gt;$H$4,"",IF(INDEX('Fleet dates'!$A$9:$A$1008,$I87-8)="","",INDEX('Fleet dates'!$A$9:$A$1008,$I87-8)))</x:f>
      </x:c>
      <x:c r="B87" s="50" t="str">
        <x:f>IF(79&gt;$H$4,"",IF(INDEX('Fleet dates'!$B$9:$B$1008,$I87-8)="","",INDEX('Fleet dates'!$B$9:$B$1008,$I87-8)))</x:f>
      </x:c>
      <x:c r="C87" s="51" t="str">
        <x:f>IF(79&gt;$H$4,"",IF(INDEX('Fleet dates'!$C$9:$C$1008,$I87-8)="","",INDEX('Fleet dates'!$C$9:$C$1008,$I87-8)))</x:f>
      </x:c>
      <x:c r="D87" s="51" t="str">
        <x:f>IF(79&gt;$H$4,"",IF(INDEX('Fleet dates'!$D$9:$D$1008,$I87-8)="","",INDEX('Fleet dates'!$D$9:$D$1008,$I87-8)))</x:f>
      </x:c>
      <x:c r="E87" s="51" t="str">
        <x:f>IF(79&gt;$H$4,"",IF(INDEX('Fleet dates'!$E$9:$E$1008,$I87-8)="","",INDEX('Fleet dates'!$E$9:$E$1008,$I87-8)))</x:f>
      </x:c>
      <x:c r="F87" s="51" t="str">
        <x:f>IF(79&gt;$H$4,"",IF(INDEX('Fleet dates'!$F$9:$F$1008,$I87-8)="","",INDEX('Fleet dates'!$F$9:$F$1008,$I87-8)))</x:f>
      </x:c>
      <x:c r="G87" s="50" t="str">
        <x:f>IF(79&gt;$H$4,"",IF(INDEX('Fleet dates'!$G$9:$G$1008,$I87-8)="","",INDEX('Fleet dates'!$G$9:$G$1008,$I87-8)))</x:f>
      </x:c>
      <x:c r="H87" s="50" t="str">
        <x:f>IF(79&gt;$H$4,"",IF(INDEX('Fleet dates'!$I$9:$I$1008,$I87-8)="","",INDEX('Fleet dates'!$I$9:$I$1008,$I87-8)))</x:f>
      </x:c>
      <x:c r="I87" t="str">
        <x:f>IF(79&gt;$H$4,"",MATCH(79,'Fleet dates'!$N$9:$N$1008,0)+8)</x:f>
      </x:c>
    </x:row>
    <x:row r="88" ht="36" customHeight="1">
      <x:c r="A88" s="50" t="str">
        <x:f>IF(80&gt;$H$4,"",IF(INDEX('Fleet dates'!$A$9:$A$1008,$I88-8)="","",INDEX('Fleet dates'!$A$9:$A$1008,$I88-8)))</x:f>
      </x:c>
      <x:c r="B88" s="50" t="str">
        <x:f>IF(80&gt;$H$4,"",IF(INDEX('Fleet dates'!$B$9:$B$1008,$I88-8)="","",INDEX('Fleet dates'!$B$9:$B$1008,$I88-8)))</x:f>
      </x:c>
      <x:c r="C88" s="51" t="str">
        <x:f>IF(80&gt;$H$4,"",IF(INDEX('Fleet dates'!$C$9:$C$1008,$I88-8)="","",INDEX('Fleet dates'!$C$9:$C$1008,$I88-8)))</x:f>
      </x:c>
      <x:c r="D88" s="51" t="str">
        <x:f>IF(80&gt;$H$4,"",IF(INDEX('Fleet dates'!$D$9:$D$1008,$I88-8)="","",INDEX('Fleet dates'!$D$9:$D$1008,$I88-8)))</x:f>
      </x:c>
      <x:c r="E88" s="51" t="str">
        <x:f>IF(80&gt;$H$4,"",IF(INDEX('Fleet dates'!$E$9:$E$1008,$I88-8)="","",INDEX('Fleet dates'!$E$9:$E$1008,$I88-8)))</x:f>
      </x:c>
      <x:c r="F88" s="51" t="str">
        <x:f>IF(80&gt;$H$4,"",IF(INDEX('Fleet dates'!$F$9:$F$1008,$I88-8)="","",INDEX('Fleet dates'!$F$9:$F$1008,$I88-8)))</x:f>
      </x:c>
      <x:c r="G88" s="50" t="str">
        <x:f>IF(80&gt;$H$4,"",IF(INDEX('Fleet dates'!$G$9:$G$1008,$I88-8)="","",INDEX('Fleet dates'!$G$9:$G$1008,$I88-8)))</x:f>
      </x:c>
      <x:c r="H88" s="50" t="str">
        <x:f>IF(80&gt;$H$4,"",IF(INDEX('Fleet dates'!$I$9:$I$1008,$I88-8)="","",INDEX('Fleet dates'!$I$9:$I$1008,$I88-8)))</x:f>
      </x:c>
      <x:c r="I88" t="str">
        <x:f>IF(80&gt;$H$4,"",MATCH(80,'Fleet dates'!$N$9:$N$1008,0)+8)</x:f>
      </x:c>
    </x:row>
    <x:row r="89" ht="36" customHeight="1">
      <x:c r="A89" s="50" t="str">
        <x:f>IF(81&gt;$H$4,"",IF(INDEX('Fleet dates'!$A$9:$A$1008,$I89-8)="","",INDEX('Fleet dates'!$A$9:$A$1008,$I89-8)))</x:f>
      </x:c>
      <x:c r="B89" s="50" t="str">
        <x:f>IF(81&gt;$H$4,"",IF(INDEX('Fleet dates'!$B$9:$B$1008,$I89-8)="","",INDEX('Fleet dates'!$B$9:$B$1008,$I89-8)))</x:f>
      </x:c>
      <x:c r="C89" s="51" t="str">
        <x:f>IF(81&gt;$H$4,"",IF(INDEX('Fleet dates'!$C$9:$C$1008,$I89-8)="","",INDEX('Fleet dates'!$C$9:$C$1008,$I89-8)))</x:f>
      </x:c>
      <x:c r="D89" s="51" t="str">
        <x:f>IF(81&gt;$H$4,"",IF(INDEX('Fleet dates'!$D$9:$D$1008,$I89-8)="","",INDEX('Fleet dates'!$D$9:$D$1008,$I89-8)))</x:f>
      </x:c>
      <x:c r="E89" s="51" t="str">
        <x:f>IF(81&gt;$H$4,"",IF(INDEX('Fleet dates'!$E$9:$E$1008,$I89-8)="","",INDEX('Fleet dates'!$E$9:$E$1008,$I89-8)))</x:f>
      </x:c>
      <x:c r="F89" s="51" t="str">
        <x:f>IF(81&gt;$H$4,"",IF(INDEX('Fleet dates'!$F$9:$F$1008,$I89-8)="","",INDEX('Fleet dates'!$F$9:$F$1008,$I89-8)))</x:f>
      </x:c>
      <x:c r="G89" s="50" t="str">
        <x:f>IF(81&gt;$H$4,"",IF(INDEX('Fleet dates'!$G$9:$G$1008,$I89-8)="","",INDEX('Fleet dates'!$G$9:$G$1008,$I89-8)))</x:f>
      </x:c>
      <x:c r="H89" s="50" t="str">
        <x:f>IF(81&gt;$H$4,"",IF(INDEX('Fleet dates'!$I$9:$I$1008,$I89-8)="","",INDEX('Fleet dates'!$I$9:$I$1008,$I89-8)))</x:f>
      </x:c>
      <x:c r="I89" t="str">
        <x:f>IF(81&gt;$H$4,"",MATCH(81,'Fleet dates'!$N$9:$N$1008,0)+8)</x:f>
      </x:c>
    </x:row>
    <x:row r="90" ht="36" customHeight="1">
      <x:c r="A90" s="50" t="str">
        <x:f>IF(82&gt;$H$4,"",IF(INDEX('Fleet dates'!$A$9:$A$1008,$I90-8)="","",INDEX('Fleet dates'!$A$9:$A$1008,$I90-8)))</x:f>
      </x:c>
      <x:c r="B90" s="50" t="str">
        <x:f>IF(82&gt;$H$4,"",IF(INDEX('Fleet dates'!$B$9:$B$1008,$I90-8)="","",INDEX('Fleet dates'!$B$9:$B$1008,$I90-8)))</x:f>
      </x:c>
      <x:c r="C90" s="51" t="str">
        <x:f>IF(82&gt;$H$4,"",IF(INDEX('Fleet dates'!$C$9:$C$1008,$I90-8)="","",INDEX('Fleet dates'!$C$9:$C$1008,$I90-8)))</x:f>
      </x:c>
      <x:c r="D90" s="51" t="str">
        <x:f>IF(82&gt;$H$4,"",IF(INDEX('Fleet dates'!$D$9:$D$1008,$I90-8)="","",INDEX('Fleet dates'!$D$9:$D$1008,$I90-8)))</x:f>
      </x:c>
      <x:c r="E90" s="51" t="str">
        <x:f>IF(82&gt;$H$4,"",IF(INDEX('Fleet dates'!$E$9:$E$1008,$I90-8)="","",INDEX('Fleet dates'!$E$9:$E$1008,$I90-8)))</x:f>
      </x:c>
      <x:c r="F90" s="51" t="str">
        <x:f>IF(82&gt;$H$4,"",IF(INDEX('Fleet dates'!$F$9:$F$1008,$I90-8)="","",INDEX('Fleet dates'!$F$9:$F$1008,$I90-8)))</x:f>
      </x:c>
      <x:c r="G90" s="50" t="str">
        <x:f>IF(82&gt;$H$4,"",IF(INDEX('Fleet dates'!$G$9:$G$1008,$I90-8)="","",INDEX('Fleet dates'!$G$9:$G$1008,$I90-8)))</x:f>
      </x:c>
      <x:c r="H90" s="50" t="str">
        <x:f>IF(82&gt;$H$4,"",IF(INDEX('Fleet dates'!$I$9:$I$1008,$I90-8)="","",INDEX('Fleet dates'!$I$9:$I$1008,$I90-8)))</x:f>
      </x:c>
      <x:c r="I90" t="str">
        <x:f>IF(82&gt;$H$4,"",MATCH(82,'Fleet dates'!$N$9:$N$1008,0)+8)</x:f>
      </x:c>
    </x:row>
    <x:row r="91" ht="36" customHeight="1">
      <x:c r="A91" s="50" t="str">
        <x:f>IF(83&gt;$H$4,"",IF(INDEX('Fleet dates'!$A$9:$A$1008,$I91-8)="","",INDEX('Fleet dates'!$A$9:$A$1008,$I91-8)))</x:f>
      </x:c>
      <x:c r="B91" s="50" t="str">
        <x:f>IF(83&gt;$H$4,"",IF(INDEX('Fleet dates'!$B$9:$B$1008,$I91-8)="","",INDEX('Fleet dates'!$B$9:$B$1008,$I91-8)))</x:f>
      </x:c>
      <x:c r="C91" s="51" t="str">
        <x:f>IF(83&gt;$H$4,"",IF(INDEX('Fleet dates'!$C$9:$C$1008,$I91-8)="","",INDEX('Fleet dates'!$C$9:$C$1008,$I91-8)))</x:f>
      </x:c>
      <x:c r="D91" s="51" t="str">
        <x:f>IF(83&gt;$H$4,"",IF(INDEX('Fleet dates'!$D$9:$D$1008,$I91-8)="","",INDEX('Fleet dates'!$D$9:$D$1008,$I91-8)))</x:f>
      </x:c>
      <x:c r="E91" s="51" t="str">
        <x:f>IF(83&gt;$H$4,"",IF(INDEX('Fleet dates'!$E$9:$E$1008,$I91-8)="","",INDEX('Fleet dates'!$E$9:$E$1008,$I91-8)))</x:f>
      </x:c>
      <x:c r="F91" s="51" t="str">
        <x:f>IF(83&gt;$H$4,"",IF(INDEX('Fleet dates'!$F$9:$F$1008,$I91-8)="","",INDEX('Fleet dates'!$F$9:$F$1008,$I91-8)))</x:f>
      </x:c>
      <x:c r="G91" s="50" t="str">
        <x:f>IF(83&gt;$H$4,"",IF(INDEX('Fleet dates'!$G$9:$G$1008,$I91-8)="","",INDEX('Fleet dates'!$G$9:$G$1008,$I91-8)))</x:f>
      </x:c>
      <x:c r="H91" s="50" t="str">
        <x:f>IF(83&gt;$H$4,"",IF(INDEX('Fleet dates'!$I$9:$I$1008,$I91-8)="","",INDEX('Fleet dates'!$I$9:$I$1008,$I91-8)))</x:f>
      </x:c>
      <x:c r="I91" t="str">
        <x:f>IF(83&gt;$H$4,"",MATCH(83,'Fleet dates'!$N$9:$N$1008,0)+8)</x:f>
      </x:c>
    </x:row>
    <x:row r="92" ht="36" customHeight="1">
      <x:c r="A92" s="50" t="str">
        <x:f>IF(84&gt;$H$4,"",IF(INDEX('Fleet dates'!$A$9:$A$1008,$I92-8)="","",INDEX('Fleet dates'!$A$9:$A$1008,$I92-8)))</x:f>
      </x:c>
      <x:c r="B92" s="50" t="str">
        <x:f>IF(84&gt;$H$4,"",IF(INDEX('Fleet dates'!$B$9:$B$1008,$I92-8)="","",INDEX('Fleet dates'!$B$9:$B$1008,$I92-8)))</x:f>
      </x:c>
      <x:c r="C92" s="51" t="str">
        <x:f>IF(84&gt;$H$4,"",IF(INDEX('Fleet dates'!$C$9:$C$1008,$I92-8)="","",INDEX('Fleet dates'!$C$9:$C$1008,$I92-8)))</x:f>
      </x:c>
      <x:c r="D92" s="51" t="str">
        <x:f>IF(84&gt;$H$4,"",IF(INDEX('Fleet dates'!$D$9:$D$1008,$I92-8)="","",INDEX('Fleet dates'!$D$9:$D$1008,$I92-8)))</x:f>
      </x:c>
      <x:c r="E92" s="51" t="str">
        <x:f>IF(84&gt;$H$4,"",IF(INDEX('Fleet dates'!$E$9:$E$1008,$I92-8)="","",INDEX('Fleet dates'!$E$9:$E$1008,$I92-8)))</x:f>
      </x:c>
      <x:c r="F92" s="51" t="str">
        <x:f>IF(84&gt;$H$4,"",IF(INDEX('Fleet dates'!$F$9:$F$1008,$I92-8)="","",INDEX('Fleet dates'!$F$9:$F$1008,$I92-8)))</x:f>
      </x:c>
      <x:c r="G92" s="50" t="str">
        <x:f>IF(84&gt;$H$4,"",IF(INDEX('Fleet dates'!$G$9:$G$1008,$I92-8)="","",INDEX('Fleet dates'!$G$9:$G$1008,$I92-8)))</x:f>
      </x:c>
      <x:c r="H92" s="50" t="str">
        <x:f>IF(84&gt;$H$4,"",IF(INDEX('Fleet dates'!$I$9:$I$1008,$I92-8)="","",INDEX('Fleet dates'!$I$9:$I$1008,$I92-8)))</x:f>
      </x:c>
      <x:c r="I92" t="str">
        <x:f>IF(84&gt;$H$4,"",MATCH(84,'Fleet dates'!$N$9:$N$1008,0)+8)</x:f>
      </x:c>
    </x:row>
    <x:row r="93" ht="36" customHeight="1">
      <x:c r="A93" s="50" t="str">
        <x:f>IF(85&gt;$H$4,"",IF(INDEX('Fleet dates'!$A$9:$A$1008,$I93-8)="","",INDEX('Fleet dates'!$A$9:$A$1008,$I93-8)))</x:f>
      </x:c>
      <x:c r="B93" s="50" t="str">
        <x:f>IF(85&gt;$H$4,"",IF(INDEX('Fleet dates'!$B$9:$B$1008,$I93-8)="","",INDEX('Fleet dates'!$B$9:$B$1008,$I93-8)))</x:f>
      </x:c>
      <x:c r="C93" s="51" t="str">
        <x:f>IF(85&gt;$H$4,"",IF(INDEX('Fleet dates'!$C$9:$C$1008,$I93-8)="","",INDEX('Fleet dates'!$C$9:$C$1008,$I93-8)))</x:f>
      </x:c>
      <x:c r="D93" s="51" t="str">
        <x:f>IF(85&gt;$H$4,"",IF(INDEX('Fleet dates'!$D$9:$D$1008,$I93-8)="","",INDEX('Fleet dates'!$D$9:$D$1008,$I93-8)))</x:f>
      </x:c>
      <x:c r="E93" s="51" t="str">
        <x:f>IF(85&gt;$H$4,"",IF(INDEX('Fleet dates'!$E$9:$E$1008,$I93-8)="","",INDEX('Fleet dates'!$E$9:$E$1008,$I93-8)))</x:f>
      </x:c>
      <x:c r="F93" s="51" t="str">
        <x:f>IF(85&gt;$H$4,"",IF(INDEX('Fleet dates'!$F$9:$F$1008,$I93-8)="","",INDEX('Fleet dates'!$F$9:$F$1008,$I93-8)))</x:f>
      </x:c>
      <x:c r="G93" s="50" t="str">
        <x:f>IF(85&gt;$H$4,"",IF(INDEX('Fleet dates'!$G$9:$G$1008,$I93-8)="","",INDEX('Fleet dates'!$G$9:$G$1008,$I93-8)))</x:f>
      </x:c>
      <x:c r="H93" s="50" t="str">
        <x:f>IF(85&gt;$H$4,"",IF(INDEX('Fleet dates'!$I$9:$I$1008,$I93-8)="","",INDEX('Fleet dates'!$I$9:$I$1008,$I93-8)))</x:f>
      </x:c>
      <x:c r="I93" t="str">
        <x:f>IF(85&gt;$H$4,"",MATCH(85,'Fleet dates'!$N$9:$N$1008,0)+8)</x:f>
      </x:c>
    </x:row>
    <x:row r="94" ht="36" customHeight="1">
      <x:c r="A94" s="50" t="str">
        <x:f>IF(86&gt;$H$4,"",IF(INDEX('Fleet dates'!$A$9:$A$1008,$I94-8)="","",INDEX('Fleet dates'!$A$9:$A$1008,$I94-8)))</x:f>
      </x:c>
      <x:c r="B94" s="50" t="str">
        <x:f>IF(86&gt;$H$4,"",IF(INDEX('Fleet dates'!$B$9:$B$1008,$I94-8)="","",INDEX('Fleet dates'!$B$9:$B$1008,$I94-8)))</x:f>
      </x:c>
      <x:c r="C94" s="51" t="str">
        <x:f>IF(86&gt;$H$4,"",IF(INDEX('Fleet dates'!$C$9:$C$1008,$I94-8)="","",INDEX('Fleet dates'!$C$9:$C$1008,$I94-8)))</x:f>
      </x:c>
      <x:c r="D94" s="51" t="str">
        <x:f>IF(86&gt;$H$4,"",IF(INDEX('Fleet dates'!$D$9:$D$1008,$I94-8)="","",INDEX('Fleet dates'!$D$9:$D$1008,$I94-8)))</x:f>
      </x:c>
      <x:c r="E94" s="51" t="str">
        <x:f>IF(86&gt;$H$4,"",IF(INDEX('Fleet dates'!$E$9:$E$1008,$I94-8)="","",INDEX('Fleet dates'!$E$9:$E$1008,$I94-8)))</x:f>
      </x:c>
      <x:c r="F94" s="51" t="str">
        <x:f>IF(86&gt;$H$4,"",IF(INDEX('Fleet dates'!$F$9:$F$1008,$I94-8)="","",INDEX('Fleet dates'!$F$9:$F$1008,$I94-8)))</x:f>
      </x:c>
      <x:c r="G94" s="50" t="str">
        <x:f>IF(86&gt;$H$4,"",IF(INDEX('Fleet dates'!$G$9:$G$1008,$I94-8)="","",INDEX('Fleet dates'!$G$9:$G$1008,$I94-8)))</x:f>
      </x:c>
      <x:c r="H94" s="50" t="str">
        <x:f>IF(86&gt;$H$4,"",IF(INDEX('Fleet dates'!$I$9:$I$1008,$I94-8)="","",INDEX('Fleet dates'!$I$9:$I$1008,$I94-8)))</x:f>
      </x:c>
      <x:c r="I94" t="str">
        <x:f>IF(86&gt;$H$4,"",MATCH(86,'Fleet dates'!$N$9:$N$1008,0)+8)</x:f>
      </x:c>
    </x:row>
    <x:row r="95" ht="36" customHeight="1">
      <x:c r="A95" s="50" t="str">
        <x:f>IF(87&gt;$H$4,"",IF(INDEX('Fleet dates'!$A$9:$A$1008,$I95-8)="","",INDEX('Fleet dates'!$A$9:$A$1008,$I95-8)))</x:f>
      </x:c>
      <x:c r="B95" s="50" t="str">
        <x:f>IF(87&gt;$H$4,"",IF(INDEX('Fleet dates'!$B$9:$B$1008,$I95-8)="","",INDEX('Fleet dates'!$B$9:$B$1008,$I95-8)))</x:f>
      </x:c>
      <x:c r="C95" s="51" t="str">
        <x:f>IF(87&gt;$H$4,"",IF(INDEX('Fleet dates'!$C$9:$C$1008,$I95-8)="","",INDEX('Fleet dates'!$C$9:$C$1008,$I95-8)))</x:f>
      </x:c>
      <x:c r="D95" s="51" t="str">
        <x:f>IF(87&gt;$H$4,"",IF(INDEX('Fleet dates'!$D$9:$D$1008,$I95-8)="","",INDEX('Fleet dates'!$D$9:$D$1008,$I95-8)))</x:f>
      </x:c>
      <x:c r="E95" s="51" t="str">
        <x:f>IF(87&gt;$H$4,"",IF(INDEX('Fleet dates'!$E$9:$E$1008,$I95-8)="","",INDEX('Fleet dates'!$E$9:$E$1008,$I95-8)))</x:f>
      </x:c>
      <x:c r="F95" s="51" t="str">
        <x:f>IF(87&gt;$H$4,"",IF(INDEX('Fleet dates'!$F$9:$F$1008,$I95-8)="","",INDEX('Fleet dates'!$F$9:$F$1008,$I95-8)))</x:f>
      </x:c>
      <x:c r="G95" s="50" t="str">
        <x:f>IF(87&gt;$H$4,"",IF(INDEX('Fleet dates'!$G$9:$G$1008,$I95-8)="","",INDEX('Fleet dates'!$G$9:$G$1008,$I95-8)))</x:f>
      </x:c>
      <x:c r="H95" s="50" t="str">
        <x:f>IF(87&gt;$H$4,"",IF(INDEX('Fleet dates'!$I$9:$I$1008,$I95-8)="","",INDEX('Fleet dates'!$I$9:$I$1008,$I95-8)))</x:f>
      </x:c>
      <x:c r="I95" t="str">
        <x:f>IF(87&gt;$H$4,"",MATCH(87,'Fleet dates'!$N$9:$N$1008,0)+8)</x:f>
      </x:c>
    </x:row>
    <x:row r="96" ht="36" customHeight="1">
      <x:c r="A96" s="50" t="str">
        <x:f>IF(88&gt;$H$4,"",IF(INDEX('Fleet dates'!$A$9:$A$1008,$I96-8)="","",INDEX('Fleet dates'!$A$9:$A$1008,$I96-8)))</x:f>
      </x:c>
      <x:c r="B96" s="50" t="str">
        <x:f>IF(88&gt;$H$4,"",IF(INDEX('Fleet dates'!$B$9:$B$1008,$I96-8)="","",INDEX('Fleet dates'!$B$9:$B$1008,$I96-8)))</x:f>
      </x:c>
      <x:c r="C96" s="51" t="str">
        <x:f>IF(88&gt;$H$4,"",IF(INDEX('Fleet dates'!$C$9:$C$1008,$I96-8)="","",INDEX('Fleet dates'!$C$9:$C$1008,$I96-8)))</x:f>
      </x:c>
      <x:c r="D96" s="51" t="str">
        <x:f>IF(88&gt;$H$4,"",IF(INDEX('Fleet dates'!$D$9:$D$1008,$I96-8)="","",INDEX('Fleet dates'!$D$9:$D$1008,$I96-8)))</x:f>
      </x:c>
      <x:c r="E96" s="51" t="str">
        <x:f>IF(88&gt;$H$4,"",IF(INDEX('Fleet dates'!$E$9:$E$1008,$I96-8)="","",INDEX('Fleet dates'!$E$9:$E$1008,$I96-8)))</x:f>
      </x:c>
      <x:c r="F96" s="51" t="str">
        <x:f>IF(88&gt;$H$4,"",IF(INDEX('Fleet dates'!$F$9:$F$1008,$I96-8)="","",INDEX('Fleet dates'!$F$9:$F$1008,$I96-8)))</x:f>
      </x:c>
      <x:c r="G96" s="50" t="str">
        <x:f>IF(88&gt;$H$4,"",IF(INDEX('Fleet dates'!$G$9:$G$1008,$I96-8)="","",INDEX('Fleet dates'!$G$9:$G$1008,$I96-8)))</x:f>
      </x:c>
      <x:c r="H96" s="50" t="str">
        <x:f>IF(88&gt;$H$4,"",IF(INDEX('Fleet dates'!$I$9:$I$1008,$I96-8)="","",INDEX('Fleet dates'!$I$9:$I$1008,$I96-8)))</x:f>
      </x:c>
      <x:c r="I96" t="str">
        <x:f>IF(88&gt;$H$4,"",MATCH(88,'Fleet dates'!$N$9:$N$1008,0)+8)</x:f>
      </x:c>
    </x:row>
    <x:row r="97" ht="36" customHeight="1">
      <x:c r="A97" s="50" t="str">
        <x:f>IF(89&gt;$H$4,"",IF(INDEX('Fleet dates'!$A$9:$A$1008,$I97-8)="","",INDEX('Fleet dates'!$A$9:$A$1008,$I97-8)))</x:f>
      </x:c>
      <x:c r="B97" s="50" t="str">
        <x:f>IF(89&gt;$H$4,"",IF(INDEX('Fleet dates'!$B$9:$B$1008,$I97-8)="","",INDEX('Fleet dates'!$B$9:$B$1008,$I97-8)))</x:f>
      </x:c>
      <x:c r="C97" s="51" t="str">
        <x:f>IF(89&gt;$H$4,"",IF(INDEX('Fleet dates'!$C$9:$C$1008,$I97-8)="","",INDEX('Fleet dates'!$C$9:$C$1008,$I97-8)))</x:f>
      </x:c>
      <x:c r="D97" s="51" t="str">
        <x:f>IF(89&gt;$H$4,"",IF(INDEX('Fleet dates'!$D$9:$D$1008,$I97-8)="","",INDEX('Fleet dates'!$D$9:$D$1008,$I97-8)))</x:f>
      </x:c>
      <x:c r="E97" s="51" t="str">
        <x:f>IF(89&gt;$H$4,"",IF(INDEX('Fleet dates'!$E$9:$E$1008,$I97-8)="","",INDEX('Fleet dates'!$E$9:$E$1008,$I97-8)))</x:f>
      </x:c>
      <x:c r="F97" s="51" t="str">
        <x:f>IF(89&gt;$H$4,"",IF(INDEX('Fleet dates'!$F$9:$F$1008,$I97-8)="","",INDEX('Fleet dates'!$F$9:$F$1008,$I97-8)))</x:f>
      </x:c>
      <x:c r="G97" s="50" t="str">
        <x:f>IF(89&gt;$H$4,"",IF(INDEX('Fleet dates'!$G$9:$G$1008,$I97-8)="","",INDEX('Fleet dates'!$G$9:$G$1008,$I97-8)))</x:f>
      </x:c>
      <x:c r="H97" s="50" t="str">
        <x:f>IF(89&gt;$H$4,"",IF(INDEX('Fleet dates'!$I$9:$I$1008,$I97-8)="","",INDEX('Fleet dates'!$I$9:$I$1008,$I97-8)))</x:f>
      </x:c>
      <x:c r="I97" t="str">
        <x:f>IF(89&gt;$H$4,"",MATCH(89,'Fleet dates'!$N$9:$N$1008,0)+8)</x:f>
      </x:c>
    </x:row>
    <x:row r="98" ht="36" customHeight="1">
      <x:c r="A98" s="50" t="str">
        <x:f>IF(90&gt;$H$4,"",IF(INDEX('Fleet dates'!$A$9:$A$1008,$I98-8)="","",INDEX('Fleet dates'!$A$9:$A$1008,$I98-8)))</x:f>
      </x:c>
      <x:c r="B98" s="50" t="str">
        <x:f>IF(90&gt;$H$4,"",IF(INDEX('Fleet dates'!$B$9:$B$1008,$I98-8)="","",INDEX('Fleet dates'!$B$9:$B$1008,$I98-8)))</x:f>
      </x:c>
      <x:c r="C98" s="51" t="str">
        <x:f>IF(90&gt;$H$4,"",IF(INDEX('Fleet dates'!$C$9:$C$1008,$I98-8)="","",INDEX('Fleet dates'!$C$9:$C$1008,$I98-8)))</x:f>
      </x:c>
      <x:c r="D98" s="51" t="str">
        <x:f>IF(90&gt;$H$4,"",IF(INDEX('Fleet dates'!$D$9:$D$1008,$I98-8)="","",INDEX('Fleet dates'!$D$9:$D$1008,$I98-8)))</x:f>
      </x:c>
      <x:c r="E98" s="51" t="str">
        <x:f>IF(90&gt;$H$4,"",IF(INDEX('Fleet dates'!$E$9:$E$1008,$I98-8)="","",INDEX('Fleet dates'!$E$9:$E$1008,$I98-8)))</x:f>
      </x:c>
      <x:c r="F98" s="51" t="str">
        <x:f>IF(90&gt;$H$4,"",IF(INDEX('Fleet dates'!$F$9:$F$1008,$I98-8)="","",INDEX('Fleet dates'!$F$9:$F$1008,$I98-8)))</x:f>
      </x:c>
      <x:c r="G98" s="50" t="str">
        <x:f>IF(90&gt;$H$4,"",IF(INDEX('Fleet dates'!$G$9:$G$1008,$I98-8)="","",INDEX('Fleet dates'!$G$9:$G$1008,$I98-8)))</x:f>
      </x:c>
      <x:c r="H98" s="50" t="str">
        <x:f>IF(90&gt;$H$4,"",IF(INDEX('Fleet dates'!$I$9:$I$1008,$I98-8)="","",INDEX('Fleet dates'!$I$9:$I$1008,$I98-8)))</x:f>
      </x:c>
      <x:c r="I98" t="str">
        <x:f>IF(90&gt;$H$4,"",MATCH(90,'Fleet dates'!$N$9:$N$1008,0)+8)</x:f>
      </x:c>
    </x:row>
    <x:row r="99" ht="36" customHeight="1">
      <x:c r="A99" s="50" t="str">
        <x:f>IF(91&gt;$H$4,"",IF(INDEX('Fleet dates'!$A$9:$A$1008,$I99-8)="","",INDEX('Fleet dates'!$A$9:$A$1008,$I99-8)))</x:f>
      </x:c>
      <x:c r="B99" s="50" t="str">
        <x:f>IF(91&gt;$H$4,"",IF(INDEX('Fleet dates'!$B$9:$B$1008,$I99-8)="","",INDEX('Fleet dates'!$B$9:$B$1008,$I99-8)))</x:f>
      </x:c>
      <x:c r="C99" s="51" t="str">
        <x:f>IF(91&gt;$H$4,"",IF(INDEX('Fleet dates'!$C$9:$C$1008,$I99-8)="","",INDEX('Fleet dates'!$C$9:$C$1008,$I99-8)))</x:f>
      </x:c>
      <x:c r="D99" s="51" t="str">
        <x:f>IF(91&gt;$H$4,"",IF(INDEX('Fleet dates'!$D$9:$D$1008,$I99-8)="","",INDEX('Fleet dates'!$D$9:$D$1008,$I99-8)))</x:f>
      </x:c>
      <x:c r="E99" s="51" t="str">
        <x:f>IF(91&gt;$H$4,"",IF(INDEX('Fleet dates'!$E$9:$E$1008,$I99-8)="","",INDEX('Fleet dates'!$E$9:$E$1008,$I99-8)))</x:f>
      </x:c>
      <x:c r="F99" s="51" t="str">
        <x:f>IF(91&gt;$H$4,"",IF(INDEX('Fleet dates'!$F$9:$F$1008,$I99-8)="","",INDEX('Fleet dates'!$F$9:$F$1008,$I99-8)))</x:f>
      </x:c>
      <x:c r="G99" s="50" t="str">
        <x:f>IF(91&gt;$H$4,"",IF(INDEX('Fleet dates'!$G$9:$G$1008,$I99-8)="","",INDEX('Fleet dates'!$G$9:$G$1008,$I99-8)))</x:f>
      </x:c>
      <x:c r="H99" s="50" t="str">
        <x:f>IF(91&gt;$H$4,"",IF(INDEX('Fleet dates'!$I$9:$I$1008,$I99-8)="","",INDEX('Fleet dates'!$I$9:$I$1008,$I99-8)))</x:f>
      </x:c>
      <x:c r="I99" t="str">
        <x:f>IF(91&gt;$H$4,"",MATCH(91,'Fleet dates'!$N$9:$N$1008,0)+8)</x:f>
      </x:c>
    </x:row>
    <x:row r="100" ht="36" customHeight="1">
      <x:c r="A100" s="50" t="str">
        <x:f>IF(92&gt;$H$4,"",IF(INDEX('Fleet dates'!$A$9:$A$1008,$I100-8)="","",INDEX('Fleet dates'!$A$9:$A$1008,$I100-8)))</x:f>
      </x:c>
      <x:c r="B100" s="50" t="str">
        <x:f>IF(92&gt;$H$4,"",IF(INDEX('Fleet dates'!$B$9:$B$1008,$I100-8)="","",INDEX('Fleet dates'!$B$9:$B$1008,$I100-8)))</x:f>
      </x:c>
      <x:c r="C100" s="51" t="str">
        <x:f>IF(92&gt;$H$4,"",IF(INDEX('Fleet dates'!$C$9:$C$1008,$I100-8)="","",INDEX('Fleet dates'!$C$9:$C$1008,$I100-8)))</x:f>
      </x:c>
      <x:c r="D100" s="51" t="str">
        <x:f>IF(92&gt;$H$4,"",IF(INDEX('Fleet dates'!$D$9:$D$1008,$I100-8)="","",INDEX('Fleet dates'!$D$9:$D$1008,$I100-8)))</x:f>
      </x:c>
      <x:c r="E100" s="51" t="str">
        <x:f>IF(92&gt;$H$4,"",IF(INDEX('Fleet dates'!$E$9:$E$1008,$I100-8)="","",INDEX('Fleet dates'!$E$9:$E$1008,$I100-8)))</x:f>
      </x:c>
      <x:c r="F100" s="51" t="str">
        <x:f>IF(92&gt;$H$4,"",IF(INDEX('Fleet dates'!$F$9:$F$1008,$I100-8)="","",INDEX('Fleet dates'!$F$9:$F$1008,$I100-8)))</x:f>
      </x:c>
      <x:c r="G100" s="50" t="str">
        <x:f>IF(92&gt;$H$4,"",IF(INDEX('Fleet dates'!$G$9:$G$1008,$I100-8)="","",INDEX('Fleet dates'!$G$9:$G$1008,$I100-8)))</x:f>
      </x:c>
      <x:c r="H100" s="50" t="str">
        <x:f>IF(92&gt;$H$4,"",IF(INDEX('Fleet dates'!$I$9:$I$1008,$I100-8)="","",INDEX('Fleet dates'!$I$9:$I$1008,$I100-8)))</x:f>
      </x:c>
      <x:c r="I100" t="str">
        <x:f>IF(92&gt;$H$4,"",MATCH(92,'Fleet dates'!$N$9:$N$1008,0)+8)</x:f>
      </x:c>
    </x:row>
    <x:row r="101" ht="36" customHeight="1">
      <x:c r="A101" s="50" t="str">
        <x:f>IF(93&gt;$H$4,"",IF(INDEX('Fleet dates'!$A$9:$A$1008,$I101-8)="","",INDEX('Fleet dates'!$A$9:$A$1008,$I101-8)))</x:f>
      </x:c>
      <x:c r="B101" s="50" t="str">
        <x:f>IF(93&gt;$H$4,"",IF(INDEX('Fleet dates'!$B$9:$B$1008,$I101-8)="","",INDEX('Fleet dates'!$B$9:$B$1008,$I101-8)))</x:f>
      </x:c>
      <x:c r="C101" s="51" t="str">
        <x:f>IF(93&gt;$H$4,"",IF(INDEX('Fleet dates'!$C$9:$C$1008,$I101-8)="","",INDEX('Fleet dates'!$C$9:$C$1008,$I101-8)))</x:f>
      </x:c>
      <x:c r="D101" s="51" t="str">
        <x:f>IF(93&gt;$H$4,"",IF(INDEX('Fleet dates'!$D$9:$D$1008,$I101-8)="","",INDEX('Fleet dates'!$D$9:$D$1008,$I101-8)))</x:f>
      </x:c>
      <x:c r="E101" s="51" t="str">
        <x:f>IF(93&gt;$H$4,"",IF(INDEX('Fleet dates'!$E$9:$E$1008,$I101-8)="","",INDEX('Fleet dates'!$E$9:$E$1008,$I101-8)))</x:f>
      </x:c>
      <x:c r="F101" s="51" t="str">
        <x:f>IF(93&gt;$H$4,"",IF(INDEX('Fleet dates'!$F$9:$F$1008,$I101-8)="","",INDEX('Fleet dates'!$F$9:$F$1008,$I101-8)))</x:f>
      </x:c>
      <x:c r="G101" s="50" t="str">
        <x:f>IF(93&gt;$H$4,"",IF(INDEX('Fleet dates'!$G$9:$G$1008,$I101-8)="","",INDEX('Fleet dates'!$G$9:$G$1008,$I101-8)))</x:f>
      </x:c>
      <x:c r="H101" s="50" t="str">
        <x:f>IF(93&gt;$H$4,"",IF(INDEX('Fleet dates'!$I$9:$I$1008,$I101-8)="","",INDEX('Fleet dates'!$I$9:$I$1008,$I101-8)))</x:f>
      </x:c>
      <x:c r="I101" t="str">
        <x:f>IF(93&gt;$H$4,"",MATCH(93,'Fleet dates'!$N$9:$N$1008,0)+8)</x:f>
      </x:c>
    </x:row>
    <x:row r="102" ht="36" customHeight="1">
      <x:c r="A102" s="50" t="str">
        <x:f>IF(94&gt;$H$4,"",IF(INDEX('Fleet dates'!$A$9:$A$1008,$I102-8)="","",INDEX('Fleet dates'!$A$9:$A$1008,$I102-8)))</x:f>
      </x:c>
      <x:c r="B102" s="50" t="str">
        <x:f>IF(94&gt;$H$4,"",IF(INDEX('Fleet dates'!$B$9:$B$1008,$I102-8)="","",INDEX('Fleet dates'!$B$9:$B$1008,$I102-8)))</x:f>
      </x:c>
      <x:c r="C102" s="51" t="str">
        <x:f>IF(94&gt;$H$4,"",IF(INDEX('Fleet dates'!$C$9:$C$1008,$I102-8)="","",INDEX('Fleet dates'!$C$9:$C$1008,$I102-8)))</x:f>
      </x:c>
      <x:c r="D102" s="51" t="str">
        <x:f>IF(94&gt;$H$4,"",IF(INDEX('Fleet dates'!$D$9:$D$1008,$I102-8)="","",INDEX('Fleet dates'!$D$9:$D$1008,$I102-8)))</x:f>
      </x:c>
      <x:c r="E102" s="51" t="str">
        <x:f>IF(94&gt;$H$4,"",IF(INDEX('Fleet dates'!$E$9:$E$1008,$I102-8)="","",INDEX('Fleet dates'!$E$9:$E$1008,$I102-8)))</x:f>
      </x:c>
      <x:c r="F102" s="51" t="str">
        <x:f>IF(94&gt;$H$4,"",IF(INDEX('Fleet dates'!$F$9:$F$1008,$I102-8)="","",INDEX('Fleet dates'!$F$9:$F$1008,$I102-8)))</x:f>
      </x:c>
      <x:c r="G102" s="50" t="str">
        <x:f>IF(94&gt;$H$4,"",IF(INDEX('Fleet dates'!$G$9:$G$1008,$I102-8)="","",INDEX('Fleet dates'!$G$9:$G$1008,$I102-8)))</x:f>
      </x:c>
      <x:c r="H102" s="50" t="str">
        <x:f>IF(94&gt;$H$4,"",IF(INDEX('Fleet dates'!$I$9:$I$1008,$I102-8)="","",INDEX('Fleet dates'!$I$9:$I$1008,$I102-8)))</x:f>
      </x:c>
      <x:c r="I102" t="str">
        <x:f>IF(94&gt;$H$4,"",MATCH(94,'Fleet dates'!$N$9:$N$1008,0)+8)</x:f>
      </x:c>
    </x:row>
    <x:row r="103" ht="36" customHeight="1">
      <x:c r="A103" s="50" t="str">
        <x:f>IF(95&gt;$H$4,"",IF(INDEX('Fleet dates'!$A$9:$A$1008,$I103-8)="","",INDEX('Fleet dates'!$A$9:$A$1008,$I103-8)))</x:f>
      </x:c>
      <x:c r="B103" s="50" t="str">
        <x:f>IF(95&gt;$H$4,"",IF(INDEX('Fleet dates'!$B$9:$B$1008,$I103-8)="","",INDEX('Fleet dates'!$B$9:$B$1008,$I103-8)))</x:f>
      </x:c>
      <x:c r="C103" s="51" t="str">
        <x:f>IF(95&gt;$H$4,"",IF(INDEX('Fleet dates'!$C$9:$C$1008,$I103-8)="","",INDEX('Fleet dates'!$C$9:$C$1008,$I103-8)))</x:f>
      </x:c>
      <x:c r="D103" s="51" t="str">
        <x:f>IF(95&gt;$H$4,"",IF(INDEX('Fleet dates'!$D$9:$D$1008,$I103-8)="","",INDEX('Fleet dates'!$D$9:$D$1008,$I103-8)))</x:f>
      </x:c>
      <x:c r="E103" s="51" t="str">
        <x:f>IF(95&gt;$H$4,"",IF(INDEX('Fleet dates'!$E$9:$E$1008,$I103-8)="","",INDEX('Fleet dates'!$E$9:$E$1008,$I103-8)))</x:f>
      </x:c>
      <x:c r="F103" s="51" t="str">
        <x:f>IF(95&gt;$H$4,"",IF(INDEX('Fleet dates'!$F$9:$F$1008,$I103-8)="","",INDEX('Fleet dates'!$F$9:$F$1008,$I103-8)))</x:f>
      </x:c>
      <x:c r="G103" s="50" t="str">
        <x:f>IF(95&gt;$H$4,"",IF(INDEX('Fleet dates'!$G$9:$G$1008,$I103-8)="","",INDEX('Fleet dates'!$G$9:$G$1008,$I103-8)))</x:f>
      </x:c>
      <x:c r="H103" s="50" t="str">
        <x:f>IF(95&gt;$H$4,"",IF(INDEX('Fleet dates'!$I$9:$I$1008,$I103-8)="","",INDEX('Fleet dates'!$I$9:$I$1008,$I103-8)))</x:f>
      </x:c>
      <x:c r="I103" t="str">
        <x:f>IF(95&gt;$H$4,"",MATCH(95,'Fleet dates'!$N$9:$N$1008,0)+8)</x:f>
      </x:c>
    </x:row>
    <x:row r="104" ht="36" customHeight="1">
      <x:c r="A104" s="50" t="str">
        <x:f>IF(96&gt;$H$4,"",IF(INDEX('Fleet dates'!$A$9:$A$1008,$I104-8)="","",INDEX('Fleet dates'!$A$9:$A$1008,$I104-8)))</x:f>
      </x:c>
      <x:c r="B104" s="50" t="str">
        <x:f>IF(96&gt;$H$4,"",IF(INDEX('Fleet dates'!$B$9:$B$1008,$I104-8)="","",INDEX('Fleet dates'!$B$9:$B$1008,$I104-8)))</x:f>
      </x:c>
      <x:c r="C104" s="51" t="str">
        <x:f>IF(96&gt;$H$4,"",IF(INDEX('Fleet dates'!$C$9:$C$1008,$I104-8)="","",INDEX('Fleet dates'!$C$9:$C$1008,$I104-8)))</x:f>
      </x:c>
      <x:c r="D104" s="51" t="str">
        <x:f>IF(96&gt;$H$4,"",IF(INDEX('Fleet dates'!$D$9:$D$1008,$I104-8)="","",INDEX('Fleet dates'!$D$9:$D$1008,$I104-8)))</x:f>
      </x:c>
      <x:c r="E104" s="51" t="str">
        <x:f>IF(96&gt;$H$4,"",IF(INDEX('Fleet dates'!$E$9:$E$1008,$I104-8)="","",INDEX('Fleet dates'!$E$9:$E$1008,$I104-8)))</x:f>
      </x:c>
      <x:c r="F104" s="51" t="str">
        <x:f>IF(96&gt;$H$4,"",IF(INDEX('Fleet dates'!$F$9:$F$1008,$I104-8)="","",INDEX('Fleet dates'!$F$9:$F$1008,$I104-8)))</x:f>
      </x:c>
      <x:c r="G104" s="50" t="str">
        <x:f>IF(96&gt;$H$4,"",IF(INDEX('Fleet dates'!$G$9:$G$1008,$I104-8)="","",INDEX('Fleet dates'!$G$9:$G$1008,$I104-8)))</x:f>
      </x:c>
      <x:c r="H104" s="50" t="str">
        <x:f>IF(96&gt;$H$4,"",IF(INDEX('Fleet dates'!$I$9:$I$1008,$I104-8)="","",INDEX('Fleet dates'!$I$9:$I$1008,$I104-8)))</x:f>
      </x:c>
      <x:c r="I104" t="str">
        <x:f>IF(96&gt;$H$4,"",MATCH(96,'Fleet dates'!$N$9:$N$1008,0)+8)</x:f>
      </x:c>
    </x:row>
    <x:row r="105" ht="36" customHeight="1">
      <x:c r="A105" s="50" t="str">
        <x:f>IF(97&gt;$H$4,"",IF(INDEX('Fleet dates'!$A$9:$A$1008,$I105-8)="","",INDEX('Fleet dates'!$A$9:$A$1008,$I105-8)))</x:f>
      </x:c>
      <x:c r="B105" s="50" t="str">
        <x:f>IF(97&gt;$H$4,"",IF(INDEX('Fleet dates'!$B$9:$B$1008,$I105-8)="","",INDEX('Fleet dates'!$B$9:$B$1008,$I105-8)))</x:f>
      </x:c>
      <x:c r="C105" s="51" t="str">
        <x:f>IF(97&gt;$H$4,"",IF(INDEX('Fleet dates'!$C$9:$C$1008,$I105-8)="","",INDEX('Fleet dates'!$C$9:$C$1008,$I105-8)))</x:f>
      </x:c>
      <x:c r="D105" s="51" t="str">
        <x:f>IF(97&gt;$H$4,"",IF(INDEX('Fleet dates'!$D$9:$D$1008,$I105-8)="","",INDEX('Fleet dates'!$D$9:$D$1008,$I105-8)))</x:f>
      </x:c>
      <x:c r="E105" s="51" t="str">
        <x:f>IF(97&gt;$H$4,"",IF(INDEX('Fleet dates'!$E$9:$E$1008,$I105-8)="","",INDEX('Fleet dates'!$E$9:$E$1008,$I105-8)))</x:f>
      </x:c>
      <x:c r="F105" s="51" t="str">
        <x:f>IF(97&gt;$H$4,"",IF(INDEX('Fleet dates'!$F$9:$F$1008,$I105-8)="","",INDEX('Fleet dates'!$F$9:$F$1008,$I105-8)))</x:f>
      </x:c>
      <x:c r="G105" s="50" t="str">
        <x:f>IF(97&gt;$H$4,"",IF(INDEX('Fleet dates'!$G$9:$G$1008,$I105-8)="","",INDEX('Fleet dates'!$G$9:$G$1008,$I105-8)))</x:f>
      </x:c>
      <x:c r="H105" s="50" t="str">
        <x:f>IF(97&gt;$H$4,"",IF(INDEX('Fleet dates'!$I$9:$I$1008,$I105-8)="","",INDEX('Fleet dates'!$I$9:$I$1008,$I105-8)))</x:f>
      </x:c>
      <x:c r="I105" t="str">
        <x:f>IF(97&gt;$H$4,"",MATCH(97,'Fleet dates'!$N$9:$N$1008,0)+8)</x:f>
      </x:c>
    </x:row>
    <x:row r="106" ht="36" customHeight="1">
      <x:c r="A106" s="50" t="str">
        <x:f>IF(98&gt;$H$4,"",IF(INDEX('Fleet dates'!$A$9:$A$1008,$I106-8)="","",INDEX('Fleet dates'!$A$9:$A$1008,$I106-8)))</x:f>
      </x:c>
      <x:c r="B106" s="50" t="str">
        <x:f>IF(98&gt;$H$4,"",IF(INDEX('Fleet dates'!$B$9:$B$1008,$I106-8)="","",INDEX('Fleet dates'!$B$9:$B$1008,$I106-8)))</x:f>
      </x:c>
      <x:c r="C106" s="51" t="str">
        <x:f>IF(98&gt;$H$4,"",IF(INDEX('Fleet dates'!$C$9:$C$1008,$I106-8)="","",INDEX('Fleet dates'!$C$9:$C$1008,$I106-8)))</x:f>
      </x:c>
      <x:c r="D106" s="51" t="str">
        <x:f>IF(98&gt;$H$4,"",IF(INDEX('Fleet dates'!$D$9:$D$1008,$I106-8)="","",INDEX('Fleet dates'!$D$9:$D$1008,$I106-8)))</x:f>
      </x:c>
      <x:c r="E106" s="51" t="str">
        <x:f>IF(98&gt;$H$4,"",IF(INDEX('Fleet dates'!$E$9:$E$1008,$I106-8)="","",INDEX('Fleet dates'!$E$9:$E$1008,$I106-8)))</x:f>
      </x:c>
      <x:c r="F106" s="51" t="str">
        <x:f>IF(98&gt;$H$4,"",IF(INDEX('Fleet dates'!$F$9:$F$1008,$I106-8)="","",INDEX('Fleet dates'!$F$9:$F$1008,$I106-8)))</x:f>
      </x:c>
      <x:c r="G106" s="50" t="str">
        <x:f>IF(98&gt;$H$4,"",IF(INDEX('Fleet dates'!$G$9:$G$1008,$I106-8)="","",INDEX('Fleet dates'!$G$9:$G$1008,$I106-8)))</x:f>
      </x:c>
      <x:c r="H106" s="50" t="str">
        <x:f>IF(98&gt;$H$4,"",IF(INDEX('Fleet dates'!$I$9:$I$1008,$I106-8)="","",INDEX('Fleet dates'!$I$9:$I$1008,$I106-8)))</x:f>
      </x:c>
      <x:c r="I106" t="str">
        <x:f>IF(98&gt;$H$4,"",MATCH(98,'Fleet dates'!$N$9:$N$1008,0)+8)</x:f>
      </x:c>
    </x:row>
    <x:row r="107" ht="36" customHeight="1">
      <x:c r="A107" s="50" t="str">
        <x:f>IF(99&gt;$H$4,"",IF(INDEX('Fleet dates'!$A$9:$A$1008,$I107-8)="","",INDEX('Fleet dates'!$A$9:$A$1008,$I107-8)))</x:f>
      </x:c>
      <x:c r="B107" s="50" t="str">
        <x:f>IF(99&gt;$H$4,"",IF(INDEX('Fleet dates'!$B$9:$B$1008,$I107-8)="","",INDEX('Fleet dates'!$B$9:$B$1008,$I107-8)))</x:f>
      </x:c>
      <x:c r="C107" s="51" t="str">
        <x:f>IF(99&gt;$H$4,"",IF(INDEX('Fleet dates'!$C$9:$C$1008,$I107-8)="","",INDEX('Fleet dates'!$C$9:$C$1008,$I107-8)))</x:f>
      </x:c>
      <x:c r="D107" s="51" t="str">
        <x:f>IF(99&gt;$H$4,"",IF(INDEX('Fleet dates'!$D$9:$D$1008,$I107-8)="","",INDEX('Fleet dates'!$D$9:$D$1008,$I107-8)))</x:f>
      </x:c>
      <x:c r="E107" s="51" t="str">
        <x:f>IF(99&gt;$H$4,"",IF(INDEX('Fleet dates'!$E$9:$E$1008,$I107-8)="","",INDEX('Fleet dates'!$E$9:$E$1008,$I107-8)))</x:f>
      </x:c>
      <x:c r="F107" s="51" t="str">
        <x:f>IF(99&gt;$H$4,"",IF(INDEX('Fleet dates'!$F$9:$F$1008,$I107-8)="","",INDEX('Fleet dates'!$F$9:$F$1008,$I107-8)))</x:f>
      </x:c>
      <x:c r="G107" s="50" t="str">
        <x:f>IF(99&gt;$H$4,"",IF(INDEX('Fleet dates'!$G$9:$G$1008,$I107-8)="","",INDEX('Fleet dates'!$G$9:$G$1008,$I107-8)))</x:f>
      </x:c>
      <x:c r="H107" s="50" t="str">
        <x:f>IF(99&gt;$H$4,"",IF(INDEX('Fleet dates'!$I$9:$I$1008,$I107-8)="","",INDEX('Fleet dates'!$I$9:$I$1008,$I107-8)))</x:f>
      </x:c>
      <x:c r="I107" t="str">
        <x:f>IF(99&gt;$H$4,"",MATCH(99,'Fleet dates'!$N$9:$N$1008,0)+8)</x:f>
      </x:c>
    </x:row>
    <x:row r="108" ht="36" customHeight="1">
      <x:c r="A108" s="50" t="str">
        <x:f>IF(100&gt;$H$4,"",IF(INDEX('Fleet dates'!$A$9:$A$1008,$I108-8)="","",INDEX('Fleet dates'!$A$9:$A$1008,$I108-8)))</x:f>
      </x:c>
      <x:c r="B108" s="50" t="str">
        <x:f>IF(100&gt;$H$4,"",IF(INDEX('Fleet dates'!$B$9:$B$1008,$I108-8)="","",INDEX('Fleet dates'!$B$9:$B$1008,$I108-8)))</x:f>
      </x:c>
      <x:c r="C108" s="51" t="str">
        <x:f>IF(100&gt;$H$4,"",IF(INDEX('Fleet dates'!$C$9:$C$1008,$I108-8)="","",INDEX('Fleet dates'!$C$9:$C$1008,$I108-8)))</x:f>
      </x:c>
      <x:c r="D108" s="51" t="str">
        <x:f>IF(100&gt;$H$4,"",IF(INDEX('Fleet dates'!$D$9:$D$1008,$I108-8)="","",INDEX('Fleet dates'!$D$9:$D$1008,$I108-8)))</x:f>
      </x:c>
      <x:c r="E108" s="51" t="str">
        <x:f>IF(100&gt;$H$4,"",IF(INDEX('Fleet dates'!$E$9:$E$1008,$I108-8)="","",INDEX('Fleet dates'!$E$9:$E$1008,$I108-8)))</x:f>
      </x:c>
      <x:c r="F108" s="51" t="str">
        <x:f>IF(100&gt;$H$4,"",IF(INDEX('Fleet dates'!$F$9:$F$1008,$I108-8)="","",INDEX('Fleet dates'!$F$9:$F$1008,$I108-8)))</x:f>
      </x:c>
      <x:c r="G108" s="50" t="str">
        <x:f>IF(100&gt;$H$4,"",IF(INDEX('Fleet dates'!$G$9:$G$1008,$I108-8)="","",INDEX('Fleet dates'!$G$9:$G$1008,$I108-8)))</x:f>
      </x:c>
      <x:c r="H108" s="50" t="str">
        <x:f>IF(100&gt;$H$4,"",IF(INDEX('Fleet dates'!$I$9:$I$1008,$I108-8)="","",INDEX('Fleet dates'!$I$9:$I$1008,$I108-8)))</x:f>
      </x:c>
      <x:c r="I108" t="str">
        <x:f>IF(100&gt;$H$4,"",MATCH(100,'Fleet dates'!$N$9:$N$1008,0)+8)</x:f>
      </x:c>
    </x:row>
    <x:row r="109" ht="36" customHeight="1">
      <x:c r="A109" s="50" t="str">
        <x:f>IF(101&gt;$H$4,"",IF(INDEX('Fleet dates'!$A$9:$A$1008,$I109-8)="","",INDEX('Fleet dates'!$A$9:$A$1008,$I109-8)))</x:f>
      </x:c>
      <x:c r="B109" s="50" t="str">
        <x:f>IF(101&gt;$H$4,"",IF(INDEX('Fleet dates'!$B$9:$B$1008,$I109-8)="","",INDEX('Fleet dates'!$B$9:$B$1008,$I109-8)))</x:f>
      </x:c>
      <x:c r="C109" s="51" t="str">
        <x:f>IF(101&gt;$H$4,"",IF(INDEX('Fleet dates'!$C$9:$C$1008,$I109-8)="","",INDEX('Fleet dates'!$C$9:$C$1008,$I109-8)))</x:f>
      </x:c>
      <x:c r="D109" s="51" t="str">
        <x:f>IF(101&gt;$H$4,"",IF(INDEX('Fleet dates'!$D$9:$D$1008,$I109-8)="","",INDEX('Fleet dates'!$D$9:$D$1008,$I109-8)))</x:f>
      </x:c>
      <x:c r="E109" s="51" t="str">
        <x:f>IF(101&gt;$H$4,"",IF(INDEX('Fleet dates'!$E$9:$E$1008,$I109-8)="","",INDEX('Fleet dates'!$E$9:$E$1008,$I109-8)))</x:f>
      </x:c>
      <x:c r="F109" s="51" t="str">
        <x:f>IF(101&gt;$H$4,"",IF(INDEX('Fleet dates'!$F$9:$F$1008,$I109-8)="","",INDEX('Fleet dates'!$F$9:$F$1008,$I109-8)))</x:f>
      </x:c>
      <x:c r="G109" s="50" t="str">
        <x:f>IF(101&gt;$H$4,"",IF(INDEX('Fleet dates'!$G$9:$G$1008,$I109-8)="","",INDEX('Fleet dates'!$G$9:$G$1008,$I109-8)))</x:f>
      </x:c>
      <x:c r="H109" s="50" t="str">
        <x:f>IF(101&gt;$H$4,"",IF(INDEX('Fleet dates'!$I$9:$I$1008,$I109-8)="","",INDEX('Fleet dates'!$I$9:$I$1008,$I109-8)))</x:f>
      </x:c>
      <x:c r="I109" t="str">
        <x:f>IF(101&gt;$H$4,"",MATCH(101,'Fleet dates'!$N$9:$N$1008,0)+8)</x:f>
      </x:c>
    </x:row>
    <x:row r="110" ht="36" customHeight="1">
      <x:c r="A110" s="50" t="str">
        <x:f>IF(102&gt;$H$4,"",IF(INDEX('Fleet dates'!$A$9:$A$1008,$I110-8)="","",INDEX('Fleet dates'!$A$9:$A$1008,$I110-8)))</x:f>
      </x:c>
      <x:c r="B110" s="50" t="str">
        <x:f>IF(102&gt;$H$4,"",IF(INDEX('Fleet dates'!$B$9:$B$1008,$I110-8)="","",INDEX('Fleet dates'!$B$9:$B$1008,$I110-8)))</x:f>
      </x:c>
      <x:c r="C110" s="51" t="str">
        <x:f>IF(102&gt;$H$4,"",IF(INDEX('Fleet dates'!$C$9:$C$1008,$I110-8)="","",INDEX('Fleet dates'!$C$9:$C$1008,$I110-8)))</x:f>
      </x:c>
      <x:c r="D110" s="51" t="str">
        <x:f>IF(102&gt;$H$4,"",IF(INDEX('Fleet dates'!$D$9:$D$1008,$I110-8)="","",INDEX('Fleet dates'!$D$9:$D$1008,$I110-8)))</x:f>
      </x:c>
      <x:c r="E110" s="51" t="str">
        <x:f>IF(102&gt;$H$4,"",IF(INDEX('Fleet dates'!$E$9:$E$1008,$I110-8)="","",INDEX('Fleet dates'!$E$9:$E$1008,$I110-8)))</x:f>
      </x:c>
      <x:c r="F110" s="51" t="str">
        <x:f>IF(102&gt;$H$4,"",IF(INDEX('Fleet dates'!$F$9:$F$1008,$I110-8)="","",INDEX('Fleet dates'!$F$9:$F$1008,$I110-8)))</x:f>
      </x:c>
      <x:c r="G110" s="50" t="str">
        <x:f>IF(102&gt;$H$4,"",IF(INDEX('Fleet dates'!$G$9:$G$1008,$I110-8)="","",INDEX('Fleet dates'!$G$9:$G$1008,$I110-8)))</x:f>
      </x:c>
      <x:c r="H110" s="50" t="str">
        <x:f>IF(102&gt;$H$4,"",IF(INDEX('Fleet dates'!$I$9:$I$1008,$I110-8)="","",INDEX('Fleet dates'!$I$9:$I$1008,$I110-8)))</x:f>
      </x:c>
      <x:c r="I110" t="str">
        <x:f>IF(102&gt;$H$4,"",MATCH(102,'Fleet dates'!$N$9:$N$1008,0)+8)</x:f>
      </x:c>
    </x:row>
    <x:row r="111" ht="36" customHeight="1">
      <x:c r="A111" s="50" t="str">
        <x:f>IF(103&gt;$H$4,"",IF(INDEX('Fleet dates'!$A$9:$A$1008,$I111-8)="","",INDEX('Fleet dates'!$A$9:$A$1008,$I111-8)))</x:f>
      </x:c>
      <x:c r="B111" s="50" t="str">
        <x:f>IF(103&gt;$H$4,"",IF(INDEX('Fleet dates'!$B$9:$B$1008,$I111-8)="","",INDEX('Fleet dates'!$B$9:$B$1008,$I111-8)))</x:f>
      </x:c>
      <x:c r="C111" s="51" t="str">
        <x:f>IF(103&gt;$H$4,"",IF(INDEX('Fleet dates'!$C$9:$C$1008,$I111-8)="","",INDEX('Fleet dates'!$C$9:$C$1008,$I111-8)))</x:f>
      </x:c>
      <x:c r="D111" s="51" t="str">
        <x:f>IF(103&gt;$H$4,"",IF(INDEX('Fleet dates'!$D$9:$D$1008,$I111-8)="","",INDEX('Fleet dates'!$D$9:$D$1008,$I111-8)))</x:f>
      </x:c>
      <x:c r="E111" s="51" t="str">
        <x:f>IF(103&gt;$H$4,"",IF(INDEX('Fleet dates'!$E$9:$E$1008,$I111-8)="","",INDEX('Fleet dates'!$E$9:$E$1008,$I111-8)))</x:f>
      </x:c>
      <x:c r="F111" s="51" t="str">
        <x:f>IF(103&gt;$H$4,"",IF(INDEX('Fleet dates'!$F$9:$F$1008,$I111-8)="","",INDEX('Fleet dates'!$F$9:$F$1008,$I111-8)))</x:f>
      </x:c>
      <x:c r="G111" s="50" t="str">
        <x:f>IF(103&gt;$H$4,"",IF(INDEX('Fleet dates'!$G$9:$G$1008,$I111-8)="","",INDEX('Fleet dates'!$G$9:$G$1008,$I111-8)))</x:f>
      </x:c>
      <x:c r="H111" s="50" t="str">
        <x:f>IF(103&gt;$H$4,"",IF(INDEX('Fleet dates'!$I$9:$I$1008,$I111-8)="","",INDEX('Fleet dates'!$I$9:$I$1008,$I111-8)))</x:f>
      </x:c>
      <x:c r="I111" t="str">
        <x:f>IF(103&gt;$H$4,"",MATCH(103,'Fleet dates'!$N$9:$N$1008,0)+8)</x:f>
      </x:c>
    </x:row>
    <x:row r="112" ht="36" customHeight="1">
      <x:c r="A112" s="50" t="str">
        <x:f>IF(104&gt;$H$4,"",IF(INDEX('Fleet dates'!$A$9:$A$1008,$I112-8)="","",INDEX('Fleet dates'!$A$9:$A$1008,$I112-8)))</x:f>
      </x:c>
      <x:c r="B112" s="50" t="str">
        <x:f>IF(104&gt;$H$4,"",IF(INDEX('Fleet dates'!$B$9:$B$1008,$I112-8)="","",INDEX('Fleet dates'!$B$9:$B$1008,$I112-8)))</x:f>
      </x:c>
      <x:c r="C112" s="51" t="str">
        <x:f>IF(104&gt;$H$4,"",IF(INDEX('Fleet dates'!$C$9:$C$1008,$I112-8)="","",INDEX('Fleet dates'!$C$9:$C$1008,$I112-8)))</x:f>
      </x:c>
      <x:c r="D112" s="51" t="str">
        <x:f>IF(104&gt;$H$4,"",IF(INDEX('Fleet dates'!$D$9:$D$1008,$I112-8)="","",INDEX('Fleet dates'!$D$9:$D$1008,$I112-8)))</x:f>
      </x:c>
      <x:c r="E112" s="51" t="str">
        <x:f>IF(104&gt;$H$4,"",IF(INDEX('Fleet dates'!$E$9:$E$1008,$I112-8)="","",INDEX('Fleet dates'!$E$9:$E$1008,$I112-8)))</x:f>
      </x:c>
      <x:c r="F112" s="51" t="str">
        <x:f>IF(104&gt;$H$4,"",IF(INDEX('Fleet dates'!$F$9:$F$1008,$I112-8)="","",INDEX('Fleet dates'!$F$9:$F$1008,$I112-8)))</x:f>
      </x:c>
      <x:c r="G112" s="50" t="str">
        <x:f>IF(104&gt;$H$4,"",IF(INDEX('Fleet dates'!$G$9:$G$1008,$I112-8)="","",INDEX('Fleet dates'!$G$9:$G$1008,$I112-8)))</x:f>
      </x:c>
      <x:c r="H112" s="50" t="str">
        <x:f>IF(104&gt;$H$4,"",IF(INDEX('Fleet dates'!$I$9:$I$1008,$I112-8)="","",INDEX('Fleet dates'!$I$9:$I$1008,$I112-8)))</x:f>
      </x:c>
      <x:c r="I112" t="str">
        <x:f>IF(104&gt;$H$4,"",MATCH(104,'Fleet dates'!$N$9:$N$1008,0)+8)</x:f>
      </x:c>
    </x:row>
    <x:row r="113" ht="36" customHeight="1">
      <x:c r="A113" s="50" t="str">
        <x:f>IF(105&gt;$H$4,"",IF(INDEX('Fleet dates'!$A$9:$A$1008,$I113-8)="","",INDEX('Fleet dates'!$A$9:$A$1008,$I113-8)))</x:f>
      </x:c>
      <x:c r="B113" s="50" t="str">
        <x:f>IF(105&gt;$H$4,"",IF(INDEX('Fleet dates'!$B$9:$B$1008,$I113-8)="","",INDEX('Fleet dates'!$B$9:$B$1008,$I113-8)))</x:f>
      </x:c>
      <x:c r="C113" s="51" t="str">
        <x:f>IF(105&gt;$H$4,"",IF(INDEX('Fleet dates'!$C$9:$C$1008,$I113-8)="","",INDEX('Fleet dates'!$C$9:$C$1008,$I113-8)))</x:f>
      </x:c>
      <x:c r="D113" s="51" t="str">
        <x:f>IF(105&gt;$H$4,"",IF(INDEX('Fleet dates'!$D$9:$D$1008,$I113-8)="","",INDEX('Fleet dates'!$D$9:$D$1008,$I113-8)))</x:f>
      </x:c>
      <x:c r="E113" s="51" t="str">
        <x:f>IF(105&gt;$H$4,"",IF(INDEX('Fleet dates'!$E$9:$E$1008,$I113-8)="","",INDEX('Fleet dates'!$E$9:$E$1008,$I113-8)))</x:f>
      </x:c>
      <x:c r="F113" s="51" t="str">
        <x:f>IF(105&gt;$H$4,"",IF(INDEX('Fleet dates'!$F$9:$F$1008,$I113-8)="","",INDEX('Fleet dates'!$F$9:$F$1008,$I113-8)))</x:f>
      </x:c>
      <x:c r="G113" s="50" t="str">
        <x:f>IF(105&gt;$H$4,"",IF(INDEX('Fleet dates'!$G$9:$G$1008,$I113-8)="","",INDEX('Fleet dates'!$G$9:$G$1008,$I113-8)))</x:f>
      </x:c>
      <x:c r="H113" s="50" t="str">
        <x:f>IF(105&gt;$H$4,"",IF(INDEX('Fleet dates'!$I$9:$I$1008,$I113-8)="","",INDEX('Fleet dates'!$I$9:$I$1008,$I113-8)))</x:f>
      </x:c>
      <x:c r="I113" t="str">
        <x:f>IF(105&gt;$H$4,"",MATCH(105,'Fleet dates'!$N$9:$N$1008,0)+8)</x:f>
      </x:c>
    </x:row>
    <x:row r="114" ht="36" customHeight="1">
      <x:c r="A114" s="50" t="str">
        <x:f>IF(106&gt;$H$4,"",IF(INDEX('Fleet dates'!$A$9:$A$1008,$I114-8)="","",INDEX('Fleet dates'!$A$9:$A$1008,$I114-8)))</x:f>
      </x:c>
      <x:c r="B114" s="50" t="str">
        <x:f>IF(106&gt;$H$4,"",IF(INDEX('Fleet dates'!$B$9:$B$1008,$I114-8)="","",INDEX('Fleet dates'!$B$9:$B$1008,$I114-8)))</x:f>
      </x:c>
      <x:c r="C114" s="51" t="str">
        <x:f>IF(106&gt;$H$4,"",IF(INDEX('Fleet dates'!$C$9:$C$1008,$I114-8)="","",INDEX('Fleet dates'!$C$9:$C$1008,$I114-8)))</x:f>
      </x:c>
      <x:c r="D114" s="51" t="str">
        <x:f>IF(106&gt;$H$4,"",IF(INDEX('Fleet dates'!$D$9:$D$1008,$I114-8)="","",INDEX('Fleet dates'!$D$9:$D$1008,$I114-8)))</x:f>
      </x:c>
      <x:c r="E114" s="51" t="str">
        <x:f>IF(106&gt;$H$4,"",IF(INDEX('Fleet dates'!$E$9:$E$1008,$I114-8)="","",INDEX('Fleet dates'!$E$9:$E$1008,$I114-8)))</x:f>
      </x:c>
      <x:c r="F114" s="51" t="str">
        <x:f>IF(106&gt;$H$4,"",IF(INDEX('Fleet dates'!$F$9:$F$1008,$I114-8)="","",INDEX('Fleet dates'!$F$9:$F$1008,$I114-8)))</x:f>
      </x:c>
      <x:c r="G114" s="50" t="str">
        <x:f>IF(106&gt;$H$4,"",IF(INDEX('Fleet dates'!$G$9:$G$1008,$I114-8)="","",INDEX('Fleet dates'!$G$9:$G$1008,$I114-8)))</x:f>
      </x:c>
      <x:c r="H114" s="50" t="str">
        <x:f>IF(106&gt;$H$4,"",IF(INDEX('Fleet dates'!$I$9:$I$1008,$I114-8)="","",INDEX('Fleet dates'!$I$9:$I$1008,$I114-8)))</x:f>
      </x:c>
      <x:c r="I114" t="str">
        <x:f>IF(106&gt;$H$4,"",MATCH(106,'Fleet dates'!$N$9:$N$1008,0)+8)</x:f>
      </x:c>
    </x:row>
    <x:row r="115" ht="36" customHeight="1">
      <x:c r="A115" s="50" t="str">
        <x:f>IF(107&gt;$H$4,"",IF(INDEX('Fleet dates'!$A$9:$A$1008,$I115-8)="","",INDEX('Fleet dates'!$A$9:$A$1008,$I115-8)))</x:f>
      </x:c>
      <x:c r="B115" s="50" t="str">
        <x:f>IF(107&gt;$H$4,"",IF(INDEX('Fleet dates'!$B$9:$B$1008,$I115-8)="","",INDEX('Fleet dates'!$B$9:$B$1008,$I115-8)))</x:f>
      </x:c>
      <x:c r="C115" s="51" t="str">
        <x:f>IF(107&gt;$H$4,"",IF(INDEX('Fleet dates'!$C$9:$C$1008,$I115-8)="","",INDEX('Fleet dates'!$C$9:$C$1008,$I115-8)))</x:f>
      </x:c>
      <x:c r="D115" s="51" t="str">
        <x:f>IF(107&gt;$H$4,"",IF(INDEX('Fleet dates'!$D$9:$D$1008,$I115-8)="","",INDEX('Fleet dates'!$D$9:$D$1008,$I115-8)))</x:f>
      </x:c>
      <x:c r="E115" s="51" t="str">
        <x:f>IF(107&gt;$H$4,"",IF(INDEX('Fleet dates'!$E$9:$E$1008,$I115-8)="","",INDEX('Fleet dates'!$E$9:$E$1008,$I115-8)))</x:f>
      </x:c>
      <x:c r="F115" s="51" t="str">
        <x:f>IF(107&gt;$H$4,"",IF(INDEX('Fleet dates'!$F$9:$F$1008,$I115-8)="","",INDEX('Fleet dates'!$F$9:$F$1008,$I115-8)))</x:f>
      </x:c>
      <x:c r="G115" s="50" t="str">
        <x:f>IF(107&gt;$H$4,"",IF(INDEX('Fleet dates'!$G$9:$G$1008,$I115-8)="","",INDEX('Fleet dates'!$G$9:$G$1008,$I115-8)))</x:f>
      </x:c>
      <x:c r="H115" s="50" t="str">
        <x:f>IF(107&gt;$H$4,"",IF(INDEX('Fleet dates'!$I$9:$I$1008,$I115-8)="","",INDEX('Fleet dates'!$I$9:$I$1008,$I115-8)))</x:f>
      </x:c>
      <x:c r="I115" t="str">
        <x:f>IF(107&gt;$H$4,"",MATCH(107,'Fleet dates'!$N$9:$N$1008,0)+8)</x:f>
      </x:c>
    </x:row>
    <x:row r="116" ht="36" customHeight="1">
      <x:c r="A116" s="50" t="str">
        <x:f>IF(108&gt;$H$4,"",IF(INDEX('Fleet dates'!$A$9:$A$1008,$I116-8)="","",INDEX('Fleet dates'!$A$9:$A$1008,$I116-8)))</x:f>
      </x:c>
      <x:c r="B116" s="50" t="str">
        <x:f>IF(108&gt;$H$4,"",IF(INDEX('Fleet dates'!$B$9:$B$1008,$I116-8)="","",INDEX('Fleet dates'!$B$9:$B$1008,$I116-8)))</x:f>
      </x:c>
      <x:c r="C116" s="51" t="str">
        <x:f>IF(108&gt;$H$4,"",IF(INDEX('Fleet dates'!$C$9:$C$1008,$I116-8)="","",INDEX('Fleet dates'!$C$9:$C$1008,$I116-8)))</x:f>
      </x:c>
      <x:c r="D116" s="51" t="str">
        <x:f>IF(108&gt;$H$4,"",IF(INDEX('Fleet dates'!$D$9:$D$1008,$I116-8)="","",INDEX('Fleet dates'!$D$9:$D$1008,$I116-8)))</x:f>
      </x:c>
      <x:c r="E116" s="51" t="str">
        <x:f>IF(108&gt;$H$4,"",IF(INDEX('Fleet dates'!$E$9:$E$1008,$I116-8)="","",INDEX('Fleet dates'!$E$9:$E$1008,$I116-8)))</x:f>
      </x:c>
      <x:c r="F116" s="51" t="str">
        <x:f>IF(108&gt;$H$4,"",IF(INDEX('Fleet dates'!$F$9:$F$1008,$I116-8)="","",INDEX('Fleet dates'!$F$9:$F$1008,$I116-8)))</x:f>
      </x:c>
      <x:c r="G116" s="50" t="str">
        <x:f>IF(108&gt;$H$4,"",IF(INDEX('Fleet dates'!$G$9:$G$1008,$I116-8)="","",INDEX('Fleet dates'!$G$9:$G$1008,$I116-8)))</x:f>
      </x:c>
      <x:c r="H116" s="50" t="str">
        <x:f>IF(108&gt;$H$4,"",IF(INDEX('Fleet dates'!$I$9:$I$1008,$I116-8)="","",INDEX('Fleet dates'!$I$9:$I$1008,$I116-8)))</x:f>
      </x:c>
      <x:c r="I116" t="str">
        <x:f>IF(108&gt;$H$4,"",MATCH(108,'Fleet dates'!$N$9:$N$1008,0)+8)</x:f>
      </x:c>
    </x:row>
    <x:row r="117" ht="36" customHeight="1">
      <x:c r="A117" s="50" t="str">
        <x:f>IF(109&gt;$H$4,"",IF(INDEX('Fleet dates'!$A$9:$A$1008,$I117-8)="","",INDEX('Fleet dates'!$A$9:$A$1008,$I117-8)))</x:f>
      </x:c>
      <x:c r="B117" s="50" t="str">
        <x:f>IF(109&gt;$H$4,"",IF(INDEX('Fleet dates'!$B$9:$B$1008,$I117-8)="","",INDEX('Fleet dates'!$B$9:$B$1008,$I117-8)))</x:f>
      </x:c>
      <x:c r="C117" s="51" t="str">
        <x:f>IF(109&gt;$H$4,"",IF(INDEX('Fleet dates'!$C$9:$C$1008,$I117-8)="","",INDEX('Fleet dates'!$C$9:$C$1008,$I117-8)))</x:f>
      </x:c>
      <x:c r="D117" s="51" t="str">
        <x:f>IF(109&gt;$H$4,"",IF(INDEX('Fleet dates'!$D$9:$D$1008,$I117-8)="","",INDEX('Fleet dates'!$D$9:$D$1008,$I117-8)))</x:f>
      </x:c>
      <x:c r="E117" s="51" t="str">
        <x:f>IF(109&gt;$H$4,"",IF(INDEX('Fleet dates'!$E$9:$E$1008,$I117-8)="","",INDEX('Fleet dates'!$E$9:$E$1008,$I117-8)))</x:f>
      </x:c>
      <x:c r="F117" s="51" t="str">
        <x:f>IF(109&gt;$H$4,"",IF(INDEX('Fleet dates'!$F$9:$F$1008,$I117-8)="","",INDEX('Fleet dates'!$F$9:$F$1008,$I117-8)))</x:f>
      </x:c>
      <x:c r="G117" s="50" t="str">
        <x:f>IF(109&gt;$H$4,"",IF(INDEX('Fleet dates'!$G$9:$G$1008,$I117-8)="","",INDEX('Fleet dates'!$G$9:$G$1008,$I117-8)))</x:f>
      </x:c>
      <x:c r="H117" s="50" t="str">
        <x:f>IF(109&gt;$H$4,"",IF(INDEX('Fleet dates'!$I$9:$I$1008,$I117-8)="","",INDEX('Fleet dates'!$I$9:$I$1008,$I117-8)))</x:f>
      </x:c>
      <x:c r="I117" t="str">
        <x:f>IF(109&gt;$H$4,"",MATCH(109,'Fleet dates'!$N$9:$N$1008,0)+8)</x:f>
      </x:c>
    </x:row>
    <x:row r="118" ht="36" customHeight="1">
      <x:c r="A118" s="50" t="str">
        <x:f>IF(110&gt;$H$4,"",IF(INDEX('Fleet dates'!$A$9:$A$1008,$I118-8)="","",INDEX('Fleet dates'!$A$9:$A$1008,$I118-8)))</x:f>
      </x:c>
      <x:c r="B118" s="50" t="str">
        <x:f>IF(110&gt;$H$4,"",IF(INDEX('Fleet dates'!$B$9:$B$1008,$I118-8)="","",INDEX('Fleet dates'!$B$9:$B$1008,$I118-8)))</x:f>
      </x:c>
      <x:c r="C118" s="51" t="str">
        <x:f>IF(110&gt;$H$4,"",IF(INDEX('Fleet dates'!$C$9:$C$1008,$I118-8)="","",INDEX('Fleet dates'!$C$9:$C$1008,$I118-8)))</x:f>
      </x:c>
      <x:c r="D118" s="51" t="str">
        <x:f>IF(110&gt;$H$4,"",IF(INDEX('Fleet dates'!$D$9:$D$1008,$I118-8)="","",INDEX('Fleet dates'!$D$9:$D$1008,$I118-8)))</x:f>
      </x:c>
      <x:c r="E118" s="51" t="str">
        <x:f>IF(110&gt;$H$4,"",IF(INDEX('Fleet dates'!$E$9:$E$1008,$I118-8)="","",INDEX('Fleet dates'!$E$9:$E$1008,$I118-8)))</x:f>
      </x:c>
      <x:c r="F118" s="51" t="str">
        <x:f>IF(110&gt;$H$4,"",IF(INDEX('Fleet dates'!$F$9:$F$1008,$I118-8)="","",INDEX('Fleet dates'!$F$9:$F$1008,$I118-8)))</x:f>
      </x:c>
      <x:c r="G118" s="50" t="str">
        <x:f>IF(110&gt;$H$4,"",IF(INDEX('Fleet dates'!$G$9:$G$1008,$I118-8)="","",INDEX('Fleet dates'!$G$9:$G$1008,$I118-8)))</x:f>
      </x:c>
      <x:c r="H118" s="50" t="str">
        <x:f>IF(110&gt;$H$4,"",IF(INDEX('Fleet dates'!$I$9:$I$1008,$I118-8)="","",INDEX('Fleet dates'!$I$9:$I$1008,$I118-8)))</x:f>
      </x:c>
      <x:c r="I118" t="str">
        <x:f>IF(110&gt;$H$4,"",MATCH(110,'Fleet dates'!$N$9:$N$1008,0)+8)</x:f>
      </x:c>
    </x:row>
    <x:row r="119" ht="36" customHeight="1">
      <x:c r="A119" s="50" t="str">
        <x:f>IF(111&gt;$H$4,"",IF(INDEX('Fleet dates'!$A$9:$A$1008,$I119-8)="","",INDEX('Fleet dates'!$A$9:$A$1008,$I119-8)))</x:f>
      </x:c>
      <x:c r="B119" s="50" t="str">
        <x:f>IF(111&gt;$H$4,"",IF(INDEX('Fleet dates'!$B$9:$B$1008,$I119-8)="","",INDEX('Fleet dates'!$B$9:$B$1008,$I119-8)))</x:f>
      </x:c>
      <x:c r="C119" s="51" t="str">
        <x:f>IF(111&gt;$H$4,"",IF(INDEX('Fleet dates'!$C$9:$C$1008,$I119-8)="","",INDEX('Fleet dates'!$C$9:$C$1008,$I119-8)))</x:f>
      </x:c>
      <x:c r="D119" s="51" t="str">
        <x:f>IF(111&gt;$H$4,"",IF(INDEX('Fleet dates'!$D$9:$D$1008,$I119-8)="","",INDEX('Fleet dates'!$D$9:$D$1008,$I119-8)))</x:f>
      </x:c>
      <x:c r="E119" s="51" t="str">
        <x:f>IF(111&gt;$H$4,"",IF(INDEX('Fleet dates'!$E$9:$E$1008,$I119-8)="","",INDEX('Fleet dates'!$E$9:$E$1008,$I119-8)))</x:f>
      </x:c>
      <x:c r="F119" s="51" t="str">
        <x:f>IF(111&gt;$H$4,"",IF(INDEX('Fleet dates'!$F$9:$F$1008,$I119-8)="","",INDEX('Fleet dates'!$F$9:$F$1008,$I119-8)))</x:f>
      </x:c>
      <x:c r="G119" s="50" t="str">
        <x:f>IF(111&gt;$H$4,"",IF(INDEX('Fleet dates'!$G$9:$G$1008,$I119-8)="","",INDEX('Fleet dates'!$G$9:$G$1008,$I119-8)))</x:f>
      </x:c>
      <x:c r="H119" s="50" t="str">
        <x:f>IF(111&gt;$H$4,"",IF(INDEX('Fleet dates'!$I$9:$I$1008,$I119-8)="","",INDEX('Fleet dates'!$I$9:$I$1008,$I119-8)))</x:f>
      </x:c>
      <x:c r="I119" t="str">
        <x:f>IF(111&gt;$H$4,"",MATCH(111,'Fleet dates'!$N$9:$N$1008,0)+8)</x:f>
      </x:c>
    </x:row>
    <x:row r="120" ht="36" customHeight="1">
      <x:c r="A120" s="50" t="str">
        <x:f>IF(112&gt;$H$4,"",IF(INDEX('Fleet dates'!$A$9:$A$1008,$I120-8)="","",INDEX('Fleet dates'!$A$9:$A$1008,$I120-8)))</x:f>
      </x:c>
      <x:c r="B120" s="50" t="str">
        <x:f>IF(112&gt;$H$4,"",IF(INDEX('Fleet dates'!$B$9:$B$1008,$I120-8)="","",INDEX('Fleet dates'!$B$9:$B$1008,$I120-8)))</x:f>
      </x:c>
      <x:c r="C120" s="51" t="str">
        <x:f>IF(112&gt;$H$4,"",IF(INDEX('Fleet dates'!$C$9:$C$1008,$I120-8)="","",INDEX('Fleet dates'!$C$9:$C$1008,$I120-8)))</x:f>
      </x:c>
      <x:c r="D120" s="51" t="str">
        <x:f>IF(112&gt;$H$4,"",IF(INDEX('Fleet dates'!$D$9:$D$1008,$I120-8)="","",INDEX('Fleet dates'!$D$9:$D$1008,$I120-8)))</x:f>
      </x:c>
      <x:c r="E120" s="51" t="str">
        <x:f>IF(112&gt;$H$4,"",IF(INDEX('Fleet dates'!$E$9:$E$1008,$I120-8)="","",INDEX('Fleet dates'!$E$9:$E$1008,$I120-8)))</x:f>
      </x:c>
      <x:c r="F120" s="51" t="str">
        <x:f>IF(112&gt;$H$4,"",IF(INDEX('Fleet dates'!$F$9:$F$1008,$I120-8)="","",INDEX('Fleet dates'!$F$9:$F$1008,$I120-8)))</x:f>
      </x:c>
      <x:c r="G120" s="50" t="str">
        <x:f>IF(112&gt;$H$4,"",IF(INDEX('Fleet dates'!$G$9:$G$1008,$I120-8)="","",INDEX('Fleet dates'!$G$9:$G$1008,$I120-8)))</x:f>
      </x:c>
      <x:c r="H120" s="50" t="str">
        <x:f>IF(112&gt;$H$4,"",IF(INDEX('Fleet dates'!$I$9:$I$1008,$I120-8)="","",INDEX('Fleet dates'!$I$9:$I$1008,$I120-8)))</x:f>
      </x:c>
      <x:c r="I120" t="str">
        <x:f>IF(112&gt;$H$4,"",MATCH(112,'Fleet dates'!$N$9:$N$1008,0)+8)</x:f>
      </x:c>
    </x:row>
    <x:row r="121" ht="36" customHeight="1">
      <x:c r="A121" s="50" t="str">
        <x:f>IF(113&gt;$H$4,"",IF(INDEX('Fleet dates'!$A$9:$A$1008,$I121-8)="","",INDEX('Fleet dates'!$A$9:$A$1008,$I121-8)))</x:f>
      </x:c>
      <x:c r="B121" s="50" t="str">
        <x:f>IF(113&gt;$H$4,"",IF(INDEX('Fleet dates'!$B$9:$B$1008,$I121-8)="","",INDEX('Fleet dates'!$B$9:$B$1008,$I121-8)))</x:f>
      </x:c>
      <x:c r="C121" s="51" t="str">
        <x:f>IF(113&gt;$H$4,"",IF(INDEX('Fleet dates'!$C$9:$C$1008,$I121-8)="","",INDEX('Fleet dates'!$C$9:$C$1008,$I121-8)))</x:f>
      </x:c>
      <x:c r="D121" s="51" t="str">
        <x:f>IF(113&gt;$H$4,"",IF(INDEX('Fleet dates'!$D$9:$D$1008,$I121-8)="","",INDEX('Fleet dates'!$D$9:$D$1008,$I121-8)))</x:f>
      </x:c>
      <x:c r="E121" s="51" t="str">
        <x:f>IF(113&gt;$H$4,"",IF(INDEX('Fleet dates'!$E$9:$E$1008,$I121-8)="","",INDEX('Fleet dates'!$E$9:$E$1008,$I121-8)))</x:f>
      </x:c>
      <x:c r="F121" s="51" t="str">
        <x:f>IF(113&gt;$H$4,"",IF(INDEX('Fleet dates'!$F$9:$F$1008,$I121-8)="","",INDEX('Fleet dates'!$F$9:$F$1008,$I121-8)))</x:f>
      </x:c>
      <x:c r="G121" s="50" t="str">
        <x:f>IF(113&gt;$H$4,"",IF(INDEX('Fleet dates'!$G$9:$G$1008,$I121-8)="","",INDEX('Fleet dates'!$G$9:$G$1008,$I121-8)))</x:f>
      </x:c>
      <x:c r="H121" s="50" t="str">
        <x:f>IF(113&gt;$H$4,"",IF(INDEX('Fleet dates'!$I$9:$I$1008,$I121-8)="","",INDEX('Fleet dates'!$I$9:$I$1008,$I121-8)))</x:f>
      </x:c>
      <x:c r="I121" t="str">
        <x:f>IF(113&gt;$H$4,"",MATCH(113,'Fleet dates'!$N$9:$N$1008,0)+8)</x:f>
      </x:c>
    </x:row>
    <x:row r="122" ht="36" customHeight="1">
      <x:c r="A122" s="50" t="str">
        <x:f>IF(114&gt;$H$4,"",IF(INDEX('Fleet dates'!$A$9:$A$1008,$I122-8)="","",INDEX('Fleet dates'!$A$9:$A$1008,$I122-8)))</x:f>
      </x:c>
      <x:c r="B122" s="50" t="str">
        <x:f>IF(114&gt;$H$4,"",IF(INDEX('Fleet dates'!$B$9:$B$1008,$I122-8)="","",INDEX('Fleet dates'!$B$9:$B$1008,$I122-8)))</x:f>
      </x:c>
      <x:c r="C122" s="51" t="str">
        <x:f>IF(114&gt;$H$4,"",IF(INDEX('Fleet dates'!$C$9:$C$1008,$I122-8)="","",INDEX('Fleet dates'!$C$9:$C$1008,$I122-8)))</x:f>
      </x:c>
      <x:c r="D122" s="51" t="str">
        <x:f>IF(114&gt;$H$4,"",IF(INDEX('Fleet dates'!$D$9:$D$1008,$I122-8)="","",INDEX('Fleet dates'!$D$9:$D$1008,$I122-8)))</x:f>
      </x:c>
      <x:c r="E122" s="51" t="str">
        <x:f>IF(114&gt;$H$4,"",IF(INDEX('Fleet dates'!$E$9:$E$1008,$I122-8)="","",INDEX('Fleet dates'!$E$9:$E$1008,$I122-8)))</x:f>
      </x:c>
      <x:c r="F122" s="51" t="str">
        <x:f>IF(114&gt;$H$4,"",IF(INDEX('Fleet dates'!$F$9:$F$1008,$I122-8)="","",INDEX('Fleet dates'!$F$9:$F$1008,$I122-8)))</x:f>
      </x:c>
      <x:c r="G122" s="50" t="str">
        <x:f>IF(114&gt;$H$4,"",IF(INDEX('Fleet dates'!$G$9:$G$1008,$I122-8)="","",INDEX('Fleet dates'!$G$9:$G$1008,$I122-8)))</x:f>
      </x:c>
      <x:c r="H122" s="50" t="str">
        <x:f>IF(114&gt;$H$4,"",IF(INDEX('Fleet dates'!$I$9:$I$1008,$I122-8)="","",INDEX('Fleet dates'!$I$9:$I$1008,$I122-8)))</x:f>
      </x:c>
      <x:c r="I122" t="str">
        <x:f>IF(114&gt;$H$4,"",MATCH(114,'Fleet dates'!$N$9:$N$1008,0)+8)</x:f>
      </x:c>
    </x:row>
    <x:row r="123" ht="36" customHeight="1">
      <x:c r="A123" s="50" t="str">
        <x:f>IF(115&gt;$H$4,"",IF(INDEX('Fleet dates'!$A$9:$A$1008,$I123-8)="","",INDEX('Fleet dates'!$A$9:$A$1008,$I123-8)))</x:f>
      </x:c>
      <x:c r="B123" s="50" t="str">
        <x:f>IF(115&gt;$H$4,"",IF(INDEX('Fleet dates'!$B$9:$B$1008,$I123-8)="","",INDEX('Fleet dates'!$B$9:$B$1008,$I123-8)))</x:f>
      </x:c>
      <x:c r="C123" s="51" t="str">
        <x:f>IF(115&gt;$H$4,"",IF(INDEX('Fleet dates'!$C$9:$C$1008,$I123-8)="","",INDEX('Fleet dates'!$C$9:$C$1008,$I123-8)))</x:f>
      </x:c>
      <x:c r="D123" s="51" t="str">
        <x:f>IF(115&gt;$H$4,"",IF(INDEX('Fleet dates'!$D$9:$D$1008,$I123-8)="","",INDEX('Fleet dates'!$D$9:$D$1008,$I123-8)))</x:f>
      </x:c>
      <x:c r="E123" s="51" t="str">
        <x:f>IF(115&gt;$H$4,"",IF(INDEX('Fleet dates'!$E$9:$E$1008,$I123-8)="","",INDEX('Fleet dates'!$E$9:$E$1008,$I123-8)))</x:f>
      </x:c>
      <x:c r="F123" s="51" t="str">
        <x:f>IF(115&gt;$H$4,"",IF(INDEX('Fleet dates'!$F$9:$F$1008,$I123-8)="","",INDEX('Fleet dates'!$F$9:$F$1008,$I123-8)))</x:f>
      </x:c>
      <x:c r="G123" s="50" t="str">
        <x:f>IF(115&gt;$H$4,"",IF(INDEX('Fleet dates'!$G$9:$G$1008,$I123-8)="","",INDEX('Fleet dates'!$G$9:$G$1008,$I123-8)))</x:f>
      </x:c>
      <x:c r="H123" s="50" t="str">
        <x:f>IF(115&gt;$H$4,"",IF(INDEX('Fleet dates'!$I$9:$I$1008,$I123-8)="","",INDEX('Fleet dates'!$I$9:$I$1008,$I123-8)))</x:f>
      </x:c>
      <x:c r="I123" t="str">
        <x:f>IF(115&gt;$H$4,"",MATCH(115,'Fleet dates'!$N$9:$N$1008,0)+8)</x:f>
      </x:c>
    </x:row>
    <x:row r="124" ht="36" customHeight="1">
      <x:c r="A124" s="50" t="str">
        <x:f>IF(116&gt;$H$4,"",IF(INDEX('Fleet dates'!$A$9:$A$1008,$I124-8)="","",INDEX('Fleet dates'!$A$9:$A$1008,$I124-8)))</x:f>
      </x:c>
      <x:c r="B124" s="50" t="str">
        <x:f>IF(116&gt;$H$4,"",IF(INDEX('Fleet dates'!$B$9:$B$1008,$I124-8)="","",INDEX('Fleet dates'!$B$9:$B$1008,$I124-8)))</x:f>
      </x:c>
      <x:c r="C124" s="51" t="str">
        <x:f>IF(116&gt;$H$4,"",IF(INDEX('Fleet dates'!$C$9:$C$1008,$I124-8)="","",INDEX('Fleet dates'!$C$9:$C$1008,$I124-8)))</x:f>
      </x:c>
      <x:c r="D124" s="51" t="str">
        <x:f>IF(116&gt;$H$4,"",IF(INDEX('Fleet dates'!$D$9:$D$1008,$I124-8)="","",INDEX('Fleet dates'!$D$9:$D$1008,$I124-8)))</x:f>
      </x:c>
      <x:c r="E124" s="51" t="str">
        <x:f>IF(116&gt;$H$4,"",IF(INDEX('Fleet dates'!$E$9:$E$1008,$I124-8)="","",INDEX('Fleet dates'!$E$9:$E$1008,$I124-8)))</x:f>
      </x:c>
      <x:c r="F124" s="51" t="str">
        <x:f>IF(116&gt;$H$4,"",IF(INDEX('Fleet dates'!$F$9:$F$1008,$I124-8)="","",INDEX('Fleet dates'!$F$9:$F$1008,$I124-8)))</x:f>
      </x:c>
      <x:c r="G124" s="50" t="str">
        <x:f>IF(116&gt;$H$4,"",IF(INDEX('Fleet dates'!$G$9:$G$1008,$I124-8)="","",INDEX('Fleet dates'!$G$9:$G$1008,$I124-8)))</x:f>
      </x:c>
      <x:c r="H124" s="50" t="str">
        <x:f>IF(116&gt;$H$4,"",IF(INDEX('Fleet dates'!$I$9:$I$1008,$I124-8)="","",INDEX('Fleet dates'!$I$9:$I$1008,$I124-8)))</x:f>
      </x:c>
      <x:c r="I124" t="str">
        <x:f>IF(116&gt;$H$4,"",MATCH(116,'Fleet dates'!$N$9:$N$1008,0)+8)</x:f>
      </x:c>
    </x:row>
    <x:row r="125" ht="36" customHeight="1">
      <x:c r="A125" s="50" t="str">
        <x:f>IF(117&gt;$H$4,"",IF(INDEX('Fleet dates'!$A$9:$A$1008,$I125-8)="","",INDEX('Fleet dates'!$A$9:$A$1008,$I125-8)))</x:f>
      </x:c>
      <x:c r="B125" s="50" t="str">
        <x:f>IF(117&gt;$H$4,"",IF(INDEX('Fleet dates'!$B$9:$B$1008,$I125-8)="","",INDEX('Fleet dates'!$B$9:$B$1008,$I125-8)))</x:f>
      </x:c>
      <x:c r="C125" s="51" t="str">
        <x:f>IF(117&gt;$H$4,"",IF(INDEX('Fleet dates'!$C$9:$C$1008,$I125-8)="","",INDEX('Fleet dates'!$C$9:$C$1008,$I125-8)))</x:f>
      </x:c>
      <x:c r="D125" s="51" t="str">
        <x:f>IF(117&gt;$H$4,"",IF(INDEX('Fleet dates'!$D$9:$D$1008,$I125-8)="","",INDEX('Fleet dates'!$D$9:$D$1008,$I125-8)))</x:f>
      </x:c>
      <x:c r="E125" s="51" t="str">
        <x:f>IF(117&gt;$H$4,"",IF(INDEX('Fleet dates'!$E$9:$E$1008,$I125-8)="","",INDEX('Fleet dates'!$E$9:$E$1008,$I125-8)))</x:f>
      </x:c>
      <x:c r="F125" s="51" t="str">
        <x:f>IF(117&gt;$H$4,"",IF(INDEX('Fleet dates'!$F$9:$F$1008,$I125-8)="","",INDEX('Fleet dates'!$F$9:$F$1008,$I125-8)))</x:f>
      </x:c>
      <x:c r="G125" s="50" t="str">
        <x:f>IF(117&gt;$H$4,"",IF(INDEX('Fleet dates'!$G$9:$G$1008,$I125-8)="","",INDEX('Fleet dates'!$G$9:$G$1008,$I125-8)))</x:f>
      </x:c>
      <x:c r="H125" s="50" t="str">
        <x:f>IF(117&gt;$H$4,"",IF(INDEX('Fleet dates'!$I$9:$I$1008,$I125-8)="","",INDEX('Fleet dates'!$I$9:$I$1008,$I125-8)))</x:f>
      </x:c>
      <x:c r="I125" t="str">
        <x:f>IF(117&gt;$H$4,"",MATCH(117,'Fleet dates'!$N$9:$N$1008,0)+8)</x:f>
      </x:c>
    </x:row>
    <x:row r="126" ht="36" customHeight="1">
      <x:c r="A126" s="50" t="str">
        <x:f>IF(118&gt;$H$4,"",IF(INDEX('Fleet dates'!$A$9:$A$1008,$I126-8)="","",INDEX('Fleet dates'!$A$9:$A$1008,$I126-8)))</x:f>
      </x:c>
      <x:c r="B126" s="50" t="str">
        <x:f>IF(118&gt;$H$4,"",IF(INDEX('Fleet dates'!$B$9:$B$1008,$I126-8)="","",INDEX('Fleet dates'!$B$9:$B$1008,$I126-8)))</x:f>
      </x:c>
      <x:c r="C126" s="51" t="str">
        <x:f>IF(118&gt;$H$4,"",IF(INDEX('Fleet dates'!$C$9:$C$1008,$I126-8)="","",INDEX('Fleet dates'!$C$9:$C$1008,$I126-8)))</x:f>
      </x:c>
      <x:c r="D126" s="51" t="str">
        <x:f>IF(118&gt;$H$4,"",IF(INDEX('Fleet dates'!$D$9:$D$1008,$I126-8)="","",INDEX('Fleet dates'!$D$9:$D$1008,$I126-8)))</x:f>
      </x:c>
      <x:c r="E126" s="51" t="str">
        <x:f>IF(118&gt;$H$4,"",IF(INDEX('Fleet dates'!$E$9:$E$1008,$I126-8)="","",INDEX('Fleet dates'!$E$9:$E$1008,$I126-8)))</x:f>
      </x:c>
      <x:c r="F126" s="51" t="str">
        <x:f>IF(118&gt;$H$4,"",IF(INDEX('Fleet dates'!$F$9:$F$1008,$I126-8)="","",INDEX('Fleet dates'!$F$9:$F$1008,$I126-8)))</x:f>
      </x:c>
      <x:c r="G126" s="50" t="str">
        <x:f>IF(118&gt;$H$4,"",IF(INDEX('Fleet dates'!$G$9:$G$1008,$I126-8)="","",INDEX('Fleet dates'!$G$9:$G$1008,$I126-8)))</x:f>
      </x:c>
      <x:c r="H126" s="50" t="str">
        <x:f>IF(118&gt;$H$4,"",IF(INDEX('Fleet dates'!$I$9:$I$1008,$I126-8)="","",INDEX('Fleet dates'!$I$9:$I$1008,$I126-8)))</x:f>
      </x:c>
      <x:c r="I126" t="str">
        <x:f>IF(118&gt;$H$4,"",MATCH(118,'Fleet dates'!$N$9:$N$1008,0)+8)</x:f>
      </x:c>
    </x:row>
    <x:row r="127" ht="36" customHeight="1">
      <x:c r="A127" s="50" t="str">
        <x:f>IF(119&gt;$H$4,"",IF(INDEX('Fleet dates'!$A$9:$A$1008,$I127-8)="","",INDEX('Fleet dates'!$A$9:$A$1008,$I127-8)))</x:f>
      </x:c>
      <x:c r="B127" s="50" t="str">
        <x:f>IF(119&gt;$H$4,"",IF(INDEX('Fleet dates'!$B$9:$B$1008,$I127-8)="","",INDEX('Fleet dates'!$B$9:$B$1008,$I127-8)))</x:f>
      </x:c>
      <x:c r="C127" s="51" t="str">
        <x:f>IF(119&gt;$H$4,"",IF(INDEX('Fleet dates'!$C$9:$C$1008,$I127-8)="","",INDEX('Fleet dates'!$C$9:$C$1008,$I127-8)))</x:f>
      </x:c>
      <x:c r="D127" s="51" t="str">
        <x:f>IF(119&gt;$H$4,"",IF(INDEX('Fleet dates'!$D$9:$D$1008,$I127-8)="","",INDEX('Fleet dates'!$D$9:$D$1008,$I127-8)))</x:f>
      </x:c>
      <x:c r="E127" s="51" t="str">
        <x:f>IF(119&gt;$H$4,"",IF(INDEX('Fleet dates'!$E$9:$E$1008,$I127-8)="","",INDEX('Fleet dates'!$E$9:$E$1008,$I127-8)))</x:f>
      </x:c>
      <x:c r="F127" s="51" t="str">
        <x:f>IF(119&gt;$H$4,"",IF(INDEX('Fleet dates'!$F$9:$F$1008,$I127-8)="","",INDEX('Fleet dates'!$F$9:$F$1008,$I127-8)))</x:f>
      </x:c>
      <x:c r="G127" s="50" t="str">
        <x:f>IF(119&gt;$H$4,"",IF(INDEX('Fleet dates'!$G$9:$G$1008,$I127-8)="","",INDEX('Fleet dates'!$G$9:$G$1008,$I127-8)))</x:f>
      </x:c>
      <x:c r="H127" s="50" t="str">
        <x:f>IF(119&gt;$H$4,"",IF(INDEX('Fleet dates'!$I$9:$I$1008,$I127-8)="","",INDEX('Fleet dates'!$I$9:$I$1008,$I127-8)))</x:f>
      </x:c>
      <x:c r="I127" t="str">
        <x:f>IF(119&gt;$H$4,"",MATCH(119,'Fleet dates'!$N$9:$N$1008,0)+8)</x:f>
      </x:c>
    </x:row>
    <x:row r="128" ht="36" customHeight="1">
      <x:c r="A128" s="50" t="str">
        <x:f>IF(120&gt;$H$4,"",IF(INDEX('Fleet dates'!$A$9:$A$1008,$I128-8)="","",INDEX('Fleet dates'!$A$9:$A$1008,$I128-8)))</x:f>
      </x:c>
      <x:c r="B128" s="50" t="str">
        <x:f>IF(120&gt;$H$4,"",IF(INDEX('Fleet dates'!$B$9:$B$1008,$I128-8)="","",INDEX('Fleet dates'!$B$9:$B$1008,$I128-8)))</x:f>
      </x:c>
      <x:c r="C128" s="51" t="str">
        <x:f>IF(120&gt;$H$4,"",IF(INDEX('Fleet dates'!$C$9:$C$1008,$I128-8)="","",INDEX('Fleet dates'!$C$9:$C$1008,$I128-8)))</x:f>
      </x:c>
      <x:c r="D128" s="51" t="str">
        <x:f>IF(120&gt;$H$4,"",IF(INDEX('Fleet dates'!$D$9:$D$1008,$I128-8)="","",INDEX('Fleet dates'!$D$9:$D$1008,$I128-8)))</x:f>
      </x:c>
      <x:c r="E128" s="51" t="str">
        <x:f>IF(120&gt;$H$4,"",IF(INDEX('Fleet dates'!$E$9:$E$1008,$I128-8)="","",INDEX('Fleet dates'!$E$9:$E$1008,$I128-8)))</x:f>
      </x:c>
      <x:c r="F128" s="51" t="str">
        <x:f>IF(120&gt;$H$4,"",IF(INDEX('Fleet dates'!$F$9:$F$1008,$I128-8)="","",INDEX('Fleet dates'!$F$9:$F$1008,$I128-8)))</x:f>
      </x:c>
      <x:c r="G128" s="50" t="str">
        <x:f>IF(120&gt;$H$4,"",IF(INDEX('Fleet dates'!$G$9:$G$1008,$I128-8)="","",INDEX('Fleet dates'!$G$9:$G$1008,$I128-8)))</x:f>
      </x:c>
      <x:c r="H128" s="50" t="str">
        <x:f>IF(120&gt;$H$4,"",IF(INDEX('Fleet dates'!$I$9:$I$1008,$I128-8)="","",INDEX('Fleet dates'!$I$9:$I$1008,$I128-8)))</x:f>
      </x:c>
      <x:c r="I128" t="str">
        <x:f>IF(120&gt;$H$4,"",MATCH(120,'Fleet dates'!$N$9:$N$1008,0)+8)</x:f>
      </x:c>
    </x:row>
    <x:row r="129" ht="36" customHeight="1">
      <x:c r="A129" s="50" t="str">
        <x:f>IF(121&gt;$H$4,"",IF(INDEX('Fleet dates'!$A$9:$A$1008,$I129-8)="","",INDEX('Fleet dates'!$A$9:$A$1008,$I129-8)))</x:f>
      </x:c>
      <x:c r="B129" s="50" t="str">
        <x:f>IF(121&gt;$H$4,"",IF(INDEX('Fleet dates'!$B$9:$B$1008,$I129-8)="","",INDEX('Fleet dates'!$B$9:$B$1008,$I129-8)))</x:f>
      </x:c>
      <x:c r="C129" s="51" t="str">
        <x:f>IF(121&gt;$H$4,"",IF(INDEX('Fleet dates'!$C$9:$C$1008,$I129-8)="","",INDEX('Fleet dates'!$C$9:$C$1008,$I129-8)))</x:f>
      </x:c>
      <x:c r="D129" s="51" t="str">
        <x:f>IF(121&gt;$H$4,"",IF(INDEX('Fleet dates'!$D$9:$D$1008,$I129-8)="","",INDEX('Fleet dates'!$D$9:$D$1008,$I129-8)))</x:f>
      </x:c>
      <x:c r="E129" s="51" t="str">
        <x:f>IF(121&gt;$H$4,"",IF(INDEX('Fleet dates'!$E$9:$E$1008,$I129-8)="","",INDEX('Fleet dates'!$E$9:$E$1008,$I129-8)))</x:f>
      </x:c>
      <x:c r="F129" s="51" t="str">
        <x:f>IF(121&gt;$H$4,"",IF(INDEX('Fleet dates'!$F$9:$F$1008,$I129-8)="","",INDEX('Fleet dates'!$F$9:$F$1008,$I129-8)))</x:f>
      </x:c>
      <x:c r="G129" s="50" t="str">
        <x:f>IF(121&gt;$H$4,"",IF(INDEX('Fleet dates'!$G$9:$G$1008,$I129-8)="","",INDEX('Fleet dates'!$G$9:$G$1008,$I129-8)))</x:f>
      </x:c>
      <x:c r="H129" s="50" t="str">
        <x:f>IF(121&gt;$H$4,"",IF(INDEX('Fleet dates'!$I$9:$I$1008,$I129-8)="","",INDEX('Fleet dates'!$I$9:$I$1008,$I129-8)))</x:f>
      </x:c>
      <x:c r="I129" t="str">
        <x:f>IF(121&gt;$H$4,"",MATCH(121,'Fleet dates'!$N$9:$N$1008,0)+8)</x:f>
      </x:c>
    </x:row>
    <x:row r="130" ht="36" customHeight="1">
      <x:c r="A130" s="50" t="str">
        <x:f>IF(122&gt;$H$4,"",IF(INDEX('Fleet dates'!$A$9:$A$1008,$I130-8)="","",INDEX('Fleet dates'!$A$9:$A$1008,$I130-8)))</x:f>
      </x:c>
      <x:c r="B130" s="50" t="str">
        <x:f>IF(122&gt;$H$4,"",IF(INDEX('Fleet dates'!$B$9:$B$1008,$I130-8)="","",INDEX('Fleet dates'!$B$9:$B$1008,$I130-8)))</x:f>
      </x:c>
      <x:c r="C130" s="51" t="str">
        <x:f>IF(122&gt;$H$4,"",IF(INDEX('Fleet dates'!$C$9:$C$1008,$I130-8)="","",INDEX('Fleet dates'!$C$9:$C$1008,$I130-8)))</x:f>
      </x:c>
      <x:c r="D130" s="51" t="str">
        <x:f>IF(122&gt;$H$4,"",IF(INDEX('Fleet dates'!$D$9:$D$1008,$I130-8)="","",INDEX('Fleet dates'!$D$9:$D$1008,$I130-8)))</x:f>
      </x:c>
      <x:c r="E130" s="51" t="str">
        <x:f>IF(122&gt;$H$4,"",IF(INDEX('Fleet dates'!$E$9:$E$1008,$I130-8)="","",INDEX('Fleet dates'!$E$9:$E$1008,$I130-8)))</x:f>
      </x:c>
      <x:c r="F130" s="51" t="str">
        <x:f>IF(122&gt;$H$4,"",IF(INDEX('Fleet dates'!$F$9:$F$1008,$I130-8)="","",INDEX('Fleet dates'!$F$9:$F$1008,$I130-8)))</x:f>
      </x:c>
      <x:c r="G130" s="50" t="str">
        <x:f>IF(122&gt;$H$4,"",IF(INDEX('Fleet dates'!$G$9:$G$1008,$I130-8)="","",INDEX('Fleet dates'!$G$9:$G$1008,$I130-8)))</x:f>
      </x:c>
      <x:c r="H130" s="50" t="str">
        <x:f>IF(122&gt;$H$4,"",IF(INDEX('Fleet dates'!$I$9:$I$1008,$I130-8)="","",INDEX('Fleet dates'!$I$9:$I$1008,$I130-8)))</x:f>
      </x:c>
      <x:c r="I130" t="str">
        <x:f>IF(122&gt;$H$4,"",MATCH(122,'Fleet dates'!$N$9:$N$1008,0)+8)</x:f>
      </x:c>
    </x:row>
    <x:row r="131" ht="36" customHeight="1">
      <x:c r="A131" s="50" t="str">
        <x:f>IF(123&gt;$H$4,"",IF(INDEX('Fleet dates'!$A$9:$A$1008,$I131-8)="","",INDEX('Fleet dates'!$A$9:$A$1008,$I131-8)))</x:f>
      </x:c>
      <x:c r="B131" s="50" t="str">
        <x:f>IF(123&gt;$H$4,"",IF(INDEX('Fleet dates'!$B$9:$B$1008,$I131-8)="","",INDEX('Fleet dates'!$B$9:$B$1008,$I131-8)))</x:f>
      </x:c>
      <x:c r="C131" s="51" t="str">
        <x:f>IF(123&gt;$H$4,"",IF(INDEX('Fleet dates'!$C$9:$C$1008,$I131-8)="","",INDEX('Fleet dates'!$C$9:$C$1008,$I131-8)))</x:f>
      </x:c>
      <x:c r="D131" s="51" t="str">
        <x:f>IF(123&gt;$H$4,"",IF(INDEX('Fleet dates'!$D$9:$D$1008,$I131-8)="","",INDEX('Fleet dates'!$D$9:$D$1008,$I131-8)))</x:f>
      </x:c>
      <x:c r="E131" s="51" t="str">
        <x:f>IF(123&gt;$H$4,"",IF(INDEX('Fleet dates'!$E$9:$E$1008,$I131-8)="","",INDEX('Fleet dates'!$E$9:$E$1008,$I131-8)))</x:f>
      </x:c>
      <x:c r="F131" s="51" t="str">
        <x:f>IF(123&gt;$H$4,"",IF(INDEX('Fleet dates'!$F$9:$F$1008,$I131-8)="","",INDEX('Fleet dates'!$F$9:$F$1008,$I131-8)))</x:f>
      </x:c>
      <x:c r="G131" s="50" t="str">
        <x:f>IF(123&gt;$H$4,"",IF(INDEX('Fleet dates'!$G$9:$G$1008,$I131-8)="","",INDEX('Fleet dates'!$G$9:$G$1008,$I131-8)))</x:f>
      </x:c>
      <x:c r="H131" s="50" t="str">
        <x:f>IF(123&gt;$H$4,"",IF(INDEX('Fleet dates'!$I$9:$I$1008,$I131-8)="","",INDEX('Fleet dates'!$I$9:$I$1008,$I131-8)))</x:f>
      </x:c>
      <x:c r="I131" t="str">
        <x:f>IF(123&gt;$H$4,"",MATCH(123,'Fleet dates'!$N$9:$N$1008,0)+8)</x:f>
      </x:c>
    </x:row>
    <x:row r="132" ht="36" customHeight="1">
      <x:c r="A132" s="50" t="str">
        <x:f>IF(124&gt;$H$4,"",IF(INDEX('Fleet dates'!$A$9:$A$1008,$I132-8)="","",INDEX('Fleet dates'!$A$9:$A$1008,$I132-8)))</x:f>
      </x:c>
      <x:c r="B132" s="50" t="str">
        <x:f>IF(124&gt;$H$4,"",IF(INDEX('Fleet dates'!$B$9:$B$1008,$I132-8)="","",INDEX('Fleet dates'!$B$9:$B$1008,$I132-8)))</x:f>
      </x:c>
      <x:c r="C132" s="51" t="str">
        <x:f>IF(124&gt;$H$4,"",IF(INDEX('Fleet dates'!$C$9:$C$1008,$I132-8)="","",INDEX('Fleet dates'!$C$9:$C$1008,$I132-8)))</x:f>
      </x:c>
      <x:c r="D132" s="51" t="str">
        <x:f>IF(124&gt;$H$4,"",IF(INDEX('Fleet dates'!$D$9:$D$1008,$I132-8)="","",INDEX('Fleet dates'!$D$9:$D$1008,$I132-8)))</x:f>
      </x:c>
      <x:c r="E132" s="51" t="str">
        <x:f>IF(124&gt;$H$4,"",IF(INDEX('Fleet dates'!$E$9:$E$1008,$I132-8)="","",INDEX('Fleet dates'!$E$9:$E$1008,$I132-8)))</x:f>
      </x:c>
      <x:c r="F132" s="51" t="str">
        <x:f>IF(124&gt;$H$4,"",IF(INDEX('Fleet dates'!$F$9:$F$1008,$I132-8)="","",INDEX('Fleet dates'!$F$9:$F$1008,$I132-8)))</x:f>
      </x:c>
      <x:c r="G132" s="50" t="str">
        <x:f>IF(124&gt;$H$4,"",IF(INDEX('Fleet dates'!$G$9:$G$1008,$I132-8)="","",INDEX('Fleet dates'!$G$9:$G$1008,$I132-8)))</x:f>
      </x:c>
      <x:c r="H132" s="50" t="str">
        <x:f>IF(124&gt;$H$4,"",IF(INDEX('Fleet dates'!$I$9:$I$1008,$I132-8)="","",INDEX('Fleet dates'!$I$9:$I$1008,$I132-8)))</x:f>
      </x:c>
      <x:c r="I132" t="str">
        <x:f>IF(124&gt;$H$4,"",MATCH(124,'Fleet dates'!$N$9:$N$1008,0)+8)</x:f>
      </x:c>
    </x:row>
    <x:row r="133" ht="36" customHeight="1">
      <x:c r="A133" s="50" t="str">
        <x:f>IF(125&gt;$H$4,"",IF(INDEX('Fleet dates'!$A$9:$A$1008,$I133-8)="","",INDEX('Fleet dates'!$A$9:$A$1008,$I133-8)))</x:f>
      </x:c>
      <x:c r="B133" s="50" t="str">
        <x:f>IF(125&gt;$H$4,"",IF(INDEX('Fleet dates'!$B$9:$B$1008,$I133-8)="","",INDEX('Fleet dates'!$B$9:$B$1008,$I133-8)))</x:f>
      </x:c>
      <x:c r="C133" s="51" t="str">
        <x:f>IF(125&gt;$H$4,"",IF(INDEX('Fleet dates'!$C$9:$C$1008,$I133-8)="","",INDEX('Fleet dates'!$C$9:$C$1008,$I133-8)))</x:f>
      </x:c>
      <x:c r="D133" s="51" t="str">
        <x:f>IF(125&gt;$H$4,"",IF(INDEX('Fleet dates'!$D$9:$D$1008,$I133-8)="","",INDEX('Fleet dates'!$D$9:$D$1008,$I133-8)))</x:f>
      </x:c>
      <x:c r="E133" s="51" t="str">
        <x:f>IF(125&gt;$H$4,"",IF(INDEX('Fleet dates'!$E$9:$E$1008,$I133-8)="","",INDEX('Fleet dates'!$E$9:$E$1008,$I133-8)))</x:f>
      </x:c>
      <x:c r="F133" s="51" t="str">
        <x:f>IF(125&gt;$H$4,"",IF(INDEX('Fleet dates'!$F$9:$F$1008,$I133-8)="","",INDEX('Fleet dates'!$F$9:$F$1008,$I133-8)))</x:f>
      </x:c>
      <x:c r="G133" s="50" t="str">
        <x:f>IF(125&gt;$H$4,"",IF(INDEX('Fleet dates'!$G$9:$G$1008,$I133-8)="","",INDEX('Fleet dates'!$G$9:$G$1008,$I133-8)))</x:f>
      </x:c>
      <x:c r="H133" s="50" t="str">
        <x:f>IF(125&gt;$H$4,"",IF(INDEX('Fleet dates'!$I$9:$I$1008,$I133-8)="","",INDEX('Fleet dates'!$I$9:$I$1008,$I133-8)))</x:f>
      </x:c>
      <x:c r="I133" t="str">
        <x:f>IF(125&gt;$H$4,"",MATCH(125,'Fleet dates'!$N$9:$N$1008,0)+8)</x:f>
      </x:c>
    </x:row>
    <x:row r="134" ht="36" customHeight="1">
      <x:c r="A134" s="50" t="str">
        <x:f>IF(126&gt;$H$4,"",IF(INDEX('Fleet dates'!$A$9:$A$1008,$I134-8)="","",INDEX('Fleet dates'!$A$9:$A$1008,$I134-8)))</x:f>
      </x:c>
      <x:c r="B134" s="50" t="str">
        <x:f>IF(126&gt;$H$4,"",IF(INDEX('Fleet dates'!$B$9:$B$1008,$I134-8)="","",INDEX('Fleet dates'!$B$9:$B$1008,$I134-8)))</x:f>
      </x:c>
      <x:c r="C134" s="51" t="str">
        <x:f>IF(126&gt;$H$4,"",IF(INDEX('Fleet dates'!$C$9:$C$1008,$I134-8)="","",INDEX('Fleet dates'!$C$9:$C$1008,$I134-8)))</x:f>
      </x:c>
      <x:c r="D134" s="51" t="str">
        <x:f>IF(126&gt;$H$4,"",IF(INDEX('Fleet dates'!$D$9:$D$1008,$I134-8)="","",INDEX('Fleet dates'!$D$9:$D$1008,$I134-8)))</x:f>
      </x:c>
      <x:c r="E134" s="51" t="str">
        <x:f>IF(126&gt;$H$4,"",IF(INDEX('Fleet dates'!$E$9:$E$1008,$I134-8)="","",INDEX('Fleet dates'!$E$9:$E$1008,$I134-8)))</x:f>
      </x:c>
      <x:c r="F134" s="51" t="str">
        <x:f>IF(126&gt;$H$4,"",IF(INDEX('Fleet dates'!$F$9:$F$1008,$I134-8)="","",INDEX('Fleet dates'!$F$9:$F$1008,$I134-8)))</x:f>
      </x:c>
      <x:c r="G134" s="50" t="str">
        <x:f>IF(126&gt;$H$4,"",IF(INDEX('Fleet dates'!$G$9:$G$1008,$I134-8)="","",INDEX('Fleet dates'!$G$9:$G$1008,$I134-8)))</x:f>
      </x:c>
      <x:c r="H134" s="50" t="str">
        <x:f>IF(126&gt;$H$4,"",IF(INDEX('Fleet dates'!$I$9:$I$1008,$I134-8)="","",INDEX('Fleet dates'!$I$9:$I$1008,$I134-8)))</x:f>
      </x:c>
      <x:c r="I134" t="str">
        <x:f>IF(126&gt;$H$4,"",MATCH(126,'Fleet dates'!$N$9:$N$1008,0)+8)</x:f>
      </x:c>
    </x:row>
    <x:row r="135" ht="36" customHeight="1">
      <x:c r="A135" s="50" t="str">
        <x:f>IF(127&gt;$H$4,"",IF(INDEX('Fleet dates'!$A$9:$A$1008,$I135-8)="","",INDEX('Fleet dates'!$A$9:$A$1008,$I135-8)))</x:f>
      </x:c>
      <x:c r="B135" s="50" t="str">
        <x:f>IF(127&gt;$H$4,"",IF(INDEX('Fleet dates'!$B$9:$B$1008,$I135-8)="","",INDEX('Fleet dates'!$B$9:$B$1008,$I135-8)))</x:f>
      </x:c>
      <x:c r="C135" s="51" t="str">
        <x:f>IF(127&gt;$H$4,"",IF(INDEX('Fleet dates'!$C$9:$C$1008,$I135-8)="","",INDEX('Fleet dates'!$C$9:$C$1008,$I135-8)))</x:f>
      </x:c>
      <x:c r="D135" s="51" t="str">
        <x:f>IF(127&gt;$H$4,"",IF(INDEX('Fleet dates'!$D$9:$D$1008,$I135-8)="","",INDEX('Fleet dates'!$D$9:$D$1008,$I135-8)))</x:f>
      </x:c>
      <x:c r="E135" s="51" t="str">
        <x:f>IF(127&gt;$H$4,"",IF(INDEX('Fleet dates'!$E$9:$E$1008,$I135-8)="","",INDEX('Fleet dates'!$E$9:$E$1008,$I135-8)))</x:f>
      </x:c>
      <x:c r="F135" s="51" t="str">
        <x:f>IF(127&gt;$H$4,"",IF(INDEX('Fleet dates'!$F$9:$F$1008,$I135-8)="","",INDEX('Fleet dates'!$F$9:$F$1008,$I135-8)))</x:f>
      </x:c>
      <x:c r="G135" s="50" t="str">
        <x:f>IF(127&gt;$H$4,"",IF(INDEX('Fleet dates'!$G$9:$G$1008,$I135-8)="","",INDEX('Fleet dates'!$G$9:$G$1008,$I135-8)))</x:f>
      </x:c>
      <x:c r="H135" s="50" t="str">
        <x:f>IF(127&gt;$H$4,"",IF(INDEX('Fleet dates'!$I$9:$I$1008,$I135-8)="","",INDEX('Fleet dates'!$I$9:$I$1008,$I135-8)))</x:f>
      </x:c>
      <x:c r="I135" t="str">
        <x:f>IF(127&gt;$H$4,"",MATCH(127,'Fleet dates'!$N$9:$N$1008,0)+8)</x:f>
      </x:c>
    </x:row>
    <x:row r="136" ht="36" customHeight="1">
      <x:c r="A136" s="50" t="str">
        <x:f>IF(128&gt;$H$4,"",IF(INDEX('Fleet dates'!$A$9:$A$1008,$I136-8)="","",INDEX('Fleet dates'!$A$9:$A$1008,$I136-8)))</x:f>
      </x:c>
      <x:c r="B136" s="50" t="str">
        <x:f>IF(128&gt;$H$4,"",IF(INDEX('Fleet dates'!$B$9:$B$1008,$I136-8)="","",INDEX('Fleet dates'!$B$9:$B$1008,$I136-8)))</x:f>
      </x:c>
      <x:c r="C136" s="51" t="str">
        <x:f>IF(128&gt;$H$4,"",IF(INDEX('Fleet dates'!$C$9:$C$1008,$I136-8)="","",INDEX('Fleet dates'!$C$9:$C$1008,$I136-8)))</x:f>
      </x:c>
      <x:c r="D136" s="51" t="str">
        <x:f>IF(128&gt;$H$4,"",IF(INDEX('Fleet dates'!$D$9:$D$1008,$I136-8)="","",INDEX('Fleet dates'!$D$9:$D$1008,$I136-8)))</x:f>
      </x:c>
      <x:c r="E136" s="51" t="str">
        <x:f>IF(128&gt;$H$4,"",IF(INDEX('Fleet dates'!$E$9:$E$1008,$I136-8)="","",INDEX('Fleet dates'!$E$9:$E$1008,$I136-8)))</x:f>
      </x:c>
      <x:c r="F136" s="51" t="str">
        <x:f>IF(128&gt;$H$4,"",IF(INDEX('Fleet dates'!$F$9:$F$1008,$I136-8)="","",INDEX('Fleet dates'!$F$9:$F$1008,$I136-8)))</x:f>
      </x:c>
      <x:c r="G136" s="50" t="str">
        <x:f>IF(128&gt;$H$4,"",IF(INDEX('Fleet dates'!$G$9:$G$1008,$I136-8)="","",INDEX('Fleet dates'!$G$9:$G$1008,$I136-8)))</x:f>
      </x:c>
      <x:c r="H136" s="50" t="str">
        <x:f>IF(128&gt;$H$4,"",IF(INDEX('Fleet dates'!$I$9:$I$1008,$I136-8)="","",INDEX('Fleet dates'!$I$9:$I$1008,$I136-8)))</x:f>
      </x:c>
      <x:c r="I136" t="str">
        <x:f>IF(128&gt;$H$4,"",MATCH(128,'Fleet dates'!$N$9:$N$1008,0)+8)</x:f>
      </x:c>
    </x:row>
    <x:row r="137" ht="36" customHeight="1">
      <x:c r="A137" s="50" t="str">
        <x:f>IF(129&gt;$H$4,"",IF(INDEX('Fleet dates'!$A$9:$A$1008,$I137-8)="","",INDEX('Fleet dates'!$A$9:$A$1008,$I137-8)))</x:f>
      </x:c>
      <x:c r="B137" s="50" t="str">
        <x:f>IF(129&gt;$H$4,"",IF(INDEX('Fleet dates'!$B$9:$B$1008,$I137-8)="","",INDEX('Fleet dates'!$B$9:$B$1008,$I137-8)))</x:f>
      </x:c>
      <x:c r="C137" s="51" t="str">
        <x:f>IF(129&gt;$H$4,"",IF(INDEX('Fleet dates'!$C$9:$C$1008,$I137-8)="","",INDEX('Fleet dates'!$C$9:$C$1008,$I137-8)))</x:f>
      </x:c>
      <x:c r="D137" s="51" t="str">
        <x:f>IF(129&gt;$H$4,"",IF(INDEX('Fleet dates'!$D$9:$D$1008,$I137-8)="","",INDEX('Fleet dates'!$D$9:$D$1008,$I137-8)))</x:f>
      </x:c>
      <x:c r="E137" s="51" t="str">
        <x:f>IF(129&gt;$H$4,"",IF(INDEX('Fleet dates'!$E$9:$E$1008,$I137-8)="","",INDEX('Fleet dates'!$E$9:$E$1008,$I137-8)))</x:f>
      </x:c>
      <x:c r="F137" s="51" t="str">
        <x:f>IF(129&gt;$H$4,"",IF(INDEX('Fleet dates'!$F$9:$F$1008,$I137-8)="","",INDEX('Fleet dates'!$F$9:$F$1008,$I137-8)))</x:f>
      </x:c>
      <x:c r="G137" s="50" t="str">
        <x:f>IF(129&gt;$H$4,"",IF(INDEX('Fleet dates'!$G$9:$G$1008,$I137-8)="","",INDEX('Fleet dates'!$G$9:$G$1008,$I137-8)))</x:f>
      </x:c>
      <x:c r="H137" s="50" t="str">
        <x:f>IF(129&gt;$H$4,"",IF(INDEX('Fleet dates'!$I$9:$I$1008,$I137-8)="","",INDEX('Fleet dates'!$I$9:$I$1008,$I137-8)))</x:f>
      </x:c>
      <x:c r="I137" t="str">
        <x:f>IF(129&gt;$H$4,"",MATCH(129,'Fleet dates'!$N$9:$N$1008,0)+8)</x:f>
      </x:c>
    </x:row>
    <x:row r="138" ht="36" customHeight="1">
      <x:c r="A138" s="50" t="str">
        <x:f>IF(130&gt;$H$4,"",IF(INDEX('Fleet dates'!$A$9:$A$1008,$I138-8)="","",INDEX('Fleet dates'!$A$9:$A$1008,$I138-8)))</x:f>
      </x:c>
      <x:c r="B138" s="50" t="str">
        <x:f>IF(130&gt;$H$4,"",IF(INDEX('Fleet dates'!$B$9:$B$1008,$I138-8)="","",INDEX('Fleet dates'!$B$9:$B$1008,$I138-8)))</x:f>
      </x:c>
      <x:c r="C138" s="51" t="str">
        <x:f>IF(130&gt;$H$4,"",IF(INDEX('Fleet dates'!$C$9:$C$1008,$I138-8)="","",INDEX('Fleet dates'!$C$9:$C$1008,$I138-8)))</x:f>
      </x:c>
      <x:c r="D138" s="51" t="str">
        <x:f>IF(130&gt;$H$4,"",IF(INDEX('Fleet dates'!$D$9:$D$1008,$I138-8)="","",INDEX('Fleet dates'!$D$9:$D$1008,$I138-8)))</x:f>
      </x:c>
      <x:c r="E138" s="51" t="str">
        <x:f>IF(130&gt;$H$4,"",IF(INDEX('Fleet dates'!$E$9:$E$1008,$I138-8)="","",INDEX('Fleet dates'!$E$9:$E$1008,$I138-8)))</x:f>
      </x:c>
      <x:c r="F138" s="51" t="str">
        <x:f>IF(130&gt;$H$4,"",IF(INDEX('Fleet dates'!$F$9:$F$1008,$I138-8)="","",INDEX('Fleet dates'!$F$9:$F$1008,$I138-8)))</x:f>
      </x:c>
      <x:c r="G138" s="50" t="str">
        <x:f>IF(130&gt;$H$4,"",IF(INDEX('Fleet dates'!$G$9:$G$1008,$I138-8)="","",INDEX('Fleet dates'!$G$9:$G$1008,$I138-8)))</x:f>
      </x:c>
      <x:c r="H138" s="50" t="str">
        <x:f>IF(130&gt;$H$4,"",IF(INDEX('Fleet dates'!$I$9:$I$1008,$I138-8)="","",INDEX('Fleet dates'!$I$9:$I$1008,$I138-8)))</x:f>
      </x:c>
      <x:c r="I138" t="str">
        <x:f>IF(130&gt;$H$4,"",MATCH(130,'Fleet dates'!$N$9:$N$1008,0)+8)</x:f>
      </x:c>
    </x:row>
    <x:row r="139" ht="36" customHeight="1">
      <x:c r="A139" s="50" t="str">
        <x:f>IF(131&gt;$H$4,"",IF(INDEX('Fleet dates'!$A$9:$A$1008,$I139-8)="","",INDEX('Fleet dates'!$A$9:$A$1008,$I139-8)))</x:f>
      </x:c>
      <x:c r="B139" s="50" t="str">
        <x:f>IF(131&gt;$H$4,"",IF(INDEX('Fleet dates'!$B$9:$B$1008,$I139-8)="","",INDEX('Fleet dates'!$B$9:$B$1008,$I139-8)))</x:f>
      </x:c>
      <x:c r="C139" s="51" t="str">
        <x:f>IF(131&gt;$H$4,"",IF(INDEX('Fleet dates'!$C$9:$C$1008,$I139-8)="","",INDEX('Fleet dates'!$C$9:$C$1008,$I139-8)))</x:f>
      </x:c>
      <x:c r="D139" s="51" t="str">
        <x:f>IF(131&gt;$H$4,"",IF(INDEX('Fleet dates'!$D$9:$D$1008,$I139-8)="","",INDEX('Fleet dates'!$D$9:$D$1008,$I139-8)))</x:f>
      </x:c>
      <x:c r="E139" s="51" t="str">
        <x:f>IF(131&gt;$H$4,"",IF(INDEX('Fleet dates'!$E$9:$E$1008,$I139-8)="","",INDEX('Fleet dates'!$E$9:$E$1008,$I139-8)))</x:f>
      </x:c>
      <x:c r="F139" s="51" t="str">
        <x:f>IF(131&gt;$H$4,"",IF(INDEX('Fleet dates'!$F$9:$F$1008,$I139-8)="","",INDEX('Fleet dates'!$F$9:$F$1008,$I139-8)))</x:f>
      </x:c>
      <x:c r="G139" s="50" t="str">
        <x:f>IF(131&gt;$H$4,"",IF(INDEX('Fleet dates'!$G$9:$G$1008,$I139-8)="","",INDEX('Fleet dates'!$G$9:$G$1008,$I139-8)))</x:f>
      </x:c>
      <x:c r="H139" s="50" t="str">
        <x:f>IF(131&gt;$H$4,"",IF(INDEX('Fleet dates'!$I$9:$I$1008,$I139-8)="","",INDEX('Fleet dates'!$I$9:$I$1008,$I139-8)))</x:f>
      </x:c>
      <x:c r="I139" t="str">
        <x:f>IF(131&gt;$H$4,"",MATCH(131,'Fleet dates'!$N$9:$N$1008,0)+8)</x:f>
      </x:c>
    </x:row>
    <x:row r="140" ht="36" customHeight="1">
      <x:c r="A140" s="50" t="str">
        <x:f>IF(132&gt;$H$4,"",IF(INDEX('Fleet dates'!$A$9:$A$1008,$I140-8)="","",INDEX('Fleet dates'!$A$9:$A$1008,$I140-8)))</x:f>
      </x:c>
      <x:c r="B140" s="50" t="str">
        <x:f>IF(132&gt;$H$4,"",IF(INDEX('Fleet dates'!$B$9:$B$1008,$I140-8)="","",INDEX('Fleet dates'!$B$9:$B$1008,$I140-8)))</x:f>
      </x:c>
      <x:c r="C140" s="51" t="str">
        <x:f>IF(132&gt;$H$4,"",IF(INDEX('Fleet dates'!$C$9:$C$1008,$I140-8)="","",INDEX('Fleet dates'!$C$9:$C$1008,$I140-8)))</x:f>
      </x:c>
      <x:c r="D140" s="51" t="str">
        <x:f>IF(132&gt;$H$4,"",IF(INDEX('Fleet dates'!$D$9:$D$1008,$I140-8)="","",INDEX('Fleet dates'!$D$9:$D$1008,$I140-8)))</x:f>
      </x:c>
      <x:c r="E140" s="51" t="str">
        <x:f>IF(132&gt;$H$4,"",IF(INDEX('Fleet dates'!$E$9:$E$1008,$I140-8)="","",INDEX('Fleet dates'!$E$9:$E$1008,$I140-8)))</x:f>
      </x:c>
      <x:c r="F140" s="51" t="str">
        <x:f>IF(132&gt;$H$4,"",IF(INDEX('Fleet dates'!$F$9:$F$1008,$I140-8)="","",INDEX('Fleet dates'!$F$9:$F$1008,$I140-8)))</x:f>
      </x:c>
      <x:c r="G140" s="50" t="str">
        <x:f>IF(132&gt;$H$4,"",IF(INDEX('Fleet dates'!$G$9:$G$1008,$I140-8)="","",INDEX('Fleet dates'!$G$9:$G$1008,$I140-8)))</x:f>
      </x:c>
      <x:c r="H140" s="50" t="str">
        <x:f>IF(132&gt;$H$4,"",IF(INDEX('Fleet dates'!$I$9:$I$1008,$I140-8)="","",INDEX('Fleet dates'!$I$9:$I$1008,$I140-8)))</x:f>
      </x:c>
      <x:c r="I140" t="str">
        <x:f>IF(132&gt;$H$4,"",MATCH(132,'Fleet dates'!$N$9:$N$1008,0)+8)</x:f>
      </x:c>
    </x:row>
    <x:row r="141" ht="36" customHeight="1">
      <x:c r="A141" s="50" t="str">
        <x:f>IF(133&gt;$H$4,"",IF(INDEX('Fleet dates'!$A$9:$A$1008,$I141-8)="","",INDEX('Fleet dates'!$A$9:$A$1008,$I141-8)))</x:f>
      </x:c>
      <x:c r="B141" s="50" t="str">
        <x:f>IF(133&gt;$H$4,"",IF(INDEX('Fleet dates'!$B$9:$B$1008,$I141-8)="","",INDEX('Fleet dates'!$B$9:$B$1008,$I141-8)))</x:f>
      </x:c>
      <x:c r="C141" s="51" t="str">
        <x:f>IF(133&gt;$H$4,"",IF(INDEX('Fleet dates'!$C$9:$C$1008,$I141-8)="","",INDEX('Fleet dates'!$C$9:$C$1008,$I141-8)))</x:f>
      </x:c>
      <x:c r="D141" s="51" t="str">
        <x:f>IF(133&gt;$H$4,"",IF(INDEX('Fleet dates'!$D$9:$D$1008,$I141-8)="","",INDEX('Fleet dates'!$D$9:$D$1008,$I141-8)))</x:f>
      </x:c>
      <x:c r="E141" s="51" t="str">
        <x:f>IF(133&gt;$H$4,"",IF(INDEX('Fleet dates'!$E$9:$E$1008,$I141-8)="","",INDEX('Fleet dates'!$E$9:$E$1008,$I141-8)))</x:f>
      </x:c>
      <x:c r="F141" s="51" t="str">
        <x:f>IF(133&gt;$H$4,"",IF(INDEX('Fleet dates'!$F$9:$F$1008,$I141-8)="","",INDEX('Fleet dates'!$F$9:$F$1008,$I141-8)))</x:f>
      </x:c>
      <x:c r="G141" s="50" t="str">
        <x:f>IF(133&gt;$H$4,"",IF(INDEX('Fleet dates'!$G$9:$G$1008,$I141-8)="","",INDEX('Fleet dates'!$G$9:$G$1008,$I141-8)))</x:f>
      </x:c>
      <x:c r="H141" s="50" t="str">
        <x:f>IF(133&gt;$H$4,"",IF(INDEX('Fleet dates'!$I$9:$I$1008,$I141-8)="","",INDEX('Fleet dates'!$I$9:$I$1008,$I141-8)))</x:f>
      </x:c>
      <x:c r="I141" t="str">
        <x:f>IF(133&gt;$H$4,"",MATCH(133,'Fleet dates'!$N$9:$N$1008,0)+8)</x:f>
      </x:c>
    </x:row>
    <x:row r="142" ht="36" customHeight="1">
      <x:c r="A142" s="50" t="str">
        <x:f>IF(134&gt;$H$4,"",IF(INDEX('Fleet dates'!$A$9:$A$1008,$I142-8)="","",INDEX('Fleet dates'!$A$9:$A$1008,$I142-8)))</x:f>
      </x:c>
      <x:c r="B142" s="50" t="str">
        <x:f>IF(134&gt;$H$4,"",IF(INDEX('Fleet dates'!$B$9:$B$1008,$I142-8)="","",INDEX('Fleet dates'!$B$9:$B$1008,$I142-8)))</x:f>
      </x:c>
      <x:c r="C142" s="51" t="str">
        <x:f>IF(134&gt;$H$4,"",IF(INDEX('Fleet dates'!$C$9:$C$1008,$I142-8)="","",INDEX('Fleet dates'!$C$9:$C$1008,$I142-8)))</x:f>
      </x:c>
      <x:c r="D142" s="51" t="str">
        <x:f>IF(134&gt;$H$4,"",IF(INDEX('Fleet dates'!$D$9:$D$1008,$I142-8)="","",INDEX('Fleet dates'!$D$9:$D$1008,$I142-8)))</x:f>
      </x:c>
      <x:c r="E142" s="51" t="str">
        <x:f>IF(134&gt;$H$4,"",IF(INDEX('Fleet dates'!$E$9:$E$1008,$I142-8)="","",INDEX('Fleet dates'!$E$9:$E$1008,$I142-8)))</x:f>
      </x:c>
      <x:c r="F142" s="51" t="str">
        <x:f>IF(134&gt;$H$4,"",IF(INDEX('Fleet dates'!$F$9:$F$1008,$I142-8)="","",INDEX('Fleet dates'!$F$9:$F$1008,$I142-8)))</x:f>
      </x:c>
      <x:c r="G142" s="50" t="str">
        <x:f>IF(134&gt;$H$4,"",IF(INDEX('Fleet dates'!$G$9:$G$1008,$I142-8)="","",INDEX('Fleet dates'!$G$9:$G$1008,$I142-8)))</x:f>
      </x:c>
      <x:c r="H142" s="50" t="str">
        <x:f>IF(134&gt;$H$4,"",IF(INDEX('Fleet dates'!$I$9:$I$1008,$I142-8)="","",INDEX('Fleet dates'!$I$9:$I$1008,$I142-8)))</x:f>
      </x:c>
      <x:c r="I142" t="str">
        <x:f>IF(134&gt;$H$4,"",MATCH(134,'Fleet dates'!$N$9:$N$1008,0)+8)</x:f>
      </x:c>
    </x:row>
    <x:row r="143" ht="36" customHeight="1">
      <x:c r="A143" s="50" t="str">
        <x:f>IF(135&gt;$H$4,"",IF(INDEX('Fleet dates'!$A$9:$A$1008,$I143-8)="","",INDEX('Fleet dates'!$A$9:$A$1008,$I143-8)))</x:f>
      </x:c>
      <x:c r="B143" s="50" t="str">
        <x:f>IF(135&gt;$H$4,"",IF(INDEX('Fleet dates'!$B$9:$B$1008,$I143-8)="","",INDEX('Fleet dates'!$B$9:$B$1008,$I143-8)))</x:f>
      </x:c>
      <x:c r="C143" s="51" t="str">
        <x:f>IF(135&gt;$H$4,"",IF(INDEX('Fleet dates'!$C$9:$C$1008,$I143-8)="","",INDEX('Fleet dates'!$C$9:$C$1008,$I143-8)))</x:f>
      </x:c>
      <x:c r="D143" s="51" t="str">
        <x:f>IF(135&gt;$H$4,"",IF(INDEX('Fleet dates'!$D$9:$D$1008,$I143-8)="","",INDEX('Fleet dates'!$D$9:$D$1008,$I143-8)))</x:f>
      </x:c>
      <x:c r="E143" s="51" t="str">
        <x:f>IF(135&gt;$H$4,"",IF(INDEX('Fleet dates'!$E$9:$E$1008,$I143-8)="","",INDEX('Fleet dates'!$E$9:$E$1008,$I143-8)))</x:f>
      </x:c>
      <x:c r="F143" s="51" t="str">
        <x:f>IF(135&gt;$H$4,"",IF(INDEX('Fleet dates'!$F$9:$F$1008,$I143-8)="","",INDEX('Fleet dates'!$F$9:$F$1008,$I143-8)))</x:f>
      </x:c>
      <x:c r="G143" s="50" t="str">
        <x:f>IF(135&gt;$H$4,"",IF(INDEX('Fleet dates'!$G$9:$G$1008,$I143-8)="","",INDEX('Fleet dates'!$G$9:$G$1008,$I143-8)))</x:f>
      </x:c>
      <x:c r="H143" s="50" t="str">
        <x:f>IF(135&gt;$H$4,"",IF(INDEX('Fleet dates'!$I$9:$I$1008,$I143-8)="","",INDEX('Fleet dates'!$I$9:$I$1008,$I143-8)))</x:f>
      </x:c>
      <x:c r="I143" t="str">
        <x:f>IF(135&gt;$H$4,"",MATCH(135,'Fleet dates'!$N$9:$N$1008,0)+8)</x:f>
      </x:c>
    </x:row>
    <x:row r="144" ht="36" customHeight="1">
      <x:c r="A144" s="50" t="str">
        <x:f>IF(136&gt;$H$4,"",IF(INDEX('Fleet dates'!$A$9:$A$1008,$I144-8)="","",INDEX('Fleet dates'!$A$9:$A$1008,$I144-8)))</x:f>
      </x:c>
      <x:c r="B144" s="50" t="str">
        <x:f>IF(136&gt;$H$4,"",IF(INDEX('Fleet dates'!$B$9:$B$1008,$I144-8)="","",INDEX('Fleet dates'!$B$9:$B$1008,$I144-8)))</x:f>
      </x:c>
      <x:c r="C144" s="51" t="str">
        <x:f>IF(136&gt;$H$4,"",IF(INDEX('Fleet dates'!$C$9:$C$1008,$I144-8)="","",INDEX('Fleet dates'!$C$9:$C$1008,$I144-8)))</x:f>
      </x:c>
      <x:c r="D144" s="51" t="str">
        <x:f>IF(136&gt;$H$4,"",IF(INDEX('Fleet dates'!$D$9:$D$1008,$I144-8)="","",INDEX('Fleet dates'!$D$9:$D$1008,$I144-8)))</x:f>
      </x:c>
      <x:c r="E144" s="51" t="str">
        <x:f>IF(136&gt;$H$4,"",IF(INDEX('Fleet dates'!$E$9:$E$1008,$I144-8)="","",INDEX('Fleet dates'!$E$9:$E$1008,$I144-8)))</x:f>
      </x:c>
      <x:c r="F144" s="51" t="str">
        <x:f>IF(136&gt;$H$4,"",IF(INDEX('Fleet dates'!$F$9:$F$1008,$I144-8)="","",INDEX('Fleet dates'!$F$9:$F$1008,$I144-8)))</x:f>
      </x:c>
      <x:c r="G144" s="50" t="str">
        <x:f>IF(136&gt;$H$4,"",IF(INDEX('Fleet dates'!$G$9:$G$1008,$I144-8)="","",INDEX('Fleet dates'!$G$9:$G$1008,$I144-8)))</x:f>
      </x:c>
      <x:c r="H144" s="50" t="str">
        <x:f>IF(136&gt;$H$4,"",IF(INDEX('Fleet dates'!$I$9:$I$1008,$I144-8)="","",INDEX('Fleet dates'!$I$9:$I$1008,$I144-8)))</x:f>
      </x:c>
      <x:c r="I144" t="str">
        <x:f>IF(136&gt;$H$4,"",MATCH(136,'Fleet dates'!$N$9:$N$1008,0)+8)</x:f>
      </x:c>
    </x:row>
    <x:row r="145" ht="36" customHeight="1">
      <x:c r="A145" s="50" t="str">
        <x:f>IF(137&gt;$H$4,"",IF(INDEX('Fleet dates'!$A$9:$A$1008,$I145-8)="","",INDEX('Fleet dates'!$A$9:$A$1008,$I145-8)))</x:f>
      </x:c>
      <x:c r="B145" s="50" t="str">
        <x:f>IF(137&gt;$H$4,"",IF(INDEX('Fleet dates'!$B$9:$B$1008,$I145-8)="","",INDEX('Fleet dates'!$B$9:$B$1008,$I145-8)))</x:f>
      </x:c>
      <x:c r="C145" s="51" t="str">
        <x:f>IF(137&gt;$H$4,"",IF(INDEX('Fleet dates'!$C$9:$C$1008,$I145-8)="","",INDEX('Fleet dates'!$C$9:$C$1008,$I145-8)))</x:f>
      </x:c>
      <x:c r="D145" s="51" t="str">
        <x:f>IF(137&gt;$H$4,"",IF(INDEX('Fleet dates'!$D$9:$D$1008,$I145-8)="","",INDEX('Fleet dates'!$D$9:$D$1008,$I145-8)))</x:f>
      </x:c>
      <x:c r="E145" s="51" t="str">
        <x:f>IF(137&gt;$H$4,"",IF(INDEX('Fleet dates'!$E$9:$E$1008,$I145-8)="","",INDEX('Fleet dates'!$E$9:$E$1008,$I145-8)))</x:f>
      </x:c>
      <x:c r="F145" s="51" t="str">
        <x:f>IF(137&gt;$H$4,"",IF(INDEX('Fleet dates'!$F$9:$F$1008,$I145-8)="","",INDEX('Fleet dates'!$F$9:$F$1008,$I145-8)))</x:f>
      </x:c>
      <x:c r="G145" s="50" t="str">
        <x:f>IF(137&gt;$H$4,"",IF(INDEX('Fleet dates'!$G$9:$G$1008,$I145-8)="","",INDEX('Fleet dates'!$G$9:$G$1008,$I145-8)))</x:f>
      </x:c>
      <x:c r="H145" s="50" t="str">
        <x:f>IF(137&gt;$H$4,"",IF(INDEX('Fleet dates'!$I$9:$I$1008,$I145-8)="","",INDEX('Fleet dates'!$I$9:$I$1008,$I145-8)))</x:f>
      </x:c>
      <x:c r="I145" t="str">
        <x:f>IF(137&gt;$H$4,"",MATCH(137,'Fleet dates'!$N$9:$N$1008,0)+8)</x:f>
      </x:c>
    </x:row>
    <x:row r="146" ht="36" customHeight="1">
      <x:c r="A146" s="50" t="str">
        <x:f>IF(138&gt;$H$4,"",IF(INDEX('Fleet dates'!$A$9:$A$1008,$I146-8)="","",INDEX('Fleet dates'!$A$9:$A$1008,$I146-8)))</x:f>
      </x:c>
      <x:c r="B146" s="50" t="str">
        <x:f>IF(138&gt;$H$4,"",IF(INDEX('Fleet dates'!$B$9:$B$1008,$I146-8)="","",INDEX('Fleet dates'!$B$9:$B$1008,$I146-8)))</x:f>
      </x:c>
      <x:c r="C146" s="51" t="str">
        <x:f>IF(138&gt;$H$4,"",IF(INDEX('Fleet dates'!$C$9:$C$1008,$I146-8)="","",INDEX('Fleet dates'!$C$9:$C$1008,$I146-8)))</x:f>
      </x:c>
      <x:c r="D146" s="51" t="str">
        <x:f>IF(138&gt;$H$4,"",IF(INDEX('Fleet dates'!$D$9:$D$1008,$I146-8)="","",INDEX('Fleet dates'!$D$9:$D$1008,$I146-8)))</x:f>
      </x:c>
      <x:c r="E146" s="51" t="str">
        <x:f>IF(138&gt;$H$4,"",IF(INDEX('Fleet dates'!$E$9:$E$1008,$I146-8)="","",INDEX('Fleet dates'!$E$9:$E$1008,$I146-8)))</x:f>
      </x:c>
      <x:c r="F146" s="51" t="str">
        <x:f>IF(138&gt;$H$4,"",IF(INDEX('Fleet dates'!$F$9:$F$1008,$I146-8)="","",INDEX('Fleet dates'!$F$9:$F$1008,$I146-8)))</x:f>
      </x:c>
      <x:c r="G146" s="50" t="str">
        <x:f>IF(138&gt;$H$4,"",IF(INDEX('Fleet dates'!$G$9:$G$1008,$I146-8)="","",INDEX('Fleet dates'!$G$9:$G$1008,$I146-8)))</x:f>
      </x:c>
      <x:c r="H146" s="50" t="str">
        <x:f>IF(138&gt;$H$4,"",IF(INDEX('Fleet dates'!$I$9:$I$1008,$I146-8)="","",INDEX('Fleet dates'!$I$9:$I$1008,$I146-8)))</x:f>
      </x:c>
      <x:c r="I146" t="str">
        <x:f>IF(138&gt;$H$4,"",MATCH(138,'Fleet dates'!$N$9:$N$1008,0)+8)</x:f>
      </x:c>
    </x:row>
    <x:row r="147" ht="36" customHeight="1">
      <x:c r="A147" s="50" t="str">
        <x:f>IF(139&gt;$H$4,"",IF(INDEX('Fleet dates'!$A$9:$A$1008,$I147-8)="","",INDEX('Fleet dates'!$A$9:$A$1008,$I147-8)))</x:f>
      </x:c>
      <x:c r="B147" s="50" t="str">
        <x:f>IF(139&gt;$H$4,"",IF(INDEX('Fleet dates'!$B$9:$B$1008,$I147-8)="","",INDEX('Fleet dates'!$B$9:$B$1008,$I147-8)))</x:f>
      </x:c>
      <x:c r="C147" s="51" t="str">
        <x:f>IF(139&gt;$H$4,"",IF(INDEX('Fleet dates'!$C$9:$C$1008,$I147-8)="","",INDEX('Fleet dates'!$C$9:$C$1008,$I147-8)))</x:f>
      </x:c>
      <x:c r="D147" s="51" t="str">
        <x:f>IF(139&gt;$H$4,"",IF(INDEX('Fleet dates'!$D$9:$D$1008,$I147-8)="","",INDEX('Fleet dates'!$D$9:$D$1008,$I147-8)))</x:f>
      </x:c>
      <x:c r="E147" s="51" t="str">
        <x:f>IF(139&gt;$H$4,"",IF(INDEX('Fleet dates'!$E$9:$E$1008,$I147-8)="","",INDEX('Fleet dates'!$E$9:$E$1008,$I147-8)))</x:f>
      </x:c>
      <x:c r="F147" s="51" t="str">
        <x:f>IF(139&gt;$H$4,"",IF(INDEX('Fleet dates'!$F$9:$F$1008,$I147-8)="","",INDEX('Fleet dates'!$F$9:$F$1008,$I147-8)))</x:f>
      </x:c>
      <x:c r="G147" s="50" t="str">
        <x:f>IF(139&gt;$H$4,"",IF(INDEX('Fleet dates'!$G$9:$G$1008,$I147-8)="","",INDEX('Fleet dates'!$G$9:$G$1008,$I147-8)))</x:f>
      </x:c>
      <x:c r="H147" s="50" t="str">
        <x:f>IF(139&gt;$H$4,"",IF(INDEX('Fleet dates'!$I$9:$I$1008,$I147-8)="","",INDEX('Fleet dates'!$I$9:$I$1008,$I147-8)))</x:f>
      </x:c>
      <x:c r="I147" t="str">
        <x:f>IF(139&gt;$H$4,"",MATCH(139,'Fleet dates'!$N$9:$N$1008,0)+8)</x:f>
      </x:c>
    </x:row>
    <x:row r="148" ht="36" customHeight="1">
      <x:c r="A148" s="50" t="str">
        <x:f>IF(140&gt;$H$4,"",IF(INDEX('Fleet dates'!$A$9:$A$1008,$I148-8)="","",INDEX('Fleet dates'!$A$9:$A$1008,$I148-8)))</x:f>
      </x:c>
      <x:c r="B148" s="50" t="str">
        <x:f>IF(140&gt;$H$4,"",IF(INDEX('Fleet dates'!$B$9:$B$1008,$I148-8)="","",INDEX('Fleet dates'!$B$9:$B$1008,$I148-8)))</x:f>
      </x:c>
      <x:c r="C148" s="51" t="str">
        <x:f>IF(140&gt;$H$4,"",IF(INDEX('Fleet dates'!$C$9:$C$1008,$I148-8)="","",INDEX('Fleet dates'!$C$9:$C$1008,$I148-8)))</x:f>
      </x:c>
      <x:c r="D148" s="51" t="str">
        <x:f>IF(140&gt;$H$4,"",IF(INDEX('Fleet dates'!$D$9:$D$1008,$I148-8)="","",INDEX('Fleet dates'!$D$9:$D$1008,$I148-8)))</x:f>
      </x:c>
      <x:c r="E148" s="51" t="str">
        <x:f>IF(140&gt;$H$4,"",IF(INDEX('Fleet dates'!$E$9:$E$1008,$I148-8)="","",INDEX('Fleet dates'!$E$9:$E$1008,$I148-8)))</x:f>
      </x:c>
      <x:c r="F148" s="51" t="str">
        <x:f>IF(140&gt;$H$4,"",IF(INDEX('Fleet dates'!$F$9:$F$1008,$I148-8)="","",INDEX('Fleet dates'!$F$9:$F$1008,$I148-8)))</x:f>
      </x:c>
      <x:c r="G148" s="50" t="str">
        <x:f>IF(140&gt;$H$4,"",IF(INDEX('Fleet dates'!$G$9:$G$1008,$I148-8)="","",INDEX('Fleet dates'!$G$9:$G$1008,$I148-8)))</x:f>
      </x:c>
      <x:c r="H148" s="50" t="str">
        <x:f>IF(140&gt;$H$4,"",IF(INDEX('Fleet dates'!$I$9:$I$1008,$I148-8)="","",INDEX('Fleet dates'!$I$9:$I$1008,$I148-8)))</x:f>
      </x:c>
      <x:c r="I148" t="str">
        <x:f>IF(140&gt;$H$4,"",MATCH(140,'Fleet dates'!$N$9:$N$1008,0)+8)</x:f>
      </x:c>
    </x:row>
    <x:row r="149" ht="36" customHeight="1">
      <x:c r="A149" s="50" t="str">
        <x:f>IF(141&gt;$H$4,"",IF(INDEX('Fleet dates'!$A$9:$A$1008,$I149-8)="","",INDEX('Fleet dates'!$A$9:$A$1008,$I149-8)))</x:f>
      </x:c>
      <x:c r="B149" s="50" t="str">
        <x:f>IF(141&gt;$H$4,"",IF(INDEX('Fleet dates'!$B$9:$B$1008,$I149-8)="","",INDEX('Fleet dates'!$B$9:$B$1008,$I149-8)))</x:f>
      </x:c>
      <x:c r="C149" s="51" t="str">
        <x:f>IF(141&gt;$H$4,"",IF(INDEX('Fleet dates'!$C$9:$C$1008,$I149-8)="","",INDEX('Fleet dates'!$C$9:$C$1008,$I149-8)))</x:f>
      </x:c>
      <x:c r="D149" s="51" t="str">
        <x:f>IF(141&gt;$H$4,"",IF(INDEX('Fleet dates'!$D$9:$D$1008,$I149-8)="","",INDEX('Fleet dates'!$D$9:$D$1008,$I149-8)))</x:f>
      </x:c>
      <x:c r="E149" s="51" t="str">
        <x:f>IF(141&gt;$H$4,"",IF(INDEX('Fleet dates'!$E$9:$E$1008,$I149-8)="","",INDEX('Fleet dates'!$E$9:$E$1008,$I149-8)))</x:f>
      </x:c>
      <x:c r="F149" s="51" t="str">
        <x:f>IF(141&gt;$H$4,"",IF(INDEX('Fleet dates'!$F$9:$F$1008,$I149-8)="","",INDEX('Fleet dates'!$F$9:$F$1008,$I149-8)))</x:f>
      </x:c>
      <x:c r="G149" s="50" t="str">
        <x:f>IF(141&gt;$H$4,"",IF(INDEX('Fleet dates'!$G$9:$G$1008,$I149-8)="","",INDEX('Fleet dates'!$G$9:$G$1008,$I149-8)))</x:f>
      </x:c>
      <x:c r="H149" s="50" t="str">
        <x:f>IF(141&gt;$H$4,"",IF(INDEX('Fleet dates'!$I$9:$I$1008,$I149-8)="","",INDEX('Fleet dates'!$I$9:$I$1008,$I149-8)))</x:f>
      </x:c>
      <x:c r="I149" t="str">
        <x:f>IF(141&gt;$H$4,"",MATCH(141,'Fleet dates'!$N$9:$N$1008,0)+8)</x:f>
      </x:c>
    </x:row>
    <x:row r="150" ht="36" customHeight="1">
      <x:c r="A150" s="50" t="str">
        <x:f>IF(142&gt;$H$4,"",IF(INDEX('Fleet dates'!$A$9:$A$1008,$I150-8)="","",INDEX('Fleet dates'!$A$9:$A$1008,$I150-8)))</x:f>
      </x:c>
      <x:c r="B150" s="50" t="str">
        <x:f>IF(142&gt;$H$4,"",IF(INDEX('Fleet dates'!$B$9:$B$1008,$I150-8)="","",INDEX('Fleet dates'!$B$9:$B$1008,$I150-8)))</x:f>
      </x:c>
      <x:c r="C150" s="51" t="str">
        <x:f>IF(142&gt;$H$4,"",IF(INDEX('Fleet dates'!$C$9:$C$1008,$I150-8)="","",INDEX('Fleet dates'!$C$9:$C$1008,$I150-8)))</x:f>
      </x:c>
      <x:c r="D150" s="51" t="str">
        <x:f>IF(142&gt;$H$4,"",IF(INDEX('Fleet dates'!$D$9:$D$1008,$I150-8)="","",INDEX('Fleet dates'!$D$9:$D$1008,$I150-8)))</x:f>
      </x:c>
      <x:c r="E150" s="51" t="str">
        <x:f>IF(142&gt;$H$4,"",IF(INDEX('Fleet dates'!$E$9:$E$1008,$I150-8)="","",INDEX('Fleet dates'!$E$9:$E$1008,$I150-8)))</x:f>
      </x:c>
      <x:c r="F150" s="51" t="str">
        <x:f>IF(142&gt;$H$4,"",IF(INDEX('Fleet dates'!$F$9:$F$1008,$I150-8)="","",INDEX('Fleet dates'!$F$9:$F$1008,$I150-8)))</x:f>
      </x:c>
      <x:c r="G150" s="50" t="str">
        <x:f>IF(142&gt;$H$4,"",IF(INDEX('Fleet dates'!$G$9:$G$1008,$I150-8)="","",INDEX('Fleet dates'!$G$9:$G$1008,$I150-8)))</x:f>
      </x:c>
      <x:c r="H150" s="50" t="str">
        <x:f>IF(142&gt;$H$4,"",IF(INDEX('Fleet dates'!$I$9:$I$1008,$I150-8)="","",INDEX('Fleet dates'!$I$9:$I$1008,$I150-8)))</x:f>
      </x:c>
      <x:c r="I150" t="str">
        <x:f>IF(142&gt;$H$4,"",MATCH(142,'Fleet dates'!$N$9:$N$1008,0)+8)</x:f>
      </x:c>
    </x:row>
    <x:row r="151" ht="36" customHeight="1">
      <x:c r="A151" s="50" t="str">
        <x:f>IF(143&gt;$H$4,"",IF(INDEX('Fleet dates'!$A$9:$A$1008,$I151-8)="","",INDEX('Fleet dates'!$A$9:$A$1008,$I151-8)))</x:f>
      </x:c>
      <x:c r="B151" s="50" t="str">
        <x:f>IF(143&gt;$H$4,"",IF(INDEX('Fleet dates'!$B$9:$B$1008,$I151-8)="","",INDEX('Fleet dates'!$B$9:$B$1008,$I151-8)))</x:f>
      </x:c>
      <x:c r="C151" s="51" t="str">
        <x:f>IF(143&gt;$H$4,"",IF(INDEX('Fleet dates'!$C$9:$C$1008,$I151-8)="","",INDEX('Fleet dates'!$C$9:$C$1008,$I151-8)))</x:f>
      </x:c>
      <x:c r="D151" s="51" t="str">
        <x:f>IF(143&gt;$H$4,"",IF(INDEX('Fleet dates'!$D$9:$D$1008,$I151-8)="","",INDEX('Fleet dates'!$D$9:$D$1008,$I151-8)))</x:f>
      </x:c>
      <x:c r="E151" s="51" t="str">
        <x:f>IF(143&gt;$H$4,"",IF(INDEX('Fleet dates'!$E$9:$E$1008,$I151-8)="","",INDEX('Fleet dates'!$E$9:$E$1008,$I151-8)))</x:f>
      </x:c>
      <x:c r="F151" s="51" t="str">
        <x:f>IF(143&gt;$H$4,"",IF(INDEX('Fleet dates'!$F$9:$F$1008,$I151-8)="","",INDEX('Fleet dates'!$F$9:$F$1008,$I151-8)))</x:f>
      </x:c>
      <x:c r="G151" s="50" t="str">
        <x:f>IF(143&gt;$H$4,"",IF(INDEX('Fleet dates'!$G$9:$G$1008,$I151-8)="","",INDEX('Fleet dates'!$G$9:$G$1008,$I151-8)))</x:f>
      </x:c>
      <x:c r="H151" s="50" t="str">
        <x:f>IF(143&gt;$H$4,"",IF(INDEX('Fleet dates'!$I$9:$I$1008,$I151-8)="","",INDEX('Fleet dates'!$I$9:$I$1008,$I151-8)))</x:f>
      </x:c>
      <x:c r="I151" t="str">
        <x:f>IF(143&gt;$H$4,"",MATCH(143,'Fleet dates'!$N$9:$N$1008,0)+8)</x:f>
      </x:c>
    </x:row>
    <x:row r="152" ht="36" customHeight="1">
      <x:c r="A152" s="50" t="str">
        <x:f>IF(144&gt;$H$4,"",IF(INDEX('Fleet dates'!$A$9:$A$1008,$I152-8)="","",INDEX('Fleet dates'!$A$9:$A$1008,$I152-8)))</x:f>
      </x:c>
      <x:c r="B152" s="50" t="str">
        <x:f>IF(144&gt;$H$4,"",IF(INDEX('Fleet dates'!$B$9:$B$1008,$I152-8)="","",INDEX('Fleet dates'!$B$9:$B$1008,$I152-8)))</x:f>
      </x:c>
      <x:c r="C152" s="51" t="str">
        <x:f>IF(144&gt;$H$4,"",IF(INDEX('Fleet dates'!$C$9:$C$1008,$I152-8)="","",INDEX('Fleet dates'!$C$9:$C$1008,$I152-8)))</x:f>
      </x:c>
      <x:c r="D152" s="51" t="str">
        <x:f>IF(144&gt;$H$4,"",IF(INDEX('Fleet dates'!$D$9:$D$1008,$I152-8)="","",INDEX('Fleet dates'!$D$9:$D$1008,$I152-8)))</x:f>
      </x:c>
      <x:c r="E152" s="51" t="str">
        <x:f>IF(144&gt;$H$4,"",IF(INDEX('Fleet dates'!$E$9:$E$1008,$I152-8)="","",INDEX('Fleet dates'!$E$9:$E$1008,$I152-8)))</x:f>
      </x:c>
      <x:c r="F152" s="51" t="str">
        <x:f>IF(144&gt;$H$4,"",IF(INDEX('Fleet dates'!$F$9:$F$1008,$I152-8)="","",INDEX('Fleet dates'!$F$9:$F$1008,$I152-8)))</x:f>
      </x:c>
      <x:c r="G152" s="50" t="str">
        <x:f>IF(144&gt;$H$4,"",IF(INDEX('Fleet dates'!$G$9:$G$1008,$I152-8)="","",INDEX('Fleet dates'!$G$9:$G$1008,$I152-8)))</x:f>
      </x:c>
      <x:c r="H152" s="50" t="str">
        <x:f>IF(144&gt;$H$4,"",IF(INDEX('Fleet dates'!$I$9:$I$1008,$I152-8)="","",INDEX('Fleet dates'!$I$9:$I$1008,$I152-8)))</x:f>
      </x:c>
      <x:c r="I152" t="str">
        <x:f>IF(144&gt;$H$4,"",MATCH(144,'Fleet dates'!$N$9:$N$1008,0)+8)</x:f>
      </x:c>
    </x:row>
    <x:row r="153" ht="36" customHeight="1">
      <x:c r="A153" s="50" t="str">
        <x:f>IF(145&gt;$H$4,"",IF(INDEX('Fleet dates'!$A$9:$A$1008,$I153-8)="","",INDEX('Fleet dates'!$A$9:$A$1008,$I153-8)))</x:f>
      </x:c>
      <x:c r="B153" s="50" t="str">
        <x:f>IF(145&gt;$H$4,"",IF(INDEX('Fleet dates'!$B$9:$B$1008,$I153-8)="","",INDEX('Fleet dates'!$B$9:$B$1008,$I153-8)))</x:f>
      </x:c>
      <x:c r="C153" s="51" t="str">
        <x:f>IF(145&gt;$H$4,"",IF(INDEX('Fleet dates'!$C$9:$C$1008,$I153-8)="","",INDEX('Fleet dates'!$C$9:$C$1008,$I153-8)))</x:f>
      </x:c>
      <x:c r="D153" s="51" t="str">
        <x:f>IF(145&gt;$H$4,"",IF(INDEX('Fleet dates'!$D$9:$D$1008,$I153-8)="","",INDEX('Fleet dates'!$D$9:$D$1008,$I153-8)))</x:f>
      </x:c>
      <x:c r="E153" s="51" t="str">
        <x:f>IF(145&gt;$H$4,"",IF(INDEX('Fleet dates'!$E$9:$E$1008,$I153-8)="","",INDEX('Fleet dates'!$E$9:$E$1008,$I153-8)))</x:f>
      </x:c>
      <x:c r="F153" s="51" t="str">
        <x:f>IF(145&gt;$H$4,"",IF(INDEX('Fleet dates'!$F$9:$F$1008,$I153-8)="","",INDEX('Fleet dates'!$F$9:$F$1008,$I153-8)))</x:f>
      </x:c>
      <x:c r="G153" s="50" t="str">
        <x:f>IF(145&gt;$H$4,"",IF(INDEX('Fleet dates'!$G$9:$G$1008,$I153-8)="","",INDEX('Fleet dates'!$G$9:$G$1008,$I153-8)))</x:f>
      </x:c>
      <x:c r="H153" s="50" t="str">
        <x:f>IF(145&gt;$H$4,"",IF(INDEX('Fleet dates'!$I$9:$I$1008,$I153-8)="","",INDEX('Fleet dates'!$I$9:$I$1008,$I153-8)))</x:f>
      </x:c>
      <x:c r="I153" t="str">
        <x:f>IF(145&gt;$H$4,"",MATCH(145,'Fleet dates'!$N$9:$N$1008,0)+8)</x:f>
      </x:c>
    </x:row>
    <x:row r="154" ht="36" customHeight="1">
      <x:c r="A154" s="50" t="str">
        <x:f>IF(146&gt;$H$4,"",IF(INDEX('Fleet dates'!$A$9:$A$1008,$I154-8)="","",INDEX('Fleet dates'!$A$9:$A$1008,$I154-8)))</x:f>
      </x:c>
      <x:c r="B154" s="50" t="str">
        <x:f>IF(146&gt;$H$4,"",IF(INDEX('Fleet dates'!$B$9:$B$1008,$I154-8)="","",INDEX('Fleet dates'!$B$9:$B$1008,$I154-8)))</x:f>
      </x:c>
      <x:c r="C154" s="51" t="str">
        <x:f>IF(146&gt;$H$4,"",IF(INDEX('Fleet dates'!$C$9:$C$1008,$I154-8)="","",INDEX('Fleet dates'!$C$9:$C$1008,$I154-8)))</x:f>
      </x:c>
      <x:c r="D154" s="51" t="str">
        <x:f>IF(146&gt;$H$4,"",IF(INDEX('Fleet dates'!$D$9:$D$1008,$I154-8)="","",INDEX('Fleet dates'!$D$9:$D$1008,$I154-8)))</x:f>
      </x:c>
      <x:c r="E154" s="51" t="str">
        <x:f>IF(146&gt;$H$4,"",IF(INDEX('Fleet dates'!$E$9:$E$1008,$I154-8)="","",INDEX('Fleet dates'!$E$9:$E$1008,$I154-8)))</x:f>
      </x:c>
      <x:c r="F154" s="51" t="str">
        <x:f>IF(146&gt;$H$4,"",IF(INDEX('Fleet dates'!$F$9:$F$1008,$I154-8)="","",INDEX('Fleet dates'!$F$9:$F$1008,$I154-8)))</x:f>
      </x:c>
      <x:c r="G154" s="50" t="str">
        <x:f>IF(146&gt;$H$4,"",IF(INDEX('Fleet dates'!$G$9:$G$1008,$I154-8)="","",INDEX('Fleet dates'!$G$9:$G$1008,$I154-8)))</x:f>
      </x:c>
      <x:c r="H154" s="50" t="str">
        <x:f>IF(146&gt;$H$4,"",IF(INDEX('Fleet dates'!$I$9:$I$1008,$I154-8)="","",INDEX('Fleet dates'!$I$9:$I$1008,$I154-8)))</x:f>
      </x:c>
      <x:c r="I154" t="str">
        <x:f>IF(146&gt;$H$4,"",MATCH(146,'Fleet dates'!$N$9:$N$1008,0)+8)</x:f>
      </x:c>
    </x:row>
    <x:row r="155" ht="36" customHeight="1">
      <x:c r="A155" s="50" t="str">
        <x:f>IF(147&gt;$H$4,"",IF(INDEX('Fleet dates'!$A$9:$A$1008,$I155-8)="","",INDEX('Fleet dates'!$A$9:$A$1008,$I155-8)))</x:f>
      </x:c>
      <x:c r="B155" s="50" t="str">
        <x:f>IF(147&gt;$H$4,"",IF(INDEX('Fleet dates'!$B$9:$B$1008,$I155-8)="","",INDEX('Fleet dates'!$B$9:$B$1008,$I155-8)))</x:f>
      </x:c>
      <x:c r="C155" s="51" t="str">
        <x:f>IF(147&gt;$H$4,"",IF(INDEX('Fleet dates'!$C$9:$C$1008,$I155-8)="","",INDEX('Fleet dates'!$C$9:$C$1008,$I155-8)))</x:f>
      </x:c>
      <x:c r="D155" s="51" t="str">
        <x:f>IF(147&gt;$H$4,"",IF(INDEX('Fleet dates'!$D$9:$D$1008,$I155-8)="","",INDEX('Fleet dates'!$D$9:$D$1008,$I155-8)))</x:f>
      </x:c>
      <x:c r="E155" s="51" t="str">
        <x:f>IF(147&gt;$H$4,"",IF(INDEX('Fleet dates'!$E$9:$E$1008,$I155-8)="","",INDEX('Fleet dates'!$E$9:$E$1008,$I155-8)))</x:f>
      </x:c>
      <x:c r="F155" s="51" t="str">
        <x:f>IF(147&gt;$H$4,"",IF(INDEX('Fleet dates'!$F$9:$F$1008,$I155-8)="","",INDEX('Fleet dates'!$F$9:$F$1008,$I155-8)))</x:f>
      </x:c>
      <x:c r="G155" s="50" t="str">
        <x:f>IF(147&gt;$H$4,"",IF(INDEX('Fleet dates'!$G$9:$G$1008,$I155-8)="","",INDEX('Fleet dates'!$G$9:$G$1008,$I155-8)))</x:f>
      </x:c>
      <x:c r="H155" s="50" t="str">
        <x:f>IF(147&gt;$H$4,"",IF(INDEX('Fleet dates'!$I$9:$I$1008,$I155-8)="","",INDEX('Fleet dates'!$I$9:$I$1008,$I155-8)))</x:f>
      </x:c>
      <x:c r="I155" t="str">
        <x:f>IF(147&gt;$H$4,"",MATCH(147,'Fleet dates'!$N$9:$N$1008,0)+8)</x:f>
      </x:c>
    </x:row>
    <x:row r="156" ht="36" customHeight="1">
      <x:c r="A156" s="50" t="str">
        <x:f>IF(148&gt;$H$4,"",IF(INDEX('Fleet dates'!$A$9:$A$1008,$I156-8)="","",INDEX('Fleet dates'!$A$9:$A$1008,$I156-8)))</x:f>
      </x:c>
      <x:c r="B156" s="50" t="str">
        <x:f>IF(148&gt;$H$4,"",IF(INDEX('Fleet dates'!$B$9:$B$1008,$I156-8)="","",INDEX('Fleet dates'!$B$9:$B$1008,$I156-8)))</x:f>
      </x:c>
      <x:c r="C156" s="51" t="str">
        <x:f>IF(148&gt;$H$4,"",IF(INDEX('Fleet dates'!$C$9:$C$1008,$I156-8)="","",INDEX('Fleet dates'!$C$9:$C$1008,$I156-8)))</x:f>
      </x:c>
      <x:c r="D156" s="51" t="str">
        <x:f>IF(148&gt;$H$4,"",IF(INDEX('Fleet dates'!$D$9:$D$1008,$I156-8)="","",INDEX('Fleet dates'!$D$9:$D$1008,$I156-8)))</x:f>
      </x:c>
      <x:c r="E156" s="51" t="str">
        <x:f>IF(148&gt;$H$4,"",IF(INDEX('Fleet dates'!$E$9:$E$1008,$I156-8)="","",INDEX('Fleet dates'!$E$9:$E$1008,$I156-8)))</x:f>
      </x:c>
      <x:c r="F156" s="51" t="str">
        <x:f>IF(148&gt;$H$4,"",IF(INDEX('Fleet dates'!$F$9:$F$1008,$I156-8)="","",INDEX('Fleet dates'!$F$9:$F$1008,$I156-8)))</x:f>
      </x:c>
      <x:c r="G156" s="50" t="str">
        <x:f>IF(148&gt;$H$4,"",IF(INDEX('Fleet dates'!$G$9:$G$1008,$I156-8)="","",INDEX('Fleet dates'!$G$9:$G$1008,$I156-8)))</x:f>
      </x:c>
      <x:c r="H156" s="50" t="str">
        <x:f>IF(148&gt;$H$4,"",IF(INDEX('Fleet dates'!$I$9:$I$1008,$I156-8)="","",INDEX('Fleet dates'!$I$9:$I$1008,$I156-8)))</x:f>
      </x:c>
      <x:c r="I156" t="str">
        <x:f>IF(148&gt;$H$4,"",MATCH(148,'Fleet dates'!$N$9:$N$1008,0)+8)</x:f>
      </x:c>
    </x:row>
    <x:row r="157" ht="36" customHeight="1">
      <x:c r="A157" s="50" t="str">
        <x:f>IF(149&gt;$H$4,"",IF(INDEX('Fleet dates'!$A$9:$A$1008,$I157-8)="","",INDEX('Fleet dates'!$A$9:$A$1008,$I157-8)))</x:f>
      </x:c>
      <x:c r="B157" s="50" t="str">
        <x:f>IF(149&gt;$H$4,"",IF(INDEX('Fleet dates'!$B$9:$B$1008,$I157-8)="","",INDEX('Fleet dates'!$B$9:$B$1008,$I157-8)))</x:f>
      </x:c>
      <x:c r="C157" s="51" t="str">
        <x:f>IF(149&gt;$H$4,"",IF(INDEX('Fleet dates'!$C$9:$C$1008,$I157-8)="","",INDEX('Fleet dates'!$C$9:$C$1008,$I157-8)))</x:f>
      </x:c>
      <x:c r="D157" s="51" t="str">
        <x:f>IF(149&gt;$H$4,"",IF(INDEX('Fleet dates'!$D$9:$D$1008,$I157-8)="","",INDEX('Fleet dates'!$D$9:$D$1008,$I157-8)))</x:f>
      </x:c>
      <x:c r="E157" s="51" t="str">
        <x:f>IF(149&gt;$H$4,"",IF(INDEX('Fleet dates'!$E$9:$E$1008,$I157-8)="","",INDEX('Fleet dates'!$E$9:$E$1008,$I157-8)))</x:f>
      </x:c>
      <x:c r="F157" s="51" t="str">
        <x:f>IF(149&gt;$H$4,"",IF(INDEX('Fleet dates'!$F$9:$F$1008,$I157-8)="","",INDEX('Fleet dates'!$F$9:$F$1008,$I157-8)))</x:f>
      </x:c>
      <x:c r="G157" s="50" t="str">
        <x:f>IF(149&gt;$H$4,"",IF(INDEX('Fleet dates'!$G$9:$G$1008,$I157-8)="","",INDEX('Fleet dates'!$G$9:$G$1008,$I157-8)))</x:f>
      </x:c>
      <x:c r="H157" s="50" t="str">
        <x:f>IF(149&gt;$H$4,"",IF(INDEX('Fleet dates'!$I$9:$I$1008,$I157-8)="","",INDEX('Fleet dates'!$I$9:$I$1008,$I157-8)))</x:f>
      </x:c>
      <x:c r="I157" t="str">
        <x:f>IF(149&gt;$H$4,"",MATCH(149,'Fleet dates'!$N$9:$N$1008,0)+8)</x:f>
      </x:c>
    </x:row>
    <x:row r="158" ht="36" customHeight="1">
      <x:c r="A158" s="50" t="str">
        <x:f>IF(150&gt;$H$4,"",IF(INDEX('Fleet dates'!$A$9:$A$1008,$I158-8)="","",INDEX('Fleet dates'!$A$9:$A$1008,$I158-8)))</x:f>
      </x:c>
      <x:c r="B158" s="50" t="str">
        <x:f>IF(150&gt;$H$4,"",IF(INDEX('Fleet dates'!$B$9:$B$1008,$I158-8)="","",INDEX('Fleet dates'!$B$9:$B$1008,$I158-8)))</x:f>
      </x:c>
      <x:c r="C158" s="51" t="str">
        <x:f>IF(150&gt;$H$4,"",IF(INDEX('Fleet dates'!$C$9:$C$1008,$I158-8)="","",INDEX('Fleet dates'!$C$9:$C$1008,$I158-8)))</x:f>
      </x:c>
      <x:c r="D158" s="51" t="str">
        <x:f>IF(150&gt;$H$4,"",IF(INDEX('Fleet dates'!$D$9:$D$1008,$I158-8)="","",INDEX('Fleet dates'!$D$9:$D$1008,$I158-8)))</x:f>
      </x:c>
      <x:c r="E158" s="51" t="str">
        <x:f>IF(150&gt;$H$4,"",IF(INDEX('Fleet dates'!$E$9:$E$1008,$I158-8)="","",INDEX('Fleet dates'!$E$9:$E$1008,$I158-8)))</x:f>
      </x:c>
      <x:c r="F158" s="51" t="str">
        <x:f>IF(150&gt;$H$4,"",IF(INDEX('Fleet dates'!$F$9:$F$1008,$I158-8)="","",INDEX('Fleet dates'!$F$9:$F$1008,$I158-8)))</x:f>
      </x:c>
      <x:c r="G158" s="50" t="str">
        <x:f>IF(150&gt;$H$4,"",IF(INDEX('Fleet dates'!$G$9:$G$1008,$I158-8)="","",INDEX('Fleet dates'!$G$9:$G$1008,$I158-8)))</x:f>
      </x:c>
      <x:c r="H158" s="50" t="str">
        <x:f>IF(150&gt;$H$4,"",IF(INDEX('Fleet dates'!$I$9:$I$1008,$I158-8)="","",INDEX('Fleet dates'!$I$9:$I$1008,$I158-8)))</x:f>
      </x:c>
      <x:c r="I158" t="str">
        <x:f>IF(150&gt;$H$4,"",MATCH(150,'Fleet dates'!$N$9:$N$1008,0)+8)</x:f>
      </x:c>
    </x:row>
    <x:row r="159" ht="36" customHeight="1">
      <x:c r="A159" s="50" t="str">
        <x:f>IF(151&gt;$H$4,"",IF(INDEX('Fleet dates'!$A$9:$A$1008,$I159-8)="","",INDEX('Fleet dates'!$A$9:$A$1008,$I159-8)))</x:f>
      </x:c>
      <x:c r="B159" s="50" t="str">
        <x:f>IF(151&gt;$H$4,"",IF(INDEX('Fleet dates'!$B$9:$B$1008,$I159-8)="","",INDEX('Fleet dates'!$B$9:$B$1008,$I159-8)))</x:f>
      </x:c>
      <x:c r="C159" s="51" t="str">
        <x:f>IF(151&gt;$H$4,"",IF(INDEX('Fleet dates'!$C$9:$C$1008,$I159-8)="","",INDEX('Fleet dates'!$C$9:$C$1008,$I159-8)))</x:f>
      </x:c>
      <x:c r="D159" s="51" t="str">
        <x:f>IF(151&gt;$H$4,"",IF(INDEX('Fleet dates'!$D$9:$D$1008,$I159-8)="","",INDEX('Fleet dates'!$D$9:$D$1008,$I159-8)))</x:f>
      </x:c>
      <x:c r="E159" s="51" t="str">
        <x:f>IF(151&gt;$H$4,"",IF(INDEX('Fleet dates'!$E$9:$E$1008,$I159-8)="","",INDEX('Fleet dates'!$E$9:$E$1008,$I159-8)))</x:f>
      </x:c>
      <x:c r="F159" s="51" t="str">
        <x:f>IF(151&gt;$H$4,"",IF(INDEX('Fleet dates'!$F$9:$F$1008,$I159-8)="","",INDEX('Fleet dates'!$F$9:$F$1008,$I159-8)))</x:f>
      </x:c>
      <x:c r="G159" s="50" t="str">
        <x:f>IF(151&gt;$H$4,"",IF(INDEX('Fleet dates'!$G$9:$G$1008,$I159-8)="","",INDEX('Fleet dates'!$G$9:$G$1008,$I159-8)))</x:f>
      </x:c>
      <x:c r="H159" s="50" t="str">
        <x:f>IF(151&gt;$H$4,"",IF(INDEX('Fleet dates'!$I$9:$I$1008,$I159-8)="","",INDEX('Fleet dates'!$I$9:$I$1008,$I159-8)))</x:f>
      </x:c>
      <x:c r="I159" t="str">
        <x:f>IF(151&gt;$H$4,"",MATCH(151,'Fleet dates'!$N$9:$N$1008,0)+8)</x:f>
      </x:c>
    </x:row>
    <x:row r="160" ht="36" customHeight="1">
      <x:c r="A160" s="50" t="str">
        <x:f>IF(152&gt;$H$4,"",IF(INDEX('Fleet dates'!$A$9:$A$1008,$I160-8)="","",INDEX('Fleet dates'!$A$9:$A$1008,$I160-8)))</x:f>
      </x:c>
      <x:c r="B160" s="50" t="str">
        <x:f>IF(152&gt;$H$4,"",IF(INDEX('Fleet dates'!$B$9:$B$1008,$I160-8)="","",INDEX('Fleet dates'!$B$9:$B$1008,$I160-8)))</x:f>
      </x:c>
      <x:c r="C160" s="51" t="str">
        <x:f>IF(152&gt;$H$4,"",IF(INDEX('Fleet dates'!$C$9:$C$1008,$I160-8)="","",INDEX('Fleet dates'!$C$9:$C$1008,$I160-8)))</x:f>
      </x:c>
      <x:c r="D160" s="51" t="str">
        <x:f>IF(152&gt;$H$4,"",IF(INDEX('Fleet dates'!$D$9:$D$1008,$I160-8)="","",INDEX('Fleet dates'!$D$9:$D$1008,$I160-8)))</x:f>
      </x:c>
      <x:c r="E160" s="51" t="str">
        <x:f>IF(152&gt;$H$4,"",IF(INDEX('Fleet dates'!$E$9:$E$1008,$I160-8)="","",INDEX('Fleet dates'!$E$9:$E$1008,$I160-8)))</x:f>
      </x:c>
      <x:c r="F160" s="51" t="str">
        <x:f>IF(152&gt;$H$4,"",IF(INDEX('Fleet dates'!$F$9:$F$1008,$I160-8)="","",INDEX('Fleet dates'!$F$9:$F$1008,$I160-8)))</x:f>
      </x:c>
      <x:c r="G160" s="50" t="str">
        <x:f>IF(152&gt;$H$4,"",IF(INDEX('Fleet dates'!$G$9:$G$1008,$I160-8)="","",INDEX('Fleet dates'!$G$9:$G$1008,$I160-8)))</x:f>
      </x:c>
      <x:c r="H160" s="50" t="str">
        <x:f>IF(152&gt;$H$4,"",IF(INDEX('Fleet dates'!$I$9:$I$1008,$I160-8)="","",INDEX('Fleet dates'!$I$9:$I$1008,$I160-8)))</x:f>
      </x:c>
      <x:c r="I160" t="str">
        <x:f>IF(152&gt;$H$4,"",MATCH(152,'Fleet dates'!$N$9:$N$1008,0)+8)</x:f>
      </x:c>
    </x:row>
    <x:row r="161" ht="36" customHeight="1">
      <x:c r="A161" s="50" t="str">
        <x:f>IF(153&gt;$H$4,"",IF(INDEX('Fleet dates'!$A$9:$A$1008,$I161-8)="","",INDEX('Fleet dates'!$A$9:$A$1008,$I161-8)))</x:f>
      </x:c>
      <x:c r="B161" s="50" t="str">
        <x:f>IF(153&gt;$H$4,"",IF(INDEX('Fleet dates'!$B$9:$B$1008,$I161-8)="","",INDEX('Fleet dates'!$B$9:$B$1008,$I161-8)))</x:f>
      </x:c>
      <x:c r="C161" s="51" t="str">
        <x:f>IF(153&gt;$H$4,"",IF(INDEX('Fleet dates'!$C$9:$C$1008,$I161-8)="","",INDEX('Fleet dates'!$C$9:$C$1008,$I161-8)))</x:f>
      </x:c>
      <x:c r="D161" s="51" t="str">
        <x:f>IF(153&gt;$H$4,"",IF(INDEX('Fleet dates'!$D$9:$D$1008,$I161-8)="","",INDEX('Fleet dates'!$D$9:$D$1008,$I161-8)))</x:f>
      </x:c>
      <x:c r="E161" s="51" t="str">
        <x:f>IF(153&gt;$H$4,"",IF(INDEX('Fleet dates'!$E$9:$E$1008,$I161-8)="","",INDEX('Fleet dates'!$E$9:$E$1008,$I161-8)))</x:f>
      </x:c>
      <x:c r="F161" s="51" t="str">
        <x:f>IF(153&gt;$H$4,"",IF(INDEX('Fleet dates'!$F$9:$F$1008,$I161-8)="","",INDEX('Fleet dates'!$F$9:$F$1008,$I161-8)))</x:f>
      </x:c>
      <x:c r="G161" s="50" t="str">
        <x:f>IF(153&gt;$H$4,"",IF(INDEX('Fleet dates'!$G$9:$G$1008,$I161-8)="","",INDEX('Fleet dates'!$G$9:$G$1008,$I161-8)))</x:f>
      </x:c>
      <x:c r="H161" s="50" t="str">
        <x:f>IF(153&gt;$H$4,"",IF(INDEX('Fleet dates'!$I$9:$I$1008,$I161-8)="","",INDEX('Fleet dates'!$I$9:$I$1008,$I161-8)))</x:f>
      </x:c>
      <x:c r="I161" t="str">
        <x:f>IF(153&gt;$H$4,"",MATCH(153,'Fleet dates'!$N$9:$N$1008,0)+8)</x:f>
      </x:c>
    </x:row>
    <x:row r="162" ht="36" customHeight="1">
      <x:c r="A162" s="50" t="str">
        <x:f>IF(154&gt;$H$4,"",IF(INDEX('Fleet dates'!$A$9:$A$1008,$I162-8)="","",INDEX('Fleet dates'!$A$9:$A$1008,$I162-8)))</x:f>
      </x:c>
      <x:c r="B162" s="50" t="str">
        <x:f>IF(154&gt;$H$4,"",IF(INDEX('Fleet dates'!$B$9:$B$1008,$I162-8)="","",INDEX('Fleet dates'!$B$9:$B$1008,$I162-8)))</x:f>
      </x:c>
      <x:c r="C162" s="51" t="str">
        <x:f>IF(154&gt;$H$4,"",IF(INDEX('Fleet dates'!$C$9:$C$1008,$I162-8)="","",INDEX('Fleet dates'!$C$9:$C$1008,$I162-8)))</x:f>
      </x:c>
      <x:c r="D162" s="51" t="str">
        <x:f>IF(154&gt;$H$4,"",IF(INDEX('Fleet dates'!$D$9:$D$1008,$I162-8)="","",INDEX('Fleet dates'!$D$9:$D$1008,$I162-8)))</x:f>
      </x:c>
      <x:c r="E162" s="51" t="str">
        <x:f>IF(154&gt;$H$4,"",IF(INDEX('Fleet dates'!$E$9:$E$1008,$I162-8)="","",INDEX('Fleet dates'!$E$9:$E$1008,$I162-8)))</x:f>
      </x:c>
      <x:c r="F162" s="51" t="str">
        <x:f>IF(154&gt;$H$4,"",IF(INDEX('Fleet dates'!$F$9:$F$1008,$I162-8)="","",INDEX('Fleet dates'!$F$9:$F$1008,$I162-8)))</x:f>
      </x:c>
      <x:c r="G162" s="50" t="str">
        <x:f>IF(154&gt;$H$4,"",IF(INDEX('Fleet dates'!$G$9:$G$1008,$I162-8)="","",INDEX('Fleet dates'!$G$9:$G$1008,$I162-8)))</x:f>
      </x:c>
      <x:c r="H162" s="50" t="str">
        <x:f>IF(154&gt;$H$4,"",IF(INDEX('Fleet dates'!$I$9:$I$1008,$I162-8)="","",INDEX('Fleet dates'!$I$9:$I$1008,$I162-8)))</x:f>
      </x:c>
      <x:c r="I162" t="str">
        <x:f>IF(154&gt;$H$4,"",MATCH(154,'Fleet dates'!$N$9:$N$1008,0)+8)</x:f>
      </x:c>
    </x:row>
    <x:row r="163" ht="36" customHeight="1">
      <x:c r="A163" s="50" t="str">
        <x:f>IF(155&gt;$H$4,"",IF(INDEX('Fleet dates'!$A$9:$A$1008,$I163-8)="","",INDEX('Fleet dates'!$A$9:$A$1008,$I163-8)))</x:f>
      </x:c>
      <x:c r="B163" s="50" t="str">
        <x:f>IF(155&gt;$H$4,"",IF(INDEX('Fleet dates'!$B$9:$B$1008,$I163-8)="","",INDEX('Fleet dates'!$B$9:$B$1008,$I163-8)))</x:f>
      </x:c>
      <x:c r="C163" s="51" t="str">
        <x:f>IF(155&gt;$H$4,"",IF(INDEX('Fleet dates'!$C$9:$C$1008,$I163-8)="","",INDEX('Fleet dates'!$C$9:$C$1008,$I163-8)))</x:f>
      </x:c>
      <x:c r="D163" s="51" t="str">
        <x:f>IF(155&gt;$H$4,"",IF(INDEX('Fleet dates'!$D$9:$D$1008,$I163-8)="","",INDEX('Fleet dates'!$D$9:$D$1008,$I163-8)))</x:f>
      </x:c>
      <x:c r="E163" s="51" t="str">
        <x:f>IF(155&gt;$H$4,"",IF(INDEX('Fleet dates'!$E$9:$E$1008,$I163-8)="","",INDEX('Fleet dates'!$E$9:$E$1008,$I163-8)))</x:f>
      </x:c>
      <x:c r="F163" s="51" t="str">
        <x:f>IF(155&gt;$H$4,"",IF(INDEX('Fleet dates'!$F$9:$F$1008,$I163-8)="","",INDEX('Fleet dates'!$F$9:$F$1008,$I163-8)))</x:f>
      </x:c>
      <x:c r="G163" s="50" t="str">
        <x:f>IF(155&gt;$H$4,"",IF(INDEX('Fleet dates'!$G$9:$G$1008,$I163-8)="","",INDEX('Fleet dates'!$G$9:$G$1008,$I163-8)))</x:f>
      </x:c>
      <x:c r="H163" s="50" t="str">
        <x:f>IF(155&gt;$H$4,"",IF(INDEX('Fleet dates'!$I$9:$I$1008,$I163-8)="","",INDEX('Fleet dates'!$I$9:$I$1008,$I163-8)))</x:f>
      </x:c>
      <x:c r="I163" t="str">
        <x:f>IF(155&gt;$H$4,"",MATCH(155,'Fleet dates'!$N$9:$N$1008,0)+8)</x:f>
      </x:c>
    </x:row>
    <x:row r="164" ht="36" customHeight="1">
      <x:c r="A164" s="50" t="str">
        <x:f>IF(156&gt;$H$4,"",IF(INDEX('Fleet dates'!$A$9:$A$1008,$I164-8)="","",INDEX('Fleet dates'!$A$9:$A$1008,$I164-8)))</x:f>
      </x:c>
      <x:c r="B164" s="50" t="str">
        <x:f>IF(156&gt;$H$4,"",IF(INDEX('Fleet dates'!$B$9:$B$1008,$I164-8)="","",INDEX('Fleet dates'!$B$9:$B$1008,$I164-8)))</x:f>
      </x:c>
      <x:c r="C164" s="51" t="str">
        <x:f>IF(156&gt;$H$4,"",IF(INDEX('Fleet dates'!$C$9:$C$1008,$I164-8)="","",INDEX('Fleet dates'!$C$9:$C$1008,$I164-8)))</x:f>
      </x:c>
      <x:c r="D164" s="51" t="str">
        <x:f>IF(156&gt;$H$4,"",IF(INDEX('Fleet dates'!$D$9:$D$1008,$I164-8)="","",INDEX('Fleet dates'!$D$9:$D$1008,$I164-8)))</x:f>
      </x:c>
      <x:c r="E164" s="51" t="str">
        <x:f>IF(156&gt;$H$4,"",IF(INDEX('Fleet dates'!$E$9:$E$1008,$I164-8)="","",INDEX('Fleet dates'!$E$9:$E$1008,$I164-8)))</x:f>
      </x:c>
      <x:c r="F164" s="51" t="str">
        <x:f>IF(156&gt;$H$4,"",IF(INDEX('Fleet dates'!$F$9:$F$1008,$I164-8)="","",INDEX('Fleet dates'!$F$9:$F$1008,$I164-8)))</x:f>
      </x:c>
      <x:c r="G164" s="50" t="str">
        <x:f>IF(156&gt;$H$4,"",IF(INDEX('Fleet dates'!$G$9:$G$1008,$I164-8)="","",INDEX('Fleet dates'!$G$9:$G$1008,$I164-8)))</x:f>
      </x:c>
      <x:c r="H164" s="50" t="str">
        <x:f>IF(156&gt;$H$4,"",IF(INDEX('Fleet dates'!$I$9:$I$1008,$I164-8)="","",INDEX('Fleet dates'!$I$9:$I$1008,$I164-8)))</x:f>
      </x:c>
      <x:c r="I164" t="str">
        <x:f>IF(156&gt;$H$4,"",MATCH(156,'Fleet dates'!$N$9:$N$1008,0)+8)</x:f>
      </x:c>
    </x:row>
    <x:row r="165" ht="36" customHeight="1">
      <x:c r="A165" s="50" t="str">
        <x:f>IF(157&gt;$H$4,"",IF(INDEX('Fleet dates'!$A$9:$A$1008,$I165-8)="","",INDEX('Fleet dates'!$A$9:$A$1008,$I165-8)))</x:f>
      </x:c>
      <x:c r="B165" s="50" t="str">
        <x:f>IF(157&gt;$H$4,"",IF(INDEX('Fleet dates'!$B$9:$B$1008,$I165-8)="","",INDEX('Fleet dates'!$B$9:$B$1008,$I165-8)))</x:f>
      </x:c>
      <x:c r="C165" s="51" t="str">
        <x:f>IF(157&gt;$H$4,"",IF(INDEX('Fleet dates'!$C$9:$C$1008,$I165-8)="","",INDEX('Fleet dates'!$C$9:$C$1008,$I165-8)))</x:f>
      </x:c>
      <x:c r="D165" s="51" t="str">
        <x:f>IF(157&gt;$H$4,"",IF(INDEX('Fleet dates'!$D$9:$D$1008,$I165-8)="","",INDEX('Fleet dates'!$D$9:$D$1008,$I165-8)))</x:f>
      </x:c>
      <x:c r="E165" s="51" t="str">
        <x:f>IF(157&gt;$H$4,"",IF(INDEX('Fleet dates'!$E$9:$E$1008,$I165-8)="","",INDEX('Fleet dates'!$E$9:$E$1008,$I165-8)))</x:f>
      </x:c>
      <x:c r="F165" s="51" t="str">
        <x:f>IF(157&gt;$H$4,"",IF(INDEX('Fleet dates'!$F$9:$F$1008,$I165-8)="","",INDEX('Fleet dates'!$F$9:$F$1008,$I165-8)))</x:f>
      </x:c>
      <x:c r="G165" s="50" t="str">
        <x:f>IF(157&gt;$H$4,"",IF(INDEX('Fleet dates'!$G$9:$G$1008,$I165-8)="","",INDEX('Fleet dates'!$G$9:$G$1008,$I165-8)))</x:f>
      </x:c>
      <x:c r="H165" s="50" t="str">
        <x:f>IF(157&gt;$H$4,"",IF(INDEX('Fleet dates'!$I$9:$I$1008,$I165-8)="","",INDEX('Fleet dates'!$I$9:$I$1008,$I165-8)))</x:f>
      </x:c>
      <x:c r="I165" t="str">
        <x:f>IF(157&gt;$H$4,"",MATCH(157,'Fleet dates'!$N$9:$N$1008,0)+8)</x:f>
      </x:c>
    </x:row>
    <x:row r="166" ht="36" customHeight="1">
      <x:c r="A166" s="50" t="str">
        <x:f>IF(158&gt;$H$4,"",IF(INDEX('Fleet dates'!$A$9:$A$1008,$I166-8)="","",INDEX('Fleet dates'!$A$9:$A$1008,$I166-8)))</x:f>
      </x:c>
      <x:c r="B166" s="50" t="str">
        <x:f>IF(158&gt;$H$4,"",IF(INDEX('Fleet dates'!$B$9:$B$1008,$I166-8)="","",INDEX('Fleet dates'!$B$9:$B$1008,$I166-8)))</x:f>
      </x:c>
      <x:c r="C166" s="51" t="str">
        <x:f>IF(158&gt;$H$4,"",IF(INDEX('Fleet dates'!$C$9:$C$1008,$I166-8)="","",INDEX('Fleet dates'!$C$9:$C$1008,$I166-8)))</x:f>
      </x:c>
      <x:c r="D166" s="51" t="str">
        <x:f>IF(158&gt;$H$4,"",IF(INDEX('Fleet dates'!$D$9:$D$1008,$I166-8)="","",INDEX('Fleet dates'!$D$9:$D$1008,$I166-8)))</x:f>
      </x:c>
      <x:c r="E166" s="51" t="str">
        <x:f>IF(158&gt;$H$4,"",IF(INDEX('Fleet dates'!$E$9:$E$1008,$I166-8)="","",INDEX('Fleet dates'!$E$9:$E$1008,$I166-8)))</x:f>
      </x:c>
      <x:c r="F166" s="51" t="str">
        <x:f>IF(158&gt;$H$4,"",IF(INDEX('Fleet dates'!$F$9:$F$1008,$I166-8)="","",INDEX('Fleet dates'!$F$9:$F$1008,$I166-8)))</x:f>
      </x:c>
      <x:c r="G166" s="50" t="str">
        <x:f>IF(158&gt;$H$4,"",IF(INDEX('Fleet dates'!$G$9:$G$1008,$I166-8)="","",INDEX('Fleet dates'!$G$9:$G$1008,$I166-8)))</x:f>
      </x:c>
      <x:c r="H166" s="50" t="str">
        <x:f>IF(158&gt;$H$4,"",IF(INDEX('Fleet dates'!$I$9:$I$1008,$I166-8)="","",INDEX('Fleet dates'!$I$9:$I$1008,$I166-8)))</x:f>
      </x:c>
      <x:c r="I166" t="str">
        <x:f>IF(158&gt;$H$4,"",MATCH(158,'Fleet dates'!$N$9:$N$1008,0)+8)</x:f>
      </x:c>
    </x:row>
    <x:row r="167" ht="36" customHeight="1">
      <x:c r="A167" s="50" t="str">
        <x:f>IF(159&gt;$H$4,"",IF(INDEX('Fleet dates'!$A$9:$A$1008,$I167-8)="","",INDEX('Fleet dates'!$A$9:$A$1008,$I167-8)))</x:f>
      </x:c>
      <x:c r="B167" s="50" t="str">
        <x:f>IF(159&gt;$H$4,"",IF(INDEX('Fleet dates'!$B$9:$B$1008,$I167-8)="","",INDEX('Fleet dates'!$B$9:$B$1008,$I167-8)))</x:f>
      </x:c>
      <x:c r="C167" s="51" t="str">
        <x:f>IF(159&gt;$H$4,"",IF(INDEX('Fleet dates'!$C$9:$C$1008,$I167-8)="","",INDEX('Fleet dates'!$C$9:$C$1008,$I167-8)))</x:f>
      </x:c>
      <x:c r="D167" s="51" t="str">
        <x:f>IF(159&gt;$H$4,"",IF(INDEX('Fleet dates'!$D$9:$D$1008,$I167-8)="","",INDEX('Fleet dates'!$D$9:$D$1008,$I167-8)))</x:f>
      </x:c>
      <x:c r="E167" s="51" t="str">
        <x:f>IF(159&gt;$H$4,"",IF(INDEX('Fleet dates'!$E$9:$E$1008,$I167-8)="","",INDEX('Fleet dates'!$E$9:$E$1008,$I167-8)))</x:f>
      </x:c>
      <x:c r="F167" s="51" t="str">
        <x:f>IF(159&gt;$H$4,"",IF(INDEX('Fleet dates'!$F$9:$F$1008,$I167-8)="","",INDEX('Fleet dates'!$F$9:$F$1008,$I167-8)))</x:f>
      </x:c>
      <x:c r="G167" s="50" t="str">
        <x:f>IF(159&gt;$H$4,"",IF(INDEX('Fleet dates'!$G$9:$G$1008,$I167-8)="","",INDEX('Fleet dates'!$G$9:$G$1008,$I167-8)))</x:f>
      </x:c>
      <x:c r="H167" s="50" t="str">
        <x:f>IF(159&gt;$H$4,"",IF(INDEX('Fleet dates'!$I$9:$I$1008,$I167-8)="","",INDEX('Fleet dates'!$I$9:$I$1008,$I167-8)))</x:f>
      </x:c>
      <x:c r="I167" t="str">
        <x:f>IF(159&gt;$H$4,"",MATCH(159,'Fleet dates'!$N$9:$N$1008,0)+8)</x:f>
      </x:c>
    </x:row>
    <x:row r="168" ht="36" customHeight="1">
      <x:c r="A168" s="50" t="str">
        <x:f>IF(160&gt;$H$4,"",IF(INDEX('Fleet dates'!$A$9:$A$1008,$I168-8)="","",INDEX('Fleet dates'!$A$9:$A$1008,$I168-8)))</x:f>
      </x:c>
      <x:c r="B168" s="50" t="str">
        <x:f>IF(160&gt;$H$4,"",IF(INDEX('Fleet dates'!$B$9:$B$1008,$I168-8)="","",INDEX('Fleet dates'!$B$9:$B$1008,$I168-8)))</x:f>
      </x:c>
      <x:c r="C168" s="51" t="str">
        <x:f>IF(160&gt;$H$4,"",IF(INDEX('Fleet dates'!$C$9:$C$1008,$I168-8)="","",INDEX('Fleet dates'!$C$9:$C$1008,$I168-8)))</x:f>
      </x:c>
      <x:c r="D168" s="51" t="str">
        <x:f>IF(160&gt;$H$4,"",IF(INDEX('Fleet dates'!$D$9:$D$1008,$I168-8)="","",INDEX('Fleet dates'!$D$9:$D$1008,$I168-8)))</x:f>
      </x:c>
      <x:c r="E168" s="51" t="str">
        <x:f>IF(160&gt;$H$4,"",IF(INDEX('Fleet dates'!$E$9:$E$1008,$I168-8)="","",INDEX('Fleet dates'!$E$9:$E$1008,$I168-8)))</x:f>
      </x:c>
      <x:c r="F168" s="51" t="str">
        <x:f>IF(160&gt;$H$4,"",IF(INDEX('Fleet dates'!$F$9:$F$1008,$I168-8)="","",INDEX('Fleet dates'!$F$9:$F$1008,$I168-8)))</x:f>
      </x:c>
      <x:c r="G168" s="50" t="str">
        <x:f>IF(160&gt;$H$4,"",IF(INDEX('Fleet dates'!$G$9:$G$1008,$I168-8)="","",INDEX('Fleet dates'!$G$9:$G$1008,$I168-8)))</x:f>
      </x:c>
      <x:c r="H168" s="50" t="str">
        <x:f>IF(160&gt;$H$4,"",IF(INDEX('Fleet dates'!$I$9:$I$1008,$I168-8)="","",INDEX('Fleet dates'!$I$9:$I$1008,$I168-8)))</x:f>
      </x:c>
      <x:c r="I168" t="str">
        <x:f>IF(160&gt;$H$4,"",MATCH(160,'Fleet dates'!$N$9:$N$1008,0)+8)</x:f>
      </x:c>
    </x:row>
    <x:row r="169" ht="36" customHeight="1">
      <x:c r="A169" s="50" t="str">
        <x:f>IF(161&gt;$H$4,"",IF(INDEX('Fleet dates'!$A$9:$A$1008,$I169-8)="","",INDEX('Fleet dates'!$A$9:$A$1008,$I169-8)))</x:f>
      </x:c>
      <x:c r="B169" s="50" t="str">
        <x:f>IF(161&gt;$H$4,"",IF(INDEX('Fleet dates'!$B$9:$B$1008,$I169-8)="","",INDEX('Fleet dates'!$B$9:$B$1008,$I169-8)))</x:f>
      </x:c>
      <x:c r="C169" s="51" t="str">
        <x:f>IF(161&gt;$H$4,"",IF(INDEX('Fleet dates'!$C$9:$C$1008,$I169-8)="","",INDEX('Fleet dates'!$C$9:$C$1008,$I169-8)))</x:f>
      </x:c>
      <x:c r="D169" s="51" t="str">
        <x:f>IF(161&gt;$H$4,"",IF(INDEX('Fleet dates'!$D$9:$D$1008,$I169-8)="","",INDEX('Fleet dates'!$D$9:$D$1008,$I169-8)))</x:f>
      </x:c>
      <x:c r="E169" s="51" t="str">
        <x:f>IF(161&gt;$H$4,"",IF(INDEX('Fleet dates'!$E$9:$E$1008,$I169-8)="","",INDEX('Fleet dates'!$E$9:$E$1008,$I169-8)))</x:f>
      </x:c>
      <x:c r="F169" s="51" t="str">
        <x:f>IF(161&gt;$H$4,"",IF(INDEX('Fleet dates'!$F$9:$F$1008,$I169-8)="","",INDEX('Fleet dates'!$F$9:$F$1008,$I169-8)))</x:f>
      </x:c>
      <x:c r="G169" s="50" t="str">
        <x:f>IF(161&gt;$H$4,"",IF(INDEX('Fleet dates'!$G$9:$G$1008,$I169-8)="","",INDEX('Fleet dates'!$G$9:$G$1008,$I169-8)))</x:f>
      </x:c>
      <x:c r="H169" s="50" t="str">
        <x:f>IF(161&gt;$H$4,"",IF(INDEX('Fleet dates'!$I$9:$I$1008,$I169-8)="","",INDEX('Fleet dates'!$I$9:$I$1008,$I169-8)))</x:f>
      </x:c>
      <x:c r="I169" t="str">
        <x:f>IF(161&gt;$H$4,"",MATCH(161,'Fleet dates'!$N$9:$N$1008,0)+8)</x:f>
      </x:c>
    </x:row>
    <x:row r="170" ht="36" customHeight="1">
      <x:c r="A170" s="50" t="str">
        <x:f>IF(162&gt;$H$4,"",IF(INDEX('Fleet dates'!$A$9:$A$1008,$I170-8)="","",INDEX('Fleet dates'!$A$9:$A$1008,$I170-8)))</x:f>
      </x:c>
      <x:c r="B170" s="50" t="str">
        <x:f>IF(162&gt;$H$4,"",IF(INDEX('Fleet dates'!$B$9:$B$1008,$I170-8)="","",INDEX('Fleet dates'!$B$9:$B$1008,$I170-8)))</x:f>
      </x:c>
      <x:c r="C170" s="51" t="str">
        <x:f>IF(162&gt;$H$4,"",IF(INDEX('Fleet dates'!$C$9:$C$1008,$I170-8)="","",INDEX('Fleet dates'!$C$9:$C$1008,$I170-8)))</x:f>
      </x:c>
      <x:c r="D170" s="51" t="str">
        <x:f>IF(162&gt;$H$4,"",IF(INDEX('Fleet dates'!$D$9:$D$1008,$I170-8)="","",INDEX('Fleet dates'!$D$9:$D$1008,$I170-8)))</x:f>
      </x:c>
      <x:c r="E170" s="51" t="str">
        <x:f>IF(162&gt;$H$4,"",IF(INDEX('Fleet dates'!$E$9:$E$1008,$I170-8)="","",INDEX('Fleet dates'!$E$9:$E$1008,$I170-8)))</x:f>
      </x:c>
      <x:c r="F170" s="51" t="str">
        <x:f>IF(162&gt;$H$4,"",IF(INDEX('Fleet dates'!$F$9:$F$1008,$I170-8)="","",INDEX('Fleet dates'!$F$9:$F$1008,$I170-8)))</x:f>
      </x:c>
      <x:c r="G170" s="50" t="str">
        <x:f>IF(162&gt;$H$4,"",IF(INDEX('Fleet dates'!$G$9:$G$1008,$I170-8)="","",INDEX('Fleet dates'!$G$9:$G$1008,$I170-8)))</x:f>
      </x:c>
      <x:c r="H170" s="50" t="str">
        <x:f>IF(162&gt;$H$4,"",IF(INDEX('Fleet dates'!$I$9:$I$1008,$I170-8)="","",INDEX('Fleet dates'!$I$9:$I$1008,$I170-8)))</x:f>
      </x:c>
      <x:c r="I170" t="str">
        <x:f>IF(162&gt;$H$4,"",MATCH(162,'Fleet dates'!$N$9:$N$1008,0)+8)</x:f>
      </x:c>
    </x:row>
    <x:row r="171" ht="36" customHeight="1">
      <x:c r="A171" s="50" t="str">
        <x:f>IF(163&gt;$H$4,"",IF(INDEX('Fleet dates'!$A$9:$A$1008,$I171-8)="","",INDEX('Fleet dates'!$A$9:$A$1008,$I171-8)))</x:f>
      </x:c>
      <x:c r="B171" s="50" t="str">
        <x:f>IF(163&gt;$H$4,"",IF(INDEX('Fleet dates'!$B$9:$B$1008,$I171-8)="","",INDEX('Fleet dates'!$B$9:$B$1008,$I171-8)))</x:f>
      </x:c>
      <x:c r="C171" s="51" t="str">
        <x:f>IF(163&gt;$H$4,"",IF(INDEX('Fleet dates'!$C$9:$C$1008,$I171-8)="","",INDEX('Fleet dates'!$C$9:$C$1008,$I171-8)))</x:f>
      </x:c>
      <x:c r="D171" s="51" t="str">
        <x:f>IF(163&gt;$H$4,"",IF(INDEX('Fleet dates'!$D$9:$D$1008,$I171-8)="","",INDEX('Fleet dates'!$D$9:$D$1008,$I171-8)))</x:f>
      </x:c>
      <x:c r="E171" s="51" t="str">
        <x:f>IF(163&gt;$H$4,"",IF(INDEX('Fleet dates'!$E$9:$E$1008,$I171-8)="","",INDEX('Fleet dates'!$E$9:$E$1008,$I171-8)))</x:f>
      </x:c>
      <x:c r="F171" s="51" t="str">
        <x:f>IF(163&gt;$H$4,"",IF(INDEX('Fleet dates'!$F$9:$F$1008,$I171-8)="","",INDEX('Fleet dates'!$F$9:$F$1008,$I171-8)))</x:f>
      </x:c>
      <x:c r="G171" s="50" t="str">
        <x:f>IF(163&gt;$H$4,"",IF(INDEX('Fleet dates'!$G$9:$G$1008,$I171-8)="","",INDEX('Fleet dates'!$G$9:$G$1008,$I171-8)))</x:f>
      </x:c>
      <x:c r="H171" s="50" t="str">
        <x:f>IF(163&gt;$H$4,"",IF(INDEX('Fleet dates'!$I$9:$I$1008,$I171-8)="","",INDEX('Fleet dates'!$I$9:$I$1008,$I171-8)))</x:f>
      </x:c>
      <x:c r="I171" t="str">
        <x:f>IF(163&gt;$H$4,"",MATCH(163,'Fleet dates'!$N$9:$N$1008,0)+8)</x:f>
      </x:c>
    </x:row>
    <x:row r="172" ht="36" customHeight="1">
      <x:c r="A172" s="50" t="str">
        <x:f>IF(164&gt;$H$4,"",IF(INDEX('Fleet dates'!$A$9:$A$1008,$I172-8)="","",INDEX('Fleet dates'!$A$9:$A$1008,$I172-8)))</x:f>
      </x:c>
      <x:c r="B172" s="50" t="str">
        <x:f>IF(164&gt;$H$4,"",IF(INDEX('Fleet dates'!$B$9:$B$1008,$I172-8)="","",INDEX('Fleet dates'!$B$9:$B$1008,$I172-8)))</x:f>
      </x:c>
      <x:c r="C172" s="51" t="str">
        <x:f>IF(164&gt;$H$4,"",IF(INDEX('Fleet dates'!$C$9:$C$1008,$I172-8)="","",INDEX('Fleet dates'!$C$9:$C$1008,$I172-8)))</x:f>
      </x:c>
      <x:c r="D172" s="51" t="str">
        <x:f>IF(164&gt;$H$4,"",IF(INDEX('Fleet dates'!$D$9:$D$1008,$I172-8)="","",INDEX('Fleet dates'!$D$9:$D$1008,$I172-8)))</x:f>
      </x:c>
      <x:c r="E172" s="51" t="str">
        <x:f>IF(164&gt;$H$4,"",IF(INDEX('Fleet dates'!$E$9:$E$1008,$I172-8)="","",INDEX('Fleet dates'!$E$9:$E$1008,$I172-8)))</x:f>
      </x:c>
      <x:c r="F172" s="51" t="str">
        <x:f>IF(164&gt;$H$4,"",IF(INDEX('Fleet dates'!$F$9:$F$1008,$I172-8)="","",INDEX('Fleet dates'!$F$9:$F$1008,$I172-8)))</x:f>
      </x:c>
      <x:c r="G172" s="50" t="str">
        <x:f>IF(164&gt;$H$4,"",IF(INDEX('Fleet dates'!$G$9:$G$1008,$I172-8)="","",INDEX('Fleet dates'!$G$9:$G$1008,$I172-8)))</x:f>
      </x:c>
      <x:c r="H172" s="50" t="str">
        <x:f>IF(164&gt;$H$4,"",IF(INDEX('Fleet dates'!$I$9:$I$1008,$I172-8)="","",INDEX('Fleet dates'!$I$9:$I$1008,$I172-8)))</x:f>
      </x:c>
      <x:c r="I172" t="str">
        <x:f>IF(164&gt;$H$4,"",MATCH(164,'Fleet dates'!$N$9:$N$1008,0)+8)</x:f>
      </x:c>
    </x:row>
    <x:row r="173" ht="36" customHeight="1">
      <x:c r="A173" s="50" t="str">
        <x:f>IF(165&gt;$H$4,"",IF(INDEX('Fleet dates'!$A$9:$A$1008,$I173-8)="","",INDEX('Fleet dates'!$A$9:$A$1008,$I173-8)))</x:f>
      </x:c>
      <x:c r="B173" s="50" t="str">
        <x:f>IF(165&gt;$H$4,"",IF(INDEX('Fleet dates'!$B$9:$B$1008,$I173-8)="","",INDEX('Fleet dates'!$B$9:$B$1008,$I173-8)))</x:f>
      </x:c>
      <x:c r="C173" s="51" t="str">
        <x:f>IF(165&gt;$H$4,"",IF(INDEX('Fleet dates'!$C$9:$C$1008,$I173-8)="","",INDEX('Fleet dates'!$C$9:$C$1008,$I173-8)))</x:f>
      </x:c>
      <x:c r="D173" s="51" t="str">
        <x:f>IF(165&gt;$H$4,"",IF(INDEX('Fleet dates'!$D$9:$D$1008,$I173-8)="","",INDEX('Fleet dates'!$D$9:$D$1008,$I173-8)))</x:f>
      </x:c>
      <x:c r="E173" s="51" t="str">
        <x:f>IF(165&gt;$H$4,"",IF(INDEX('Fleet dates'!$E$9:$E$1008,$I173-8)="","",INDEX('Fleet dates'!$E$9:$E$1008,$I173-8)))</x:f>
      </x:c>
      <x:c r="F173" s="51" t="str">
        <x:f>IF(165&gt;$H$4,"",IF(INDEX('Fleet dates'!$F$9:$F$1008,$I173-8)="","",INDEX('Fleet dates'!$F$9:$F$1008,$I173-8)))</x:f>
      </x:c>
      <x:c r="G173" s="50" t="str">
        <x:f>IF(165&gt;$H$4,"",IF(INDEX('Fleet dates'!$G$9:$G$1008,$I173-8)="","",INDEX('Fleet dates'!$G$9:$G$1008,$I173-8)))</x:f>
      </x:c>
      <x:c r="H173" s="50" t="str">
        <x:f>IF(165&gt;$H$4,"",IF(INDEX('Fleet dates'!$I$9:$I$1008,$I173-8)="","",INDEX('Fleet dates'!$I$9:$I$1008,$I173-8)))</x:f>
      </x:c>
      <x:c r="I173" t="str">
        <x:f>IF(165&gt;$H$4,"",MATCH(165,'Fleet dates'!$N$9:$N$1008,0)+8)</x:f>
      </x:c>
    </x:row>
    <x:row r="174" ht="36" customHeight="1">
      <x:c r="A174" s="50" t="str">
        <x:f>IF(166&gt;$H$4,"",IF(INDEX('Fleet dates'!$A$9:$A$1008,$I174-8)="","",INDEX('Fleet dates'!$A$9:$A$1008,$I174-8)))</x:f>
      </x:c>
      <x:c r="B174" s="50" t="str">
        <x:f>IF(166&gt;$H$4,"",IF(INDEX('Fleet dates'!$B$9:$B$1008,$I174-8)="","",INDEX('Fleet dates'!$B$9:$B$1008,$I174-8)))</x:f>
      </x:c>
      <x:c r="C174" s="51" t="str">
        <x:f>IF(166&gt;$H$4,"",IF(INDEX('Fleet dates'!$C$9:$C$1008,$I174-8)="","",INDEX('Fleet dates'!$C$9:$C$1008,$I174-8)))</x:f>
      </x:c>
      <x:c r="D174" s="51" t="str">
        <x:f>IF(166&gt;$H$4,"",IF(INDEX('Fleet dates'!$D$9:$D$1008,$I174-8)="","",INDEX('Fleet dates'!$D$9:$D$1008,$I174-8)))</x:f>
      </x:c>
      <x:c r="E174" s="51" t="str">
        <x:f>IF(166&gt;$H$4,"",IF(INDEX('Fleet dates'!$E$9:$E$1008,$I174-8)="","",INDEX('Fleet dates'!$E$9:$E$1008,$I174-8)))</x:f>
      </x:c>
      <x:c r="F174" s="51" t="str">
        <x:f>IF(166&gt;$H$4,"",IF(INDEX('Fleet dates'!$F$9:$F$1008,$I174-8)="","",INDEX('Fleet dates'!$F$9:$F$1008,$I174-8)))</x:f>
      </x:c>
      <x:c r="G174" s="50" t="str">
        <x:f>IF(166&gt;$H$4,"",IF(INDEX('Fleet dates'!$G$9:$G$1008,$I174-8)="","",INDEX('Fleet dates'!$G$9:$G$1008,$I174-8)))</x:f>
      </x:c>
      <x:c r="H174" s="50" t="str">
        <x:f>IF(166&gt;$H$4,"",IF(INDEX('Fleet dates'!$I$9:$I$1008,$I174-8)="","",INDEX('Fleet dates'!$I$9:$I$1008,$I174-8)))</x:f>
      </x:c>
      <x:c r="I174" t="str">
        <x:f>IF(166&gt;$H$4,"",MATCH(166,'Fleet dates'!$N$9:$N$1008,0)+8)</x:f>
      </x:c>
    </x:row>
    <x:row r="175" ht="36" customHeight="1">
      <x:c r="A175" s="50" t="str">
        <x:f>IF(167&gt;$H$4,"",IF(INDEX('Fleet dates'!$A$9:$A$1008,$I175-8)="","",INDEX('Fleet dates'!$A$9:$A$1008,$I175-8)))</x:f>
      </x:c>
      <x:c r="B175" s="50" t="str">
        <x:f>IF(167&gt;$H$4,"",IF(INDEX('Fleet dates'!$B$9:$B$1008,$I175-8)="","",INDEX('Fleet dates'!$B$9:$B$1008,$I175-8)))</x:f>
      </x:c>
      <x:c r="C175" s="51" t="str">
        <x:f>IF(167&gt;$H$4,"",IF(INDEX('Fleet dates'!$C$9:$C$1008,$I175-8)="","",INDEX('Fleet dates'!$C$9:$C$1008,$I175-8)))</x:f>
      </x:c>
      <x:c r="D175" s="51" t="str">
        <x:f>IF(167&gt;$H$4,"",IF(INDEX('Fleet dates'!$D$9:$D$1008,$I175-8)="","",INDEX('Fleet dates'!$D$9:$D$1008,$I175-8)))</x:f>
      </x:c>
      <x:c r="E175" s="51" t="str">
        <x:f>IF(167&gt;$H$4,"",IF(INDEX('Fleet dates'!$E$9:$E$1008,$I175-8)="","",INDEX('Fleet dates'!$E$9:$E$1008,$I175-8)))</x:f>
      </x:c>
      <x:c r="F175" s="51" t="str">
        <x:f>IF(167&gt;$H$4,"",IF(INDEX('Fleet dates'!$F$9:$F$1008,$I175-8)="","",INDEX('Fleet dates'!$F$9:$F$1008,$I175-8)))</x:f>
      </x:c>
      <x:c r="G175" s="50" t="str">
        <x:f>IF(167&gt;$H$4,"",IF(INDEX('Fleet dates'!$G$9:$G$1008,$I175-8)="","",INDEX('Fleet dates'!$G$9:$G$1008,$I175-8)))</x:f>
      </x:c>
      <x:c r="H175" s="50" t="str">
        <x:f>IF(167&gt;$H$4,"",IF(INDEX('Fleet dates'!$I$9:$I$1008,$I175-8)="","",INDEX('Fleet dates'!$I$9:$I$1008,$I175-8)))</x:f>
      </x:c>
      <x:c r="I175" t="str">
        <x:f>IF(167&gt;$H$4,"",MATCH(167,'Fleet dates'!$N$9:$N$1008,0)+8)</x:f>
      </x:c>
    </x:row>
    <x:row r="176" ht="36" customHeight="1">
      <x:c r="A176" s="50" t="str">
        <x:f>IF(168&gt;$H$4,"",IF(INDEX('Fleet dates'!$A$9:$A$1008,$I176-8)="","",INDEX('Fleet dates'!$A$9:$A$1008,$I176-8)))</x:f>
      </x:c>
      <x:c r="B176" s="50" t="str">
        <x:f>IF(168&gt;$H$4,"",IF(INDEX('Fleet dates'!$B$9:$B$1008,$I176-8)="","",INDEX('Fleet dates'!$B$9:$B$1008,$I176-8)))</x:f>
      </x:c>
      <x:c r="C176" s="51" t="str">
        <x:f>IF(168&gt;$H$4,"",IF(INDEX('Fleet dates'!$C$9:$C$1008,$I176-8)="","",INDEX('Fleet dates'!$C$9:$C$1008,$I176-8)))</x:f>
      </x:c>
      <x:c r="D176" s="51" t="str">
        <x:f>IF(168&gt;$H$4,"",IF(INDEX('Fleet dates'!$D$9:$D$1008,$I176-8)="","",INDEX('Fleet dates'!$D$9:$D$1008,$I176-8)))</x:f>
      </x:c>
      <x:c r="E176" s="51" t="str">
        <x:f>IF(168&gt;$H$4,"",IF(INDEX('Fleet dates'!$E$9:$E$1008,$I176-8)="","",INDEX('Fleet dates'!$E$9:$E$1008,$I176-8)))</x:f>
      </x:c>
      <x:c r="F176" s="51" t="str">
        <x:f>IF(168&gt;$H$4,"",IF(INDEX('Fleet dates'!$F$9:$F$1008,$I176-8)="","",INDEX('Fleet dates'!$F$9:$F$1008,$I176-8)))</x:f>
      </x:c>
      <x:c r="G176" s="50" t="str">
        <x:f>IF(168&gt;$H$4,"",IF(INDEX('Fleet dates'!$G$9:$G$1008,$I176-8)="","",INDEX('Fleet dates'!$G$9:$G$1008,$I176-8)))</x:f>
      </x:c>
      <x:c r="H176" s="50" t="str">
        <x:f>IF(168&gt;$H$4,"",IF(INDEX('Fleet dates'!$I$9:$I$1008,$I176-8)="","",INDEX('Fleet dates'!$I$9:$I$1008,$I176-8)))</x:f>
      </x:c>
      <x:c r="I176" t="str">
        <x:f>IF(168&gt;$H$4,"",MATCH(168,'Fleet dates'!$N$9:$N$1008,0)+8)</x:f>
      </x:c>
    </x:row>
    <x:row r="177" ht="36" customHeight="1">
      <x:c r="A177" s="50" t="str">
        <x:f>IF(169&gt;$H$4,"",IF(INDEX('Fleet dates'!$A$9:$A$1008,$I177-8)="","",INDEX('Fleet dates'!$A$9:$A$1008,$I177-8)))</x:f>
      </x:c>
      <x:c r="B177" s="50" t="str">
        <x:f>IF(169&gt;$H$4,"",IF(INDEX('Fleet dates'!$B$9:$B$1008,$I177-8)="","",INDEX('Fleet dates'!$B$9:$B$1008,$I177-8)))</x:f>
      </x:c>
      <x:c r="C177" s="51" t="str">
        <x:f>IF(169&gt;$H$4,"",IF(INDEX('Fleet dates'!$C$9:$C$1008,$I177-8)="","",INDEX('Fleet dates'!$C$9:$C$1008,$I177-8)))</x:f>
      </x:c>
      <x:c r="D177" s="51" t="str">
        <x:f>IF(169&gt;$H$4,"",IF(INDEX('Fleet dates'!$D$9:$D$1008,$I177-8)="","",INDEX('Fleet dates'!$D$9:$D$1008,$I177-8)))</x:f>
      </x:c>
      <x:c r="E177" s="51" t="str">
        <x:f>IF(169&gt;$H$4,"",IF(INDEX('Fleet dates'!$E$9:$E$1008,$I177-8)="","",INDEX('Fleet dates'!$E$9:$E$1008,$I177-8)))</x:f>
      </x:c>
      <x:c r="F177" s="51" t="str">
        <x:f>IF(169&gt;$H$4,"",IF(INDEX('Fleet dates'!$F$9:$F$1008,$I177-8)="","",INDEX('Fleet dates'!$F$9:$F$1008,$I177-8)))</x:f>
      </x:c>
      <x:c r="G177" s="50" t="str">
        <x:f>IF(169&gt;$H$4,"",IF(INDEX('Fleet dates'!$G$9:$G$1008,$I177-8)="","",INDEX('Fleet dates'!$G$9:$G$1008,$I177-8)))</x:f>
      </x:c>
      <x:c r="H177" s="50" t="str">
        <x:f>IF(169&gt;$H$4,"",IF(INDEX('Fleet dates'!$I$9:$I$1008,$I177-8)="","",INDEX('Fleet dates'!$I$9:$I$1008,$I177-8)))</x:f>
      </x:c>
      <x:c r="I177" t="str">
        <x:f>IF(169&gt;$H$4,"",MATCH(169,'Fleet dates'!$N$9:$N$1008,0)+8)</x:f>
      </x:c>
    </x:row>
    <x:row r="178" ht="36" customHeight="1">
      <x:c r="A178" s="50" t="str">
        <x:f>IF(170&gt;$H$4,"",IF(INDEX('Fleet dates'!$A$9:$A$1008,$I178-8)="","",INDEX('Fleet dates'!$A$9:$A$1008,$I178-8)))</x:f>
      </x:c>
      <x:c r="B178" s="50" t="str">
        <x:f>IF(170&gt;$H$4,"",IF(INDEX('Fleet dates'!$B$9:$B$1008,$I178-8)="","",INDEX('Fleet dates'!$B$9:$B$1008,$I178-8)))</x:f>
      </x:c>
      <x:c r="C178" s="51" t="str">
        <x:f>IF(170&gt;$H$4,"",IF(INDEX('Fleet dates'!$C$9:$C$1008,$I178-8)="","",INDEX('Fleet dates'!$C$9:$C$1008,$I178-8)))</x:f>
      </x:c>
      <x:c r="D178" s="51" t="str">
        <x:f>IF(170&gt;$H$4,"",IF(INDEX('Fleet dates'!$D$9:$D$1008,$I178-8)="","",INDEX('Fleet dates'!$D$9:$D$1008,$I178-8)))</x:f>
      </x:c>
      <x:c r="E178" s="51" t="str">
        <x:f>IF(170&gt;$H$4,"",IF(INDEX('Fleet dates'!$E$9:$E$1008,$I178-8)="","",INDEX('Fleet dates'!$E$9:$E$1008,$I178-8)))</x:f>
      </x:c>
      <x:c r="F178" s="51" t="str">
        <x:f>IF(170&gt;$H$4,"",IF(INDEX('Fleet dates'!$F$9:$F$1008,$I178-8)="","",INDEX('Fleet dates'!$F$9:$F$1008,$I178-8)))</x:f>
      </x:c>
      <x:c r="G178" s="50" t="str">
        <x:f>IF(170&gt;$H$4,"",IF(INDEX('Fleet dates'!$G$9:$G$1008,$I178-8)="","",INDEX('Fleet dates'!$G$9:$G$1008,$I178-8)))</x:f>
      </x:c>
      <x:c r="H178" s="50" t="str">
        <x:f>IF(170&gt;$H$4,"",IF(INDEX('Fleet dates'!$I$9:$I$1008,$I178-8)="","",INDEX('Fleet dates'!$I$9:$I$1008,$I178-8)))</x:f>
      </x:c>
      <x:c r="I178" t="str">
        <x:f>IF(170&gt;$H$4,"",MATCH(170,'Fleet dates'!$N$9:$N$1008,0)+8)</x:f>
      </x:c>
    </x:row>
    <x:row r="179" ht="36" customHeight="1">
      <x:c r="A179" s="50" t="str">
        <x:f>IF(171&gt;$H$4,"",IF(INDEX('Fleet dates'!$A$9:$A$1008,$I179-8)="","",INDEX('Fleet dates'!$A$9:$A$1008,$I179-8)))</x:f>
      </x:c>
      <x:c r="B179" s="50" t="str">
        <x:f>IF(171&gt;$H$4,"",IF(INDEX('Fleet dates'!$B$9:$B$1008,$I179-8)="","",INDEX('Fleet dates'!$B$9:$B$1008,$I179-8)))</x:f>
      </x:c>
      <x:c r="C179" s="51" t="str">
        <x:f>IF(171&gt;$H$4,"",IF(INDEX('Fleet dates'!$C$9:$C$1008,$I179-8)="","",INDEX('Fleet dates'!$C$9:$C$1008,$I179-8)))</x:f>
      </x:c>
      <x:c r="D179" s="51" t="str">
        <x:f>IF(171&gt;$H$4,"",IF(INDEX('Fleet dates'!$D$9:$D$1008,$I179-8)="","",INDEX('Fleet dates'!$D$9:$D$1008,$I179-8)))</x:f>
      </x:c>
      <x:c r="E179" s="51" t="str">
        <x:f>IF(171&gt;$H$4,"",IF(INDEX('Fleet dates'!$E$9:$E$1008,$I179-8)="","",INDEX('Fleet dates'!$E$9:$E$1008,$I179-8)))</x:f>
      </x:c>
      <x:c r="F179" s="51" t="str">
        <x:f>IF(171&gt;$H$4,"",IF(INDEX('Fleet dates'!$F$9:$F$1008,$I179-8)="","",INDEX('Fleet dates'!$F$9:$F$1008,$I179-8)))</x:f>
      </x:c>
      <x:c r="G179" s="50" t="str">
        <x:f>IF(171&gt;$H$4,"",IF(INDEX('Fleet dates'!$G$9:$G$1008,$I179-8)="","",INDEX('Fleet dates'!$G$9:$G$1008,$I179-8)))</x:f>
      </x:c>
      <x:c r="H179" s="50" t="str">
        <x:f>IF(171&gt;$H$4,"",IF(INDEX('Fleet dates'!$I$9:$I$1008,$I179-8)="","",INDEX('Fleet dates'!$I$9:$I$1008,$I179-8)))</x:f>
      </x:c>
      <x:c r="I179" t="str">
        <x:f>IF(171&gt;$H$4,"",MATCH(171,'Fleet dates'!$N$9:$N$1008,0)+8)</x:f>
      </x:c>
    </x:row>
    <x:row r="180" ht="36" customHeight="1">
      <x:c r="A180" s="50" t="str">
        <x:f>IF(172&gt;$H$4,"",IF(INDEX('Fleet dates'!$A$9:$A$1008,$I180-8)="","",INDEX('Fleet dates'!$A$9:$A$1008,$I180-8)))</x:f>
      </x:c>
      <x:c r="B180" s="50" t="str">
        <x:f>IF(172&gt;$H$4,"",IF(INDEX('Fleet dates'!$B$9:$B$1008,$I180-8)="","",INDEX('Fleet dates'!$B$9:$B$1008,$I180-8)))</x:f>
      </x:c>
      <x:c r="C180" s="51" t="str">
        <x:f>IF(172&gt;$H$4,"",IF(INDEX('Fleet dates'!$C$9:$C$1008,$I180-8)="","",INDEX('Fleet dates'!$C$9:$C$1008,$I180-8)))</x:f>
      </x:c>
      <x:c r="D180" s="51" t="str">
        <x:f>IF(172&gt;$H$4,"",IF(INDEX('Fleet dates'!$D$9:$D$1008,$I180-8)="","",INDEX('Fleet dates'!$D$9:$D$1008,$I180-8)))</x:f>
      </x:c>
      <x:c r="E180" s="51" t="str">
        <x:f>IF(172&gt;$H$4,"",IF(INDEX('Fleet dates'!$E$9:$E$1008,$I180-8)="","",INDEX('Fleet dates'!$E$9:$E$1008,$I180-8)))</x:f>
      </x:c>
      <x:c r="F180" s="51" t="str">
        <x:f>IF(172&gt;$H$4,"",IF(INDEX('Fleet dates'!$F$9:$F$1008,$I180-8)="","",INDEX('Fleet dates'!$F$9:$F$1008,$I180-8)))</x:f>
      </x:c>
      <x:c r="G180" s="50" t="str">
        <x:f>IF(172&gt;$H$4,"",IF(INDEX('Fleet dates'!$G$9:$G$1008,$I180-8)="","",INDEX('Fleet dates'!$G$9:$G$1008,$I180-8)))</x:f>
      </x:c>
      <x:c r="H180" s="50" t="str">
        <x:f>IF(172&gt;$H$4,"",IF(INDEX('Fleet dates'!$I$9:$I$1008,$I180-8)="","",INDEX('Fleet dates'!$I$9:$I$1008,$I180-8)))</x:f>
      </x:c>
      <x:c r="I180" t="str">
        <x:f>IF(172&gt;$H$4,"",MATCH(172,'Fleet dates'!$N$9:$N$1008,0)+8)</x:f>
      </x:c>
    </x:row>
    <x:row r="181" ht="36" customHeight="1">
      <x:c r="A181" s="50" t="str">
        <x:f>IF(173&gt;$H$4,"",IF(INDEX('Fleet dates'!$A$9:$A$1008,$I181-8)="","",INDEX('Fleet dates'!$A$9:$A$1008,$I181-8)))</x:f>
      </x:c>
      <x:c r="B181" s="50" t="str">
        <x:f>IF(173&gt;$H$4,"",IF(INDEX('Fleet dates'!$B$9:$B$1008,$I181-8)="","",INDEX('Fleet dates'!$B$9:$B$1008,$I181-8)))</x:f>
      </x:c>
      <x:c r="C181" s="51" t="str">
        <x:f>IF(173&gt;$H$4,"",IF(INDEX('Fleet dates'!$C$9:$C$1008,$I181-8)="","",INDEX('Fleet dates'!$C$9:$C$1008,$I181-8)))</x:f>
      </x:c>
      <x:c r="D181" s="51" t="str">
        <x:f>IF(173&gt;$H$4,"",IF(INDEX('Fleet dates'!$D$9:$D$1008,$I181-8)="","",INDEX('Fleet dates'!$D$9:$D$1008,$I181-8)))</x:f>
      </x:c>
      <x:c r="E181" s="51" t="str">
        <x:f>IF(173&gt;$H$4,"",IF(INDEX('Fleet dates'!$E$9:$E$1008,$I181-8)="","",INDEX('Fleet dates'!$E$9:$E$1008,$I181-8)))</x:f>
      </x:c>
      <x:c r="F181" s="51" t="str">
        <x:f>IF(173&gt;$H$4,"",IF(INDEX('Fleet dates'!$F$9:$F$1008,$I181-8)="","",INDEX('Fleet dates'!$F$9:$F$1008,$I181-8)))</x:f>
      </x:c>
      <x:c r="G181" s="50" t="str">
        <x:f>IF(173&gt;$H$4,"",IF(INDEX('Fleet dates'!$G$9:$G$1008,$I181-8)="","",INDEX('Fleet dates'!$G$9:$G$1008,$I181-8)))</x:f>
      </x:c>
      <x:c r="H181" s="50" t="str">
        <x:f>IF(173&gt;$H$4,"",IF(INDEX('Fleet dates'!$I$9:$I$1008,$I181-8)="","",INDEX('Fleet dates'!$I$9:$I$1008,$I181-8)))</x:f>
      </x:c>
      <x:c r="I181" t="str">
        <x:f>IF(173&gt;$H$4,"",MATCH(173,'Fleet dates'!$N$9:$N$1008,0)+8)</x:f>
      </x:c>
    </x:row>
    <x:row r="182" ht="36" customHeight="1">
      <x:c r="A182" s="50" t="str">
        <x:f>IF(174&gt;$H$4,"",IF(INDEX('Fleet dates'!$A$9:$A$1008,$I182-8)="","",INDEX('Fleet dates'!$A$9:$A$1008,$I182-8)))</x:f>
      </x:c>
      <x:c r="B182" s="50" t="str">
        <x:f>IF(174&gt;$H$4,"",IF(INDEX('Fleet dates'!$B$9:$B$1008,$I182-8)="","",INDEX('Fleet dates'!$B$9:$B$1008,$I182-8)))</x:f>
      </x:c>
      <x:c r="C182" s="51" t="str">
        <x:f>IF(174&gt;$H$4,"",IF(INDEX('Fleet dates'!$C$9:$C$1008,$I182-8)="","",INDEX('Fleet dates'!$C$9:$C$1008,$I182-8)))</x:f>
      </x:c>
      <x:c r="D182" s="51" t="str">
        <x:f>IF(174&gt;$H$4,"",IF(INDEX('Fleet dates'!$D$9:$D$1008,$I182-8)="","",INDEX('Fleet dates'!$D$9:$D$1008,$I182-8)))</x:f>
      </x:c>
      <x:c r="E182" s="51" t="str">
        <x:f>IF(174&gt;$H$4,"",IF(INDEX('Fleet dates'!$E$9:$E$1008,$I182-8)="","",INDEX('Fleet dates'!$E$9:$E$1008,$I182-8)))</x:f>
      </x:c>
      <x:c r="F182" s="51" t="str">
        <x:f>IF(174&gt;$H$4,"",IF(INDEX('Fleet dates'!$F$9:$F$1008,$I182-8)="","",INDEX('Fleet dates'!$F$9:$F$1008,$I182-8)))</x:f>
      </x:c>
      <x:c r="G182" s="50" t="str">
        <x:f>IF(174&gt;$H$4,"",IF(INDEX('Fleet dates'!$G$9:$G$1008,$I182-8)="","",INDEX('Fleet dates'!$G$9:$G$1008,$I182-8)))</x:f>
      </x:c>
      <x:c r="H182" s="50" t="str">
        <x:f>IF(174&gt;$H$4,"",IF(INDEX('Fleet dates'!$I$9:$I$1008,$I182-8)="","",INDEX('Fleet dates'!$I$9:$I$1008,$I182-8)))</x:f>
      </x:c>
      <x:c r="I182" t="str">
        <x:f>IF(174&gt;$H$4,"",MATCH(174,'Fleet dates'!$N$9:$N$1008,0)+8)</x:f>
      </x:c>
    </x:row>
    <x:row r="183" ht="36" customHeight="1">
      <x:c r="A183" s="50" t="str">
        <x:f>IF(175&gt;$H$4,"",IF(INDEX('Fleet dates'!$A$9:$A$1008,$I183-8)="","",INDEX('Fleet dates'!$A$9:$A$1008,$I183-8)))</x:f>
      </x:c>
      <x:c r="B183" s="50" t="str">
        <x:f>IF(175&gt;$H$4,"",IF(INDEX('Fleet dates'!$B$9:$B$1008,$I183-8)="","",INDEX('Fleet dates'!$B$9:$B$1008,$I183-8)))</x:f>
      </x:c>
      <x:c r="C183" s="51" t="str">
        <x:f>IF(175&gt;$H$4,"",IF(INDEX('Fleet dates'!$C$9:$C$1008,$I183-8)="","",INDEX('Fleet dates'!$C$9:$C$1008,$I183-8)))</x:f>
      </x:c>
      <x:c r="D183" s="51" t="str">
        <x:f>IF(175&gt;$H$4,"",IF(INDEX('Fleet dates'!$D$9:$D$1008,$I183-8)="","",INDEX('Fleet dates'!$D$9:$D$1008,$I183-8)))</x:f>
      </x:c>
      <x:c r="E183" s="51" t="str">
        <x:f>IF(175&gt;$H$4,"",IF(INDEX('Fleet dates'!$E$9:$E$1008,$I183-8)="","",INDEX('Fleet dates'!$E$9:$E$1008,$I183-8)))</x:f>
      </x:c>
      <x:c r="F183" s="51" t="str">
        <x:f>IF(175&gt;$H$4,"",IF(INDEX('Fleet dates'!$F$9:$F$1008,$I183-8)="","",INDEX('Fleet dates'!$F$9:$F$1008,$I183-8)))</x:f>
      </x:c>
      <x:c r="G183" s="50" t="str">
        <x:f>IF(175&gt;$H$4,"",IF(INDEX('Fleet dates'!$G$9:$G$1008,$I183-8)="","",INDEX('Fleet dates'!$G$9:$G$1008,$I183-8)))</x:f>
      </x:c>
      <x:c r="H183" s="50" t="str">
        <x:f>IF(175&gt;$H$4,"",IF(INDEX('Fleet dates'!$I$9:$I$1008,$I183-8)="","",INDEX('Fleet dates'!$I$9:$I$1008,$I183-8)))</x:f>
      </x:c>
      <x:c r="I183" t="str">
        <x:f>IF(175&gt;$H$4,"",MATCH(175,'Fleet dates'!$N$9:$N$1008,0)+8)</x:f>
      </x:c>
    </x:row>
    <x:row r="184" ht="36" customHeight="1">
      <x:c r="A184" s="50" t="str">
        <x:f>IF(176&gt;$H$4,"",IF(INDEX('Fleet dates'!$A$9:$A$1008,$I184-8)="","",INDEX('Fleet dates'!$A$9:$A$1008,$I184-8)))</x:f>
      </x:c>
      <x:c r="B184" s="50" t="str">
        <x:f>IF(176&gt;$H$4,"",IF(INDEX('Fleet dates'!$B$9:$B$1008,$I184-8)="","",INDEX('Fleet dates'!$B$9:$B$1008,$I184-8)))</x:f>
      </x:c>
      <x:c r="C184" s="51" t="str">
        <x:f>IF(176&gt;$H$4,"",IF(INDEX('Fleet dates'!$C$9:$C$1008,$I184-8)="","",INDEX('Fleet dates'!$C$9:$C$1008,$I184-8)))</x:f>
      </x:c>
      <x:c r="D184" s="51" t="str">
        <x:f>IF(176&gt;$H$4,"",IF(INDEX('Fleet dates'!$D$9:$D$1008,$I184-8)="","",INDEX('Fleet dates'!$D$9:$D$1008,$I184-8)))</x:f>
      </x:c>
      <x:c r="E184" s="51" t="str">
        <x:f>IF(176&gt;$H$4,"",IF(INDEX('Fleet dates'!$E$9:$E$1008,$I184-8)="","",INDEX('Fleet dates'!$E$9:$E$1008,$I184-8)))</x:f>
      </x:c>
      <x:c r="F184" s="51" t="str">
        <x:f>IF(176&gt;$H$4,"",IF(INDEX('Fleet dates'!$F$9:$F$1008,$I184-8)="","",INDEX('Fleet dates'!$F$9:$F$1008,$I184-8)))</x:f>
      </x:c>
      <x:c r="G184" s="50" t="str">
        <x:f>IF(176&gt;$H$4,"",IF(INDEX('Fleet dates'!$G$9:$G$1008,$I184-8)="","",INDEX('Fleet dates'!$G$9:$G$1008,$I184-8)))</x:f>
      </x:c>
      <x:c r="H184" s="50" t="str">
        <x:f>IF(176&gt;$H$4,"",IF(INDEX('Fleet dates'!$I$9:$I$1008,$I184-8)="","",INDEX('Fleet dates'!$I$9:$I$1008,$I184-8)))</x:f>
      </x:c>
      <x:c r="I184" t="str">
        <x:f>IF(176&gt;$H$4,"",MATCH(176,'Fleet dates'!$N$9:$N$1008,0)+8)</x:f>
      </x:c>
    </x:row>
    <x:row r="185" ht="36" customHeight="1">
      <x:c r="A185" s="50" t="str">
        <x:f>IF(177&gt;$H$4,"",IF(INDEX('Fleet dates'!$A$9:$A$1008,$I185-8)="","",INDEX('Fleet dates'!$A$9:$A$1008,$I185-8)))</x:f>
      </x:c>
      <x:c r="B185" s="50" t="str">
        <x:f>IF(177&gt;$H$4,"",IF(INDEX('Fleet dates'!$B$9:$B$1008,$I185-8)="","",INDEX('Fleet dates'!$B$9:$B$1008,$I185-8)))</x:f>
      </x:c>
      <x:c r="C185" s="51" t="str">
        <x:f>IF(177&gt;$H$4,"",IF(INDEX('Fleet dates'!$C$9:$C$1008,$I185-8)="","",INDEX('Fleet dates'!$C$9:$C$1008,$I185-8)))</x:f>
      </x:c>
      <x:c r="D185" s="51" t="str">
        <x:f>IF(177&gt;$H$4,"",IF(INDEX('Fleet dates'!$D$9:$D$1008,$I185-8)="","",INDEX('Fleet dates'!$D$9:$D$1008,$I185-8)))</x:f>
      </x:c>
      <x:c r="E185" s="51" t="str">
        <x:f>IF(177&gt;$H$4,"",IF(INDEX('Fleet dates'!$E$9:$E$1008,$I185-8)="","",INDEX('Fleet dates'!$E$9:$E$1008,$I185-8)))</x:f>
      </x:c>
      <x:c r="F185" s="51" t="str">
        <x:f>IF(177&gt;$H$4,"",IF(INDEX('Fleet dates'!$F$9:$F$1008,$I185-8)="","",INDEX('Fleet dates'!$F$9:$F$1008,$I185-8)))</x:f>
      </x:c>
      <x:c r="G185" s="50" t="str">
        <x:f>IF(177&gt;$H$4,"",IF(INDEX('Fleet dates'!$G$9:$G$1008,$I185-8)="","",INDEX('Fleet dates'!$G$9:$G$1008,$I185-8)))</x:f>
      </x:c>
      <x:c r="H185" s="50" t="str">
        <x:f>IF(177&gt;$H$4,"",IF(INDEX('Fleet dates'!$I$9:$I$1008,$I185-8)="","",INDEX('Fleet dates'!$I$9:$I$1008,$I185-8)))</x:f>
      </x:c>
      <x:c r="I185" t="str">
        <x:f>IF(177&gt;$H$4,"",MATCH(177,'Fleet dates'!$N$9:$N$1008,0)+8)</x:f>
      </x:c>
    </x:row>
    <x:row r="186" ht="36" customHeight="1">
      <x:c r="A186" s="50" t="str">
        <x:f>IF(178&gt;$H$4,"",IF(INDEX('Fleet dates'!$A$9:$A$1008,$I186-8)="","",INDEX('Fleet dates'!$A$9:$A$1008,$I186-8)))</x:f>
      </x:c>
      <x:c r="B186" s="50" t="str">
        <x:f>IF(178&gt;$H$4,"",IF(INDEX('Fleet dates'!$B$9:$B$1008,$I186-8)="","",INDEX('Fleet dates'!$B$9:$B$1008,$I186-8)))</x:f>
      </x:c>
      <x:c r="C186" s="51" t="str">
        <x:f>IF(178&gt;$H$4,"",IF(INDEX('Fleet dates'!$C$9:$C$1008,$I186-8)="","",INDEX('Fleet dates'!$C$9:$C$1008,$I186-8)))</x:f>
      </x:c>
      <x:c r="D186" s="51" t="str">
        <x:f>IF(178&gt;$H$4,"",IF(INDEX('Fleet dates'!$D$9:$D$1008,$I186-8)="","",INDEX('Fleet dates'!$D$9:$D$1008,$I186-8)))</x:f>
      </x:c>
      <x:c r="E186" s="51" t="str">
        <x:f>IF(178&gt;$H$4,"",IF(INDEX('Fleet dates'!$E$9:$E$1008,$I186-8)="","",INDEX('Fleet dates'!$E$9:$E$1008,$I186-8)))</x:f>
      </x:c>
      <x:c r="F186" s="51" t="str">
        <x:f>IF(178&gt;$H$4,"",IF(INDEX('Fleet dates'!$F$9:$F$1008,$I186-8)="","",INDEX('Fleet dates'!$F$9:$F$1008,$I186-8)))</x:f>
      </x:c>
      <x:c r="G186" s="50" t="str">
        <x:f>IF(178&gt;$H$4,"",IF(INDEX('Fleet dates'!$G$9:$G$1008,$I186-8)="","",INDEX('Fleet dates'!$G$9:$G$1008,$I186-8)))</x:f>
      </x:c>
      <x:c r="H186" s="50" t="str">
        <x:f>IF(178&gt;$H$4,"",IF(INDEX('Fleet dates'!$I$9:$I$1008,$I186-8)="","",INDEX('Fleet dates'!$I$9:$I$1008,$I186-8)))</x:f>
      </x:c>
      <x:c r="I186" t="str">
        <x:f>IF(178&gt;$H$4,"",MATCH(178,'Fleet dates'!$N$9:$N$1008,0)+8)</x:f>
      </x:c>
    </x:row>
    <x:row r="187" ht="36" customHeight="1">
      <x:c r="A187" s="50" t="str">
        <x:f>IF(179&gt;$H$4,"",IF(INDEX('Fleet dates'!$A$9:$A$1008,$I187-8)="","",INDEX('Fleet dates'!$A$9:$A$1008,$I187-8)))</x:f>
      </x:c>
      <x:c r="B187" s="50" t="str">
        <x:f>IF(179&gt;$H$4,"",IF(INDEX('Fleet dates'!$B$9:$B$1008,$I187-8)="","",INDEX('Fleet dates'!$B$9:$B$1008,$I187-8)))</x:f>
      </x:c>
      <x:c r="C187" s="51" t="str">
        <x:f>IF(179&gt;$H$4,"",IF(INDEX('Fleet dates'!$C$9:$C$1008,$I187-8)="","",INDEX('Fleet dates'!$C$9:$C$1008,$I187-8)))</x:f>
      </x:c>
      <x:c r="D187" s="51" t="str">
        <x:f>IF(179&gt;$H$4,"",IF(INDEX('Fleet dates'!$D$9:$D$1008,$I187-8)="","",INDEX('Fleet dates'!$D$9:$D$1008,$I187-8)))</x:f>
      </x:c>
      <x:c r="E187" s="51" t="str">
        <x:f>IF(179&gt;$H$4,"",IF(INDEX('Fleet dates'!$E$9:$E$1008,$I187-8)="","",INDEX('Fleet dates'!$E$9:$E$1008,$I187-8)))</x:f>
      </x:c>
      <x:c r="F187" s="51" t="str">
        <x:f>IF(179&gt;$H$4,"",IF(INDEX('Fleet dates'!$F$9:$F$1008,$I187-8)="","",INDEX('Fleet dates'!$F$9:$F$1008,$I187-8)))</x:f>
      </x:c>
      <x:c r="G187" s="50" t="str">
        <x:f>IF(179&gt;$H$4,"",IF(INDEX('Fleet dates'!$G$9:$G$1008,$I187-8)="","",INDEX('Fleet dates'!$G$9:$G$1008,$I187-8)))</x:f>
      </x:c>
      <x:c r="H187" s="50" t="str">
        <x:f>IF(179&gt;$H$4,"",IF(INDEX('Fleet dates'!$I$9:$I$1008,$I187-8)="","",INDEX('Fleet dates'!$I$9:$I$1008,$I187-8)))</x:f>
      </x:c>
      <x:c r="I187" t="str">
        <x:f>IF(179&gt;$H$4,"",MATCH(179,'Fleet dates'!$N$9:$N$1008,0)+8)</x:f>
      </x:c>
    </x:row>
    <x:row r="188" ht="36" customHeight="1">
      <x:c r="A188" s="50" t="str">
        <x:f>IF(180&gt;$H$4,"",IF(INDEX('Fleet dates'!$A$9:$A$1008,$I188-8)="","",INDEX('Fleet dates'!$A$9:$A$1008,$I188-8)))</x:f>
      </x:c>
      <x:c r="B188" s="50" t="str">
        <x:f>IF(180&gt;$H$4,"",IF(INDEX('Fleet dates'!$B$9:$B$1008,$I188-8)="","",INDEX('Fleet dates'!$B$9:$B$1008,$I188-8)))</x:f>
      </x:c>
      <x:c r="C188" s="51" t="str">
        <x:f>IF(180&gt;$H$4,"",IF(INDEX('Fleet dates'!$C$9:$C$1008,$I188-8)="","",INDEX('Fleet dates'!$C$9:$C$1008,$I188-8)))</x:f>
      </x:c>
      <x:c r="D188" s="51" t="str">
        <x:f>IF(180&gt;$H$4,"",IF(INDEX('Fleet dates'!$D$9:$D$1008,$I188-8)="","",INDEX('Fleet dates'!$D$9:$D$1008,$I188-8)))</x:f>
      </x:c>
      <x:c r="E188" s="51" t="str">
        <x:f>IF(180&gt;$H$4,"",IF(INDEX('Fleet dates'!$E$9:$E$1008,$I188-8)="","",INDEX('Fleet dates'!$E$9:$E$1008,$I188-8)))</x:f>
      </x:c>
      <x:c r="F188" s="51" t="str">
        <x:f>IF(180&gt;$H$4,"",IF(INDEX('Fleet dates'!$F$9:$F$1008,$I188-8)="","",INDEX('Fleet dates'!$F$9:$F$1008,$I188-8)))</x:f>
      </x:c>
      <x:c r="G188" s="50" t="str">
        <x:f>IF(180&gt;$H$4,"",IF(INDEX('Fleet dates'!$G$9:$G$1008,$I188-8)="","",INDEX('Fleet dates'!$G$9:$G$1008,$I188-8)))</x:f>
      </x:c>
      <x:c r="H188" s="50" t="str">
        <x:f>IF(180&gt;$H$4,"",IF(INDEX('Fleet dates'!$I$9:$I$1008,$I188-8)="","",INDEX('Fleet dates'!$I$9:$I$1008,$I188-8)))</x:f>
      </x:c>
      <x:c r="I188" t="str">
        <x:f>IF(180&gt;$H$4,"",MATCH(180,'Fleet dates'!$N$9:$N$1008,0)+8)</x:f>
      </x:c>
    </x:row>
    <x:row r="189" ht="36" customHeight="1">
      <x:c r="A189" s="50" t="str">
        <x:f>IF(181&gt;$H$4,"",IF(INDEX('Fleet dates'!$A$9:$A$1008,$I189-8)="","",INDEX('Fleet dates'!$A$9:$A$1008,$I189-8)))</x:f>
      </x:c>
      <x:c r="B189" s="50" t="str">
        <x:f>IF(181&gt;$H$4,"",IF(INDEX('Fleet dates'!$B$9:$B$1008,$I189-8)="","",INDEX('Fleet dates'!$B$9:$B$1008,$I189-8)))</x:f>
      </x:c>
      <x:c r="C189" s="51" t="str">
        <x:f>IF(181&gt;$H$4,"",IF(INDEX('Fleet dates'!$C$9:$C$1008,$I189-8)="","",INDEX('Fleet dates'!$C$9:$C$1008,$I189-8)))</x:f>
      </x:c>
      <x:c r="D189" s="51" t="str">
        <x:f>IF(181&gt;$H$4,"",IF(INDEX('Fleet dates'!$D$9:$D$1008,$I189-8)="","",INDEX('Fleet dates'!$D$9:$D$1008,$I189-8)))</x:f>
      </x:c>
      <x:c r="E189" s="51" t="str">
        <x:f>IF(181&gt;$H$4,"",IF(INDEX('Fleet dates'!$E$9:$E$1008,$I189-8)="","",INDEX('Fleet dates'!$E$9:$E$1008,$I189-8)))</x:f>
      </x:c>
      <x:c r="F189" s="51" t="str">
        <x:f>IF(181&gt;$H$4,"",IF(INDEX('Fleet dates'!$F$9:$F$1008,$I189-8)="","",INDEX('Fleet dates'!$F$9:$F$1008,$I189-8)))</x:f>
      </x:c>
      <x:c r="G189" s="50" t="str">
        <x:f>IF(181&gt;$H$4,"",IF(INDEX('Fleet dates'!$G$9:$G$1008,$I189-8)="","",INDEX('Fleet dates'!$G$9:$G$1008,$I189-8)))</x:f>
      </x:c>
      <x:c r="H189" s="50" t="str">
        <x:f>IF(181&gt;$H$4,"",IF(INDEX('Fleet dates'!$I$9:$I$1008,$I189-8)="","",INDEX('Fleet dates'!$I$9:$I$1008,$I189-8)))</x:f>
      </x:c>
      <x:c r="I189" t="str">
        <x:f>IF(181&gt;$H$4,"",MATCH(181,'Fleet dates'!$N$9:$N$1008,0)+8)</x:f>
      </x:c>
    </x:row>
    <x:row r="190" ht="36" customHeight="1">
      <x:c r="A190" s="50" t="str">
        <x:f>IF(182&gt;$H$4,"",IF(INDEX('Fleet dates'!$A$9:$A$1008,$I190-8)="","",INDEX('Fleet dates'!$A$9:$A$1008,$I190-8)))</x:f>
      </x:c>
      <x:c r="B190" s="50" t="str">
        <x:f>IF(182&gt;$H$4,"",IF(INDEX('Fleet dates'!$B$9:$B$1008,$I190-8)="","",INDEX('Fleet dates'!$B$9:$B$1008,$I190-8)))</x:f>
      </x:c>
      <x:c r="C190" s="51" t="str">
        <x:f>IF(182&gt;$H$4,"",IF(INDEX('Fleet dates'!$C$9:$C$1008,$I190-8)="","",INDEX('Fleet dates'!$C$9:$C$1008,$I190-8)))</x:f>
      </x:c>
      <x:c r="D190" s="51" t="str">
        <x:f>IF(182&gt;$H$4,"",IF(INDEX('Fleet dates'!$D$9:$D$1008,$I190-8)="","",INDEX('Fleet dates'!$D$9:$D$1008,$I190-8)))</x:f>
      </x:c>
      <x:c r="E190" s="51" t="str">
        <x:f>IF(182&gt;$H$4,"",IF(INDEX('Fleet dates'!$E$9:$E$1008,$I190-8)="","",INDEX('Fleet dates'!$E$9:$E$1008,$I190-8)))</x:f>
      </x:c>
      <x:c r="F190" s="51" t="str">
        <x:f>IF(182&gt;$H$4,"",IF(INDEX('Fleet dates'!$F$9:$F$1008,$I190-8)="","",INDEX('Fleet dates'!$F$9:$F$1008,$I190-8)))</x:f>
      </x:c>
      <x:c r="G190" s="50" t="str">
        <x:f>IF(182&gt;$H$4,"",IF(INDEX('Fleet dates'!$G$9:$G$1008,$I190-8)="","",INDEX('Fleet dates'!$G$9:$G$1008,$I190-8)))</x:f>
      </x:c>
      <x:c r="H190" s="50" t="str">
        <x:f>IF(182&gt;$H$4,"",IF(INDEX('Fleet dates'!$I$9:$I$1008,$I190-8)="","",INDEX('Fleet dates'!$I$9:$I$1008,$I190-8)))</x:f>
      </x:c>
      <x:c r="I190" t="str">
        <x:f>IF(182&gt;$H$4,"",MATCH(182,'Fleet dates'!$N$9:$N$1008,0)+8)</x:f>
      </x:c>
    </x:row>
    <x:row r="191" ht="36" customHeight="1">
      <x:c r="A191" s="50" t="str">
        <x:f>IF(183&gt;$H$4,"",IF(INDEX('Fleet dates'!$A$9:$A$1008,$I191-8)="","",INDEX('Fleet dates'!$A$9:$A$1008,$I191-8)))</x:f>
      </x:c>
      <x:c r="B191" s="50" t="str">
        <x:f>IF(183&gt;$H$4,"",IF(INDEX('Fleet dates'!$B$9:$B$1008,$I191-8)="","",INDEX('Fleet dates'!$B$9:$B$1008,$I191-8)))</x:f>
      </x:c>
      <x:c r="C191" s="51" t="str">
        <x:f>IF(183&gt;$H$4,"",IF(INDEX('Fleet dates'!$C$9:$C$1008,$I191-8)="","",INDEX('Fleet dates'!$C$9:$C$1008,$I191-8)))</x:f>
      </x:c>
      <x:c r="D191" s="51" t="str">
        <x:f>IF(183&gt;$H$4,"",IF(INDEX('Fleet dates'!$D$9:$D$1008,$I191-8)="","",INDEX('Fleet dates'!$D$9:$D$1008,$I191-8)))</x:f>
      </x:c>
      <x:c r="E191" s="51" t="str">
        <x:f>IF(183&gt;$H$4,"",IF(INDEX('Fleet dates'!$E$9:$E$1008,$I191-8)="","",INDEX('Fleet dates'!$E$9:$E$1008,$I191-8)))</x:f>
      </x:c>
      <x:c r="F191" s="51" t="str">
        <x:f>IF(183&gt;$H$4,"",IF(INDEX('Fleet dates'!$F$9:$F$1008,$I191-8)="","",INDEX('Fleet dates'!$F$9:$F$1008,$I191-8)))</x:f>
      </x:c>
      <x:c r="G191" s="50" t="str">
        <x:f>IF(183&gt;$H$4,"",IF(INDEX('Fleet dates'!$G$9:$G$1008,$I191-8)="","",INDEX('Fleet dates'!$G$9:$G$1008,$I191-8)))</x:f>
      </x:c>
      <x:c r="H191" s="50" t="str">
        <x:f>IF(183&gt;$H$4,"",IF(INDEX('Fleet dates'!$I$9:$I$1008,$I191-8)="","",INDEX('Fleet dates'!$I$9:$I$1008,$I191-8)))</x:f>
      </x:c>
      <x:c r="I191" t="str">
        <x:f>IF(183&gt;$H$4,"",MATCH(183,'Fleet dates'!$N$9:$N$1008,0)+8)</x:f>
      </x:c>
    </x:row>
    <x:row r="192" ht="36" customHeight="1">
      <x:c r="A192" s="50" t="str">
        <x:f>IF(184&gt;$H$4,"",IF(INDEX('Fleet dates'!$A$9:$A$1008,$I192-8)="","",INDEX('Fleet dates'!$A$9:$A$1008,$I192-8)))</x:f>
      </x:c>
      <x:c r="B192" s="50" t="str">
        <x:f>IF(184&gt;$H$4,"",IF(INDEX('Fleet dates'!$B$9:$B$1008,$I192-8)="","",INDEX('Fleet dates'!$B$9:$B$1008,$I192-8)))</x:f>
      </x:c>
      <x:c r="C192" s="51" t="str">
        <x:f>IF(184&gt;$H$4,"",IF(INDEX('Fleet dates'!$C$9:$C$1008,$I192-8)="","",INDEX('Fleet dates'!$C$9:$C$1008,$I192-8)))</x:f>
      </x:c>
      <x:c r="D192" s="51" t="str">
        <x:f>IF(184&gt;$H$4,"",IF(INDEX('Fleet dates'!$D$9:$D$1008,$I192-8)="","",INDEX('Fleet dates'!$D$9:$D$1008,$I192-8)))</x:f>
      </x:c>
      <x:c r="E192" s="51" t="str">
        <x:f>IF(184&gt;$H$4,"",IF(INDEX('Fleet dates'!$E$9:$E$1008,$I192-8)="","",INDEX('Fleet dates'!$E$9:$E$1008,$I192-8)))</x:f>
      </x:c>
      <x:c r="F192" s="51" t="str">
        <x:f>IF(184&gt;$H$4,"",IF(INDEX('Fleet dates'!$F$9:$F$1008,$I192-8)="","",INDEX('Fleet dates'!$F$9:$F$1008,$I192-8)))</x:f>
      </x:c>
      <x:c r="G192" s="50" t="str">
        <x:f>IF(184&gt;$H$4,"",IF(INDEX('Fleet dates'!$G$9:$G$1008,$I192-8)="","",INDEX('Fleet dates'!$G$9:$G$1008,$I192-8)))</x:f>
      </x:c>
      <x:c r="H192" s="50" t="str">
        <x:f>IF(184&gt;$H$4,"",IF(INDEX('Fleet dates'!$I$9:$I$1008,$I192-8)="","",INDEX('Fleet dates'!$I$9:$I$1008,$I192-8)))</x:f>
      </x:c>
      <x:c r="I192" t="str">
        <x:f>IF(184&gt;$H$4,"",MATCH(184,'Fleet dates'!$N$9:$N$1008,0)+8)</x:f>
      </x:c>
    </x:row>
    <x:row r="193" ht="36" customHeight="1">
      <x:c r="A193" s="50" t="str">
        <x:f>IF(185&gt;$H$4,"",IF(INDEX('Fleet dates'!$A$9:$A$1008,$I193-8)="","",INDEX('Fleet dates'!$A$9:$A$1008,$I193-8)))</x:f>
      </x:c>
      <x:c r="B193" s="50" t="str">
        <x:f>IF(185&gt;$H$4,"",IF(INDEX('Fleet dates'!$B$9:$B$1008,$I193-8)="","",INDEX('Fleet dates'!$B$9:$B$1008,$I193-8)))</x:f>
      </x:c>
      <x:c r="C193" s="51" t="str">
        <x:f>IF(185&gt;$H$4,"",IF(INDEX('Fleet dates'!$C$9:$C$1008,$I193-8)="","",INDEX('Fleet dates'!$C$9:$C$1008,$I193-8)))</x:f>
      </x:c>
      <x:c r="D193" s="51" t="str">
        <x:f>IF(185&gt;$H$4,"",IF(INDEX('Fleet dates'!$D$9:$D$1008,$I193-8)="","",INDEX('Fleet dates'!$D$9:$D$1008,$I193-8)))</x:f>
      </x:c>
      <x:c r="E193" s="51" t="str">
        <x:f>IF(185&gt;$H$4,"",IF(INDEX('Fleet dates'!$E$9:$E$1008,$I193-8)="","",INDEX('Fleet dates'!$E$9:$E$1008,$I193-8)))</x:f>
      </x:c>
      <x:c r="F193" s="51" t="str">
        <x:f>IF(185&gt;$H$4,"",IF(INDEX('Fleet dates'!$F$9:$F$1008,$I193-8)="","",INDEX('Fleet dates'!$F$9:$F$1008,$I193-8)))</x:f>
      </x:c>
      <x:c r="G193" s="50" t="str">
        <x:f>IF(185&gt;$H$4,"",IF(INDEX('Fleet dates'!$G$9:$G$1008,$I193-8)="","",INDEX('Fleet dates'!$G$9:$G$1008,$I193-8)))</x:f>
      </x:c>
      <x:c r="H193" s="50" t="str">
        <x:f>IF(185&gt;$H$4,"",IF(INDEX('Fleet dates'!$I$9:$I$1008,$I193-8)="","",INDEX('Fleet dates'!$I$9:$I$1008,$I193-8)))</x:f>
      </x:c>
      <x:c r="I193" t="str">
        <x:f>IF(185&gt;$H$4,"",MATCH(185,'Fleet dates'!$N$9:$N$1008,0)+8)</x:f>
      </x:c>
    </x:row>
    <x:row r="194" ht="36" customHeight="1">
      <x:c r="A194" s="50" t="str">
        <x:f>IF(186&gt;$H$4,"",IF(INDEX('Fleet dates'!$A$9:$A$1008,$I194-8)="","",INDEX('Fleet dates'!$A$9:$A$1008,$I194-8)))</x:f>
      </x:c>
      <x:c r="B194" s="50" t="str">
        <x:f>IF(186&gt;$H$4,"",IF(INDEX('Fleet dates'!$B$9:$B$1008,$I194-8)="","",INDEX('Fleet dates'!$B$9:$B$1008,$I194-8)))</x:f>
      </x:c>
      <x:c r="C194" s="51" t="str">
        <x:f>IF(186&gt;$H$4,"",IF(INDEX('Fleet dates'!$C$9:$C$1008,$I194-8)="","",INDEX('Fleet dates'!$C$9:$C$1008,$I194-8)))</x:f>
      </x:c>
      <x:c r="D194" s="51" t="str">
        <x:f>IF(186&gt;$H$4,"",IF(INDEX('Fleet dates'!$D$9:$D$1008,$I194-8)="","",INDEX('Fleet dates'!$D$9:$D$1008,$I194-8)))</x:f>
      </x:c>
      <x:c r="E194" s="51" t="str">
        <x:f>IF(186&gt;$H$4,"",IF(INDEX('Fleet dates'!$E$9:$E$1008,$I194-8)="","",INDEX('Fleet dates'!$E$9:$E$1008,$I194-8)))</x:f>
      </x:c>
      <x:c r="F194" s="51" t="str">
        <x:f>IF(186&gt;$H$4,"",IF(INDEX('Fleet dates'!$F$9:$F$1008,$I194-8)="","",INDEX('Fleet dates'!$F$9:$F$1008,$I194-8)))</x:f>
      </x:c>
      <x:c r="G194" s="50" t="str">
        <x:f>IF(186&gt;$H$4,"",IF(INDEX('Fleet dates'!$G$9:$G$1008,$I194-8)="","",INDEX('Fleet dates'!$G$9:$G$1008,$I194-8)))</x:f>
      </x:c>
      <x:c r="H194" s="50" t="str">
        <x:f>IF(186&gt;$H$4,"",IF(INDEX('Fleet dates'!$I$9:$I$1008,$I194-8)="","",INDEX('Fleet dates'!$I$9:$I$1008,$I194-8)))</x:f>
      </x:c>
      <x:c r="I194" t="str">
        <x:f>IF(186&gt;$H$4,"",MATCH(186,'Fleet dates'!$N$9:$N$1008,0)+8)</x:f>
      </x:c>
    </x:row>
    <x:row r="195" ht="36" customHeight="1">
      <x:c r="A195" s="50" t="str">
        <x:f>IF(187&gt;$H$4,"",IF(INDEX('Fleet dates'!$A$9:$A$1008,$I195-8)="","",INDEX('Fleet dates'!$A$9:$A$1008,$I195-8)))</x:f>
      </x:c>
      <x:c r="B195" s="50" t="str">
        <x:f>IF(187&gt;$H$4,"",IF(INDEX('Fleet dates'!$B$9:$B$1008,$I195-8)="","",INDEX('Fleet dates'!$B$9:$B$1008,$I195-8)))</x:f>
      </x:c>
      <x:c r="C195" s="51" t="str">
        <x:f>IF(187&gt;$H$4,"",IF(INDEX('Fleet dates'!$C$9:$C$1008,$I195-8)="","",INDEX('Fleet dates'!$C$9:$C$1008,$I195-8)))</x:f>
      </x:c>
      <x:c r="D195" s="51" t="str">
        <x:f>IF(187&gt;$H$4,"",IF(INDEX('Fleet dates'!$D$9:$D$1008,$I195-8)="","",INDEX('Fleet dates'!$D$9:$D$1008,$I195-8)))</x:f>
      </x:c>
      <x:c r="E195" s="51" t="str">
        <x:f>IF(187&gt;$H$4,"",IF(INDEX('Fleet dates'!$E$9:$E$1008,$I195-8)="","",INDEX('Fleet dates'!$E$9:$E$1008,$I195-8)))</x:f>
      </x:c>
      <x:c r="F195" s="51" t="str">
        <x:f>IF(187&gt;$H$4,"",IF(INDEX('Fleet dates'!$F$9:$F$1008,$I195-8)="","",INDEX('Fleet dates'!$F$9:$F$1008,$I195-8)))</x:f>
      </x:c>
      <x:c r="G195" s="50" t="str">
        <x:f>IF(187&gt;$H$4,"",IF(INDEX('Fleet dates'!$G$9:$G$1008,$I195-8)="","",INDEX('Fleet dates'!$G$9:$G$1008,$I195-8)))</x:f>
      </x:c>
      <x:c r="H195" s="50" t="str">
        <x:f>IF(187&gt;$H$4,"",IF(INDEX('Fleet dates'!$I$9:$I$1008,$I195-8)="","",INDEX('Fleet dates'!$I$9:$I$1008,$I195-8)))</x:f>
      </x:c>
      <x:c r="I195" t="str">
        <x:f>IF(187&gt;$H$4,"",MATCH(187,'Fleet dates'!$N$9:$N$1008,0)+8)</x:f>
      </x:c>
    </x:row>
    <x:row r="196" ht="36" customHeight="1">
      <x:c r="A196" s="50" t="str">
        <x:f>IF(188&gt;$H$4,"",IF(INDEX('Fleet dates'!$A$9:$A$1008,$I196-8)="","",INDEX('Fleet dates'!$A$9:$A$1008,$I196-8)))</x:f>
      </x:c>
      <x:c r="B196" s="50" t="str">
        <x:f>IF(188&gt;$H$4,"",IF(INDEX('Fleet dates'!$B$9:$B$1008,$I196-8)="","",INDEX('Fleet dates'!$B$9:$B$1008,$I196-8)))</x:f>
      </x:c>
      <x:c r="C196" s="51" t="str">
        <x:f>IF(188&gt;$H$4,"",IF(INDEX('Fleet dates'!$C$9:$C$1008,$I196-8)="","",INDEX('Fleet dates'!$C$9:$C$1008,$I196-8)))</x:f>
      </x:c>
      <x:c r="D196" s="51" t="str">
        <x:f>IF(188&gt;$H$4,"",IF(INDEX('Fleet dates'!$D$9:$D$1008,$I196-8)="","",INDEX('Fleet dates'!$D$9:$D$1008,$I196-8)))</x:f>
      </x:c>
      <x:c r="E196" s="51" t="str">
        <x:f>IF(188&gt;$H$4,"",IF(INDEX('Fleet dates'!$E$9:$E$1008,$I196-8)="","",INDEX('Fleet dates'!$E$9:$E$1008,$I196-8)))</x:f>
      </x:c>
      <x:c r="F196" s="51" t="str">
        <x:f>IF(188&gt;$H$4,"",IF(INDEX('Fleet dates'!$F$9:$F$1008,$I196-8)="","",INDEX('Fleet dates'!$F$9:$F$1008,$I196-8)))</x:f>
      </x:c>
      <x:c r="G196" s="50" t="str">
        <x:f>IF(188&gt;$H$4,"",IF(INDEX('Fleet dates'!$G$9:$G$1008,$I196-8)="","",INDEX('Fleet dates'!$G$9:$G$1008,$I196-8)))</x:f>
      </x:c>
      <x:c r="H196" s="50" t="str">
        <x:f>IF(188&gt;$H$4,"",IF(INDEX('Fleet dates'!$I$9:$I$1008,$I196-8)="","",INDEX('Fleet dates'!$I$9:$I$1008,$I196-8)))</x:f>
      </x:c>
      <x:c r="I196" t="str">
        <x:f>IF(188&gt;$H$4,"",MATCH(188,'Fleet dates'!$N$9:$N$1008,0)+8)</x:f>
      </x:c>
    </x:row>
    <x:row r="197" ht="36" customHeight="1">
      <x:c r="A197" s="50" t="str">
        <x:f>IF(189&gt;$H$4,"",IF(INDEX('Fleet dates'!$A$9:$A$1008,$I197-8)="","",INDEX('Fleet dates'!$A$9:$A$1008,$I197-8)))</x:f>
      </x:c>
      <x:c r="B197" s="50" t="str">
        <x:f>IF(189&gt;$H$4,"",IF(INDEX('Fleet dates'!$B$9:$B$1008,$I197-8)="","",INDEX('Fleet dates'!$B$9:$B$1008,$I197-8)))</x:f>
      </x:c>
      <x:c r="C197" s="51" t="str">
        <x:f>IF(189&gt;$H$4,"",IF(INDEX('Fleet dates'!$C$9:$C$1008,$I197-8)="","",INDEX('Fleet dates'!$C$9:$C$1008,$I197-8)))</x:f>
      </x:c>
      <x:c r="D197" s="51" t="str">
        <x:f>IF(189&gt;$H$4,"",IF(INDEX('Fleet dates'!$D$9:$D$1008,$I197-8)="","",INDEX('Fleet dates'!$D$9:$D$1008,$I197-8)))</x:f>
      </x:c>
      <x:c r="E197" s="51" t="str">
        <x:f>IF(189&gt;$H$4,"",IF(INDEX('Fleet dates'!$E$9:$E$1008,$I197-8)="","",INDEX('Fleet dates'!$E$9:$E$1008,$I197-8)))</x:f>
      </x:c>
      <x:c r="F197" s="51" t="str">
        <x:f>IF(189&gt;$H$4,"",IF(INDEX('Fleet dates'!$F$9:$F$1008,$I197-8)="","",INDEX('Fleet dates'!$F$9:$F$1008,$I197-8)))</x:f>
      </x:c>
      <x:c r="G197" s="50" t="str">
        <x:f>IF(189&gt;$H$4,"",IF(INDEX('Fleet dates'!$G$9:$G$1008,$I197-8)="","",INDEX('Fleet dates'!$G$9:$G$1008,$I197-8)))</x:f>
      </x:c>
      <x:c r="H197" s="50" t="str">
        <x:f>IF(189&gt;$H$4,"",IF(INDEX('Fleet dates'!$I$9:$I$1008,$I197-8)="","",INDEX('Fleet dates'!$I$9:$I$1008,$I197-8)))</x:f>
      </x:c>
      <x:c r="I197" t="str">
        <x:f>IF(189&gt;$H$4,"",MATCH(189,'Fleet dates'!$N$9:$N$1008,0)+8)</x:f>
      </x:c>
    </x:row>
    <x:row r="198" ht="36" customHeight="1">
      <x:c r="A198" s="50" t="str">
        <x:f>IF(190&gt;$H$4,"",IF(INDEX('Fleet dates'!$A$9:$A$1008,$I198-8)="","",INDEX('Fleet dates'!$A$9:$A$1008,$I198-8)))</x:f>
      </x:c>
      <x:c r="B198" s="50" t="str">
        <x:f>IF(190&gt;$H$4,"",IF(INDEX('Fleet dates'!$B$9:$B$1008,$I198-8)="","",INDEX('Fleet dates'!$B$9:$B$1008,$I198-8)))</x:f>
      </x:c>
      <x:c r="C198" s="51" t="str">
        <x:f>IF(190&gt;$H$4,"",IF(INDEX('Fleet dates'!$C$9:$C$1008,$I198-8)="","",INDEX('Fleet dates'!$C$9:$C$1008,$I198-8)))</x:f>
      </x:c>
      <x:c r="D198" s="51" t="str">
        <x:f>IF(190&gt;$H$4,"",IF(INDEX('Fleet dates'!$D$9:$D$1008,$I198-8)="","",INDEX('Fleet dates'!$D$9:$D$1008,$I198-8)))</x:f>
      </x:c>
      <x:c r="E198" s="51" t="str">
        <x:f>IF(190&gt;$H$4,"",IF(INDEX('Fleet dates'!$E$9:$E$1008,$I198-8)="","",INDEX('Fleet dates'!$E$9:$E$1008,$I198-8)))</x:f>
      </x:c>
      <x:c r="F198" s="51" t="str">
        <x:f>IF(190&gt;$H$4,"",IF(INDEX('Fleet dates'!$F$9:$F$1008,$I198-8)="","",INDEX('Fleet dates'!$F$9:$F$1008,$I198-8)))</x:f>
      </x:c>
      <x:c r="G198" s="50" t="str">
        <x:f>IF(190&gt;$H$4,"",IF(INDEX('Fleet dates'!$G$9:$G$1008,$I198-8)="","",INDEX('Fleet dates'!$G$9:$G$1008,$I198-8)))</x:f>
      </x:c>
      <x:c r="H198" s="50" t="str">
        <x:f>IF(190&gt;$H$4,"",IF(INDEX('Fleet dates'!$I$9:$I$1008,$I198-8)="","",INDEX('Fleet dates'!$I$9:$I$1008,$I198-8)))</x:f>
      </x:c>
      <x:c r="I198" t="str">
        <x:f>IF(190&gt;$H$4,"",MATCH(190,'Fleet dates'!$N$9:$N$1008,0)+8)</x:f>
      </x:c>
    </x:row>
    <x:row r="199" ht="36" customHeight="1">
      <x:c r="A199" s="50" t="str">
        <x:f>IF(191&gt;$H$4,"",IF(INDEX('Fleet dates'!$A$9:$A$1008,$I199-8)="","",INDEX('Fleet dates'!$A$9:$A$1008,$I199-8)))</x:f>
      </x:c>
      <x:c r="B199" s="50" t="str">
        <x:f>IF(191&gt;$H$4,"",IF(INDEX('Fleet dates'!$B$9:$B$1008,$I199-8)="","",INDEX('Fleet dates'!$B$9:$B$1008,$I199-8)))</x:f>
      </x:c>
      <x:c r="C199" s="51" t="str">
        <x:f>IF(191&gt;$H$4,"",IF(INDEX('Fleet dates'!$C$9:$C$1008,$I199-8)="","",INDEX('Fleet dates'!$C$9:$C$1008,$I199-8)))</x:f>
      </x:c>
      <x:c r="D199" s="51" t="str">
        <x:f>IF(191&gt;$H$4,"",IF(INDEX('Fleet dates'!$D$9:$D$1008,$I199-8)="","",INDEX('Fleet dates'!$D$9:$D$1008,$I199-8)))</x:f>
      </x:c>
      <x:c r="E199" s="51" t="str">
        <x:f>IF(191&gt;$H$4,"",IF(INDEX('Fleet dates'!$E$9:$E$1008,$I199-8)="","",INDEX('Fleet dates'!$E$9:$E$1008,$I199-8)))</x:f>
      </x:c>
      <x:c r="F199" s="51" t="str">
        <x:f>IF(191&gt;$H$4,"",IF(INDEX('Fleet dates'!$F$9:$F$1008,$I199-8)="","",INDEX('Fleet dates'!$F$9:$F$1008,$I199-8)))</x:f>
      </x:c>
      <x:c r="G199" s="50" t="str">
        <x:f>IF(191&gt;$H$4,"",IF(INDEX('Fleet dates'!$G$9:$G$1008,$I199-8)="","",INDEX('Fleet dates'!$G$9:$G$1008,$I199-8)))</x:f>
      </x:c>
      <x:c r="H199" s="50" t="str">
        <x:f>IF(191&gt;$H$4,"",IF(INDEX('Fleet dates'!$I$9:$I$1008,$I199-8)="","",INDEX('Fleet dates'!$I$9:$I$1008,$I199-8)))</x:f>
      </x:c>
      <x:c r="I199" t="str">
        <x:f>IF(191&gt;$H$4,"",MATCH(191,'Fleet dates'!$N$9:$N$1008,0)+8)</x:f>
      </x:c>
    </x:row>
    <x:row r="200" ht="36" customHeight="1">
      <x:c r="A200" s="50" t="str">
        <x:f>IF(192&gt;$H$4,"",IF(INDEX('Fleet dates'!$A$9:$A$1008,$I200-8)="","",INDEX('Fleet dates'!$A$9:$A$1008,$I200-8)))</x:f>
      </x:c>
      <x:c r="B200" s="50" t="str">
        <x:f>IF(192&gt;$H$4,"",IF(INDEX('Fleet dates'!$B$9:$B$1008,$I200-8)="","",INDEX('Fleet dates'!$B$9:$B$1008,$I200-8)))</x:f>
      </x:c>
      <x:c r="C200" s="51" t="str">
        <x:f>IF(192&gt;$H$4,"",IF(INDEX('Fleet dates'!$C$9:$C$1008,$I200-8)="","",INDEX('Fleet dates'!$C$9:$C$1008,$I200-8)))</x:f>
      </x:c>
      <x:c r="D200" s="51" t="str">
        <x:f>IF(192&gt;$H$4,"",IF(INDEX('Fleet dates'!$D$9:$D$1008,$I200-8)="","",INDEX('Fleet dates'!$D$9:$D$1008,$I200-8)))</x:f>
      </x:c>
      <x:c r="E200" s="51" t="str">
        <x:f>IF(192&gt;$H$4,"",IF(INDEX('Fleet dates'!$E$9:$E$1008,$I200-8)="","",INDEX('Fleet dates'!$E$9:$E$1008,$I200-8)))</x:f>
      </x:c>
      <x:c r="F200" s="51" t="str">
        <x:f>IF(192&gt;$H$4,"",IF(INDEX('Fleet dates'!$F$9:$F$1008,$I200-8)="","",INDEX('Fleet dates'!$F$9:$F$1008,$I200-8)))</x:f>
      </x:c>
      <x:c r="G200" s="50" t="str">
        <x:f>IF(192&gt;$H$4,"",IF(INDEX('Fleet dates'!$G$9:$G$1008,$I200-8)="","",INDEX('Fleet dates'!$G$9:$G$1008,$I200-8)))</x:f>
      </x:c>
      <x:c r="H200" s="50" t="str">
        <x:f>IF(192&gt;$H$4,"",IF(INDEX('Fleet dates'!$I$9:$I$1008,$I200-8)="","",INDEX('Fleet dates'!$I$9:$I$1008,$I200-8)))</x:f>
      </x:c>
      <x:c r="I200" t="str">
        <x:f>IF(192&gt;$H$4,"",MATCH(192,'Fleet dates'!$N$9:$N$1008,0)+8)</x:f>
      </x:c>
    </x:row>
    <x:row r="201" ht="36" customHeight="1">
      <x:c r="A201" s="50" t="str">
        <x:f>IF(193&gt;$H$4,"",IF(INDEX('Fleet dates'!$A$9:$A$1008,$I201-8)="","",INDEX('Fleet dates'!$A$9:$A$1008,$I201-8)))</x:f>
      </x:c>
      <x:c r="B201" s="50" t="str">
        <x:f>IF(193&gt;$H$4,"",IF(INDEX('Fleet dates'!$B$9:$B$1008,$I201-8)="","",INDEX('Fleet dates'!$B$9:$B$1008,$I201-8)))</x:f>
      </x:c>
      <x:c r="C201" s="51" t="str">
        <x:f>IF(193&gt;$H$4,"",IF(INDEX('Fleet dates'!$C$9:$C$1008,$I201-8)="","",INDEX('Fleet dates'!$C$9:$C$1008,$I201-8)))</x:f>
      </x:c>
      <x:c r="D201" s="51" t="str">
        <x:f>IF(193&gt;$H$4,"",IF(INDEX('Fleet dates'!$D$9:$D$1008,$I201-8)="","",INDEX('Fleet dates'!$D$9:$D$1008,$I201-8)))</x:f>
      </x:c>
      <x:c r="E201" s="51" t="str">
        <x:f>IF(193&gt;$H$4,"",IF(INDEX('Fleet dates'!$E$9:$E$1008,$I201-8)="","",INDEX('Fleet dates'!$E$9:$E$1008,$I201-8)))</x:f>
      </x:c>
      <x:c r="F201" s="51" t="str">
        <x:f>IF(193&gt;$H$4,"",IF(INDEX('Fleet dates'!$F$9:$F$1008,$I201-8)="","",INDEX('Fleet dates'!$F$9:$F$1008,$I201-8)))</x:f>
      </x:c>
      <x:c r="G201" s="50" t="str">
        <x:f>IF(193&gt;$H$4,"",IF(INDEX('Fleet dates'!$G$9:$G$1008,$I201-8)="","",INDEX('Fleet dates'!$G$9:$G$1008,$I201-8)))</x:f>
      </x:c>
      <x:c r="H201" s="50" t="str">
        <x:f>IF(193&gt;$H$4,"",IF(INDEX('Fleet dates'!$I$9:$I$1008,$I201-8)="","",INDEX('Fleet dates'!$I$9:$I$1008,$I201-8)))</x:f>
      </x:c>
      <x:c r="I201" t="str">
        <x:f>IF(193&gt;$H$4,"",MATCH(193,'Fleet dates'!$N$9:$N$1008,0)+8)</x:f>
      </x:c>
    </x:row>
    <x:row r="202" ht="36" customHeight="1">
      <x:c r="A202" s="50" t="str">
        <x:f>IF(194&gt;$H$4,"",IF(INDEX('Fleet dates'!$A$9:$A$1008,$I202-8)="","",INDEX('Fleet dates'!$A$9:$A$1008,$I202-8)))</x:f>
      </x:c>
      <x:c r="B202" s="50" t="str">
        <x:f>IF(194&gt;$H$4,"",IF(INDEX('Fleet dates'!$B$9:$B$1008,$I202-8)="","",INDEX('Fleet dates'!$B$9:$B$1008,$I202-8)))</x:f>
      </x:c>
      <x:c r="C202" s="51" t="str">
        <x:f>IF(194&gt;$H$4,"",IF(INDEX('Fleet dates'!$C$9:$C$1008,$I202-8)="","",INDEX('Fleet dates'!$C$9:$C$1008,$I202-8)))</x:f>
      </x:c>
      <x:c r="D202" s="51" t="str">
        <x:f>IF(194&gt;$H$4,"",IF(INDEX('Fleet dates'!$D$9:$D$1008,$I202-8)="","",INDEX('Fleet dates'!$D$9:$D$1008,$I202-8)))</x:f>
      </x:c>
      <x:c r="E202" s="51" t="str">
        <x:f>IF(194&gt;$H$4,"",IF(INDEX('Fleet dates'!$E$9:$E$1008,$I202-8)="","",INDEX('Fleet dates'!$E$9:$E$1008,$I202-8)))</x:f>
      </x:c>
      <x:c r="F202" s="51" t="str">
        <x:f>IF(194&gt;$H$4,"",IF(INDEX('Fleet dates'!$F$9:$F$1008,$I202-8)="","",INDEX('Fleet dates'!$F$9:$F$1008,$I202-8)))</x:f>
      </x:c>
      <x:c r="G202" s="50" t="str">
        <x:f>IF(194&gt;$H$4,"",IF(INDEX('Fleet dates'!$G$9:$G$1008,$I202-8)="","",INDEX('Fleet dates'!$G$9:$G$1008,$I202-8)))</x:f>
      </x:c>
      <x:c r="H202" s="50" t="str">
        <x:f>IF(194&gt;$H$4,"",IF(INDEX('Fleet dates'!$I$9:$I$1008,$I202-8)="","",INDEX('Fleet dates'!$I$9:$I$1008,$I202-8)))</x:f>
      </x:c>
      <x:c r="I202" t="str">
        <x:f>IF(194&gt;$H$4,"",MATCH(194,'Fleet dates'!$N$9:$N$1008,0)+8)</x:f>
      </x:c>
    </x:row>
    <x:row r="203" ht="36" customHeight="1">
      <x:c r="A203" s="50" t="str">
        <x:f>IF(195&gt;$H$4,"",IF(INDEX('Fleet dates'!$A$9:$A$1008,$I203-8)="","",INDEX('Fleet dates'!$A$9:$A$1008,$I203-8)))</x:f>
      </x:c>
      <x:c r="B203" s="50" t="str">
        <x:f>IF(195&gt;$H$4,"",IF(INDEX('Fleet dates'!$B$9:$B$1008,$I203-8)="","",INDEX('Fleet dates'!$B$9:$B$1008,$I203-8)))</x:f>
      </x:c>
      <x:c r="C203" s="51" t="str">
        <x:f>IF(195&gt;$H$4,"",IF(INDEX('Fleet dates'!$C$9:$C$1008,$I203-8)="","",INDEX('Fleet dates'!$C$9:$C$1008,$I203-8)))</x:f>
      </x:c>
      <x:c r="D203" s="51" t="str">
        <x:f>IF(195&gt;$H$4,"",IF(INDEX('Fleet dates'!$D$9:$D$1008,$I203-8)="","",INDEX('Fleet dates'!$D$9:$D$1008,$I203-8)))</x:f>
      </x:c>
      <x:c r="E203" s="51" t="str">
        <x:f>IF(195&gt;$H$4,"",IF(INDEX('Fleet dates'!$E$9:$E$1008,$I203-8)="","",INDEX('Fleet dates'!$E$9:$E$1008,$I203-8)))</x:f>
      </x:c>
      <x:c r="F203" s="51" t="str">
        <x:f>IF(195&gt;$H$4,"",IF(INDEX('Fleet dates'!$F$9:$F$1008,$I203-8)="","",INDEX('Fleet dates'!$F$9:$F$1008,$I203-8)))</x:f>
      </x:c>
      <x:c r="G203" s="50" t="str">
        <x:f>IF(195&gt;$H$4,"",IF(INDEX('Fleet dates'!$G$9:$G$1008,$I203-8)="","",INDEX('Fleet dates'!$G$9:$G$1008,$I203-8)))</x:f>
      </x:c>
      <x:c r="H203" s="50" t="str">
        <x:f>IF(195&gt;$H$4,"",IF(INDEX('Fleet dates'!$I$9:$I$1008,$I203-8)="","",INDEX('Fleet dates'!$I$9:$I$1008,$I203-8)))</x:f>
      </x:c>
      <x:c r="I203" t="str">
        <x:f>IF(195&gt;$H$4,"",MATCH(195,'Fleet dates'!$N$9:$N$1008,0)+8)</x:f>
      </x:c>
    </x:row>
    <x:row r="204" ht="36" customHeight="1">
      <x:c r="A204" s="50" t="str">
        <x:f>IF(196&gt;$H$4,"",IF(INDEX('Fleet dates'!$A$9:$A$1008,$I204-8)="","",INDEX('Fleet dates'!$A$9:$A$1008,$I204-8)))</x:f>
      </x:c>
      <x:c r="B204" s="50" t="str">
        <x:f>IF(196&gt;$H$4,"",IF(INDEX('Fleet dates'!$B$9:$B$1008,$I204-8)="","",INDEX('Fleet dates'!$B$9:$B$1008,$I204-8)))</x:f>
      </x:c>
      <x:c r="C204" s="51" t="str">
        <x:f>IF(196&gt;$H$4,"",IF(INDEX('Fleet dates'!$C$9:$C$1008,$I204-8)="","",INDEX('Fleet dates'!$C$9:$C$1008,$I204-8)))</x:f>
      </x:c>
      <x:c r="D204" s="51" t="str">
        <x:f>IF(196&gt;$H$4,"",IF(INDEX('Fleet dates'!$D$9:$D$1008,$I204-8)="","",INDEX('Fleet dates'!$D$9:$D$1008,$I204-8)))</x:f>
      </x:c>
      <x:c r="E204" s="51" t="str">
        <x:f>IF(196&gt;$H$4,"",IF(INDEX('Fleet dates'!$E$9:$E$1008,$I204-8)="","",INDEX('Fleet dates'!$E$9:$E$1008,$I204-8)))</x:f>
      </x:c>
      <x:c r="F204" s="51" t="str">
        <x:f>IF(196&gt;$H$4,"",IF(INDEX('Fleet dates'!$F$9:$F$1008,$I204-8)="","",INDEX('Fleet dates'!$F$9:$F$1008,$I204-8)))</x:f>
      </x:c>
      <x:c r="G204" s="50" t="str">
        <x:f>IF(196&gt;$H$4,"",IF(INDEX('Fleet dates'!$G$9:$G$1008,$I204-8)="","",INDEX('Fleet dates'!$G$9:$G$1008,$I204-8)))</x:f>
      </x:c>
      <x:c r="H204" s="50" t="str">
        <x:f>IF(196&gt;$H$4,"",IF(INDEX('Fleet dates'!$I$9:$I$1008,$I204-8)="","",INDEX('Fleet dates'!$I$9:$I$1008,$I204-8)))</x:f>
      </x:c>
      <x:c r="I204" t="str">
        <x:f>IF(196&gt;$H$4,"",MATCH(196,'Fleet dates'!$N$9:$N$1008,0)+8)</x:f>
      </x:c>
    </x:row>
    <x:row r="205" ht="36" customHeight="1">
      <x:c r="A205" s="50" t="str">
        <x:f>IF(197&gt;$H$4,"",IF(INDEX('Fleet dates'!$A$9:$A$1008,$I205-8)="","",INDEX('Fleet dates'!$A$9:$A$1008,$I205-8)))</x:f>
      </x:c>
      <x:c r="B205" s="50" t="str">
        <x:f>IF(197&gt;$H$4,"",IF(INDEX('Fleet dates'!$B$9:$B$1008,$I205-8)="","",INDEX('Fleet dates'!$B$9:$B$1008,$I205-8)))</x:f>
      </x:c>
      <x:c r="C205" s="51" t="str">
        <x:f>IF(197&gt;$H$4,"",IF(INDEX('Fleet dates'!$C$9:$C$1008,$I205-8)="","",INDEX('Fleet dates'!$C$9:$C$1008,$I205-8)))</x:f>
      </x:c>
      <x:c r="D205" s="51" t="str">
        <x:f>IF(197&gt;$H$4,"",IF(INDEX('Fleet dates'!$D$9:$D$1008,$I205-8)="","",INDEX('Fleet dates'!$D$9:$D$1008,$I205-8)))</x:f>
      </x:c>
      <x:c r="E205" s="51" t="str">
        <x:f>IF(197&gt;$H$4,"",IF(INDEX('Fleet dates'!$E$9:$E$1008,$I205-8)="","",INDEX('Fleet dates'!$E$9:$E$1008,$I205-8)))</x:f>
      </x:c>
      <x:c r="F205" s="51" t="str">
        <x:f>IF(197&gt;$H$4,"",IF(INDEX('Fleet dates'!$F$9:$F$1008,$I205-8)="","",INDEX('Fleet dates'!$F$9:$F$1008,$I205-8)))</x:f>
      </x:c>
      <x:c r="G205" s="50" t="str">
        <x:f>IF(197&gt;$H$4,"",IF(INDEX('Fleet dates'!$G$9:$G$1008,$I205-8)="","",INDEX('Fleet dates'!$G$9:$G$1008,$I205-8)))</x:f>
      </x:c>
      <x:c r="H205" s="50" t="str">
        <x:f>IF(197&gt;$H$4,"",IF(INDEX('Fleet dates'!$I$9:$I$1008,$I205-8)="","",INDEX('Fleet dates'!$I$9:$I$1008,$I205-8)))</x:f>
      </x:c>
      <x:c r="I205" t="str">
        <x:f>IF(197&gt;$H$4,"",MATCH(197,'Fleet dates'!$N$9:$N$1008,0)+8)</x:f>
      </x:c>
    </x:row>
    <x:row r="206" ht="36" customHeight="1">
      <x:c r="A206" s="50" t="str">
        <x:f>IF(198&gt;$H$4,"",IF(INDEX('Fleet dates'!$A$9:$A$1008,$I206-8)="","",INDEX('Fleet dates'!$A$9:$A$1008,$I206-8)))</x:f>
      </x:c>
      <x:c r="B206" s="50" t="str">
        <x:f>IF(198&gt;$H$4,"",IF(INDEX('Fleet dates'!$B$9:$B$1008,$I206-8)="","",INDEX('Fleet dates'!$B$9:$B$1008,$I206-8)))</x:f>
      </x:c>
      <x:c r="C206" s="51" t="str">
        <x:f>IF(198&gt;$H$4,"",IF(INDEX('Fleet dates'!$C$9:$C$1008,$I206-8)="","",INDEX('Fleet dates'!$C$9:$C$1008,$I206-8)))</x:f>
      </x:c>
      <x:c r="D206" s="51" t="str">
        <x:f>IF(198&gt;$H$4,"",IF(INDEX('Fleet dates'!$D$9:$D$1008,$I206-8)="","",INDEX('Fleet dates'!$D$9:$D$1008,$I206-8)))</x:f>
      </x:c>
      <x:c r="E206" s="51" t="str">
        <x:f>IF(198&gt;$H$4,"",IF(INDEX('Fleet dates'!$E$9:$E$1008,$I206-8)="","",INDEX('Fleet dates'!$E$9:$E$1008,$I206-8)))</x:f>
      </x:c>
      <x:c r="F206" s="51" t="str">
        <x:f>IF(198&gt;$H$4,"",IF(INDEX('Fleet dates'!$F$9:$F$1008,$I206-8)="","",INDEX('Fleet dates'!$F$9:$F$1008,$I206-8)))</x:f>
      </x:c>
      <x:c r="G206" s="50" t="str">
        <x:f>IF(198&gt;$H$4,"",IF(INDEX('Fleet dates'!$G$9:$G$1008,$I206-8)="","",INDEX('Fleet dates'!$G$9:$G$1008,$I206-8)))</x:f>
      </x:c>
      <x:c r="H206" s="50" t="str">
        <x:f>IF(198&gt;$H$4,"",IF(INDEX('Fleet dates'!$I$9:$I$1008,$I206-8)="","",INDEX('Fleet dates'!$I$9:$I$1008,$I206-8)))</x:f>
      </x:c>
      <x:c r="I206" t="str">
        <x:f>IF(198&gt;$H$4,"",MATCH(198,'Fleet dates'!$N$9:$N$1008,0)+8)</x:f>
      </x:c>
    </x:row>
    <x:row r="207" ht="36" customHeight="1">
      <x:c r="A207" s="50" t="str">
        <x:f>IF(199&gt;$H$4,"",IF(INDEX('Fleet dates'!$A$9:$A$1008,$I207-8)="","",INDEX('Fleet dates'!$A$9:$A$1008,$I207-8)))</x:f>
      </x:c>
      <x:c r="B207" s="50" t="str">
        <x:f>IF(199&gt;$H$4,"",IF(INDEX('Fleet dates'!$B$9:$B$1008,$I207-8)="","",INDEX('Fleet dates'!$B$9:$B$1008,$I207-8)))</x:f>
      </x:c>
      <x:c r="C207" s="51" t="str">
        <x:f>IF(199&gt;$H$4,"",IF(INDEX('Fleet dates'!$C$9:$C$1008,$I207-8)="","",INDEX('Fleet dates'!$C$9:$C$1008,$I207-8)))</x:f>
      </x:c>
      <x:c r="D207" s="51" t="str">
        <x:f>IF(199&gt;$H$4,"",IF(INDEX('Fleet dates'!$D$9:$D$1008,$I207-8)="","",INDEX('Fleet dates'!$D$9:$D$1008,$I207-8)))</x:f>
      </x:c>
      <x:c r="E207" s="51" t="str">
        <x:f>IF(199&gt;$H$4,"",IF(INDEX('Fleet dates'!$E$9:$E$1008,$I207-8)="","",INDEX('Fleet dates'!$E$9:$E$1008,$I207-8)))</x:f>
      </x:c>
      <x:c r="F207" s="51" t="str">
        <x:f>IF(199&gt;$H$4,"",IF(INDEX('Fleet dates'!$F$9:$F$1008,$I207-8)="","",INDEX('Fleet dates'!$F$9:$F$1008,$I207-8)))</x:f>
      </x:c>
      <x:c r="G207" s="50" t="str">
        <x:f>IF(199&gt;$H$4,"",IF(INDEX('Fleet dates'!$G$9:$G$1008,$I207-8)="","",INDEX('Fleet dates'!$G$9:$G$1008,$I207-8)))</x:f>
      </x:c>
      <x:c r="H207" s="50" t="str">
        <x:f>IF(199&gt;$H$4,"",IF(INDEX('Fleet dates'!$I$9:$I$1008,$I207-8)="","",INDEX('Fleet dates'!$I$9:$I$1008,$I207-8)))</x:f>
      </x:c>
      <x:c r="I207" t="str">
        <x:f>IF(199&gt;$H$4,"",MATCH(199,'Fleet dates'!$N$9:$N$1008,0)+8)</x:f>
      </x:c>
    </x:row>
    <x:row r="208" ht="36" customHeight="1">
      <x:c r="A208" s="50" t="str">
        <x:f>IF(200&gt;$H$4,"",IF(INDEX('Fleet dates'!$A$9:$A$1008,$I208-8)="","",INDEX('Fleet dates'!$A$9:$A$1008,$I208-8)))</x:f>
      </x:c>
      <x:c r="B208" s="50" t="str">
        <x:f>IF(200&gt;$H$4,"",IF(INDEX('Fleet dates'!$B$9:$B$1008,$I208-8)="","",INDEX('Fleet dates'!$B$9:$B$1008,$I208-8)))</x:f>
      </x:c>
      <x:c r="C208" s="51" t="str">
        <x:f>IF(200&gt;$H$4,"",IF(INDEX('Fleet dates'!$C$9:$C$1008,$I208-8)="","",INDEX('Fleet dates'!$C$9:$C$1008,$I208-8)))</x:f>
      </x:c>
      <x:c r="D208" s="51" t="str">
        <x:f>IF(200&gt;$H$4,"",IF(INDEX('Fleet dates'!$D$9:$D$1008,$I208-8)="","",INDEX('Fleet dates'!$D$9:$D$1008,$I208-8)))</x:f>
      </x:c>
      <x:c r="E208" s="51" t="str">
        <x:f>IF(200&gt;$H$4,"",IF(INDEX('Fleet dates'!$E$9:$E$1008,$I208-8)="","",INDEX('Fleet dates'!$E$9:$E$1008,$I208-8)))</x:f>
      </x:c>
      <x:c r="F208" s="51" t="str">
        <x:f>IF(200&gt;$H$4,"",IF(INDEX('Fleet dates'!$F$9:$F$1008,$I208-8)="","",INDEX('Fleet dates'!$F$9:$F$1008,$I208-8)))</x:f>
      </x:c>
      <x:c r="G208" s="50" t="str">
        <x:f>IF(200&gt;$H$4,"",IF(INDEX('Fleet dates'!$G$9:$G$1008,$I208-8)="","",INDEX('Fleet dates'!$G$9:$G$1008,$I208-8)))</x:f>
      </x:c>
      <x:c r="H208" s="50" t="str">
        <x:f>IF(200&gt;$H$4,"",IF(INDEX('Fleet dates'!$I$9:$I$1008,$I208-8)="","",INDEX('Fleet dates'!$I$9:$I$1008,$I208-8)))</x:f>
      </x:c>
      <x:c r="I208" t="str">
        <x:f>IF(200&gt;$H$4,"",MATCH(200,'Fleet dates'!$N$9:$N$1008,0)+8)</x:f>
      </x:c>
    </x:row>
    <x:row r="209" ht="36" customHeight="1">
      <x:c r="A209" s="50" t="str">
        <x:f>IF(201&gt;$H$4,"",IF(INDEX('Fleet dates'!$A$9:$A$1008,$I209-8)="","",INDEX('Fleet dates'!$A$9:$A$1008,$I209-8)))</x:f>
      </x:c>
      <x:c r="B209" s="50" t="str">
        <x:f>IF(201&gt;$H$4,"",IF(INDEX('Fleet dates'!$B$9:$B$1008,$I209-8)="","",INDEX('Fleet dates'!$B$9:$B$1008,$I209-8)))</x:f>
      </x:c>
      <x:c r="C209" s="51" t="str">
        <x:f>IF(201&gt;$H$4,"",IF(INDEX('Fleet dates'!$C$9:$C$1008,$I209-8)="","",INDEX('Fleet dates'!$C$9:$C$1008,$I209-8)))</x:f>
      </x:c>
      <x:c r="D209" s="51" t="str">
        <x:f>IF(201&gt;$H$4,"",IF(INDEX('Fleet dates'!$D$9:$D$1008,$I209-8)="","",INDEX('Fleet dates'!$D$9:$D$1008,$I209-8)))</x:f>
      </x:c>
      <x:c r="E209" s="51" t="str">
        <x:f>IF(201&gt;$H$4,"",IF(INDEX('Fleet dates'!$E$9:$E$1008,$I209-8)="","",INDEX('Fleet dates'!$E$9:$E$1008,$I209-8)))</x:f>
      </x:c>
      <x:c r="F209" s="51" t="str">
        <x:f>IF(201&gt;$H$4,"",IF(INDEX('Fleet dates'!$F$9:$F$1008,$I209-8)="","",INDEX('Fleet dates'!$F$9:$F$1008,$I209-8)))</x:f>
      </x:c>
      <x:c r="G209" s="50" t="str">
        <x:f>IF(201&gt;$H$4,"",IF(INDEX('Fleet dates'!$G$9:$G$1008,$I209-8)="","",INDEX('Fleet dates'!$G$9:$G$1008,$I209-8)))</x:f>
      </x:c>
      <x:c r="H209" s="50" t="str">
        <x:f>IF(201&gt;$H$4,"",IF(INDEX('Fleet dates'!$I$9:$I$1008,$I209-8)="","",INDEX('Fleet dates'!$I$9:$I$1008,$I209-8)))</x:f>
      </x:c>
      <x:c r="I209" t="str">
        <x:f>IF(201&gt;$H$4,"",MATCH(201,'Fleet dates'!$N$9:$N$1008,0)+8)</x:f>
      </x:c>
    </x:row>
    <x:row r="210" ht="36" customHeight="1">
      <x:c r="A210" s="50" t="str">
        <x:f>IF(202&gt;$H$4,"",IF(INDEX('Fleet dates'!$A$9:$A$1008,$I210-8)="","",INDEX('Fleet dates'!$A$9:$A$1008,$I210-8)))</x:f>
      </x:c>
      <x:c r="B210" s="50" t="str">
        <x:f>IF(202&gt;$H$4,"",IF(INDEX('Fleet dates'!$B$9:$B$1008,$I210-8)="","",INDEX('Fleet dates'!$B$9:$B$1008,$I210-8)))</x:f>
      </x:c>
      <x:c r="C210" s="51" t="str">
        <x:f>IF(202&gt;$H$4,"",IF(INDEX('Fleet dates'!$C$9:$C$1008,$I210-8)="","",INDEX('Fleet dates'!$C$9:$C$1008,$I210-8)))</x:f>
      </x:c>
      <x:c r="D210" s="51" t="str">
        <x:f>IF(202&gt;$H$4,"",IF(INDEX('Fleet dates'!$D$9:$D$1008,$I210-8)="","",INDEX('Fleet dates'!$D$9:$D$1008,$I210-8)))</x:f>
      </x:c>
      <x:c r="E210" s="51" t="str">
        <x:f>IF(202&gt;$H$4,"",IF(INDEX('Fleet dates'!$E$9:$E$1008,$I210-8)="","",INDEX('Fleet dates'!$E$9:$E$1008,$I210-8)))</x:f>
      </x:c>
      <x:c r="F210" s="51" t="str">
        <x:f>IF(202&gt;$H$4,"",IF(INDEX('Fleet dates'!$F$9:$F$1008,$I210-8)="","",INDEX('Fleet dates'!$F$9:$F$1008,$I210-8)))</x:f>
      </x:c>
      <x:c r="G210" s="50" t="str">
        <x:f>IF(202&gt;$H$4,"",IF(INDEX('Fleet dates'!$G$9:$G$1008,$I210-8)="","",INDEX('Fleet dates'!$G$9:$G$1008,$I210-8)))</x:f>
      </x:c>
      <x:c r="H210" s="50" t="str">
        <x:f>IF(202&gt;$H$4,"",IF(INDEX('Fleet dates'!$I$9:$I$1008,$I210-8)="","",INDEX('Fleet dates'!$I$9:$I$1008,$I210-8)))</x:f>
      </x:c>
      <x:c r="I210" t="str">
        <x:f>IF(202&gt;$H$4,"",MATCH(202,'Fleet dates'!$N$9:$N$1008,0)+8)</x:f>
      </x:c>
    </x:row>
    <x:row r="211" ht="36" customHeight="1">
      <x:c r="A211" s="50" t="str">
        <x:f>IF(203&gt;$H$4,"",IF(INDEX('Fleet dates'!$A$9:$A$1008,$I211-8)="","",INDEX('Fleet dates'!$A$9:$A$1008,$I211-8)))</x:f>
      </x:c>
      <x:c r="B211" s="50" t="str">
        <x:f>IF(203&gt;$H$4,"",IF(INDEX('Fleet dates'!$B$9:$B$1008,$I211-8)="","",INDEX('Fleet dates'!$B$9:$B$1008,$I211-8)))</x:f>
      </x:c>
      <x:c r="C211" s="51" t="str">
        <x:f>IF(203&gt;$H$4,"",IF(INDEX('Fleet dates'!$C$9:$C$1008,$I211-8)="","",INDEX('Fleet dates'!$C$9:$C$1008,$I211-8)))</x:f>
      </x:c>
      <x:c r="D211" s="51" t="str">
        <x:f>IF(203&gt;$H$4,"",IF(INDEX('Fleet dates'!$D$9:$D$1008,$I211-8)="","",INDEX('Fleet dates'!$D$9:$D$1008,$I211-8)))</x:f>
      </x:c>
      <x:c r="E211" s="51" t="str">
        <x:f>IF(203&gt;$H$4,"",IF(INDEX('Fleet dates'!$E$9:$E$1008,$I211-8)="","",INDEX('Fleet dates'!$E$9:$E$1008,$I211-8)))</x:f>
      </x:c>
      <x:c r="F211" s="51" t="str">
        <x:f>IF(203&gt;$H$4,"",IF(INDEX('Fleet dates'!$F$9:$F$1008,$I211-8)="","",INDEX('Fleet dates'!$F$9:$F$1008,$I211-8)))</x:f>
      </x:c>
      <x:c r="G211" s="50" t="str">
        <x:f>IF(203&gt;$H$4,"",IF(INDEX('Fleet dates'!$G$9:$G$1008,$I211-8)="","",INDEX('Fleet dates'!$G$9:$G$1008,$I211-8)))</x:f>
      </x:c>
      <x:c r="H211" s="50" t="str">
        <x:f>IF(203&gt;$H$4,"",IF(INDEX('Fleet dates'!$I$9:$I$1008,$I211-8)="","",INDEX('Fleet dates'!$I$9:$I$1008,$I211-8)))</x:f>
      </x:c>
      <x:c r="I211" t="str">
        <x:f>IF(203&gt;$H$4,"",MATCH(203,'Fleet dates'!$N$9:$N$1008,0)+8)</x:f>
      </x:c>
    </x:row>
    <x:row r="212" ht="36" customHeight="1">
      <x:c r="A212" s="50" t="str">
        <x:f>IF(204&gt;$H$4,"",IF(INDEX('Fleet dates'!$A$9:$A$1008,$I212-8)="","",INDEX('Fleet dates'!$A$9:$A$1008,$I212-8)))</x:f>
      </x:c>
      <x:c r="B212" s="50" t="str">
        <x:f>IF(204&gt;$H$4,"",IF(INDEX('Fleet dates'!$B$9:$B$1008,$I212-8)="","",INDEX('Fleet dates'!$B$9:$B$1008,$I212-8)))</x:f>
      </x:c>
      <x:c r="C212" s="51" t="str">
        <x:f>IF(204&gt;$H$4,"",IF(INDEX('Fleet dates'!$C$9:$C$1008,$I212-8)="","",INDEX('Fleet dates'!$C$9:$C$1008,$I212-8)))</x:f>
      </x:c>
      <x:c r="D212" s="51" t="str">
        <x:f>IF(204&gt;$H$4,"",IF(INDEX('Fleet dates'!$D$9:$D$1008,$I212-8)="","",INDEX('Fleet dates'!$D$9:$D$1008,$I212-8)))</x:f>
      </x:c>
      <x:c r="E212" s="51" t="str">
        <x:f>IF(204&gt;$H$4,"",IF(INDEX('Fleet dates'!$E$9:$E$1008,$I212-8)="","",INDEX('Fleet dates'!$E$9:$E$1008,$I212-8)))</x:f>
      </x:c>
      <x:c r="F212" s="51" t="str">
        <x:f>IF(204&gt;$H$4,"",IF(INDEX('Fleet dates'!$F$9:$F$1008,$I212-8)="","",INDEX('Fleet dates'!$F$9:$F$1008,$I212-8)))</x:f>
      </x:c>
      <x:c r="G212" s="50" t="str">
        <x:f>IF(204&gt;$H$4,"",IF(INDEX('Fleet dates'!$G$9:$G$1008,$I212-8)="","",INDEX('Fleet dates'!$G$9:$G$1008,$I212-8)))</x:f>
      </x:c>
      <x:c r="H212" s="50" t="str">
        <x:f>IF(204&gt;$H$4,"",IF(INDEX('Fleet dates'!$I$9:$I$1008,$I212-8)="","",INDEX('Fleet dates'!$I$9:$I$1008,$I212-8)))</x:f>
      </x:c>
      <x:c r="I212" t="str">
        <x:f>IF(204&gt;$H$4,"",MATCH(204,'Fleet dates'!$N$9:$N$1008,0)+8)</x:f>
      </x:c>
    </x:row>
    <x:row r="213" ht="36" customHeight="1">
      <x:c r="A213" s="50" t="str">
        <x:f>IF(205&gt;$H$4,"",IF(INDEX('Fleet dates'!$A$9:$A$1008,$I213-8)="","",INDEX('Fleet dates'!$A$9:$A$1008,$I213-8)))</x:f>
      </x:c>
      <x:c r="B213" s="50" t="str">
        <x:f>IF(205&gt;$H$4,"",IF(INDEX('Fleet dates'!$B$9:$B$1008,$I213-8)="","",INDEX('Fleet dates'!$B$9:$B$1008,$I213-8)))</x:f>
      </x:c>
      <x:c r="C213" s="51" t="str">
        <x:f>IF(205&gt;$H$4,"",IF(INDEX('Fleet dates'!$C$9:$C$1008,$I213-8)="","",INDEX('Fleet dates'!$C$9:$C$1008,$I213-8)))</x:f>
      </x:c>
      <x:c r="D213" s="51" t="str">
        <x:f>IF(205&gt;$H$4,"",IF(INDEX('Fleet dates'!$D$9:$D$1008,$I213-8)="","",INDEX('Fleet dates'!$D$9:$D$1008,$I213-8)))</x:f>
      </x:c>
      <x:c r="E213" s="51" t="str">
        <x:f>IF(205&gt;$H$4,"",IF(INDEX('Fleet dates'!$E$9:$E$1008,$I213-8)="","",INDEX('Fleet dates'!$E$9:$E$1008,$I213-8)))</x:f>
      </x:c>
      <x:c r="F213" s="51" t="str">
        <x:f>IF(205&gt;$H$4,"",IF(INDEX('Fleet dates'!$F$9:$F$1008,$I213-8)="","",INDEX('Fleet dates'!$F$9:$F$1008,$I213-8)))</x:f>
      </x:c>
      <x:c r="G213" s="50" t="str">
        <x:f>IF(205&gt;$H$4,"",IF(INDEX('Fleet dates'!$G$9:$G$1008,$I213-8)="","",INDEX('Fleet dates'!$G$9:$G$1008,$I213-8)))</x:f>
      </x:c>
      <x:c r="H213" s="50" t="str">
        <x:f>IF(205&gt;$H$4,"",IF(INDEX('Fleet dates'!$I$9:$I$1008,$I213-8)="","",INDEX('Fleet dates'!$I$9:$I$1008,$I213-8)))</x:f>
      </x:c>
      <x:c r="I213" t="str">
        <x:f>IF(205&gt;$H$4,"",MATCH(205,'Fleet dates'!$N$9:$N$1008,0)+8)</x:f>
      </x:c>
    </x:row>
    <x:row r="214" ht="36" customHeight="1">
      <x:c r="A214" s="50" t="str">
        <x:f>IF(206&gt;$H$4,"",IF(INDEX('Fleet dates'!$A$9:$A$1008,$I214-8)="","",INDEX('Fleet dates'!$A$9:$A$1008,$I214-8)))</x:f>
      </x:c>
      <x:c r="B214" s="50" t="str">
        <x:f>IF(206&gt;$H$4,"",IF(INDEX('Fleet dates'!$B$9:$B$1008,$I214-8)="","",INDEX('Fleet dates'!$B$9:$B$1008,$I214-8)))</x:f>
      </x:c>
      <x:c r="C214" s="51" t="str">
        <x:f>IF(206&gt;$H$4,"",IF(INDEX('Fleet dates'!$C$9:$C$1008,$I214-8)="","",INDEX('Fleet dates'!$C$9:$C$1008,$I214-8)))</x:f>
      </x:c>
      <x:c r="D214" s="51" t="str">
        <x:f>IF(206&gt;$H$4,"",IF(INDEX('Fleet dates'!$D$9:$D$1008,$I214-8)="","",INDEX('Fleet dates'!$D$9:$D$1008,$I214-8)))</x:f>
      </x:c>
      <x:c r="E214" s="51" t="str">
        <x:f>IF(206&gt;$H$4,"",IF(INDEX('Fleet dates'!$E$9:$E$1008,$I214-8)="","",INDEX('Fleet dates'!$E$9:$E$1008,$I214-8)))</x:f>
      </x:c>
      <x:c r="F214" s="51" t="str">
        <x:f>IF(206&gt;$H$4,"",IF(INDEX('Fleet dates'!$F$9:$F$1008,$I214-8)="","",INDEX('Fleet dates'!$F$9:$F$1008,$I214-8)))</x:f>
      </x:c>
      <x:c r="G214" s="50" t="str">
        <x:f>IF(206&gt;$H$4,"",IF(INDEX('Fleet dates'!$G$9:$G$1008,$I214-8)="","",INDEX('Fleet dates'!$G$9:$G$1008,$I214-8)))</x:f>
      </x:c>
      <x:c r="H214" s="50" t="str">
        <x:f>IF(206&gt;$H$4,"",IF(INDEX('Fleet dates'!$I$9:$I$1008,$I214-8)="","",INDEX('Fleet dates'!$I$9:$I$1008,$I214-8)))</x:f>
      </x:c>
      <x:c r="I214" t="str">
        <x:f>IF(206&gt;$H$4,"",MATCH(206,'Fleet dates'!$N$9:$N$1008,0)+8)</x:f>
      </x:c>
    </x:row>
    <x:row r="215" ht="36" customHeight="1">
      <x:c r="A215" s="50" t="str">
        <x:f>IF(207&gt;$H$4,"",IF(INDEX('Fleet dates'!$A$9:$A$1008,$I215-8)="","",INDEX('Fleet dates'!$A$9:$A$1008,$I215-8)))</x:f>
      </x:c>
      <x:c r="B215" s="50" t="str">
        <x:f>IF(207&gt;$H$4,"",IF(INDEX('Fleet dates'!$B$9:$B$1008,$I215-8)="","",INDEX('Fleet dates'!$B$9:$B$1008,$I215-8)))</x:f>
      </x:c>
      <x:c r="C215" s="51" t="str">
        <x:f>IF(207&gt;$H$4,"",IF(INDEX('Fleet dates'!$C$9:$C$1008,$I215-8)="","",INDEX('Fleet dates'!$C$9:$C$1008,$I215-8)))</x:f>
      </x:c>
      <x:c r="D215" s="51" t="str">
        <x:f>IF(207&gt;$H$4,"",IF(INDEX('Fleet dates'!$D$9:$D$1008,$I215-8)="","",INDEX('Fleet dates'!$D$9:$D$1008,$I215-8)))</x:f>
      </x:c>
      <x:c r="E215" s="51" t="str">
        <x:f>IF(207&gt;$H$4,"",IF(INDEX('Fleet dates'!$E$9:$E$1008,$I215-8)="","",INDEX('Fleet dates'!$E$9:$E$1008,$I215-8)))</x:f>
      </x:c>
      <x:c r="F215" s="51" t="str">
        <x:f>IF(207&gt;$H$4,"",IF(INDEX('Fleet dates'!$F$9:$F$1008,$I215-8)="","",INDEX('Fleet dates'!$F$9:$F$1008,$I215-8)))</x:f>
      </x:c>
      <x:c r="G215" s="50" t="str">
        <x:f>IF(207&gt;$H$4,"",IF(INDEX('Fleet dates'!$G$9:$G$1008,$I215-8)="","",INDEX('Fleet dates'!$G$9:$G$1008,$I215-8)))</x:f>
      </x:c>
      <x:c r="H215" s="50" t="str">
        <x:f>IF(207&gt;$H$4,"",IF(INDEX('Fleet dates'!$I$9:$I$1008,$I215-8)="","",INDEX('Fleet dates'!$I$9:$I$1008,$I215-8)))</x:f>
      </x:c>
      <x:c r="I215" t="str">
        <x:f>IF(207&gt;$H$4,"",MATCH(207,'Fleet dates'!$N$9:$N$1008,0)+8)</x:f>
      </x:c>
    </x:row>
    <x:row r="216" ht="36" customHeight="1">
      <x:c r="A216" s="50" t="str">
        <x:f>IF(208&gt;$H$4,"",IF(INDEX('Fleet dates'!$A$9:$A$1008,$I216-8)="","",INDEX('Fleet dates'!$A$9:$A$1008,$I216-8)))</x:f>
      </x:c>
      <x:c r="B216" s="50" t="str">
        <x:f>IF(208&gt;$H$4,"",IF(INDEX('Fleet dates'!$B$9:$B$1008,$I216-8)="","",INDEX('Fleet dates'!$B$9:$B$1008,$I216-8)))</x:f>
      </x:c>
      <x:c r="C216" s="51" t="str">
        <x:f>IF(208&gt;$H$4,"",IF(INDEX('Fleet dates'!$C$9:$C$1008,$I216-8)="","",INDEX('Fleet dates'!$C$9:$C$1008,$I216-8)))</x:f>
      </x:c>
      <x:c r="D216" s="51" t="str">
        <x:f>IF(208&gt;$H$4,"",IF(INDEX('Fleet dates'!$D$9:$D$1008,$I216-8)="","",INDEX('Fleet dates'!$D$9:$D$1008,$I216-8)))</x:f>
      </x:c>
      <x:c r="E216" s="51" t="str">
        <x:f>IF(208&gt;$H$4,"",IF(INDEX('Fleet dates'!$E$9:$E$1008,$I216-8)="","",INDEX('Fleet dates'!$E$9:$E$1008,$I216-8)))</x:f>
      </x:c>
      <x:c r="F216" s="51" t="str">
        <x:f>IF(208&gt;$H$4,"",IF(INDEX('Fleet dates'!$F$9:$F$1008,$I216-8)="","",INDEX('Fleet dates'!$F$9:$F$1008,$I216-8)))</x:f>
      </x:c>
      <x:c r="G216" s="50" t="str">
        <x:f>IF(208&gt;$H$4,"",IF(INDEX('Fleet dates'!$G$9:$G$1008,$I216-8)="","",INDEX('Fleet dates'!$G$9:$G$1008,$I216-8)))</x:f>
      </x:c>
      <x:c r="H216" s="50" t="str">
        <x:f>IF(208&gt;$H$4,"",IF(INDEX('Fleet dates'!$I$9:$I$1008,$I216-8)="","",INDEX('Fleet dates'!$I$9:$I$1008,$I216-8)))</x:f>
      </x:c>
      <x:c r="I216" t="str">
        <x:f>IF(208&gt;$H$4,"",MATCH(208,'Fleet dates'!$N$9:$N$1008,0)+8)</x:f>
      </x:c>
    </x:row>
    <x:row r="217" ht="36" customHeight="1">
      <x:c r="A217" s="50" t="str">
        <x:f>IF(209&gt;$H$4,"",IF(INDEX('Fleet dates'!$A$9:$A$1008,$I217-8)="","",INDEX('Fleet dates'!$A$9:$A$1008,$I217-8)))</x:f>
      </x:c>
      <x:c r="B217" s="50" t="str">
        <x:f>IF(209&gt;$H$4,"",IF(INDEX('Fleet dates'!$B$9:$B$1008,$I217-8)="","",INDEX('Fleet dates'!$B$9:$B$1008,$I217-8)))</x:f>
      </x:c>
      <x:c r="C217" s="51" t="str">
        <x:f>IF(209&gt;$H$4,"",IF(INDEX('Fleet dates'!$C$9:$C$1008,$I217-8)="","",INDEX('Fleet dates'!$C$9:$C$1008,$I217-8)))</x:f>
      </x:c>
      <x:c r="D217" s="51" t="str">
        <x:f>IF(209&gt;$H$4,"",IF(INDEX('Fleet dates'!$D$9:$D$1008,$I217-8)="","",INDEX('Fleet dates'!$D$9:$D$1008,$I217-8)))</x:f>
      </x:c>
      <x:c r="E217" s="51" t="str">
        <x:f>IF(209&gt;$H$4,"",IF(INDEX('Fleet dates'!$E$9:$E$1008,$I217-8)="","",INDEX('Fleet dates'!$E$9:$E$1008,$I217-8)))</x:f>
      </x:c>
      <x:c r="F217" s="51" t="str">
        <x:f>IF(209&gt;$H$4,"",IF(INDEX('Fleet dates'!$F$9:$F$1008,$I217-8)="","",INDEX('Fleet dates'!$F$9:$F$1008,$I217-8)))</x:f>
      </x:c>
      <x:c r="G217" s="50" t="str">
        <x:f>IF(209&gt;$H$4,"",IF(INDEX('Fleet dates'!$G$9:$G$1008,$I217-8)="","",INDEX('Fleet dates'!$G$9:$G$1008,$I217-8)))</x:f>
      </x:c>
      <x:c r="H217" s="50" t="str">
        <x:f>IF(209&gt;$H$4,"",IF(INDEX('Fleet dates'!$I$9:$I$1008,$I217-8)="","",INDEX('Fleet dates'!$I$9:$I$1008,$I217-8)))</x:f>
      </x:c>
      <x:c r="I217" t="str">
        <x:f>IF(209&gt;$H$4,"",MATCH(209,'Fleet dates'!$N$9:$N$1008,0)+8)</x:f>
      </x:c>
    </x:row>
    <x:row r="218" ht="36" customHeight="1">
      <x:c r="A218" s="50" t="str">
        <x:f>IF(210&gt;$H$4,"",IF(INDEX('Fleet dates'!$A$9:$A$1008,$I218-8)="","",INDEX('Fleet dates'!$A$9:$A$1008,$I218-8)))</x:f>
      </x:c>
      <x:c r="B218" s="50" t="str">
        <x:f>IF(210&gt;$H$4,"",IF(INDEX('Fleet dates'!$B$9:$B$1008,$I218-8)="","",INDEX('Fleet dates'!$B$9:$B$1008,$I218-8)))</x:f>
      </x:c>
      <x:c r="C218" s="51" t="str">
        <x:f>IF(210&gt;$H$4,"",IF(INDEX('Fleet dates'!$C$9:$C$1008,$I218-8)="","",INDEX('Fleet dates'!$C$9:$C$1008,$I218-8)))</x:f>
      </x:c>
      <x:c r="D218" s="51" t="str">
        <x:f>IF(210&gt;$H$4,"",IF(INDEX('Fleet dates'!$D$9:$D$1008,$I218-8)="","",INDEX('Fleet dates'!$D$9:$D$1008,$I218-8)))</x:f>
      </x:c>
      <x:c r="E218" s="51" t="str">
        <x:f>IF(210&gt;$H$4,"",IF(INDEX('Fleet dates'!$E$9:$E$1008,$I218-8)="","",INDEX('Fleet dates'!$E$9:$E$1008,$I218-8)))</x:f>
      </x:c>
      <x:c r="F218" s="51" t="str">
        <x:f>IF(210&gt;$H$4,"",IF(INDEX('Fleet dates'!$F$9:$F$1008,$I218-8)="","",INDEX('Fleet dates'!$F$9:$F$1008,$I218-8)))</x:f>
      </x:c>
      <x:c r="G218" s="50" t="str">
        <x:f>IF(210&gt;$H$4,"",IF(INDEX('Fleet dates'!$G$9:$G$1008,$I218-8)="","",INDEX('Fleet dates'!$G$9:$G$1008,$I218-8)))</x:f>
      </x:c>
      <x:c r="H218" s="50" t="str">
        <x:f>IF(210&gt;$H$4,"",IF(INDEX('Fleet dates'!$I$9:$I$1008,$I218-8)="","",INDEX('Fleet dates'!$I$9:$I$1008,$I218-8)))</x:f>
      </x:c>
      <x:c r="I218" t="str">
        <x:f>IF(210&gt;$H$4,"",MATCH(210,'Fleet dates'!$N$9:$N$1008,0)+8)</x:f>
      </x:c>
    </x:row>
    <x:row r="219" ht="36" customHeight="1">
      <x:c r="A219" s="50" t="str">
        <x:f>IF(211&gt;$H$4,"",IF(INDEX('Fleet dates'!$A$9:$A$1008,$I219-8)="","",INDEX('Fleet dates'!$A$9:$A$1008,$I219-8)))</x:f>
      </x:c>
      <x:c r="B219" s="50" t="str">
        <x:f>IF(211&gt;$H$4,"",IF(INDEX('Fleet dates'!$B$9:$B$1008,$I219-8)="","",INDEX('Fleet dates'!$B$9:$B$1008,$I219-8)))</x:f>
      </x:c>
      <x:c r="C219" s="51" t="str">
        <x:f>IF(211&gt;$H$4,"",IF(INDEX('Fleet dates'!$C$9:$C$1008,$I219-8)="","",INDEX('Fleet dates'!$C$9:$C$1008,$I219-8)))</x:f>
      </x:c>
      <x:c r="D219" s="51" t="str">
        <x:f>IF(211&gt;$H$4,"",IF(INDEX('Fleet dates'!$D$9:$D$1008,$I219-8)="","",INDEX('Fleet dates'!$D$9:$D$1008,$I219-8)))</x:f>
      </x:c>
      <x:c r="E219" s="51" t="str">
        <x:f>IF(211&gt;$H$4,"",IF(INDEX('Fleet dates'!$E$9:$E$1008,$I219-8)="","",INDEX('Fleet dates'!$E$9:$E$1008,$I219-8)))</x:f>
      </x:c>
      <x:c r="F219" s="51" t="str">
        <x:f>IF(211&gt;$H$4,"",IF(INDEX('Fleet dates'!$F$9:$F$1008,$I219-8)="","",INDEX('Fleet dates'!$F$9:$F$1008,$I219-8)))</x:f>
      </x:c>
      <x:c r="G219" s="50" t="str">
        <x:f>IF(211&gt;$H$4,"",IF(INDEX('Fleet dates'!$G$9:$G$1008,$I219-8)="","",INDEX('Fleet dates'!$G$9:$G$1008,$I219-8)))</x:f>
      </x:c>
      <x:c r="H219" s="50" t="str">
        <x:f>IF(211&gt;$H$4,"",IF(INDEX('Fleet dates'!$I$9:$I$1008,$I219-8)="","",INDEX('Fleet dates'!$I$9:$I$1008,$I219-8)))</x:f>
      </x:c>
      <x:c r="I219" t="str">
        <x:f>IF(211&gt;$H$4,"",MATCH(211,'Fleet dates'!$N$9:$N$1008,0)+8)</x:f>
      </x:c>
    </x:row>
    <x:row r="220" ht="36" customHeight="1">
      <x:c r="A220" s="50" t="str">
        <x:f>IF(212&gt;$H$4,"",IF(INDEX('Fleet dates'!$A$9:$A$1008,$I220-8)="","",INDEX('Fleet dates'!$A$9:$A$1008,$I220-8)))</x:f>
      </x:c>
      <x:c r="B220" s="50" t="str">
        <x:f>IF(212&gt;$H$4,"",IF(INDEX('Fleet dates'!$B$9:$B$1008,$I220-8)="","",INDEX('Fleet dates'!$B$9:$B$1008,$I220-8)))</x:f>
      </x:c>
      <x:c r="C220" s="51" t="str">
        <x:f>IF(212&gt;$H$4,"",IF(INDEX('Fleet dates'!$C$9:$C$1008,$I220-8)="","",INDEX('Fleet dates'!$C$9:$C$1008,$I220-8)))</x:f>
      </x:c>
      <x:c r="D220" s="51" t="str">
        <x:f>IF(212&gt;$H$4,"",IF(INDEX('Fleet dates'!$D$9:$D$1008,$I220-8)="","",INDEX('Fleet dates'!$D$9:$D$1008,$I220-8)))</x:f>
      </x:c>
      <x:c r="E220" s="51" t="str">
        <x:f>IF(212&gt;$H$4,"",IF(INDEX('Fleet dates'!$E$9:$E$1008,$I220-8)="","",INDEX('Fleet dates'!$E$9:$E$1008,$I220-8)))</x:f>
      </x:c>
      <x:c r="F220" s="51" t="str">
        <x:f>IF(212&gt;$H$4,"",IF(INDEX('Fleet dates'!$F$9:$F$1008,$I220-8)="","",INDEX('Fleet dates'!$F$9:$F$1008,$I220-8)))</x:f>
      </x:c>
      <x:c r="G220" s="50" t="str">
        <x:f>IF(212&gt;$H$4,"",IF(INDEX('Fleet dates'!$G$9:$G$1008,$I220-8)="","",INDEX('Fleet dates'!$G$9:$G$1008,$I220-8)))</x:f>
      </x:c>
      <x:c r="H220" s="50" t="str">
        <x:f>IF(212&gt;$H$4,"",IF(INDEX('Fleet dates'!$I$9:$I$1008,$I220-8)="","",INDEX('Fleet dates'!$I$9:$I$1008,$I220-8)))</x:f>
      </x:c>
      <x:c r="I220" t="str">
        <x:f>IF(212&gt;$H$4,"",MATCH(212,'Fleet dates'!$N$9:$N$1008,0)+8)</x:f>
      </x:c>
    </x:row>
    <x:row r="221" ht="36" customHeight="1">
      <x:c r="A221" s="50" t="str">
        <x:f>IF(213&gt;$H$4,"",IF(INDEX('Fleet dates'!$A$9:$A$1008,$I221-8)="","",INDEX('Fleet dates'!$A$9:$A$1008,$I221-8)))</x:f>
      </x:c>
      <x:c r="B221" s="50" t="str">
        <x:f>IF(213&gt;$H$4,"",IF(INDEX('Fleet dates'!$B$9:$B$1008,$I221-8)="","",INDEX('Fleet dates'!$B$9:$B$1008,$I221-8)))</x:f>
      </x:c>
      <x:c r="C221" s="51" t="str">
        <x:f>IF(213&gt;$H$4,"",IF(INDEX('Fleet dates'!$C$9:$C$1008,$I221-8)="","",INDEX('Fleet dates'!$C$9:$C$1008,$I221-8)))</x:f>
      </x:c>
      <x:c r="D221" s="51" t="str">
        <x:f>IF(213&gt;$H$4,"",IF(INDEX('Fleet dates'!$D$9:$D$1008,$I221-8)="","",INDEX('Fleet dates'!$D$9:$D$1008,$I221-8)))</x:f>
      </x:c>
      <x:c r="E221" s="51" t="str">
        <x:f>IF(213&gt;$H$4,"",IF(INDEX('Fleet dates'!$E$9:$E$1008,$I221-8)="","",INDEX('Fleet dates'!$E$9:$E$1008,$I221-8)))</x:f>
      </x:c>
      <x:c r="F221" s="51" t="str">
        <x:f>IF(213&gt;$H$4,"",IF(INDEX('Fleet dates'!$F$9:$F$1008,$I221-8)="","",INDEX('Fleet dates'!$F$9:$F$1008,$I221-8)))</x:f>
      </x:c>
      <x:c r="G221" s="50" t="str">
        <x:f>IF(213&gt;$H$4,"",IF(INDEX('Fleet dates'!$G$9:$G$1008,$I221-8)="","",INDEX('Fleet dates'!$G$9:$G$1008,$I221-8)))</x:f>
      </x:c>
      <x:c r="H221" s="50" t="str">
        <x:f>IF(213&gt;$H$4,"",IF(INDEX('Fleet dates'!$I$9:$I$1008,$I221-8)="","",INDEX('Fleet dates'!$I$9:$I$1008,$I221-8)))</x:f>
      </x:c>
      <x:c r="I221" t="str">
        <x:f>IF(213&gt;$H$4,"",MATCH(213,'Fleet dates'!$N$9:$N$1008,0)+8)</x:f>
      </x:c>
    </x:row>
    <x:row r="222" ht="36" customHeight="1">
      <x:c r="A222" s="50" t="str">
        <x:f>IF(214&gt;$H$4,"",IF(INDEX('Fleet dates'!$A$9:$A$1008,$I222-8)="","",INDEX('Fleet dates'!$A$9:$A$1008,$I222-8)))</x:f>
      </x:c>
      <x:c r="B222" s="50" t="str">
        <x:f>IF(214&gt;$H$4,"",IF(INDEX('Fleet dates'!$B$9:$B$1008,$I222-8)="","",INDEX('Fleet dates'!$B$9:$B$1008,$I222-8)))</x:f>
      </x:c>
      <x:c r="C222" s="51" t="str">
        <x:f>IF(214&gt;$H$4,"",IF(INDEX('Fleet dates'!$C$9:$C$1008,$I222-8)="","",INDEX('Fleet dates'!$C$9:$C$1008,$I222-8)))</x:f>
      </x:c>
      <x:c r="D222" s="51" t="str">
        <x:f>IF(214&gt;$H$4,"",IF(INDEX('Fleet dates'!$D$9:$D$1008,$I222-8)="","",INDEX('Fleet dates'!$D$9:$D$1008,$I222-8)))</x:f>
      </x:c>
      <x:c r="E222" s="51" t="str">
        <x:f>IF(214&gt;$H$4,"",IF(INDEX('Fleet dates'!$E$9:$E$1008,$I222-8)="","",INDEX('Fleet dates'!$E$9:$E$1008,$I222-8)))</x:f>
      </x:c>
      <x:c r="F222" s="51" t="str">
        <x:f>IF(214&gt;$H$4,"",IF(INDEX('Fleet dates'!$F$9:$F$1008,$I222-8)="","",INDEX('Fleet dates'!$F$9:$F$1008,$I222-8)))</x:f>
      </x:c>
      <x:c r="G222" s="50" t="str">
        <x:f>IF(214&gt;$H$4,"",IF(INDEX('Fleet dates'!$G$9:$G$1008,$I222-8)="","",INDEX('Fleet dates'!$G$9:$G$1008,$I222-8)))</x:f>
      </x:c>
      <x:c r="H222" s="50" t="str">
        <x:f>IF(214&gt;$H$4,"",IF(INDEX('Fleet dates'!$I$9:$I$1008,$I222-8)="","",INDEX('Fleet dates'!$I$9:$I$1008,$I222-8)))</x:f>
      </x:c>
      <x:c r="I222" t="str">
        <x:f>IF(214&gt;$H$4,"",MATCH(214,'Fleet dates'!$N$9:$N$1008,0)+8)</x:f>
      </x:c>
    </x:row>
    <x:row r="223" ht="36" customHeight="1">
      <x:c r="A223" s="50" t="str">
        <x:f>IF(215&gt;$H$4,"",IF(INDEX('Fleet dates'!$A$9:$A$1008,$I223-8)="","",INDEX('Fleet dates'!$A$9:$A$1008,$I223-8)))</x:f>
      </x:c>
      <x:c r="B223" s="50" t="str">
        <x:f>IF(215&gt;$H$4,"",IF(INDEX('Fleet dates'!$B$9:$B$1008,$I223-8)="","",INDEX('Fleet dates'!$B$9:$B$1008,$I223-8)))</x:f>
      </x:c>
      <x:c r="C223" s="51" t="str">
        <x:f>IF(215&gt;$H$4,"",IF(INDEX('Fleet dates'!$C$9:$C$1008,$I223-8)="","",INDEX('Fleet dates'!$C$9:$C$1008,$I223-8)))</x:f>
      </x:c>
      <x:c r="D223" s="51" t="str">
        <x:f>IF(215&gt;$H$4,"",IF(INDEX('Fleet dates'!$D$9:$D$1008,$I223-8)="","",INDEX('Fleet dates'!$D$9:$D$1008,$I223-8)))</x:f>
      </x:c>
      <x:c r="E223" s="51" t="str">
        <x:f>IF(215&gt;$H$4,"",IF(INDEX('Fleet dates'!$E$9:$E$1008,$I223-8)="","",INDEX('Fleet dates'!$E$9:$E$1008,$I223-8)))</x:f>
      </x:c>
      <x:c r="F223" s="51" t="str">
        <x:f>IF(215&gt;$H$4,"",IF(INDEX('Fleet dates'!$F$9:$F$1008,$I223-8)="","",INDEX('Fleet dates'!$F$9:$F$1008,$I223-8)))</x:f>
      </x:c>
      <x:c r="G223" s="50" t="str">
        <x:f>IF(215&gt;$H$4,"",IF(INDEX('Fleet dates'!$G$9:$G$1008,$I223-8)="","",INDEX('Fleet dates'!$G$9:$G$1008,$I223-8)))</x:f>
      </x:c>
      <x:c r="H223" s="50" t="str">
        <x:f>IF(215&gt;$H$4,"",IF(INDEX('Fleet dates'!$I$9:$I$1008,$I223-8)="","",INDEX('Fleet dates'!$I$9:$I$1008,$I223-8)))</x:f>
      </x:c>
      <x:c r="I223" t="str">
        <x:f>IF(215&gt;$H$4,"",MATCH(215,'Fleet dates'!$N$9:$N$1008,0)+8)</x:f>
      </x:c>
    </x:row>
    <x:row r="224" ht="36" customHeight="1">
      <x:c r="A224" s="50" t="str">
        <x:f>IF(216&gt;$H$4,"",IF(INDEX('Fleet dates'!$A$9:$A$1008,$I224-8)="","",INDEX('Fleet dates'!$A$9:$A$1008,$I224-8)))</x:f>
      </x:c>
      <x:c r="B224" s="50" t="str">
        <x:f>IF(216&gt;$H$4,"",IF(INDEX('Fleet dates'!$B$9:$B$1008,$I224-8)="","",INDEX('Fleet dates'!$B$9:$B$1008,$I224-8)))</x:f>
      </x:c>
      <x:c r="C224" s="51" t="str">
        <x:f>IF(216&gt;$H$4,"",IF(INDEX('Fleet dates'!$C$9:$C$1008,$I224-8)="","",INDEX('Fleet dates'!$C$9:$C$1008,$I224-8)))</x:f>
      </x:c>
      <x:c r="D224" s="51" t="str">
        <x:f>IF(216&gt;$H$4,"",IF(INDEX('Fleet dates'!$D$9:$D$1008,$I224-8)="","",INDEX('Fleet dates'!$D$9:$D$1008,$I224-8)))</x:f>
      </x:c>
      <x:c r="E224" s="51" t="str">
        <x:f>IF(216&gt;$H$4,"",IF(INDEX('Fleet dates'!$E$9:$E$1008,$I224-8)="","",INDEX('Fleet dates'!$E$9:$E$1008,$I224-8)))</x:f>
      </x:c>
      <x:c r="F224" s="51" t="str">
        <x:f>IF(216&gt;$H$4,"",IF(INDEX('Fleet dates'!$F$9:$F$1008,$I224-8)="","",INDEX('Fleet dates'!$F$9:$F$1008,$I224-8)))</x:f>
      </x:c>
      <x:c r="G224" s="50" t="str">
        <x:f>IF(216&gt;$H$4,"",IF(INDEX('Fleet dates'!$G$9:$G$1008,$I224-8)="","",INDEX('Fleet dates'!$G$9:$G$1008,$I224-8)))</x:f>
      </x:c>
      <x:c r="H224" s="50" t="str">
        <x:f>IF(216&gt;$H$4,"",IF(INDEX('Fleet dates'!$I$9:$I$1008,$I224-8)="","",INDEX('Fleet dates'!$I$9:$I$1008,$I224-8)))</x:f>
      </x:c>
      <x:c r="I224" t="str">
        <x:f>IF(216&gt;$H$4,"",MATCH(216,'Fleet dates'!$N$9:$N$1008,0)+8)</x:f>
      </x:c>
    </x:row>
    <x:row r="225" ht="36" customHeight="1">
      <x:c r="A225" s="50" t="str">
        <x:f>IF(217&gt;$H$4,"",IF(INDEX('Fleet dates'!$A$9:$A$1008,$I225-8)="","",INDEX('Fleet dates'!$A$9:$A$1008,$I225-8)))</x:f>
      </x:c>
      <x:c r="B225" s="50" t="str">
        <x:f>IF(217&gt;$H$4,"",IF(INDEX('Fleet dates'!$B$9:$B$1008,$I225-8)="","",INDEX('Fleet dates'!$B$9:$B$1008,$I225-8)))</x:f>
      </x:c>
      <x:c r="C225" s="51" t="str">
        <x:f>IF(217&gt;$H$4,"",IF(INDEX('Fleet dates'!$C$9:$C$1008,$I225-8)="","",INDEX('Fleet dates'!$C$9:$C$1008,$I225-8)))</x:f>
      </x:c>
      <x:c r="D225" s="51" t="str">
        <x:f>IF(217&gt;$H$4,"",IF(INDEX('Fleet dates'!$D$9:$D$1008,$I225-8)="","",INDEX('Fleet dates'!$D$9:$D$1008,$I225-8)))</x:f>
      </x:c>
      <x:c r="E225" s="51" t="str">
        <x:f>IF(217&gt;$H$4,"",IF(INDEX('Fleet dates'!$E$9:$E$1008,$I225-8)="","",INDEX('Fleet dates'!$E$9:$E$1008,$I225-8)))</x:f>
      </x:c>
      <x:c r="F225" s="51" t="str">
        <x:f>IF(217&gt;$H$4,"",IF(INDEX('Fleet dates'!$F$9:$F$1008,$I225-8)="","",INDEX('Fleet dates'!$F$9:$F$1008,$I225-8)))</x:f>
      </x:c>
      <x:c r="G225" s="50" t="str">
        <x:f>IF(217&gt;$H$4,"",IF(INDEX('Fleet dates'!$G$9:$G$1008,$I225-8)="","",INDEX('Fleet dates'!$G$9:$G$1008,$I225-8)))</x:f>
      </x:c>
      <x:c r="H225" s="50" t="str">
        <x:f>IF(217&gt;$H$4,"",IF(INDEX('Fleet dates'!$I$9:$I$1008,$I225-8)="","",INDEX('Fleet dates'!$I$9:$I$1008,$I225-8)))</x:f>
      </x:c>
      <x:c r="I225" t="str">
        <x:f>IF(217&gt;$H$4,"",MATCH(217,'Fleet dates'!$N$9:$N$1008,0)+8)</x:f>
      </x:c>
    </x:row>
    <x:row r="226" ht="36" customHeight="1">
      <x:c r="A226" s="50" t="str">
        <x:f>IF(218&gt;$H$4,"",IF(INDEX('Fleet dates'!$A$9:$A$1008,$I226-8)="","",INDEX('Fleet dates'!$A$9:$A$1008,$I226-8)))</x:f>
      </x:c>
      <x:c r="B226" s="50" t="str">
        <x:f>IF(218&gt;$H$4,"",IF(INDEX('Fleet dates'!$B$9:$B$1008,$I226-8)="","",INDEX('Fleet dates'!$B$9:$B$1008,$I226-8)))</x:f>
      </x:c>
      <x:c r="C226" s="51" t="str">
        <x:f>IF(218&gt;$H$4,"",IF(INDEX('Fleet dates'!$C$9:$C$1008,$I226-8)="","",INDEX('Fleet dates'!$C$9:$C$1008,$I226-8)))</x:f>
      </x:c>
      <x:c r="D226" s="51" t="str">
        <x:f>IF(218&gt;$H$4,"",IF(INDEX('Fleet dates'!$D$9:$D$1008,$I226-8)="","",INDEX('Fleet dates'!$D$9:$D$1008,$I226-8)))</x:f>
      </x:c>
      <x:c r="E226" s="51" t="str">
        <x:f>IF(218&gt;$H$4,"",IF(INDEX('Fleet dates'!$E$9:$E$1008,$I226-8)="","",INDEX('Fleet dates'!$E$9:$E$1008,$I226-8)))</x:f>
      </x:c>
      <x:c r="F226" s="51" t="str">
        <x:f>IF(218&gt;$H$4,"",IF(INDEX('Fleet dates'!$F$9:$F$1008,$I226-8)="","",INDEX('Fleet dates'!$F$9:$F$1008,$I226-8)))</x:f>
      </x:c>
      <x:c r="G226" s="50" t="str">
        <x:f>IF(218&gt;$H$4,"",IF(INDEX('Fleet dates'!$G$9:$G$1008,$I226-8)="","",INDEX('Fleet dates'!$G$9:$G$1008,$I226-8)))</x:f>
      </x:c>
      <x:c r="H226" s="50" t="str">
        <x:f>IF(218&gt;$H$4,"",IF(INDEX('Fleet dates'!$I$9:$I$1008,$I226-8)="","",INDEX('Fleet dates'!$I$9:$I$1008,$I226-8)))</x:f>
      </x:c>
      <x:c r="I226" t="str">
        <x:f>IF(218&gt;$H$4,"",MATCH(218,'Fleet dates'!$N$9:$N$1008,0)+8)</x:f>
      </x:c>
    </x:row>
    <x:row r="227" ht="36" customHeight="1">
      <x:c r="A227" s="50" t="str">
        <x:f>IF(219&gt;$H$4,"",IF(INDEX('Fleet dates'!$A$9:$A$1008,$I227-8)="","",INDEX('Fleet dates'!$A$9:$A$1008,$I227-8)))</x:f>
      </x:c>
      <x:c r="B227" s="50" t="str">
        <x:f>IF(219&gt;$H$4,"",IF(INDEX('Fleet dates'!$B$9:$B$1008,$I227-8)="","",INDEX('Fleet dates'!$B$9:$B$1008,$I227-8)))</x:f>
      </x:c>
      <x:c r="C227" s="51" t="str">
        <x:f>IF(219&gt;$H$4,"",IF(INDEX('Fleet dates'!$C$9:$C$1008,$I227-8)="","",INDEX('Fleet dates'!$C$9:$C$1008,$I227-8)))</x:f>
      </x:c>
      <x:c r="D227" s="51" t="str">
        <x:f>IF(219&gt;$H$4,"",IF(INDEX('Fleet dates'!$D$9:$D$1008,$I227-8)="","",INDEX('Fleet dates'!$D$9:$D$1008,$I227-8)))</x:f>
      </x:c>
      <x:c r="E227" s="51" t="str">
        <x:f>IF(219&gt;$H$4,"",IF(INDEX('Fleet dates'!$E$9:$E$1008,$I227-8)="","",INDEX('Fleet dates'!$E$9:$E$1008,$I227-8)))</x:f>
      </x:c>
      <x:c r="F227" s="51" t="str">
        <x:f>IF(219&gt;$H$4,"",IF(INDEX('Fleet dates'!$F$9:$F$1008,$I227-8)="","",INDEX('Fleet dates'!$F$9:$F$1008,$I227-8)))</x:f>
      </x:c>
      <x:c r="G227" s="50" t="str">
        <x:f>IF(219&gt;$H$4,"",IF(INDEX('Fleet dates'!$G$9:$G$1008,$I227-8)="","",INDEX('Fleet dates'!$G$9:$G$1008,$I227-8)))</x:f>
      </x:c>
      <x:c r="H227" s="50" t="str">
        <x:f>IF(219&gt;$H$4,"",IF(INDEX('Fleet dates'!$I$9:$I$1008,$I227-8)="","",INDEX('Fleet dates'!$I$9:$I$1008,$I227-8)))</x:f>
      </x:c>
      <x:c r="I227" t="str">
        <x:f>IF(219&gt;$H$4,"",MATCH(219,'Fleet dates'!$N$9:$N$1008,0)+8)</x:f>
      </x:c>
    </x:row>
    <x:row r="228" ht="36" customHeight="1">
      <x:c r="A228" s="50" t="str">
        <x:f>IF(220&gt;$H$4,"",IF(INDEX('Fleet dates'!$A$9:$A$1008,$I228-8)="","",INDEX('Fleet dates'!$A$9:$A$1008,$I228-8)))</x:f>
      </x:c>
      <x:c r="B228" s="50" t="str">
        <x:f>IF(220&gt;$H$4,"",IF(INDEX('Fleet dates'!$B$9:$B$1008,$I228-8)="","",INDEX('Fleet dates'!$B$9:$B$1008,$I228-8)))</x:f>
      </x:c>
      <x:c r="C228" s="51" t="str">
        <x:f>IF(220&gt;$H$4,"",IF(INDEX('Fleet dates'!$C$9:$C$1008,$I228-8)="","",INDEX('Fleet dates'!$C$9:$C$1008,$I228-8)))</x:f>
      </x:c>
      <x:c r="D228" s="51" t="str">
        <x:f>IF(220&gt;$H$4,"",IF(INDEX('Fleet dates'!$D$9:$D$1008,$I228-8)="","",INDEX('Fleet dates'!$D$9:$D$1008,$I228-8)))</x:f>
      </x:c>
      <x:c r="E228" s="51" t="str">
        <x:f>IF(220&gt;$H$4,"",IF(INDEX('Fleet dates'!$E$9:$E$1008,$I228-8)="","",INDEX('Fleet dates'!$E$9:$E$1008,$I228-8)))</x:f>
      </x:c>
      <x:c r="F228" s="51" t="str">
        <x:f>IF(220&gt;$H$4,"",IF(INDEX('Fleet dates'!$F$9:$F$1008,$I228-8)="","",INDEX('Fleet dates'!$F$9:$F$1008,$I228-8)))</x:f>
      </x:c>
      <x:c r="G228" s="50" t="str">
        <x:f>IF(220&gt;$H$4,"",IF(INDEX('Fleet dates'!$G$9:$G$1008,$I228-8)="","",INDEX('Fleet dates'!$G$9:$G$1008,$I228-8)))</x:f>
      </x:c>
      <x:c r="H228" s="50" t="str">
        <x:f>IF(220&gt;$H$4,"",IF(INDEX('Fleet dates'!$I$9:$I$1008,$I228-8)="","",INDEX('Fleet dates'!$I$9:$I$1008,$I228-8)))</x:f>
      </x:c>
      <x:c r="I228" t="str">
        <x:f>IF(220&gt;$H$4,"",MATCH(220,'Fleet dates'!$N$9:$N$1008,0)+8)</x:f>
      </x:c>
    </x:row>
    <x:row r="229" ht="36" customHeight="1">
      <x:c r="A229" s="50" t="str">
        <x:f>IF(221&gt;$H$4,"",IF(INDEX('Fleet dates'!$A$9:$A$1008,$I229-8)="","",INDEX('Fleet dates'!$A$9:$A$1008,$I229-8)))</x:f>
      </x:c>
      <x:c r="B229" s="50" t="str">
        <x:f>IF(221&gt;$H$4,"",IF(INDEX('Fleet dates'!$B$9:$B$1008,$I229-8)="","",INDEX('Fleet dates'!$B$9:$B$1008,$I229-8)))</x:f>
      </x:c>
      <x:c r="C229" s="51" t="str">
        <x:f>IF(221&gt;$H$4,"",IF(INDEX('Fleet dates'!$C$9:$C$1008,$I229-8)="","",INDEX('Fleet dates'!$C$9:$C$1008,$I229-8)))</x:f>
      </x:c>
      <x:c r="D229" s="51" t="str">
        <x:f>IF(221&gt;$H$4,"",IF(INDEX('Fleet dates'!$D$9:$D$1008,$I229-8)="","",INDEX('Fleet dates'!$D$9:$D$1008,$I229-8)))</x:f>
      </x:c>
      <x:c r="E229" s="51" t="str">
        <x:f>IF(221&gt;$H$4,"",IF(INDEX('Fleet dates'!$E$9:$E$1008,$I229-8)="","",INDEX('Fleet dates'!$E$9:$E$1008,$I229-8)))</x:f>
      </x:c>
      <x:c r="F229" s="51" t="str">
        <x:f>IF(221&gt;$H$4,"",IF(INDEX('Fleet dates'!$F$9:$F$1008,$I229-8)="","",INDEX('Fleet dates'!$F$9:$F$1008,$I229-8)))</x:f>
      </x:c>
      <x:c r="G229" s="50" t="str">
        <x:f>IF(221&gt;$H$4,"",IF(INDEX('Fleet dates'!$G$9:$G$1008,$I229-8)="","",INDEX('Fleet dates'!$G$9:$G$1008,$I229-8)))</x:f>
      </x:c>
      <x:c r="H229" s="50" t="str">
        <x:f>IF(221&gt;$H$4,"",IF(INDEX('Fleet dates'!$I$9:$I$1008,$I229-8)="","",INDEX('Fleet dates'!$I$9:$I$1008,$I229-8)))</x:f>
      </x:c>
      <x:c r="I229" t="str">
        <x:f>IF(221&gt;$H$4,"",MATCH(221,'Fleet dates'!$N$9:$N$1008,0)+8)</x:f>
      </x:c>
    </x:row>
    <x:row r="230" ht="36" customHeight="1">
      <x:c r="A230" s="50" t="str">
        <x:f>IF(222&gt;$H$4,"",IF(INDEX('Fleet dates'!$A$9:$A$1008,$I230-8)="","",INDEX('Fleet dates'!$A$9:$A$1008,$I230-8)))</x:f>
      </x:c>
      <x:c r="B230" s="50" t="str">
        <x:f>IF(222&gt;$H$4,"",IF(INDEX('Fleet dates'!$B$9:$B$1008,$I230-8)="","",INDEX('Fleet dates'!$B$9:$B$1008,$I230-8)))</x:f>
      </x:c>
      <x:c r="C230" s="51" t="str">
        <x:f>IF(222&gt;$H$4,"",IF(INDEX('Fleet dates'!$C$9:$C$1008,$I230-8)="","",INDEX('Fleet dates'!$C$9:$C$1008,$I230-8)))</x:f>
      </x:c>
      <x:c r="D230" s="51" t="str">
        <x:f>IF(222&gt;$H$4,"",IF(INDEX('Fleet dates'!$D$9:$D$1008,$I230-8)="","",INDEX('Fleet dates'!$D$9:$D$1008,$I230-8)))</x:f>
      </x:c>
      <x:c r="E230" s="51" t="str">
        <x:f>IF(222&gt;$H$4,"",IF(INDEX('Fleet dates'!$E$9:$E$1008,$I230-8)="","",INDEX('Fleet dates'!$E$9:$E$1008,$I230-8)))</x:f>
      </x:c>
      <x:c r="F230" s="51" t="str">
        <x:f>IF(222&gt;$H$4,"",IF(INDEX('Fleet dates'!$F$9:$F$1008,$I230-8)="","",INDEX('Fleet dates'!$F$9:$F$1008,$I230-8)))</x:f>
      </x:c>
      <x:c r="G230" s="50" t="str">
        <x:f>IF(222&gt;$H$4,"",IF(INDEX('Fleet dates'!$G$9:$G$1008,$I230-8)="","",INDEX('Fleet dates'!$G$9:$G$1008,$I230-8)))</x:f>
      </x:c>
      <x:c r="H230" s="50" t="str">
        <x:f>IF(222&gt;$H$4,"",IF(INDEX('Fleet dates'!$I$9:$I$1008,$I230-8)="","",INDEX('Fleet dates'!$I$9:$I$1008,$I230-8)))</x:f>
      </x:c>
      <x:c r="I230" t="str">
        <x:f>IF(222&gt;$H$4,"",MATCH(222,'Fleet dates'!$N$9:$N$1008,0)+8)</x:f>
      </x:c>
    </x:row>
    <x:row r="231" ht="36" customHeight="1">
      <x:c r="A231" s="50" t="str">
        <x:f>IF(223&gt;$H$4,"",IF(INDEX('Fleet dates'!$A$9:$A$1008,$I231-8)="","",INDEX('Fleet dates'!$A$9:$A$1008,$I231-8)))</x:f>
      </x:c>
      <x:c r="B231" s="50" t="str">
        <x:f>IF(223&gt;$H$4,"",IF(INDEX('Fleet dates'!$B$9:$B$1008,$I231-8)="","",INDEX('Fleet dates'!$B$9:$B$1008,$I231-8)))</x:f>
      </x:c>
      <x:c r="C231" s="51" t="str">
        <x:f>IF(223&gt;$H$4,"",IF(INDEX('Fleet dates'!$C$9:$C$1008,$I231-8)="","",INDEX('Fleet dates'!$C$9:$C$1008,$I231-8)))</x:f>
      </x:c>
      <x:c r="D231" s="51" t="str">
        <x:f>IF(223&gt;$H$4,"",IF(INDEX('Fleet dates'!$D$9:$D$1008,$I231-8)="","",INDEX('Fleet dates'!$D$9:$D$1008,$I231-8)))</x:f>
      </x:c>
      <x:c r="E231" s="51" t="str">
        <x:f>IF(223&gt;$H$4,"",IF(INDEX('Fleet dates'!$E$9:$E$1008,$I231-8)="","",INDEX('Fleet dates'!$E$9:$E$1008,$I231-8)))</x:f>
      </x:c>
      <x:c r="F231" s="51" t="str">
        <x:f>IF(223&gt;$H$4,"",IF(INDEX('Fleet dates'!$F$9:$F$1008,$I231-8)="","",INDEX('Fleet dates'!$F$9:$F$1008,$I231-8)))</x:f>
      </x:c>
      <x:c r="G231" s="50" t="str">
        <x:f>IF(223&gt;$H$4,"",IF(INDEX('Fleet dates'!$G$9:$G$1008,$I231-8)="","",INDEX('Fleet dates'!$G$9:$G$1008,$I231-8)))</x:f>
      </x:c>
      <x:c r="H231" s="50" t="str">
        <x:f>IF(223&gt;$H$4,"",IF(INDEX('Fleet dates'!$I$9:$I$1008,$I231-8)="","",INDEX('Fleet dates'!$I$9:$I$1008,$I231-8)))</x:f>
      </x:c>
      <x:c r="I231" t="str">
        <x:f>IF(223&gt;$H$4,"",MATCH(223,'Fleet dates'!$N$9:$N$1008,0)+8)</x:f>
      </x:c>
    </x:row>
    <x:row r="232" ht="36" customHeight="1">
      <x:c r="A232" s="50" t="str">
        <x:f>IF(224&gt;$H$4,"",IF(INDEX('Fleet dates'!$A$9:$A$1008,$I232-8)="","",INDEX('Fleet dates'!$A$9:$A$1008,$I232-8)))</x:f>
      </x:c>
      <x:c r="B232" s="50" t="str">
        <x:f>IF(224&gt;$H$4,"",IF(INDEX('Fleet dates'!$B$9:$B$1008,$I232-8)="","",INDEX('Fleet dates'!$B$9:$B$1008,$I232-8)))</x:f>
      </x:c>
      <x:c r="C232" s="51" t="str">
        <x:f>IF(224&gt;$H$4,"",IF(INDEX('Fleet dates'!$C$9:$C$1008,$I232-8)="","",INDEX('Fleet dates'!$C$9:$C$1008,$I232-8)))</x:f>
      </x:c>
      <x:c r="D232" s="51" t="str">
        <x:f>IF(224&gt;$H$4,"",IF(INDEX('Fleet dates'!$D$9:$D$1008,$I232-8)="","",INDEX('Fleet dates'!$D$9:$D$1008,$I232-8)))</x:f>
      </x:c>
      <x:c r="E232" s="51" t="str">
        <x:f>IF(224&gt;$H$4,"",IF(INDEX('Fleet dates'!$E$9:$E$1008,$I232-8)="","",INDEX('Fleet dates'!$E$9:$E$1008,$I232-8)))</x:f>
      </x:c>
      <x:c r="F232" s="51" t="str">
        <x:f>IF(224&gt;$H$4,"",IF(INDEX('Fleet dates'!$F$9:$F$1008,$I232-8)="","",INDEX('Fleet dates'!$F$9:$F$1008,$I232-8)))</x:f>
      </x:c>
      <x:c r="G232" s="50" t="str">
        <x:f>IF(224&gt;$H$4,"",IF(INDEX('Fleet dates'!$G$9:$G$1008,$I232-8)="","",INDEX('Fleet dates'!$G$9:$G$1008,$I232-8)))</x:f>
      </x:c>
      <x:c r="H232" s="50" t="str">
        <x:f>IF(224&gt;$H$4,"",IF(INDEX('Fleet dates'!$I$9:$I$1008,$I232-8)="","",INDEX('Fleet dates'!$I$9:$I$1008,$I232-8)))</x:f>
      </x:c>
      <x:c r="I232" t="str">
        <x:f>IF(224&gt;$H$4,"",MATCH(224,'Fleet dates'!$N$9:$N$1008,0)+8)</x:f>
      </x:c>
    </x:row>
    <x:row r="233" ht="36" customHeight="1">
      <x:c r="A233" s="50" t="str">
        <x:f>IF(225&gt;$H$4,"",IF(INDEX('Fleet dates'!$A$9:$A$1008,$I233-8)="","",INDEX('Fleet dates'!$A$9:$A$1008,$I233-8)))</x:f>
      </x:c>
      <x:c r="B233" s="50" t="str">
        <x:f>IF(225&gt;$H$4,"",IF(INDEX('Fleet dates'!$B$9:$B$1008,$I233-8)="","",INDEX('Fleet dates'!$B$9:$B$1008,$I233-8)))</x:f>
      </x:c>
      <x:c r="C233" s="51" t="str">
        <x:f>IF(225&gt;$H$4,"",IF(INDEX('Fleet dates'!$C$9:$C$1008,$I233-8)="","",INDEX('Fleet dates'!$C$9:$C$1008,$I233-8)))</x:f>
      </x:c>
      <x:c r="D233" s="51" t="str">
        <x:f>IF(225&gt;$H$4,"",IF(INDEX('Fleet dates'!$D$9:$D$1008,$I233-8)="","",INDEX('Fleet dates'!$D$9:$D$1008,$I233-8)))</x:f>
      </x:c>
      <x:c r="E233" s="51" t="str">
        <x:f>IF(225&gt;$H$4,"",IF(INDEX('Fleet dates'!$E$9:$E$1008,$I233-8)="","",INDEX('Fleet dates'!$E$9:$E$1008,$I233-8)))</x:f>
      </x:c>
      <x:c r="F233" s="51" t="str">
        <x:f>IF(225&gt;$H$4,"",IF(INDEX('Fleet dates'!$F$9:$F$1008,$I233-8)="","",INDEX('Fleet dates'!$F$9:$F$1008,$I233-8)))</x:f>
      </x:c>
      <x:c r="G233" s="50" t="str">
        <x:f>IF(225&gt;$H$4,"",IF(INDEX('Fleet dates'!$G$9:$G$1008,$I233-8)="","",INDEX('Fleet dates'!$G$9:$G$1008,$I233-8)))</x:f>
      </x:c>
      <x:c r="H233" s="50" t="str">
        <x:f>IF(225&gt;$H$4,"",IF(INDEX('Fleet dates'!$I$9:$I$1008,$I233-8)="","",INDEX('Fleet dates'!$I$9:$I$1008,$I233-8)))</x:f>
      </x:c>
      <x:c r="I233" t="str">
        <x:f>IF(225&gt;$H$4,"",MATCH(225,'Fleet dates'!$N$9:$N$1008,0)+8)</x:f>
      </x:c>
    </x:row>
    <x:row r="234" ht="36" customHeight="1">
      <x:c r="A234" s="50" t="str">
        <x:f>IF(226&gt;$H$4,"",IF(INDEX('Fleet dates'!$A$9:$A$1008,$I234-8)="","",INDEX('Fleet dates'!$A$9:$A$1008,$I234-8)))</x:f>
      </x:c>
      <x:c r="B234" s="50" t="str">
        <x:f>IF(226&gt;$H$4,"",IF(INDEX('Fleet dates'!$B$9:$B$1008,$I234-8)="","",INDEX('Fleet dates'!$B$9:$B$1008,$I234-8)))</x:f>
      </x:c>
      <x:c r="C234" s="51" t="str">
        <x:f>IF(226&gt;$H$4,"",IF(INDEX('Fleet dates'!$C$9:$C$1008,$I234-8)="","",INDEX('Fleet dates'!$C$9:$C$1008,$I234-8)))</x:f>
      </x:c>
      <x:c r="D234" s="51" t="str">
        <x:f>IF(226&gt;$H$4,"",IF(INDEX('Fleet dates'!$D$9:$D$1008,$I234-8)="","",INDEX('Fleet dates'!$D$9:$D$1008,$I234-8)))</x:f>
      </x:c>
      <x:c r="E234" s="51" t="str">
        <x:f>IF(226&gt;$H$4,"",IF(INDEX('Fleet dates'!$E$9:$E$1008,$I234-8)="","",INDEX('Fleet dates'!$E$9:$E$1008,$I234-8)))</x:f>
      </x:c>
      <x:c r="F234" s="51" t="str">
        <x:f>IF(226&gt;$H$4,"",IF(INDEX('Fleet dates'!$F$9:$F$1008,$I234-8)="","",INDEX('Fleet dates'!$F$9:$F$1008,$I234-8)))</x:f>
      </x:c>
      <x:c r="G234" s="50" t="str">
        <x:f>IF(226&gt;$H$4,"",IF(INDEX('Fleet dates'!$G$9:$G$1008,$I234-8)="","",INDEX('Fleet dates'!$G$9:$G$1008,$I234-8)))</x:f>
      </x:c>
      <x:c r="H234" s="50" t="str">
        <x:f>IF(226&gt;$H$4,"",IF(INDEX('Fleet dates'!$I$9:$I$1008,$I234-8)="","",INDEX('Fleet dates'!$I$9:$I$1008,$I234-8)))</x:f>
      </x:c>
      <x:c r="I234" t="str">
        <x:f>IF(226&gt;$H$4,"",MATCH(226,'Fleet dates'!$N$9:$N$1008,0)+8)</x:f>
      </x:c>
    </x:row>
    <x:row r="235" ht="36" customHeight="1">
      <x:c r="A235" s="50" t="str">
        <x:f>IF(227&gt;$H$4,"",IF(INDEX('Fleet dates'!$A$9:$A$1008,$I235-8)="","",INDEX('Fleet dates'!$A$9:$A$1008,$I235-8)))</x:f>
      </x:c>
      <x:c r="B235" s="50" t="str">
        <x:f>IF(227&gt;$H$4,"",IF(INDEX('Fleet dates'!$B$9:$B$1008,$I235-8)="","",INDEX('Fleet dates'!$B$9:$B$1008,$I235-8)))</x:f>
      </x:c>
      <x:c r="C235" s="51" t="str">
        <x:f>IF(227&gt;$H$4,"",IF(INDEX('Fleet dates'!$C$9:$C$1008,$I235-8)="","",INDEX('Fleet dates'!$C$9:$C$1008,$I235-8)))</x:f>
      </x:c>
      <x:c r="D235" s="51" t="str">
        <x:f>IF(227&gt;$H$4,"",IF(INDEX('Fleet dates'!$D$9:$D$1008,$I235-8)="","",INDEX('Fleet dates'!$D$9:$D$1008,$I235-8)))</x:f>
      </x:c>
      <x:c r="E235" s="51" t="str">
        <x:f>IF(227&gt;$H$4,"",IF(INDEX('Fleet dates'!$E$9:$E$1008,$I235-8)="","",INDEX('Fleet dates'!$E$9:$E$1008,$I235-8)))</x:f>
      </x:c>
      <x:c r="F235" s="51" t="str">
        <x:f>IF(227&gt;$H$4,"",IF(INDEX('Fleet dates'!$F$9:$F$1008,$I235-8)="","",INDEX('Fleet dates'!$F$9:$F$1008,$I235-8)))</x:f>
      </x:c>
      <x:c r="G235" s="50" t="str">
        <x:f>IF(227&gt;$H$4,"",IF(INDEX('Fleet dates'!$G$9:$G$1008,$I235-8)="","",INDEX('Fleet dates'!$G$9:$G$1008,$I235-8)))</x:f>
      </x:c>
      <x:c r="H235" s="50" t="str">
        <x:f>IF(227&gt;$H$4,"",IF(INDEX('Fleet dates'!$I$9:$I$1008,$I235-8)="","",INDEX('Fleet dates'!$I$9:$I$1008,$I235-8)))</x:f>
      </x:c>
      <x:c r="I235" t="str">
        <x:f>IF(227&gt;$H$4,"",MATCH(227,'Fleet dates'!$N$9:$N$1008,0)+8)</x:f>
      </x:c>
    </x:row>
    <x:row r="236" ht="36" customHeight="1">
      <x:c r="A236" s="50" t="str">
        <x:f>IF(228&gt;$H$4,"",IF(INDEX('Fleet dates'!$A$9:$A$1008,$I236-8)="","",INDEX('Fleet dates'!$A$9:$A$1008,$I236-8)))</x:f>
      </x:c>
      <x:c r="B236" s="50" t="str">
        <x:f>IF(228&gt;$H$4,"",IF(INDEX('Fleet dates'!$B$9:$B$1008,$I236-8)="","",INDEX('Fleet dates'!$B$9:$B$1008,$I236-8)))</x:f>
      </x:c>
      <x:c r="C236" s="51" t="str">
        <x:f>IF(228&gt;$H$4,"",IF(INDEX('Fleet dates'!$C$9:$C$1008,$I236-8)="","",INDEX('Fleet dates'!$C$9:$C$1008,$I236-8)))</x:f>
      </x:c>
      <x:c r="D236" s="51" t="str">
        <x:f>IF(228&gt;$H$4,"",IF(INDEX('Fleet dates'!$D$9:$D$1008,$I236-8)="","",INDEX('Fleet dates'!$D$9:$D$1008,$I236-8)))</x:f>
      </x:c>
      <x:c r="E236" s="51" t="str">
        <x:f>IF(228&gt;$H$4,"",IF(INDEX('Fleet dates'!$E$9:$E$1008,$I236-8)="","",INDEX('Fleet dates'!$E$9:$E$1008,$I236-8)))</x:f>
      </x:c>
      <x:c r="F236" s="51" t="str">
        <x:f>IF(228&gt;$H$4,"",IF(INDEX('Fleet dates'!$F$9:$F$1008,$I236-8)="","",INDEX('Fleet dates'!$F$9:$F$1008,$I236-8)))</x:f>
      </x:c>
      <x:c r="G236" s="50" t="str">
        <x:f>IF(228&gt;$H$4,"",IF(INDEX('Fleet dates'!$G$9:$G$1008,$I236-8)="","",INDEX('Fleet dates'!$G$9:$G$1008,$I236-8)))</x:f>
      </x:c>
      <x:c r="H236" s="50" t="str">
        <x:f>IF(228&gt;$H$4,"",IF(INDEX('Fleet dates'!$I$9:$I$1008,$I236-8)="","",INDEX('Fleet dates'!$I$9:$I$1008,$I236-8)))</x:f>
      </x:c>
      <x:c r="I236" t="str">
        <x:f>IF(228&gt;$H$4,"",MATCH(228,'Fleet dates'!$N$9:$N$1008,0)+8)</x:f>
      </x:c>
    </x:row>
    <x:row r="237" ht="36" customHeight="1">
      <x:c r="A237" s="50" t="str">
        <x:f>IF(229&gt;$H$4,"",IF(INDEX('Fleet dates'!$A$9:$A$1008,$I237-8)="","",INDEX('Fleet dates'!$A$9:$A$1008,$I237-8)))</x:f>
      </x:c>
      <x:c r="B237" s="50" t="str">
        <x:f>IF(229&gt;$H$4,"",IF(INDEX('Fleet dates'!$B$9:$B$1008,$I237-8)="","",INDEX('Fleet dates'!$B$9:$B$1008,$I237-8)))</x:f>
      </x:c>
      <x:c r="C237" s="51" t="str">
        <x:f>IF(229&gt;$H$4,"",IF(INDEX('Fleet dates'!$C$9:$C$1008,$I237-8)="","",INDEX('Fleet dates'!$C$9:$C$1008,$I237-8)))</x:f>
      </x:c>
      <x:c r="D237" s="51" t="str">
        <x:f>IF(229&gt;$H$4,"",IF(INDEX('Fleet dates'!$D$9:$D$1008,$I237-8)="","",INDEX('Fleet dates'!$D$9:$D$1008,$I237-8)))</x:f>
      </x:c>
      <x:c r="E237" s="51" t="str">
        <x:f>IF(229&gt;$H$4,"",IF(INDEX('Fleet dates'!$E$9:$E$1008,$I237-8)="","",INDEX('Fleet dates'!$E$9:$E$1008,$I237-8)))</x:f>
      </x:c>
      <x:c r="F237" s="51" t="str">
        <x:f>IF(229&gt;$H$4,"",IF(INDEX('Fleet dates'!$F$9:$F$1008,$I237-8)="","",INDEX('Fleet dates'!$F$9:$F$1008,$I237-8)))</x:f>
      </x:c>
      <x:c r="G237" s="50" t="str">
        <x:f>IF(229&gt;$H$4,"",IF(INDEX('Fleet dates'!$G$9:$G$1008,$I237-8)="","",INDEX('Fleet dates'!$G$9:$G$1008,$I237-8)))</x:f>
      </x:c>
      <x:c r="H237" s="50" t="str">
        <x:f>IF(229&gt;$H$4,"",IF(INDEX('Fleet dates'!$I$9:$I$1008,$I237-8)="","",INDEX('Fleet dates'!$I$9:$I$1008,$I237-8)))</x:f>
      </x:c>
      <x:c r="I237" t="str">
        <x:f>IF(229&gt;$H$4,"",MATCH(229,'Fleet dates'!$N$9:$N$1008,0)+8)</x:f>
      </x:c>
    </x:row>
    <x:row r="238" ht="36" customHeight="1">
      <x:c r="A238" s="50" t="str">
        <x:f>IF(230&gt;$H$4,"",IF(INDEX('Fleet dates'!$A$9:$A$1008,$I238-8)="","",INDEX('Fleet dates'!$A$9:$A$1008,$I238-8)))</x:f>
      </x:c>
      <x:c r="B238" s="50" t="str">
        <x:f>IF(230&gt;$H$4,"",IF(INDEX('Fleet dates'!$B$9:$B$1008,$I238-8)="","",INDEX('Fleet dates'!$B$9:$B$1008,$I238-8)))</x:f>
      </x:c>
      <x:c r="C238" s="51" t="str">
        <x:f>IF(230&gt;$H$4,"",IF(INDEX('Fleet dates'!$C$9:$C$1008,$I238-8)="","",INDEX('Fleet dates'!$C$9:$C$1008,$I238-8)))</x:f>
      </x:c>
      <x:c r="D238" s="51" t="str">
        <x:f>IF(230&gt;$H$4,"",IF(INDEX('Fleet dates'!$D$9:$D$1008,$I238-8)="","",INDEX('Fleet dates'!$D$9:$D$1008,$I238-8)))</x:f>
      </x:c>
      <x:c r="E238" s="51" t="str">
        <x:f>IF(230&gt;$H$4,"",IF(INDEX('Fleet dates'!$E$9:$E$1008,$I238-8)="","",INDEX('Fleet dates'!$E$9:$E$1008,$I238-8)))</x:f>
      </x:c>
      <x:c r="F238" s="51" t="str">
        <x:f>IF(230&gt;$H$4,"",IF(INDEX('Fleet dates'!$F$9:$F$1008,$I238-8)="","",INDEX('Fleet dates'!$F$9:$F$1008,$I238-8)))</x:f>
      </x:c>
      <x:c r="G238" s="50" t="str">
        <x:f>IF(230&gt;$H$4,"",IF(INDEX('Fleet dates'!$G$9:$G$1008,$I238-8)="","",INDEX('Fleet dates'!$G$9:$G$1008,$I238-8)))</x:f>
      </x:c>
      <x:c r="H238" s="50" t="str">
        <x:f>IF(230&gt;$H$4,"",IF(INDEX('Fleet dates'!$I$9:$I$1008,$I238-8)="","",INDEX('Fleet dates'!$I$9:$I$1008,$I238-8)))</x:f>
      </x:c>
      <x:c r="I238" t="str">
        <x:f>IF(230&gt;$H$4,"",MATCH(230,'Fleet dates'!$N$9:$N$1008,0)+8)</x:f>
      </x:c>
    </x:row>
    <x:row r="239" ht="36" customHeight="1">
      <x:c r="A239" s="50" t="str">
        <x:f>IF(231&gt;$H$4,"",IF(INDEX('Fleet dates'!$A$9:$A$1008,$I239-8)="","",INDEX('Fleet dates'!$A$9:$A$1008,$I239-8)))</x:f>
      </x:c>
      <x:c r="B239" s="50" t="str">
        <x:f>IF(231&gt;$H$4,"",IF(INDEX('Fleet dates'!$B$9:$B$1008,$I239-8)="","",INDEX('Fleet dates'!$B$9:$B$1008,$I239-8)))</x:f>
      </x:c>
      <x:c r="C239" s="51" t="str">
        <x:f>IF(231&gt;$H$4,"",IF(INDEX('Fleet dates'!$C$9:$C$1008,$I239-8)="","",INDEX('Fleet dates'!$C$9:$C$1008,$I239-8)))</x:f>
      </x:c>
      <x:c r="D239" s="51" t="str">
        <x:f>IF(231&gt;$H$4,"",IF(INDEX('Fleet dates'!$D$9:$D$1008,$I239-8)="","",INDEX('Fleet dates'!$D$9:$D$1008,$I239-8)))</x:f>
      </x:c>
      <x:c r="E239" s="51" t="str">
        <x:f>IF(231&gt;$H$4,"",IF(INDEX('Fleet dates'!$E$9:$E$1008,$I239-8)="","",INDEX('Fleet dates'!$E$9:$E$1008,$I239-8)))</x:f>
      </x:c>
      <x:c r="F239" s="51" t="str">
        <x:f>IF(231&gt;$H$4,"",IF(INDEX('Fleet dates'!$F$9:$F$1008,$I239-8)="","",INDEX('Fleet dates'!$F$9:$F$1008,$I239-8)))</x:f>
      </x:c>
      <x:c r="G239" s="50" t="str">
        <x:f>IF(231&gt;$H$4,"",IF(INDEX('Fleet dates'!$G$9:$G$1008,$I239-8)="","",INDEX('Fleet dates'!$G$9:$G$1008,$I239-8)))</x:f>
      </x:c>
      <x:c r="H239" s="50" t="str">
        <x:f>IF(231&gt;$H$4,"",IF(INDEX('Fleet dates'!$I$9:$I$1008,$I239-8)="","",INDEX('Fleet dates'!$I$9:$I$1008,$I239-8)))</x:f>
      </x:c>
      <x:c r="I239" t="str">
        <x:f>IF(231&gt;$H$4,"",MATCH(231,'Fleet dates'!$N$9:$N$1008,0)+8)</x:f>
      </x:c>
    </x:row>
    <x:row r="240" ht="36" customHeight="1">
      <x:c r="A240" s="50" t="str">
        <x:f>IF(232&gt;$H$4,"",IF(INDEX('Fleet dates'!$A$9:$A$1008,$I240-8)="","",INDEX('Fleet dates'!$A$9:$A$1008,$I240-8)))</x:f>
      </x:c>
      <x:c r="B240" s="50" t="str">
        <x:f>IF(232&gt;$H$4,"",IF(INDEX('Fleet dates'!$B$9:$B$1008,$I240-8)="","",INDEX('Fleet dates'!$B$9:$B$1008,$I240-8)))</x:f>
      </x:c>
      <x:c r="C240" s="51" t="str">
        <x:f>IF(232&gt;$H$4,"",IF(INDEX('Fleet dates'!$C$9:$C$1008,$I240-8)="","",INDEX('Fleet dates'!$C$9:$C$1008,$I240-8)))</x:f>
      </x:c>
      <x:c r="D240" s="51" t="str">
        <x:f>IF(232&gt;$H$4,"",IF(INDEX('Fleet dates'!$D$9:$D$1008,$I240-8)="","",INDEX('Fleet dates'!$D$9:$D$1008,$I240-8)))</x:f>
      </x:c>
      <x:c r="E240" s="51" t="str">
        <x:f>IF(232&gt;$H$4,"",IF(INDEX('Fleet dates'!$E$9:$E$1008,$I240-8)="","",INDEX('Fleet dates'!$E$9:$E$1008,$I240-8)))</x:f>
      </x:c>
      <x:c r="F240" s="51" t="str">
        <x:f>IF(232&gt;$H$4,"",IF(INDEX('Fleet dates'!$F$9:$F$1008,$I240-8)="","",INDEX('Fleet dates'!$F$9:$F$1008,$I240-8)))</x:f>
      </x:c>
      <x:c r="G240" s="50" t="str">
        <x:f>IF(232&gt;$H$4,"",IF(INDEX('Fleet dates'!$G$9:$G$1008,$I240-8)="","",INDEX('Fleet dates'!$G$9:$G$1008,$I240-8)))</x:f>
      </x:c>
      <x:c r="H240" s="50" t="str">
        <x:f>IF(232&gt;$H$4,"",IF(INDEX('Fleet dates'!$I$9:$I$1008,$I240-8)="","",INDEX('Fleet dates'!$I$9:$I$1008,$I240-8)))</x:f>
      </x:c>
      <x:c r="I240" t="str">
        <x:f>IF(232&gt;$H$4,"",MATCH(232,'Fleet dates'!$N$9:$N$1008,0)+8)</x:f>
      </x:c>
    </x:row>
    <x:row r="241" ht="36" customHeight="1">
      <x:c r="A241" s="50" t="str">
        <x:f>IF(233&gt;$H$4,"",IF(INDEX('Fleet dates'!$A$9:$A$1008,$I241-8)="","",INDEX('Fleet dates'!$A$9:$A$1008,$I241-8)))</x:f>
      </x:c>
      <x:c r="B241" s="50" t="str">
        <x:f>IF(233&gt;$H$4,"",IF(INDEX('Fleet dates'!$B$9:$B$1008,$I241-8)="","",INDEX('Fleet dates'!$B$9:$B$1008,$I241-8)))</x:f>
      </x:c>
      <x:c r="C241" s="51" t="str">
        <x:f>IF(233&gt;$H$4,"",IF(INDEX('Fleet dates'!$C$9:$C$1008,$I241-8)="","",INDEX('Fleet dates'!$C$9:$C$1008,$I241-8)))</x:f>
      </x:c>
      <x:c r="D241" s="51" t="str">
        <x:f>IF(233&gt;$H$4,"",IF(INDEX('Fleet dates'!$D$9:$D$1008,$I241-8)="","",INDEX('Fleet dates'!$D$9:$D$1008,$I241-8)))</x:f>
      </x:c>
      <x:c r="E241" s="51" t="str">
        <x:f>IF(233&gt;$H$4,"",IF(INDEX('Fleet dates'!$E$9:$E$1008,$I241-8)="","",INDEX('Fleet dates'!$E$9:$E$1008,$I241-8)))</x:f>
      </x:c>
      <x:c r="F241" s="51" t="str">
        <x:f>IF(233&gt;$H$4,"",IF(INDEX('Fleet dates'!$F$9:$F$1008,$I241-8)="","",INDEX('Fleet dates'!$F$9:$F$1008,$I241-8)))</x:f>
      </x:c>
      <x:c r="G241" s="50" t="str">
        <x:f>IF(233&gt;$H$4,"",IF(INDEX('Fleet dates'!$G$9:$G$1008,$I241-8)="","",INDEX('Fleet dates'!$G$9:$G$1008,$I241-8)))</x:f>
      </x:c>
      <x:c r="H241" s="50" t="str">
        <x:f>IF(233&gt;$H$4,"",IF(INDEX('Fleet dates'!$I$9:$I$1008,$I241-8)="","",INDEX('Fleet dates'!$I$9:$I$1008,$I241-8)))</x:f>
      </x:c>
      <x:c r="I241" t="str">
        <x:f>IF(233&gt;$H$4,"",MATCH(233,'Fleet dates'!$N$9:$N$1008,0)+8)</x:f>
      </x:c>
    </x:row>
    <x:row r="242" ht="36" customHeight="1">
      <x:c r="A242" s="50" t="str">
        <x:f>IF(234&gt;$H$4,"",IF(INDEX('Fleet dates'!$A$9:$A$1008,$I242-8)="","",INDEX('Fleet dates'!$A$9:$A$1008,$I242-8)))</x:f>
      </x:c>
      <x:c r="B242" s="50" t="str">
        <x:f>IF(234&gt;$H$4,"",IF(INDEX('Fleet dates'!$B$9:$B$1008,$I242-8)="","",INDEX('Fleet dates'!$B$9:$B$1008,$I242-8)))</x:f>
      </x:c>
      <x:c r="C242" s="51" t="str">
        <x:f>IF(234&gt;$H$4,"",IF(INDEX('Fleet dates'!$C$9:$C$1008,$I242-8)="","",INDEX('Fleet dates'!$C$9:$C$1008,$I242-8)))</x:f>
      </x:c>
      <x:c r="D242" s="51" t="str">
        <x:f>IF(234&gt;$H$4,"",IF(INDEX('Fleet dates'!$D$9:$D$1008,$I242-8)="","",INDEX('Fleet dates'!$D$9:$D$1008,$I242-8)))</x:f>
      </x:c>
      <x:c r="E242" s="51" t="str">
        <x:f>IF(234&gt;$H$4,"",IF(INDEX('Fleet dates'!$E$9:$E$1008,$I242-8)="","",INDEX('Fleet dates'!$E$9:$E$1008,$I242-8)))</x:f>
      </x:c>
      <x:c r="F242" s="51" t="str">
        <x:f>IF(234&gt;$H$4,"",IF(INDEX('Fleet dates'!$F$9:$F$1008,$I242-8)="","",INDEX('Fleet dates'!$F$9:$F$1008,$I242-8)))</x:f>
      </x:c>
      <x:c r="G242" s="50" t="str">
        <x:f>IF(234&gt;$H$4,"",IF(INDEX('Fleet dates'!$G$9:$G$1008,$I242-8)="","",INDEX('Fleet dates'!$G$9:$G$1008,$I242-8)))</x:f>
      </x:c>
      <x:c r="H242" s="50" t="str">
        <x:f>IF(234&gt;$H$4,"",IF(INDEX('Fleet dates'!$I$9:$I$1008,$I242-8)="","",INDEX('Fleet dates'!$I$9:$I$1008,$I242-8)))</x:f>
      </x:c>
      <x:c r="I242" t="str">
        <x:f>IF(234&gt;$H$4,"",MATCH(234,'Fleet dates'!$N$9:$N$1008,0)+8)</x:f>
      </x:c>
    </x:row>
    <x:row r="243" ht="36" customHeight="1">
      <x:c r="A243" s="50" t="str">
        <x:f>IF(235&gt;$H$4,"",IF(INDEX('Fleet dates'!$A$9:$A$1008,$I243-8)="","",INDEX('Fleet dates'!$A$9:$A$1008,$I243-8)))</x:f>
      </x:c>
      <x:c r="B243" s="50" t="str">
        <x:f>IF(235&gt;$H$4,"",IF(INDEX('Fleet dates'!$B$9:$B$1008,$I243-8)="","",INDEX('Fleet dates'!$B$9:$B$1008,$I243-8)))</x:f>
      </x:c>
      <x:c r="C243" s="51" t="str">
        <x:f>IF(235&gt;$H$4,"",IF(INDEX('Fleet dates'!$C$9:$C$1008,$I243-8)="","",INDEX('Fleet dates'!$C$9:$C$1008,$I243-8)))</x:f>
      </x:c>
      <x:c r="D243" s="51" t="str">
        <x:f>IF(235&gt;$H$4,"",IF(INDEX('Fleet dates'!$D$9:$D$1008,$I243-8)="","",INDEX('Fleet dates'!$D$9:$D$1008,$I243-8)))</x:f>
      </x:c>
      <x:c r="E243" s="51" t="str">
        <x:f>IF(235&gt;$H$4,"",IF(INDEX('Fleet dates'!$E$9:$E$1008,$I243-8)="","",INDEX('Fleet dates'!$E$9:$E$1008,$I243-8)))</x:f>
      </x:c>
      <x:c r="F243" s="51" t="str">
        <x:f>IF(235&gt;$H$4,"",IF(INDEX('Fleet dates'!$F$9:$F$1008,$I243-8)="","",INDEX('Fleet dates'!$F$9:$F$1008,$I243-8)))</x:f>
      </x:c>
      <x:c r="G243" s="50" t="str">
        <x:f>IF(235&gt;$H$4,"",IF(INDEX('Fleet dates'!$G$9:$G$1008,$I243-8)="","",INDEX('Fleet dates'!$G$9:$G$1008,$I243-8)))</x:f>
      </x:c>
      <x:c r="H243" s="50" t="str">
        <x:f>IF(235&gt;$H$4,"",IF(INDEX('Fleet dates'!$I$9:$I$1008,$I243-8)="","",INDEX('Fleet dates'!$I$9:$I$1008,$I243-8)))</x:f>
      </x:c>
      <x:c r="I243" t="str">
        <x:f>IF(235&gt;$H$4,"",MATCH(235,'Fleet dates'!$N$9:$N$1008,0)+8)</x:f>
      </x:c>
    </x:row>
    <x:row r="244" ht="36" customHeight="1">
      <x:c r="A244" s="50" t="str">
        <x:f>IF(236&gt;$H$4,"",IF(INDEX('Fleet dates'!$A$9:$A$1008,$I244-8)="","",INDEX('Fleet dates'!$A$9:$A$1008,$I244-8)))</x:f>
      </x:c>
      <x:c r="B244" s="50" t="str">
        <x:f>IF(236&gt;$H$4,"",IF(INDEX('Fleet dates'!$B$9:$B$1008,$I244-8)="","",INDEX('Fleet dates'!$B$9:$B$1008,$I244-8)))</x:f>
      </x:c>
      <x:c r="C244" s="51" t="str">
        <x:f>IF(236&gt;$H$4,"",IF(INDEX('Fleet dates'!$C$9:$C$1008,$I244-8)="","",INDEX('Fleet dates'!$C$9:$C$1008,$I244-8)))</x:f>
      </x:c>
      <x:c r="D244" s="51" t="str">
        <x:f>IF(236&gt;$H$4,"",IF(INDEX('Fleet dates'!$D$9:$D$1008,$I244-8)="","",INDEX('Fleet dates'!$D$9:$D$1008,$I244-8)))</x:f>
      </x:c>
      <x:c r="E244" s="51" t="str">
        <x:f>IF(236&gt;$H$4,"",IF(INDEX('Fleet dates'!$E$9:$E$1008,$I244-8)="","",INDEX('Fleet dates'!$E$9:$E$1008,$I244-8)))</x:f>
      </x:c>
      <x:c r="F244" s="51" t="str">
        <x:f>IF(236&gt;$H$4,"",IF(INDEX('Fleet dates'!$F$9:$F$1008,$I244-8)="","",INDEX('Fleet dates'!$F$9:$F$1008,$I244-8)))</x:f>
      </x:c>
      <x:c r="G244" s="50" t="str">
        <x:f>IF(236&gt;$H$4,"",IF(INDEX('Fleet dates'!$G$9:$G$1008,$I244-8)="","",INDEX('Fleet dates'!$G$9:$G$1008,$I244-8)))</x:f>
      </x:c>
      <x:c r="H244" s="50" t="str">
        <x:f>IF(236&gt;$H$4,"",IF(INDEX('Fleet dates'!$I$9:$I$1008,$I244-8)="","",INDEX('Fleet dates'!$I$9:$I$1008,$I244-8)))</x:f>
      </x:c>
      <x:c r="I244" t="str">
        <x:f>IF(236&gt;$H$4,"",MATCH(236,'Fleet dates'!$N$9:$N$1008,0)+8)</x:f>
      </x:c>
    </x:row>
    <x:row r="245" ht="36" customHeight="1">
      <x:c r="A245" s="50" t="str">
        <x:f>IF(237&gt;$H$4,"",IF(INDEX('Fleet dates'!$A$9:$A$1008,$I245-8)="","",INDEX('Fleet dates'!$A$9:$A$1008,$I245-8)))</x:f>
      </x:c>
      <x:c r="B245" s="50" t="str">
        <x:f>IF(237&gt;$H$4,"",IF(INDEX('Fleet dates'!$B$9:$B$1008,$I245-8)="","",INDEX('Fleet dates'!$B$9:$B$1008,$I245-8)))</x:f>
      </x:c>
      <x:c r="C245" s="51" t="str">
        <x:f>IF(237&gt;$H$4,"",IF(INDEX('Fleet dates'!$C$9:$C$1008,$I245-8)="","",INDEX('Fleet dates'!$C$9:$C$1008,$I245-8)))</x:f>
      </x:c>
      <x:c r="D245" s="51" t="str">
        <x:f>IF(237&gt;$H$4,"",IF(INDEX('Fleet dates'!$D$9:$D$1008,$I245-8)="","",INDEX('Fleet dates'!$D$9:$D$1008,$I245-8)))</x:f>
      </x:c>
      <x:c r="E245" s="51" t="str">
        <x:f>IF(237&gt;$H$4,"",IF(INDEX('Fleet dates'!$E$9:$E$1008,$I245-8)="","",INDEX('Fleet dates'!$E$9:$E$1008,$I245-8)))</x:f>
      </x:c>
      <x:c r="F245" s="51" t="str">
        <x:f>IF(237&gt;$H$4,"",IF(INDEX('Fleet dates'!$F$9:$F$1008,$I245-8)="","",INDEX('Fleet dates'!$F$9:$F$1008,$I245-8)))</x:f>
      </x:c>
      <x:c r="G245" s="50" t="str">
        <x:f>IF(237&gt;$H$4,"",IF(INDEX('Fleet dates'!$G$9:$G$1008,$I245-8)="","",INDEX('Fleet dates'!$G$9:$G$1008,$I245-8)))</x:f>
      </x:c>
      <x:c r="H245" s="50" t="str">
        <x:f>IF(237&gt;$H$4,"",IF(INDEX('Fleet dates'!$I$9:$I$1008,$I245-8)="","",INDEX('Fleet dates'!$I$9:$I$1008,$I245-8)))</x:f>
      </x:c>
      <x:c r="I245" t="str">
        <x:f>IF(237&gt;$H$4,"",MATCH(237,'Fleet dates'!$N$9:$N$1008,0)+8)</x:f>
      </x:c>
    </x:row>
    <x:row r="246" ht="36" customHeight="1">
      <x:c r="A246" s="50" t="str">
        <x:f>IF(238&gt;$H$4,"",IF(INDEX('Fleet dates'!$A$9:$A$1008,$I246-8)="","",INDEX('Fleet dates'!$A$9:$A$1008,$I246-8)))</x:f>
      </x:c>
      <x:c r="B246" s="50" t="str">
        <x:f>IF(238&gt;$H$4,"",IF(INDEX('Fleet dates'!$B$9:$B$1008,$I246-8)="","",INDEX('Fleet dates'!$B$9:$B$1008,$I246-8)))</x:f>
      </x:c>
      <x:c r="C246" s="51" t="str">
        <x:f>IF(238&gt;$H$4,"",IF(INDEX('Fleet dates'!$C$9:$C$1008,$I246-8)="","",INDEX('Fleet dates'!$C$9:$C$1008,$I246-8)))</x:f>
      </x:c>
      <x:c r="D246" s="51" t="str">
        <x:f>IF(238&gt;$H$4,"",IF(INDEX('Fleet dates'!$D$9:$D$1008,$I246-8)="","",INDEX('Fleet dates'!$D$9:$D$1008,$I246-8)))</x:f>
      </x:c>
      <x:c r="E246" s="51" t="str">
        <x:f>IF(238&gt;$H$4,"",IF(INDEX('Fleet dates'!$E$9:$E$1008,$I246-8)="","",INDEX('Fleet dates'!$E$9:$E$1008,$I246-8)))</x:f>
      </x:c>
      <x:c r="F246" s="51" t="str">
        <x:f>IF(238&gt;$H$4,"",IF(INDEX('Fleet dates'!$F$9:$F$1008,$I246-8)="","",INDEX('Fleet dates'!$F$9:$F$1008,$I246-8)))</x:f>
      </x:c>
      <x:c r="G246" s="50" t="str">
        <x:f>IF(238&gt;$H$4,"",IF(INDEX('Fleet dates'!$G$9:$G$1008,$I246-8)="","",INDEX('Fleet dates'!$G$9:$G$1008,$I246-8)))</x:f>
      </x:c>
      <x:c r="H246" s="50" t="str">
        <x:f>IF(238&gt;$H$4,"",IF(INDEX('Fleet dates'!$I$9:$I$1008,$I246-8)="","",INDEX('Fleet dates'!$I$9:$I$1008,$I246-8)))</x:f>
      </x:c>
      <x:c r="I246" t="str">
        <x:f>IF(238&gt;$H$4,"",MATCH(238,'Fleet dates'!$N$9:$N$1008,0)+8)</x:f>
      </x:c>
    </x:row>
    <x:row r="247" ht="36" customHeight="1">
      <x:c r="A247" s="50" t="str">
        <x:f>IF(239&gt;$H$4,"",IF(INDEX('Fleet dates'!$A$9:$A$1008,$I247-8)="","",INDEX('Fleet dates'!$A$9:$A$1008,$I247-8)))</x:f>
      </x:c>
      <x:c r="B247" s="50" t="str">
        <x:f>IF(239&gt;$H$4,"",IF(INDEX('Fleet dates'!$B$9:$B$1008,$I247-8)="","",INDEX('Fleet dates'!$B$9:$B$1008,$I247-8)))</x:f>
      </x:c>
      <x:c r="C247" s="51" t="str">
        <x:f>IF(239&gt;$H$4,"",IF(INDEX('Fleet dates'!$C$9:$C$1008,$I247-8)="","",INDEX('Fleet dates'!$C$9:$C$1008,$I247-8)))</x:f>
      </x:c>
      <x:c r="D247" s="51" t="str">
        <x:f>IF(239&gt;$H$4,"",IF(INDEX('Fleet dates'!$D$9:$D$1008,$I247-8)="","",INDEX('Fleet dates'!$D$9:$D$1008,$I247-8)))</x:f>
      </x:c>
      <x:c r="E247" s="51" t="str">
        <x:f>IF(239&gt;$H$4,"",IF(INDEX('Fleet dates'!$E$9:$E$1008,$I247-8)="","",INDEX('Fleet dates'!$E$9:$E$1008,$I247-8)))</x:f>
      </x:c>
      <x:c r="F247" s="51" t="str">
        <x:f>IF(239&gt;$H$4,"",IF(INDEX('Fleet dates'!$F$9:$F$1008,$I247-8)="","",INDEX('Fleet dates'!$F$9:$F$1008,$I247-8)))</x:f>
      </x:c>
      <x:c r="G247" s="50" t="str">
        <x:f>IF(239&gt;$H$4,"",IF(INDEX('Fleet dates'!$G$9:$G$1008,$I247-8)="","",INDEX('Fleet dates'!$G$9:$G$1008,$I247-8)))</x:f>
      </x:c>
      <x:c r="H247" s="50" t="str">
        <x:f>IF(239&gt;$H$4,"",IF(INDEX('Fleet dates'!$I$9:$I$1008,$I247-8)="","",INDEX('Fleet dates'!$I$9:$I$1008,$I247-8)))</x:f>
      </x:c>
      <x:c r="I247" t="str">
        <x:f>IF(239&gt;$H$4,"",MATCH(239,'Fleet dates'!$N$9:$N$1008,0)+8)</x:f>
      </x:c>
    </x:row>
    <x:row r="248" ht="36" customHeight="1">
      <x:c r="A248" s="50" t="str">
        <x:f>IF(240&gt;$H$4,"",IF(INDEX('Fleet dates'!$A$9:$A$1008,$I248-8)="","",INDEX('Fleet dates'!$A$9:$A$1008,$I248-8)))</x:f>
      </x:c>
      <x:c r="B248" s="50" t="str">
        <x:f>IF(240&gt;$H$4,"",IF(INDEX('Fleet dates'!$B$9:$B$1008,$I248-8)="","",INDEX('Fleet dates'!$B$9:$B$1008,$I248-8)))</x:f>
      </x:c>
      <x:c r="C248" s="51" t="str">
        <x:f>IF(240&gt;$H$4,"",IF(INDEX('Fleet dates'!$C$9:$C$1008,$I248-8)="","",INDEX('Fleet dates'!$C$9:$C$1008,$I248-8)))</x:f>
      </x:c>
      <x:c r="D248" s="51" t="str">
        <x:f>IF(240&gt;$H$4,"",IF(INDEX('Fleet dates'!$D$9:$D$1008,$I248-8)="","",INDEX('Fleet dates'!$D$9:$D$1008,$I248-8)))</x:f>
      </x:c>
      <x:c r="E248" s="51" t="str">
        <x:f>IF(240&gt;$H$4,"",IF(INDEX('Fleet dates'!$E$9:$E$1008,$I248-8)="","",INDEX('Fleet dates'!$E$9:$E$1008,$I248-8)))</x:f>
      </x:c>
      <x:c r="F248" s="51" t="str">
        <x:f>IF(240&gt;$H$4,"",IF(INDEX('Fleet dates'!$F$9:$F$1008,$I248-8)="","",INDEX('Fleet dates'!$F$9:$F$1008,$I248-8)))</x:f>
      </x:c>
      <x:c r="G248" s="50" t="str">
        <x:f>IF(240&gt;$H$4,"",IF(INDEX('Fleet dates'!$G$9:$G$1008,$I248-8)="","",INDEX('Fleet dates'!$G$9:$G$1008,$I248-8)))</x:f>
      </x:c>
      <x:c r="H248" s="50" t="str">
        <x:f>IF(240&gt;$H$4,"",IF(INDEX('Fleet dates'!$I$9:$I$1008,$I248-8)="","",INDEX('Fleet dates'!$I$9:$I$1008,$I248-8)))</x:f>
      </x:c>
      <x:c r="I248" t="str">
        <x:f>IF(240&gt;$H$4,"",MATCH(240,'Fleet dates'!$N$9:$N$1008,0)+8)</x:f>
      </x:c>
    </x:row>
    <x:row r="249" ht="36" customHeight="1">
      <x:c r="A249" s="50" t="str">
        <x:f>IF(241&gt;$H$4,"",IF(INDEX('Fleet dates'!$A$9:$A$1008,$I249-8)="","",INDEX('Fleet dates'!$A$9:$A$1008,$I249-8)))</x:f>
      </x:c>
      <x:c r="B249" s="50" t="str">
        <x:f>IF(241&gt;$H$4,"",IF(INDEX('Fleet dates'!$B$9:$B$1008,$I249-8)="","",INDEX('Fleet dates'!$B$9:$B$1008,$I249-8)))</x:f>
      </x:c>
      <x:c r="C249" s="51" t="str">
        <x:f>IF(241&gt;$H$4,"",IF(INDEX('Fleet dates'!$C$9:$C$1008,$I249-8)="","",INDEX('Fleet dates'!$C$9:$C$1008,$I249-8)))</x:f>
      </x:c>
      <x:c r="D249" s="51" t="str">
        <x:f>IF(241&gt;$H$4,"",IF(INDEX('Fleet dates'!$D$9:$D$1008,$I249-8)="","",INDEX('Fleet dates'!$D$9:$D$1008,$I249-8)))</x:f>
      </x:c>
      <x:c r="E249" s="51" t="str">
        <x:f>IF(241&gt;$H$4,"",IF(INDEX('Fleet dates'!$E$9:$E$1008,$I249-8)="","",INDEX('Fleet dates'!$E$9:$E$1008,$I249-8)))</x:f>
      </x:c>
      <x:c r="F249" s="51" t="str">
        <x:f>IF(241&gt;$H$4,"",IF(INDEX('Fleet dates'!$F$9:$F$1008,$I249-8)="","",INDEX('Fleet dates'!$F$9:$F$1008,$I249-8)))</x:f>
      </x:c>
      <x:c r="G249" s="50" t="str">
        <x:f>IF(241&gt;$H$4,"",IF(INDEX('Fleet dates'!$G$9:$G$1008,$I249-8)="","",INDEX('Fleet dates'!$G$9:$G$1008,$I249-8)))</x:f>
      </x:c>
      <x:c r="H249" s="50" t="str">
        <x:f>IF(241&gt;$H$4,"",IF(INDEX('Fleet dates'!$I$9:$I$1008,$I249-8)="","",INDEX('Fleet dates'!$I$9:$I$1008,$I249-8)))</x:f>
      </x:c>
      <x:c r="I249" t="str">
        <x:f>IF(241&gt;$H$4,"",MATCH(241,'Fleet dates'!$N$9:$N$1008,0)+8)</x:f>
      </x:c>
    </x:row>
    <x:row r="250" ht="36" customHeight="1">
      <x:c r="A250" s="50" t="str">
        <x:f>IF(242&gt;$H$4,"",IF(INDEX('Fleet dates'!$A$9:$A$1008,$I250-8)="","",INDEX('Fleet dates'!$A$9:$A$1008,$I250-8)))</x:f>
      </x:c>
      <x:c r="B250" s="50" t="str">
        <x:f>IF(242&gt;$H$4,"",IF(INDEX('Fleet dates'!$B$9:$B$1008,$I250-8)="","",INDEX('Fleet dates'!$B$9:$B$1008,$I250-8)))</x:f>
      </x:c>
      <x:c r="C250" s="51" t="str">
        <x:f>IF(242&gt;$H$4,"",IF(INDEX('Fleet dates'!$C$9:$C$1008,$I250-8)="","",INDEX('Fleet dates'!$C$9:$C$1008,$I250-8)))</x:f>
      </x:c>
      <x:c r="D250" s="51" t="str">
        <x:f>IF(242&gt;$H$4,"",IF(INDEX('Fleet dates'!$D$9:$D$1008,$I250-8)="","",INDEX('Fleet dates'!$D$9:$D$1008,$I250-8)))</x:f>
      </x:c>
      <x:c r="E250" s="51" t="str">
        <x:f>IF(242&gt;$H$4,"",IF(INDEX('Fleet dates'!$E$9:$E$1008,$I250-8)="","",INDEX('Fleet dates'!$E$9:$E$1008,$I250-8)))</x:f>
      </x:c>
      <x:c r="F250" s="51" t="str">
        <x:f>IF(242&gt;$H$4,"",IF(INDEX('Fleet dates'!$F$9:$F$1008,$I250-8)="","",INDEX('Fleet dates'!$F$9:$F$1008,$I250-8)))</x:f>
      </x:c>
      <x:c r="G250" s="50" t="str">
        <x:f>IF(242&gt;$H$4,"",IF(INDEX('Fleet dates'!$G$9:$G$1008,$I250-8)="","",INDEX('Fleet dates'!$G$9:$G$1008,$I250-8)))</x:f>
      </x:c>
      <x:c r="H250" s="50" t="str">
        <x:f>IF(242&gt;$H$4,"",IF(INDEX('Fleet dates'!$I$9:$I$1008,$I250-8)="","",INDEX('Fleet dates'!$I$9:$I$1008,$I250-8)))</x:f>
      </x:c>
      <x:c r="I250" t="str">
        <x:f>IF(242&gt;$H$4,"",MATCH(242,'Fleet dates'!$N$9:$N$1008,0)+8)</x:f>
      </x:c>
    </x:row>
    <x:row r="251" ht="36" customHeight="1">
      <x:c r="A251" s="50" t="str">
        <x:f>IF(243&gt;$H$4,"",IF(INDEX('Fleet dates'!$A$9:$A$1008,$I251-8)="","",INDEX('Fleet dates'!$A$9:$A$1008,$I251-8)))</x:f>
      </x:c>
      <x:c r="B251" s="50" t="str">
        <x:f>IF(243&gt;$H$4,"",IF(INDEX('Fleet dates'!$B$9:$B$1008,$I251-8)="","",INDEX('Fleet dates'!$B$9:$B$1008,$I251-8)))</x:f>
      </x:c>
      <x:c r="C251" s="51" t="str">
        <x:f>IF(243&gt;$H$4,"",IF(INDEX('Fleet dates'!$C$9:$C$1008,$I251-8)="","",INDEX('Fleet dates'!$C$9:$C$1008,$I251-8)))</x:f>
      </x:c>
      <x:c r="D251" s="51" t="str">
        <x:f>IF(243&gt;$H$4,"",IF(INDEX('Fleet dates'!$D$9:$D$1008,$I251-8)="","",INDEX('Fleet dates'!$D$9:$D$1008,$I251-8)))</x:f>
      </x:c>
      <x:c r="E251" s="51" t="str">
        <x:f>IF(243&gt;$H$4,"",IF(INDEX('Fleet dates'!$E$9:$E$1008,$I251-8)="","",INDEX('Fleet dates'!$E$9:$E$1008,$I251-8)))</x:f>
      </x:c>
      <x:c r="F251" s="51" t="str">
        <x:f>IF(243&gt;$H$4,"",IF(INDEX('Fleet dates'!$F$9:$F$1008,$I251-8)="","",INDEX('Fleet dates'!$F$9:$F$1008,$I251-8)))</x:f>
      </x:c>
      <x:c r="G251" s="50" t="str">
        <x:f>IF(243&gt;$H$4,"",IF(INDEX('Fleet dates'!$G$9:$G$1008,$I251-8)="","",INDEX('Fleet dates'!$G$9:$G$1008,$I251-8)))</x:f>
      </x:c>
      <x:c r="H251" s="50" t="str">
        <x:f>IF(243&gt;$H$4,"",IF(INDEX('Fleet dates'!$I$9:$I$1008,$I251-8)="","",INDEX('Fleet dates'!$I$9:$I$1008,$I251-8)))</x:f>
      </x:c>
      <x:c r="I251" t="str">
        <x:f>IF(243&gt;$H$4,"",MATCH(243,'Fleet dates'!$N$9:$N$1008,0)+8)</x:f>
      </x:c>
    </x:row>
    <x:row r="252" ht="36" customHeight="1">
      <x:c r="A252" s="50" t="str">
        <x:f>IF(244&gt;$H$4,"",IF(INDEX('Fleet dates'!$A$9:$A$1008,$I252-8)="","",INDEX('Fleet dates'!$A$9:$A$1008,$I252-8)))</x:f>
      </x:c>
      <x:c r="B252" s="50" t="str">
        <x:f>IF(244&gt;$H$4,"",IF(INDEX('Fleet dates'!$B$9:$B$1008,$I252-8)="","",INDEX('Fleet dates'!$B$9:$B$1008,$I252-8)))</x:f>
      </x:c>
      <x:c r="C252" s="51" t="str">
        <x:f>IF(244&gt;$H$4,"",IF(INDEX('Fleet dates'!$C$9:$C$1008,$I252-8)="","",INDEX('Fleet dates'!$C$9:$C$1008,$I252-8)))</x:f>
      </x:c>
      <x:c r="D252" s="51" t="str">
        <x:f>IF(244&gt;$H$4,"",IF(INDEX('Fleet dates'!$D$9:$D$1008,$I252-8)="","",INDEX('Fleet dates'!$D$9:$D$1008,$I252-8)))</x:f>
      </x:c>
      <x:c r="E252" s="51" t="str">
        <x:f>IF(244&gt;$H$4,"",IF(INDEX('Fleet dates'!$E$9:$E$1008,$I252-8)="","",INDEX('Fleet dates'!$E$9:$E$1008,$I252-8)))</x:f>
      </x:c>
      <x:c r="F252" s="51" t="str">
        <x:f>IF(244&gt;$H$4,"",IF(INDEX('Fleet dates'!$F$9:$F$1008,$I252-8)="","",INDEX('Fleet dates'!$F$9:$F$1008,$I252-8)))</x:f>
      </x:c>
      <x:c r="G252" s="50" t="str">
        <x:f>IF(244&gt;$H$4,"",IF(INDEX('Fleet dates'!$G$9:$G$1008,$I252-8)="","",INDEX('Fleet dates'!$G$9:$G$1008,$I252-8)))</x:f>
      </x:c>
      <x:c r="H252" s="50" t="str">
        <x:f>IF(244&gt;$H$4,"",IF(INDEX('Fleet dates'!$I$9:$I$1008,$I252-8)="","",INDEX('Fleet dates'!$I$9:$I$1008,$I252-8)))</x:f>
      </x:c>
      <x:c r="I252" t="str">
        <x:f>IF(244&gt;$H$4,"",MATCH(244,'Fleet dates'!$N$9:$N$1008,0)+8)</x:f>
      </x:c>
    </x:row>
    <x:row r="253" ht="36" customHeight="1">
      <x:c r="A253" s="50" t="str">
        <x:f>IF(245&gt;$H$4,"",IF(INDEX('Fleet dates'!$A$9:$A$1008,$I253-8)="","",INDEX('Fleet dates'!$A$9:$A$1008,$I253-8)))</x:f>
      </x:c>
      <x:c r="B253" s="50" t="str">
        <x:f>IF(245&gt;$H$4,"",IF(INDEX('Fleet dates'!$B$9:$B$1008,$I253-8)="","",INDEX('Fleet dates'!$B$9:$B$1008,$I253-8)))</x:f>
      </x:c>
      <x:c r="C253" s="51" t="str">
        <x:f>IF(245&gt;$H$4,"",IF(INDEX('Fleet dates'!$C$9:$C$1008,$I253-8)="","",INDEX('Fleet dates'!$C$9:$C$1008,$I253-8)))</x:f>
      </x:c>
      <x:c r="D253" s="51" t="str">
        <x:f>IF(245&gt;$H$4,"",IF(INDEX('Fleet dates'!$D$9:$D$1008,$I253-8)="","",INDEX('Fleet dates'!$D$9:$D$1008,$I253-8)))</x:f>
      </x:c>
      <x:c r="E253" s="51" t="str">
        <x:f>IF(245&gt;$H$4,"",IF(INDEX('Fleet dates'!$E$9:$E$1008,$I253-8)="","",INDEX('Fleet dates'!$E$9:$E$1008,$I253-8)))</x:f>
      </x:c>
      <x:c r="F253" s="51" t="str">
        <x:f>IF(245&gt;$H$4,"",IF(INDEX('Fleet dates'!$F$9:$F$1008,$I253-8)="","",INDEX('Fleet dates'!$F$9:$F$1008,$I253-8)))</x:f>
      </x:c>
      <x:c r="G253" s="50" t="str">
        <x:f>IF(245&gt;$H$4,"",IF(INDEX('Fleet dates'!$G$9:$G$1008,$I253-8)="","",INDEX('Fleet dates'!$G$9:$G$1008,$I253-8)))</x:f>
      </x:c>
      <x:c r="H253" s="50" t="str">
        <x:f>IF(245&gt;$H$4,"",IF(INDEX('Fleet dates'!$I$9:$I$1008,$I253-8)="","",INDEX('Fleet dates'!$I$9:$I$1008,$I253-8)))</x:f>
      </x:c>
      <x:c r="I253" t="str">
        <x:f>IF(245&gt;$H$4,"",MATCH(245,'Fleet dates'!$N$9:$N$1008,0)+8)</x:f>
      </x:c>
    </x:row>
    <x:row r="254" ht="36" customHeight="1">
      <x:c r="A254" s="50" t="str">
        <x:f>IF(246&gt;$H$4,"",IF(INDEX('Fleet dates'!$A$9:$A$1008,$I254-8)="","",INDEX('Fleet dates'!$A$9:$A$1008,$I254-8)))</x:f>
      </x:c>
      <x:c r="B254" s="50" t="str">
        <x:f>IF(246&gt;$H$4,"",IF(INDEX('Fleet dates'!$B$9:$B$1008,$I254-8)="","",INDEX('Fleet dates'!$B$9:$B$1008,$I254-8)))</x:f>
      </x:c>
      <x:c r="C254" s="51" t="str">
        <x:f>IF(246&gt;$H$4,"",IF(INDEX('Fleet dates'!$C$9:$C$1008,$I254-8)="","",INDEX('Fleet dates'!$C$9:$C$1008,$I254-8)))</x:f>
      </x:c>
      <x:c r="D254" s="51" t="str">
        <x:f>IF(246&gt;$H$4,"",IF(INDEX('Fleet dates'!$D$9:$D$1008,$I254-8)="","",INDEX('Fleet dates'!$D$9:$D$1008,$I254-8)))</x:f>
      </x:c>
      <x:c r="E254" s="51" t="str">
        <x:f>IF(246&gt;$H$4,"",IF(INDEX('Fleet dates'!$E$9:$E$1008,$I254-8)="","",INDEX('Fleet dates'!$E$9:$E$1008,$I254-8)))</x:f>
      </x:c>
      <x:c r="F254" s="51" t="str">
        <x:f>IF(246&gt;$H$4,"",IF(INDEX('Fleet dates'!$F$9:$F$1008,$I254-8)="","",INDEX('Fleet dates'!$F$9:$F$1008,$I254-8)))</x:f>
      </x:c>
      <x:c r="G254" s="50" t="str">
        <x:f>IF(246&gt;$H$4,"",IF(INDEX('Fleet dates'!$G$9:$G$1008,$I254-8)="","",INDEX('Fleet dates'!$G$9:$G$1008,$I254-8)))</x:f>
      </x:c>
      <x:c r="H254" s="50" t="str">
        <x:f>IF(246&gt;$H$4,"",IF(INDEX('Fleet dates'!$I$9:$I$1008,$I254-8)="","",INDEX('Fleet dates'!$I$9:$I$1008,$I254-8)))</x:f>
      </x:c>
      <x:c r="I254" t="str">
        <x:f>IF(246&gt;$H$4,"",MATCH(246,'Fleet dates'!$N$9:$N$1008,0)+8)</x:f>
      </x:c>
    </x:row>
    <x:row r="255" ht="36" customHeight="1">
      <x:c r="A255" s="50" t="str">
        <x:f>IF(247&gt;$H$4,"",IF(INDEX('Fleet dates'!$A$9:$A$1008,$I255-8)="","",INDEX('Fleet dates'!$A$9:$A$1008,$I255-8)))</x:f>
      </x:c>
      <x:c r="B255" s="50" t="str">
        <x:f>IF(247&gt;$H$4,"",IF(INDEX('Fleet dates'!$B$9:$B$1008,$I255-8)="","",INDEX('Fleet dates'!$B$9:$B$1008,$I255-8)))</x:f>
      </x:c>
      <x:c r="C255" s="51" t="str">
        <x:f>IF(247&gt;$H$4,"",IF(INDEX('Fleet dates'!$C$9:$C$1008,$I255-8)="","",INDEX('Fleet dates'!$C$9:$C$1008,$I255-8)))</x:f>
      </x:c>
      <x:c r="D255" s="51" t="str">
        <x:f>IF(247&gt;$H$4,"",IF(INDEX('Fleet dates'!$D$9:$D$1008,$I255-8)="","",INDEX('Fleet dates'!$D$9:$D$1008,$I255-8)))</x:f>
      </x:c>
      <x:c r="E255" s="51" t="str">
        <x:f>IF(247&gt;$H$4,"",IF(INDEX('Fleet dates'!$E$9:$E$1008,$I255-8)="","",INDEX('Fleet dates'!$E$9:$E$1008,$I255-8)))</x:f>
      </x:c>
      <x:c r="F255" s="51" t="str">
        <x:f>IF(247&gt;$H$4,"",IF(INDEX('Fleet dates'!$F$9:$F$1008,$I255-8)="","",INDEX('Fleet dates'!$F$9:$F$1008,$I255-8)))</x:f>
      </x:c>
      <x:c r="G255" s="50" t="str">
        <x:f>IF(247&gt;$H$4,"",IF(INDEX('Fleet dates'!$G$9:$G$1008,$I255-8)="","",INDEX('Fleet dates'!$G$9:$G$1008,$I255-8)))</x:f>
      </x:c>
      <x:c r="H255" s="50" t="str">
        <x:f>IF(247&gt;$H$4,"",IF(INDEX('Fleet dates'!$I$9:$I$1008,$I255-8)="","",INDEX('Fleet dates'!$I$9:$I$1008,$I255-8)))</x:f>
      </x:c>
      <x:c r="I255" t="str">
        <x:f>IF(247&gt;$H$4,"",MATCH(247,'Fleet dates'!$N$9:$N$1008,0)+8)</x:f>
      </x:c>
    </x:row>
    <x:row r="256" ht="36" customHeight="1">
      <x:c r="A256" s="50" t="str">
        <x:f>IF(248&gt;$H$4,"",IF(INDEX('Fleet dates'!$A$9:$A$1008,$I256-8)="","",INDEX('Fleet dates'!$A$9:$A$1008,$I256-8)))</x:f>
      </x:c>
      <x:c r="B256" s="50" t="str">
        <x:f>IF(248&gt;$H$4,"",IF(INDEX('Fleet dates'!$B$9:$B$1008,$I256-8)="","",INDEX('Fleet dates'!$B$9:$B$1008,$I256-8)))</x:f>
      </x:c>
      <x:c r="C256" s="51" t="str">
        <x:f>IF(248&gt;$H$4,"",IF(INDEX('Fleet dates'!$C$9:$C$1008,$I256-8)="","",INDEX('Fleet dates'!$C$9:$C$1008,$I256-8)))</x:f>
      </x:c>
      <x:c r="D256" s="51" t="str">
        <x:f>IF(248&gt;$H$4,"",IF(INDEX('Fleet dates'!$D$9:$D$1008,$I256-8)="","",INDEX('Fleet dates'!$D$9:$D$1008,$I256-8)))</x:f>
      </x:c>
      <x:c r="E256" s="51" t="str">
        <x:f>IF(248&gt;$H$4,"",IF(INDEX('Fleet dates'!$E$9:$E$1008,$I256-8)="","",INDEX('Fleet dates'!$E$9:$E$1008,$I256-8)))</x:f>
      </x:c>
      <x:c r="F256" s="51" t="str">
        <x:f>IF(248&gt;$H$4,"",IF(INDEX('Fleet dates'!$F$9:$F$1008,$I256-8)="","",INDEX('Fleet dates'!$F$9:$F$1008,$I256-8)))</x:f>
      </x:c>
      <x:c r="G256" s="50" t="str">
        <x:f>IF(248&gt;$H$4,"",IF(INDEX('Fleet dates'!$G$9:$G$1008,$I256-8)="","",INDEX('Fleet dates'!$G$9:$G$1008,$I256-8)))</x:f>
      </x:c>
      <x:c r="H256" s="50" t="str">
        <x:f>IF(248&gt;$H$4,"",IF(INDEX('Fleet dates'!$I$9:$I$1008,$I256-8)="","",INDEX('Fleet dates'!$I$9:$I$1008,$I256-8)))</x:f>
      </x:c>
      <x:c r="I256" t="str">
        <x:f>IF(248&gt;$H$4,"",MATCH(248,'Fleet dates'!$N$9:$N$1008,0)+8)</x:f>
      </x:c>
    </x:row>
    <x:row r="257" ht="36" customHeight="1">
      <x:c r="A257" s="50" t="str">
        <x:f>IF(249&gt;$H$4,"",IF(INDEX('Fleet dates'!$A$9:$A$1008,$I257-8)="","",INDEX('Fleet dates'!$A$9:$A$1008,$I257-8)))</x:f>
      </x:c>
      <x:c r="B257" s="50" t="str">
        <x:f>IF(249&gt;$H$4,"",IF(INDEX('Fleet dates'!$B$9:$B$1008,$I257-8)="","",INDEX('Fleet dates'!$B$9:$B$1008,$I257-8)))</x:f>
      </x:c>
      <x:c r="C257" s="51" t="str">
        <x:f>IF(249&gt;$H$4,"",IF(INDEX('Fleet dates'!$C$9:$C$1008,$I257-8)="","",INDEX('Fleet dates'!$C$9:$C$1008,$I257-8)))</x:f>
      </x:c>
      <x:c r="D257" s="51" t="str">
        <x:f>IF(249&gt;$H$4,"",IF(INDEX('Fleet dates'!$D$9:$D$1008,$I257-8)="","",INDEX('Fleet dates'!$D$9:$D$1008,$I257-8)))</x:f>
      </x:c>
      <x:c r="E257" s="51" t="str">
        <x:f>IF(249&gt;$H$4,"",IF(INDEX('Fleet dates'!$E$9:$E$1008,$I257-8)="","",INDEX('Fleet dates'!$E$9:$E$1008,$I257-8)))</x:f>
      </x:c>
      <x:c r="F257" s="51" t="str">
        <x:f>IF(249&gt;$H$4,"",IF(INDEX('Fleet dates'!$F$9:$F$1008,$I257-8)="","",INDEX('Fleet dates'!$F$9:$F$1008,$I257-8)))</x:f>
      </x:c>
      <x:c r="G257" s="50" t="str">
        <x:f>IF(249&gt;$H$4,"",IF(INDEX('Fleet dates'!$G$9:$G$1008,$I257-8)="","",INDEX('Fleet dates'!$G$9:$G$1008,$I257-8)))</x:f>
      </x:c>
      <x:c r="H257" s="50" t="str">
        <x:f>IF(249&gt;$H$4,"",IF(INDEX('Fleet dates'!$I$9:$I$1008,$I257-8)="","",INDEX('Fleet dates'!$I$9:$I$1008,$I257-8)))</x:f>
      </x:c>
      <x:c r="I257" t="str">
        <x:f>IF(249&gt;$H$4,"",MATCH(249,'Fleet dates'!$N$9:$N$1008,0)+8)</x:f>
      </x:c>
    </x:row>
    <x:row r="258" ht="36" customHeight="1">
      <x:c r="A258" s="50" t="str">
        <x:f>IF(250&gt;$H$4,"",IF(INDEX('Fleet dates'!$A$9:$A$1008,$I258-8)="","",INDEX('Fleet dates'!$A$9:$A$1008,$I258-8)))</x:f>
      </x:c>
      <x:c r="B258" s="50" t="str">
        <x:f>IF(250&gt;$H$4,"",IF(INDEX('Fleet dates'!$B$9:$B$1008,$I258-8)="","",INDEX('Fleet dates'!$B$9:$B$1008,$I258-8)))</x:f>
      </x:c>
      <x:c r="C258" s="51" t="str">
        <x:f>IF(250&gt;$H$4,"",IF(INDEX('Fleet dates'!$C$9:$C$1008,$I258-8)="","",INDEX('Fleet dates'!$C$9:$C$1008,$I258-8)))</x:f>
      </x:c>
      <x:c r="D258" s="51" t="str">
        <x:f>IF(250&gt;$H$4,"",IF(INDEX('Fleet dates'!$D$9:$D$1008,$I258-8)="","",INDEX('Fleet dates'!$D$9:$D$1008,$I258-8)))</x:f>
      </x:c>
      <x:c r="E258" s="51" t="str">
        <x:f>IF(250&gt;$H$4,"",IF(INDEX('Fleet dates'!$E$9:$E$1008,$I258-8)="","",INDEX('Fleet dates'!$E$9:$E$1008,$I258-8)))</x:f>
      </x:c>
      <x:c r="F258" s="51" t="str">
        <x:f>IF(250&gt;$H$4,"",IF(INDEX('Fleet dates'!$F$9:$F$1008,$I258-8)="","",INDEX('Fleet dates'!$F$9:$F$1008,$I258-8)))</x:f>
      </x:c>
      <x:c r="G258" s="50" t="str">
        <x:f>IF(250&gt;$H$4,"",IF(INDEX('Fleet dates'!$G$9:$G$1008,$I258-8)="","",INDEX('Fleet dates'!$G$9:$G$1008,$I258-8)))</x:f>
      </x:c>
      <x:c r="H258" s="50" t="str">
        <x:f>IF(250&gt;$H$4,"",IF(INDEX('Fleet dates'!$I$9:$I$1008,$I258-8)="","",INDEX('Fleet dates'!$I$9:$I$1008,$I258-8)))</x:f>
      </x:c>
      <x:c r="I258" t="str">
        <x:f>IF(250&gt;$H$4,"",MATCH(250,'Fleet dates'!$N$9:$N$1008,0)+8)</x:f>
      </x:c>
    </x:row>
    <x:row r="259" ht="36" customHeight="1">
      <x:c r="A259" s="50" t="str">
        <x:f>IF(251&gt;$H$4,"",IF(INDEX('Fleet dates'!$A$9:$A$1008,$I259-8)="","",INDEX('Fleet dates'!$A$9:$A$1008,$I259-8)))</x:f>
      </x:c>
      <x:c r="B259" s="50" t="str">
        <x:f>IF(251&gt;$H$4,"",IF(INDEX('Fleet dates'!$B$9:$B$1008,$I259-8)="","",INDEX('Fleet dates'!$B$9:$B$1008,$I259-8)))</x:f>
      </x:c>
      <x:c r="C259" s="51" t="str">
        <x:f>IF(251&gt;$H$4,"",IF(INDEX('Fleet dates'!$C$9:$C$1008,$I259-8)="","",INDEX('Fleet dates'!$C$9:$C$1008,$I259-8)))</x:f>
      </x:c>
      <x:c r="D259" s="51" t="str">
        <x:f>IF(251&gt;$H$4,"",IF(INDEX('Fleet dates'!$D$9:$D$1008,$I259-8)="","",INDEX('Fleet dates'!$D$9:$D$1008,$I259-8)))</x:f>
      </x:c>
      <x:c r="E259" s="51" t="str">
        <x:f>IF(251&gt;$H$4,"",IF(INDEX('Fleet dates'!$E$9:$E$1008,$I259-8)="","",INDEX('Fleet dates'!$E$9:$E$1008,$I259-8)))</x:f>
      </x:c>
      <x:c r="F259" s="51" t="str">
        <x:f>IF(251&gt;$H$4,"",IF(INDEX('Fleet dates'!$F$9:$F$1008,$I259-8)="","",INDEX('Fleet dates'!$F$9:$F$1008,$I259-8)))</x:f>
      </x:c>
      <x:c r="G259" s="50" t="str">
        <x:f>IF(251&gt;$H$4,"",IF(INDEX('Fleet dates'!$G$9:$G$1008,$I259-8)="","",INDEX('Fleet dates'!$G$9:$G$1008,$I259-8)))</x:f>
      </x:c>
      <x:c r="H259" s="50" t="str">
        <x:f>IF(251&gt;$H$4,"",IF(INDEX('Fleet dates'!$I$9:$I$1008,$I259-8)="","",INDEX('Fleet dates'!$I$9:$I$1008,$I259-8)))</x:f>
      </x:c>
      <x:c r="I259" t="str">
        <x:f>IF(251&gt;$H$4,"",MATCH(251,'Fleet dates'!$N$9:$N$1008,0)+8)</x:f>
      </x:c>
    </x:row>
    <x:row r="260" ht="36" customHeight="1">
      <x:c r="A260" s="50" t="str">
        <x:f>IF(252&gt;$H$4,"",IF(INDEX('Fleet dates'!$A$9:$A$1008,$I260-8)="","",INDEX('Fleet dates'!$A$9:$A$1008,$I260-8)))</x:f>
      </x:c>
      <x:c r="B260" s="50" t="str">
        <x:f>IF(252&gt;$H$4,"",IF(INDEX('Fleet dates'!$B$9:$B$1008,$I260-8)="","",INDEX('Fleet dates'!$B$9:$B$1008,$I260-8)))</x:f>
      </x:c>
      <x:c r="C260" s="51" t="str">
        <x:f>IF(252&gt;$H$4,"",IF(INDEX('Fleet dates'!$C$9:$C$1008,$I260-8)="","",INDEX('Fleet dates'!$C$9:$C$1008,$I260-8)))</x:f>
      </x:c>
      <x:c r="D260" s="51" t="str">
        <x:f>IF(252&gt;$H$4,"",IF(INDEX('Fleet dates'!$D$9:$D$1008,$I260-8)="","",INDEX('Fleet dates'!$D$9:$D$1008,$I260-8)))</x:f>
      </x:c>
      <x:c r="E260" s="51" t="str">
        <x:f>IF(252&gt;$H$4,"",IF(INDEX('Fleet dates'!$E$9:$E$1008,$I260-8)="","",INDEX('Fleet dates'!$E$9:$E$1008,$I260-8)))</x:f>
      </x:c>
      <x:c r="F260" s="51" t="str">
        <x:f>IF(252&gt;$H$4,"",IF(INDEX('Fleet dates'!$F$9:$F$1008,$I260-8)="","",INDEX('Fleet dates'!$F$9:$F$1008,$I260-8)))</x:f>
      </x:c>
      <x:c r="G260" s="50" t="str">
        <x:f>IF(252&gt;$H$4,"",IF(INDEX('Fleet dates'!$G$9:$G$1008,$I260-8)="","",INDEX('Fleet dates'!$G$9:$G$1008,$I260-8)))</x:f>
      </x:c>
      <x:c r="H260" s="50" t="str">
        <x:f>IF(252&gt;$H$4,"",IF(INDEX('Fleet dates'!$I$9:$I$1008,$I260-8)="","",INDEX('Fleet dates'!$I$9:$I$1008,$I260-8)))</x:f>
      </x:c>
      <x:c r="I260" t="str">
        <x:f>IF(252&gt;$H$4,"",MATCH(252,'Fleet dates'!$N$9:$N$1008,0)+8)</x:f>
      </x:c>
    </x:row>
    <x:row r="261" ht="36" customHeight="1">
      <x:c r="A261" s="50" t="str">
        <x:f>IF(253&gt;$H$4,"",IF(INDEX('Fleet dates'!$A$9:$A$1008,$I261-8)="","",INDEX('Fleet dates'!$A$9:$A$1008,$I261-8)))</x:f>
      </x:c>
      <x:c r="B261" s="50" t="str">
        <x:f>IF(253&gt;$H$4,"",IF(INDEX('Fleet dates'!$B$9:$B$1008,$I261-8)="","",INDEX('Fleet dates'!$B$9:$B$1008,$I261-8)))</x:f>
      </x:c>
      <x:c r="C261" s="51" t="str">
        <x:f>IF(253&gt;$H$4,"",IF(INDEX('Fleet dates'!$C$9:$C$1008,$I261-8)="","",INDEX('Fleet dates'!$C$9:$C$1008,$I261-8)))</x:f>
      </x:c>
      <x:c r="D261" s="51" t="str">
        <x:f>IF(253&gt;$H$4,"",IF(INDEX('Fleet dates'!$D$9:$D$1008,$I261-8)="","",INDEX('Fleet dates'!$D$9:$D$1008,$I261-8)))</x:f>
      </x:c>
      <x:c r="E261" s="51" t="str">
        <x:f>IF(253&gt;$H$4,"",IF(INDEX('Fleet dates'!$E$9:$E$1008,$I261-8)="","",INDEX('Fleet dates'!$E$9:$E$1008,$I261-8)))</x:f>
      </x:c>
      <x:c r="F261" s="51" t="str">
        <x:f>IF(253&gt;$H$4,"",IF(INDEX('Fleet dates'!$F$9:$F$1008,$I261-8)="","",INDEX('Fleet dates'!$F$9:$F$1008,$I261-8)))</x:f>
      </x:c>
      <x:c r="G261" s="50" t="str">
        <x:f>IF(253&gt;$H$4,"",IF(INDEX('Fleet dates'!$G$9:$G$1008,$I261-8)="","",INDEX('Fleet dates'!$G$9:$G$1008,$I261-8)))</x:f>
      </x:c>
      <x:c r="H261" s="50" t="str">
        <x:f>IF(253&gt;$H$4,"",IF(INDEX('Fleet dates'!$I$9:$I$1008,$I261-8)="","",INDEX('Fleet dates'!$I$9:$I$1008,$I261-8)))</x:f>
      </x:c>
      <x:c r="I261" t="str">
        <x:f>IF(253&gt;$H$4,"",MATCH(253,'Fleet dates'!$N$9:$N$1008,0)+8)</x:f>
      </x:c>
    </x:row>
    <x:row r="262" ht="36" customHeight="1">
      <x:c r="A262" s="50" t="str">
        <x:f>IF(254&gt;$H$4,"",IF(INDEX('Fleet dates'!$A$9:$A$1008,$I262-8)="","",INDEX('Fleet dates'!$A$9:$A$1008,$I262-8)))</x:f>
      </x:c>
      <x:c r="B262" s="50" t="str">
        <x:f>IF(254&gt;$H$4,"",IF(INDEX('Fleet dates'!$B$9:$B$1008,$I262-8)="","",INDEX('Fleet dates'!$B$9:$B$1008,$I262-8)))</x:f>
      </x:c>
      <x:c r="C262" s="51" t="str">
        <x:f>IF(254&gt;$H$4,"",IF(INDEX('Fleet dates'!$C$9:$C$1008,$I262-8)="","",INDEX('Fleet dates'!$C$9:$C$1008,$I262-8)))</x:f>
      </x:c>
      <x:c r="D262" s="51" t="str">
        <x:f>IF(254&gt;$H$4,"",IF(INDEX('Fleet dates'!$D$9:$D$1008,$I262-8)="","",INDEX('Fleet dates'!$D$9:$D$1008,$I262-8)))</x:f>
      </x:c>
      <x:c r="E262" s="51" t="str">
        <x:f>IF(254&gt;$H$4,"",IF(INDEX('Fleet dates'!$E$9:$E$1008,$I262-8)="","",INDEX('Fleet dates'!$E$9:$E$1008,$I262-8)))</x:f>
      </x:c>
      <x:c r="F262" s="51" t="str">
        <x:f>IF(254&gt;$H$4,"",IF(INDEX('Fleet dates'!$F$9:$F$1008,$I262-8)="","",INDEX('Fleet dates'!$F$9:$F$1008,$I262-8)))</x:f>
      </x:c>
      <x:c r="G262" s="50" t="str">
        <x:f>IF(254&gt;$H$4,"",IF(INDEX('Fleet dates'!$G$9:$G$1008,$I262-8)="","",INDEX('Fleet dates'!$G$9:$G$1008,$I262-8)))</x:f>
      </x:c>
      <x:c r="H262" s="50" t="str">
        <x:f>IF(254&gt;$H$4,"",IF(INDEX('Fleet dates'!$I$9:$I$1008,$I262-8)="","",INDEX('Fleet dates'!$I$9:$I$1008,$I262-8)))</x:f>
      </x:c>
      <x:c r="I262" t="str">
        <x:f>IF(254&gt;$H$4,"",MATCH(254,'Fleet dates'!$N$9:$N$1008,0)+8)</x:f>
      </x:c>
    </x:row>
    <x:row r="263" ht="36" customHeight="1">
      <x:c r="A263" s="50" t="str">
        <x:f>IF(255&gt;$H$4,"",IF(INDEX('Fleet dates'!$A$9:$A$1008,$I263-8)="","",INDEX('Fleet dates'!$A$9:$A$1008,$I263-8)))</x:f>
      </x:c>
      <x:c r="B263" s="50" t="str">
        <x:f>IF(255&gt;$H$4,"",IF(INDEX('Fleet dates'!$B$9:$B$1008,$I263-8)="","",INDEX('Fleet dates'!$B$9:$B$1008,$I263-8)))</x:f>
      </x:c>
      <x:c r="C263" s="51" t="str">
        <x:f>IF(255&gt;$H$4,"",IF(INDEX('Fleet dates'!$C$9:$C$1008,$I263-8)="","",INDEX('Fleet dates'!$C$9:$C$1008,$I263-8)))</x:f>
      </x:c>
      <x:c r="D263" s="51" t="str">
        <x:f>IF(255&gt;$H$4,"",IF(INDEX('Fleet dates'!$D$9:$D$1008,$I263-8)="","",INDEX('Fleet dates'!$D$9:$D$1008,$I263-8)))</x:f>
      </x:c>
      <x:c r="E263" s="51" t="str">
        <x:f>IF(255&gt;$H$4,"",IF(INDEX('Fleet dates'!$E$9:$E$1008,$I263-8)="","",INDEX('Fleet dates'!$E$9:$E$1008,$I263-8)))</x:f>
      </x:c>
      <x:c r="F263" s="51" t="str">
        <x:f>IF(255&gt;$H$4,"",IF(INDEX('Fleet dates'!$F$9:$F$1008,$I263-8)="","",INDEX('Fleet dates'!$F$9:$F$1008,$I263-8)))</x:f>
      </x:c>
      <x:c r="G263" s="50" t="str">
        <x:f>IF(255&gt;$H$4,"",IF(INDEX('Fleet dates'!$G$9:$G$1008,$I263-8)="","",INDEX('Fleet dates'!$G$9:$G$1008,$I263-8)))</x:f>
      </x:c>
      <x:c r="H263" s="50" t="str">
        <x:f>IF(255&gt;$H$4,"",IF(INDEX('Fleet dates'!$I$9:$I$1008,$I263-8)="","",INDEX('Fleet dates'!$I$9:$I$1008,$I263-8)))</x:f>
      </x:c>
      <x:c r="I263" t="str">
        <x:f>IF(255&gt;$H$4,"",MATCH(255,'Fleet dates'!$N$9:$N$1008,0)+8)</x:f>
      </x:c>
    </x:row>
    <x:row r="264" ht="36" customHeight="1">
      <x:c r="A264" s="50" t="str">
        <x:f>IF(256&gt;$H$4,"",IF(INDEX('Fleet dates'!$A$9:$A$1008,$I264-8)="","",INDEX('Fleet dates'!$A$9:$A$1008,$I264-8)))</x:f>
      </x:c>
      <x:c r="B264" s="50" t="str">
        <x:f>IF(256&gt;$H$4,"",IF(INDEX('Fleet dates'!$B$9:$B$1008,$I264-8)="","",INDEX('Fleet dates'!$B$9:$B$1008,$I264-8)))</x:f>
      </x:c>
      <x:c r="C264" s="51" t="str">
        <x:f>IF(256&gt;$H$4,"",IF(INDEX('Fleet dates'!$C$9:$C$1008,$I264-8)="","",INDEX('Fleet dates'!$C$9:$C$1008,$I264-8)))</x:f>
      </x:c>
      <x:c r="D264" s="51" t="str">
        <x:f>IF(256&gt;$H$4,"",IF(INDEX('Fleet dates'!$D$9:$D$1008,$I264-8)="","",INDEX('Fleet dates'!$D$9:$D$1008,$I264-8)))</x:f>
      </x:c>
      <x:c r="E264" s="51" t="str">
        <x:f>IF(256&gt;$H$4,"",IF(INDEX('Fleet dates'!$E$9:$E$1008,$I264-8)="","",INDEX('Fleet dates'!$E$9:$E$1008,$I264-8)))</x:f>
      </x:c>
      <x:c r="F264" s="51" t="str">
        <x:f>IF(256&gt;$H$4,"",IF(INDEX('Fleet dates'!$F$9:$F$1008,$I264-8)="","",INDEX('Fleet dates'!$F$9:$F$1008,$I264-8)))</x:f>
      </x:c>
      <x:c r="G264" s="50" t="str">
        <x:f>IF(256&gt;$H$4,"",IF(INDEX('Fleet dates'!$G$9:$G$1008,$I264-8)="","",INDEX('Fleet dates'!$G$9:$G$1008,$I264-8)))</x:f>
      </x:c>
      <x:c r="H264" s="50" t="str">
        <x:f>IF(256&gt;$H$4,"",IF(INDEX('Fleet dates'!$I$9:$I$1008,$I264-8)="","",INDEX('Fleet dates'!$I$9:$I$1008,$I264-8)))</x:f>
      </x:c>
      <x:c r="I264" t="str">
        <x:f>IF(256&gt;$H$4,"",MATCH(256,'Fleet dates'!$N$9:$N$1008,0)+8)</x:f>
      </x:c>
    </x:row>
    <x:row r="265" ht="36" customHeight="1">
      <x:c r="A265" s="50" t="str">
        <x:f>IF(257&gt;$H$4,"",IF(INDEX('Fleet dates'!$A$9:$A$1008,$I265-8)="","",INDEX('Fleet dates'!$A$9:$A$1008,$I265-8)))</x:f>
      </x:c>
      <x:c r="B265" s="50" t="str">
        <x:f>IF(257&gt;$H$4,"",IF(INDEX('Fleet dates'!$B$9:$B$1008,$I265-8)="","",INDEX('Fleet dates'!$B$9:$B$1008,$I265-8)))</x:f>
      </x:c>
      <x:c r="C265" s="51" t="str">
        <x:f>IF(257&gt;$H$4,"",IF(INDEX('Fleet dates'!$C$9:$C$1008,$I265-8)="","",INDEX('Fleet dates'!$C$9:$C$1008,$I265-8)))</x:f>
      </x:c>
      <x:c r="D265" s="51" t="str">
        <x:f>IF(257&gt;$H$4,"",IF(INDEX('Fleet dates'!$D$9:$D$1008,$I265-8)="","",INDEX('Fleet dates'!$D$9:$D$1008,$I265-8)))</x:f>
      </x:c>
      <x:c r="E265" s="51" t="str">
        <x:f>IF(257&gt;$H$4,"",IF(INDEX('Fleet dates'!$E$9:$E$1008,$I265-8)="","",INDEX('Fleet dates'!$E$9:$E$1008,$I265-8)))</x:f>
      </x:c>
      <x:c r="F265" s="51" t="str">
        <x:f>IF(257&gt;$H$4,"",IF(INDEX('Fleet dates'!$F$9:$F$1008,$I265-8)="","",INDEX('Fleet dates'!$F$9:$F$1008,$I265-8)))</x:f>
      </x:c>
      <x:c r="G265" s="50" t="str">
        <x:f>IF(257&gt;$H$4,"",IF(INDEX('Fleet dates'!$G$9:$G$1008,$I265-8)="","",INDEX('Fleet dates'!$G$9:$G$1008,$I265-8)))</x:f>
      </x:c>
      <x:c r="H265" s="50" t="str">
        <x:f>IF(257&gt;$H$4,"",IF(INDEX('Fleet dates'!$I$9:$I$1008,$I265-8)="","",INDEX('Fleet dates'!$I$9:$I$1008,$I265-8)))</x:f>
      </x:c>
      <x:c r="I265" t="str">
        <x:f>IF(257&gt;$H$4,"",MATCH(257,'Fleet dates'!$N$9:$N$1008,0)+8)</x:f>
      </x:c>
    </x:row>
    <x:row r="266" ht="36" customHeight="1">
      <x:c r="A266" s="50" t="str">
        <x:f>IF(258&gt;$H$4,"",IF(INDEX('Fleet dates'!$A$9:$A$1008,$I266-8)="","",INDEX('Fleet dates'!$A$9:$A$1008,$I266-8)))</x:f>
      </x:c>
      <x:c r="B266" s="50" t="str">
        <x:f>IF(258&gt;$H$4,"",IF(INDEX('Fleet dates'!$B$9:$B$1008,$I266-8)="","",INDEX('Fleet dates'!$B$9:$B$1008,$I266-8)))</x:f>
      </x:c>
      <x:c r="C266" s="51" t="str">
        <x:f>IF(258&gt;$H$4,"",IF(INDEX('Fleet dates'!$C$9:$C$1008,$I266-8)="","",INDEX('Fleet dates'!$C$9:$C$1008,$I266-8)))</x:f>
      </x:c>
      <x:c r="D266" s="51" t="str">
        <x:f>IF(258&gt;$H$4,"",IF(INDEX('Fleet dates'!$D$9:$D$1008,$I266-8)="","",INDEX('Fleet dates'!$D$9:$D$1008,$I266-8)))</x:f>
      </x:c>
      <x:c r="E266" s="51" t="str">
        <x:f>IF(258&gt;$H$4,"",IF(INDEX('Fleet dates'!$E$9:$E$1008,$I266-8)="","",INDEX('Fleet dates'!$E$9:$E$1008,$I266-8)))</x:f>
      </x:c>
      <x:c r="F266" s="51" t="str">
        <x:f>IF(258&gt;$H$4,"",IF(INDEX('Fleet dates'!$F$9:$F$1008,$I266-8)="","",INDEX('Fleet dates'!$F$9:$F$1008,$I266-8)))</x:f>
      </x:c>
      <x:c r="G266" s="50" t="str">
        <x:f>IF(258&gt;$H$4,"",IF(INDEX('Fleet dates'!$G$9:$G$1008,$I266-8)="","",INDEX('Fleet dates'!$G$9:$G$1008,$I266-8)))</x:f>
      </x:c>
      <x:c r="H266" s="50" t="str">
        <x:f>IF(258&gt;$H$4,"",IF(INDEX('Fleet dates'!$I$9:$I$1008,$I266-8)="","",INDEX('Fleet dates'!$I$9:$I$1008,$I266-8)))</x:f>
      </x:c>
      <x:c r="I266" t="str">
        <x:f>IF(258&gt;$H$4,"",MATCH(258,'Fleet dates'!$N$9:$N$1008,0)+8)</x:f>
      </x:c>
    </x:row>
    <x:row r="267" ht="36" customHeight="1">
      <x:c r="A267" s="50" t="str">
        <x:f>IF(259&gt;$H$4,"",IF(INDEX('Fleet dates'!$A$9:$A$1008,$I267-8)="","",INDEX('Fleet dates'!$A$9:$A$1008,$I267-8)))</x:f>
      </x:c>
      <x:c r="B267" s="50" t="str">
        <x:f>IF(259&gt;$H$4,"",IF(INDEX('Fleet dates'!$B$9:$B$1008,$I267-8)="","",INDEX('Fleet dates'!$B$9:$B$1008,$I267-8)))</x:f>
      </x:c>
      <x:c r="C267" s="51" t="str">
        <x:f>IF(259&gt;$H$4,"",IF(INDEX('Fleet dates'!$C$9:$C$1008,$I267-8)="","",INDEX('Fleet dates'!$C$9:$C$1008,$I267-8)))</x:f>
      </x:c>
      <x:c r="D267" s="51" t="str">
        <x:f>IF(259&gt;$H$4,"",IF(INDEX('Fleet dates'!$D$9:$D$1008,$I267-8)="","",INDEX('Fleet dates'!$D$9:$D$1008,$I267-8)))</x:f>
      </x:c>
      <x:c r="E267" s="51" t="str">
        <x:f>IF(259&gt;$H$4,"",IF(INDEX('Fleet dates'!$E$9:$E$1008,$I267-8)="","",INDEX('Fleet dates'!$E$9:$E$1008,$I267-8)))</x:f>
      </x:c>
      <x:c r="F267" s="51" t="str">
        <x:f>IF(259&gt;$H$4,"",IF(INDEX('Fleet dates'!$F$9:$F$1008,$I267-8)="","",INDEX('Fleet dates'!$F$9:$F$1008,$I267-8)))</x:f>
      </x:c>
      <x:c r="G267" s="50" t="str">
        <x:f>IF(259&gt;$H$4,"",IF(INDEX('Fleet dates'!$G$9:$G$1008,$I267-8)="","",INDEX('Fleet dates'!$G$9:$G$1008,$I267-8)))</x:f>
      </x:c>
      <x:c r="H267" s="50" t="str">
        <x:f>IF(259&gt;$H$4,"",IF(INDEX('Fleet dates'!$I$9:$I$1008,$I267-8)="","",INDEX('Fleet dates'!$I$9:$I$1008,$I267-8)))</x:f>
      </x:c>
      <x:c r="I267" t="str">
        <x:f>IF(259&gt;$H$4,"",MATCH(259,'Fleet dates'!$N$9:$N$1008,0)+8)</x:f>
      </x:c>
    </x:row>
    <x:row r="268" ht="36" customHeight="1">
      <x:c r="A268" s="50" t="str">
        <x:f>IF(260&gt;$H$4,"",IF(INDEX('Fleet dates'!$A$9:$A$1008,$I268-8)="","",INDEX('Fleet dates'!$A$9:$A$1008,$I268-8)))</x:f>
      </x:c>
      <x:c r="B268" s="50" t="str">
        <x:f>IF(260&gt;$H$4,"",IF(INDEX('Fleet dates'!$B$9:$B$1008,$I268-8)="","",INDEX('Fleet dates'!$B$9:$B$1008,$I268-8)))</x:f>
      </x:c>
      <x:c r="C268" s="51" t="str">
        <x:f>IF(260&gt;$H$4,"",IF(INDEX('Fleet dates'!$C$9:$C$1008,$I268-8)="","",INDEX('Fleet dates'!$C$9:$C$1008,$I268-8)))</x:f>
      </x:c>
      <x:c r="D268" s="51" t="str">
        <x:f>IF(260&gt;$H$4,"",IF(INDEX('Fleet dates'!$D$9:$D$1008,$I268-8)="","",INDEX('Fleet dates'!$D$9:$D$1008,$I268-8)))</x:f>
      </x:c>
      <x:c r="E268" s="51" t="str">
        <x:f>IF(260&gt;$H$4,"",IF(INDEX('Fleet dates'!$E$9:$E$1008,$I268-8)="","",INDEX('Fleet dates'!$E$9:$E$1008,$I268-8)))</x:f>
      </x:c>
      <x:c r="F268" s="51" t="str">
        <x:f>IF(260&gt;$H$4,"",IF(INDEX('Fleet dates'!$F$9:$F$1008,$I268-8)="","",INDEX('Fleet dates'!$F$9:$F$1008,$I268-8)))</x:f>
      </x:c>
      <x:c r="G268" s="50" t="str">
        <x:f>IF(260&gt;$H$4,"",IF(INDEX('Fleet dates'!$G$9:$G$1008,$I268-8)="","",INDEX('Fleet dates'!$G$9:$G$1008,$I268-8)))</x:f>
      </x:c>
      <x:c r="H268" s="50" t="str">
        <x:f>IF(260&gt;$H$4,"",IF(INDEX('Fleet dates'!$I$9:$I$1008,$I268-8)="","",INDEX('Fleet dates'!$I$9:$I$1008,$I268-8)))</x:f>
      </x:c>
      <x:c r="I268" t="str">
        <x:f>IF(260&gt;$H$4,"",MATCH(260,'Fleet dates'!$N$9:$N$1008,0)+8)</x:f>
      </x:c>
    </x:row>
    <x:row r="269" ht="36" customHeight="1">
      <x:c r="A269" s="50" t="str">
        <x:f>IF(261&gt;$H$4,"",IF(INDEX('Fleet dates'!$A$9:$A$1008,$I269-8)="","",INDEX('Fleet dates'!$A$9:$A$1008,$I269-8)))</x:f>
      </x:c>
      <x:c r="B269" s="50" t="str">
        <x:f>IF(261&gt;$H$4,"",IF(INDEX('Fleet dates'!$B$9:$B$1008,$I269-8)="","",INDEX('Fleet dates'!$B$9:$B$1008,$I269-8)))</x:f>
      </x:c>
      <x:c r="C269" s="51" t="str">
        <x:f>IF(261&gt;$H$4,"",IF(INDEX('Fleet dates'!$C$9:$C$1008,$I269-8)="","",INDEX('Fleet dates'!$C$9:$C$1008,$I269-8)))</x:f>
      </x:c>
      <x:c r="D269" s="51" t="str">
        <x:f>IF(261&gt;$H$4,"",IF(INDEX('Fleet dates'!$D$9:$D$1008,$I269-8)="","",INDEX('Fleet dates'!$D$9:$D$1008,$I269-8)))</x:f>
      </x:c>
      <x:c r="E269" s="51" t="str">
        <x:f>IF(261&gt;$H$4,"",IF(INDEX('Fleet dates'!$E$9:$E$1008,$I269-8)="","",INDEX('Fleet dates'!$E$9:$E$1008,$I269-8)))</x:f>
      </x:c>
      <x:c r="F269" s="51" t="str">
        <x:f>IF(261&gt;$H$4,"",IF(INDEX('Fleet dates'!$F$9:$F$1008,$I269-8)="","",INDEX('Fleet dates'!$F$9:$F$1008,$I269-8)))</x:f>
      </x:c>
      <x:c r="G269" s="50" t="str">
        <x:f>IF(261&gt;$H$4,"",IF(INDEX('Fleet dates'!$G$9:$G$1008,$I269-8)="","",INDEX('Fleet dates'!$G$9:$G$1008,$I269-8)))</x:f>
      </x:c>
      <x:c r="H269" s="50" t="str">
        <x:f>IF(261&gt;$H$4,"",IF(INDEX('Fleet dates'!$I$9:$I$1008,$I269-8)="","",INDEX('Fleet dates'!$I$9:$I$1008,$I269-8)))</x:f>
      </x:c>
      <x:c r="I269" t="str">
        <x:f>IF(261&gt;$H$4,"",MATCH(261,'Fleet dates'!$N$9:$N$1008,0)+8)</x:f>
      </x:c>
    </x:row>
    <x:row r="270" ht="36" customHeight="1">
      <x:c r="A270" s="50" t="str">
        <x:f>IF(262&gt;$H$4,"",IF(INDEX('Fleet dates'!$A$9:$A$1008,$I270-8)="","",INDEX('Fleet dates'!$A$9:$A$1008,$I270-8)))</x:f>
      </x:c>
      <x:c r="B270" s="50" t="str">
        <x:f>IF(262&gt;$H$4,"",IF(INDEX('Fleet dates'!$B$9:$B$1008,$I270-8)="","",INDEX('Fleet dates'!$B$9:$B$1008,$I270-8)))</x:f>
      </x:c>
      <x:c r="C270" s="51" t="str">
        <x:f>IF(262&gt;$H$4,"",IF(INDEX('Fleet dates'!$C$9:$C$1008,$I270-8)="","",INDEX('Fleet dates'!$C$9:$C$1008,$I270-8)))</x:f>
      </x:c>
      <x:c r="D270" s="51" t="str">
        <x:f>IF(262&gt;$H$4,"",IF(INDEX('Fleet dates'!$D$9:$D$1008,$I270-8)="","",INDEX('Fleet dates'!$D$9:$D$1008,$I270-8)))</x:f>
      </x:c>
      <x:c r="E270" s="51" t="str">
        <x:f>IF(262&gt;$H$4,"",IF(INDEX('Fleet dates'!$E$9:$E$1008,$I270-8)="","",INDEX('Fleet dates'!$E$9:$E$1008,$I270-8)))</x:f>
      </x:c>
      <x:c r="F270" s="51" t="str">
        <x:f>IF(262&gt;$H$4,"",IF(INDEX('Fleet dates'!$F$9:$F$1008,$I270-8)="","",INDEX('Fleet dates'!$F$9:$F$1008,$I270-8)))</x:f>
      </x:c>
      <x:c r="G270" s="50" t="str">
        <x:f>IF(262&gt;$H$4,"",IF(INDEX('Fleet dates'!$G$9:$G$1008,$I270-8)="","",INDEX('Fleet dates'!$G$9:$G$1008,$I270-8)))</x:f>
      </x:c>
      <x:c r="H270" s="50" t="str">
        <x:f>IF(262&gt;$H$4,"",IF(INDEX('Fleet dates'!$I$9:$I$1008,$I270-8)="","",INDEX('Fleet dates'!$I$9:$I$1008,$I270-8)))</x:f>
      </x:c>
      <x:c r="I270" t="str">
        <x:f>IF(262&gt;$H$4,"",MATCH(262,'Fleet dates'!$N$9:$N$1008,0)+8)</x:f>
      </x:c>
    </x:row>
    <x:row r="271" ht="36" customHeight="1">
      <x:c r="A271" s="50" t="str">
        <x:f>IF(263&gt;$H$4,"",IF(INDEX('Fleet dates'!$A$9:$A$1008,$I271-8)="","",INDEX('Fleet dates'!$A$9:$A$1008,$I271-8)))</x:f>
      </x:c>
      <x:c r="B271" s="50" t="str">
        <x:f>IF(263&gt;$H$4,"",IF(INDEX('Fleet dates'!$B$9:$B$1008,$I271-8)="","",INDEX('Fleet dates'!$B$9:$B$1008,$I271-8)))</x:f>
      </x:c>
      <x:c r="C271" s="51" t="str">
        <x:f>IF(263&gt;$H$4,"",IF(INDEX('Fleet dates'!$C$9:$C$1008,$I271-8)="","",INDEX('Fleet dates'!$C$9:$C$1008,$I271-8)))</x:f>
      </x:c>
      <x:c r="D271" s="51" t="str">
        <x:f>IF(263&gt;$H$4,"",IF(INDEX('Fleet dates'!$D$9:$D$1008,$I271-8)="","",INDEX('Fleet dates'!$D$9:$D$1008,$I271-8)))</x:f>
      </x:c>
      <x:c r="E271" s="51" t="str">
        <x:f>IF(263&gt;$H$4,"",IF(INDEX('Fleet dates'!$E$9:$E$1008,$I271-8)="","",INDEX('Fleet dates'!$E$9:$E$1008,$I271-8)))</x:f>
      </x:c>
      <x:c r="F271" s="51" t="str">
        <x:f>IF(263&gt;$H$4,"",IF(INDEX('Fleet dates'!$F$9:$F$1008,$I271-8)="","",INDEX('Fleet dates'!$F$9:$F$1008,$I271-8)))</x:f>
      </x:c>
      <x:c r="G271" s="50" t="str">
        <x:f>IF(263&gt;$H$4,"",IF(INDEX('Fleet dates'!$G$9:$G$1008,$I271-8)="","",INDEX('Fleet dates'!$G$9:$G$1008,$I271-8)))</x:f>
      </x:c>
      <x:c r="H271" s="50" t="str">
        <x:f>IF(263&gt;$H$4,"",IF(INDEX('Fleet dates'!$I$9:$I$1008,$I271-8)="","",INDEX('Fleet dates'!$I$9:$I$1008,$I271-8)))</x:f>
      </x:c>
      <x:c r="I271" t="str">
        <x:f>IF(263&gt;$H$4,"",MATCH(263,'Fleet dates'!$N$9:$N$1008,0)+8)</x:f>
      </x:c>
    </x:row>
    <x:row r="272" ht="36" customHeight="1">
      <x:c r="A272" s="50" t="str">
        <x:f>IF(264&gt;$H$4,"",IF(INDEX('Fleet dates'!$A$9:$A$1008,$I272-8)="","",INDEX('Fleet dates'!$A$9:$A$1008,$I272-8)))</x:f>
      </x:c>
      <x:c r="B272" s="50" t="str">
        <x:f>IF(264&gt;$H$4,"",IF(INDEX('Fleet dates'!$B$9:$B$1008,$I272-8)="","",INDEX('Fleet dates'!$B$9:$B$1008,$I272-8)))</x:f>
      </x:c>
      <x:c r="C272" s="51" t="str">
        <x:f>IF(264&gt;$H$4,"",IF(INDEX('Fleet dates'!$C$9:$C$1008,$I272-8)="","",INDEX('Fleet dates'!$C$9:$C$1008,$I272-8)))</x:f>
      </x:c>
      <x:c r="D272" s="51" t="str">
        <x:f>IF(264&gt;$H$4,"",IF(INDEX('Fleet dates'!$D$9:$D$1008,$I272-8)="","",INDEX('Fleet dates'!$D$9:$D$1008,$I272-8)))</x:f>
      </x:c>
      <x:c r="E272" s="51" t="str">
        <x:f>IF(264&gt;$H$4,"",IF(INDEX('Fleet dates'!$E$9:$E$1008,$I272-8)="","",INDEX('Fleet dates'!$E$9:$E$1008,$I272-8)))</x:f>
      </x:c>
      <x:c r="F272" s="51" t="str">
        <x:f>IF(264&gt;$H$4,"",IF(INDEX('Fleet dates'!$F$9:$F$1008,$I272-8)="","",INDEX('Fleet dates'!$F$9:$F$1008,$I272-8)))</x:f>
      </x:c>
      <x:c r="G272" s="50" t="str">
        <x:f>IF(264&gt;$H$4,"",IF(INDEX('Fleet dates'!$G$9:$G$1008,$I272-8)="","",INDEX('Fleet dates'!$G$9:$G$1008,$I272-8)))</x:f>
      </x:c>
      <x:c r="H272" s="50" t="str">
        <x:f>IF(264&gt;$H$4,"",IF(INDEX('Fleet dates'!$I$9:$I$1008,$I272-8)="","",INDEX('Fleet dates'!$I$9:$I$1008,$I272-8)))</x:f>
      </x:c>
      <x:c r="I272" t="str">
        <x:f>IF(264&gt;$H$4,"",MATCH(264,'Fleet dates'!$N$9:$N$1008,0)+8)</x:f>
      </x:c>
    </x:row>
    <x:row r="273" ht="36" customHeight="1">
      <x:c r="A273" s="50" t="str">
        <x:f>IF(265&gt;$H$4,"",IF(INDEX('Fleet dates'!$A$9:$A$1008,$I273-8)="","",INDEX('Fleet dates'!$A$9:$A$1008,$I273-8)))</x:f>
      </x:c>
      <x:c r="B273" s="50" t="str">
        <x:f>IF(265&gt;$H$4,"",IF(INDEX('Fleet dates'!$B$9:$B$1008,$I273-8)="","",INDEX('Fleet dates'!$B$9:$B$1008,$I273-8)))</x:f>
      </x:c>
      <x:c r="C273" s="51" t="str">
        <x:f>IF(265&gt;$H$4,"",IF(INDEX('Fleet dates'!$C$9:$C$1008,$I273-8)="","",INDEX('Fleet dates'!$C$9:$C$1008,$I273-8)))</x:f>
      </x:c>
      <x:c r="D273" s="51" t="str">
        <x:f>IF(265&gt;$H$4,"",IF(INDEX('Fleet dates'!$D$9:$D$1008,$I273-8)="","",INDEX('Fleet dates'!$D$9:$D$1008,$I273-8)))</x:f>
      </x:c>
      <x:c r="E273" s="51" t="str">
        <x:f>IF(265&gt;$H$4,"",IF(INDEX('Fleet dates'!$E$9:$E$1008,$I273-8)="","",INDEX('Fleet dates'!$E$9:$E$1008,$I273-8)))</x:f>
      </x:c>
      <x:c r="F273" s="51" t="str">
        <x:f>IF(265&gt;$H$4,"",IF(INDEX('Fleet dates'!$F$9:$F$1008,$I273-8)="","",INDEX('Fleet dates'!$F$9:$F$1008,$I273-8)))</x:f>
      </x:c>
      <x:c r="G273" s="50" t="str">
        <x:f>IF(265&gt;$H$4,"",IF(INDEX('Fleet dates'!$G$9:$G$1008,$I273-8)="","",INDEX('Fleet dates'!$G$9:$G$1008,$I273-8)))</x:f>
      </x:c>
      <x:c r="H273" s="50" t="str">
        <x:f>IF(265&gt;$H$4,"",IF(INDEX('Fleet dates'!$I$9:$I$1008,$I273-8)="","",INDEX('Fleet dates'!$I$9:$I$1008,$I273-8)))</x:f>
      </x:c>
      <x:c r="I273" t="str">
        <x:f>IF(265&gt;$H$4,"",MATCH(265,'Fleet dates'!$N$9:$N$1008,0)+8)</x:f>
      </x:c>
    </x:row>
    <x:row r="274" ht="36" customHeight="1">
      <x:c r="A274" s="50" t="str">
        <x:f>IF(266&gt;$H$4,"",IF(INDEX('Fleet dates'!$A$9:$A$1008,$I274-8)="","",INDEX('Fleet dates'!$A$9:$A$1008,$I274-8)))</x:f>
      </x:c>
      <x:c r="B274" s="50" t="str">
        <x:f>IF(266&gt;$H$4,"",IF(INDEX('Fleet dates'!$B$9:$B$1008,$I274-8)="","",INDEX('Fleet dates'!$B$9:$B$1008,$I274-8)))</x:f>
      </x:c>
      <x:c r="C274" s="51" t="str">
        <x:f>IF(266&gt;$H$4,"",IF(INDEX('Fleet dates'!$C$9:$C$1008,$I274-8)="","",INDEX('Fleet dates'!$C$9:$C$1008,$I274-8)))</x:f>
      </x:c>
      <x:c r="D274" s="51" t="str">
        <x:f>IF(266&gt;$H$4,"",IF(INDEX('Fleet dates'!$D$9:$D$1008,$I274-8)="","",INDEX('Fleet dates'!$D$9:$D$1008,$I274-8)))</x:f>
      </x:c>
      <x:c r="E274" s="51" t="str">
        <x:f>IF(266&gt;$H$4,"",IF(INDEX('Fleet dates'!$E$9:$E$1008,$I274-8)="","",INDEX('Fleet dates'!$E$9:$E$1008,$I274-8)))</x:f>
      </x:c>
      <x:c r="F274" s="51" t="str">
        <x:f>IF(266&gt;$H$4,"",IF(INDEX('Fleet dates'!$F$9:$F$1008,$I274-8)="","",INDEX('Fleet dates'!$F$9:$F$1008,$I274-8)))</x:f>
      </x:c>
      <x:c r="G274" s="50" t="str">
        <x:f>IF(266&gt;$H$4,"",IF(INDEX('Fleet dates'!$G$9:$G$1008,$I274-8)="","",INDEX('Fleet dates'!$G$9:$G$1008,$I274-8)))</x:f>
      </x:c>
      <x:c r="H274" s="50" t="str">
        <x:f>IF(266&gt;$H$4,"",IF(INDEX('Fleet dates'!$I$9:$I$1008,$I274-8)="","",INDEX('Fleet dates'!$I$9:$I$1008,$I274-8)))</x:f>
      </x:c>
      <x:c r="I274" t="str">
        <x:f>IF(266&gt;$H$4,"",MATCH(266,'Fleet dates'!$N$9:$N$1008,0)+8)</x:f>
      </x:c>
    </x:row>
    <x:row r="275" ht="36" customHeight="1">
      <x:c r="A275" s="50" t="str">
        <x:f>IF(267&gt;$H$4,"",IF(INDEX('Fleet dates'!$A$9:$A$1008,$I275-8)="","",INDEX('Fleet dates'!$A$9:$A$1008,$I275-8)))</x:f>
      </x:c>
      <x:c r="B275" s="50" t="str">
        <x:f>IF(267&gt;$H$4,"",IF(INDEX('Fleet dates'!$B$9:$B$1008,$I275-8)="","",INDEX('Fleet dates'!$B$9:$B$1008,$I275-8)))</x:f>
      </x:c>
      <x:c r="C275" s="51" t="str">
        <x:f>IF(267&gt;$H$4,"",IF(INDEX('Fleet dates'!$C$9:$C$1008,$I275-8)="","",INDEX('Fleet dates'!$C$9:$C$1008,$I275-8)))</x:f>
      </x:c>
      <x:c r="D275" s="51" t="str">
        <x:f>IF(267&gt;$H$4,"",IF(INDEX('Fleet dates'!$D$9:$D$1008,$I275-8)="","",INDEX('Fleet dates'!$D$9:$D$1008,$I275-8)))</x:f>
      </x:c>
      <x:c r="E275" s="51" t="str">
        <x:f>IF(267&gt;$H$4,"",IF(INDEX('Fleet dates'!$E$9:$E$1008,$I275-8)="","",INDEX('Fleet dates'!$E$9:$E$1008,$I275-8)))</x:f>
      </x:c>
      <x:c r="F275" s="51" t="str">
        <x:f>IF(267&gt;$H$4,"",IF(INDEX('Fleet dates'!$F$9:$F$1008,$I275-8)="","",INDEX('Fleet dates'!$F$9:$F$1008,$I275-8)))</x:f>
      </x:c>
      <x:c r="G275" s="50" t="str">
        <x:f>IF(267&gt;$H$4,"",IF(INDEX('Fleet dates'!$G$9:$G$1008,$I275-8)="","",INDEX('Fleet dates'!$G$9:$G$1008,$I275-8)))</x:f>
      </x:c>
      <x:c r="H275" s="50" t="str">
        <x:f>IF(267&gt;$H$4,"",IF(INDEX('Fleet dates'!$I$9:$I$1008,$I275-8)="","",INDEX('Fleet dates'!$I$9:$I$1008,$I275-8)))</x:f>
      </x:c>
      <x:c r="I275" t="str">
        <x:f>IF(267&gt;$H$4,"",MATCH(267,'Fleet dates'!$N$9:$N$1008,0)+8)</x:f>
      </x:c>
    </x:row>
    <x:row r="276" ht="36" customHeight="1">
      <x:c r="A276" s="50" t="str">
        <x:f>IF(268&gt;$H$4,"",IF(INDEX('Fleet dates'!$A$9:$A$1008,$I276-8)="","",INDEX('Fleet dates'!$A$9:$A$1008,$I276-8)))</x:f>
      </x:c>
      <x:c r="B276" s="50" t="str">
        <x:f>IF(268&gt;$H$4,"",IF(INDEX('Fleet dates'!$B$9:$B$1008,$I276-8)="","",INDEX('Fleet dates'!$B$9:$B$1008,$I276-8)))</x:f>
      </x:c>
      <x:c r="C276" s="51" t="str">
        <x:f>IF(268&gt;$H$4,"",IF(INDEX('Fleet dates'!$C$9:$C$1008,$I276-8)="","",INDEX('Fleet dates'!$C$9:$C$1008,$I276-8)))</x:f>
      </x:c>
      <x:c r="D276" s="51" t="str">
        <x:f>IF(268&gt;$H$4,"",IF(INDEX('Fleet dates'!$D$9:$D$1008,$I276-8)="","",INDEX('Fleet dates'!$D$9:$D$1008,$I276-8)))</x:f>
      </x:c>
      <x:c r="E276" s="51" t="str">
        <x:f>IF(268&gt;$H$4,"",IF(INDEX('Fleet dates'!$E$9:$E$1008,$I276-8)="","",INDEX('Fleet dates'!$E$9:$E$1008,$I276-8)))</x:f>
      </x:c>
      <x:c r="F276" s="51" t="str">
        <x:f>IF(268&gt;$H$4,"",IF(INDEX('Fleet dates'!$F$9:$F$1008,$I276-8)="","",INDEX('Fleet dates'!$F$9:$F$1008,$I276-8)))</x:f>
      </x:c>
      <x:c r="G276" s="50" t="str">
        <x:f>IF(268&gt;$H$4,"",IF(INDEX('Fleet dates'!$G$9:$G$1008,$I276-8)="","",INDEX('Fleet dates'!$G$9:$G$1008,$I276-8)))</x:f>
      </x:c>
      <x:c r="H276" s="50" t="str">
        <x:f>IF(268&gt;$H$4,"",IF(INDEX('Fleet dates'!$I$9:$I$1008,$I276-8)="","",INDEX('Fleet dates'!$I$9:$I$1008,$I276-8)))</x:f>
      </x:c>
      <x:c r="I276" t="str">
        <x:f>IF(268&gt;$H$4,"",MATCH(268,'Fleet dates'!$N$9:$N$1008,0)+8)</x:f>
      </x:c>
    </x:row>
    <x:row r="277" ht="36" customHeight="1">
      <x:c r="A277" s="50" t="str">
        <x:f>IF(269&gt;$H$4,"",IF(INDEX('Fleet dates'!$A$9:$A$1008,$I277-8)="","",INDEX('Fleet dates'!$A$9:$A$1008,$I277-8)))</x:f>
      </x:c>
      <x:c r="B277" s="50" t="str">
        <x:f>IF(269&gt;$H$4,"",IF(INDEX('Fleet dates'!$B$9:$B$1008,$I277-8)="","",INDEX('Fleet dates'!$B$9:$B$1008,$I277-8)))</x:f>
      </x:c>
      <x:c r="C277" s="51" t="str">
        <x:f>IF(269&gt;$H$4,"",IF(INDEX('Fleet dates'!$C$9:$C$1008,$I277-8)="","",INDEX('Fleet dates'!$C$9:$C$1008,$I277-8)))</x:f>
      </x:c>
      <x:c r="D277" s="51" t="str">
        <x:f>IF(269&gt;$H$4,"",IF(INDEX('Fleet dates'!$D$9:$D$1008,$I277-8)="","",INDEX('Fleet dates'!$D$9:$D$1008,$I277-8)))</x:f>
      </x:c>
      <x:c r="E277" s="51" t="str">
        <x:f>IF(269&gt;$H$4,"",IF(INDEX('Fleet dates'!$E$9:$E$1008,$I277-8)="","",INDEX('Fleet dates'!$E$9:$E$1008,$I277-8)))</x:f>
      </x:c>
      <x:c r="F277" s="51" t="str">
        <x:f>IF(269&gt;$H$4,"",IF(INDEX('Fleet dates'!$F$9:$F$1008,$I277-8)="","",INDEX('Fleet dates'!$F$9:$F$1008,$I277-8)))</x:f>
      </x:c>
      <x:c r="G277" s="50" t="str">
        <x:f>IF(269&gt;$H$4,"",IF(INDEX('Fleet dates'!$G$9:$G$1008,$I277-8)="","",INDEX('Fleet dates'!$G$9:$G$1008,$I277-8)))</x:f>
      </x:c>
      <x:c r="H277" s="50" t="str">
        <x:f>IF(269&gt;$H$4,"",IF(INDEX('Fleet dates'!$I$9:$I$1008,$I277-8)="","",INDEX('Fleet dates'!$I$9:$I$1008,$I277-8)))</x:f>
      </x:c>
      <x:c r="I277" t="str">
        <x:f>IF(269&gt;$H$4,"",MATCH(269,'Fleet dates'!$N$9:$N$1008,0)+8)</x:f>
      </x:c>
    </x:row>
    <x:row r="278" ht="36" customHeight="1">
      <x:c r="A278" s="50" t="str">
        <x:f>IF(270&gt;$H$4,"",IF(INDEX('Fleet dates'!$A$9:$A$1008,$I278-8)="","",INDEX('Fleet dates'!$A$9:$A$1008,$I278-8)))</x:f>
      </x:c>
      <x:c r="B278" s="50" t="str">
        <x:f>IF(270&gt;$H$4,"",IF(INDEX('Fleet dates'!$B$9:$B$1008,$I278-8)="","",INDEX('Fleet dates'!$B$9:$B$1008,$I278-8)))</x:f>
      </x:c>
      <x:c r="C278" s="51" t="str">
        <x:f>IF(270&gt;$H$4,"",IF(INDEX('Fleet dates'!$C$9:$C$1008,$I278-8)="","",INDEX('Fleet dates'!$C$9:$C$1008,$I278-8)))</x:f>
      </x:c>
      <x:c r="D278" s="51" t="str">
        <x:f>IF(270&gt;$H$4,"",IF(INDEX('Fleet dates'!$D$9:$D$1008,$I278-8)="","",INDEX('Fleet dates'!$D$9:$D$1008,$I278-8)))</x:f>
      </x:c>
      <x:c r="E278" s="51" t="str">
        <x:f>IF(270&gt;$H$4,"",IF(INDEX('Fleet dates'!$E$9:$E$1008,$I278-8)="","",INDEX('Fleet dates'!$E$9:$E$1008,$I278-8)))</x:f>
      </x:c>
      <x:c r="F278" s="51" t="str">
        <x:f>IF(270&gt;$H$4,"",IF(INDEX('Fleet dates'!$F$9:$F$1008,$I278-8)="","",INDEX('Fleet dates'!$F$9:$F$1008,$I278-8)))</x:f>
      </x:c>
      <x:c r="G278" s="50" t="str">
        <x:f>IF(270&gt;$H$4,"",IF(INDEX('Fleet dates'!$G$9:$G$1008,$I278-8)="","",INDEX('Fleet dates'!$G$9:$G$1008,$I278-8)))</x:f>
      </x:c>
      <x:c r="H278" s="50" t="str">
        <x:f>IF(270&gt;$H$4,"",IF(INDEX('Fleet dates'!$I$9:$I$1008,$I278-8)="","",INDEX('Fleet dates'!$I$9:$I$1008,$I278-8)))</x:f>
      </x:c>
      <x:c r="I278" t="str">
        <x:f>IF(270&gt;$H$4,"",MATCH(270,'Fleet dates'!$N$9:$N$1008,0)+8)</x:f>
      </x:c>
    </x:row>
    <x:row r="279" ht="36" customHeight="1">
      <x:c r="A279" s="50" t="str">
        <x:f>IF(271&gt;$H$4,"",IF(INDEX('Fleet dates'!$A$9:$A$1008,$I279-8)="","",INDEX('Fleet dates'!$A$9:$A$1008,$I279-8)))</x:f>
      </x:c>
      <x:c r="B279" s="50" t="str">
        <x:f>IF(271&gt;$H$4,"",IF(INDEX('Fleet dates'!$B$9:$B$1008,$I279-8)="","",INDEX('Fleet dates'!$B$9:$B$1008,$I279-8)))</x:f>
      </x:c>
      <x:c r="C279" s="51" t="str">
        <x:f>IF(271&gt;$H$4,"",IF(INDEX('Fleet dates'!$C$9:$C$1008,$I279-8)="","",INDEX('Fleet dates'!$C$9:$C$1008,$I279-8)))</x:f>
      </x:c>
      <x:c r="D279" s="51" t="str">
        <x:f>IF(271&gt;$H$4,"",IF(INDEX('Fleet dates'!$D$9:$D$1008,$I279-8)="","",INDEX('Fleet dates'!$D$9:$D$1008,$I279-8)))</x:f>
      </x:c>
      <x:c r="E279" s="51" t="str">
        <x:f>IF(271&gt;$H$4,"",IF(INDEX('Fleet dates'!$E$9:$E$1008,$I279-8)="","",INDEX('Fleet dates'!$E$9:$E$1008,$I279-8)))</x:f>
      </x:c>
      <x:c r="F279" s="51" t="str">
        <x:f>IF(271&gt;$H$4,"",IF(INDEX('Fleet dates'!$F$9:$F$1008,$I279-8)="","",INDEX('Fleet dates'!$F$9:$F$1008,$I279-8)))</x:f>
      </x:c>
      <x:c r="G279" s="50" t="str">
        <x:f>IF(271&gt;$H$4,"",IF(INDEX('Fleet dates'!$G$9:$G$1008,$I279-8)="","",INDEX('Fleet dates'!$G$9:$G$1008,$I279-8)))</x:f>
      </x:c>
      <x:c r="H279" s="50" t="str">
        <x:f>IF(271&gt;$H$4,"",IF(INDEX('Fleet dates'!$I$9:$I$1008,$I279-8)="","",INDEX('Fleet dates'!$I$9:$I$1008,$I279-8)))</x:f>
      </x:c>
      <x:c r="I279" t="str">
        <x:f>IF(271&gt;$H$4,"",MATCH(271,'Fleet dates'!$N$9:$N$1008,0)+8)</x:f>
      </x:c>
    </x:row>
    <x:row r="280" ht="36" customHeight="1">
      <x:c r="A280" s="50" t="str">
        <x:f>IF(272&gt;$H$4,"",IF(INDEX('Fleet dates'!$A$9:$A$1008,$I280-8)="","",INDEX('Fleet dates'!$A$9:$A$1008,$I280-8)))</x:f>
      </x:c>
      <x:c r="B280" s="50" t="str">
        <x:f>IF(272&gt;$H$4,"",IF(INDEX('Fleet dates'!$B$9:$B$1008,$I280-8)="","",INDEX('Fleet dates'!$B$9:$B$1008,$I280-8)))</x:f>
      </x:c>
      <x:c r="C280" s="51" t="str">
        <x:f>IF(272&gt;$H$4,"",IF(INDEX('Fleet dates'!$C$9:$C$1008,$I280-8)="","",INDEX('Fleet dates'!$C$9:$C$1008,$I280-8)))</x:f>
      </x:c>
      <x:c r="D280" s="51" t="str">
        <x:f>IF(272&gt;$H$4,"",IF(INDEX('Fleet dates'!$D$9:$D$1008,$I280-8)="","",INDEX('Fleet dates'!$D$9:$D$1008,$I280-8)))</x:f>
      </x:c>
      <x:c r="E280" s="51" t="str">
        <x:f>IF(272&gt;$H$4,"",IF(INDEX('Fleet dates'!$E$9:$E$1008,$I280-8)="","",INDEX('Fleet dates'!$E$9:$E$1008,$I280-8)))</x:f>
      </x:c>
      <x:c r="F280" s="51" t="str">
        <x:f>IF(272&gt;$H$4,"",IF(INDEX('Fleet dates'!$F$9:$F$1008,$I280-8)="","",INDEX('Fleet dates'!$F$9:$F$1008,$I280-8)))</x:f>
      </x:c>
      <x:c r="G280" s="50" t="str">
        <x:f>IF(272&gt;$H$4,"",IF(INDEX('Fleet dates'!$G$9:$G$1008,$I280-8)="","",INDEX('Fleet dates'!$G$9:$G$1008,$I280-8)))</x:f>
      </x:c>
      <x:c r="H280" s="50" t="str">
        <x:f>IF(272&gt;$H$4,"",IF(INDEX('Fleet dates'!$I$9:$I$1008,$I280-8)="","",INDEX('Fleet dates'!$I$9:$I$1008,$I280-8)))</x:f>
      </x:c>
      <x:c r="I280" t="str">
        <x:f>IF(272&gt;$H$4,"",MATCH(272,'Fleet dates'!$N$9:$N$1008,0)+8)</x:f>
      </x:c>
    </x:row>
    <x:row r="281" ht="36" customHeight="1">
      <x:c r="A281" s="50" t="str">
        <x:f>IF(273&gt;$H$4,"",IF(INDEX('Fleet dates'!$A$9:$A$1008,$I281-8)="","",INDEX('Fleet dates'!$A$9:$A$1008,$I281-8)))</x:f>
      </x:c>
      <x:c r="B281" s="50" t="str">
        <x:f>IF(273&gt;$H$4,"",IF(INDEX('Fleet dates'!$B$9:$B$1008,$I281-8)="","",INDEX('Fleet dates'!$B$9:$B$1008,$I281-8)))</x:f>
      </x:c>
      <x:c r="C281" s="51" t="str">
        <x:f>IF(273&gt;$H$4,"",IF(INDEX('Fleet dates'!$C$9:$C$1008,$I281-8)="","",INDEX('Fleet dates'!$C$9:$C$1008,$I281-8)))</x:f>
      </x:c>
      <x:c r="D281" s="51" t="str">
        <x:f>IF(273&gt;$H$4,"",IF(INDEX('Fleet dates'!$D$9:$D$1008,$I281-8)="","",INDEX('Fleet dates'!$D$9:$D$1008,$I281-8)))</x:f>
      </x:c>
      <x:c r="E281" s="51" t="str">
        <x:f>IF(273&gt;$H$4,"",IF(INDEX('Fleet dates'!$E$9:$E$1008,$I281-8)="","",INDEX('Fleet dates'!$E$9:$E$1008,$I281-8)))</x:f>
      </x:c>
      <x:c r="F281" s="51" t="str">
        <x:f>IF(273&gt;$H$4,"",IF(INDEX('Fleet dates'!$F$9:$F$1008,$I281-8)="","",INDEX('Fleet dates'!$F$9:$F$1008,$I281-8)))</x:f>
      </x:c>
      <x:c r="G281" s="50" t="str">
        <x:f>IF(273&gt;$H$4,"",IF(INDEX('Fleet dates'!$G$9:$G$1008,$I281-8)="","",INDEX('Fleet dates'!$G$9:$G$1008,$I281-8)))</x:f>
      </x:c>
      <x:c r="H281" s="50" t="str">
        <x:f>IF(273&gt;$H$4,"",IF(INDEX('Fleet dates'!$I$9:$I$1008,$I281-8)="","",INDEX('Fleet dates'!$I$9:$I$1008,$I281-8)))</x:f>
      </x:c>
      <x:c r="I281" t="str">
        <x:f>IF(273&gt;$H$4,"",MATCH(273,'Fleet dates'!$N$9:$N$1008,0)+8)</x:f>
      </x:c>
    </x:row>
    <x:row r="282" ht="36" customHeight="1">
      <x:c r="A282" s="50" t="str">
        <x:f>IF(274&gt;$H$4,"",IF(INDEX('Fleet dates'!$A$9:$A$1008,$I282-8)="","",INDEX('Fleet dates'!$A$9:$A$1008,$I282-8)))</x:f>
      </x:c>
      <x:c r="B282" s="50" t="str">
        <x:f>IF(274&gt;$H$4,"",IF(INDEX('Fleet dates'!$B$9:$B$1008,$I282-8)="","",INDEX('Fleet dates'!$B$9:$B$1008,$I282-8)))</x:f>
      </x:c>
      <x:c r="C282" s="51" t="str">
        <x:f>IF(274&gt;$H$4,"",IF(INDEX('Fleet dates'!$C$9:$C$1008,$I282-8)="","",INDEX('Fleet dates'!$C$9:$C$1008,$I282-8)))</x:f>
      </x:c>
      <x:c r="D282" s="51" t="str">
        <x:f>IF(274&gt;$H$4,"",IF(INDEX('Fleet dates'!$D$9:$D$1008,$I282-8)="","",INDEX('Fleet dates'!$D$9:$D$1008,$I282-8)))</x:f>
      </x:c>
      <x:c r="E282" s="51" t="str">
        <x:f>IF(274&gt;$H$4,"",IF(INDEX('Fleet dates'!$E$9:$E$1008,$I282-8)="","",INDEX('Fleet dates'!$E$9:$E$1008,$I282-8)))</x:f>
      </x:c>
      <x:c r="F282" s="51" t="str">
        <x:f>IF(274&gt;$H$4,"",IF(INDEX('Fleet dates'!$F$9:$F$1008,$I282-8)="","",INDEX('Fleet dates'!$F$9:$F$1008,$I282-8)))</x:f>
      </x:c>
      <x:c r="G282" s="50" t="str">
        <x:f>IF(274&gt;$H$4,"",IF(INDEX('Fleet dates'!$G$9:$G$1008,$I282-8)="","",INDEX('Fleet dates'!$G$9:$G$1008,$I282-8)))</x:f>
      </x:c>
      <x:c r="H282" s="50" t="str">
        <x:f>IF(274&gt;$H$4,"",IF(INDEX('Fleet dates'!$I$9:$I$1008,$I282-8)="","",INDEX('Fleet dates'!$I$9:$I$1008,$I282-8)))</x:f>
      </x:c>
      <x:c r="I282" t="str">
        <x:f>IF(274&gt;$H$4,"",MATCH(274,'Fleet dates'!$N$9:$N$1008,0)+8)</x:f>
      </x:c>
    </x:row>
    <x:row r="283" ht="36" customHeight="1">
      <x:c r="A283" s="50" t="str">
        <x:f>IF(275&gt;$H$4,"",IF(INDEX('Fleet dates'!$A$9:$A$1008,$I283-8)="","",INDEX('Fleet dates'!$A$9:$A$1008,$I283-8)))</x:f>
      </x:c>
      <x:c r="B283" s="50" t="str">
        <x:f>IF(275&gt;$H$4,"",IF(INDEX('Fleet dates'!$B$9:$B$1008,$I283-8)="","",INDEX('Fleet dates'!$B$9:$B$1008,$I283-8)))</x:f>
      </x:c>
      <x:c r="C283" s="51" t="str">
        <x:f>IF(275&gt;$H$4,"",IF(INDEX('Fleet dates'!$C$9:$C$1008,$I283-8)="","",INDEX('Fleet dates'!$C$9:$C$1008,$I283-8)))</x:f>
      </x:c>
      <x:c r="D283" s="51" t="str">
        <x:f>IF(275&gt;$H$4,"",IF(INDEX('Fleet dates'!$D$9:$D$1008,$I283-8)="","",INDEX('Fleet dates'!$D$9:$D$1008,$I283-8)))</x:f>
      </x:c>
      <x:c r="E283" s="51" t="str">
        <x:f>IF(275&gt;$H$4,"",IF(INDEX('Fleet dates'!$E$9:$E$1008,$I283-8)="","",INDEX('Fleet dates'!$E$9:$E$1008,$I283-8)))</x:f>
      </x:c>
      <x:c r="F283" s="51" t="str">
        <x:f>IF(275&gt;$H$4,"",IF(INDEX('Fleet dates'!$F$9:$F$1008,$I283-8)="","",INDEX('Fleet dates'!$F$9:$F$1008,$I283-8)))</x:f>
      </x:c>
      <x:c r="G283" s="50" t="str">
        <x:f>IF(275&gt;$H$4,"",IF(INDEX('Fleet dates'!$G$9:$G$1008,$I283-8)="","",INDEX('Fleet dates'!$G$9:$G$1008,$I283-8)))</x:f>
      </x:c>
      <x:c r="H283" s="50" t="str">
        <x:f>IF(275&gt;$H$4,"",IF(INDEX('Fleet dates'!$I$9:$I$1008,$I283-8)="","",INDEX('Fleet dates'!$I$9:$I$1008,$I283-8)))</x:f>
      </x:c>
      <x:c r="I283" t="str">
        <x:f>IF(275&gt;$H$4,"",MATCH(275,'Fleet dates'!$N$9:$N$1008,0)+8)</x:f>
      </x:c>
    </x:row>
    <x:row r="284" ht="36" customHeight="1">
      <x:c r="A284" s="50" t="str">
        <x:f>IF(276&gt;$H$4,"",IF(INDEX('Fleet dates'!$A$9:$A$1008,$I284-8)="","",INDEX('Fleet dates'!$A$9:$A$1008,$I284-8)))</x:f>
      </x:c>
      <x:c r="B284" s="50" t="str">
        <x:f>IF(276&gt;$H$4,"",IF(INDEX('Fleet dates'!$B$9:$B$1008,$I284-8)="","",INDEX('Fleet dates'!$B$9:$B$1008,$I284-8)))</x:f>
      </x:c>
      <x:c r="C284" s="51" t="str">
        <x:f>IF(276&gt;$H$4,"",IF(INDEX('Fleet dates'!$C$9:$C$1008,$I284-8)="","",INDEX('Fleet dates'!$C$9:$C$1008,$I284-8)))</x:f>
      </x:c>
      <x:c r="D284" s="51" t="str">
        <x:f>IF(276&gt;$H$4,"",IF(INDEX('Fleet dates'!$D$9:$D$1008,$I284-8)="","",INDEX('Fleet dates'!$D$9:$D$1008,$I284-8)))</x:f>
      </x:c>
      <x:c r="E284" s="51" t="str">
        <x:f>IF(276&gt;$H$4,"",IF(INDEX('Fleet dates'!$E$9:$E$1008,$I284-8)="","",INDEX('Fleet dates'!$E$9:$E$1008,$I284-8)))</x:f>
      </x:c>
      <x:c r="F284" s="51" t="str">
        <x:f>IF(276&gt;$H$4,"",IF(INDEX('Fleet dates'!$F$9:$F$1008,$I284-8)="","",INDEX('Fleet dates'!$F$9:$F$1008,$I284-8)))</x:f>
      </x:c>
      <x:c r="G284" s="50" t="str">
        <x:f>IF(276&gt;$H$4,"",IF(INDEX('Fleet dates'!$G$9:$G$1008,$I284-8)="","",INDEX('Fleet dates'!$G$9:$G$1008,$I284-8)))</x:f>
      </x:c>
      <x:c r="H284" s="50" t="str">
        <x:f>IF(276&gt;$H$4,"",IF(INDEX('Fleet dates'!$I$9:$I$1008,$I284-8)="","",INDEX('Fleet dates'!$I$9:$I$1008,$I284-8)))</x:f>
      </x:c>
      <x:c r="I284" t="str">
        <x:f>IF(276&gt;$H$4,"",MATCH(276,'Fleet dates'!$N$9:$N$1008,0)+8)</x:f>
      </x:c>
    </x:row>
    <x:row r="285" ht="36" customHeight="1">
      <x:c r="A285" s="50" t="str">
        <x:f>IF(277&gt;$H$4,"",IF(INDEX('Fleet dates'!$A$9:$A$1008,$I285-8)="","",INDEX('Fleet dates'!$A$9:$A$1008,$I285-8)))</x:f>
      </x:c>
      <x:c r="B285" s="50" t="str">
        <x:f>IF(277&gt;$H$4,"",IF(INDEX('Fleet dates'!$B$9:$B$1008,$I285-8)="","",INDEX('Fleet dates'!$B$9:$B$1008,$I285-8)))</x:f>
      </x:c>
      <x:c r="C285" s="51" t="str">
        <x:f>IF(277&gt;$H$4,"",IF(INDEX('Fleet dates'!$C$9:$C$1008,$I285-8)="","",INDEX('Fleet dates'!$C$9:$C$1008,$I285-8)))</x:f>
      </x:c>
      <x:c r="D285" s="51" t="str">
        <x:f>IF(277&gt;$H$4,"",IF(INDEX('Fleet dates'!$D$9:$D$1008,$I285-8)="","",INDEX('Fleet dates'!$D$9:$D$1008,$I285-8)))</x:f>
      </x:c>
      <x:c r="E285" s="51" t="str">
        <x:f>IF(277&gt;$H$4,"",IF(INDEX('Fleet dates'!$E$9:$E$1008,$I285-8)="","",INDEX('Fleet dates'!$E$9:$E$1008,$I285-8)))</x:f>
      </x:c>
      <x:c r="F285" s="51" t="str">
        <x:f>IF(277&gt;$H$4,"",IF(INDEX('Fleet dates'!$F$9:$F$1008,$I285-8)="","",INDEX('Fleet dates'!$F$9:$F$1008,$I285-8)))</x:f>
      </x:c>
      <x:c r="G285" s="50" t="str">
        <x:f>IF(277&gt;$H$4,"",IF(INDEX('Fleet dates'!$G$9:$G$1008,$I285-8)="","",INDEX('Fleet dates'!$G$9:$G$1008,$I285-8)))</x:f>
      </x:c>
      <x:c r="H285" s="50" t="str">
        <x:f>IF(277&gt;$H$4,"",IF(INDEX('Fleet dates'!$I$9:$I$1008,$I285-8)="","",INDEX('Fleet dates'!$I$9:$I$1008,$I285-8)))</x:f>
      </x:c>
      <x:c r="I285" t="str">
        <x:f>IF(277&gt;$H$4,"",MATCH(277,'Fleet dates'!$N$9:$N$1008,0)+8)</x:f>
      </x:c>
    </x:row>
    <x:row r="286" ht="36" customHeight="1">
      <x:c r="A286" s="50" t="str">
        <x:f>IF(278&gt;$H$4,"",IF(INDEX('Fleet dates'!$A$9:$A$1008,$I286-8)="","",INDEX('Fleet dates'!$A$9:$A$1008,$I286-8)))</x:f>
      </x:c>
      <x:c r="B286" s="50" t="str">
        <x:f>IF(278&gt;$H$4,"",IF(INDEX('Fleet dates'!$B$9:$B$1008,$I286-8)="","",INDEX('Fleet dates'!$B$9:$B$1008,$I286-8)))</x:f>
      </x:c>
      <x:c r="C286" s="51" t="str">
        <x:f>IF(278&gt;$H$4,"",IF(INDEX('Fleet dates'!$C$9:$C$1008,$I286-8)="","",INDEX('Fleet dates'!$C$9:$C$1008,$I286-8)))</x:f>
      </x:c>
      <x:c r="D286" s="51" t="str">
        <x:f>IF(278&gt;$H$4,"",IF(INDEX('Fleet dates'!$D$9:$D$1008,$I286-8)="","",INDEX('Fleet dates'!$D$9:$D$1008,$I286-8)))</x:f>
      </x:c>
      <x:c r="E286" s="51" t="str">
        <x:f>IF(278&gt;$H$4,"",IF(INDEX('Fleet dates'!$E$9:$E$1008,$I286-8)="","",INDEX('Fleet dates'!$E$9:$E$1008,$I286-8)))</x:f>
      </x:c>
      <x:c r="F286" s="51" t="str">
        <x:f>IF(278&gt;$H$4,"",IF(INDEX('Fleet dates'!$F$9:$F$1008,$I286-8)="","",INDEX('Fleet dates'!$F$9:$F$1008,$I286-8)))</x:f>
      </x:c>
      <x:c r="G286" s="50" t="str">
        <x:f>IF(278&gt;$H$4,"",IF(INDEX('Fleet dates'!$G$9:$G$1008,$I286-8)="","",INDEX('Fleet dates'!$G$9:$G$1008,$I286-8)))</x:f>
      </x:c>
      <x:c r="H286" s="50" t="str">
        <x:f>IF(278&gt;$H$4,"",IF(INDEX('Fleet dates'!$I$9:$I$1008,$I286-8)="","",INDEX('Fleet dates'!$I$9:$I$1008,$I286-8)))</x:f>
      </x:c>
      <x:c r="I286" t="str">
        <x:f>IF(278&gt;$H$4,"",MATCH(278,'Fleet dates'!$N$9:$N$1008,0)+8)</x:f>
      </x:c>
    </x:row>
    <x:row r="287" ht="36" customHeight="1">
      <x:c r="A287" s="50" t="str">
        <x:f>IF(279&gt;$H$4,"",IF(INDEX('Fleet dates'!$A$9:$A$1008,$I287-8)="","",INDEX('Fleet dates'!$A$9:$A$1008,$I287-8)))</x:f>
      </x:c>
      <x:c r="B287" s="50" t="str">
        <x:f>IF(279&gt;$H$4,"",IF(INDEX('Fleet dates'!$B$9:$B$1008,$I287-8)="","",INDEX('Fleet dates'!$B$9:$B$1008,$I287-8)))</x:f>
      </x:c>
      <x:c r="C287" s="51" t="str">
        <x:f>IF(279&gt;$H$4,"",IF(INDEX('Fleet dates'!$C$9:$C$1008,$I287-8)="","",INDEX('Fleet dates'!$C$9:$C$1008,$I287-8)))</x:f>
      </x:c>
      <x:c r="D287" s="51" t="str">
        <x:f>IF(279&gt;$H$4,"",IF(INDEX('Fleet dates'!$D$9:$D$1008,$I287-8)="","",INDEX('Fleet dates'!$D$9:$D$1008,$I287-8)))</x:f>
      </x:c>
      <x:c r="E287" s="51" t="str">
        <x:f>IF(279&gt;$H$4,"",IF(INDEX('Fleet dates'!$E$9:$E$1008,$I287-8)="","",INDEX('Fleet dates'!$E$9:$E$1008,$I287-8)))</x:f>
      </x:c>
      <x:c r="F287" s="51" t="str">
        <x:f>IF(279&gt;$H$4,"",IF(INDEX('Fleet dates'!$F$9:$F$1008,$I287-8)="","",INDEX('Fleet dates'!$F$9:$F$1008,$I287-8)))</x:f>
      </x:c>
      <x:c r="G287" s="50" t="str">
        <x:f>IF(279&gt;$H$4,"",IF(INDEX('Fleet dates'!$G$9:$G$1008,$I287-8)="","",INDEX('Fleet dates'!$G$9:$G$1008,$I287-8)))</x:f>
      </x:c>
      <x:c r="H287" s="50" t="str">
        <x:f>IF(279&gt;$H$4,"",IF(INDEX('Fleet dates'!$I$9:$I$1008,$I287-8)="","",INDEX('Fleet dates'!$I$9:$I$1008,$I287-8)))</x:f>
      </x:c>
      <x:c r="I287" t="str">
        <x:f>IF(279&gt;$H$4,"",MATCH(279,'Fleet dates'!$N$9:$N$1008,0)+8)</x:f>
      </x:c>
    </x:row>
    <x:row r="288" ht="36" customHeight="1">
      <x:c r="A288" s="50" t="str">
        <x:f>IF(280&gt;$H$4,"",IF(INDEX('Fleet dates'!$A$9:$A$1008,$I288-8)="","",INDEX('Fleet dates'!$A$9:$A$1008,$I288-8)))</x:f>
      </x:c>
      <x:c r="B288" s="50" t="str">
        <x:f>IF(280&gt;$H$4,"",IF(INDEX('Fleet dates'!$B$9:$B$1008,$I288-8)="","",INDEX('Fleet dates'!$B$9:$B$1008,$I288-8)))</x:f>
      </x:c>
      <x:c r="C288" s="51" t="str">
        <x:f>IF(280&gt;$H$4,"",IF(INDEX('Fleet dates'!$C$9:$C$1008,$I288-8)="","",INDEX('Fleet dates'!$C$9:$C$1008,$I288-8)))</x:f>
      </x:c>
      <x:c r="D288" s="51" t="str">
        <x:f>IF(280&gt;$H$4,"",IF(INDEX('Fleet dates'!$D$9:$D$1008,$I288-8)="","",INDEX('Fleet dates'!$D$9:$D$1008,$I288-8)))</x:f>
      </x:c>
      <x:c r="E288" s="51" t="str">
        <x:f>IF(280&gt;$H$4,"",IF(INDEX('Fleet dates'!$E$9:$E$1008,$I288-8)="","",INDEX('Fleet dates'!$E$9:$E$1008,$I288-8)))</x:f>
      </x:c>
      <x:c r="F288" s="51" t="str">
        <x:f>IF(280&gt;$H$4,"",IF(INDEX('Fleet dates'!$F$9:$F$1008,$I288-8)="","",INDEX('Fleet dates'!$F$9:$F$1008,$I288-8)))</x:f>
      </x:c>
      <x:c r="G288" s="50" t="str">
        <x:f>IF(280&gt;$H$4,"",IF(INDEX('Fleet dates'!$G$9:$G$1008,$I288-8)="","",INDEX('Fleet dates'!$G$9:$G$1008,$I288-8)))</x:f>
      </x:c>
      <x:c r="H288" s="50" t="str">
        <x:f>IF(280&gt;$H$4,"",IF(INDEX('Fleet dates'!$I$9:$I$1008,$I288-8)="","",INDEX('Fleet dates'!$I$9:$I$1008,$I288-8)))</x:f>
      </x:c>
      <x:c r="I288" t="str">
        <x:f>IF(280&gt;$H$4,"",MATCH(280,'Fleet dates'!$N$9:$N$1008,0)+8)</x:f>
      </x:c>
    </x:row>
    <x:row r="289" ht="36" customHeight="1">
      <x:c r="A289" s="50" t="str">
        <x:f>IF(281&gt;$H$4,"",IF(INDEX('Fleet dates'!$A$9:$A$1008,$I289-8)="","",INDEX('Fleet dates'!$A$9:$A$1008,$I289-8)))</x:f>
      </x:c>
      <x:c r="B289" s="50" t="str">
        <x:f>IF(281&gt;$H$4,"",IF(INDEX('Fleet dates'!$B$9:$B$1008,$I289-8)="","",INDEX('Fleet dates'!$B$9:$B$1008,$I289-8)))</x:f>
      </x:c>
      <x:c r="C289" s="51" t="str">
        <x:f>IF(281&gt;$H$4,"",IF(INDEX('Fleet dates'!$C$9:$C$1008,$I289-8)="","",INDEX('Fleet dates'!$C$9:$C$1008,$I289-8)))</x:f>
      </x:c>
      <x:c r="D289" s="51" t="str">
        <x:f>IF(281&gt;$H$4,"",IF(INDEX('Fleet dates'!$D$9:$D$1008,$I289-8)="","",INDEX('Fleet dates'!$D$9:$D$1008,$I289-8)))</x:f>
      </x:c>
      <x:c r="E289" s="51" t="str">
        <x:f>IF(281&gt;$H$4,"",IF(INDEX('Fleet dates'!$E$9:$E$1008,$I289-8)="","",INDEX('Fleet dates'!$E$9:$E$1008,$I289-8)))</x:f>
      </x:c>
      <x:c r="F289" s="51" t="str">
        <x:f>IF(281&gt;$H$4,"",IF(INDEX('Fleet dates'!$F$9:$F$1008,$I289-8)="","",INDEX('Fleet dates'!$F$9:$F$1008,$I289-8)))</x:f>
      </x:c>
      <x:c r="G289" s="50" t="str">
        <x:f>IF(281&gt;$H$4,"",IF(INDEX('Fleet dates'!$G$9:$G$1008,$I289-8)="","",INDEX('Fleet dates'!$G$9:$G$1008,$I289-8)))</x:f>
      </x:c>
      <x:c r="H289" s="50" t="str">
        <x:f>IF(281&gt;$H$4,"",IF(INDEX('Fleet dates'!$I$9:$I$1008,$I289-8)="","",INDEX('Fleet dates'!$I$9:$I$1008,$I289-8)))</x:f>
      </x:c>
      <x:c r="I289" t="str">
        <x:f>IF(281&gt;$H$4,"",MATCH(281,'Fleet dates'!$N$9:$N$1008,0)+8)</x:f>
      </x:c>
    </x:row>
    <x:row r="290" ht="36" customHeight="1">
      <x:c r="A290" s="50" t="str">
        <x:f>IF(282&gt;$H$4,"",IF(INDEX('Fleet dates'!$A$9:$A$1008,$I290-8)="","",INDEX('Fleet dates'!$A$9:$A$1008,$I290-8)))</x:f>
      </x:c>
      <x:c r="B290" s="50" t="str">
        <x:f>IF(282&gt;$H$4,"",IF(INDEX('Fleet dates'!$B$9:$B$1008,$I290-8)="","",INDEX('Fleet dates'!$B$9:$B$1008,$I290-8)))</x:f>
      </x:c>
      <x:c r="C290" s="51" t="str">
        <x:f>IF(282&gt;$H$4,"",IF(INDEX('Fleet dates'!$C$9:$C$1008,$I290-8)="","",INDEX('Fleet dates'!$C$9:$C$1008,$I290-8)))</x:f>
      </x:c>
      <x:c r="D290" s="51" t="str">
        <x:f>IF(282&gt;$H$4,"",IF(INDEX('Fleet dates'!$D$9:$D$1008,$I290-8)="","",INDEX('Fleet dates'!$D$9:$D$1008,$I290-8)))</x:f>
      </x:c>
      <x:c r="E290" s="51" t="str">
        <x:f>IF(282&gt;$H$4,"",IF(INDEX('Fleet dates'!$E$9:$E$1008,$I290-8)="","",INDEX('Fleet dates'!$E$9:$E$1008,$I290-8)))</x:f>
      </x:c>
      <x:c r="F290" s="51" t="str">
        <x:f>IF(282&gt;$H$4,"",IF(INDEX('Fleet dates'!$F$9:$F$1008,$I290-8)="","",INDEX('Fleet dates'!$F$9:$F$1008,$I290-8)))</x:f>
      </x:c>
      <x:c r="G290" s="50" t="str">
        <x:f>IF(282&gt;$H$4,"",IF(INDEX('Fleet dates'!$G$9:$G$1008,$I290-8)="","",INDEX('Fleet dates'!$G$9:$G$1008,$I290-8)))</x:f>
      </x:c>
      <x:c r="H290" s="50" t="str">
        <x:f>IF(282&gt;$H$4,"",IF(INDEX('Fleet dates'!$I$9:$I$1008,$I290-8)="","",INDEX('Fleet dates'!$I$9:$I$1008,$I290-8)))</x:f>
      </x:c>
      <x:c r="I290" t="str">
        <x:f>IF(282&gt;$H$4,"",MATCH(282,'Fleet dates'!$N$9:$N$1008,0)+8)</x:f>
      </x:c>
    </x:row>
    <x:row r="291" ht="36" customHeight="1">
      <x:c r="A291" s="50" t="str">
        <x:f>IF(283&gt;$H$4,"",IF(INDEX('Fleet dates'!$A$9:$A$1008,$I291-8)="","",INDEX('Fleet dates'!$A$9:$A$1008,$I291-8)))</x:f>
      </x:c>
      <x:c r="B291" s="50" t="str">
        <x:f>IF(283&gt;$H$4,"",IF(INDEX('Fleet dates'!$B$9:$B$1008,$I291-8)="","",INDEX('Fleet dates'!$B$9:$B$1008,$I291-8)))</x:f>
      </x:c>
      <x:c r="C291" s="51" t="str">
        <x:f>IF(283&gt;$H$4,"",IF(INDEX('Fleet dates'!$C$9:$C$1008,$I291-8)="","",INDEX('Fleet dates'!$C$9:$C$1008,$I291-8)))</x:f>
      </x:c>
      <x:c r="D291" s="51" t="str">
        <x:f>IF(283&gt;$H$4,"",IF(INDEX('Fleet dates'!$D$9:$D$1008,$I291-8)="","",INDEX('Fleet dates'!$D$9:$D$1008,$I291-8)))</x:f>
      </x:c>
      <x:c r="E291" s="51" t="str">
        <x:f>IF(283&gt;$H$4,"",IF(INDEX('Fleet dates'!$E$9:$E$1008,$I291-8)="","",INDEX('Fleet dates'!$E$9:$E$1008,$I291-8)))</x:f>
      </x:c>
      <x:c r="F291" s="51" t="str">
        <x:f>IF(283&gt;$H$4,"",IF(INDEX('Fleet dates'!$F$9:$F$1008,$I291-8)="","",INDEX('Fleet dates'!$F$9:$F$1008,$I291-8)))</x:f>
      </x:c>
      <x:c r="G291" s="50" t="str">
        <x:f>IF(283&gt;$H$4,"",IF(INDEX('Fleet dates'!$G$9:$G$1008,$I291-8)="","",INDEX('Fleet dates'!$G$9:$G$1008,$I291-8)))</x:f>
      </x:c>
      <x:c r="H291" s="50" t="str">
        <x:f>IF(283&gt;$H$4,"",IF(INDEX('Fleet dates'!$I$9:$I$1008,$I291-8)="","",INDEX('Fleet dates'!$I$9:$I$1008,$I291-8)))</x:f>
      </x:c>
      <x:c r="I291" t="str">
        <x:f>IF(283&gt;$H$4,"",MATCH(283,'Fleet dates'!$N$9:$N$1008,0)+8)</x:f>
      </x:c>
    </x:row>
    <x:row r="292" ht="36" customHeight="1">
      <x:c r="A292" s="50" t="str">
        <x:f>IF(284&gt;$H$4,"",IF(INDEX('Fleet dates'!$A$9:$A$1008,$I292-8)="","",INDEX('Fleet dates'!$A$9:$A$1008,$I292-8)))</x:f>
      </x:c>
      <x:c r="B292" s="50" t="str">
        <x:f>IF(284&gt;$H$4,"",IF(INDEX('Fleet dates'!$B$9:$B$1008,$I292-8)="","",INDEX('Fleet dates'!$B$9:$B$1008,$I292-8)))</x:f>
      </x:c>
      <x:c r="C292" s="51" t="str">
        <x:f>IF(284&gt;$H$4,"",IF(INDEX('Fleet dates'!$C$9:$C$1008,$I292-8)="","",INDEX('Fleet dates'!$C$9:$C$1008,$I292-8)))</x:f>
      </x:c>
      <x:c r="D292" s="51" t="str">
        <x:f>IF(284&gt;$H$4,"",IF(INDEX('Fleet dates'!$D$9:$D$1008,$I292-8)="","",INDEX('Fleet dates'!$D$9:$D$1008,$I292-8)))</x:f>
      </x:c>
      <x:c r="E292" s="51" t="str">
        <x:f>IF(284&gt;$H$4,"",IF(INDEX('Fleet dates'!$E$9:$E$1008,$I292-8)="","",INDEX('Fleet dates'!$E$9:$E$1008,$I292-8)))</x:f>
      </x:c>
      <x:c r="F292" s="51" t="str">
        <x:f>IF(284&gt;$H$4,"",IF(INDEX('Fleet dates'!$F$9:$F$1008,$I292-8)="","",INDEX('Fleet dates'!$F$9:$F$1008,$I292-8)))</x:f>
      </x:c>
      <x:c r="G292" s="50" t="str">
        <x:f>IF(284&gt;$H$4,"",IF(INDEX('Fleet dates'!$G$9:$G$1008,$I292-8)="","",INDEX('Fleet dates'!$G$9:$G$1008,$I292-8)))</x:f>
      </x:c>
      <x:c r="H292" s="50" t="str">
        <x:f>IF(284&gt;$H$4,"",IF(INDEX('Fleet dates'!$I$9:$I$1008,$I292-8)="","",INDEX('Fleet dates'!$I$9:$I$1008,$I292-8)))</x:f>
      </x:c>
      <x:c r="I292" t="str">
        <x:f>IF(284&gt;$H$4,"",MATCH(284,'Fleet dates'!$N$9:$N$1008,0)+8)</x:f>
      </x:c>
    </x:row>
    <x:row r="293" ht="36" customHeight="1">
      <x:c r="A293" s="50" t="str">
        <x:f>IF(285&gt;$H$4,"",IF(INDEX('Fleet dates'!$A$9:$A$1008,$I293-8)="","",INDEX('Fleet dates'!$A$9:$A$1008,$I293-8)))</x:f>
      </x:c>
      <x:c r="B293" s="50" t="str">
        <x:f>IF(285&gt;$H$4,"",IF(INDEX('Fleet dates'!$B$9:$B$1008,$I293-8)="","",INDEX('Fleet dates'!$B$9:$B$1008,$I293-8)))</x:f>
      </x:c>
      <x:c r="C293" s="51" t="str">
        <x:f>IF(285&gt;$H$4,"",IF(INDEX('Fleet dates'!$C$9:$C$1008,$I293-8)="","",INDEX('Fleet dates'!$C$9:$C$1008,$I293-8)))</x:f>
      </x:c>
      <x:c r="D293" s="51" t="str">
        <x:f>IF(285&gt;$H$4,"",IF(INDEX('Fleet dates'!$D$9:$D$1008,$I293-8)="","",INDEX('Fleet dates'!$D$9:$D$1008,$I293-8)))</x:f>
      </x:c>
      <x:c r="E293" s="51" t="str">
        <x:f>IF(285&gt;$H$4,"",IF(INDEX('Fleet dates'!$E$9:$E$1008,$I293-8)="","",INDEX('Fleet dates'!$E$9:$E$1008,$I293-8)))</x:f>
      </x:c>
      <x:c r="F293" s="51" t="str">
        <x:f>IF(285&gt;$H$4,"",IF(INDEX('Fleet dates'!$F$9:$F$1008,$I293-8)="","",INDEX('Fleet dates'!$F$9:$F$1008,$I293-8)))</x:f>
      </x:c>
      <x:c r="G293" s="50" t="str">
        <x:f>IF(285&gt;$H$4,"",IF(INDEX('Fleet dates'!$G$9:$G$1008,$I293-8)="","",INDEX('Fleet dates'!$G$9:$G$1008,$I293-8)))</x:f>
      </x:c>
      <x:c r="H293" s="50" t="str">
        <x:f>IF(285&gt;$H$4,"",IF(INDEX('Fleet dates'!$I$9:$I$1008,$I293-8)="","",INDEX('Fleet dates'!$I$9:$I$1008,$I293-8)))</x:f>
      </x:c>
      <x:c r="I293" t="str">
        <x:f>IF(285&gt;$H$4,"",MATCH(285,'Fleet dates'!$N$9:$N$1008,0)+8)</x:f>
      </x:c>
    </x:row>
    <x:row r="294" ht="36" customHeight="1">
      <x:c r="A294" s="50" t="str">
        <x:f>IF(286&gt;$H$4,"",IF(INDEX('Fleet dates'!$A$9:$A$1008,$I294-8)="","",INDEX('Fleet dates'!$A$9:$A$1008,$I294-8)))</x:f>
      </x:c>
      <x:c r="B294" s="50" t="str">
        <x:f>IF(286&gt;$H$4,"",IF(INDEX('Fleet dates'!$B$9:$B$1008,$I294-8)="","",INDEX('Fleet dates'!$B$9:$B$1008,$I294-8)))</x:f>
      </x:c>
      <x:c r="C294" s="51" t="str">
        <x:f>IF(286&gt;$H$4,"",IF(INDEX('Fleet dates'!$C$9:$C$1008,$I294-8)="","",INDEX('Fleet dates'!$C$9:$C$1008,$I294-8)))</x:f>
      </x:c>
      <x:c r="D294" s="51" t="str">
        <x:f>IF(286&gt;$H$4,"",IF(INDEX('Fleet dates'!$D$9:$D$1008,$I294-8)="","",INDEX('Fleet dates'!$D$9:$D$1008,$I294-8)))</x:f>
      </x:c>
      <x:c r="E294" s="51" t="str">
        <x:f>IF(286&gt;$H$4,"",IF(INDEX('Fleet dates'!$E$9:$E$1008,$I294-8)="","",INDEX('Fleet dates'!$E$9:$E$1008,$I294-8)))</x:f>
      </x:c>
      <x:c r="F294" s="51" t="str">
        <x:f>IF(286&gt;$H$4,"",IF(INDEX('Fleet dates'!$F$9:$F$1008,$I294-8)="","",INDEX('Fleet dates'!$F$9:$F$1008,$I294-8)))</x:f>
      </x:c>
      <x:c r="G294" s="50" t="str">
        <x:f>IF(286&gt;$H$4,"",IF(INDEX('Fleet dates'!$G$9:$G$1008,$I294-8)="","",INDEX('Fleet dates'!$G$9:$G$1008,$I294-8)))</x:f>
      </x:c>
      <x:c r="H294" s="50" t="str">
        <x:f>IF(286&gt;$H$4,"",IF(INDEX('Fleet dates'!$I$9:$I$1008,$I294-8)="","",INDEX('Fleet dates'!$I$9:$I$1008,$I294-8)))</x:f>
      </x:c>
      <x:c r="I294" t="str">
        <x:f>IF(286&gt;$H$4,"",MATCH(286,'Fleet dates'!$N$9:$N$1008,0)+8)</x:f>
      </x:c>
    </x:row>
    <x:row r="295" ht="36" customHeight="1">
      <x:c r="A295" s="50" t="str">
        <x:f>IF(287&gt;$H$4,"",IF(INDEX('Fleet dates'!$A$9:$A$1008,$I295-8)="","",INDEX('Fleet dates'!$A$9:$A$1008,$I295-8)))</x:f>
      </x:c>
      <x:c r="B295" s="50" t="str">
        <x:f>IF(287&gt;$H$4,"",IF(INDEX('Fleet dates'!$B$9:$B$1008,$I295-8)="","",INDEX('Fleet dates'!$B$9:$B$1008,$I295-8)))</x:f>
      </x:c>
      <x:c r="C295" s="51" t="str">
        <x:f>IF(287&gt;$H$4,"",IF(INDEX('Fleet dates'!$C$9:$C$1008,$I295-8)="","",INDEX('Fleet dates'!$C$9:$C$1008,$I295-8)))</x:f>
      </x:c>
      <x:c r="D295" s="51" t="str">
        <x:f>IF(287&gt;$H$4,"",IF(INDEX('Fleet dates'!$D$9:$D$1008,$I295-8)="","",INDEX('Fleet dates'!$D$9:$D$1008,$I295-8)))</x:f>
      </x:c>
      <x:c r="E295" s="51" t="str">
        <x:f>IF(287&gt;$H$4,"",IF(INDEX('Fleet dates'!$E$9:$E$1008,$I295-8)="","",INDEX('Fleet dates'!$E$9:$E$1008,$I295-8)))</x:f>
      </x:c>
      <x:c r="F295" s="51" t="str">
        <x:f>IF(287&gt;$H$4,"",IF(INDEX('Fleet dates'!$F$9:$F$1008,$I295-8)="","",INDEX('Fleet dates'!$F$9:$F$1008,$I295-8)))</x:f>
      </x:c>
      <x:c r="G295" s="50" t="str">
        <x:f>IF(287&gt;$H$4,"",IF(INDEX('Fleet dates'!$G$9:$G$1008,$I295-8)="","",INDEX('Fleet dates'!$G$9:$G$1008,$I295-8)))</x:f>
      </x:c>
      <x:c r="H295" s="50" t="str">
        <x:f>IF(287&gt;$H$4,"",IF(INDEX('Fleet dates'!$I$9:$I$1008,$I295-8)="","",INDEX('Fleet dates'!$I$9:$I$1008,$I295-8)))</x:f>
      </x:c>
      <x:c r="I295" t="str">
        <x:f>IF(287&gt;$H$4,"",MATCH(287,'Fleet dates'!$N$9:$N$1008,0)+8)</x:f>
      </x:c>
    </x:row>
    <x:row r="296" ht="36" customHeight="1">
      <x:c r="A296" s="50" t="str">
        <x:f>IF(288&gt;$H$4,"",IF(INDEX('Fleet dates'!$A$9:$A$1008,$I296-8)="","",INDEX('Fleet dates'!$A$9:$A$1008,$I296-8)))</x:f>
      </x:c>
      <x:c r="B296" s="50" t="str">
        <x:f>IF(288&gt;$H$4,"",IF(INDEX('Fleet dates'!$B$9:$B$1008,$I296-8)="","",INDEX('Fleet dates'!$B$9:$B$1008,$I296-8)))</x:f>
      </x:c>
      <x:c r="C296" s="51" t="str">
        <x:f>IF(288&gt;$H$4,"",IF(INDEX('Fleet dates'!$C$9:$C$1008,$I296-8)="","",INDEX('Fleet dates'!$C$9:$C$1008,$I296-8)))</x:f>
      </x:c>
      <x:c r="D296" s="51" t="str">
        <x:f>IF(288&gt;$H$4,"",IF(INDEX('Fleet dates'!$D$9:$D$1008,$I296-8)="","",INDEX('Fleet dates'!$D$9:$D$1008,$I296-8)))</x:f>
      </x:c>
      <x:c r="E296" s="51" t="str">
        <x:f>IF(288&gt;$H$4,"",IF(INDEX('Fleet dates'!$E$9:$E$1008,$I296-8)="","",INDEX('Fleet dates'!$E$9:$E$1008,$I296-8)))</x:f>
      </x:c>
      <x:c r="F296" s="51" t="str">
        <x:f>IF(288&gt;$H$4,"",IF(INDEX('Fleet dates'!$F$9:$F$1008,$I296-8)="","",INDEX('Fleet dates'!$F$9:$F$1008,$I296-8)))</x:f>
      </x:c>
      <x:c r="G296" s="50" t="str">
        <x:f>IF(288&gt;$H$4,"",IF(INDEX('Fleet dates'!$G$9:$G$1008,$I296-8)="","",INDEX('Fleet dates'!$G$9:$G$1008,$I296-8)))</x:f>
      </x:c>
      <x:c r="H296" s="50" t="str">
        <x:f>IF(288&gt;$H$4,"",IF(INDEX('Fleet dates'!$I$9:$I$1008,$I296-8)="","",INDEX('Fleet dates'!$I$9:$I$1008,$I296-8)))</x:f>
      </x:c>
      <x:c r="I296" t="str">
        <x:f>IF(288&gt;$H$4,"",MATCH(288,'Fleet dates'!$N$9:$N$1008,0)+8)</x:f>
      </x:c>
    </x:row>
    <x:row r="297" ht="36" customHeight="1">
      <x:c r="A297" s="50" t="str">
        <x:f>IF(289&gt;$H$4,"",IF(INDEX('Fleet dates'!$A$9:$A$1008,$I297-8)="","",INDEX('Fleet dates'!$A$9:$A$1008,$I297-8)))</x:f>
      </x:c>
      <x:c r="B297" s="50" t="str">
        <x:f>IF(289&gt;$H$4,"",IF(INDEX('Fleet dates'!$B$9:$B$1008,$I297-8)="","",INDEX('Fleet dates'!$B$9:$B$1008,$I297-8)))</x:f>
      </x:c>
      <x:c r="C297" s="51" t="str">
        <x:f>IF(289&gt;$H$4,"",IF(INDEX('Fleet dates'!$C$9:$C$1008,$I297-8)="","",INDEX('Fleet dates'!$C$9:$C$1008,$I297-8)))</x:f>
      </x:c>
      <x:c r="D297" s="51" t="str">
        <x:f>IF(289&gt;$H$4,"",IF(INDEX('Fleet dates'!$D$9:$D$1008,$I297-8)="","",INDEX('Fleet dates'!$D$9:$D$1008,$I297-8)))</x:f>
      </x:c>
      <x:c r="E297" s="51" t="str">
        <x:f>IF(289&gt;$H$4,"",IF(INDEX('Fleet dates'!$E$9:$E$1008,$I297-8)="","",INDEX('Fleet dates'!$E$9:$E$1008,$I297-8)))</x:f>
      </x:c>
      <x:c r="F297" s="51" t="str">
        <x:f>IF(289&gt;$H$4,"",IF(INDEX('Fleet dates'!$F$9:$F$1008,$I297-8)="","",INDEX('Fleet dates'!$F$9:$F$1008,$I297-8)))</x:f>
      </x:c>
      <x:c r="G297" s="50" t="str">
        <x:f>IF(289&gt;$H$4,"",IF(INDEX('Fleet dates'!$G$9:$G$1008,$I297-8)="","",INDEX('Fleet dates'!$G$9:$G$1008,$I297-8)))</x:f>
      </x:c>
      <x:c r="H297" s="50" t="str">
        <x:f>IF(289&gt;$H$4,"",IF(INDEX('Fleet dates'!$I$9:$I$1008,$I297-8)="","",INDEX('Fleet dates'!$I$9:$I$1008,$I297-8)))</x:f>
      </x:c>
      <x:c r="I297" t="str">
        <x:f>IF(289&gt;$H$4,"",MATCH(289,'Fleet dates'!$N$9:$N$1008,0)+8)</x:f>
      </x:c>
    </x:row>
    <x:row r="298" ht="36" customHeight="1">
      <x:c r="A298" s="50" t="str">
        <x:f>IF(290&gt;$H$4,"",IF(INDEX('Fleet dates'!$A$9:$A$1008,$I298-8)="","",INDEX('Fleet dates'!$A$9:$A$1008,$I298-8)))</x:f>
      </x:c>
      <x:c r="B298" s="50" t="str">
        <x:f>IF(290&gt;$H$4,"",IF(INDEX('Fleet dates'!$B$9:$B$1008,$I298-8)="","",INDEX('Fleet dates'!$B$9:$B$1008,$I298-8)))</x:f>
      </x:c>
      <x:c r="C298" s="51" t="str">
        <x:f>IF(290&gt;$H$4,"",IF(INDEX('Fleet dates'!$C$9:$C$1008,$I298-8)="","",INDEX('Fleet dates'!$C$9:$C$1008,$I298-8)))</x:f>
      </x:c>
      <x:c r="D298" s="51" t="str">
        <x:f>IF(290&gt;$H$4,"",IF(INDEX('Fleet dates'!$D$9:$D$1008,$I298-8)="","",INDEX('Fleet dates'!$D$9:$D$1008,$I298-8)))</x:f>
      </x:c>
      <x:c r="E298" s="51" t="str">
        <x:f>IF(290&gt;$H$4,"",IF(INDEX('Fleet dates'!$E$9:$E$1008,$I298-8)="","",INDEX('Fleet dates'!$E$9:$E$1008,$I298-8)))</x:f>
      </x:c>
      <x:c r="F298" s="51" t="str">
        <x:f>IF(290&gt;$H$4,"",IF(INDEX('Fleet dates'!$F$9:$F$1008,$I298-8)="","",INDEX('Fleet dates'!$F$9:$F$1008,$I298-8)))</x:f>
      </x:c>
      <x:c r="G298" s="50" t="str">
        <x:f>IF(290&gt;$H$4,"",IF(INDEX('Fleet dates'!$G$9:$G$1008,$I298-8)="","",INDEX('Fleet dates'!$G$9:$G$1008,$I298-8)))</x:f>
      </x:c>
      <x:c r="H298" s="50" t="str">
        <x:f>IF(290&gt;$H$4,"",IF(INDEX('Fleet dates'!$I$9:$I$1008,$I298-8)="","",INDEX('Fleet dates'!$I$9:$I$1008,$I298-8)))</x:f>
      </x:c>
      <x:c r="I298" t="str">
        <x:f>IF(290&gt;$H$4,"",MATCH(290,'Fleet dates'!$N$9:$N$1008,0)+8)</x:f>
      </x:c>
    </x:row>
    <x:row r="299" ht="36" customHeight="1">
      <x:c r="A299" s="50" t="str">
        <x:f>IF(291&gt;$H$4,"",IF(INDEX('Fleet dates'!$A$9:$A$1008,$I299-8)="","",INDEX('Fleet dates'!$A$9:$A$1008,$I299-8)))</x:f>
      </x:c>
      <x:c r="B299" s="50" t="str">
        <x:f>IF(291&gt;$H$4,"",IF(INDEX('Fleet dates'!$B$9:$B$1008,$I299-8)="","",INDEX('Fleet dates'!$B$9:$B$1008,$I299-8)))</x:f>
      </x:c>
      <x:c r="C299" s="51" t="str">
        <x:f>IF(291&gt;$H$4,"",IF(INDEX('Fleet dates'!$C$9:$C$1008,$I299-8)="","",INDEX('Fleet dates'!$C$9:$C$1008,$I299-8)))</x:f>
      </x:c>
      <x:c r="D299" s="51" t="str">
        <x:f>IF(291&gt;$H$4,"",IF(INDEX('Fleet dates'!$D$9:$D$1008,$I299-8)="","",INDEX('Fleet dates'!$D$9:$D$1008,$I299-8)))</x:f>
      </x:c>
      <x:c r="E299" s="51" t="str">
        <x:f>IF(291&gt;$H$4,"",IF(INDEX('Fleet dates'!$E$9:$E$1008,$I299-8)="","",INDEX('Fleet dates'!$E$9:$E$1008,$I299-8)))</x:f>
      </x:c>
      <x:c r="F299" s="51" t="str">
        <x:f>IF(291&gt;$H$4,"",IF(INDEX('Fleet dates'!$F$9:$F$1008,$I299-8)="","",INDEX('Fleet dates'!$F$9:$F$1008,$I299-8)))</x:f>
      </x:c>
      <x:c r="G299" s="50" t="str">
        <x:f>IF(291&gt;$H$4,"",IF(INDEX('Fleet dates'!$G$9:$G$1008,$I299-8)="","",INDEX('Fleet dates'!$G$9:$G$1008,$I299-8)))</x:f>
      </x:c>
      <x:c r="H299" s="50" t="str">
        <x:f>IF(291&gt;$H$4,"",IF(INDEX('Fleet dates'!$I$9:$I$1008,$I299-8)="","",INDEX('Fleet dates'!$I$9:$I$1008,$I299-8)))</x:f>
      </x:c>
      <x:c r="I299" t="str">
        <x:f>IF(291&gt;$H$4,"",MATCH(291,'Fleet dates'!$N$9:$N$1008,0)+8)</x:f>
      </x:c>
    </x:row>
    <x:row r="300" ht="36" customHeight="1">
      <x:c r="A300" s="50" t="str">
        <x:f>IF(292&gt;$H$4,"",IF(INDEX('Fleet dates'!$A$9:$A$1008,$I300-8)="","",INDEX('Fleet dates'!$A$9:$A$1008,$I300-8)))</x:f>
      </x:c>
      <x:c r="B300" s="50" t="str">
        <x:f>IF(292&gt;$H$4,"",IF(INDEX('Fleet dates'!$B$9:$B$1008,$I300-8)="","",INDEX('Fleet dates'!$B$9:$B$1008,$I300-8)))</x:f>
      </x:c>
      <x:c r="C300" s="51" t="str">
        <x:f>IF(292&gt;$H$4,"",IF(INDEX('Fleet dates'!$C$9:$C$1008,$I300-8)="","",INDEX('Fleet dates'!$C$9:$C$1008,$I300-8)))</x:f>
      </x:c>
      <x:c r="D300" s="51" t="str">
        <x:f>IF(292&gt;$H$4,"",IF(INDEX('Fleet dates'!$D$9:$D$1008,$I300-8)="","",INDEX('Fleet dates'!$D$9:$D$1008,$I300-8)))</x:f>
      </x:c>
      <x:c r="E300" s="51" t="str">
        <x:f>IF(292&gt;$H$4,"",IF(INDEX('Fleet dates'!$E$9:$E$1008,$I300-8)="","",INDEX('Fleet dates'!$E$9:$E$1008,$I300-8)))</x:f>
      </x:c>
      <x:c r="F300" s="51" t="str">
        <x:f>IF(292&gt;$H$4,"",IF(INDEX('Fleet dates'!$F$9:$F$1008,$I300-8)="","",INDEX('Fleet dates'!$F$9:$F$1008,$I300-8)))</x:f>
      </x:c>
      <x:c r="G300" s="50" t="str">
        <x:f>IF(292&gt;$H$4,"",IF(INDEX('Fleet dates'!$G$9:$G$1008,$I300-8)="","",INDEX('Fleet dates'!$G$9:$G$1008,$I300-8)))</x:f>
      </x:c>
      <x:c r="H300" s="50" t="str">
        <x:f>IF(292&gt;$H$4,"",IF(INDEX('Fleet dates'!$I$9:$I$1008,$I300-8)="","",INDEX('Fleet dates'!$I$9:$I$1008,$I300-8)))</x:f>
      </x:c>
      <x:c r="I300" t="str">
        <x:f>IF(292&gt;$H$4,"",MATCH(292,'Fleet dates'!$N$9:$N$1008,0)+8)</x:f>
      </x:c>
    </x:row>
    <x:row r="301" ht="36" customHeight="1">
      <x:c r="A301" s="50" t="str">
        <x:f>IF(293&gt;$H$4,"",IF(INDEX('Fleet dates'!$A$9:$A$1008,$I301-8)="","",INDEX('Fleet dates'!$A$9:$A$1008,$I301-8)))</x:f>
      </x:c>
      <x:c r="B301" s="50" t="str">
        <x:f>IF(293&gt;$H$4,"",IF(INDEX('Fleet dates'!$B$9:$B$1008,$I301-8)="","",INDEX('Fleet dates'!$B$9:$B$1008,$I301-8)))</x:f>
      </x:c>
      <x:c r="C301" s="51" t="str">
        <x:f>IF(293&gt;$H$4,"",IF(INDEX('Fleet dates'!$C$9:$C$1008,$I301-8)="","",INDEX('Fleet dates'!$C$9:$C$1008,$I301-8)))</x:f>
      </x:c>
      <x:c r="D301" s="51" t="str">
        <x:f>IF(293&gt;$H$4,"",IF(INDEX('Fleet dates'!$D$9:$D$1008,$I301-8)="","",INDEX('Fleet dates'!$D$9:$D$1008,$I301-8)))</x:f>
      </x:c>
      <x:c r="E301" s="51" t="str">
        <x:f>IF(293&gt;$H$4,"",IF(INDEX('Fleet dates'!$E$9:$E$1008,$I301-8)="","",INDEX('Fleet dates'!$E$9:$E$1008,$I301-8)))</x:f>
      </x:c>
      <x:c r="F301" s="51" t="str">
        <x:f>IF(293&gt;$H$4,"",IF(INDEX('Fleet dates'!$F$9:$F$1008,$I301-8)="","",INDEX('Fleet dates'!$F$9:$F$1008,$I301-8)))</x:f>
      </x:c>
      <x:c r="G301" s="50" t="str">
        <x:f>IF(293&gt;$H$4,"",IF(INDEX('Fleet dates'!$G$9:$G$1008,$I301-8)="","",INDEX('Fleet dates'!$G$9:$G$1008,$I301-8)))</x:f>
      </x:c>
      <x:c r="H301" s="50" t="str">
        <x:f>IF(293&gt;$H$4,"",IF(INDEX('Fleet dates'!$I$9:$I$1008,$I301-8)="","",INDEX('Fleet dates'!$I$9:$I$1008,$I301-8)))</x:f>
      </x:c>
      <x:c r="I301" t="str">
        <x:f>IF(293&gt;$H$4,"",MATCH(293,'Fleet dates'!$N$9:$N$1008,0)+8)</x:f>
      </x:c>
    </x:row>
    <x:row r="302" ht="36" customHeight="1">
      <x:c r="A302" s="50" t="str">
        <x:f>IF(294&gt;$H$4,"",IF(INDEX('Fleet dates'!$A$9:$A$1008,$I302-8)="","",INDEX('Fleet dates'!$A$9:$A$1008,$I302-8)))</x:f>
      </x:c>
      <x:c r="B302" s="50" t="str">
        <x:f>IF(294&gt;$H$4,"",IF(INDEX('Fleet dates'!$B$9:$B$1008,$I302-8)="","",INDEX('Fleet dates'!$B$9:$B$1008,$I302-8)))</x:f>
      </x:c>
      <x:c r="C302" s="51" t="str">
        <x:f>IF(294&gt;$H$4,"",IF(INDEX('Fleet dates'!$C$9:$C$1008,$I302-8)="","",INDEX('Fleet dates'!$C$9:$C$1008,$I302-8)))</x:f>
      </x:c>
      <x:c r="D302" s="51" t="str">
        <x:f>IF(294&gt;$H$4,"",IF(INDEX('Fleet dates'!$D$9:$D$1008,$I302-8)="","",INDEX('Fleet dates'!$D$9:$D$1008,$I302-8)))</x:f>
      </x:c>
      <x:c r="E302" s="51" t="str">
        <x:f>IF(294&gt;$H$4,"",IF(INDEX('Fleet dates'!$E$9:$E$1008,$I302-8)="","",INDEX('Fleet dates'!$E$9:$E$1008,$I302-8)))</x:f>
      </x:c>
      <x:c r="F302" s="51" t="str">
        <x:f>IF(294&gt;$H$4,"",IF(INDEX('Fleet dates'!$F$9:$F$1008,$I302-8)="","",INDEX('Fleet dates'!$F$9:$F$1008,$I302-8)))</x:f>
      </x:c>
      <x:c r="G302" s="50" t="str">
        <x:f>IF(294&gt;$H$4,"",IF(INDEX('Fleet dates'!$G$9:$G$1008,$I302-8)="","",INDEX('Fleet dates'!$G$9:$G$1008,$I302-8)))</x:f>
      </x:c>
      <x:c r="H302" s="50" t="str">
        <x:f>IF(294&gt;$H$4,"",IF(INDEX('Fleet dates'!$I$9:$I$1008,$I302-8)="","",INDEX('Fleet dates'!$I$9:$I$1008,$I302-8)))</x:f>
      </x:c>
      <x:c r="I302" t="str">
        <x:f>IF(294&gt;$H$4,"",MATCH(294,'Fleet dates'!$N$9:$N$1008,0)+8)</x:f>
      </x:c>
    </x:row>
    <x:row r="303" ht="36" customHeight="1">
      <x:c r="A303" s="50" t="str">
        <x:f>IF(295&gt;$H$4,"",IF(INDEX('Fleet dates'!$A$9:$A$1008,$I303-8)="","",INDEX('Fleet dates'!$A$9:$A$1008,$I303-8)))</x:f>
      </x:c>
      <x:c r="B303" s="50" t="str">
        <x:f>IF(295&gt;$H$4,"",IF(INDEX('Fleet dates'!$B$9:$B$1008,$I303-8)="","",INDEX('Fleet dates'!$B$9:$B$1008,$I303-8)))</x:f>
      </x:c>
      <x:c r="C303" s="51" t="str">
        <x:f>IF(295&gt;$H$4,"",IF(INDEX('Fleet dates'!$C$9:$C$1008,$I303-8)="","",INDEX('Fleet dates'!$C$9:$C$1008,$I303-8)))</x:f>
      </x:c>
      <x:c r="D303" s="51" t="str">
        <x:f>IF(295&gt;$H$4,"",IF(INDEX('Fleet dates'!$D$9:$D$1008,$I303-8)="","",INDEX('Fleet dates'!$D$9:$D$1008,$I303-8)))</x:f>
      </x:c>
      <x:c r="E303" s="51" t="str">
        <x:f>IF(295&gt;$H$4,"",IF(INDEX('Fleet dates'!$E$9:$E$1008,$I303-8)="","",INDEX('Fleet dates'!$E$9:$E$1008,$I303-8)))</x:f>
      </x:c>
      <x:c r="F303" s="51" t="str">
        <x:f>IF(295&gt;$H$4,"",IF(INDEX('Fleet dates'!$F$9:$F$1008,$I303-8)="","",INDEX('Fleet dates'!$F$9:$F$1008,$I303-8)))</x:f>
      </x:c>
      <x:c r="G303" s="50" t="str">
        <x:f>IF(295&gt;$H$4,"",IF(INDEX('Fleet dates'!$G$9:$G$1008,$I303-8)="","",INDEX('Fleet dates'!$G$9:$G$1008,$I303-8)))</x:f>
      </x:c>
      <x:c r="H303" s="50" t="str">
        <x:f>IF(295&gt;$H$4,"",IF(INDEX('Fleet dates'!$I$9:$I$1008,$I303-8)="","",INDEX('Fleet dates'!$I$9:$I$1008,$I303-8)))</x:f>
      </x:c>
      <x:c r="I303" t="str">
        <x:f>IF(295&gt;$H$4,"",MATCH(295,'Fleet dates'!$N$9:$N$1008,0)+8)</x:f>
      </x:c>
    </x:row>
    <x:row r="304" ht="36" customHeight="1">
      <x:c r="A304" s="50" t="str">
        <x:f>IF(296&gt;$H$4,"",IF(INDEX('Fleet dates'!$A$9:$A$1008,$I304-8)="","",INDEX('Fleet dates'!$A$9:$A$1008,$I304-8)))</x:f>
      </x:c>
      <x:c r="B304" s="50" t="str">
        <x:f>IF(296&gt;$H$4,"",IF(INDEX('Fleet dates'!$B$9:$B$1008,$I304-8)="","",INDEX('Fleet dates'!$B$9:$B$1008,$I304-8)))</x:f>
      </x:c>
      <x:c r="C304" s="51" t="str">
        <x:f>IF(296&gt;$H$4,"",IF(INDEX('Fleet dates'!$C$9:$C$1008,$I304-8)="","",INDEX('Fleet dates'!$C$9:$C$1008,$I304-8)))</x:f>
      </x:c>
      <x:c r="D304" s="51" t="str">
        <x:f>IF(296&gt;$H$4,"",IF(INDEX('Fleet dates'!$D$9:$D$1008,$I304-8)="","",INDEX('Fleet dates'!$D$9:$D$1008,$I304-8)))</x:f>
      </x:c>
      <x:c r="E304" s="51" t="str">
        <x:f>IF(296&gt;$H$4,"",IF(INDEX('Fleet dates'!$E$9:$E$1008,$I304-8)="","",INDEX('Fleet dates'!$E$9:$E$1008,$I304-8)))</x:f>
      </x:c>
      <x:c r="F304" s="51" t="str">
        <x:f>IF(296&gt;$H$4,"",IF(INDEX('Fleet dates'!$F$9:$F$1008,$I304-8)="","",INDEX('Fleet dates'!$F$9:$F$1008,$I304-8)))</x:f>
      </x:c>
      <x:c r="G304" s="50" t="str">
        <x:f>IF(296&gt;$H$4,"",IF(INDEX('Fleet dates'!$G$9:$G$1008,$I304-8)="","",INDEX('Fleet dates'!$G$9:$G$1008,$I304-8)))</x:f>
      </x:c>
      <x:c r="H304" s="50" t="str">
        <x:f>IF(296&gt;$H$4,"",IF(INDEX('Fleet dates'!$I$9:$I$1008,$I304-8)="","",INDEX('Fleet dates'!$I$9:$I$1008,$I304-8)))</x:f>
      </x:c>
      <x:c r="I304" t="str">
        <x:f>IF(296&gt;$H$4,"",MATCH(296,'Fleet dates'!$N$9:$N$1008,0)+8)</x:f>
      </x:c>
    </x:row>
    <x:row r="305" ht="36" customHeight="1">
      <x:c r="A305" s="50" t="str">
        <x:f>IF(297&gt;$H$4,"",IF(INDEX('Fleet dates'!$A$9:$A$1008,$I305-8)="","",INDEX('Fleet dates'!$A$9:$A$1008,$I305-8)))</x:f>
      </x:c>
      <x:c r="B305" s="50" t="str">
        <x:f>IF(297&gt;$H$4,"",IF(INDEX('Fleet dates'!$B$9:$B$1008,$I305-8)="","",INDEX('Fleet dates'!$B$9:$B$1008,$I305-8)))</x:f>
      </x:c>
      <x:c r="C305" s="51" t="str">
        <x:f>IF(297&gt;$H$4,"",IF(INDEX('Fleet dates'!$C$9:$C$1008,$I305-8)="","",INDEX('Fleet dates'!$C$9:$C$1008,$I305-8)))</x:f>
      </x:c>
      <x:c r="D305" s="51" t="str">
        <x:f>IF(297&gt;$H$4,"",IF(INDEX('Fleet dates'!$D$9:$D$1008,$I305-8)="","",INDEX('Fleet dates'!$D$9:$D$1008,$I305-8)))</x:f>
      </x:c>
      <x:c r="E305" s="51" t="str">
        <x:f>IF(297&gt;$H$4,"",IF(INDEX('Fleet dates'!$E$9:$E$1008,$I305-8)="","",INDEX('Fleet dates'!$E$9:$E$1008,$I305-8)))</x:f>
      </x:c>
      <x:c r="F305" s="51" t="str">
        <x:f>IF(297&gt;$H$4,"",IF(INDEX('Fleet dates'!$F$9:$F$1008,$I305-8)="","",INDEX('Fleet dates'!$F$9:$F$1008,$I305-8)))</x:f>
      </x:c>
      <x:c r="G305" s="50" t="str">
        <x:f>IF(297&gt;$H$4,"",IF(INDEX('Fleet dates'!$G$9:$G$1008,$I305-8)="","",INDEX('Fleet dates'!$G$9:$G$1008,$I305-8)))</x:f>
      </x:c>
      <x:c r="H305" s="50" t="str">
        <x:f>IF(297&gt;$H$4,"",IF(INDEX('Fleet dates'!$I$9:$I$1008,$I305-8)="","",INDEX('Fleet dates'!$I$9:$I$1008,$I305-8)))</x:f>
      </x:c>
      <x:c r="I305" t="str">
        <x:f>IF(297&gt;$H$4,"",MATCH(297,'Fleet dates'!$N$9:$N$1008,0)+8)</x:f>
      </x:c>
    </x:row>
    <x:row r="306" ht="36" customHeight="1">
      <x:c r="A306" s="50" t="str">
        <x:f>IF(298&gt;$H$4,"",IF(INDEX('Fleet dates'!$A$9:$A$1008,$I306-8)="","",INDEX('Fleet dates'!$A$9:$A$1008,$I306-8)))</x:f>
      </x:c>
      <x:c r="B306" s="50" t="str">
        <x:f>IF(298&gt;$H$4,"",IF(INDEX('Fleet dates'!$B$9:$B$1008,$I306-8)="","",INDEX('Fleet dates'!$B$9:$B$1008,$I306-8)))</x:f>
      </x:c>
      <x:c r="C306" s="51" t="str">
        <x:f>IF(298&gt;$H$4,"",IF(INDEX('Fleet dates'!$C$9:$C$1008,$I306-8)="","",INDEX('Fleet dates'!$C$9:$C$1008,$I306-8)))</x:f>
      </x:c>
      <x:c r="D306" s="51" t="str">
        <x:f>IF(298&gt;$H$4,"",IF(INDEX('Fleet dates'!$D$9:$D$1008,$I306-8)="","",INDEX('Fleet dates'!$D$9:$D$1008,$I306-8)))</x:f>
      </x:c>
      <x:c r="E306" s="51" t="str">
        <x:f>IF(298&gt;$H$4,"",IF(INDEX('Fleet dates'!$E$9:$E$1008,$I306-8)="","",INDEX('Fleet dates'!$E$9:$E$1008,$I306-8)))</x:f>
      </x:c>
      <x:c r="F306" s="51" t="str">
        <x:f>IF(298&gt;$H$4,"",IF(INDEX('Fleet dates'!$F$9:$F$1008,$I306-8)="","",INDEX('Fleet dates'!$F$9:$F$1008,$I306-8)))</x:f>
      </x:c>
      <x:c r="G306" s="50" t="str">
        <x:f>IF(298&gt;$H$4,"",IF(INDEX('Fleet dates'!$G$9:$G$1008,$I306-8)="","",INDEX('Fleet dates'!$G$9:$G$1008,$I306-8)))</x:f>
      </x:c>
      <x:c r="H306" s="50" t="str">
        <x:f>IF(298&gt;$H$4,"",IF(INDEX('Fleet dates'!$I$9:$I$1008,$I306-8)="","",INDEX('Fleet dates'!$I$9:$I$1008,$I306-8)))</x:f>
      </x:c>
      <x:c r="I306" t="str">
        <x:f>IF(298&gt;$H$4,"",MATCH(298,'Fleet dates'!$N$9:$N$1008,0)+8)</x:f>
      </x:c>
    </x:row>
    <x:row r="307" ht="36" customHeight="1">
      <x:c r="A307" s="50" t="str">
        <x:f>IF(299&gt;$H$4,"",IF(INDEX('Fleet dates'!$A$9:$A$1008,$I307-8)="","",INDEX('Fleet dates'!$A$9:$A$1008,$I307-8)))</x:f>
      </x:c>
      <x:c r="B307" s="50" t="str">
        <x:f>IF(299&gt;$H$4,"",IF(INDEX('Fleet dates'!$B$9:$B$1008,$I307-8)="","",INDEX('Fleet dates'!$B$9:$B$1008,$I307-8)))</x:f>
      </x:c>
      <x:c r="C307" s="51" t="str">
        <x:f>IF(299&gt;$H$4,"",IF(INDEX('Fleet dates'!$C$9:$C$1008,$I307-8)="","",INDEX('Fleet dates'!$C$9:$C$1008,$I307-8)))</x:f>
      </x:c>
      <x:c r="D307" s="51" t="str">
        <x:f>IF(299&gt;$H$4,"",IF(INDEX('Fleet dates'!$D$9:$D$1008,$I307-8)="","",INDEX('Fleet dates'!$D$9:$D$1008,$I307-8)))</x:f>
      </x:c>
      <x:c r="E307" s="51" t="str">
        <x:f>IF(299&gt;$H$4,"",IF(INDEX('Fleet dates'!$E$9:$E$1008,$I307-8)="","",INDEX('Fleet dates'!$E$9:$E$1008,$I307-8)))</x:f>
      </x:c>
      <x:c r="F307" s="51" t="str">
        <x:f>IF(299&gt;$H$4,"",IF(INDEX('Fleet dates'!$F$9:$F$1008,$I307-8)="","",INDEX('Fleet dates'!$F$9:$F$1008,$I307-8)))</x:f>
      </x:c>
      <x:c r="G307" s="50" t="str">
        <x:f>IF(299&gt;$H$4,"",IF(INDEX('Fleet dates'!$G$9:$G$1008,$I307-8)="","",INDEX('Fleet dates'!$G$9:$G$1008,$I307-8)))</x:f>
      </x:c>
      <x:c r="H307" s="50" t="str">
        <x:f>IF(299&gt;$H$4,"",IF(INDEX('Fleet dates'!$I$9:$I$1008,$I307-8)="","",INDEX('Fleet dates'!$I$9:$I$1008,$I307-8)))</x:f>
      </x:c>
      <x:c r="I307" t="str">
        <x:f>IF(299&gt;$H$4,"",MATCH(299,'Fleet dates'!$N$9:$N$1008,0)+8)</x:f>
      </x:c>
    </x:row>
    <x:row r="308" ht="36" customHeight="1">
      <x:c r="A308" s="50" t="str">
        <x:f>IF(300&gt;$H$4,"",IF(INDEX('Fleet dates'!$A$9:$A$1008,$I308-8)="","",INDEX('Fleet dates'!$A$9:$A$1008,$I308-8)))</x:f>
      </x:c>
      <x:c r="B308" s="50" t="str">
        <x:f>IF(300&gt;$H$4,"",IF(INDEX('Fleet dates'!$B$9:$B$1008,$I308-8)="","",INDEX('Fleet dates'!$B$9:$B$1008,$I308-8)))</x:f>
      </x:c>
      <x:c r="C308" s="51" t="str">
        <x:f>IF(300&gt;$H$4,"",IF(INDEX('Fleet dates'!$C$9:$C$1008,$I308-8)="","",INDEX('Fleet dates'!$C$9:$C$1008,$I308-8)))</x:f>
      </x:c>
      <x:c r="D308" s="51" t="str">
        <x:f>IF(300&gt;$H$4,"",IF(INDEX('Fleet dates'!$D$9:$D$1008,$I308-8)="","",INDEX('Fleet dates'!$D$9:$D$1008,$I308-8)))</x:f>
      </x:c>
      <x:c r="E308" s="51" t="str">
        <x:f>IF(300&gt;$H$4,"",IF(INDEX('Fleet dates'!$E$9:$E$1008,$I308-8)="","",INDEX('Fleet dates'!$E$9:$E$1008,$I308-8)))</x:f>
      </x:c>
      <x:c r="F308" s="51" t="str">
        <x:f>IF(300&gt;$H$4,"",IF(INDEX('Fleet dates'!$F$9:$F$1008,$I308-8)="","",INDEX('Fleet dates'!$F$9:$F$1008,$I308-8)))</x:f>
      </x:c>
      <x:c r="G308" s="50" t="str">
        <x:f>IF(300&gt;$H$4,"",IF(INDEX('Fleet dates'!$G$9:$G$1008,$I308-8)="","",INDEX('Fleet dates'!$G$9:$G$1008,$I308-8)))</x:f>
      </x:c>
      <x:c r="H308" s="50" t="str">
        <x:f>IF(300&gt;$H$4,"",IF(INDEX('Fleet dates'!$I$9:$I$1008,$I308-8)="","",INDEX('Fleet dates'!$I$9:$I$1008,$I308-8)))</x:f>
      </x:c>
      <x:c r="I308" t="str">
        <x:f>IF(300&gt;$H$4,"",MATCH(300,'Fleet dates'!$N$9:$N$1008,0)+8)</x:f>
      </x:c>
    </x:row>
    <x:row r="309" ht="36" customHeight="1">
      <x:c r="A309" s="50" t="str">
        <x:f>IF(301&gt;$H$4,"",IF(INDEX('Fleet dates'!$A$9:$A$1008,$I309-8)="","",INDEX('Fleet dates'!$A$9:$A$1008,$I309-8)))</x:f>
      </x:c>
      <x:c r="B309" s="50" t="str">
        <x:f>IF(301&gt;$H$4,"",IF(INDEX('Fleet dates'!$B$9:$B$1008,$I309-8)="","",INDEX('Fleet dates'!$B$9:$B$1008,$I309-8)))</x:f>
      </x:c>
      <x:c r="C309" s="51" t="str">
        <x:f>IF(301&gt;$H$4,"",IF(INDEX('Fleet dates'!$C$9:$C$1008,$I309-8)="","",INDEX('Fleet dates'!$C$9:$C$1008,$I309-8)))</x:f>
      </x:c>
      <x:c r="D309" s="51" t="str">
        <x:f>IF(301&gt;$H$4,"",IF(INDEX('Fleet dates'!$D$9:$D$1008,$I309-8)="","",INDEX('Fleet dates'!$D$9:$D$1008,$I309-8)))</x:f>
      </x:c>
      <x:c r="E309" s="51" t="str">
        <x:f>IF(301&gt;$H$4,"",IF(INDEX('Fleet dates'!$E$9:$E$1008,$I309-8)="","",INDEX('Fleet dates'!$E$9:$E$1008,$I309-8)))</x:f>
      </x:c>
      <x:c r="F309" s="51" t="str">
        <x:f>IF(301&gt;$H$4,"",IF(INDEX('Fleet dates'!$F$9:$F$1008,$I309-8)="","",INDEX('Fleet dates'!$F$9:$F$1008,$I309-8)))</x:f>
      </x:c>
      <x:c r="G309" s="50" t="str">
        <x:f>IF(301&gt;$H$4,"",IF(INDEX('Fleet dates'!$G$9:$G$1008,$I309-8)="","",INDEX('Fleet dates'!$G$9:$G$1008,$I309-8)))</x:f>
      </x:c>
      <x:c r="H309" s="50" t="str">
        <x:f>IF(301&gt;$H$4,"",IF(INDEX('Fleet dates'!$I$9:$I$1008,$I309-8)="","",INDEX('Fleet dates'!$I$9:$I$1008,$I309-8)))</x:f>
      </x:c>
      <x:c r="I309" t="str">
        <x:f>IF(301&gt;$H$4,"",MATCH(301,'Fleet dates'!$N$9:$N$1008,0)+8)</x:f>
      </x:c>
    </x:row>
    <x:row r="310" ht="36" customHeight="1">
      <x:c r="A310" s="50" t="str">
        <x:f>IF(302&gt;$H$4,"",IF(INDEX('Fleet dates'!$A$9:$A$1008,$I310-8)="","",INDEX('Fleet dates'!$A$9:$A$1008,$I310-8)))</x:f>
      </x:c>
      <x:c r="B310" s="50" t="str">
        <x:f>IF(302&gt;$H$4,"",IF(INDEX('Fleet dates'!$B$9:$B$1008,$I310-8)="","",INDEX('Fleet dates'!$B$9:$B$1008,$I310-8)))</x:f>
      </x:c>
      <x:c r="C310" s="51" t="str">
        <x:f>IF(302&gt;$H$4,"",IF(INDEX('Fleet dates'!$C$9:$C$1008,$I310-8)="","",INDEX('Fleet dates'!$C$9:$C$1008,$I310-8)))</x:f>
      </x:c>
      <x:c r="D310" s="51" t="str">
        <x:f>IF(302&gt;$H$4,"",IF(INDEX('Fleet dates'!$D$9:$D$1008,$I310-8)="","",INDEX('Fleet dates'!$D$9:$D$1008,$I310-8)))</x:f>
      </x:c>
      <x:c r="E310" s="51" t="str">
        <x:f>IF(302&gt;$H$4,"",IF(INDEX('Fleet dates'!$E$9:$E$1008,$I310-8)="","",INDEX('Fleet dates'!$E$9:$E$1008,$I310-8)))</x:f>
      </x:c>
      <x:c r="F310" s="51" t="str">
        <x:f>IF(302&gt;$H$4,"",IF(INDEX('Fleet dates'!$F$9:$F$1008,$I310-8)="","",INDEX('Fleet dates'!$F$9:$F$1008,$I310-8)))</x:f>
      </x:c>
      <x:c r="G310" s="50" t="str">
        <x:f>IF(302&gt;$H$4,"",IF(INDEX('Fleet dates'!$G$9:$G$1008,$I310-8)="","",INDEX('Fleet dates'!$G$9:$G$1008,$I310-8)))</x:f>
      </x:c>
      <x:c r="H310" s="50" t="str">
        <x:f>IF(302&gt;$H$4,"",IF(INDEX('Fleet dates'!$I$9:$I$1008,$I310-8)="","",INDEX('Fleet dates'!$I$9:$I$1008,$I310-8)))</x:f>
      </x:c>
      <x:c r="I310" t="str">
        <x:f>IF(302&gt;$H$4,"",MATCH(302,'Fleet dates'!$N$9:$N$1008,0)+8)</x:f>
      </x:c>
    </x:row>
    <x:row r="311" ht="36" customHeight="1">
      <x:c r="A311" s="50" t="str">
        <x:f>IF(303&gt;$H$4,"",IF(INDEX('Fleet dates'!$A$9:$A$1008,$I311-8)="","",INDEX('Fleet dates'!$A$9:$A$1008,$I311-8)))</x:f>
      </x:c>
      <x:c r="B311" s="50" t="str">
        <x:f>IF(303&gt;$H$4,"",IF(INDEX('Fleet dates'!$B$9:$B$1008,$I311-8)="","",INDEX('Fleet dates'!$B$9:$B$1008,$I311-8)))</x:f>
      </x:c>
      <x:c r="C311" s="51" t="str">
        <x:f>IF(303&gt;$H$4,"",IF(INDEX('Fleet dates'!$C$9:$C$1008,$I311-8)="","",INDEX('Fleet dates'!$C$9:$C$1008,$I311-8)))</x:f>
      </x:c>
      <x:c r="D311" s="51" t="str">
        <x:f>IF(303&gt;$H$4,"",IF(INDEX('Fleet dates'!$D$9:$D$1008,$I311-8)="","",INDEX('Fleet dates'!$D$9:$D$1008,$I311-8)))</x:f>
      </x:c>
      <x:c r="E311" s="51" t="str">
        <x:f>IF(303&gt;$H$4,"",IF(INDEX('Fleet dates'!$E$9:$E$1008,$I311-8)="","",INDEX('Fleet dates'!$E$9:$E$1008,$I311-8)))</x:f>
      </x:c>
      <x:c r="F311" s="51" t="str">
        <x:f>IF(303&gt;$H$4,"",IF(INDEX('Fleet dates'!$F$9:$F$1008,$I311-8)="","",INDEX('Fleet dates'!$F$9:$F$1008,$I311-8)))</x:f>
      </x:c>
      <x:c r="G311" s="50" t="str">
        <x:f>IF(303&gt;$H$4,"",IF(INDEX('Fleet dates'!$G$9:$G$1008,$I311-8)="","",INDEX('Fleet dates'!$G$9:$G$1008,$I311-8)))</x:f>
      </x:c>
      <x:c r="H311" s="50" t="str">
        <x:f>IF(303&gt;$H$4,"",IF(INDEX('Fleet dates'!$I$9:$I$1008,$I311-8)="","",INDEX('Fleet dates'!$I$9:$I$1008,$I311-8)))</x:f>
      </x:c>
      <x:c r="I311" t="str">
        <x:f>IF(303&gt;$H$4,"",MATCH(303,'Fleet dates'!$N$9:$N$1008,0)+8)</x:f>
      </x:c>
    </x:row>
    <x:row r="312" ht="36" customHeight="1">
      <x:c r="A312" s="50" t="str">
        <x:f>IF(304&gt;$H$4,"",IF(INDEX('Fleet dates'!$A$9:$A$1008,$I312-8)="","",INDEX('Fleet dates'!$A$9:$A$1008,$I312-8)))</x:f>
      </x:c>
      <x:c r="B312" s="50" t="str">
        <x:f>IF(304&gt;$H$4,"",IF(INDEX('Fleet dates'!$B$9:$B$1008,$I312-8)="","",INDEX('Fleet dates'!$B$9:$B$1008,$I312-8)))</x:f>
      </x:c>
      <x:c r="C312" s="51" t="str">
        <x:f>IF(304&gt;$H$4,"",IF(INDEX('Fleet dates'!$C$9:$C$1008,$I312-8)="","",INDEX('Fleet dates'!$C$9:$C$1008,$I312-8)))</x:f>
      </x:c>
      <x:c r="D312" s="51" t="str">
        <x:f>IF(304&gt;$H$4,"",IF(INDEX('Fleet dates'!$D$9:$D$1008,$I312-8)="","",INDEX('Fleet dates'!$D$9:$D$1008,$I312-8)))</x:f>
      </x:c>
      <x:c r="E312" s="51" t="str">
        <x:f>IF(304&gt;$H$4,"",IF(INDEX('Fleet dates'!$E$9:$E$1008,$I312-8)="","",INDEX('Fleet dates'!$E$9:$E$1008,$I312-8)))</x:f>
      </x:c>
      <x:c r="F312" s="51" t="str">
        <x:f>IF(304&gt;$H$4,"",IF(INDEX('Fleet dates'!$F$9:$F$1008,$I312-8)="","",INDEX('Fleet dates'!$F$9:$F$1008,$I312-8)))</x:f>
      </x:c>
      <x:c r="G312" s="50" t="str">
        <x:f>IF(304&gt;$H$4,"",IF(INDEX('Fleet dates'!$G$9:$G$1008,$I312-8)="","",INDEX('Fleet dates'!$G$9:$G$1008,$I312-8)))</x:f>
      </x:c>
      <x:c r="H312" s="50" t="str">
        <x:f>IF(304&gt;$H$4,"",IF(INDEX('Fleet dates'!$I$9:$I$1008,$I312-8)="","",INDEX('Fleet dates'!$I$9:$I$1008,$I312-8)))</x:f>
      </x:c>
      <x:c r="I312" t="str">
        <x:f>IF(304&gt;$H$4,"",MATCH(304,'Fleet dates'!$N$9:$N$1008,0)+8)</x:f>
      </x:c>
    </x:row>
    <x:row r="313" ht="36" customHeight="1">
      <x:c r="A313" s="50" t="str">
        <x:f>IF(305&gt;$H$4,"",IF(INDEX('Fleet dates'!$A$9:$A$1008,$I313-8)="","",INDEX('Fleet dates'!$A$9:$A$1008,$I313-8)))</x:f>
      </x:c>
      <x:c r="B313" s="50" t="str">
        <x:f>IF(305&gt;$H$4,"",IF(INDEX('Fleet dates'!$B$9:$B$1008,$I313-8)="","",INDEX('Fleet dates'!$B$9:$B$1008,$I313-8)))</x:f>
      </x:c>
      <x:c r="C313" s="51" t="str">
        <x:f>IF(305&gt;$H$4,"",IF(INDEX('Fleet dates'!$C$9:$C$1008,$I313-8)="","",INDEX('Fleet dates'!$C$9:$C$1008,$I313-8)))</x:f>
      </x:c>
      <x:c r="D313" s="51" t="str">
        <x:f>IF(305&gt;$H$4,"",IF(INDEX('Fleet dates'!$D$9:$D$1008,$I313-8)="","",INDEX('Fleet dates'!$D$9:$D$1008,$I313-8)))</x:f>
      </x:c>
      <x:c r="E313" s="51" t="str">
        <x:f>IF(305&gt;$H$4,"",IF(INDEX('Fleet dates'!$E$9:$E$1008,$I313-8)="","",INDEX('Fleet dates'!$E$9:$E$1008,$I313-8)))</x:f>
      </x:c>
      <x:c r="F313" s="51" t="str">
        <x:f>IF(305&gt;$H$4,"",IF(INDEX('Fleet dates'!$F$9:$F$1008,$I313-8)="","",INDEX('Fleet dates'!$F$9:$F$1008,$I313-8)))</x:f>
      </x:c>
      <x:c r="G313" s="50" t="str">
        <x:f>IF(305&gt;$H$4,"",IF(INDEX('Fleet dates'!$G$9:$G$1008,$I313-8)="","",INDEX('Fleet dates'!$G$9:$G$1008,$I313-8)))</x:f>
      </x:c>
      <x:c r="H313" s="50" t="str">
        <x:f>IF(305&gt;$H$4,"",IF(INDEX('Fleet dates'!$I$9:$I$1008,$I313-8)="","",INDEX('Fleet dates'!$I$9:$I$1008,$I313-8)))</x:f>
      </x:c>
      <x:c r="I313" t="str">
        <x:f>IF(305&gt;$H$4,"",MATCH(305,'Fleet dates'!$N$9:$N$1008,0)+8)</x:f>
      </x:c>
    </x:row>
    <x:row r="314" ht="36" customHeight="1">
      <x:c r="A314" s="50" t="str">
        <x:f>IF(306&gt;$H$4,"",IF(INDEX('Fleet dates'!$A$9:$A$1008,$I314-8)="","",INDEX('Fleet dates'!$A$9:$A$1008,$I314-8)))</x:f>
      </x:c>
      <x:c r="B314" s="50" t="str">
        <x:f>IF(306&gt;$H$4,"",IF(INDEX('Fleet dates'!$B$9:$B$1008,$I314-8)="","",INDEX('Fleet dates'!$B$9:$B$1008,$I314-8)))</x:f>
      </x:c>
      <x:c r="C314" s="51" t="str">
        <x:f>IF(306&gt;$H$4,"",IF(INDEX('Fleet dates'!$C$9:$C$1008,$I314-8)="","",INDEX('Fleet dates'!$C$9:$C$1008,$I314-8)))</x:f>
      </x:c>
      <x:c r="D314" s="51" t="str">
        <x:f>IF(306&gt;$H$4,"",IF(INDEX('Fleet dates'!$D$9:$D$1008,$I314-8)="","",INDEX('Fleet dates'!$D$9:$D$1008,$I314-8)))</x:f>
      </x:c>
      <x:c r="E314" s="51" t="str">
        <x:f>IF(306&gt;$H$4,"",IF(INDEX('Fleet dates'!$E$9:$E$1008,$I314-8)="","",INDEX('Fleet dates'!$E$9:$E$1008,$I314-8)))</x:f>
      </x:c>
      <x:c r="F314" s="51" t="str">
        <x:f>IF(306&gt;$H$4,"",IF(INDEX('Fleet dates'!$F$9:$F$1008,$I314-8)="","",INDEX('Fleet dates'!$F$9:$F$1008,$I314-8)))</x:f>
      </x:c>
      <x:c r="G314" s="50" t="str">
        <x:f>IF(306&gt;$H$4,"",IF(INDEX('Fleet dates'!$G$9:$G$1008,$I314-8)="","",INDEX('Fleet dates'!$G$9:$G$1008,$I314-8)))</x:f>
      </x:c>
      <x:c r="H314" s="50" t="str">
        <x:f>IF(306&gt;$H$4,"",IF(INDEX('Fleet dates'!$I$9:$I$1008,$I314-8)="","",INDEX('Fleet dates'!$I$9:$I$1008,$I314-8)))</x:f>
      </x:c>
      <x:c r="I314" t="str">
        <x:f>IF(306&gt;$H$4,"",MATCH(306,'Fleet dates'!$N$9:$N$1008,0)+8)</x:f>
      </x:c>
    </x:row>
    <x:row r="315" ht="36" customHeight="1">
      <x:c r="A315" s="50" t="str">
        <x:f>IF(307&gt;$H$4,"",IF(INDEX('Fleet dates'!$A$9:$A$1008,$I315-8)="","",INDEX('Fleet dates'!$A$9:$A$1008,$I315-8)))</x:f>
      </x:c>
      <x:c r="B315" s="50" t="str">
        <x:f>IF(307&gt;$H$4,"",IF(INDEX('Fleet dates'!$B$9:$B$1008,$I315-8)="","",INDEX('Fleet dates'!$B$9:$B$1008,$I315-8)))</x:f>
      </x:c>
      <x:c r="C315" s="51" t="str">
        <x:f>IF(307&gt;$H$4,"",IF(INDEX('Fleet dates'!$C$9:$C$1008,$I315-8)="","",INDEX('Fleet dates'!$C$9:$C$1008,$I315-8)))</x:f>
      </x:c>
      <x:c r="D315" s="51" t="str">
        <x:f>IF(307&gt;$H$4,"",IF(INDEX('Fleet dates'!$D$9:$D$1008,$I315-8)="","",INDEX('Fleet dates'!$D$9:$D$1008,$I315-8)))</x:f>
      </x:c>
      <x:c r="E315" s="51" t="str">
        <x:f>IF(307&gt;$H$4,"",IF(INDEX('Fleet dates'!$E$9:$E$1008,$I315-8)="","",INDEX('Fleet dates'!$E$9:$E$1008,$I315-8)))</x:f>
      </x:c>
      <x:c r="F315" s="51" t="str">
        <x:f>IF(307&gt;$H$4,"",IF(INDEX('Fleet dates'!$F$9:$F$1008,$I315-8)="","",INDEX('Fleet dates'!$F$9:$F$1008,$I315-8)))</x:f>
      </x:c>
      <x:c r="G315" s="50" t="str">
        <x:f>IF(307&gt;$H$4,"",IF(INDEX('Fleet dates'!$G$9:$G$1008,$I315-8)="","",INDEX('Fleet dates'!$G$9:$G$1008,$I315-8)))</x:f>
      </x:c>
      <x:c r="H315" s="50" t="str">
        <x:f>IF(307&gt;$H$4,"",IF(INDEX('Fleet dates'!$I$9:$I$1008,$I315-8)="","",INDEX('Fleet dates'!$I$9:$I$1008,$I315-8)))</x:f>
      </x:c>
      <x:c r="I315" t="str">
        <x:f>IF(307&gt;$H$4,"",MATCH(307,'Fleet dates'!$N$9:$N$1008,0)+8)</x:f>
      </x:c>
    </x:row>
    <x:row r="316" ht="36" customHeight="1">
      <x:c r="A316" s="50" t="str">
        <x:f>IF(308&gt;$H$4,"",IF(INDEX('Fleet dates'!$A$9:$A$1008,$I316-8)="","",INDEX('Fleet dates'!$A$9:$A$1008,$I316-8)))</x:f>
      </x:c>
      <x:c r="B316" s="50" t="str">
        <x:f>IF(308&gt;$H$4,"",IF(INDEX('Fleet dates'!$B$9:$B$1008,$I316-8)="","",INDEX('Fleet dates'!$B$9:$B$1008,$I316-8)))</x:f>
      </x:c>
      <x:c r="C316" s="51" t="str">
        <x:f>IF(308&gt;$H$4,"",IF(INDEX('Fleet dates'!$C$9:$C$1008,$I316-8)="","",INDEX('Fleet dates'!$C$9:$C$1008,$I316-8)))</x:f>
      </x:c>
      <x:c r="D316" s="51" t="str">
        <x:f>IF(308&gt;$H$4,"",IF(INDEX('Fleet dates'!$D$9:$D$1008,$I316-8)="","",INDEX('Fleet dates'!$D$9:$D$1008,$I316-8)))</x:f>
      </x:c>
      <x:c r="E316" s="51" t="str">
        <x:f>IF(308&gt;$H$4,"",IF(INDEX('Fleet dates'!$E$9:$E$1008,$I316-8)="","",INDEX('Fleet dates'!$E$9:$E$1008,$I316-8)))</x:f>
      </x:c>
      <x:c r="F316" s="51" t="str">
        <x:f>IF(308&gt;$H$4,"",IF(INDEX('Fleet dates'!$F$9:$F$1008,$I316-8)="","",INDEX('Fleet dates'!$F$9:$F$1008,$I316-8)))</x:f>
      </x:c>
      <x:c r="G316" s="50" t="str">
        <x:f>IF(308&gt;$H$4,"",IF(INDEX('Fleet dates'!$G$9:$G$1008,$I316-8)="","",INDEX('Fleet dates'!$G$9:$G$1008,$I316-8)))</x:f>
      </x:c>
      <x:c r="H316" s="50" t="str">
        <x:f>IF(308&gt;$H$4,"",IF(INDEX('Fleet dates'!$I$9:$I$1008,$I316-8)="","",INDEX('Fleet dates'!$I$9:$I$1008,$I316-8)))</x:f>
      </x:c>
      <x:c r="I316" t="str">
        <x:f>IF(308&gt;$H$4,"",MATCH(308,'Fleet dates'!$N$9:$N$1008,0)+8)</x:f>
      </x:c>
    </x:row>
    <x:row r="317" ht="36" customHeight="1">
      <x:c r="A317" s="50" t="str">
        <x:f>IF(309&gt;$H$4,"",IF(INDEX('Fleet dates'!$A$9:$A$1008,$I317-8)="","",INDEX('Fleet dates'!$A$9:$A$1008,$I317-8)))</x:f>
      </x:c>
      <x:c r="B317" s="50" t="str">
        <x:f>IF(309&gt;$H$4,"",IF(INDEX('Fleet dates'!$B$9:$B$1008,$I317-8)="","",INDEX('Fleet dates'!$B$9:$B$1008,$I317-8)))</x:f>
      </x:c>
      <x:c r="C317" s="51" t="str">
        <x:f>IF(309&gt;$H$4,"",IF(INDEX('Fleet dates'!$C$9:$C$1008,$I317-8)="","",INDEX('Fleet dates'!$C$9:$C$1008,$I317-8)))</x:f>
      </x:c>
      <x:c r="D317" s="51" t="str">
        <x:f>IF(309&gt;$H$4,"",IF(INDEX('Fleet dates'!$D$9:$D$1008,$I317-8)="","",INDEX('Fleet dates'!$D$9:$D$1008,$I317-8)))</x:f>
      </x:c>
      <x:c r="E317" s="51" t="str">
        <x:f>IF(309&gt;$H$4,"",IF(INDEX('Fleet dates'!$E$9:$E$1008,$I317-8)="","",INDEX('Fleet dates'!$E$9:$E$1008,$I317-8)))</x:f>
      </x:c>
      <x:c r="F317" s="51" t="str">
        <x:f>IF(309&gt;$H$4,"",IF(INDEX('Fleet dates'!$F$9:$F$1008,$I317-8)="","",INDEX('Fleet dates'!$F$9:$F$1008,$I317-8)))</x:f>
      </x:c>
      <x:c r="G317" s="50" t="str">
        <x:f>IF(309&gt;$H$4,"",IF(INDEX('Fleet dates'!$G$9:$G$1008,$I317-8)="","",INDEX('Fleet dates'!$G$9:$G$1008,$I317-8)))</x:f>
      </x:c>
      <x:c r="H317" s="50" t="str">
        <x:f>IF(309&gt;$H$4,"",IF(INDEX('Fleet dates'!$I$9:$I$1008,$I317-8)="","",INDEX('Fleet dates'!$I$9:$I$1008,$I317-8)))</x:f>
      </x:c>
      <x:c r="I317" t="str">
        <x:f>IF(309&gt;$H$4,"",MATCH(309,'Fleet dates'!$N$9:$N$1008,0)+8)</x:f>
      </x:c>
    </x:row>
    <x:row r="318" ht="36" customHeight="1">
      <x:c r="A318" s="50" t="str">
        <x:f>IF(310&gt;$H$4,"",IF(INDEX('Fleet dates'!$A$9:$A$1008,$I318-8)="","",INDEX('Fleet dates'!$A$9:$A$1008,$I318-8)))</x:f>
      </x:c>
      <x:c r="B318" s="50" t="str">
        <x:f>IF(310&gt;$H$4,"",IF(INDEX('Fleet dates'!$B$9:$B$1008,$I318-8)="","",INDEX('Fleet dates'!$B$9:$B$1008,$I318-8)))</x:f>
      </x:c>
      <x:c r="C318" s="51" t="str">
        <x:f>IF(310&gt;$H$4,"",IF(INDEX('Fleet dates'!$C$9:$C$1008,$I318-8)="","",INDEX('Fleet dates'!$C$9:$C$1008,$I318-8)))</x:f>
      </x:c>
      <x:c r="D318" s="51" t="str">
        <x:f>IF(310&gt;$H$4,"",IF(INDEX('Fleet dates'!$D$9:$D$1008,$I318-8)="","",INDEX('Fleet dates'!$D$9:$D$1008,$I318-8)))</x:f>
      </x:c>
      <x:c r="E318" s="51" t="str">
        <x:f>IF(310&gt;$H$4,"",IF(INDEX('Fleet dates'!$E$9:$E$1008,$I318-8)="","",INDEX('Fleet dates'!$E$9:$E$1008,$I318-8)))</x:f>
      </x:c>
      <x:c r="F318" s="51" t="str">
        <x:f>IF(310&gt;$H$4,"",IF(INDEX('Fleet dates'!$F$9:$F$1008,$I318-8)="","",INDEX('Fleet dates'!$F$9:$F$1008,$I318-8)))</x:f>
      </x:c>
      <x:c r="G318" s="50" t="str">
        <x:f>IF(310&gt;$H$4,"",IF(INDEX('Fleet dates'!$G$9:$G$1008,$I318-8)="","",INDEX('Fleet dates'!$G$9:$G$1008,$I318-8)))</x:f>
      </x:c>
      <x:c r="H318" s="50" t="str">
        <x:f>IF(310&gt;$H$4,"",IF(INDEX('Fleet dates'!$I$9:$I$1008,$I318-8)="","",INDEX('Fleet dates'!$I$9:$I$1008,$I318-8)))</x:f>
      </x:c>
      <x:c r="I318" t="str">
        <x:f>IF(310&gt;$H$4,"",MATCH(310,'Fleet dates'!$N$9:$N$1008,0)+8)</x:f>
      </x:c>
    </x:row>
    <x:row r="319" ht="36" customHeight="1">
      <x:c r="A319" s="50" t="str">
        <x:f>IF(311&gt;$H$4,"",IF(INDEX('Fleet dates'!$A$9:$A$1008,$I319-8)="","",INDEX('Fleet dates'!$A$9:$A$1008,$I319-8)))</x:f>
      </x:c>
      <x:c r="B319" s="50" t="str">
        <x:f>IF(311&gt;$H$4,"",IF(INDEX('Fleet dates'!$B$9:$B$1008,$I319-8)="","",INDEX('Fleet dates'!$B$9:$B$1008,$I319-8)))</x:f>
      </x:c>
      <x:c r="C319" s="51" t="str">
        <x:f>IF(311&gt;$H$4,"",IF(INDEX('Fleet dates'!$C$9:$C$1008,$I319-8)="","",INDEX('Fleet dates'!$C$9:$C$1008,$I319-8)))</x:f>
      </x:c>
      <x:c r="D319" s="51" t="str">
        <x:f>IF(311&gt;$H$4,"",IF(INDEX('Fleet dates'!$D$9:$D$1008,$I319-8)="","",INDEX('Fleet dates'!$D$9:$D$1008,$I319-8)))</x:f>
      </x:c>
      <x:c r="E319" s="51" t="str">
        <x:f>IF(311&gt;$H$4,"",IF(INDEX('Fleet dates'!$E$9:$E$1008,$I319-8)="","",INDEX('Fleet dates'!$E$9:$E$1008,$I319-8)))</x:f>
      </x:c>
      <x:c r="F319" s="51" t="str">
        <x:f>IF(311&gt;$H$4,"",IF(INDEX('Fleet dates'!$F$9:$F$1008,$I319-8)="","",INDEX('Fleet dates'!$F$9:$F$1008,$I319-8)))</x:f>
      </x:c>
      <x:c r="G319" s="50" t="str">
        <x:f>IF(311&gt;$H$4,"",IF(INDEX('Fleet dates'!$G$9:$G$1008,$I319-8)="","",INDEX('Fleet dates'!$G$9:$G$1008,$I319-8)))</x:f>
      </x:c>
      <x:c r="H319" s="50" t="str">
        <x:f>IF(311&gt;$H$4,"",IF(INDEX('Fleet dates'!$I$9:$I$1008,$I319-8)="","",INDEX('Fleet dates'!$I$9:$I$1008,$I319-8)))</x:f>
      </x:c>
      <x:c r="I319" t="str">
        <x:f>IF(311&gt;$H$4,"",MATCH(311,'Fleet dates'!$N$9:$N$1008,0)+8)</x:f>
      </x:c>
    </x:row>
    <x:row r="320" ht="36" customHeight="1">
      <x:c r="A320" s="50" t="str">
        <x:f>IF(312&gt;$H$4,"",IF(INDEX('Fleet dates'!$A$9:$A$1008,$I320-8)="","",INDEX('Fleet dates'!$A$9:$A$1008,$I320-8)))</x:f>
      </x:c>
      <x:c r="B320" s="50" t="str">
        <x:f>IF(312&gt;$H$4,"",IF(INDEX('Fleet dates'!$B$9:$B$1008,$I320-8)="","",INDEX('Fleet dates'!$B$9:$B$1008,$I320-8)))</x:f>
      </x:c>
      <x:c r="C320" s="51" t="str">
        <x:f>IF(312&gt;$H$4,"",IF(INDEX('Fleet dates'!$C$9:$C$1008,$I320-8)="","",INDEX('Fleet dates'!$C$9:$C$1008,$I320-8)))</x:f>
      </x:c>
      <x:c r="D320" s="51" t="str">
        <x:f>IF(312&gt;$H$4,"",IF(INDEX('Fleet dates'!$D$9:$D$1008,$I320-8)="","",INDEX('Fleet dates'!$D$9:$D$1008,$I320-8)))</x:f>
      </x:c>
      <x:c r="E320" s="51" t="str">
        <x:f>IF(312&gt;$H$4,"",IF(INDEX('Fleet dates'!$E$9:$E$1008,$I320-8)="","",INDEX('Fleet dates'!$E$9:$E$1008,$I320-8)))</x:f>
      </x:c>
      <x:c r="F320" s="51" t="str">
        <x:f>IF(312&gt;$H$4,"",IF(INDEX('Fleet dates'!$F$9:$F$1008,$I320-8)="","",INDEX('Fleet dates'!$F$9:$F$1008,$I320-8)))</x:f>
      </x:c>
      <x:c r="G320" s="50" t="str">
        <x:f>IF(312&gt;$H$4,"",IF(INDEX('Fleet dates'!$G$9:$G$1008,$I320-8)="","",INDEX('Fleet dates'!$G$9:$G$1008,$I320-8)))</x:f>
      </x:c>
      <x:c r="H320" s="50" t="str">
        <x:f>IF(312&gt;$H$4,"",IF(INDEX('Fleet dates'!$I$9:$I$1008,$I320-8)="","",INDEX('Fleet dates'!$I$9:$I$1008,$I320-8)))</x:f>
      </x:c>
      <x:c r="I320" t="str">
        <x:f>IF(312&gt;$H$4,"",MATCH(312,'Fleet dates'!$N$9:$N$1008,0)+8)</x:f>
      </x:c>
    </x:row>
    <x:row r="321" ht="36" customHeight="1">
      <x:c r="A321" s="50" t="str">
        <x:f>IF(313&gt;$H$4,"",IF(INDEX('Fleet dates'!$A$9:$A$1008,$I321-8)="","",INDEX('Fleet dates'!$A$9:$A$1008,$I321-8)))</x:f>
      </x:c>
      <x:c r="B321" s="50" t="str">
        <x:f>IF(313&gt;$H$4,"",IF(INDEX('Fleet dates'!$B$9:$B$1008,$I321-8)="","",INDEX('Fleet dates'!$B$9:$B$1008,$I321-8)))</x:f>
      </x:c>
      <x:c r="C321" s="51" t="str">
        <x:f>IF(313&gt;$H$4,"",IF(INDEX('Fleet dates'!$C$9:$C$1008,$I321-8)="","",INDEX('Fleet dates'!$C$9:$C$1008,$I321-8)))</x:f>
      </x:c>
      <x:c r="D321" s="51" t="str">
        <x:f>IF(313&gt;$H$4,"",IF(INDEX('Fleet dates'!$D$9:$D$1008,$I321-8)="","",INDEX('Fleet dates'!$D$9:$D$1008,$I321-8)))</x:f>
      </x:c>
      <x:c r="E321" s="51" t="str">
        <x:f>IF(313&gt;$H$4,"",IF(INDEX('Fleet dates'!$E$9:$E$1008,$I321-8)="","",INDEX('Fleet dates'!$E$9:$E$1008,$I321-8)))</x:f>
      </x:c>
      <x:c r="F321" s="51" t="str">
        <x:f>IF(313&gt;$H$4,"",IF(INDEX('Fleet dates'!$F$9:$F$1008,$I321-8)="","",INDEX('Fleet dates'!$F$9:$F$1008,$I321-8)))</x:f>
      </x:c>
      <x:c r="G321" s="50" t="str">
        <x:f>IF(313&gt;$H$4,"",IF(INDEX('Fleet dates'!$G$9:$G$1008,$I321-8)="","",INDEX('Fleet dates'!$G$9:$G$1008,$I321-8)))</x:f>
      </x:c>
      <x:c r="H321" s="50" t="str">
        <x:f>IF(313&gt;$H$4,"",IF(INDEX('Fleet dates'!$I$9:$I$1008,$I321-8)="","",INDEX('Fleet dates'!$I$9:$I$1008,$I321-8)))</x:f>
      </x:c>
      <x:c r="I321" t="str">
        <x:f>IF(313&gt;$H$4,"",MATCH(313,'Fleet dates'!$N$9:$N$1008,0)+8)</x:f>
      </x:c>
    </x:row>
    <x:row r="322" ht="36" customHeight="1">
      <x:c r="A322" s="50" t="str">
        <x:f>IF(314&gt;$H$4,"",IF(INDEX('Fleet dates'!$A$9:$A$1008,$I322-8)="","",INDEX('Fleet dates'!$A$9:$A$1008,$I322-8)))</x:f>
      </x:c>
      <x:c r="B322" s="50" t="str">
        <x:f>IF(314&gt;$H$4,"",IF(INDEX('Fleet dates'!$B$9:$B$1008,$I322-8)="","",INDEX('Fleet dates'!$B$9:$B$1008,$I322-8)))</x:f>
      </x:c>
      <x:c r="C322" s="51" t="str">
        <x:f>IF(314&gt;$H$4,"",IF(INDEX('Fleet dates'!$C$9:$C$1008,$I322-8)="","",INDEX('Fleet dates'!$C$9:$C$1008,$I322-8)))</x:f>
      </x:c>
      <x:c r="D322" s="51" t="str">
        <x:f>IF(314&gt;$H$4,"",IF(INDEX('Fleet dates'!$D$9:$D$1008,$I322-8)="","",INDEX('Fleet dates'!$D$9:$D$1008,$I322-8)))</x:f>
      </x:c>
      <x:c r="E322" s="51" t="str">
        <x:f>IF(314&gt;$H$4,"",IF(INDEX('Fleet dates'!$E$9:$E$1008,$I322-8)="","",INDEX('Fleet dates'!$E$9:$E$1008,$I322-8)))</x:f>
      </x:c>
      <x:c r="F322" s="51" t="str">
        <x:f>IF(314&gt;$H$4,"",IF(INDEX('Fleet dates'!$F$9:$F$1008,$I322-8)="","",INDEX('Fleet dates'!$F$9:$F$1008,$I322-8)))</x:f>
      </x:c>
      <x:c r="G322" s="50" t="str">
        <x:f>IF(314&gt;$H$4,"",IF(INDEX('Fleet dates'!$G$9:$G$1008,$I322-8)="","",INDEX('Fleet dates'!$G$9:$G$1008,$I322-8)))</x:f>
      </x:c>
      <x:c r="H322" s="50" t="str">
        <x:f>IF(314&gt;$H$4,"",IF(INDEX('Fleet dates'!$I$9:$I$1008,$I322-8)="","",INDEX('Fleet dates'!$I$9:$I$1008,$I322-8)))</x:f>
      </x:c>
      <x:c r="I322" t="str">
        <x:f>IF(314&gt;$H$4,"",MATCH(314,'Fleet dates'!$N$9:$N$1008,0)+8)</x:f>
      </x:c>
    </x:row>
    <x:row r="323" ht="36" customHeight="1">
      <x:c r="A323" s="50" t="str">
        <x:f>IF(315&gt;$H$4,"",IF(INDEX('Fleet dates'!$A$9:$A$1008,$I323-8)="","",INDEX('Fleet dates'!$A$9:$A$1008,$I323-8)))</x:f>
      </x:c>
      <x:c r="B323" s="50" t="str">
        <x:f>IF(315&gt;$H$4,"",IF(INDEX('Fleet dates'!$B$9:$B$1008,$I323-8)="","",INDEX('Fleet dates'!$B$9:$B$1008,$I323-8)))</x:f>
      </x:c>
      <x:c r="C323" s="51" t="str">
        <x:f>IF(315&gt;$H$4,"",IF(INDEX('Fleet dates'!$C$9:$C$1008,$I323-8)="","",INDEX('Fleet dates'!$C$9:$C$1008,$I323-8)))</x:f>
      </x:c>
      <x:c r="D323" s="51" t="str">
        <x:f>IF(315&gt;$H$4,"",IF(INDEX('Fleet dates'!$D$9:$D$1008,$I323-8)="","",INDEX('Fleet dates'!$D$9:$D$1008,$I323-8)))</x:f>
      </x:c>
      <x:c r="E323" s="51" t="str">
        <x:f>IF(315&gt;$H$4,"",IF(INDEX('Fleet dates'!$E$9:$E$1008,$I323-8)="","",INDEX('Fleet dates'!$E$9:$E$1008,$I323-8)))</x:f>
      </x:c>
      <x:c r="F323" s="51" t="str">
        <x:f>IF(315&gt;$H$4,"",IF(INDEX('Fleet dates'!$F$9:$F$1008,$I323-8)="","",INDEX('Fleet dates'!$F$9:$F$1008,$I323-8)))</x:f>
      </x:c>
      <x:c r="G323" s="50" t="str">
        <x:f>IF(315&gt;$H$4,"",IF(INDEX('Fleet dates'!$G$9:$G$1008,$I323-8)="","",INDEX('Fleet dates'!$G$9:$G$1008,$I323-8)))</x:f>
      </x:c>
      <x:c r="H323" s="50" t="str">
        <x:f>IF(315&gt;$H$4,"",IF(INDEX('Fleet dates'!$I$9:$I$1008,$I323-8)="","",INDEX('Fleet dates'!$I$9:$I$1008,$I323-8)))</x:f>
      </x:c>
      <x:c r="I323" t="str">
        <x:f>IF(315&gt;$H$4,"",MATCH(315,'Fleet dates'!$N$9:$N$1008,0)+8)</x:f>
      </x:c>
    </x:row>
    <x:row r="324" ht="36" customHeight="1">
      <x:c r="A324" s="50" t="str">
        <x:f>IF(316&gt;$H$4,"",IF(INDEX('Fleet dates'!$A$9:$A$1008,$I324-8)="","",INDEX('Fleet dates'!$A$9:$A$1008,$I324-8)))</x:f>
      </x:c>
      <x:c r="B324" s="50" t="str">
        <x:f>IF(316&gt;$H$4,"",IF(INDEX('Fleet dates'!$B$9:$B$1008,$I324-8)="","",INDEX('Fleet dates'!$B$9:$B$1008,$I324-8)))</x:f>
      </x:c>
      <x:c r="C324" s="51" t="str">
        <x:f>IF(316&gt;$H$4,"",IF(INDEX('Fleet dates'!$C$9:$C$1008,$I324-8)="","",INDEX('Fleet dates'!$C$9:$C$1008,$I324-8)))</x:f>
      </x:c>
      <x:c r="D324" s="51" t="str">
        <x:f>IF(316&gt;$H$4,"",IF(INDEX('Fleet dates'!$D$9:$D$1008,$I324-8)="","",INDEX('Fleet dates'!$D$9:$D$1008,$I324-8)))</x:f>
      </x:c>
      <x:c r="E324" s="51" t="str">
        <x:f>IF(316&gt;$H$4,"",IF(INDEX('Fleet dates'!$E$9:$E$1008,$I324-8)="","",INDEX('Fleet dates'!$E$9:$E$1008,$I324-8)))</x:f>
      </x:c>
      <x:c r="F324" s="51" t="str">
        <x:f>IF(316&gt;$H$4,"",IF(INDEX('Fleet dates'!$F$9:$F$1008,$I324-8)="","",INDEX('Fleet dates'!$F$9:$F$1008,$I324-8)))</x:f>
      </x:c>
      <x:c r="G324" s="50" t="str">
        <x:f>IF(316&gt;$H$4,"",IF(INDEX('Fleet dates'!$G$9:$G$1008,$I324-8)="","",INDEX('Fleet dates'!$G$9:$G$1008,$I324-8)))</x:f>
      </x:c>
      <x:c r="H324" s="50" t="str">
        <x:f>IF(316&gt;$H$4,"",IF(INDEX('Fleet dates'!$I$9:$I$1008,$I324-8)="","",INDEX('Fleet dates'!$I$9:$I$1008,$I324-8)))</x:f>
      </x:c>
      <x:c r="I324" t="str">
        <x:f>IF(316&gt;$H$4,"",MATCH(316,'Fleet dates'!$N$9:$N$1008,0)+8)</x:f>
      </x:c>
    </x:row>
    <x:row r="325" ht="36" customHeight="1">
      <x:c r="A325" s="50" t="str">
        <x:f>IF(317&gt;$H$4,"",IF(INDEX('Fleet dates'!$A$9:$A$1008,$I325-8)="","",INDEX('Fleet dates'!$A$9:$A$1008,$I325-8)))</x:f>
      </x:c>
      <x:c r="B325" s="50" t="str">
        <x:f>IF(317&gt;$H$4,"",IF(INDEX('Fleet dates'!$B$9:$B$1008,$I325-8)="","",INDEX('Fleet dates'!$B$9:$B$1008,$I325-8)))</x:f>
      </x:c>
      <x:c r="C325" s="51" t="str">
        <x:f>IF(317&gt;$H$4,"",IF(INDEX('Fleet dates'!$C$9:$C$1008,$I325-8)="","",INDEX('Fleet dates'!$C$9:$C$1008,$I325-8)))</x:f>
      </x:c>
      <x:c r="D325" s="51" t="str">
        <x:f>IF(317&gt;$H$4,"",IF(INDEX('Fleet dates'!$D$9:$D$1008,$I325-8)="","",INDEX('Fleet dates'!$D$9:$D$1008,$I325-8)))</x:f>
      </x:c>
      <x:c r="E325" s="51" t="str">
        <x:f>IF(317&gt;$H$4,"",IF(INDEX('Fleet dates'!$E$9:$E$1008,$I325-8)="","",INDEX('Fleet dates'!$E$9:$E$1008,$I325-8)))</x:f>
      </x:c>
      <x:c r="F325" s="51" t="str">
        <x:f>IF(317&gt;$H$4,"",IF(INDEX('Fleet dates'!$F$9:$F$1008,$I325-8)="","",INDEX('Fleet dates'!$F$9:$F$1008,$I325-8)))</x:f>
      </x:c>
      <x:c r="G325" s="50" t="str">
        <x:f>IF(317&gt;$H$4,"",IF(INDEX('Fleet dates'!$G$9:$G$1008,$I325-8)="","",INDEX('Fleet dates'!$G$9:$G$1008,$I325-8)))</x:f>
      </x:c>
      <x:c r="H325" s="50" t="str">
        <x:f>IF(317&gt;$H$4,"",IF(INDEX('Fleet dates'!$I$9:$I$1008,$I325-8)="","",INDEX('Fleet dates'!$I$9:$I$1008,$I325-8)))</x:f>
      </x:c>
      <x:c r="I325" t="str">
        <x:f>IF(317&gt;$H$4,"",MATCH(317,'Fleet dates'!$N$9:$N$1008,0)+8)</x:f>
      </x:c>
    </x:row>
    <x:row r="326" ht="36" customHeight="1">
      <x:c r="A326" s="50" t="str">
        <x:f>IF(318&gt;$H$4,"",IF(INDEX('Fleet dates'!$A$9:$A$1008,$I326-8)="","",INDEX('Fleet dates'!$A$9:$A$1008,$I326-8)))</x:f>
      </x:c>
      <x:c r="B326" s="50" t="str">
        <x:f>IF(318&gt;$H$4,"",IF(INDEX('Fleet dates'!$B$9:$B$1008,$I326-8)="","",INDEX('Fleet dates'!$B$9:$B$1008,$I326-8)))</x:f>
      </x:c>
      <x:c r="C326" s="51" t="str">
        <x:f>IF(318&gt;$H$4,"",IF(INDEX('Fleet dates'!$C$9:$C$1008,$I326-8)="","",INDEX('Fleet dates'!$C$9:$C$1008,$I326-8)))</x:f>
      </x:c>
      <x:c r="D326" s="51" t="str">
        <x:f>IF(318&gt;$H$4,"",IF(INDEX('Fleet dates'!$D$9:$D$1008,$I326-8)="","",INDEX('Fleet dates'!$D$9:$D$1008,$I326-8)))</x:f>
      </x:c>
      <x:c r="E326" s="51" t="str">
        <x:f>IF(318&gt;$H$4,"",IF(INDEX('Fleet dates'!$E$9:$E$1008,$I326-8)="","",INDEX('Fleet dates'!$E$9:$E$1008,$I326-8)))</x:f>
      </x:c>
      <x:c r="F326" s="51" t="str">
        <x:f>IF(318&gt;$H$4,"",IF(INDEX('Fleet dates'!$F$9:$F$1008,$I326-8)="","",INDEX('Fleet dates'!$F$9:$F$1008,$I326-8)))</x:f>
      </x:c>
      <x:c r="G326" s="50" t="str">
        <x:f>IF(318&gt;$H$4,"",IF(INDEX('Fleet dates'!$G$9:$G$1008,$I326-8)="","",INDEX('Fleet dates'!$G$9:$G$1008,$I326-8)))</x:f>
      </x:c>
      <x:c r="H326" s="50" t="str">
        <x:f>IF(318&gt;$H$4,"",IF(INDEX('Fleet dates'!$I$9:$I$1008,$I326-8)="","",INDEX('Fleet dates'!$I$9:$I$1008,$I326-8)))</x:f>
      </x:c>
      <x:c r="I326" t="str">
        <x:f>IF(318&gt;$H$4,"",MATCH(318,'Fleet dates'!$N$9:$N$1008,0)+8)</x:f>
      </x:c>
    </x:row>
    <x:row r="327" ht="36" customHeight="1">
      <x:c r="A327" s="50" t="str">
        <x:f>IF(319&gt;$H$4,"",IF(INDEX('Fleet dates'!$A$9:$A$1008,$I327-8)="","",INDEX('Fleet dates'!$A$9:$A$1008,$I327-8)))</x:f>
      </x:c>
      <x:c r="B327" s="50" t="str">
        <x:f>IF(319&gt;$H$4,"",IF(INDEX('Fleet dates'!$B$9:$B$1008,$I327-8)="","",INDEX('Fleet dates'!$B$9:$B$1008,$I327-8)))</x:f>
      </x:c>
      <x:c r="C327" s="51" t="str">
        <x:f>IF(319&gt;$H$4,"",IF(INDEX('Fleet dates'!$C$9:$C$1008,$I327-8)="","",INDEX('Fleet dates'!$C$9:$C$1008,$I327-8)))</x:f>
      </x:c>
      <x:c r="D327" s="51" t="str">
        <x:f>IF(319&gt;$H$4,"",IF(INDEX('Fleet dates'!$D$9:$D$1008,$I327-8)="","",INDEX('Fleet dates'!$D$9:$D$1008,$I327-8)))</x:f>
      </x:c>
      <x:c r="E327" s="51" t="str">
        <x:f>IF(319&gt;$H$4,"",IF(INDEX('Fleet dates'!$E$9:$E$1008,$I327-8)="","",INDEX('Fleet dates'!$E$9:$E$1008,$I327-8)))</x:f>
      </x:c>
      <x:c r="F327" s="51" t="str">
        <x:f>IF(319&gt;$H$4,"",IF(INDEX('Fleet dates'!$F$9:$F$1008,$I327-8)="","",INDEX('Fleet dates'!$F$9:$F$1008,$I327-8)))</x:f>
      </x:c>
      <x:c r="G327" s="50" t="str">
        <x:f>IF(319&gt;$H$4,"",IF(INDEX('Fleet dates'!$G$9:$G$1008,$I327-8)="","",INDEX('Fleet dates'!$G$9:$G$1008,$I327-8)))</x:f>
      </x:c>
      <x:c r="H327" s="50" t="str">
        <x:f>IF(319&gt;$H$4,"",IF(INDEX('Fleet dates'!$I$9:$I$1008,$I327-8)="","",INDEX('Fleet dates'!$I$9:$I$1008,$I327-8)))</x:f>
      </x:c>
      <x:c r="I327" t="str">
        <x:f>IF(319&gt;$H$4,"",MATCH(319,'Fleet dates'!$N$9:$N$1008,0)+8)</x:f>
      </x:c>
    </x:row>
    <x:row r="328" ht="36" customHeight="1">
      <x:c r="A328" s="50" t="str">
        <x:f>IF(320&gt;$H$4,"",IF(INDEX('Fleet dates'!$A$9:$A$1008,$I328-8)="","",INDEX('Fleet dates'!$A$9:$A$1008,$I328-8)))</x:f>
      </x:c>
      <x:c r="B328" s="50" t="str">
        <x:f>IF(320&gt;$H$4,"",IF(INDEX('Fleet dates'!$B$9:$B$1008,$I328-8)="","",INDEX('Fleet dates'!$B$9:$B$1008,$I328-8)))</x:f>
      </x:c>
      <x:c r="C328" s="51" t="str">
        <x:f>IF(320&gt;$H$4,"",IF(INDEX('Fleet dates'!$C$9:$C$1008,$I328-8)="","",INDEX('Fleet dates'!$C$9:$C$1008,$I328-8)))</x:f>
      </x:c>
      <x:c r="D328" s="51" t="str">
        <x:f>IF(320&gt;$H$4,"",IF(INDEX('Fleet dates'!$D$9:$D$1008,$I328-8)="","",INDEX('Fleet dates'!$D$9:$D$1008,$I328-8)))</x:f>
      </x:c>
      <x:c r="E328" s="51" t="str">
        <x:f>IF(320&gt;$H$4,"",IF(INDEX('Fleet dates'!$E$9:$E$1008,$I328-8)="","",INDEX('Fleet dates'!$E$9:$E$1008,$I328-8)))</x:f>
      </x:c>
      <x:c r="F328" s="51" t="str">
        <x:f>IF(320&gt;$H$4,"",IF(INDEX('Fleet dates'!$F$9:$F$1008,$I328-8)="","",INDEX('Fleet dates'!$F$9:$F$1008,$I328-8)))</x:f>
      </x:c>
      <x:c r="G328" s="50" t="str">
        <x:f>IF(320&gt;$H$4,"",IF(INDEX('Fleet dates'!$G$9:$G$1008,$I328-8)="","",INDEX('Fleet dates'!$G$9:$G$1008,$I328-8)))</x:f>
      </x:c>
      <x:c r="H328" s="50" t="str">
        <x:f>IF(320&gt;$H$4,"",IF(INDEX('Fleet dates'!$I$9:$I$1008,$I328-8)="","",INDEX('Fleet dates'!$I$9:$I$1008,$I328-8)))</x:f>
      </x:c>
      <x:c r="I328" t="str">
        <x:f>IF(320&gt;$H$4,"",MATCH(320,'Fleet dates'!$N$9:$N$1008,0)+8)</x:f>
      </x:c>
    </x:row>
    <x:row r="329" ht="36" customHeight="1">
      <x:c r="A329" s="50" t="str">
        <x:f>IF(321&gt;$H$4,"",IF(INDEX('Fleet dates'!$A$9:$A$1008,$I329-8)="","",INDEX('Fleet dates'!$A$9:$A$1008,$I329-8)))</x:f>
      </x:c>
      <x:c r="B329" s="50" t="str">
        <x:f>IF(321&gt;$H$4,"",IF(INDEX('Fleet dates'!$B$9:$B$1008,$I329-8)="","",INDEX('Fleet dates'!$B$9:$B$1008,$I329-8)))</x:f>
      </x:c>
      <x:c r="C329" s="51" t="str">
        <x:f>IF(321&gt;$H$4,"",IF(INDEX('Fleet dates'!$C$9:$C$1008,$I329-8)="","",INDEX('Fleet dates'!$C$9:$C$1008,$I329-8)))</x:f>
      </x:c>
      <x:c r="D329" s="51" t="str">
        <x:f>IF(321&gt;$H$4,"",IF(INDEX('Fleet dates'!$D$9:$D$1008,$I329-8)="","",INDEX('Fleet dates'!$D$9:$D$1008,$I329-8)))</x:f>
      </x:c>
      <x:c r="E329" s="51" t="str">
        <x:f>IF(321&gt;$H$4,"",IF(INDEX('Fleet dates'!$E$9:$E$1008,$I329-8)="","",INDEX('Fleet dates'!$E$9:$E$1008,$I329-8)))</x:f>
      </x:c>
      <x:c r="F329" s="51" t="str">
        <x:f>IF(321&gt;$H$4,"",IF(INDEX('Fleet dates'!$F$9:$F$1008,$I329-8)="","",INDEX('Fleet dates'!$F$9:$F$1008,$I329-8)))</x:f>
      </x:c>
      <x:c r="G329" s="50" t="str">
        <x:f>IF(321&gt;$H$4,"",IF(INDEX('Fleet dates'!$G$9:$G$1008,$I329-8)="","",INDEX('Fleet dates'!$G$9:$G$1008,$I329-8)))</x:f>
      </x:c>
      <x:c r="H329" s="50" t="str">
        <x:f>IF(321&gt;$H$4,"",IF(INDEX('Fleet dates'!$I$9:$I$1008,$I329-8)="","",INDEX('Fleet dates'!$I$9:$I$1008,$I329-8)))</x:f>
      </x:c>
      <x:c r="I329" t="str">
        <x:f>IF(321&gt;$H$4,"",MATCH(321,'Fleet dates'!$N$9:$N$1008,0)+8)</x:f>
      </x:c>
    </x:row>
    <x:row r="330" ht="36" customHeight="1">
      <x:c r="A330" s="50" t="str">
        <x:f>IF(322&gt;$H$4,"",IF(INDEX('Fleet dates'!$A$9:$A$1008,$I330-8)="","",INDEX('Fleet dates'!$A$9:$A$1008,$I330-8)))</x:f>
      </x:c>
      <x:c r="B330" s="50" t="str">
        <x:f>IF(322&gt;$H$4,"",IF(INDEX('Fleet dates'!$B$9:$B$1008,$I330-8)="","",INDEX('Fleet dates'!$B$9:$B$1008,$I330-8)))</x:f>
      </x:c>
      <x:c r="C330" s="51" t="str">
        <x:f>IF(322&gt;$H$4,"",IF(INDEX('Fleet dates'!$C$9:$C$1008,$I330-8)="","",INDEX('Fleet dates'!$C$9:$C$1008,$I330-8)))</x:f>
      </x:c>
      <x:c r="D330" s="51" t="str">
        <x:f>IF(322&gt;$H$4,"",IF(INDEX('Fleet dates'!$D$9:$D$1008,$I330-8)="","",INDEX('Fleet dates'!$D$9:$D$1008,$I330-8)))</x:f>
      </x:c>
      <x:c r="E330" s="51" t="str">
        <x:f>IF(322&gt;$H$4,"",IF(INDEX('Fleet dates'!$E$9:$E$1008,$I330-8)="","",INDEX('Fleet dates'!$E$9:$E$1008,$I330-8)))</x:f>
      </x:c>
      <x:c r="F330" s="51" t="str">
        <x:f>IF(322&gt;$H$4,"",IF(INDEX('Fleet dates'!$F$9:$F$1008,$I330-8)="","",INDEX('Fleet dates'!$F$9:$F$1008,$I330-8)))</x:f>
      </x:c>
      <x:c r="G330" s="50" t="str">
        <x:f>IF(322&gt;$H$4,"",IF(INDEX('Fleet dates'!$G$9:$G$1008,$I330-8)="","",INDEX('Fleet dates'!$G$9:$G$1008,$I330-8)))</x:f>
      </x:c>
      <x:c r="H330" s="50" t="str">
        <x:f>IF(322&gt;$H$4,"",IF(INDEX('Fleet dates'!$I$9:$I$1008,$I330-8)="","",INDEX('Fleet dates'!$I$9:$I$1008,$I330-8)))</x:f>
      </x:c>
      <x:c r="I330" t="str">
        <x:f>IF(322&gt;$H$4,"",MATCH(322,'Fleet dates'!$N$9:$N$1008,0)+8)</x:f>
      </x:c>
    </x:row>
    <x:row r="331" ht="36" customHeight="1">
      <x:c r="A331" s="50" t="str">
        <x:f>IF(323&gt;$H$4,"",IF(INDEX('Fleet dates'!$A$9:$A$1008,$I331-8)="","",INDEX('Fleet dates'!$A$9:$A$1008,$I331-8)))</x:f>
      </x:c>
      <x:c r="B331" s="50" t="str">
        <x:f>IF(323&gt;$H$4,"",IF(INDEX('Fleet dates'!$B$9:$B$1008,$I331-8)="","",INDEX('Fleet dates'!$B$9:$B$1008,$I331-8)))</x:f>
      </x:c>
      <x:c r="C331" s="51" t="str">
        <x:f>IF(323&gt;$H$4,"",IF(INDEX('Fleet dates'!$C$9:$C$1008,$I331-8)="","",INDEX('Fleet dates'!$C$9:$C$1008,$I331-8)))</x:f>
      </x:c>
      <x:c r="D331" s="51" t="str">
        <x:f>IF(323&gt;$H$4,"",IF(INDEX('Fleet dates'!$D$9:$D$1008,$I331-8)="","",INDEX('Fleet dates'!$D$9:$D$1008,$I331-8)))</x:f>
      </x:c>
      <x:c r="E331" s="51" t="str">
        <x:f>IF(323&gt;$H$4,"",IF(INDEX('Fleet dates'!$E$9:$E$1008,$I331-8)="","",INDEX('Fleet dates'!$E$9:$E$1008,$I331-8)))</x:f>
      </x:c>
      <x:c r="F331" s="51" t="str">
        <x:f>IF(323&gt;$H$4,"",IF(INDEX('Fleet dates'!$F$9:$F$1008,$I331-8)="","",INDEX('Fleet dates'!$F$9:$F$1008,$I331-8)))</x:f>
      </x:c>
      <x:c r="G331" s="50" t="str">
        <x:f>IF(323&gt;$H$4,"",IF(INDEX('Fleet dates'!$G$9:$G$1008,$I331-8)="","",INDEX('Fleet dates'!$G$9:$G$1008,$I331-8)))</x:f>
      </x:c>
      <x:c r="H331" s="50" t="str">
        <x:f>IF(323&gt;$H$4,"",IF(INDEX('Fleet dates'!$I$9:$I$1008,$I331-8)="","",INDEX('Fleet dates'!$I$9:$I$1008,$I331-8)))</x:f>
      </x:c>
      <x:c r="I331" t="str">
        <x:f>IF(323&gt;$H$4,"",MATCH(323,'Fleet dates'!$N$9:$N$1008,0)+8)</x:f>
      </x:c>
    </x:row>
    <x:row r="332" ht="36" customHeight="1">
      <x:c r="A332" s="50" t="str">
        <x:f>IF(324&gt;$H$4,"",IF(INDEX('Fleet dates'!$A$9:$A$1008,$I332-8)="","",INDEX('Fleet dates'!$A$9:$A$1008,$I332-8)))</x:f>
      </x:c>
      <x:c r="B332" s="50" t="str">
        <x:f>IF(324&gt;$H$4,"",IF(INDEX('Fleet dates'!$B$9:$B$1008,$I332-8)="","",INDEX('Fleet dates'!$B$9:$B$1008,$I332-8)))</x:f>
      </x:c>
      <x:c r="C332" s="51" t="str">
        <x:f>IF(324&gt;$H$4,"",IF(INDEX('Fleet dates'!$C$9:$C$1008,$I332-8)="","",INDEX('Fleet dates'!$C$9:$C$1008,$I332-8)))</x:f>
      </x:c>
      <x:c r="D332" s="51" t="str">
        <x:f>IF(324&gt;$H$4,"",IF(INDEX('Fleet dates'!$D$9:$D$1008,$I332-8)="","",INDEX('Fleet dates'!$D$9:$D$1008,$I332-8)))</x:f>
      </x:c>
      <x:c r="E332" s="51" t="str">
        <x:f>IF(324&gt;$H$4,"",IF(INDEX('Fleet dates'!$E$9:$E$1008,$I332-8)="","",INDEX('Fleet dates'!$E$9:$E$1008,$I332-8)))</x:f>
      </x:c>
      <x:c r="F332" s="51" t="str">
        <x:f>IF(324&gt;$H$4,"",IF(INDEX('Fleet dates'!$F$9:$F$1008,$I332-8)="","",INDEX('Fleet dates'!$F$9:$F$1008,$I332-8)))</x:f>
      </x:c>
      <x:c r="G332" s="50" t="str">
        <x:f>IF(324&gt;$H$4,"",IF(INDEX('Fleet dates'!$G$9:$G$1008,$I332-8)="","",INDEX('Fleet dates'!$G$9:$G$1008,$I332-8)))</x:f>
      </x:c>
      <x:c r="H332" s="50" t="str">
        <x:f>IF(324&gt;$H$4,"",IF(INDEX('Fleet dates'!$I$9:$I$1008,$I332-8)="","",INDEX('Fleet dates'!$I$9:$I$1008,$I332-8)))</x:f>
      </x:c>
      <x:c r="I332" t="str">
        <x:f>IF(324&gt;$H$4,"",MATCH(324,'Fleet dates'!$N$9:$N$1008,0)+8)</x:f>
      </x:c>
    </x:row>
    <x:row r="333" ht="36" customHeight="1">
      <x:c r="A333" s="50" t="str">
        <x:f>IF(325&gt;$H$4,"",IF(INDEX('Fleet dates'!$A$9:$A$1008,$I333-8)="","",INDEX('Fleet dates'!$A$9:$A$1008,$I333-8)))</x:f>
      </x:c>
      <x:c r="B333" s="50" t="str">
        <x:f>IF(325&gt;$H$4,"",IF(INDEX('Fleet dates'!$B$9:$B$1008,$I333-8)="","",INDEX('Fleet dates'!$B$9:$B$1008,$I333-8)))</x:f>
      </x:c>
      <x:c r="C333" s="51" t="str">
        <x:f>IF(325&gt;$H$4,"",IF(INDEX('Fleet dates'!$C$9:$C$1008,$I333-8)="","",INDEX('Fleet dates'!$C$9:$C$1008,$I333-8)))</x:f>
      </x:c>
      <x:c r="D333" s="51" t="str">
        <x:f>IF(325&gt;$H$4,"",IF(INDEX('Fleet dates'!$D$9:$D$1008,$I333-8)="","",INDEX('Fleet dates'!$D$9:$D$1008,$I333-8)))</x:f>
      </x:c>
      <x:c r="E333" s="51" t="str">
        <x:f>IF(325&gt;$H$4,"",IF(INDEX('Fleet dates'!$E$9:$E$1008,$I333-8)="","",INDEX('Fleet dates'!$E$9:$E$1008,$I333-8)))</x:f>
      </x:c>
      <x:c r="F333" s="51" t="str">
        <x:f>IF(325&gt;$H$4,"",IF(INDEX('Fleet dates'!$F$9:$F$1008,$I333-8)="","",INDEX('Fleet dates'!$F$9:$F$1008,$I333-8)))</x:f>
      </x:c>
      <x:c r="G333" s="50" t="str">
        <x:f>IF(325&gt;$H$4,"",IF(INDEX('Fleet dates'!$G$9:$G$1008,$I333-8)="","",INDEX('Fleet dates'!$G$9:$G$1008,$I333-8)))</x:f>
      </x:c>
      <x:c r="H333" s="50" t="str">
        <x:f>IF(325&gt;$H$4,"",IF(INDEX('Fleet dates'!$I$9:$I$1008,$I333-8)="","",INDEX('Fleet dates'!$I$9:$I$1008,$I333-8)))</x:f>
      </x:c>
      <x:c r="I333" t="str">
        <x:f>IF(325&gt;$H$4,"",MATCH(325,'Fleet dates'!$N$9:$N$1008,0)+8)</x:f>
      </x:c>
    </x:row>
    <x:row r="334" ht="36" customHeight="1">
      <x:c r="A334" s="50" t="str">
        <x:f>IF(326&gt;$H$4,"",IF(INDEX('Fleet dates'!$A$9:$A$1008,$I334-8)="","",INDEX('Fleet dates'!$A$9:$A$1008,$I334-8)))</x:f>
      </x:c>
      <x:c r="B334" s="50" t="str">
        <x:f>IF(326&gt;$H$4,"",IF(INDEX('Fleet dates'!$B$9:$B$1008,$I334-8)="","",INDEX('Fleet dates'!$B$9:$B$1008,$I334-8)))</x:f>
      </x:c>
      <x:c r="C334" s="51" t="str">
        <x:f>IF(326&gt;$H$4,"",IF(INDEX('Fleet dates'!$C$9:$C$1008,$I334-8)="","",INDEX('Fleet dates'!$C$9:$C$1008,$I334-8)))</x:f>
      </x:c>
      <x:c r="D334" s="51" t="str">
        <x:f>IF(326&gt;$H$4,"",IF(INDEX('Fleet dates'!$D$9:$D$1008,$I334-8)="","",INDEX('Fleet dates'!$D$9:$D$1008,$I334-8)))</x:f>
      </x:c>
      <x:c r="E334" s="51" t="str">
        <x:f>IF(326&gt;$H$4,"",IF(INDEX('Fleet dates'!$E$9:$E$1008,$I334-8)="","",INDEX('Fleet dates'!$E$9:$E$1008,$I334-8)))</x:f>
      </x:c>
      <x:c r="F334" s="51" t="str">
        <x:f>IF(326&gt;$H$4,"",IF(INDEX('Fleet dates'!$F$9:$F$1008,$I334-8)="","",INDEX('Fleet dates'!$F$9:$F$1008,$I334-8)))</x:f>
      </x:c>
      <x:c r="G334" s="50" t="str">
        <x:f>IF(326&gt;$H$4,"",IF(INDEX('Fleet dates'!$G$9:$G$1008,$I334-8)="","",INDEX('Fleet dates'!$G$9:$G$1008,$I334-8)))</x:f>
      </x:c>
      <x:c r="H334" s="50" t="str">
        <x:f>IF(326&gt;$H$4,"",IF(INDEX('Fleet dates'!$I$9:$I$1008,$I334-8)="","",INDEX('Fleet dates'!$I$9:$I$1008,$I334-8)))</x:f>
      </x:c>
      <x:c r="I334" t="str">
        <x:f>IF(326&gt;$H$4,"",MATCH(326,'Fleet dates'!$N$9:$N$1008,0)+8)</x:f>
      </x:c>
    </x:row>
    <x:row r="335" ht="36" customHeight="1">
      <x:c r="A335" s="50" t="str">
        <x:f>IF(327&gt;$H$4,"",IF(INDEX('Fleet dates'!$A$9:$A$1008,$I335-8)="","",INDEX('Fleet dates'!$A$9:$A$1008,$I335-8)))</x:f>
      </x:c>
      <x:c r="B335" s="50" t="str">
        <x:f>IF(327&gt;$H$4,"",IF(INDEX('Fleet dates'!$B$9:$B$1008,$I335-8)="","",INDEX('Fleet dates'!$B$9:$B$1008,$I335-8)))</x:f>
      </x:c>
      <x:c r="C335" s="51" t="str">
        <x:f>IF(327&gt;$H$4,"",IF(INDEX('Fleet dates'!$C$9:$C$1008,$I335-8)="","",INDEX('Fleet dates'!$C$9:$C$1008,$I335-8)))</x:f>
      </x:c>
      <x:c r="D335" s="51" t="str">
        <x:f>IF(327&gt;$H$4,"",IF(INDEX('Fleet dates'!$D$9:$D$1008,$I335-8)="","",INDEX('Fleet dates'!$D$9:$D$1008,$I335-8)))</x:f>
      </x:c>
      <x:c r="E335" s="51" t="str">
        <x:f>IF(327&gt;$H$4,"",IF(INDEX('Fleet dates'!$E$9:$E$1008,$I335-8)="","",INDEX('Fleet dates'!$E$9:$E$1008,$I335-8)))</x:f>
      </x:c>
      <x:c r="F335" s="51" t="str">
        <x:f>IF(327&gt;$H$4,"",IF(INDEX('Fleet dates'!$F$9:$F$1008,$I335-8)="","",INDEX('Fleet dates'!$F$9:$F$1008,$I335-8)))</x:f>
      </x:c>
      <x:c r="G335" s="50" t="str">
        <x:f>IF(327&gt;$H$4,"",IF(INDEX('Fleet dates'!$G$9:$G$1008,$I335-8)="","",INDEX('Fleet dates'!$G$9:$G$1008,$I335-8)))</x:f>
      </x:c>
      <x:c r="H335" s="50" t="str">
        <x:f>IF(327&gt;$H$4,"",IF(INDEX('Fleet dates'!$I$9:$I$1008,$I335-8)="","",INDEX('Fleet dates'!$I$9:$I$1008,$I335-8)))</x:f>
      </x:c>
      <x:c r="I335" t="str">
        <x:f>IF(327&gt;$H$4,"",MATCH(327,'Fleet dates'!$N$9:$N$1008,0)+8)</x:f>
      </x:c>
    </x:row>
    <x:row r="336" ht="36" customHeight="1">
      <x:c r="A336" s="50" t="str">
        <x:f>IF(328&gt;$H$4,"",IF(INDEX('Fleet dates'!$A$9:$A$1008,$I336-8)="","",INDEX('Fleet dates'!$A$9:$A$1008,$I336-8)))</x:f>
      </x:c>
      <x:c r="B336" s="50" t="str">
        <x:f>IF(328&gt;$H$4,"",IF(INDEX('Fleet dates'!$B$9:$B$1008,$I336-8)="","",INDEX('Fleet dates'!$B$9:$B$1008,$I336-8)))</x:f>
      </x:c>
      <x:c r="C336" s="51" t="str">
        <x:f>IF(328&gt;$H$4,"",IF(INDEX('Fleet dates'!$C$9:$C$1008,$I336-8)="","",INDEX('Fleet dates'!$C$9:$C$1008,$I336-8)))</x:f>
      </x:c>
      <x:c r="D336" s="51" t="str">
        <x:f>IF(328&gt;$H$4,"",IF(INDEX('Fleet dates'!$D$9:$D$1008,$I336-8)="","",INDEX('Fleet dates'!$D$9:$D$1008,$I336-8)))</x:f>
      </x:c>
      <x:c r="E336" s="51" t="str">
        <x:f>IF(328&gt;$H$4,"",IF(INDEX('Fleet dates'!$E$9:$E$1008,$I336-8)="","",INDEX('Fleet dates'!$E$9:$E$1008,$I336-8)))</x:f>
      </x:c>
      <x:c r="F336" s="51" t="str">
        <x:f>IF(328&gt;$H$4,"",IF(INDEX('Fleet dates'!$F$9:$F$1008,$I336-8)="","",INDEX('Fleet dates'!$F$9:$F$1008,$I336-8)))</x:f>
      </x:c>
      <x:c r="G336" s="50" t="str">
        <x:f>IF(328&gt;$H$4,"",IF(INDEX('Fleet dates'!$G$9:$G$1008,$I336-8)="","",INDEX('Fleet dates'!$G$9:$G$1008,$I336-8)))</x:f>
      </x:c>
      <x:c r="H336" s="50" t="str">
        <x:f>IF(328&gt;$H$4,"",IF(INDEX('Fleet dates'!$I$9:$I$1008,$I336-8)="","",INDEX('Fleet dates'!$I$9:$I$1008,$I336-8)))</x:f>
      </x:c>
      <x:c r="I336" t="str">
        <x:f>IF(328&gt;$H$4,"",MATCH(328,'Fleet dates'!$N$9:$N$1008,0)+8)</x:f>
      </x:c>
    </x:row>
    <x:row r="337" ht="36" customHeight="1">
      <x:c r="A337" s="50" t="str">
        <x:f>IF(329&gt;$H$4,"",IF(INDEX('Fleet dates'!$A$9:$A$1008,$I337-8)="","",INDEX('Fleet dates'!$A$9:$A$1008,$I337-8)))</x:f>
      </x:c>
      <x:c r="B337" s="50" t="str">
        <x:f>IF(329&gt;$H$4,"",IF(INDEX('Fleet dates'!$B$9:$B$1008,$I337-8)="","",INDEX('Fleet dates'!$B$9:$B$1008,$I337-8)))</x:f>
      </x:c>
      <x:c r="C337" s="51" t="str">
        <x:f>IF(329&gt;$H$4,"",IF(INDEX('Fleet dates'!$C$9:$C$1008,$I337-8)="","",INDEX('Fleet dates'!$C$9:$C$1008,$I337-8)))</x:f>
      </x:c>
      <x:c r="D337" s="51" t="str">
        <x:f>IF(329&gt;$H$4,"",IF(INDEX('Fleet dates'!$D$9:$D$1008,$I337-8)="","",INDEX('Fleet dates'!$D$9:$D$1008,$I337-8)))</x:f>
      </x:c>
      <x:c r="E337" s="51" t="str">
        <x:f>IF(329&gt;$H$4,"",IF(INDEX('Fleet dates'!$E$9:$E$1008,$I337-8)="","",INDEX('Fleet dates'!$E$9:$E$1008,$I337-8)))</x:f>
      </x:c>
      <x:c r="F337" s="51" t="str">
        <x:f>IF(329&gt;$H$4,"",IF(INDEX('Fleet dates'!$F$9:$F$1008,$I337-8)="","",INDEX('Fleet dates'!$F$9:$F$1008,$I337-8)))</x:f>
      </x:c>
      <x:c r="G337" s="50" t="str">
        <x:f>IF(329&gt;$H$4,"",IF(INDEX('Fleet dates'!$G$9:$G$1008,$I337-8)="","",INDEX('Fleet dates'!$G$9:$G$1008,$I337-8)))</x:f>
      </x:c>
      <x:c r="H337" s="50" t="str">
        <x:f>IF(329&gt;$H$4,"",IF(INDEX('Fleet dates'!$I$9:$I$1008,$I337-8)="","",INDEX('Fleet dates'!$I$9:$I$1008,$I337-8)))</x:f>
      </x:c>
      <x:c r="I337" t="str">
        <x:f>IF(329&gt;$H$4,"",MATCH(329,'Fleet dates'!$N$9:$N$1008,0)+8)</x:f>
      </x:c>
    </x:row>
    <x:row r="338" ht="36" customHeight="1">
      <x:c r="A338" s="50" t="str">
        <x:f>IF(330&gt;$H$4,"",IF(INDEX('Fleet dates'!$A$9:$A$1008,$I338-8)="","",INDEX('Fleet dates'!$A$9:$A$1008,$I338-8)))</x:f>
      </x:c>
      <x:c r="B338" s="50" t="str">
        <x:f>IF(330&gt;$H$4,"",IF(INDEX('Fleet dates'!$B$9:$B$1008,$I338-8)="","",INDEX('Fleet dates'!$B$9:$B$1008,$I338-8)))</x:f>
      </x:c>
      <x:c r="C338" s="51" t="str">
        <x:f>IF(330&gt;$H$4,"",IF(INDEX('Fleet dates'!$C$9:$C$1008,$I338-8)="","",INDEX('Fleet dates'!$C$9:$C$1008,$I338-8)))</x:f>
      </x:c>
      <x:c r="D338" s="51" t="str">
        <x:f>IF(330&gt;$H$4,"",IF(INDEX('Fleet dates'!$D$9:$D$1008,$I338-8)="","",INDEX('Fleet dates'!$D$9:$D$1008,$I338-8)))</x:f>
      </x:c>
      <x:c r="E338" s="51" t="str">
        <x:f>IF(330&gt;$H$4,"",IF(INDEX('Fleet dates'!$E$9:$E$1008,$I338-8)="","",INDEX('Fleet dates'!$E$9:$E$1008,$I338-8)))</x:f>
      </x:c>
      <x:c r="F338" s="51" t="str">
        <x:f>IF(330&gt;$H$4,"",IF(INDEX('Fleet dates'!$F$9:$F$1008,$I338-8)="","",INDEX('Fleet dates'!$F$9:$F$1008,$I338-8)))</x:f>
      </x:c>
      <x:c r="G338" s="50" t="str">
        <x:f>IF(330&gt;$H$4,"",IF(INDEX('Fleet dates'!$G$9:$G$1008,$I338-8)="","",INDEX('Fleet dates'!$G$9:$G$1008,$I338-8)))</x:f>
      </x:c>
      <x:c r="H338" s="50" t="str">
        <x:f>IF(330&gt;$H$4,"",IF(INDEX('Fleet dates'!$I$9:$I$1008,$I338-8)="","",INDEX('Fleet dates'!$I$9:$I$1008,$I338-8)))</x:f>
      </x:c>
      <x:c r="I338" t="str">
        <x:f>IF(330&gt;$H$4,"",MATCH(330,'Fleet dates'!$N$9:$N$1008,0)+8)</x:f>
      </x:c>
    </x:row>
    <x:row r="339" ht="36" customHeight="1">
      <x:c r="A339" s="50" t="str">
        <x:f>IF(331&gt;$H$4,"",IF(INDEX('Fleet dates'!$A$9:$A$1008,$I339-8)="","",INDEX('Fleet dates'!$A$9:$A$1008,$I339-8)))</x:f>
      </x:c>
      <x:c r="B339" s="50" t="str">
        <x:f>IF(331&gt;$H$4,"",IF(INDEX('Fleet dates'!$B$9:$B$1008,$I339-8)="","",INDEX('Fleet dates'!$B$9:$B$1008,$I339-8)))</x:f>
      </x:c>
      <x:c r="C339" s="51" t="str">
        <x:f>IF(331&gt;$H$4,"",IF(INDEX('Fleet dates'!$C$9:$C$1008,$I339-8)="","",INDEX('Fleet dates'!$C$9:$C$1008,$I339-8)))</x:f>
      </x:c>
      <x:c r="D339" s="51" t="str">
        <x:f>IF(331&gt;$H$4,"",IF(INDEX('Fleet dates'!$D$9:$D$1008,$I339-8)="","",INDEX('Fleet dates'!$D$9:$D$1008,$I339-8)))</x:f>
      </x:c>
      <x:c r="E339" s="51" t="str">
        <x:f>IF(331&gt;$H$4,"",IF(INDEX('Fleet dates'!$E$9:$E$1008,$I339-8)="","",INDEX('Fleet dates'!$E$9:$E$1008,$I339-8)))</x:f>
      </x:c>
      <x:c r="F339" s="51" t="str">
        <x:f>IF(331&gt;$H$4,"",IF(INDEX('Fleet dates'!$F$9:$F$1008,$I339-8)="","",INDEX('Fleet dates'!$F$9:$F$1008,$I339-8)))</x:f>
      </x:c>
      <x:c r="G339" s="50" t="str">
        <x:f>IF(331&gt;$H$4,"",IF(INDEX('Fleet dates'!$G$9:$G$1008,$I339-8)="","",INDEX('Fleet dates'!$G$9:$G$1008,$I339-8)))</x:f>
      </x:c>
      <x:c r="H339" s="50" t="str">
        <x:f>IF(331&gt;$H$4,"",IF(INDEX('Fleet dates'!$I$9:$I$1008,$I339-8)="","",INDEX('Fleet dates'!$I$9:$I$1008,$I339-8)))</x:f>
      </x:c>
      <x:c r="I339" t="str">
        <x:f>IF(331&gt;$H$4,"",MATCH(331,'Fleet dates'!$N$9:$N$1008,0)+8)</x:f>
      </x:c>
    </x:row>
    <x:row r="340" ht="36" customHeight="1">
      <x:c r="A340" s="50" t="str">
        <x:f>IF(332&gt;$H$4,"",IF(INDEX('Fleet dates'!$A$9:$A$1008,$I340-8)="","",INDEX('Fleet dates'!$A$9:$A$1008,$I340-8)))</x:f>
      </x:c>
      <x:c r="B340" s="50" t="str">
        <x:f>IF(332&gt;$H$4,"",IF(INDEX('Fleet dates'!$B$9:$B$1008,$I340-8)="","",INDEX('Fleet dates'!$B$9:$B$1008,$I340-8)))</x:f>
      </x:c>
      <x:c r="C340" s="51" t="str">
        <x:f>IF(332&gt;$H$4,"",IF(INDEX('Fleet dates'!$C$9:$C$1008,$I340-8)="","",INDEX('Fleet dates'!$C$9:$C$1008,$I340-8)))</x:f>
      </x:c>
      <x:c r="D340" s="51" t="str">
        <x:f>IF(332&gt;$H$4,"",IF(INDEX('Fleet dates'!$D$9:$D$1008,$I340-8)="","",INDEX('Fleet dates'!$D$9:$D$1008,$I340-8)))</x:f>
      </x:c>
      <x:c r="E340" s="51" t="str">
        <x:f>IF(332&gt;$H$4,"",IF(INDEX('Fleet dates'!$E$9:$E$1008,$I340-8)="","",INDEX('Fleet dates'!$E$9:$E$1008,$I340-8)))</x:f>
      </x:c>
      <x:c r="F340" s="51" t="str">
        <x:f>IF(332&gt;$H$4,"",IF(INDEX('Fleet dates'!$F$9:$F$1008,$I340-8)="","",INDEX('Fleet dates'!$F$9:$F$1008,$I340-8)))</x:f>
      </x:c>
      <x:c r="G340" s="50" t="str">
        <x:f>IF(332&gt;$H$4,"",IF(INDEX('Fleet dates'!$G$9:$G$1008,$I340-8)="","",INDEX('Fleet dates'!$G$9:$G$1008,$I340-8)))</x:f>
      </x:c>
      <x:c r="H340" s="50" t="str">
        <x:f>IF(332&gt;$H$4,"",IF(INDEX('Fleet dates'!$I$9:$I$1008,$I340-8)="","",INDEX('Fleet dates'!$I$9:$I$1008,$I340-8)))</x:f>
      </x:c>
      <x:c r="I340" t="str">
        <x:f>IF(332&gt;$H$4,"",MATCH(332,'Fleet dates'!$N$9:$N$1008,0)+8)</x:f>
      </x:c>
    </x:row>
    <x:row r="341" ht="36" customHeight="1">
      <x:c r="A341" s="50" t="str">
        <x:f>IF(333&gt;$H$4,"",IF(INDEX('Fleet dates'!$A$9:$A$1008,$I341-8)="","",INDEX('Fleet dates'!$A$9:$A$1008,$I341-8)))</x:f>
      </x:c>
      <x:c r="B341" s="50" t="str">
        <x:f>IF(333&gt;$H$4,"",IF(INDEX('Fleet dates'!$B$9:$B$1008,$I341-8)="","",INDEX('Fleet dates'!$B$9:$B$1008,$I341-8)))</x:f>
      </x:c>
      <x:c r="C341" s="51" t="str">
        <x:f>IF(333&gt;$H$4,"",IF(INDEX('Fleet dates'!$C$9:$C$1008,$I341-8)="","",INDEX('Fleet dates'!$C$9:$C$1008,$I341-8)))</x:f>
      </x:c>
      <x:c r="D341" s="51" t="str">
        <x:f>IF(333&gt;$H$4,"",IF(INDEX('Fleet dates'!$D$9:$D$1008,$I341-8)="","",INDEX('Fleet dates'!$D$9:$D$1008,$I341-8)))</x:f>
      </x:c>
      <x:c r="E341" s="51" t="str">
        <x:f>IF(333&gt;$H$4,"",IF(INDEX('Fleet dates'!$E$9:$E$1008,$I341-8)="","",INDEX('Fleet dates'!$E$9:$E$1008,$I341-8)))</x:f>
      </x:c>
      <x:c r="F341" s="51" t="str">
        <x:f>IF(333&gt;$H$4,"",IF(INDEX('Fleet dates'!$F$9:$F$1008,$I341-8)="","",INDEX('Fleet dates'!$F$9:$F$1008,$I341-8)))</x:f>
      </x:c>
      <x:c r="G341" s="50" t="str">
        <x:f>IF(333&gt;$H$4,"",IF(INDEX('Fleet dates'!$G$9:$G$1008,$I341-8)="","",INDEX('Fleet dates'!$G$9:$G$1008,$I341-8)))</x:f>
      </x:c>
      <x:c r="H341" s="50" t="str">
        <x:f>IF(333&gt;$H$4,"",IF(INDEX('Fleet dates'!$I$9:$I$1008,$I341-8)="","",INDEX('Fleet dates'!$I$9:$I$1008,$I341-8)))</x:f>
      </x:c>
      <x:c r="I341" t="str">
        <x:f>IF(333&gt;$H$4,"",MATCH(333,'Fleet dates'!$N$9:$N$1008,0)+8)</x:f>
      </x:c>
    </x:row>
    <x:row r="342" ht="36" customHeight="1">
      <x:c r="A342" s="50" t="str">
        <x:f>IF(334&gt;$H$4,"",IF(INDEX('Fleet dates'!$A$9:$A$1008,$I342-8)="","",INDEX('Fleet dates'!$A$9:$A$1008,$I342-8)))</x:f>
      </x:c>
      <x:c r="B342" s="50" t="str">
        <x:f>IF(334&gt;$H$4,"",IF(INDEX('Fleet dates'!$B$9:$B$1008,$I342-8)="","",INDEX('Fleet dates'!$B$9:$B$1008,$I342-8)))</x:f>
      </x:c>
      <x:c r="C342" s="51" t="str">
        <x:f>IF(334&gt;$H$4,"",IF(INDEX('Fleet dates'!$C$9:$C$1008,$I342-8)="","",INDEX('Fleet dates'!$C$9:$C$1008,$I342-8)))</x:f>
      </x:c>
      <x:c r="D342" s="51" t="str">
        <x:f>IF(334&gt;$H$4,"",IF(INDEX('Fleet dates'!$D$9:$D$1008,$I342-8)="","",INDEX('Fleet dates'!$D$9:$D$1008,$I342-8)))</x:f>
      </x:c>
      <x:c r="E342" s="51" t="str">
        <x:f>IF(334&gt;$H$4,"",IF(INDEX('Fleet dates'!$E$9:$E$1008,$I342-8)="","",INDEX('Fleet dates'!$E$9:$E$1008,$I342-8)))</x:f>
      </x:c>
      <x:c r="F342" s="51" t="str">
        <x:f>IF(334&gt;$H$4,"",IF(INDEX('Fleet dates'!$F$9:$F$1008,$I342-8)="","",INDEX('Fleet dates'!$F$9:$F$1008,$I342-8)))</x:f>
      </x:c>
      <x:c r="G342" s="50" t="str">
        <x:f>IF(334&gt;$H$4,"",IF(INDEX('Fleet dates'!$G$9:$G$1008,$I342-8)="","",INDEX('Fleet dates'!$G$9:$G$1008,$I342-8)))</x:f>
      </x:c>
      <x:c r="H342" s="50" t="str">
        <x:f>IF(334&gt;$H$4,"",IF(INDEX('Fleet dates'!$I$9:$I$1008,$I342-8)="","",INDEX('Fleet dates'!$I$9:$I$1008,$I342-8)))</x:f>
      </x:c>
      <x:c r="I342" t="str">
        <x:f>IF(334&gt;$H$4,"",MATCH(334,'Fleet dates'!$N$9:$N$1008,0)+8)</x:f>
      </x:c>
    </x:row>
    <x:row r="343" ht="36" customHeight="1">
      <x:c r="A343" s="50" t="str">
        <x:f>IF(335&gt;$H$4,"",IF(INDEX('Fleet dates'!$A$9:$A$1008,$I343-8)="","",INDEX('Fleet dates'!$A$9:$A$1008,$I343-8)))</x:f>
      </x:c>
      <x:c r="B343" s="50" t="str">
        <x:f>IF(335&gt;$H$4,"",IF(INDEX('Fleet dates'!$B$9:$B$1008,$I343-8)="","",INDEX('Fleet dates'!$B$9:$B$1008,$I343-8)))</x:f>
      </x:c>
      <x:c r="C343" s="51" t="str">
        <x:f>IF(335&gt;$H$4,"",IF(INDEX('Fleet dates'!$C$9:$C$1008,$I343-8)="","",INDEX('Fleet dates'!$C$9:$C$1008,$I343-8)))</x:f>
      </x:c>
      <x:c r="D343" s="51" t="str">
        <x:f>IF(335&gt;$H$4,"",IF(INDEX('Fleet dates'!$D$9:$D$1008,$I343-8)="","",INDEX('Fleet dates'!$D$9:$D$1008,$I343-8)))</x:f>
      </x:c>
      <x:c r="E343" s="51" t="str">
        <x:f>IF(335&gt;$H$4,"",IF(INDEX('Fleet dates'!$E$9:$E$1008,$I343-8)="","",INDEX('Fleet dates'!$E$9:$E$1008,$I343-8)))</x:f>
      </x:c>
      <x:c r="F343" s="51" t="str">
        <x:f>IF(335&gt;$H$4,"",IF(INDEX('Fleet dates'!$F$9:$F$1008,$I343-8)="","",INDEX('Fleet dates'!$F$9:$F$1008,$I343-8)))</x:f>
      </x:c>
      <x:c r="G343" s="50" t="str">
        <x:f>IF(335&gt;$H$4,"",IF(INDEX('Fleet dates'!$G$9:$G$1008,$I343-8)="","",INDEX('Fleet dates'!$G$9:$G$1008,$I343-8)))</x:f>
      </x:c>
      <x:c r="H343" s="50" t="str">
        <x:f>IF(335&gt;$H$4,"",IF(INDEX('Fleet dates'!$I$9:$I$1008,$I343-8)="","",INDEX('Fleet dates'!$I$9:$I$1008,$I343-8)))</x:f>
      </x:c>
      <x:c r="I343" t="str">
        <x:f>IF(335&gt;$H$4,"",MATCH(335,'Fleet dates'!$N$9:$N$1008,0)+8)</x:f>
      </x:c>
    </x:row>
    <x:row r="344" ht="36" customHeight="1">
      <x:c r="A344" s="50" t="str">
        <x:f>IF(336&gt;$H$4,"",IF(INDEX('Fleet dates'!$A$9:$A$1008,$I344-8)="","",INDEX('Fleet dates'!$A$9:$A$1008,$I344-8)))</x:f>
      </x:c>
      <x:c r="B344" s="50" t="str">
        <x:f>IF(336&gt;$H$4,"",IF(INDEX('Fleet dates'!$B$9:$B$1008,$I344-8)="","",INDEX('Fleet dates'!$B$9:$B$1008,$I344-8)))</x:f>
      </x:c>
      <x:c r="C344" s="51" t="str">
        <x:f>IF(336&gt;$H$4,"",IF(INDEX('Fleet dates'!$C$9:$C$1008,$I344-8)="","",INDEX('Fleet dates'!$C$9:$C$1008,$I344-8)))</x:f>
      </x:c>
      <x:c r="D344" s="51" t="str">
        <x:f>IF(336&gt;$H$4,"",IF(INDEX('Fleet dates'!$D$9:$D$1008,$I344-8)="","",INDEX('Fleet dates'!$D$9:$D$1008,$I344-8)))</x:f>
      </x:c>
      <x:c r="E344" s="51" t="str">
        <x:f>IF(336&gt;$H$4,"",IF(INDEX('Fleet dates'!$E$9:$E$1008,$I344-8)="","",INDEX('Fleet dates'!$E$9:$E$1008,$I344-8)))</x:f>
      </x:c>
      <x:c r="F344" s="51" t="str">
        <x:f>IF(336&gt;$H$4,"",IF(INDEX('Fleet dates'!$F$9:$F$1008,$I344-8)="","",INDEX('Fleet dates'!$F$9:$F$1008,$I344-8)))</x:f>
      </x:c>
      <x:c r="G344" s="50" t="str">
        <x:f>IF(336&gt;$H$4,"",IF(INDEX('Fleet dates'!$G$9:$G$1008,$I344-8)="","",INDEX('Fleet dates'!$G$9:$G$1008,$I344-8)))</x:f>
      </x:c>
      <x:c r="H344" s="50" t="str">
        <x:f>IF(336&gt;$H$4,"",IF(INDEX('Fleet dates'!$I$9:$I$1008,$I344-8)="","",INDEX('Fleet dates'!$I$9:$I$1008,$I344-8)))</x:f>
      </x:c>
      <x:c r="I344" t="str">
        <x:f>IF(336&gt;$H$4,"",MATCH(336,'Fleet dates'!$N$9:$N$1008,0)+8)</x:f>
      </x:c>
    </x:row>
    <x:row r="345" ht="36" customHeight="1">
      <x:c r="A345" s="50" t="str">
        <x:f>IF(337&gt;$H$4,"",IF(INDEX('Fleet dates'!$A$9:$A$1008,$I345-8)="","",INDEX('Fleet dates'!$A$9:$A$1008,$I345-8)))</x:f>
      </x:c>
      <x:c r="B345" s="50" t="str">
        <x:f>IF(337&gt;$H$4,"",IF(INDEX('Fleet dates'!$B$9:$B$1008,$I345-8)="","",INDEX('Fleet dates'!$B$9:$B$1008,$I345-8)))</x:f>
      </x:c>
      <x:c r="C345" s="51" t="str">
        <x:f>IF(337&gt;$H$4,"",IF(INDEX('Fleet dates'!$C$9:$C$1008,$I345-8)="","",INDEX('Fleet dates'!$C$9:$C$1008,$I345-8)))</x:f>
      </x:c>
      <x:c r="D345" s="51" t="str">
        <x:f>IF(337&gt;$H$4,"",IF(INDEX('Fleet dates'!$D$9:$D$1008,$I345-8)="","",INDEX('Fleet dates'!$D$9:$D$1008,$I345-8)))</x:f>
      </x:c>
      <x:c r="E345" s="51" t="str">
        <x:f>IF(337&gt;$H$4,"",IF(INDEX('Fleet dates'!$E$9:$E$1008,$I345-8)="","",INDEX('Fleet dates'!$E$9:$E$1008,$I345-8)))</x:f>
      </x:c>
      <x:c r="F345" s="51" t="str">
        <x:f>IF(337&gt;$H$4,"",IF(INDEX('Fleet dates'!$F$9:$F$1008,$I345-8)="","",INDEX('Fleet dates'!$F$9:$F$1008,$I345-8)))</x:f>
      </x:c>
      <x:c r="G345" s="50" t="str">
        <x:f>IF(337&gt;$H$4,"",IF(INDEX('Fleet dates'!$G$9:$G$1008,$I345-8)="","",INDEX('Fleet dates'!$G$9:$G$1008,$I345-8)))</x:f>
      </x:c>
      <x:c r="H345" s="50" t="str">
        <x:f>IF(337&gt;$H$4,"",IF(INDEX('Fleet dates'!$I$9:$I$1008,$I345-8)="","",INDEX('Fleet dates'!$I$9:$I$1008,$I345-8)))</x:f>
      </x:c>
      <x:c r="I345" t="str">
        <x:f>IF(337&gt;$H$4,"",MATCH(337,'Fleet dates'!$N$9:$N$1008,0)+8)</x:f>
      </x:c>
    </x:row>
    <x:row r="346" ht="36" customHeight="1">
      <x:c r="A346" s="50" t="str">
        <x:f>IF(338&gt;$H$4,"",IF(INDEX('Fleet dates'!$A$9:$A$1008,$I346-8)="","",INDEX('Fleet dates'!$A$9:$A$1008,$I346-8)))</x:f>
      </x:c>
      <x:c r="B346" s="50" t="str">
        <x:f>IF(338&gt;$H$4,"",IF(INDEX('Fleet dates'!$B$9:$B$1008,$I346-8)="","",INDEX('Fleet dates'!$B$9:$B$1008,$I346-8)))</x:f>
      </x:c>
      <x:c r="C346" s="51" t="str">
        <x:f>IF(338&gt;$H$4,"",IF(INDEX('Fleet dates'!$C$9:$C$1008,$I346-8)="","",INDEX('Fleet dates'!$C$9:$C$1008,$I346-8)))</x:f>
      </x:c>
      <x:c r="D346" s="51" t="str">
        <x:f>IF(338&gt;$H$4,"",IF(INDEX('Fleet dates'!$D$9:$D$1008,$I346-8)="","",INDEX('Fleet dates'!$D$9:$D$1008,$I346-8)))</x:f>
      </x:c>
      <x:c r="E346" s="51" t="str">
        <x:f>IF(338&gt;$H$4,"",IF(INDEX('Fleet dates'!$E$9:$E$1008,$I346-8)="","",INDEX('Fleet dates'!$E$9:$E$1008,$I346-8)))</x:f>
      </x:c>
      <x:c r="F346" s="51" t="str">
        <x:f>IF(338&gt;$H$4,"",IF(INDEX('Fleet dates'!$F$9:$F$1008,$I346-8)="","",INDEX('Fleet dates'!$F$9:$F$1008,$I346-8)))</x:f>
      </x:c>
      <x:c r="G346" s="50" t="str">
        <x:f>IF(338&gt;$H$4,"",IF(INDEX('Fleet dates'!$G$9:$G$1008,$I346-8)="","",INDEX('Fleet dates'!$G$9:$G$1008,$I346-8)))</x:f>
      </x:c>
      <x:c r="H346" s="50" t="str">
        <x:f>IF(338&gt;$H$4,"",IF(INDEX('Fleet dates'!$I$9:$I$1008,$I346-8)="","",INDEX('Fleet dates'!$I$9:$I$1008,$I346-8)))</x:f>
      </x:c>
      <x:c r="I346" t="str">
        <x:f>IF(338&gt;$H$4,"",MATCH(338,'Fleet dates'!$N$9:$N$1008,0)+8)</x:f>
      </x:c>
    </x:row>
    <x:row r="347" ht="36" customHeight="1">
      <x:c r="A347" s="50" t="str">
        <x:f>IF(339&gt;$H$4,"",IF(INDEX('Fleet dates'!$A$9:$A$1008,$I347-8)="","",INDEX('Fleet dates'!$A$9:$A$1008,$I347-8)))</x:f>
      </x:c>
      <x:c r="B347" s="50" t="str">
        <x:f>IF(339&gt;$H$4,"",IF(INDEX('Fleet dates'!$B$9:$B$1008,$I347-8)="","",INDEX('Fleet dates'!$B$9:$B$1008,$I347-8)))</x:f>
      </x:c>
      <x:c r="C347" s="51" t="str">
        <x:f>IF(339&gt;$H$4,"",IF(INDEX('Fleet dates'!$C$9:$C$1008,$I347-8)="","",INDEX('Fleet dates'!$C$9:$C$1008,$I347-8)))</x:f>
      </x:c>
      <x:c r="D347" s="51" t="str">
        <x:f>IF(339&gt;$H$4,"",IF(INDEX('Fleet dates'!$D$9:$D$1008,$I347-8)="","",INDEX('Fleet dates'!$D$9:$D$1008,$I347-8)))</x:f>
      </x:c>
      <x:c r="E347" s="51" t="str">
        <x:f>IF(339&gt;$H$4,"",IF(INDEX('Fleet dates'!$E$9:$E$1008,$I347-8)="","",INDEX('Fleet dates'!$E$9:$E$1008,$I347-8)))</x:f>
      </x:c>
      <x:c r="F347" s="51" t="str">
        <x:f>IF(339&gt;$H$4,"",IF(INDEX('Fleet dates'!$F$9:$F$1008,$I347-8)="","",INDEX('Fleet dates'!$F$9:$F$1008,$I347-8)))</x:f>
      </x:c>
      <x:c r="G347" s="50" t="str">
        <x:f>IF(339&gt;$H$4,"",IF(INDEX('Fleet dates'!$G$9:$G$1008,$I347-8)="","",INDEX('Fleet dates'!$G$9:$G$1008,$I347-8)))</x:f>
      </x:c>
      <x:c r="H347" s="50" t="str">
        <x:f>IF(339&gt;$H$4,"",IF(INDEX('Fleet dates'!$I$9:$I$1008,$I347-8)="","",INDEX('Fleet dates'!$I$9:$I$1008,$I347-8)))</x:f>
      </x:c>
      <x:c r="I347" t="str">
        <x:f>IF(339&gt;$H$4,"",MATCH(339,'Fleet dates'!$N$9:$N$1008,0)+8)</x:f>
      </x:c>
    </x:row>
    <x:row r="348" ht="36" customHeight="1">
      <x:c r="A348" s="50" t="str">
        <x:f>IF(340&gt;$H$4,"",IF(INDEX('Fleet dates'!$A$9:$A$1008,$I348-8)="","",INDEX('Fleet dates'!$A$9:$A$1008,$I348-8)))</x:f>
      </x:c>
      <x:c r="B348" s="50" t="str">
        <x:f>IF(340&gt;$H$4,"",IF(INDEX('Fleet dates'!$B$9:$B$1008,$I348-8)="","",INDEX('Fleet dates'!$B$9:$B$1008,$I348-8)))</x:f>
      </x:c>
      <x:c r="C348" s="51" t="str">
        <x:f>IF(340&gt;$H$4,"",IF(INDEX('Fleet dates'!$C$9:$C$1008,$I348-8)="","",INDEX('Fleet dates'!$C$9:$C$1008,$I348-8)))</x:f>
      </x:c>
      <x:c r="D348" s="51" t="str">
        <x:f>IF(340&gt;$H$4,"",IF(INDEX('Fleet dates'!$D$9:$D$1008,$I348-8)="","",INDEX('Fleet dates'!$D$9:$D$1008,$I348-8)))</x:f>
      </x:c>
      <x:c r="E348" s="51" t="str">
        <x:f>IF(340&gt;$H$4,"",IF(INDEX('Fleet dates'!$E$9:$E$1008,$I348-8)="","",INDEX('Fleet dates'!$E$9:$E$1008,$I348-8)))</x:f>
      </x:c>
      <x:c r="F348" s="51" t="str">
        <x:f>IF(340&gt;$H$4,"",IF(INDEX('Fleet dates'!$F$9:$F$1008,$I348-8)="","",INDEX('Fleet dates'!$F$9:$F$1008,$I348-8)))</x:f>
      </x:c>
      <x:c r="G348" s="50" t="str">
        <x:f>IF(340&gt;$H$4,"",IF(INDEX('Fleet dates'!$G$9:$G$1008,$I348-8)="","",INDEX('Fleet dates'!$G$9:$G$1008,$I348-8)))</x:f>
      </x:c>
      <x:c r="H348" s="50" t="str">
        <x:f>IF(340&gt;$H$4,"",IF(INDEX('Fleet dates'!$I$9:$I$1008,$I348-8)="","",INDEX('Fleet dates'!$I$9:$I$1008,$I348-8)))</x:f>
      </x:c>
      <x:c r="I348" t="str">
        <x:f>IF(340&gt;$H$4,"",MATCH(340,'Fleet dates'!$N$9:$N$1008,0)+8)</x:f>
      </x:c>
    </x:row>
    <x:row r="349" ht="36" customHeight="1">
      <x:c r="A349" s="50" t="str">
        <x:f>IF(341&gt;$H$4,"",IF(INDEX('Fleet dates'!$A$9:$A$1008,$I349-8)="","",INDEX('Fleet dates'!$A$9:$A$1008,$I349-8)))</x:f>
      </x:c>
      <x:c r="B349" s="50" t="str">
        <x:f>IF(341&gt;$H$4,"",IF(INDEX('Fleet dates'!$B$9:$B$1008,$I349-8)="","",INDEX('Fleet dates'!$B$9:$B$1008,$I349-8)))</x:f>
      </x:c>
      <x:c r="C349" s="51" t="str">
        <x:f>IF(341&gt;$H$4,"",IF(INDEX('Fleet dates'!$C$9:$C$1008,$I349-8)="","",INDEX('Fleet dates'!$C$9:$C$1008,$I349-8)))</x:f>
      </x:c>
      <x:c r="D349" s="51" t="str">
        <x:f>IF(341&gt;$H$4,"",IF(INDEX('Fleet dates'!$D$9:$D$1008,$I349-8)="","",INDEX('Fleet dates'!$D$9:$D$1008,$I349-8)))</x:f>
      </x:c>
      <x:c r="E349" s="51" t="str">
        <x:f>IF(341&gt;$H$4,"",IF(INDEX('Fleet dates'!$E$9:$E$1008,$I349-8)="","",INDEX('Fleet dates'!$E$9:$E$1008,$I349-8)))</x:f>
      </x:c>
      <x:c r="F349" s="51" t="str">
        <x:f>IF(341&gt;$H$4,"",IF(INDEX('Fleet dates'!$F$9:$F$1008,$I349-8)="","",INDEX('Fleet dates'!$F$9:$F$1008,$I349-8)))</x:f>
      </x:c>
      <x:c r="G349" s="50" t="str">
        <x:f>IF(341&gt;$H$4,"",IF(INDEX('Fleet dates'!$G$9:$G$1008,$I349-8)="","",INDEX('Fleet dates'!$G$9:$G$1008,$I349-8)))</x:f>
      </x:c>
      <x:c r="H349" s="50" t="str">
        <x:f>IF(341&gt;$H$4,"",IF(INDEX('Fleet dates'!$I$9:$I$1008,$I349-8)="","",INDEX('Fleet dates'!$I$9:$I$1008,$I349-8)))</x:f>
      </x:c>
      <x:c r="I349" t="str">
        <x:f>IF(341&gt;$H$4,"",MATCH(341,'Fleet dates'!$N$9:$N$1008,0)+8)</x:f>
      </x:c>
    </x:row>
    <x:row r="350" ht="36" customHeight="1">
      <x:c r="A350" s="50" t="str">
        <x:f>IF(342&gt;$H$4,"",IF(INDEX('Fleet dates'!$A$9:$A$1008,$I350-8)="","",INDEX('Fleet dates'!$A$9:$A$1008,$I350-8)))</x:f>
      </x:c>
      <x:c r="B350" s="50" t="str">
        <x:f>IF(342&gt;$H$4,"",IF(INDEX('Fleet dates'!$B$9:$B$1008,$I350-8)="","",INDEX('Fleet dates'!$B$9:$B$1008,$I350-8)))</x:f>
      </x:c>
      <x:c r="C350" s="51" t="str">
        <x:f>IF(342&gt;$H$4,"",IF(INDEX('Fleet dates'!$C$9:$C$1008,$I350-8)="","",INDEX('Fleet dates'!$C$9:$C$1008,$I350-8)))</x:f>
      </x:c>
      <x:c r="D350" s="51" t="str">
        <x:f>IF(342&gt;$H$4,"",IF(INDEX('Fleet dates'!$D$9:$D$1008,$I350-8)="","",INDEX('Fleet dates'!$D$9:$D$1008,$I350-8)))</x:f>
      </x:c>
      <x:c r="E350" s="51" t="str">
        <x:f>IF(342&gt;$H$4,"",IF(INDEX('Fleet dates'!$E$9:$E$1008,$I350-8)="","",INDEX('Fleet dates'!$E$9:$E$1008,$I350-8)))</x:f>
      </x:c>
      <x:c r="F350" s="51" t="str">
        <x:f>IF(342&gt;$H$4,"",IF(INDEX('Fleet dates'!$F$9:$F$1008,$I350-8)="","",INDEX('Fleet dates'!$F$9:$F$1008,$I350-8)))</x:f>
      </x:c>
      <x:c r="G350" s="50" t="str">
        <x:f>IF(342&gt;$H$4,"",IF(INDEX('Fleet dates'!$G$9:$G$1008,$I350-8)="","",INDEX('Fleet dates'!$G$9:$G$1008,$I350-8)))</x:f>
      </x:c>
      <x:c r="H350" s="50" t="str">
        <x:f>IF(342&gt;$H$4,"",IF(INDEX('Fleet dates'!$I$9:$I$1008,$I350-8)="","",INDEX('Fleet dates'!$I$9:$I$1008,$I350-8)))</x:f>
      </x:c>
      <x:c r="I350" t="str">
        <x:f>IF(342&gt;$H$4,"",MATCH(342,'Fleet dates'!$N$9:$N$1008,0)+8)</x:f>
      </x:c>
    </x:row>
    <x:row r="351" ht="36" customHeight="1">
      <x:c r="A351" s="50" t="str">
        <x:f>IF(343&gt;$H$4,"",IF(INDEX('Fleet dates'!$A$9:$A$1008,$I351-8)="","",INDEX('Fleet dates'!$A$9:$A$1008,$I351-8)))</x:f>
      </x:c>
      <x:c r="B351" s="50" t="str">
        <x:f>IF(343&gt;$H$4,"",IF(INDEX('Fleet dates'!$B$9:$B$1008,$I351-8)="","",INDEX('Fleet dates'!$B$9:$B$1008,$I351-8)))</x:f>
      </x:c>
      <x:c r="C351" s="51" t="str">
        <x:f>IF(343&gt;$H$4,"",IF(INDEX('Fleet dates'!$C$9:$C$1008,$I351-8)="","",INDEX('Fleet dates'!$C$9:$C$1008,$I351-8)))</x:f>
      </x:c>
      <x:c r="D351" s="51" t="str">
        <x:f>IF(343&gt;$H$4,"",IF(INDEX('Fleet dates'!$D$9:$D$1008,$I351-8)="","",INDEX('Fleet dates'!$D$9:$D$1008,$I351-8)))</x:f>
      </x:c>
      <x:c r="E351" s="51" t="str">
        <x:f>IF(343&gt;$H$4,"",IF(INDEX('Fleet dates'!$E$9:$E$1008,$I351-8)="","",INDEX('Fleet dates'!$E$9:$E$1008,$I351-8)))</x:f>
      </x:c>
      <x:c r="F351" s="51" t="str">
        <x:f>IF(343&gt;$H$4,"",IF(INDEX('Fleet dates'!$F$9:$F$1008,$I351-8)="","",INDEX('Fleet dates'!$F$9:$F$1008,$I351-8)))</x:f>
      </x:c>
      <x:c r="G351" s="50" t="str">
        <x:f>IF(343&gt;$H$4,"",IF(INDEX('Fleet dates'!$G$9:$G$1008,$I351-8)="","",INDEX('Fleet dates'!$G$9:$G$1008,$I351-8)))</x:f>
      </x:c>
      <x:c r="H351" s="50" t="str">
        <x:f>IF(343&gt;$H$4,"",IF(INDEX('Fleet dates'!$I$9:$I$1008,$I351-8)="","",INDEX('Fleet dates'!$I$9:$I$1008,$I351-8)))</x:f>
      </x:c>
      <x:c r="I351" t="str">
        <x:f>IF(343&gt;$H$4,"",MATCH(343,'Fleet dates'!$N$9:$N$1008,0)+8)</x:f>
      </x:c>
    </x:row>
    <x:row r="352" ht="36" customHeight="1">
      <x:c r="A352" s="50" t="str">
        <x:f>IF(344&gt;$H$4,"",IF(INDEX('Fleet dates'!$A$9:$A$1008,$I352-8)="","",INDEX('Fleet dates'!$A$9:$A$1008,$I352-8)))</x:f>
      </x:c>
      <x:c r="B352" s="50" t="str">
        <x:f>IF(344&gt;$H$4,"",IF(INDEX('Fleet dates'!$B$9:$B$1008,$I352-8)="","",INDEX('Fleet dates'!$B$9:$B$1008,$I352-8)))</x:f>
      </x:c>
      <x:c r="C352" s="51" t="str">
        <x:f>IF(344&gt;$H$4,"",IF(INDEX('Fleet dates'!$C$9:$C$1008,$I352-8)="","",INDEX('Fleet dates'!$C$9:$C$1008,$I352-8)))</x:f>
      </x:c>
      <x:c r="D352" s="51" t="str">
        <x:f>IF(344&gt;$H$4,"",IF(INDEX('Fleet dates'!$D$9:$D$1008,$I352-8)="","",INDEX('Fleet dates'!$D$9:$D$1008,$I352-8)))</x:f>
      </x:c>
      <x:c r="E352" s="51" t="str">
        <x:f>IF(344&gt;$H$4,"",IF(INDEX('Fleet dates'!$E$9:$E$1008,$I352-8)="","",INDEX('Fleet dates'!$E$9:$E$1008,$I352-8)))</x:f>
      </x:c>
      <x:c r="F352" s="51" t="str">
        <x:f>IF(344&gt;$H$4,"",IF(INDEX('Fleet dates'!$F$9:$F$1008,$I352-8)="","",INDEX('Fleet dates'!$F$9:$F$1008,$I352-8)))</x:f>
      </x:c>
      <x:c r="G352" s="50" t="str">
        <x:f>IF(344&gt;$H$4,"",IF(INDEX('Fleet dates'!$G$9:$G$1008,$I352-8)="","",INDEX('Fleet dates'!$G$9:$G$1008,$I352-8)))</x:f>
      </x:c>
      <x:c r="H352" s="50" t="str">
        <x:f>IF(344&gt;$H$4,"",IF(INDEX('Fleet dates'!$I$9:$I$1008,$I352-8)="","",INDEX('Fleet dates'!$I$9:$I$1008,$I352-8)))</x:f>
      </x:c>
      <x:c r="I352" t="str">
        <x:f>IF(344&gt;$H$4,"",MATCH(344,'Fleet dates'!$N$9:$N$1008,0)+8)</x:f>
      </x:c>
    </x:row>
    <x:row r="353" ht="36" customHeight="1">
      <x:c r="A353" s="50" t="str">
        <x:f>IF(345&gt;$H$4,"",IF(INDEX('Fleet dates'!$A$9:$A$1008,$I353-8)="","",INDEX('Fleet dates'!$A$9:$A$1008,$I353-8)))</x:f>
      </x:c>
      <x:c r="B353" s="50" t="str">
        <x:f>IF(345&gt;$H$4,"",IF(INDEX('Fleet dates'!$B$9:$B$1008,$I353-8)="","",INDEX('Fleet dates'!$B$9:$B$1008,$I353-8)))</x:f>
      </x:c>
      <x:c r="C353" s="51" t="str">
        <x:f>IF(345&gt;$H$4,"",IF(INDEX('Fleet dates'!$C$9:$C$1008,$I353-8)="","",INDEX('Fleet dates'!$C$9:$C$1008,$I353-8)))</x:f>
      </x:c>
      <x:c r="D353" s="51" t="str">
        <x:f>IF(345&gt;$H$4,"",IF(INDEX('Fleet dates'!$D$9:$D$1008,$I353-8)="","",INDEX('Fleet dates'!$D$9:$D$1008,$I353-8)))</x:f>
      </x:c>
      <x:c r="E353" s="51" t="str">
        <x:f>IF(345&gt;$H$4,"",IF(INDEX('Fleet dates'!$E$9:$E$1008,$I353-8)="","",INDEX('Fleet dates'!$E$9:$E$1008,$I353-8)))</x:f>
      </x:c>
      <x:c r="F353" s="51" t="str">
        <x:f>IF(345&gt;$H$4,"",IF(INDEX('Fleet dates'!$F$9:$F$1008,$I353-8)="","",INDEX('Fleet dates'!$F$9:$F$1008,$I353-8)))</x:f>
      </x:c>
      <x:c r="G353" s="50" t="str">
        <x:f>IF(345&gt;$H$4,"",IF(INDEX('Fleet dates'!$G$9:$G$1008,$I353-8)="","",INDEX('Fleet dates'!$G$9:$G$1008,$I353-8)))</x:f>
      </x:c>
      <x:c r="H353" s="50" t="str">
        <x:f>IF(345&gt;$H$4,"",IF(INDEX('Fleet dates'!$I$9:$I$1008,$I353-8)="","",INDEX('Fleet dates'!$I$9:$I$1008,$I353-8)))</x:f>
      </x:c>
      <x:c r="I353" t="str">
        <x:f>IF(345&gt;$H$4,"",MATCH(345,'Fleet dates'!$N$9:$N$1008,0)+8)</x:f>
      </x:c>
    </x:row>
    <x:row r="354" ht="36" customHeight="1">
      <x:c r="A354" s="50" t="str">
        <x:f>IF(346&gt;$H$4,"",IF(INDEX('Fleet dates'!$A$9:$A$1008,$I354-8)="","",INDEX('Fleet dates'!$A$9:$A$1008,$I354-8)))</x:f>
      </x:c>
      <x:c r="B354" s="50" t="str">
        <x:f>IF(346&gt;$H$4,"",IF(INDEX('Fleet dates'!$B$9:$B$1008,$I354-8)="","",INDEX('Fleet dates'!$B$9:$B$1008,$I354-8)))</x:f>
      </x:c>
      <x:c r="C354" s="51" t="str">
        <x:f>IF(346&gt;$H$4,"",IF(INDEX('Fleet dates'!$C$9:$C$1008,$I354-8)="","",INDEX('Fleet dates'!$C$9:$C$1008,$I354-8)))</x:f>
      </x:c>
      <x:c r="D354" s="51" t="str">
        <x:f>IF(346&gt;$H$4,"",IF(INDEX('Fleet dates'!$D$9:$D$1008,$I354-8)="","",INDEX('Fleet dates'!$D$9:$D$1008,$I354-8)))</x:f>
      </x:c>
      <x:c r="E354" s="51" t="str">
        <x:f>IF(346&gt;$H$4,"",IF(INDEX('Fleet dates'!$E$9:$E$1008,$I354-8)="","",INDEX('Fleet dates'!$E$9:$E$1008,$I354-8)))</x:f>
      </x:c>
      <x:c r="F354" s="51" t="str">
        <x:f>IF(346&gt;$H$4,"",IF(INDEX('Fleet dates'!$F$9:$F$1008,$I354-8)="","",INDEX('Fleet dates'!$F$9:$F$1008,$I354-8)))</x:f>
      </x:c>
      <x:c r="G354" s="50" t="str">
        <x:f>IF(346&gt;$H$4,"",IF(INDEX('Fleet dates'!$G$9:$G$1008,$I354-8)="","",INDEX('Fleet dates'!$G$9:$G$1008,$I354-8)))</x:f>
      </x:c>
      <x:c r="H354" s="50" t="str">
        <x:f>IF(346&gt;$H$4,"",IF(INDEX('Fleet dates'!$I$9:$I$1008,$I354-8)="","",INDEX('Fleet dates'!$I$9:$I$1008,$I354-8)))</x:f>
      </x:c>
      <x:c r="I354" t="str">
        <x:f>IF(346&gt;$H$4,"",MATCH(346,'Fleet dates'!$N$9:$N$1008,0)+8)</x:f>
      </x:c>
    </x:row>
    <x:row r="355" ht="36" customHeight="1">
      <x:c r="A355" s="50" t="str">
        <x:f>IF(347&gt;$H$4,"",IF(INDEX('Fleet dates'!$A$9:$A$1008,$I355-8)="","",INDEX('Fleet dates'!$A$9:$A$1008,$I355-8)))</x:f>
      </x:c>
      <x:c r="B355" s="50" t="str">
        <x:f>IF(347&gt;$H$4,"",IF(INDEX('Fleet dates'!$B$9:$B$1008,$I355-8)="","",INDEX('Fleet dates'!$B$9:$B$1008,$I355-8)))</x:f>
      </x:c>
      <x:c r="C355" s="51" t="str">
        <x:f>IF(347&gt;$H$4,"",IF(INDEX('Fleet dates'!$C$9:$C$1008,$I355-8)="","",INDEX('Fleet dates'!$C$9:$C$1008,$I355-8)))</x:f>
      </x:c>
      <x:c r="D355" s="51" t="str">
        <x:f>IF(347&gt;$H$4,"",IF(INDEX('Fleet dates'!$D$9:$D$1008,$I355-8)="","",INDEX('Fleet dates'!$D$9:$D$1008,$I355-8)))</x:f>
      </x:c>
      <x:c r="E355" s="51" t="str">
        <x:f>IF(347&gt;$H$4,"",IF(INDEX('Fleet dates'!$E$9:$E$1008,$I355-8)="","",INDEX('Fleet dates'!$E$9:$E$1008,$I355-8)))</x:f>
      </x:c>
      <x:c r="F355" s="51" t="str">
        <x:f>IF(347&gt;$H$4,"",IF(INDEX('Fleet dates'!$F$9:$F$1008,$I355-8)="","",INDEX('Fleet dates'!$F$9:$F$1008,$I355-8)))</x:f>
      </x:c>
      <x:c r="G355" s="50" t="str">
        <x:f>IF(347&gt;$H$4,"",IF(INDEX('Fleet dates'!$G$9:$G$1008,$I355-8)="","",INDEX('Fleet dates'!$G$9:$G$1008,$I355-8)))</x:f>
      </x:c>
      <x:c r="H355" s="50" t="str">
        <x:f>IF(347&gt;$H$4,"",IF(INDEX('Fleet dates'!$I$9:$I$1008,$I355-8)="","",INDEX('Fleet dates'!$I$9:$I$1008,$I355-8)))</x:f>
      </x:c>
      <x:c r="I355" t="str">
        <x:f>IF(347&gt;$H$4,"",MATCH(347,'Fleet dates'!$N$9:$N$1008,0)+8)</x:f>
      </x:c>
    </x:row>
    <x:row r="356" ht="36" customHeight="1">
      <x:c r="A356" s="50" t="str">
        <x:f>IF(348&gt;$H$4,"",IF(INDEX('Fleet dates'!$A$9:$A$1008,$I356-8)="","",INDEX('Fleet dates'!$A$9:$A$1008,$I356-8)))</x:f>
      </x:c>
      <x:c r="B356" s="50" t="str">
        <x:f>IF(348&gt;$H$4,"",IF(INDEX('Fleet dates'!$B$9:$B$1008,$I356-8)="","",INDEX('Fleet dates'!$B$9:$B$1008,$I356-8)))</x:f>
      </x:c>
      <x:c r="C356" s="51" t="str">
        <x:f>IF(348&gt;$H$4,"",IF(INDEX('Fleet dates'!$C$9:$C$1008,$I356-8)="","",INDEX('Fleet dates'!$C$9:$C$1008,$I356-8)))</x:f>
      </x:c>
      <x:c r="D356" s="51" t="str">
        <x:f>IF(348&gt;$H$4,"",IF(INDEX('Fleet dates'!$D$9:$D$1008,$I356-8)="","",INDEX('Fleet dates'!$D$9:$D$1008,$I356-8)))</x:f>
      </x:c>
      <x:c r="E356" s="51" t="str">
        <x:f>IF(348&gt;$H$4,"",IF(INDEX('Fleet dates'!$E$9:$E$1008,$I356-8)="","",INDEX('Fleet dates'!$E$9:$E$1008,$I356-8)))</x:f>
      </x:c>
      <x:c r="F356" s="51" t="str">
        <x:f>IF(348&gt;$H$4,"",IF(INDEX('Fleet dates'!$F$9:$F$1008,$I356-8)="","",INDEX('Fleet dates'!$F$9:$F$1008,$I356-8)))</x:f>
      </x:c>
      <x:c r="G356" s="50" t="str">
        <x:f>IF(348&gt;$H$4,"",IF(INDEX('Fleet dates'!$G$9:$G$1008,$I356-8)="","",INDEX('Fleet dates'!$G$9:$G$1008,$I356-8)))</x:f>
      </x:c>
      <x:c r="H356" s="50" t="str">
        <x:f>IF(348&gt;$H$4,"",IF(INDEX('Fleet dates'!$I$9:$I$1008,$I356-8)="","",INDEX('Fleet dates'!$I$9:$I$1008,$I356-8)))</x:f>
      </x:c>
      <x:c r="I356" t="str">
        <x:f>IF(348&gt;$H$4,"",MATCH(348,'Fleet dates'!$N$9:$N$1008,0)+8)</x:f>
      </x:c>
    </x:row>
    <x:row r="357" ht="36" customHeight="1">
      <x:c r="A357" s="50" t="str">
        <x:f>IF(349&gt;$H$4,"",IF(INDEX('Fleet dates'!$A$9:$A$1008,$I357-8)="","",INDEX('Fleet dates'!$A$9:$A$1008,$I357-8)))</x:f>
      </x:c>
      <x:c r="B357" s="50" t="str">
        <x:f>IF(349&gt;$H$4,"",IF(INDEX('Fleet dates'!$B$9:$B$1008,$I357-8)="","",INDEX('Fleet dates'!$B$9:$B$1008,$I357-8)))</x:f>
      </x:c>
      <x:c r="C357" s="51" t="str">
        <x:f>IF(349&gt;$H$4,"",IF(INDEX('Fleet dates'!$C$9:$C$1008,$I357-8)="","",INDEX('Fleet dates'!$C$9:$C$1008,$I357-8)))</x:f>
      </x:c>
      <x:c r="D357" s="51" t="str">
        <x:f>IF(349&gt;$H$4,"",IF(INDEX('Fleet dates'!$D$9:$D$1008,$I357-8)="","",INDEX('Fleet dates'!$D$9:$D$1008,$I357-8)))</x:f>
      </x:c>
      <x:c r="E357" s="51" t="str">
        <x:f>IF(349&gt;$H$4,"",IF(INDEX('Fleet dates'!$E$9:$E$1008,$I357-8)="","",INDEX('Fleet dates'!$E$9:$E$1008,$I357-8)))</x:f>
      </x:c>
      <x:c r="F357" s="51" t="str">
        <x:f>IF(349&gt;$H$4,"",IF(INDEX('Fleet dates'!$F$9:$F$1008,$I357-8)="","",INDEX('Fleet dates'!$F$9:$F$1008,$I357-8)))</x:f>
      </x:c>
      <x:c r="G357" s="50" t="str">
        <x:f>IF(349&gt;$H$4,"",IF(INDEX('Fleet dates'!$G$9:$G$1008,$I357-8)="","",INDEX('Fleet dates'!$G$9:$G$1008,$I357-8)))</x:f>
      </x:c>
      <x:c r="H357" s="50" t="str">
        <x:f>IF(349&gt;$H$4,"",IF(INDEX('Fleet dates'!$I$9:$I$1008,$I357-8)="","",INDEX('Fleet dates'!$I$9:$I$1008,$I357-8)))</x:f>
      </x:c>
      <x:c r="I357" t="str">
        <x:f>IF(349&gt;$H$4,"",MATCH(349,'Fleet dates'!$N$9:$N$1008,0)+8)</x:f>
      </x:c>
    </x:row>
    <x:row r="358" ht="36" customHeight="1">
      <x:c r="A358" s="50" t="str">
        <x:f>IF(350&gt;$H$4,"",IF(INDEX('Fleet dates'!$A$9:$A$1008,$I358-8)="","",INDEX('Fleet dates'!$A$9:$A$1008,$I358-8)))</x:f>
      </x:c>
      <x:c r="B358" s="50" t="str">
        <x:f>IF(350&gt;$H$4,"",IF(INDEX('Fleet dates'!$B$9:$B$1008,$I358-8)="","",INDEX('Fleet dates'!$B$9:$B$1008,$I358-8)))</x:f>
      </x:c>
      <x:c r="C358" s="51" t="str">
        <x:f>IF(350&gt;$H$4,"",IF(INDEX('Fleet dates'!$C$9:$C$1008,$I358-8)="","",INDEX('Fleet dates'!$C$9:$C$1008,$I358-8)))</x:f>
      </x:c>
      <x:c r="D358" s="51" t="str">
        <x:f>IF(350&gt;$H$4,"",IF(INDEX('Fleet dates'!$D$9:$D$1008,$I358-8)="","",INDEX('Fleet dates'!$D$9:$D$1008,$I358-8)))</x:f>
      </x:c>
      <x:c r="E358" s="51" t="str">
        <x:f>IF(350&gt;$H$4,"",IF(INDEX('Fleet dates'!$E$9:$E$1008,$I358-8)="","",INDEX('Fleet dates'!$E$9:$E$1008,$I358-8)))</x:f>
      </x:c>
      <x:c r="F358" s="51" t="str">
        <x:f>IF(350&gt;$H$4,"",IF(INDEX('Fleet dates'!$F$9:$F$1008,$I358-8)="","",INDEX('Fleet dates'!$F$9:$F$1008,$I358-8)))</x:f>
      </x:c>
      <x:c r="G358" s="50" t="str">
        <x:f>IF(350&gt;$H$4,"",IF(INDEX('Fleet dates'!$G$9:$G$1008,$I358-8)="","",INDEX('Fleet dates'!$G$9:$G$1008,$I358-8)))</x:f>
      </x:c>
      <x:c r="H358" s="50" t="str">
        <x:f>IF(350&gt;$H$4,"",IF(INDEX('Fleet dates'!$I$9:$I$1008,$I358-8)="","",INDEX('Fleet dates'!$I$9:$I$1008,$I358-8)))</x:f>
      </x:c>
      <x:c r="I358" t="str">
        <x:f>IF(350&gt;$H$4,"",MATCH(350,'Fleet dates'!$N$9:$N$1008,0)+8)</x:f>
      </x:c>
    </x:row>
    <x:row r="359" ht="36" customHeight="1">
      <x:c r="A359" s="50" t="str">
        <x:f>IF(351&gt;$H$4,"",IF(INDEX('Fleet dates'!$A$9:$A$1008,$I359-8)="","",INDEX('Fleet dates'!$A$9:$A$1008,$I359-8)))</x:f>
      </x:c>
      <x:c r="B359" s="50" t="str">
        <x:f>IF(351&gt;$H$4,"",IF(INDEX('Fleet dates'!$B$9:$B$1008,$I359-8)="","",INDEX('Fleet dates'!$B$9:$B$1008,$I359-8)))</x:f>
      </x:c>
      <x:c r="C359" s="51" t="str">
        <x:f>IF(351&gt;$H$4,"",IF(INDEX('Fleet dates'!$C$9:$C$1008,$I359-8)="","",INDEX('Fleet dates'!$C$9:$C$1008,$I359-8)))</x:f>
      </x:c>
      <x:c r="D359" s="51" t="str">
        <x:f>IF(351&gt;$H$4,"",IF(INDEX('Fleet dates'!$D$9:$D$1008,$I359-8)="","",INDEX('Fleet dates'!$D$9:$D$1008,$I359-8)))</x:f>
      </x:c>
      <x:c r="E359" s="51" t="str">
        <x:f>IF(351&gt;$H$4,"",IF(INDEX('Fleet dates'!$E$9:$E$1008,$I359-8)="","",INDEX('Fleet dates'!$E$9:$E$1008,$I359-8)))</x:f>
      </x:c>
      <x:c r="F359" s="51" t="str">
        <x:f>IF(351&gt;$H$4,"",IF(INDEX('Fleet dates'!$F$9:$F$1008,$I359-8)="","",INDEX('Fleet dates'!$F$9:$F$1008,$I359-8)))</x:f>
      </x:c>
      <x:c r="G359" s="50" t="str">
        <x:f>IF(351&gt;$H$4,"",IF(INDEX('Fleet dates'!$G$9:$G$1008,$I359-8)="","",INDEX('Fleet dates'!$G$9:$G$1008,$I359-8)))</x:f>
      </x:c>
      <x:c r="H359" s="50" t="str">
        <x:f>IF(351&gt;$H$4,"",IF(INDEX('Fleet dates'!$I$9:$I$1008,$I359-8)="","",INDEX('Fleet dates'!$I$9:$I$1008,$I359-8)))</x:f>
      </x:c>
      <x:c r="I359" t="str">
        <x:f>IF(351&gt;$H$4,"",MATCH(351,'Fleet dates'!$N$9:$N$1008,0)+8)</x:f>
      </x:c>
    </x:row>
    <x:row r="360" ht="36" customHeight="1">
      <x:c r="A360" s="50" t="str">
        <x:f>IF(352&gt;$H$4,"",IF(INDEX('Fleet dates'!$A$9:$A$1008,$I360-8)="","",INDEX('Fleet dates'!$A$9:$A$1008,$I360-8)))</x:f>
      </x:c>
      <x:c r="B360" s="50" t="str">
        <x:f>IF(352&gt;$H$4,"",IF(INDEX('Fleet dates'!$B$9:$B$1008,$I360-8)="","",INDEX('Fleet dates'!$B$9:$B$1008,$I360-8)))</x:f>
      </x:c>
      <x:c r="C360" s="51" t="str">
        <x:f>IF(352&gt;$H$4,"",IF(INDEX('Fleet dates'!$C$9:$C$1008,$I360-8)="","",INDEX('Fleet dates'!$C$9:$C$1008,$I360-8)))</x:f>
      </x:c>
      <x:c r="D360" s="51" t="str">
        <x:f>IF(352&gt;$H$4,"",IF(INDEX('Fleet dates'!$D$9:$D$1008,$I360-8)="","",INDEX('Fleet dates'!$D$9:$D$1008,$I360-8)))</x:f>
      </x:c>
      <x:c r="E360" s="51" t="str">
        <x:f>IF(352&gt;$H$4,"",IF(INDEX('Fleet dates'!$E$9:$E$1008,$I360-8)="","",INDEX('Fleet dates'!$E$9:$E$1008,$I360-8)))</x:f>
      </x:c>
      <x:c r="F360" s="51" t="str">
        <x:f>IF(352&gt;$H$4,"",IF(INDEX('Fleet dates'!$F$9:$F$1008,$I360-8)="","",INDEX('Fleet dates'!$F$9:$F$1008,$I360-8)))</x:f>
      </x:c>
      <x:c r="G360" s="50" t="str">
        <x:f>IF(352&gt;$H$4,"",IF(INDEX('Fleet dates'!$G$9:$G$1008,$I360-8)="","",INDEX('Fleet dates'!$G$9:$G$1008,$I360-8)))</x:f>
      </x:c>
      <x:c r="H360" s="50" t="str">
        <x:f>IF(352&gt;$H$4,"",IF(INDEX('Fleet dates'!$I$9:$I$1008,$I360-8)="","",INDEX('Fleet dates'!$I$9:$I$1008,$I360-8)))</x:f>
      </x:c>
      <x:c r="I360" t="str">
        <x:f>IF(352&gt;$H$4,"",MATCH(352,'Fleet dates'!$N$9:$N$1008,0)+8)</x:f>
      </x:c>
    </x:row>
    <x:row r="361" ht="36" customHeight="1">
      <x:c r="A361" s="50" t="str">
        <x:f>IF(353&gt;$H$4,"",IF(INDEX('Fleet dates'!$A$9:$A$1008,$I361-8)="","",INDEX('Fleet dates'!$A$9:$A$1008,$I361-8)))</x:f>
      </x:c>
      <x:c r="B361" s="50" t="str">
        <x:f>IF(353&gt;$H$4,"",IF(INDEX('Fleet dates'!$B$9:$B$1008,$I361-8)="","",INDEX('Fleet dates'!$B$9:$B$1008,$I361-8)))</x:f>
      </x:c>
      <x:c r="C361" s="51" t="str">
        <x:f>IF(353&gt;$H$4,"",IF(INDEX('Fleet dates'!$C$9:$C$1008,$I361-8)="","",INDEX('Fleet dates'!$C$9:$C$1008,$I361-8)))</x:f>
      </x:c>
      <x:c r="D361" s="51" t="str">
        <x:f>IF(353&gt;$H$4,"",IF(INDEX('Fleet dates'!$D$9:$D$1008,$I361-8)="","",INDEX('Fleet dates'!$D$9:$D$1008,$I361-8)))</x:f>
      </x:c>
      <x:c r="E361" s="51" t="str">
        <x:f>IF(353&gt;$H$4,"",IF(INDEX('Fleet dates'!$E$9:$E$1008,$I361-8)="","",INDEX('Fleet dates'!$E$9:$E$1008,$I361-8)))</x:f>
      </x:c>
      <x:c r="F361" s="51" t="str">
        <x:f>IF(353&gt;$H$4,"",IF(INDEX('Fleet dates'!$F$9:$F$1008,$I361-8)="","",INDEX('Fleet dates'!$F$9:$F$1008,$I361-8)))</x:f>
      </x:c>
      <x:c r="G361" s="50" t="str">
        <x:f>IF(353&gt;$H$4,"",IF(INDEX('Fleet dates'!$G$9:$G$1008,$I361-8)="","",INDEX('Fleet dates'!$G$9:$G$1008,$I361-8)))</x:f>
      </x:c>
      <x:c r="H361" s="50" t="str">
        <x:f>IF(353&gt;$H$4,"",IF(INDEX('Fleet dates'!$I$9:$I$1008,$I361-8)="","",INDEX('Fleet dates'!$I$9:$I$1008,$I361-8)))</x:f>
      </x:c>
      <x:c r="I361" t="str">
        <x:f>IF(353&gt;$H$4,"",MATCH(353,'Fleet dates'!$N$9:$N$1008,0)+8)</x:f>
      </x:c>
    </x:row>
    <x:row r="362" ht="36" customHeight="1">
      <x:c r="A362" s="50" t="str">
        <x:f>IF(354&gt;$H$4,"",IF(INDEX('Fleet dates'!$A$9:$A$1008,$I362-8)="","",INDEX('Fleet dates'!$A$9:$A$1008,$I362-8)))</x:f>
      </x:c>
      <x:c r="B362" s="50" t="str">
        <x:f>IF(354&gt;$H$4,"",IF(INDEX('Fleet dates'!$B$9:$B$1008,$I362-8)="","",INDEX('Fleet dates'!$B$9:$B$1008,$I362-8)))</x:f>
      </x:c>
      <x:c r="C362" s="51" t="str">
        <x:f>IF(354&gt;$H$4,"",IF(INDEX('Fleet dates'!$C$9:$C$1008,$I362-8)="","",INDEX('Fleet dates'!$C$9:$C$1008,$I362-8)))</x:f>
      </x:c>
      <x:c r="D362" s="51" t="str">
        <x:f>IF(354&gt;$H$4,"",IF(INDEX('Fleet dates'!$D$9:$D$1008,$I362-8)="","",INDEX('Fleet dates'!$D$9:$D$1008,$I362-8)))</x:f>
      </x:c>
      <x:c r="E362" s="51" t="str">
        <x:f>IF(354&gt;$H$4,"",IF(INDEX('Fleet dates'!$E$9:$E$1008,$I362-8)="","",INDEX('Fleet dates'!$E$9:$E$1008,$I362-8)))</x:f>
      </x:c>
      <x:c r="F362" s="51" t="str">
        <x:f>IF(354&gt;$H$4,"",IF(INDEX('Fleet dates'!$F$9:$F$1008,$I362-8)="","",INDEX('Fleet dates'!$F$9:$F$1008,$I362-8)))</x:f>
      </x:c>
      <x:c r="G362" s="50" t="str">
        <x:f>IF(354&gt;$H$4,"",IF(INDEX('Fleet dates'!$G$9:$G$1008,$I362-8)="","",INDEX('Fleet dates'!$G$9:$G$1008,$I362-8)))</x:f>
      </x:c>
      <x:c r="H362" s="50" t="str">
        <x:f>IF(354&gt;$H$4,"",IF(INDEX('Fleet dates'!$I$9:$I$1008,$I362-8)="","",INDEX('Fleet dates'!$I$9:$I$1008,$I362-8)))</x:f>
      </x:c>
      <x:c r="I362" t="str">
        <x:f>IF(354&gt;$H$4,"",MATCH(354,'Fleet dates'!$N$9:$N$1008,0)+8)</x:f>
      </x:c>
    </x:row>
    <x:row r="363" ht="36" customHeight="1">
      <x:c r="A363" s="50" t="str">
        <x:f>IF(355&gt;$H$4,"",IF(INDEX('Fleet dates'!$A$9:$A$1008,$I363-8)="","",INDEX('Fleet dates'!$A$9:$A$1008,$I363-8)))</x:f>
      </x:c>
      <x:c r="B363" s="50" t="str">
        <x:f>IF(355&gt;$H$4,"",IF(INDEX('Fleet dates'!$B$9:$B$1008,$I363-8)="","",INDEX('Fleet dates'!$B$9:$B$1008,$I363-8)))</x:f>
      </x:c>
      <x:c r="C363" s="51" t="str">
        <x:f>IF(355&gt;$H$4,"",IF(INDEX('Fleet dates'!$C$9:$C$1008,$I363-8)="","",INDEX('Fleet dates'!$C$9:$C$1008,$I363-8)))</x:f>
      </x:c>
      <x:c r="D363" s="51" t="str">
        <x:f>IF(355&gt;$H$4,"",IF(INDEX('Fleet dates'!$D$9:$D$1008,$I363-8)="","",INDEX('Fleet dates'!$D$9:$D$1008,$I363-8)))</x:f>
      </x:c>
      <x:c r="E363" s="51" t="str">
        <x:f>IF(355&gt;$H$4,"",IF(INDEX('Fleet dates'!$E$9:$E$1008,$I363-8)="","",INDEX('Fleet dates'!$E$9:$E$1008,$I363-8)))</x:f>
      </x:c>
      <x:c r="F363" s="51" t="str">
        <x:f>IF(355&gt;$H$4,"",IF(INDEX('Fleet dates'!$F$9:$F$1008,$I363-8)="","",INDEX('Fleet dates'!$F$9:$F$1008,$I363-8)))</x:f>
      </x:c>
      <x:c r="G363" s="50" t="str">
        <x:f>IF(355&gt;$H$4,"",IF(INDEX('Fleet dates'!$G$9:$G$1008,$I363-8)="","",INDEX('Fleet dates'!$G$9:$G$1008,$I363-8)))</x:f>
      </x:c>
      <x:c r="H363" s="50" t="str">
        <x:f>IF(355&gt;$H$4,"",IF(INDEX('Fleet dates'!$I$9:$I$1008,$I363-8)="","",INDEX('Fleet dates'!$I$9:$I$1008,$I363-8)))</x:f>
      </x:c>
      <x:c r="I363" t="str">
        <x:f>IF(355&gt;$H$4,"",MATCH(355,'Fleet dates'!$N$9:$N$1008,0)+8)</x:f>
      </x:c>
    </x:row>
    <x:row r="364" ht="36" customHeight="1">
      <x:c r="A364" s="50" t="str">
        <x:f>IF(356&gt;$H$4,"",IF(INDEX('Fleet dates'!$A$9:$A$1008,$I364-8)="","",INDEX('Fleet dates'!$A$9:$A$1008,$I364-8)))</x:f>
      </x:c>
      <x:c r="B364" s="50" t="str">
        <x:f>IF(356&gt;$H$4,"",IF(INDEX('Fleet dates'!$B$9:$B$1008,$I364-8)="","",INDEX('Fleet dates'!$B$9:$B$1008,$I364-8)))</x:f>
      </x:c>
      <x:c r="C364" s="51" t="str">
        <x:f>IF(356&gt;$H$4,"",IF(INDEX('Fleet dates'!$C$9:$C$1008,$I364-8)="","",INDEX('Fleet dates'!$C$9:$C$1008,$I364-8)))</x:f>
      </x:c>
      <x:c r="D364" s="51" t="str">
        <x:f>IF(356&gt;$H$4,"",IF(INDEX('Fleet dates'!$D$9:$D$1008,$I364-8)="","",INDEX('Fleet dates'!$D$9:$D$1008,$I364-8)))</x:f>
      </x:c>
      <x:c r="E364" s="51" t="str">
        <x:f>IF(356&gt;$H$4,"",IF(INDEX('Fleet dates'!$E$9:$E$1008,$I364-8)="","",INDEX('Fleet dates'!$E$9:$E$1008,$I364-8)))</x:f>
      </x:c>
      <x:c r="F364" s="51" t="str">
        <x:f>IF(356&gt;$H$4,"",IF(INDEX('Fleet dates'!$F$9:$F$1008,$I364-8)="","",INDEX('Fleet dates'!$F$9:$F$1008,$I364-8)))</x:f>
      </x:c>
      <x:c r="G364" s="50" t="str">
        <x:f>IF(356&gt;$H$4,"",IF(INDEX('Fleet dates'!$G$9:$G$1008,$I364-8)="","",INDEX('Fleet dates'!$G$9:$G$1008,$I364-8)))</x:f>
      </x:c>
      <x:c r="H364" s="50" t="str">
        <x:f>IF(356&gt;$H$4,"",IF(INDEX('Fleet dates'!$I$9:$I$1008,$I364-8)="","",INDEX('Fleet dates'!$I$9:$I$1008,$I364-8)))</x:f>
      </x:c>
      <x:c r="I364" t="str">
        <x:f>IF(356&gt;$H$4,"",MATCH(356,'Fleet dates'!$N$9:$N$1008,0)+8)</x:f>
      </x:c>
    </x:row>
    <x:row r="365" ht="36" customHeight="1">
      <x:c r="A365" s="50" t="str">
        <x:f>IF(357&gt;$H$4,"",IF(INDEX('Fleet dates'!$A$9:$A$1008,$I365-8)="","",INDEX('Fleet dates'!$A$9:$A$1008,$I365-8)))</x:f>
      </x:c>
      <x:c r="B365" s="50" t="str">
        <x:f>IF(357&gt;$H$4,"",IF(INDEX('Fleet dates'!$B$9:$B$1008,$I365-8)="","",INDEX('Fleet dates'!$B$9:$B$1008,$I365-8)))</x:f>
      </x:c>
      <x:c r="C365" s="51" t="str">
        <x:f>IF(357&gt;$H$4,"",IF(INDEX('Fleet dates'!$C$9:$C$1008,$I365-8)="","",INDEX('Fleet dates'!$C$9:$C$1008,$I365-8)))</x:f>
      </x:c>
      <x:c r="D365" s="51" t="str">
        <x:f>IF(357&gt;$H$4,"",IF(INDEX('Fleet dates'!$D$9:$D$1008,$I365-8)="","",INDEX('Fleet dates'!$D$9:$D$1008,$I365-8)))</x:f>
      </x:c>
      <x:c r="E365" s="51" t="str">
        <x:f>IF(357&gt;$H$4,"",IF(INDEX('Fleet dates'!$E$9:$E$1008,$I365-8)="","",INDEX('Fleet dates'!$E$9:$E$1008,$I365-8)))</x:f>
      </x:c>
      <x:c r="F365" s="51" t="str">
        <x:f>IF(357&gt;$H$4,"",IF(INDEX('Fleet dates'!$F$9:$F$1008,$I365-8)="","",INDEX('Fleet dates'!$F$9:$F$1008,$I365-8)))</x:f>
      </x:c>
      <x:c r="G365" s="50" t="str">
        <x:f>IF(357&gt;$H$4,"",IF(INDEX('Fleet dates'!$G$9:$G$1008,$I365-8)="","",INDEX('Fleet dates'!$G$9:$G$1008,$I365-8)))</x:f>
      </x:c>
      <x:c r="H365" s="50" t="str">
        <x:f>IF(357&gt;$H$4,"",IF(INDEX('Fleet dates'!$I$9:$I$1008,$I365-8)="","",INDEX('Fleet dates'!$I$9:$I$1008,$I365-8)))</x:f>
      </x:c>
      <x:c r="I365" t="str">
        <x:f>IF(357&gt;$H$4,"",MATCH(357,'Fleet dates'!$N$9:$N$1008,0)+8)</x:f>
      </x:c>
    </x:row>
    <x:row r="366" ht="36" customHeight="1">
      <x:c r="A366" s="50" t="str">
        <x:f>IF(358&gt;$H$4,"",IF(INDEX('Fleet dates'!$A$9:$A$1008,$I366-8)="","",INDEX('Fleet dates'!$A$9:$A$1008,$I366-8)))</x:f>
      </x:c>
      <x:c r="B366" s="50" t="str">
        <x:f>IF(358&gt;$H$4,"",IF(INDEX('Fleet dates'!$B$9:$B$1008,$I366-8)="","",INDEX('Fleet dates'!$B$9:$B$1008,$I366-8)))</x:f>
      </x:c>
      <x:c r="C366" s="51" t="str">
        <x:f>IF(358&gt;$H$4,"",IF(INDEX('Fleet dates'!$C$9:$C$1008,$I366-8)="","",INDEX('Fleet dates'!$C$9:$C$1008,$I366-8)))</x:f>
      </x:c>
      <x:c r="D366" s="51" t="str">
        <x:f>IF(358&gt;$H$4,"",IF(INDEX('Fleet dates'!$D$9:$D$1008,$I366-8)="","",INDEX('Fleet dates'!$D$9:$D$1008,$I366-8)))</x:f>
      </x:c>
      <x:c r="E366" s="51" t="str">
        <x:f>IF(358&gt;$H$4,"",IF(INDEX('Fleet dates'!$E$9:$E$1008,$I366-8)="","",INDEX('Fleet dates'!$E$9:$E$1008,$I366-8)))</x:f>
      </x:c>
      <x:c r="F366" s="51" t="str">
        <x:f>IF(358&gt;$H$4,"",IF(INDEX('Fleet dates'!$F$9:$F$1008,$I366-8)="","",INDEX('Fleet dates'!$F$9:$F$1008,$I366-8)))</x:f>
      </x:c>
      <x:c r="G366" s="50" t="str">
        <x:f>IF(358&gt;$H$4,"",IF(INDEX('Fleet dates'!$G$9:$G$1008,$I366-8)="","",INDEX('Fleet dates'!$G$9:$G$1008,$I366-8)))</x:f>
      </x:c>
      <x:c r="H366" s="50" t="str">
        <x:f>IF(358&gt;$H$4,"",IF(INDEX('Fleet dates'!$I$9:$I$1008,$I366-8)="","",INDEX('Fleet dates'!$I$9:$I$1008,$I366-8)))</x:f>
      </x:c>
      <x:c r="I366" t="str">
        <x:f>IF(358&gt;$H$4,"",MATCH(358,'Fleet dates'!$N$9:$N$1008,0)+8)</x:f>
      </x:c>
    </x:row>
    <x:row r="367" ht="36" customHeight="1">
      <x:c r="A367" s="50" t="str">
        <x:f>IF(359&gt;$H$4,"",IF(INDEX('Fleet dates'!$A$9:$A$1008,$I367-8)="","",INDEX('Fleet dates'!$A$9:$A$1008,$I367-8)))</x:f>
      </x:c>
      <x:c r="B367" s="50" t="str">
        <x:f>IF(359&gt;$H$4,"",IF(INDEX('Fleet dates'!$B$9:$B$1008,$I367-8)="","",INDEX('Fleet dates'!$B$9:$B$1008,$I367-8)))</x:f>
      </x:c>
      <x:c r="C367" s="51" t="str">
        <x:f>IF(359&gt;$H$4,"",IF(INDEX('Fleet dates'!$C$9:$C$1008,$I367-8)="","",INDEX('Fleet dates'!$C$9:$C$1008,$I367-8)))</x:f>
      </x:c>
      <x:c r="D367" s="51" t="str">
        <x:f>IF(359&gt;$H$4,"",IF(INDEX('Fleet dates'!$D$9:$D$1008,$I367-8)="","",INDEX('Fleet dates'!$D$9:$D$1008,$I367-8)))</x:f>
      </x:c>
      <x:c r="E367" s="51" t="str">
        <x:f>IF(359&gt;$H$4,"",IF(INDEX('Fleet dates'!$E$9:$E$1008,$I367-8)="","",INDEX('Fleet dates'!$E$9:$E$1008,$I367-8)))</x:f>
      </x:c>
      <x:c r="F367" s="51" t="str">
        <x:f>IF(359&gt;$H$4,"",IF(INDEX('Fleet dates'!$F$9:$F$1008,$I367-8)="","",INDEX('Fleet dates'!$F$9:$F$1008,$I367-8)))</x:f>
      </x:c>
      <x:c r="G367" s="50" t="str">
        <x:f>IF(359&gt;$H$4,"",IF(INDEX('Fleet dates'!$G$9:$G$1008,$I367-8)="","",INDEX('Fleet dates'!$G$9:$G$1008,$I367-8)))</x:f>
      </x:c>
      <x:c r="H367" s="50" t="str">
        <x:f>IF(359&gt;$H$4,"",IF(INDEX('Fleet dates'!$I$9:$I$1008,$I367-8)="","",INDEX('Fleet dates'!$I$9:$I$1008,$I367-8)))</x:f>
      </x:c>
      <x:c r="I367" t="str">
        <x:f>IF(359&gt;$H$4,"",MATCH(359,'Fleet dates'!$N$9:$N$1008,0)+8)</x:f>
      </x:c>
    </x:row>
    <x:row r="368" ht="36" customHeight="1">
      <x:c r="A368" s="50" t="str">
        <x:f>IF(360&gt;$H$4,"",IF(INDEX('Fleet dates'!$A$9:$A$1008,$I368-8)="","",INDEX('Fleet dates'!$A$9:$A$1008,$I368-8)))</x:f>
      </x:c>
      <x:c r="B368" s="50" t="str">
        <x:f>IF(360&gt;$H$4,"",IF(INDEX('Fleet dates'!$B$9:$B$1008,$I368-8)="","",INDEX('Fleet dates'!$B$9:$B$1008,$I368-8)))</x:f>
      </x:c>
      <x:c r="C368" s="51" t="str">
        <x:f>IF(360&gt;$H$4,"",IF(INDEX('Fleet dates'!$C$9:$C$1008,$I368-8)="","",INDEX('Fleet dates'!$C$9:$C$1008,$I368-8)))</x:f>
      </x:c>
      <x:c r="D368" s="51" t="str">
        <x:f>IF(360&gt;$H$4,"",IF(INDEX('Fleet dates'!$D$9:$D$1008,$I368-8)="","",INDEX('Fleet dates'!$D$9:$D$1008,$I368-8)))</x:f>
      </x:c>
      <x:c r="E368" s="51" t="str">
        <x:f>IF(360&gt;$H$4,"",IF(INDEX('Fleet dates'!$E$9:$E$1008,$I368-8)="","",INDEX('Fleet dates'!$E$9:$E$1008,$I368-8)))</x:f>
      </x:c>
      <x:c r="F368" s="51" t="str">
        <x:f>IF(360&gt;$H$4,"",IF(INDEX('Fleet dates'!$F$9:$F$1008,$I368-8)="","",INDEX('Fleet dates'!$F$9:$F$1008,$I368-8)))</x:f>
      </x:c>
      <x:c r="G368" s="50" t="str">
        <x:f>IF(360&gt;$H$4,"",IF(INDEX('Fleet dates'!$G$9:$G$1008,$I368-8)="","",INDEX('Fleet dates'!$G$9:$G$1008,$I368-8)))</x:f>
      </x:c>
      <x:c r="H368" s="50" t="str">
        <x:f>IF(360&gt;$H$4,"",IF(INDEX('Fleet dates'!$I$9:$I$1008,$I368-8)="","",INDEX('Fleet dates'!$I$9:$I$1008,$I368-8)))</x:f>
      </x:c>
      <x:c r="I368" t="str">
        <x:f>IF(360&gt;$H$4,"",MATCH(360,'Fleet dates'!$N$9:$N$1008,0)+8)</x:f>
      </x:c>
    </x:row>
    <x:row r="369" ht="36" customHeight="1">
      <x:c r="A369" s="50" t="str">
        <x:f>IF(361&gt;$H$4,"",IF(INDEX('Fleet dates'!$A$9:$A$1008,$I369-8)="","",INDEX('Fleet dates'!$A$9:$A$1008,$I369-8)))</x:f>
      </x:c>
      <x:c r="B369" s="50" t="str">
        <x:f>IF(361&gt;$H$4,"",IF(INDEX('Fleet dates'!$B$9:$B$1008,$I369-8)="","",INDEX('Fleet dates'!$B$9:$B$1008,$I369-8)))</x:f>
      </x:c>
      <x:c r="C369" s="51" t="str">
        <x:f>IF(361&gt;$H$4,"",IF(INDEX('Fleet dates'!$C$9:$C$1008,$I369-8)="","",INDEX('Fleet dates'!$C$9:$C$1008,$I369-8)))</x:f>
      </x:c>
      <x:c r="D369" s="51" t="str">
        <x:f>IF(361&gt;$H$4,"",IF(INDEX('Fleet dates'!$D$9:$D$1008,$I369-8)="","",INDEX('Fleet dates'!$D$9:$D$1008,$I369-8)))</x:f>
      </x:c>
      <x:c r="E369" s="51" t="str">
        <x:f>IF(361&gt;$H$4,"",IF(INDEX('Fleet dates'!$E$9:$E$1008,$I369-8)="","",INDEX('Fleet dates'!$E$9:$E$1008,$I369-8)))</x:f>
      </x:c>
      <x:c r="F369" s="51" t="str">
        <x:f>IF(361&gt;$H$4,"",IF(INDEX('Fleet dates'!$F$9:$F$1008,$I369-8)="","",INDEX('Fleet dates'!$F$9:$F$1008,$I369-8)))</x:f>
      </x:c>
      <x:c r="G369" s="50" t="str">
        <x:f>IF(361&gt;$H$4,"",IF(INDEX('Fleet dates'!$G$9:$G$1008,$I369-8)="","",INDEX('Fleet dates'!$G$9:$G$1008,$I369-8)))</x:f>
      </x:c>
      <x:c r="H369" s="50" t="str">
        <x:f>IF(361&gt;$H$4,"",IF(INDEX('Fleet dates'!$I$9:$I$1008,$I369-8)="","",INDEX('Fleet dates'!$I$9:$I$1008,$I369-8)))</x:f>
      </x:c>
      <x:c r="I369" t="str">
        <x:f>IF(361&gt;$H$4,"",MATCH(361,'Fleet dates'!$N$9:$N$1008,0)+8)</x:f>
      </x:c>
    </x:row>
    <x:row r="370" ht="36" customHeight="1">
      <x:c r="A370" s="50" t="str">
        <x:f>IF(362&gt;$H$4,"",IF(INDEX('Fleet dates'!$A$9:$A$1008,$I370-8)="","",INDEX('Fleet dates'!$A$9:$A$1008,$I370-8)))</x:f>
      </x:c>
      <x:c r="B370" s="50" t="str">
        <x:f>IF(362&gt;$H$4,"",IF(INDEX('Fleet dates'!$B$9:$B$1008,$I370-8)="","",INDEX('Fleet dates'!$B$9:$B$1008,$I370-8)))</x:f>
      </x:c>
      <x:c r="C370" s="51" t="str">
        <x:f>IF(362&gt;$H$4,"",IF(INDEX('Fleet dates'!$C$9:$C$1008,$I370-8)="","",INDEX('Fleet dates'!$C$9:$C$1008,$I370-8)))</x:f>
      </x:c>
      <x:c r="D370" s="51" t="str">
        <x:f>IF(362&gt;$H$4,"",IF(INDEX('Fleet dates'!$D$9:$D$1008,$I370-8)="","",INDEX('Fleet dates'!$D$9:$D$1008,$I370-8)))</x:f>
      </x:c>
      <x:c r="E370" s="51" t="str">
        <x:f>IF(362&gt;$H$4,"",IF(INDEX('Fleet dates'!$E$9:$E$1008,$I370-8)="","",INDEX('Fleet dates'!$E$9:$E$1008,$I370-8)))</x:f>
      </x:c>
      <x:c r="F370" s="51" t="str">
        <x:f>IF(362&gt;$H$4,"",IF(INDEX('Fleet dates'!$F$9:$F$1008,$I370-8)="","",INDEX('Fleet dates'!$F$9:$F$1008,$I370-8)))</x:f>
      </x:c>
      <x:c r="G370" s="50" t="str">
        <x:f>IF(362&gt;$H$4,"",IF(INDEX('Fleet dates'!$G$9:$G$1008,$I370-8)="","",INDEX('Fleet dates'!$G$9:$G$1008,$I370-8)))</x:f>
      </x:c>
      <x:c r="H370" s="50" t="str">
        <x:f>IF(362&gt;$H$4,"",IF(INDEX('Fleet dates'!$I$9:$I$1008,$I370-8)="","",INDEX('Fleet dates'!$I$9:$I$1008,$I370-8)))</x:f>
      </x:c>
      <x:c r="I370" t="str">
        <x:f>IF(362&gt;$H$4,"",MATCH(362,'Fleet dates'!$N$9:$N$1008,0)+8)</x:f>
      </x:c>
    </x:row>
    <x:row r="371" ht="36" customHeight="1">
      <x:c r="A371" s="50" t="str">
        <x:f>IF(363&gt;$H$4,"",IF(INDEX('Fleet dates'!$A$9:$A$1008,$I371-8)="","",INDEX('Fleet dates'!$A$9:$A$1008,$I371-8)))</x:f>
      </x:c>
      <x:c r="B371" s="50" t="str">
        <x:f>IF(363&gt;$H$4,"",IF(INDEX('Fleet dates'!$B$9:$B$1008,$I371-8)="","",INDEX('Fleet dates'!$B$9:$B$1008,$I371-8)))</x:f>
      </x:c>
      <x:c r="C371" s="51" t="str">
        <x:f>IF(363&gt;$H$4,"",IF(INDEX('Fleet dates'!$C$9:$C$1008,$I371-8)="","",INDEX('Fleet dates'!$C$9:$C$1008,$I371-8)))</x:f>
      </x:c>
      <x:c r="D371" s="51" t="str">
        <x:f>IF(363&gt;$H$4,"",IF(INDEX('Fleet dates'!$D$9:$D$1008,$I371-8)="","",INDEX('Fleet dates'!$D$9:$D$1008,$I371-8)))</x:f>
      </x:c>
      <x:c r="E371" s="51" t="str">
        <x:f>IF(363&gt;$H$4,"",IF(INDEX('Fleet dates'!$E$9:$E$1008,$I371-8)="","",INDEX('Fleet dates'!$E$9:$E$1008,$I371-8)))</x:f>
      </x:c>
      <x:c r="F371" s="51" t="str">
        <x:f>IF(363&gt;$H$4,"",IF(INDEX('Fleet dates'!$F$9:$F$1008,$I371-8)="","",INDEX('Fleet dates'!$F$9:$F$1008,$I371-8)))</x:f>
      </x:c>
      <x:c r="G371" s="50" t="str">
        <x:f>IF(363&gt;$H$4,"",IF(INDEX('Fleet dates'!$G$9:$G$1008,$I371-8)="","",INDEX('Fleet dates'!$G$9:$G$1008,$I371-8)))</x:f>
      </x:c>
      <x:c r="H371" s="50" t="str">
        <x:f>IF(363&gt;$H$4,"",IF(INDEX('Fleet dates'!$I$9:$I$1008,$I371-8)="","",INDEX('Fleet dates'!$I$9:$I$1008,$I371-8)))</x:f>
      </x:c>
      <x:c r="I371" t="str">
        <x:f>IF(363&gt;$H$4,"",MATCH(363,'Fleet dates'!$N$9:$N$1008,0)+8)</x:f>
      </x:c>
    </x:row>
    <x:row r="372" ht="36" customHeight="1">
      <x:c r="A372" s="50" t="str">
        <x:f>IF(364&gt;$H$4,"",IF(INDEX('Fleet dates'!$A$9:$A$1008,$I372-8)="","",INDEX('Fleet dates'!$A$9:$A$1008,$I372-8)))</x:f>
      </x:c>
      <x:c r="B372" s="50" t="str">
        <x:f>IF(364&gt;$H$4,"",IF(INDEX('Fleet dates'!$B$9:$B$1008,$I372-8)="","",INDEX('Fleet dates'!$B$9:$B$1008,$I372-8)))</x:f>
      </x:c>
      <x:c r="C372" s="51" t="str">
        <x:f>IF(364&gt;$H$4,"",IF(INDEX('Fleet dates'!$C$9:$C$1008,$I372-8)="","",INDEX('Fleet dates'!$C$9:$C$1008,$I372-8)))</x:f>
      </x:c>
      <x:c r="D372" s="51" t="str">
        <x:f>IF(364&gt;$H$4,"",IF(INDEX('Fleet dates'!$D$9:$D$1008,$I372-8)="","",INDEX('Fleet dates'!$D$9:$D$1008,$I372-8)))</x:f>
      </x:c>
      <x:c r="E372" s="51" t="str">
        <x:f>IF(364&gt;$H$4,"",IF(INDEX('Fleet dates'!$E$9:$E$1008,$I372-8)="","",INDEX('Fleet dates'!$E$9:$E$1008,$I372-8)))</x:f>
      </x:c>
      <x:c r="F372" s="51" t="str">
        <x:f>IF(364&gt;$H$4,"",IF(INDEX('Fleet dates'!$F$9:$F$1008,$I372-8)="","",INDEX('Fleet dates'!$F$9:$F$1008,$I372-8)))</x:f>
      </x:c>
      <x:c r="G372" s="50" t="str">
        <x:f>IF(364&gt;$H$4,"",IF(INDEX('Fleet dates'!$G$9:$G$1008,$I372-8)="","",INDEX('Fleet dates'!$G$9:$G$1008,$I372-8)))</x:f>
      </x:c>
      <x:c r="H372" s="50" t="str">
        <x:f>IF(364&gt;$H$4,"",IF(INDEX('Fleet dates'!$I$9:$I$1008,$I372-8)="","",INDEX('Fleet dates'!$I$9:$I$1008,$I372-8)))</x:f>
      </x:c>
      <x:c r="I372" t="str">
        <x:f>IF(364&gt;$H$4,"",MATCH(364,'Fleet dates'!$N$9:$N$1008,0)+8)</x:f>
      </x:c>
    </x:row>
    <x:row r="373" ht="36" customHeight="1">
      <x:c r="A373" s="50" t="str">
        <x:f>IF(365&gt;$H$4,"",IF(INDEX('Fleet dates'!$A$9:$A$1008,$I373-8)="","",INDEX('Fleet dates'!$A$9:$A$1008,$I373-8)))</x:f>
      </x:c>
      <x:c r="B373" s="50" t="str">
        <x:f>IF(365&gt;$H$4,"",IF(INDEX('Fleet dates'!$B$9:$B$1008,$I373-8)="","",INDEX('Fleet dates'!$B$9:$B$1008,$I373-8)))</x:f>
      </x:c>
      <x:c r="C373" s="51" t="str">
        <x:f>IF(365&gt;$H$4,"",IF(INDEX('Fleet dates'!$C$9:$C$1008,$I373-8)="","",INDEX('Fleet dates'!$C$9:$C$1008,$I373-8)))</x:f>
      </x:c>
      <x:c r="D373" s="51" t="str">
        <x:f>IF(365&gt;$H$4,"",IF(INDEX('Fleet dates'!$D$9:$D$1008,$I373-8)="","",INDEX('Fleet dates'!$D$9:$D$1008,$I373-8)))</x:f>
      </x:c>
      <x:c r="E373" s="51" t="str">
        <x:f>IF(365&gt;$H$4,"",IF(INDEX('Fleet dates'!$E$9:$E$1008,$I373-8)="","",INDEX('Fleet dates'!$E$9:$E$1008,$I373-8)))</x:f>
      </x:c>
      <x:c r="F373" s="51" t="str">
        <x:f>IF(365&gt;$H$4,"",IF(INDEX('Fleet dates'!$F$9:$F$1008,$I373-8)="","",INDEX('Fleet dates'!$F$9:$F$1008,$I373-8)))</x:f>
      </x:c>
      <x:c r="G373" s="50" t="str">
        <x:f>IF(365&gt;$H$4,"",IF(INDEX('Fleet dates'!$G$9:$G$1008,$I373-8)="","",INDEX('Fleet dates'!$G$9:$G$1008,$I373-8)))</x:f>
      </x:c>
      <x:c r="H373" s="50" t="str">
        <x:f>IF(365&gt;$H$4,"",IF(INDEX('Fleet dates'!$I$9:$I$1008,$I373-8)="","",INDEX('Fleet dates'!$I$9:$I$1008,$I373-8)))</x:f>
      </x:c>
      <x:c r="I373" t="str">
        <x:f>IF(365&gt;$H$4,"",MATCH(365,'Fleet dates'!$N$9:$N$1008,0)+8)</x:f>
      </x:c>
    </x:row>
    <x:row r="374" ht="36" customHeight="1">
      <x:c r="A374" s="50" t="str">
        <x:f>IF(366&gt;$H$4,"",IF(INDEX('Fleet dates'!$A$9:$A$1008,$I374-8)="","",INDEX('Fleet dates'!$A$9:$A$1008,$I374-8)))</x:f>
      </x:c>
      <x:c r="B374" s="50" t="str">
        <x:f>IF(366&gt;$H$4,"",IF(INDEX('Fleet dates'!$B$9:$B$1008,$I374-8)="","",INDEX('Fleet dates'!$B$9:$B$1008,$I374-8)))</x:f>
      </x:c>
      <x:c r="C374" s="51" t="str">
        <x:f>IF(366&gt;$H$4,"",IF(INDEX('Fleet dates'!$C$9:$C$1008,$I374-8)="","",INDEX('Fleet dates'!$C$9:$C$1008,$I374-8)))</x:f>
      </x:c>
      <x:c r="D374" s="51" t="str">
        <x:f>IF(366&gt;$H$4,"",IF(INDEX('Fleet dates'!$D$9:$D$1008,$I374-8)="","",INDEX('Fleet dates'!$D$9:$D$1008,$I374-8)))</x:f>
      </x:c>
      <x:c r="E374" s="51" t="str">
        <x:f>IF(366&gt;$H$4,"",IF(INDEX('Fleet dates'!$E$9:$E$1008,$I374-8)="","",INDEX('Fleet dates'!$E$9:$E$1008,$I374-8)))</x:f>
      </x:c>
      <x:c r="F374" s="51" t="str">
        <x:f>IF(366&gt;$H$4,"",IF(INDEX('Fleet dates'!$F$9:$F$1008,$I374-8)="","",INDEX('Fleet dates'!$F$9:$F$1008,$I374-8)))</x:f>
      </x:c>
      <x:c r="G374" s="50" t="str">
        <x:f>IF(366&gt;$H$4,"",IF(INDEX('Fleet dates'!$G$9:$G$1008,$I374-8)="","",INDEX('Fleet dates'!$G$9:$G$1008,$I374-8)))</x:f>
      </x:c>
      <x:c r="H374" s="50" t="str">
        <x:f>IF(366&gt;$H$4,"",IF(INDEX('Fleet dates'!$I$9:$I$1008,$I374-8)="","",INDEX('Fleet dates'!$I$9:$I$1008,$I374-8)))</x:f>
      </x:c>
      <x:c r="I374" t="str">
        <x:f>IF(366&gt;$H$4,"",MATCH(366,'Fleet dates'!$N$9:$N$1008,0)+8)</x:f>
      </x:c>
    </x:row>
    <x:row r="375" ht="36" customHeight="1">
      <x:c r="A375" s="50" t="str">
        <x:f>IF(367&gt;$H$4,"",IF(INDEX('Fleet dates'!$A$9:$A$1008,$I375-8)="","",INDEX('Fleet dates'!$A$9:$A$1008,$I375-8)))</x:f>
      </x:c>
      <x:c r="B375" s="50" t="str">
        <x:f>IF(367&gt;$H$4,"",IF(INDEX('Fleet dates'!$B$9:$B$1008,$I375-8)="","",INDEX('Fleet dates'!$B$9:$B$1008,$I375-8)))</x:f>
      </x:c>
      <x:c r="C375" s="51" t="str">
        <x:f>IF(367&gt;$H$4,"",IF(INDEX('Fleet dates'!$C$9:$C$1008,$I375-8)="","",INDEX('Fleet dates'!$C$9:$C$1008,$I375-8)))</x:f>
      </x:c>
      <x:c r="D375" s="51" t="str">
        <x:f>IF(367&gt;$H$4,"",IF(INDEX('Fleet dates'!$D$9:$D$1008,$I375-8)="","",INDEX('Fleet dates'!$D$9:$D$1008,$I375-8)))</x:f>
      </x:c>
      <x:c r="E375" s="51" t="str">
        <x:f>IF(367&gt;$H$4,"",IF(INDEX('Fleet dates'!$E$9:$E$1008,$I375-8)="","",INDEX('Fleet dates'!$E$9:$E$1008,$I375-8)))</x:f>
      </x:c>
      <x:c r="F375" s="51" t="str">
        <x:f>IF(367&gt;$H$4,"",IF(INDEX('Fleet dates'!$F$9:$F$1008,$I375-8)="","",INDEX('Fleet dates'!$F$9:$F$1008,$I375-8)))</x:f>
      </x:c>
      <x:c r="G375" s="50" t="str">
        <x:f>IF(367&gt;$H$4,"",IF(INDEX('Fleet dates'!$G$9:$G$1008,$I375-8)="","",INDEX('Fleet dates'!$G$9:$G$1008,$I375-8)))</x:f>
      </x:c>
      <x:c r="H375" s="50" t="str">
        <x:f>IF(367&gt;$H$4,"",IF(INDEX('Fleet dates'!$I$9:$I$1008,$I375-8)="","",INDEX('Fleet dates'!$I$9:$I$1008,$I375-8)))</x:f>
      </x:c>
      <x:c r="I375" t="str">
        <x:f>IF(367&gt;$H$4,"",MATCH(367,'Fleet dates'!$N$9:$N$1008,0)+8)</x:f>
      </x:c>
    </x:row>
    <x:row r="376" ht="36" customHeight="1">
      <x:c r="A376" s="50" t="str">
        <x:f>IF(368&gt;$H$4,"",IF(INDEX('Fleet dates'!$A$9:$A$1008,$I376-8)="","",INDEX('Fleet dates'!$A$9:$A$1008,$I376-8)))</x:f>
      </x:c>
      <x:c r="B376" s="50" t="str">
        <x:f>IF(368&gt;$H$4,"",IF(INDEX('Fleet dates'!$B$9:$B$1008,$I376-8)="","",INDEX('Fleet dates'!$B$9:$B$1008,$I376-8)))</x:f>
      </x:c>
      <x:c r="C376" s="51" t="str">
        <x:f>IF(368&gt;$H$4,"",IF(INDEX('Fleet dates'!$C$9:$C$1008,$I376-8)="","",INDEX('Fleet dates'!$C$9:$C$1008,$I376-8)))</x:f>
      </x:c>
      <x:c r="D376" s="51" t="str">
        <x:f>IF(368&gt;$H$4,"",IF(INDEX('Fleet dates'!$D$9:$D$1008,$I376-8)="","",INDEX('Fleet dates'!$D$9:$D$1008,$I376-8)))</x:f>
      </x:c>
      <x:c r="E376" s="51" t="str">
        <x:f>IF(368&gt;$H$4,"",IF(INDEX('Fleet dates'!$E$9:$E$1008,$I376-8)="","",INDEX('Fleet dates'!$E$9:$E$1008,$I376-8)))</x:f>
      </x:c>
      <x:c r="F376" s="51" t="str">
        <x:f>IF(368&gt;$H$4,"",IF(INDEX('Fleet dates'!$F$9:$F$1008,$I376-8)="","",INDEX('Fleet dates'!$F$9:$F$1008,$I376-8)))</x:f>
      </x:c>
      <x:c r="G376" s="50" t="str">
        <x:f>IF(368&gt;$H$4,"",IF(INDEX('Fleet dates'!$G$9:$G$1008,$I376-8)="","",INDEX('Fleet dates'!$G$9:$G$1008,$I376-8)))</x:f>
      </x:c>
      <x:c r="H376" s="50" t="str">
        <x:f>IF(368&gt;$H$4,"",IF(INDEX('Fleet dates'!$I$9:$I$1008,$I376-8)="","",INDEX('Fleet dates'!$I$9:$I$1008,$I376-8)))</x:f>
      </x:c>
      <x:c r="I376" t="str">
        <x:f>IF(368&gt;$H$4,"",MATCH(368,'Fleet dates'!$N$9:$N$1008,0)+8)</x:f>
      </x:c>
    </x:row>
    <x:row r="377" ht="36" customHeight="1">
      <x:c r="A377" s="50" t="str">
        <x:f>IF(369&gt;$H$4,"",IF(INDEX('Fleet dates'!$A$9:$A$1008,$I377-8)="","",INDEX('Fleet dates'!$A$9:$A$1008,$I377-8)))</x:f>
      </x:c>
      <x:c r="B377" s="50" t="str">
        <x:f>IF(369&gt;$H$4,"",IF(INDEX('Fleet dates'!$B$9:$B$1008,$I377-8)="","",INDEX('Fleet dates'!$B$9:$B$1008,$I377-8)))</x:f>
      </x:c>
      <x:c r="C377" s="51" t="str">
        <x:f>IF(369&gt;$H$4,"",IF(INDEX('Fleet dates'!$C$9:$C$1008,$I377-8)="","",INDEX('Fleet dates'!$C$9:$C$1008,$I377-8)))</x:f>
      </x:c>
      <x:c r="D377" s="51" t="str">
        <x:f>IF(369&gt;$H$4,"",IF(INDEX('Fleet dates'!$D$9:$D$1008,$I377-8)="","",INDEX('Fleet dates'!$D$9:$D$1008,$I377-8)))</x:f>
      </x:c>
      <x:c r="E377" s="51" t="str">
        <x:f>IF(369&gt;$H$4,"",IF(INDEX('Fleet dates'!$E$9:$E$1008,$I377-8)="","",INDEX('Fleet dates'!$E$9:$E$1008,$I377-8)))</x:f>
      </x:c>
      <x:c r="F377" s="51" t="str">
        <x:f>IF(369&gt;$H$4,"",IF(INDEX('Fleet dates'!$F$9:$F$1008,$I377-8)="","",INDEX('Fleet dates'!$F$9:$F$1008,$I377-8)))</x:f>
      </x:c>
      <x:c r="G377" s="50" t="str">
        <x:f>IF(369&gt;$H$4,"",IF(INDEX('Fleet dates'!$G$9:$G$1008,$I377-8)="","",INDEX('Fleet dates'!$G$9:$G$1008,$I377-8)))</x:f>
      </x:c>
      <x:c r="H377" s="50" t="str">
        <x:f>IF(369&gt;$H$4,"",IF(INDEX('Fleet dates'!$I$9:$I$1008,$I377-8)="","",INDEX('Fleet dates'!$I$9:$I$1008,$I377-8)))</x:f>
      </x:c>
      <x:c r="I377" t="str">
        <x:f>IF(369&gt;$H$4,"",MATCH(369,'Fleet dates'!$N$9:$N$1008,0)+8)</x:f>
      </x:c>
    </x:row>
    <x:row r="378" ht="36" customHeight="1">
      <x:c r="A378" s="50" t="str">
        <x:f>IF(370&gt;$H$4,"",IF(INDEX('Fleet dates'!$A$9:$A$1008,$I378-8)="","",INDEX('Fleet dates'!$A$9:$A$1008,$I378-8)))</x:f>
      </x:c>
      <x:c r="B378" s="50" t="str">
        <x:f>IF(370&gt;$H$4,"",IF(INDEX('Fleet dates'!$B$9:$B$1008,$I378-8)="","",INDEX('Fleet dates'!$B$9:$B$1008,$I378-8)))</x:f>
      </x:c>
      <x:c r="C378" s="51" t="str">
        <x:f>IF(370&gt;$H$4,"",IF(INDEX('Fleet dates'!$C$9:$C$1008,$I378-8)="","",INDEX('Fleet dates'!$C$9:$C$1008,$I378-8)))</x:f>
      </x:c>
      <x:c r="D378" s="51" t="str">
        <x:f>IF(370&gt;$H$4,"",IF(INDEX('Fleet dates'!$D$9:$D$1008,$I378-8)="","",INDEX('Fleet dates'!$D$9:$D$1008,$I378-8)))</x:f>
      </x:c>
      <x:c r="E378" s="51" t="str">
        <x:f>IF(370&gt;$H$4,"",IF(INDEX('Fleet dates'!$E$9:$E$1008,$I378-8)="","",INDEX('Fleet dates'!$E$9:$E$1008,$I378-8)))</x:f>
      </x:c>
      <x:c r="F378" s="51" t="str">
        <x:f>IF(370&gt;$H$4,"",IF(INDEX('Fleet dates'!$F$9:$F$1008,$I378-8)="","",INDEX('Fleet dates'!$F$9:$F$1008,$I378-8)))</x:f>
      </x:c>
      <x:c r="G378" s="50" t="str">
        <x:f>IF(370&gt;$H$4,"",IF(INDEX('Fleet dates'!$G$9:$G$1008,$I378-8)="","",INDEX('Fleet dates'!$G$9:$G$1008,$I378-8)))</x:f>
      </x:c>
      <x:c r="H378" s="50" t="str">
        <x:f>IF(370&gt;$H$4,"",IF(INDEX('Fleet dates'!$I$9:$I$1008,$I378-8)="","",INDEX('Fleet dates'!$I$9:$I$1008,$I378-8)))</x:f>
      </x:c>
      <x:c r="I378" t="str">
        <x:f>IF(370&gt;$H$4,"",MATCH(370,'Fleet dates'!$N$9:$N$1008,0)+8)</x:f>
      </x:c>
    </x:row>
    <x:row r="379" ht="36" customHeight="1">
      <x:c r="A379" s="50" t="str">
        <x:f>IF(371&gt;$H$4,"",IF(INDEX('Fleet dates'!$A$9:$A$1008,$I379-8)="","",INDEX('Fleet dates'!$A$9:$A$1008,$I379-8)))</x:f>
      </x:c>
      <x:c r="B379" s="50" t="str">
        <x:f>IF(371&gt;$H$4,"",IF(INDEX('Fleet dates'!$B$9:$B$1008,$I379-8)="","",INDEX('Fleet dates'!$B$9:$B$1008,$I379-8)))</x:f>
      </x:c>
      <x:c r="C379" s="51" t="str">
        <x:f>IF(371&gt;$H$4,"",IF(INDEX('Fleet dates'!$C$9:$C$1008,$I379-8)="","",INDEX('Fleet dates'!$C$9:$C$1008,$I379-8)))</x:f>
      </x:c>
      <x:c r="D379" s="51" t="str">
        <x:f>IF(371&gt;$H$4,"",IF(INDEX('Fleet dates'!$D$9:$D$1008,$I379-8)="","",INDEX('Fleet dates'!$D$9:$D$1008,$I379-8)))</x:f>
      </x:c>
      <x:c r="E379" s="51" t="str">
        <x:f>IF(371&gt;$H$4,"",IF(INDEX('Fleet dates'!$E$9:$E$1008,$I379-8)="","",INDEX('Fleet dates'!$E$9:$E$1008,$I379-8)))</x:f>
      </x:c>
      <x:c r="F379" s="51" t="str">
        <x:f>IF(371&gt;$H$4,"",IF(INDEX('Fleet dates'!$F$9:$F$1008,$I379-8)="","",INDEX('Fleet dates'!$F$9:$F$1008,$I379-8)))</x:f>
      </x:c>
      <x:c r="G379" s="50" t="str">
        <x:f>IF(371&gt;$H$4,"",IF(INDEX('Fleet dates'!$G$9:$G$1008,$I379-8)="","",INDEX('Fleet dates'!$G$9:$G$1008,$I379-8)))</x:f>
      </x:c>
      <x:c r="H379" s="50" t="str">
        <x:f>IF(371&gt;$H$4,"",IF(INDEX('Fleet dates'!$I$9:$I$1008,$I379-8)="","",INDEX('Fleet dates'!$I$9:$I$1008,$I379-8)))</x:f>
      </x:c>
      <x:c r="I379" t="str">
        <x:f>IF(371&gt;$H$4,"",MATCH(371,'Fleet dates'!$N$9:$N$1008,0)+8)</x:f>
      </x:c>
    </x:row>
    <x:row r="380" ht="36" customHeight="1">
      <x:c r="A380" s="50" t="str">
        <x:f>IF(372&gt;$H$4,"",IF(INDEX('Fleet dates'!$A$9:$A$1008,$I380-8)="","",INDEX('Fleet dates'!$A$9:$A$1008,$I380-8)))</x:f>
      </x:c>
      <x:c r="B380" s="50" t="str">
        <x:f>IF(372&gt;$H$4,"",IF(INDEX('Fleet dates'!$B$9:$B$1008,$I380-8)="","",INDEX('Fleet dates'!$B$9:$B$1008,$I380-8)))</x:f>
      </x:c>
      <x:c r="C380" s="51" t="str">
        <x:f>IF(372&gt;$H$4,"",IF(INDEX('Fleet dates'!$C$9:$C$1008,$I380-8)="","",INDEX('Fleet dates'!$C$9:$C$1008,$I380-8)))</x:f>
      </x:c>
      <x:c r="D380" s="51" t="str">
        <x:f>IF(372&gt;$H$4,"",IF(INDEX('Fleet dates'!$D$9:$D$1008,$I380-8)="","",INDEX('Fleet dates'!$D$9:$D$1008,$I380-8)))</x:f>
      </x:c>
      <x:c r="E380" s="51" t="str">
        <x:f>IF(372&gt;$H$4,"",IF(INDEX('Fleet dates'!$E$9:$E$1008,$I380-8)="","",INDEX('Fleet dates'!$E$9:$E$1008,$I380-8)))</x:f>
      </x:c>
      <x:c r="F380" s="51" t="str">
        <x:f>IF(372&gt;$H$4,"",IF(INDEX('Fleet dates'!$F$9:$F$1008,$I380-8)="","",INDEX('Fleet dates'!$F$9:$F$1008,$I380-8)))</x:f>
      </x:c>
      <x:c r="G380" s="50" t="str">
        <x:f>IF(372&gt;$H$4,"",IF(INDEX('Fleet dates'!$G$9:$G$1008,$I380-8)="","",INDEX('Fleet dates'!$G$9:$G$1008,$I380-8)))</x:f>
      </x:c>
      <x:c r="H380" s="50" t="str">
        <x:f>IF(372&gt;$H$4,"",IF(INDEX('Fleet dates'!$I$9:$I$1008,$I380-8)="","",INDEX('Fleet dates'!$I$9:$I$1008,$I380-8)))</x:f>
      </x:c>
      <x:c r="I380" t="str">
        <x:f>IF(372&gt;$H$4,"",MATCH(372,'Fleet dates'!$N$9:$N$1008,0)+8)</x:f>
      </x:c>
    </x:row>
    <x:row r="381" ht="36" customHeight="1">
      <x:c r="A381" s="50" t="str">
        <x:f>IF(373&gt;$H$4,"",IF(INDEX('Fleet dates'!$A$9:$A$1008,$I381-8)="","",INDEX('Fleet dates'!$A$9:$A$1008,$I381-8)))</x:f>
      </x:c>
      <x:c r="B381" s="50" t="str">
        <x:f>IF(373&gt;$H$4,"",IF(INDEX('Fleet dates'!$B$9:$B$1008,$I381-8)="","",INDEX('Fleet dates'!$B$9:$B$1008,$I381-8)))</x:f>
      </x:c>
      <x:c r="C381" s="51" t="str">
        <x:f>IF(373&gt;$H$4,"",IF(INDEX('Fleet dates'!$C$9:$C$1008,$I381-8)="","",INDEX('Fleet dates'!$C$9:$C$1008,$I381-8)))</x:f>
      </x:c>
      <x:c r="D381" s="51" t="str">
        <x:f>IF(373&gt;$H$4,"",IF(INDEX('Fleet dates'!$D$9:$D$1008,$I381-8)="","",INDEX('Fleet dates'!$D$9:$D$1008,$I381-8)))</x:f>
      </x:c>
      <x:c r="E381" s="51" t="str">
        <x:f>IF(373&gt;$H$4,"",IF(INDEX('Fleet dates'!$E$9:$E$1008,$I381-8)="","",INDEX('Fleet dates'!$E$9:$E$1008,$I381-8)))</x:f>
      </x:c>
      <x:c r="F381" s="51" t="str">
        <x:f>IF(373&gt;$H$4,"",IF(INDEX('Fleet dates'!$F$9:$F$1008,$I381-8)="","",INDEX('Fleet dates'!$F$9:$F$1008,$I381-8)))</x:f>
      </x:c>
      <x:c r="G381" s="50" t="str">
        <x:f>IF(373&gt;$H$4,"",IF(INDEX('Fleet dates'!$G$9:$G$1008,$I381-8)="","",INDEX('Fleet dates'!$G$9:$G$1008,$I381-8)))</x:f>
      </x:c>
      <x:c r="H381" s="50" t="str">
        <x:f>IF(373&gt;$H$4,"",IF(INDEX('Fleet dates'!$I$9:$I$1008,$I381-8)="","",INDEX('Fleet dates'!$I$9:$I$1008,$I381-8)))</x:f>
      </x:c>
      <x:c r="I381" t="str">
        <x:f>IF(373&gt;$H$4,"",MATCH(373,'Fleet dates'!$N$9:$N$1008,0)+8)</x:f>
      </x:c>
    </x:row>
    <x:row r="382" ht="36" customHeight="1">
      <x:c r="A382" s="50" t="str">
        <x:f>IF(374&gt;$H$4,"",IF(INDEX('Fleet dates'!$A$9:$A$1008,$I382-8)="","",INDEX('Fleet dates'!$A$9:$A$1008,$I382-8)))</x:f>
      </x:c>
      <x:c r="B382" s="50" t="str">
        <x:f>IF(374&gt;$H$4,"",IF(INDEX('Fleet dates'!$B$9:$B$1008,$I382-8)="","",INDEX('Fleet dates'!$B$9:$B$1008,$I382-8)))</x:f>
      </x:c>
      <x:c r="C382" s="51" t="str">
        <x:f>IF(374&gt;$H$4,"",IF(INDEX('Fleet dates'!$C$9:$C$1008,$I382-8)="","",INDEX('Fleet dates'!$C$9:$C$1008,$I382-8)))</x:f>
      </x:c>
      <x:c r="D382" s="51" t="str">
        <x:f>IF(374&gt;$H$4,"",IF(INDEX('Fleet dates'!$D$9:$D$1008,$I382-8)="","",INDEX('Fleet dates'!$D$9:$D$1008,$I382-8)))</x:f>
      </x:c>
      <x:c r="E382" s="51" t="str">
        <x:f>IF(374&gt;$H$4,"",IF(INDEX('Fleet dates'!$E$9:$E$1008,$I382-8)="","",INDEX('Fleet dates'!$E$9:$E$1008,$I382-8)))</x:f>
      </x:c>
      <x:c r="F382" s="51" t="str">
        <x:f>IF(374&gt;$H$4,"",IF(INDEX('Fleet dates'!$F$9:$F$1008,$I382-8)="","",INDEX('Fleet dates'!$F$9:$F$1008,$I382-8)))</x:f>
      </x:c>
      <x:c r="G382" s="50" t="str">
        <x:f>IF(374&gt;$H$4,"",IF(INDEX('Fleet dates'!$G$9:$G$1008,$I382-8)="","",INDEX('Fleet dates'!$G$9:$G$1008,$I382-8)))</x:f>
      </x:c>
      <x:c r="H382" s="50" t="str">
        <x:f>IF(374&gt;$H$4,"",IF(INDEX('Fleet dates'!$I$9:$I$1008,$I382-8)="","",INDEX('Fleet dates'!$I$9:$I$1008,$I382-8)))</x:f>
      </x:c>
      <x:c r="I382" t="str">
        <x:f>IF(374&gt;$H$4,"",MATCH(374,'Fleet dates'!$N$9:$N$1008,0)+8)</x:f>
      </x:c>
    </x:row>
    <x:row r="383" ht="36" customHeight="1">
      <x:c r="A383" s="50" t="str">
        <x:f>IF(375&gt;$H$4,"",IF(INDEX('Fleet dates'!$A$9:$A$1008,$I383-8)="","",INDEX('Fleet dates'!$A$9:$A$1008,$I383-8)))</x:f>
      </x:c>
      <x:c r="B383" s="50" t="str">
        <x:f>IF(375&gt;$H$4,"",IF(INDEX('Fleet dates'!$B$9:$B$1008,$I383-8)="","",INDEX('Fleet dates'!$B$9:$B$1008,$I383-8)))</x:f>
      </x:c>
      <x:c r="C383" s="51" t="str">
        <x:f>IF(375&gt;$H$4,"",IF(INDEX('Fleet dates'!$C$9:$C$1008,$I383-8)="","",INDEX('Fleet dates'!$C$9:$C$1008,$I383-8)))</x:f>
      </x:c>
      <x:c r="D383" s="51" t="str">
        <x:f>IF(375&gt;$H$4,"",IF(INDEX('Fleet dates'!$D$9:$D$1008,$I383-8)="","",INDEX('Fleet dates'!$D$9:$D$1008,$I383-8)))</x:f>
      </x:c>
      <x:c r="E383" s="51" t="str">
        <x:f>IF(375&gt;$H$4,"",IF(INDEX('Fleet dates'!$E$9:$E$1008,$I383-8)="","",INDEX('Fleet dates'!$E$9:$E$1008,$I383-8)))</x:f>
      </x:c>
      <x:c r="F383" s="51" t="str">
        <x:f>IF(375&gt;$H$4,"",IF(INDEX('Fleet dates'!$F$9:$F$1008,$I383-8)="","",INDEX('Fleet dates'!$F$9:$F$1008,$I383-8)))</x:f>
      </x:c>
      <x:c r="G383" s="50" t="str">
        <x:f>IF(375&gt;$H$4,"",IF(INDEX('Fleet dates'!$G$9:$G$1008,$I383-8)="","",INDEX('Fleet dates'!$G$9:$G$1008,$I383-8)))</x:f>
      </x:c>
      <x:c r="H383" s="50" t="str">
        <x:f>IF(375&gt;$H$4,"",IF(INDEX('Fleet dates'!$I$9:$I$1008,$I383-8)="","",INDEX('Fleet dates'!$I$9:$I$1008,$I383-8)))</x:f>
      </x:c>
      <x:c r="I383" t="str">
        <x:f>IF(375&gt;$H$4,"",MATCH(375,'Fleet dates'!$N$9:$N$1008,0)+8)</x:f>
      </x:c>
    </x:row>
    <x:row r="384" ht="36" customHeight="1">
      <x:c r="A384" s="50" t="str">
        <x:f>IF(376&gt;$H$4,"",IF(INDEX('Fleet dates'!$A$9:$A$1008,$I384-8)="","",INDEX('Fleet dates'!$A$9:$A$1008,$I384-8)))</x:f>
      </x:c>
      <x:c r="B384" s="50" t="str">
        <x:f>IF(376&gt;$H$4,"",IF(INDEX('Fleet dates'!$B$9:$B$1008,$I384-8)="","",INDEX('Fleet dates'!$B$9:$B$1008,$I384-8)))</x:f>
      </x:c>
      <x:c r="C384" s="51" t="str">
        <x:f>IF(376&gt;$H$4,"",IF(INDEX('Fleet dates'!$C$9:$C$1008,$I384-8)="","",INDEX('Fleet dates'!$C$9:$C$1008,$I384-8)))</x:f>
      </x:c>
      <x:c r="D384" s="51" t="str">
        <x:f>IF(376&gt;$H$4,"",IF(INDEX('Fleet dates'!$D$9:$D$1008,$I384-8)="","",INDEX('Fleet dates'!$D$9:$D$1008,$I384-8)))</x:f>
      </x:c>
      <x:c r="E384" s="51" t="str">
        <x:f>IF(376&gt;$H$4,"",IF(INDEX('Fleet dates'!$E$9:$E$1008,$I384-8)="","",INDEX('Fleet dates'!$E$9:$E$1008,$I384-8)))</x:f>
      </x:c>
      <x:c r="F384" s="51" t="str">
        <x:f>IF(376&gt;$H$4,"",IF(INDEX('Fleet dates'!$F$9:$F$1008,$I384-8)="","",INDEX('Fleet dates'!$F$9:$F$1008,$I384-8)))</x:f>
      </x:c>
      <x:c r="G384" s="50" t="str">
        <x:f>IF(376&gt;$H$4,"",IF(INDEX('Fleet dates'!$G$9:$G$1008,$I384-8)="","",INDEX('Fleet dates'!$G$9:$G$1008,$I384-8)))</x:f>
      </x:c>
      <x:c r="H384" s="50" t="str">
        <x:f>IF(376&gt;$H$4,"",IF(INDEX('Fleet dates'!$I$9:$I$1008,$I384-8)="","",INDEX('Fleet dates'!$I$9:$I$1008,$I384-8)))</x:f>
      </x:c>
      <x:c r="I384" t="str">
        <x:f>IF(376&gt;$H$4,"",MATCH(376,'Fleet dates'!$N$9:$N$1008,0)+8)</x:f>
      </x:c>
    </x:row>
    <x:row r="385" ht="36" customHeight="1">
      <x:c r="A385" s="50" t="str">
        <x:f>IF(377&gt;$H$4,"",IF(INDEX('Fleet dates'!$A$9:$A$1008,$I385-8)="","",INDEX('Fleet dates'!$A$9:$A$1008,$I385-8)))</x:f>
      </x:c>
      <x:c r="B385" s="50" t="str">
        <x:f>IF(377&gt;$H$4,"",IF(INDEX('Fleet dates'!$B$9:$B$1008,$I385-8)="","",INDEX('Fleet dates'!$B$9:$B$1008,$I385-8)))</x:f>
      </x:c>
      <x:c r="C385" s="51" t="str">
        <x:f>IF(377&gt;$H$4,"",IF(INDEX('Fleet dates'!$C$9:$C$1008,$I385-8)="","",INDEX('Fleet dates'!$C$9:$C$1008,$I385-8)))</x:f>
      </x:c>
      <x:c r="D385" s="51" t="str">
        <x:f>IF(377&gt;$H$4,"",IF(INDEX('Fleet dates'!$D$9:$D$1008,$I385-8)="","",INDEX('Fleet dates'!$D$9:$D$1008,$I385-8)))</x:f>
      </x:c>
      <x:c r="E385" s="51" t="str">
        <x:f>IF(377&gt;$H$4,"",IF(INDEX('Fleet dates'!$E$9:$E$1008,$I385-8)="","",INDEX('Fleet dates'!$E$9:$E$1008,$I385-8)))</x:f>
      </x:c>
      <x:c r="F385" s="51" t="str">
        <x:f>IF(377&gt;$H$4,"",IF(INDEX('Fleet dates'!$F$9:$F$1008,$I385-8)="","",INDEX('Fleet dates'!$F$9:$F$1008,$I385-8)))</x:f>
      </x:c>
      <x:c r="G385" s="50" t="str">
        <x:f>IF(377&gt;$H$4,"",IF(INDEX('Fleet dates'!$G$9:$G$1008,$I385-8)="","",INDEX('Fleet dates'!$G$9:$G$1008,$I385-8)))</x:f>
      </x:c>
      <x:c r="H385" s="50" t="str">
        <x:f>IF(377&gt;$H$4,"",IF(INDEX('Fleet dates'!$I$9:$I$1008,$I385-8)="","",INDEX('Fleet dates'!$I$9:$I$1008,$I385-8)))</x:f>
      </x:c>
      <x:c r="I385" t="str">
        <x:f>IF(377&gt;$H$4,"",MATCH(377,'Fleet dates'!$N$9:$N$1008,0)+8)</x:f>
      </x:c>
    </x:row>
    <x:row r="386" ht="36" customHeight="1">
      <x:c r="A386" s="50" t="str">
        <x:f>IF(378&gt;$H$4,"",IF(INDEX('Fleet dates'!$A$9:$A$1008,$I386-8)="","",INDEX('Fleet dates'!$A$9:$A$1008,$I386-8)))</x:f>
      </x:c>
      <x:c r="B386" s="50" t="str">
        <x:f>IF(378&gt;$H$4,"",IF(INDEX('Fleet dates'!$B$9:$B$1008,$I386-8)="","",INDEX('Fleet dates'!$B$9:$B$1008,$I386-8)))</x:f>
      </x:c>
      <x:c r="C386" s="51" t="str">
        <x:f>IF(378&gt;$H$4,"",IF(INDEX('Fleet dates'!$C$9:$C$1008,$I386-8)="","",INDEX('Fleet dates'!$C$9:$C$1008,$I386-8)))</x:f>
      </x:c>
      <x:c r="D386" s="51" t="str">
        <x:f>IF(378&gt;$H$4,"",IF(INDEX('Fleet dates'!$D$9:$D$1008,$I386-8)="","",INDEX('Fleet dates'!$D$9:$D$1008,$I386-8)))</x:f>
      </x:c>
      <x:c r="E386" s="51" t="str">
        <x:f>IF(378&gt;$H$4,"",IF(INDEX('Fleet dates'!$E$9:$E$1008,$I386-8)="","",INDEX('Fleet dates'!$E$9:$E$1008,$I386-8)))</x:f>
      </x:c>
      <x:c r="F386" s="51" t="str">
        <x:f>IF(378&gt;$H$4,"",IF(INDEX('Fleet dates'!$F$9:$F$1008,$I386-8)="","",INDEX('Fleet dates'!$F$9:$F$1008,$I386-8)))</x:f>
      </x:c>
      <x:c r="G386" s="50" t="str">
        <x:f>IF(378&gt;$H$4,"",IF(INDEX('Fleet dates'!$G$9:$G$1008,$I386-8)="","",INDEX('Fleet dates'!$G$9:$G$1008,$I386-8)))</x:f>
      </x:c>
      <x:c r="H386" s="50" t="str">
        <x:f>IF(378&gt;$H$4,"",IF(INDEX('Fleet dates'!$I$9:$I$1008,$I386-8)="","",INDEX('Fleet dates'!$I$9:$I$1008,$I386-8)))</x:f>
      </x:c>
      <x:c r="I386" t="str">
        <x:f>IF(378&gt;$H$4,"",MATCH(378,'Fleet dates'!$N$9:$N$1008,0)+8)</x:f>
      </x:c>
    </x:row>
    <x:row r="387" ht="36" customHeight="1">
      <x:c r="A387" s="50" t="str">
        <x:f>IF(379&gt;$H$4,"",IF(INDEX('Fleet dates'!$A$9:$A$1008,$I387-8)="","",INDEX('Fleet dates'!$A$9:$A$1008,$I387-8)))</x:f>
      </x:c>
      <x:c r="B387" s="50" t="str">
        <x:f>IF(379&gt;$H$4,"",IF(INDEX('Fleet dates'!$B$9:$B$1008,$I387-8)="","",INDEX('Fleet dates'!$B$9:$B$1008,$I387-8)))</x:f>
      </x:c>
      <x:c r="C387" s="51" t="str">
        <x:f>IF(379&gt;$H$4,"",IF(INDEX('Fleet dates'!$C$9:$C$1008,$I387-8)="","",INDEX('Fleet dates'!$C$9:$C$1008,$I387-8)))</x:f>
      </x:c>
      <x:c r="D387" s="51" t="str">
        <x:f>IF(379&gt;$H$4,"",IF(INDEX('Fleet dates'!$D$9:$D$1008,$I387-8)="","",INDEX('Fleet dates'!$D$9:$D$1008,$I387-8)))</x:f>
      </x:c>
      <x:c r="E387" s="51" t="str">
        <x:f>IF(379&gt;$H$4,"",IF(INDEX('Fleet dates'!$E$9:$E$1008,$I387-8)="","",INDEX('Fleet dates'!$E$9:$E$1008,$I387-8)))</x:f>
      </x:c>
      <x:c r="F387" s="51" t="str">
        <x:f>IF(379&gt;$H$4,"",IF(INDEX('Fleet dates'!$F$9:$F$1008,$I387-8)="","",INDEX('Fleet dates'!$F$9:$F$1008,$I387-8)))</x:f>
      </x:c>
      <x:c r="G387" s="50" t="str">
        <x:f>IF(379&gt;$H$4,"",IF(INDEX('Fleet dates'!$G$9:$G$1008,$I387-8)="","",INDEX('Fleet dates'!$G$9:$G$1008,$I387-8)))</x:f>
      </x:c>
      <x:c r="H387" s="50" t="str">
        <x:f>IF(379&gt;$H$4,"",IF(INDEX('Fleet dates'!$I$9:$I$1008,$I387-8)="","",INDEX('Fleet dates'!$I$9:$I$1008,$I387-8)))</x:f>
      </x:c>
      <x:c r="I387" t="str">
        <x:f>IF(379&gt;$H$4,"",MATCH(379,'Fleet dates'!$N$9:$N$1008,0)+8)</x:f>
      </x:c>
    </x:row>
    <x:row r="388" ht="36" customHeight="1">
      <x:c r="A388" s="50" t="str">
        <x:f>IF(380&gt;$H$4,"",IF(INDEX('Fleet dates'!$A$9:$A$1008,$I388-8)="","",INDEX('Fleet dates'!$A$9:$A$1008,$I388-8)))</x:f>
      </x:c>
      <x:c r="B388" s="50" t="str">
        <x:f>IF(380&gt;$H$4,"",IF(INDEX('Fleet dates'!$B$9:$B$1008,$I388-8)="","",INDEX('Fleet dates'!$B$9:$B$1008,$I388-8)))</x:f>
      </x:c>
      <x:c r="C388" s="51" t="str">
        <x:f>IF(380&gt;$H$4,"",IF(INDEX('Fleet dates'!$C$9:$C$1008,$I388-8)="","",INDEX('Fleet dates'!$C$9:$C$1008,$I388-8)))</x:f>
      </x:c>
      <x:c r="D388" s="51" t="str">
        <x:f>IF(380&gt;$H$4,"",IF(INDEX('Fleet dates'!$D$9:$D$1008,$I388-8)="","",INDEX('Fleet dates'!$D$9:$D$1008,$I388-8)))</x:f>
      </x:c>
      <x:c r="E388" s="51" t="str">
        <x:f>IF(380&gt;$H$4,"",IF(INDEX('Fleet dates'!$E$9:$E$1008,$I388-8)="","",INDEX('Fleet dates'!$E$9:$E$1008,$I388-8)))</x:f>
      </x:c>
      <x:c r="F388" s="51" t="str">
        <x:f>IF(380&gt;$H$4,"",IF(INDEX('Fleet dates'!$F$9:$F$1008,$I388-8)="","",INDEX('Fleet dates'!$F$9:$F$1008,$I388-8)))</x:f>
      </x:c>
      <x:c r="G388" s="50" t="str">
        <x:f>IF(380&gt;$H$4,"",IF(INDEX('Fleet dates'!$G$9:$G$1008,$I388-8)="","",INDEX('Fleet dates'!$G$9:$G$1008,$I388-8)))</x:f>
      </x:c>
      <x:c r="H388" s="50" t="str">
        <x:f>IF(380&gt;$H$4,"",IF(INDEX('Fleet dates'!$I$9:$I$1008,$I388-8)="","",INDEX('Fleet dates'!$I$9:$I$1008,$I388-8)))</x:f>
      </x:c>
      <x:c r="I388" t="str">
        <x:f>IF(380&gt;$H$4,"",MATCH(380,'Fleet dates'!$N$9:$N$1008,0)+8)</x:f>
      </x:c>
    </x:row>
    <x:row r="389" ht="36" customHeight="1">
      <x:c r="A389" s="50" t="str">
        <x:f>IF(381&gt;$H$4,"",IF(INDEX('Fleet dates'!$A$9:$A$1008,$I389-8)="","",INDEX('Fleet dates'!$A$9:$A$1008,$I389-8)))</x:f>
      </x:c>
      <x:c r="B389" s="50" t="str">
        <x:f>IF(381&gt;$H$4,"",IF(INDEX('Fleet dates'!$B$9:$B$1008,$I389-8)="","",INDEX('Fleet dates'!$B$9:$B$1008,$I389-8)))</x:f>
      </x:c>
      <x:c r="C389" s="51" t="str">
        <x:f>IF(381&gt;$H$4,"",IF(INDEX('Fleet dates'!$C$9:$C$1008,$I389-8)="","",INDEX('Fleet dates'!$C$9:$C$1008,$I389-8)))</x:f>
      </x:c>
      <x:c r="D389" s="51" t="str">
        <x:f>IF(381&gt;$H$4,"",IF(INDEX('Fleet dates'!$D$9:$D$1008,$I389-8)="","",INDEX('Fleet dates'!$D$9:$D$1008,$I389-8)))</x:f>
      </x:c>
      <x:c r="E389" s="51" t="str">
        <x:f>IF(381&gt;$H$4,"",IF(INDEX('Fleet dates'!$E$9:$E$1008,$I389-8)="","",INDEX('Fleet dates'!$E$9:$E$1008,$I389-8)))</x:f>
      </x:c>
      <x:c r="F389" s="51" t="str">
        <x:f>IF(381&gt;$H$4,"",IF(INDEX('Fleet dates'!$F$9:$F$1008,$I389-8)="","",INDEX('Fleet dates'!$F$9:$F$1008,$I389-8)))</x:f>
      </x:c>
      <x:c r="G389" s="50" t="str">
        <x:f>IF(381&gt;$H$4,"",IF(INDEX('Fleet dates'!$G$9:$G$1008,$I389-8)="","",INDEX('Fleet dates'!$G$9:$G$1008,$I389-8)))</x:f>
      </x:c>
      <x:c r="H389" s="50" t="str">
        <x:f>IF(381&gt;$H$4,"",IF(INDEX('Fleet dates'!$I$9:$I$1008,$I389-8)="","",INDEX('Fleet dates'!$I$9:$I$1008,$I389-8)))</x:f>
      </x:c>
      <x:c r="I389" t="str">
        <x:f>IF(381&gt;$H$4,"",MATCH(381,'Fleet dates'!$N$9:$N$1008,0)+8)</x:f>
      </x:c>
    </x:row>
    <x:row r="390" ht="36" customHeight="1">
      <x:c r="A390" s="50" t="str">
        <x:f>IF(382&gt;$H$4,"",IF(INDEX('Fleet dates'!$A$9:$A$1008,$I390-8)="","",INDEX('Fleet dates'!$A$9:$A$1008,$I390-8)))</x:f>
      </x:c>
      <x:c r="B390" s="50" t="str">
        <x:f>IF(382&gt;$H$4,"",IF(INDEX('Fleet dates'!$B$9:$B$1008,$I390-8)="","",INDEX('Fleet dates'!$B$9:$B$1008,$I390-8)))</x:f>
      </x:c>
      <x:c r="C390" s="51" t="str">
        <x:f>IF(382&gt;$H$4,"",IF(INDEX('Fleet dates'!$C$9:$C$1008,$I390-8)="","",INDEX('Fleet dates'!$C$9:$C$1008,$I390-8)))</x:f>
      </x:c>
      <x:c r="D390" s="51" t="str">
        <x:f>IF(382&gt;$H$4,"",IF(INDEX('Fleet dates'!$D$9:$D$1008,$I390-8)="","",INDEX('Fleet dates'!$D$9:$D$1008,$I390-8)))</x:f>
      </x:c>
      <x:c r="E390" s="51" t="str">
        <x:f>IF(382&gt;$H$4,"",IF(INDEX('Fleet dates'!$E$9:$E$1008,$I390-8)="","",INDEX('Fleet dates'!$E$9:$E$1008,$I390-8)))</x:f>
      </x:c>
      <x:c r="F390" s="51" t="str">
        <x:f>IF(382&gt;$H$4,"",IF(INDEX('Fleet dates'!$F$9:$F$1008,$I390-8)="","",INDEX('Fleet dates'!$F$9:$F$1008,$I390-8)))</x:f>
      </x:c>
      <x:c r="G390" s="50" t="str">
        <x:f>IF(382&gt;$H$4,"",IF(INDEX('Fleet dates'!$G$9:$G$1008,$I390-8)="","",INDEX('Fleet dates'!$G$9:$G$1008,$I390-8)))</x:f>
      </x:c>
      <x:c r="H390" s="50" t="str">
        <x:f>IF(382&gt;$H$4,"",IF(INDEX('Fleet dates'!$I$9:$I$1008,$I390-8)="","",INDEX('Fleet dates'!$I$9:$I$1008,$I390-8)))</x:f>
      </x:c>
      <x:c r="I390" t="str">
        <x:f>IF(382&gt;$H$4,"",MATCH(382,'Fleet dates'!$N$9:$N$1008,0)+8)</x:f>
      </x:c>
    </x:row>
    <x:row r="391" ht="36" customHeight="1">
      <x:c r="A391" s="50" t="str">
        <x:f>IF(383&gt;$H$4,"",IF(INDEX('Fleet dates'!$A$9:$A$1008,$I391-8)="","",INDEX('Fleet dates'!$A$9:$A$1008,$I391-8)))</x:f>
      </x:c>
      <x:c r="B391" s="50" t="str">
        <x:f>IF(383&gt;$H$4,"",IF(INDEX('Fleet dates'!$B$9:$B$1008,$I391-8)="","",INDEX('Fleet dates'!$B$9:$B$1008,$I391-8)))</x:f>
      </x:c>
      <x:c r="C391" s="51" t="str">
        <x:f>IF(383&gt;$H$4,"",IF(INDEX('Fleet dates'!$C$9:$C$1008,$I391-8)="","",INDEX('Fleet dates'!$C$9:$C$1008,$I391-8)))</x:f>
      </x:c>
      <x:c r="D391" s="51" t="str">
        <x:f>IF(383&gt;$H$4,"",IF(INDEX('Fleet dates'!$D$9:$D$1008,$I391-8)="","",INDEX('Fleet dates'!$D$9:$D$1008,$I391-8)))</x:f>
      </x:c>
      <x:c r="E391" s="51" t="str">
        <x:f>IF(383&gt;$H$4,"",IF(INDEX('Fleet dates'!$E$9:$E$1008,$I391-8)="","",INDEX('Fleet dates'!$E$9:$E$1008,$I391-8)))</x:f>
      </x:c>
      <x:c r="F391" s="51" t="str">
        <x:f>IF(383&gt;$H$4,"",IF(INDEX('Fleet dates'!$F$9:$F$1008,$I391-8)="","",INDEX('Fleet dates'!$F$9:$F$1008,$I391-8)))</x:f>
      </x:c>
      <x:c r="G391" s="50" t="str">
        <x:f>IF(383&gt;$H$4,"",IF(INDEX('Fleet dates'!$G$9:$G$1008,$I391-8)="","",INDEX('Fleet dates'!$G$9:$G$1008,$I391-8)))</x:f>
      </x:c>
      <x:c r="H391" s="50" t="str">
        <x:f>IF(383&gt;$H$4,"",IF(INDEX('Fleet dates'!$I$9:$I$1008,$I391-8)="","",INDEX('Fleet dates'!$I$9:$I$1008,$I391-8)))</x:f>
      </x:c>
      <x:c r="I391" t="str">
        <x:f>IF(383&gt;$H$4,"",MATCH(383,'Fleet dates'!$N$9:$N$1008,0)+8)</x:f>
      </x:c>
    </x:row>
    <x:row r="392" ht="36" customHeight="1">
      <x:c r="A392" s="50" t="str">
        <x:f>IF(384&gt;$H$4,"",IF(INDEX('Fleet dates'!$A$9:$A$1008,$I392-8)="","",INDEX('Fleet dates'!$A$9:$A$1008,$I392-8)))</x:f>
      </x:c>
      <x:c r="B392" s="50" t="str">
        <x:f>IF(384&gt;$H$4,"",IF(INDEX('Fleet dates'!$B$9:$B$1008,$I392-8)="","",INDEX('Fleet dates'!$B$9:$B$1008,$I392-8)))</x:f>
      </x:c>
      <x:c r="C392" s="51" t="str">
        <x:f>IF(384&gt;$H$4,"",IF(INDEX('Fleet dates'!$C$9:$C$1008,$I392-8)="","",INDEX('Fleet dates'!$C$9:$C$1008,$I392-8)))</x:f>
      </x:c>
      <x:c r="D392" s="51" t="str">
        <x:f>IF(384&gt;$H$4,"",IF(INDEX('Fleet dates'!$D$9:$D$1008,$I392-8)="","",INDEX('Fleet dates'!$D$9:$D$1008,$I392-8)))</x:f>
      </x:c>
      <x:c r="E392" s="51" t="str">
        <x:f>IF(384&gt;$H$4,"",IF(INDEX('Fleet dates'!$E$9:$E$1008,$I392-8)="","",INDEX('Fleet dates'!$E$9:$E$1008,$I392-8)))</x:f>
      </x:c>
      <x:c r="F392" s="51" t="str">
        <x:f>IF(384&gt;$H$4,"",IF(INDEX('Fleet dates'!$F$9:$F$1008,$I392-8)="","",INDEX('Fleet dates'!$F$9:$F$1008,$I392-8)))</x:f>
      </x:c>
      <x:c r="G392" s="50" t="str">
        <x:f>IF(384&gt;$H$4,"",IF(INDEX('Fleet dates'!$G$9:$G$1008,$I392-8)="","",INDEX('Fleet dates'!$G$9:$G$1008,$I392-8)))</x:f>
      </x:c>
      <x:c r="H392" s="50" t="str">
        <x:f>IF(384&gt;$H$4,"",IF(INDEX('Fleet dates'!$I$9:$I$1008,$I392-8)="","",INDEX('Fleet dates'!$I$9:$I$1008,$I392-8)))</x:f>
      </x:c>
      <x:c r="I392" t="str">
        <x:f>IF(384&gt;$H$4,"",MATCH(384,'Fleet dates'!$N$9:$N$1008,0)+8)</x:f>
      </x:c>
    </x:row>
    <x:row r="393" ht="36" customHeight="1">
      <x:c r="A393" s="50" t="str">
        <x:f>IF(385&gt;$H$4,"",IF(INDEX('Fleet dates'!$A$9:$A$1008,$I393-8)="","",INDEX('Fleet dates'!$A$9:$A$1008,$I393-8)))</x:f>
      </x:c>
      <x:c r="B393" s="50" t="str">
        <x:f>IF(385&gt;$H$4,"",IF(INDEX('Fleet dates'!$B$9:$B$1008,$I393-8)="","",INDEX('Fleet dates'!$B$9:$B$1008,$I393-8)))</x:f>
      </x:c>
      <x:c r="C393" s="51" t="str">
        <x:f>IF(385&gt;$H$4,"",IF(INDEX('Fleet dates'!$C$9:$C$1008,$I393-8)="","",INDEX('Fleet dates'!$C$9:$C$1008,$I393-8)))</x:f>
      </x:c>
      <x:c r="D393" s="51" t="str">
        <x:f>IF(385&gt;$H$4,"",IF(INDEX('Fleet dates'!$D$9:$D$1008,$I393-8)="","",INDEX('Fleet dates'!$D$9:$D$1008,$I393-8)))</x:f>
      </x:c>
      <x:c r="E393" s="51" t="str">
        <x:f>IF(385&gt;$H$4,"",IF(INDEX('Fleet dates'!$E$9:$E$1008,$I393-8)="","",INDEX('Fleet dates'!$E$9:$E$1008,$I393-8)))</x:f>
      </x:c>
      <x:c r="F393" s="51" t="str">
        <x:f>IF(385&gt;$H$4,"",IF(INDEX('Fleet dates'!$F$9:$F$1008,$I393-8)="","",INDEX('Fleet dates'!$F$9:$F$1008,$I393-8)))</x:f>
      </x:c>
      <x:c r="G393" s="50" t="str">
        <x:f>IF(385&gt;$H$4,"",IF(INDEX('Fleet dates'!$G$9:$G$1008,$I393-8)="","",INDEX('Fleet dates'!$G$9:$G$1008,$I393-8)))</x:f>
      </x:c>
      <x:c r="H393" s="50" t="str">
        <x:f>IF(385&gt;$H$4,"",IF(INDEX('Fleet dates'!$I$9:$I$1008,$I393-8)="","",INDEX('Fleet dates'!$I$9:$I$1008,$I393-8)))</x:f>
      </x:c>
      <x:c r="I393" t="str">
        <x:f>IF(385&gt;$H$4,"",MATCH(385,'Fleet dates'!$N$9:$N$1008,0)+8)</x:f>
      </x:c>
    </x:row>
    <x:row r="394" ht="36" customHeight="1">
      <x:c r="A394" s="50" t="str">
        <x:f>IF(386&gt;$H$4,"",IF(INDEX('Fleet dates'!$A$9:$A$1008,$I394-8)="","",INDEX('Fleet dates'!$A$9:$A$1008,$I394-8)))</x:f>
      </x:c>
      <x:c r="B394" s="50" t="str">
        <x:f>IF(386&gt;$H$4,"",IF(INDEX('Fleet dates'!$B$9:$B$1008,$I394-8)="","",INDEX('Fleet dates'!$B$9:$B$1008,$I394-8)))</x:f>
      </x:c>
      <x:c r="C394" s="51" t="str">
        <x:f>IF(386&gt;$H$4,"",IF(INDEX('Fleet dates'!$C$9:$C$1008,$I394-8)="","",INDEX('Fleet dates'!$C$9:$C$1008,$I394-8)))</x:f>
      </x:c>
      <x:c r="D394" s="51" t="str">
        <x:f>IF(386&gt;$H$4,"",IF(INDEX('Fleet dates'!$D$9:$D$1008,$I394-8)="","",INDEX('Fleet dates'!$D$9:$D$1008,$I394-8)))</x:f>
      </x:c>
      <x:c r="E394" s="51" t="str">
        <x:f>IF(386&gt;$H$4,"",IF(INDEX('Fleet dates'!$E$9:$E$1008,$I394-8)="","",INDEX('Fleet dates'!$E$9:$E$1008,$I394-8)))</x:f>
      </x:c>
      <x:c r="F394" s="51" t="str">
        <x:f>IF(386&gt;$H$4,"",IF(INDEX('Fleet dates'!$F$9:$F$1008,$I394-8)="","",INDEX('Fleet dates'!$F$9:$F$1008,$I394-8)))</x:f>
      </x:c>
      <x:c r="G394" s="50" t="str">
        <x:f>IF(386&gt;$H$4,"",IF(INDEX('Fleet dates'!$G$9:$G$1008,$I394-8)="","",INDEX('Fleet dates'!$G$9:$G$1008,$I394-8)))</x:f>
      </x:c>
      <x:c r="H394" s="50" t="str">
        <x:f>IF(386&gt;$H$4,"",IF(INDEX('Fleet dates'!$I$9:$I$1008,$I394-8)="","",INDEX('Fleet dates'!$I$9:$I$1008,$I394-8)))</x:f>
      </x:c>
      <x:c r="I394" t="str">
        <x:f>IF(386&gt;$H$4,"",MATCH(386,'Fleet dates'!$N$9:$N$1008,0)+8)</x:f>
      </x:c>
    </x:row>
    <x:row r="395" ht="36" customHeight="1">
      <x:c r="A395" s="50" t="str">
        <x:f>IF(387&gt;$H$4,"",IF(INDEX('Fleet dates'!$A$9:$A$1008,$I395-8)="","",INDEX('Fleet dates'!$A$9:$A$1008,$I395-8)))</x:f>
      </x:c>
      <x:c r="B395" s="50" t="str">
        <x:f>IF(387&gt;$H$4,"",IF(INDEX('Fleet dates'!$B$9:$B$1008,$I395-8)="","",INDEX('Fleet dates'!$B$9:$B$1008,$I395-8)))</x:f>
      </x:c>
      <x:c r="C395" s="51" t="str">
        <x:f>IF(387&gt;$H$4,"",IF(INDEX('Fleet dates'!$C$9:$C$1008,$I395-8)="","",INDEX('Fleet dates'!$C$9:$C$1008,$I395-8)))</x:f>
      </x:c>
      <x:c r="D395" s="51" t="str">
        <x:f>IF(387&gt;$H$4,"",IF(INDEX('Fleet dates'!$D$9:$D$1008,$I395-8)="","",INDEX('Fleet dates'!$D$9:$D$1008,$I395-8)))</x:f>
      </x:c>
      <x:c r="E395" s="51" t="str">
        <x:f>IF(387&gt;$H$4,"",IF(INDEX('Fleet dates'!$E$9:$E$1008,$I395-8)="","",INDEX('Fleet dates'!$E$9:$E$1008,$I395-8)))</x:f>
      </x:c>
      <x:c r="F395" s="51" t="str">
        <x:f>IF(387&gt;$H$4,"",IF(INDEX('Fleet dates'!$F$9:$F$1008,$I395-8)="","",INDEX('Fleet dates'!$F$9:$F$1008,$I395-8)))</x:f>
      </x:c>
      <x:c r="G395" s="50" t="str">
        <x:f>IF(387&gt;$H$4,"",IF(INDEX('Fleet dates'!$G$9:$G$1008,$I395-8)="","",INDEX('Fleet dates'!$G$9:$G$1008,$I395-8)))</x:f>
      </x:c>
      <x:c r="H395" s="50" t="str">
        <x:f>IF(387&gt;$H$4,"",IF(INDEX('Fleet dates'!$I$9:$I$1008,$I395-8)="","",INDEX('Fleet dates'!$I$9:$I$1008,$I395-8)))</x:f>
      </x:c>
      <x:c r="I395" t="str">
        <x:f>IF(387&gt;$H$4,"",MATCH(387,'Fleet dates'!$N$9:$N$1008,0)+8)</x:f>
      </x:c>
    </x:row>
    <x:row r="396" ht="36" customHeight="1">
      <x:c r="A396" s="50" t="str">
        <x:f>IF(388&gt;$H$4,"",IF(INDEX('Fleet dates'!$A$9:$A$1008,$I396-8)="","",INDEX('Fleet dates'!$A$9:$A$1008,$I396-8)))</x:f>
      </x:c>
      <x:c r="B396" s="50" t="str">
        <x:f>IF(388&gt;$H$4,"",IF(INDEX('Fleet dates'!$B$9:$B$1008,$I396-8)="","",INDEX('Fleet dates'!$B$9:$B$1008,$I396-8)))</x:f>
      </x:c>
      <x:c r="C396" s="51" t="str">
        <x:f>IF(388&gt;$H$4,"",IF(INDEX('Fleet dates'!$C$9:$C$1008,$I396-8)="","",INDEX('Fleet dates'!$C$9:$C$1008,$I396-8)))</x:f>
      </x:c>
      <x:c r="D396" s="51" t="str">
        <x:f>IF(388&gt;$H$4,"",IF(INDEX('Fleet dates'!$D$9:$D$1008,$I396-8)="","",INDEX('Fleet dates'!$D$9:$D$1008,$I396-8)))</x:f>
      </x:c>
      <x:c r="E396" s="51" t="str">
        <x:f>IF(388&gt;$H$4,"",IF(INDEX('Fleet dates'!$E$9:$E$1008,$I396-8)="","",INDEX('Fleet dates'!$E$9:$E$1008,$I396-8)))</x:f>
      </x:c>
      <x:c r="F396" s="51" t="str">
        <x:f>IF(388&gt;$H$4,"",IF(INDEX('Fleet dates'!$F$9:$F$1008,$I396-8)="","",INDEX('Fleet dates'!$F$9:$F$1008,$I396-8)))</x:f>
      </x:c>
      <x:c r="G396" s="50" t="str">
        <x:f>IF(388&gt;$H$4,"",IF(INDEX('Fleet dates'!$G$9:$G$1008,$I396-8)="","",INDEX('Fleet dates'!$G$9:$G$1008,$I396-8)))</x:f>
      </x:c>
      <x:c r="H396" s="50" t="str">
        <x:f>IF(388&gt;$H$4,"",IF(INDEX('Fleet dates'!$I$9:$I$1008,$I396-8)="","",INDEX('Fleet dates'!$I$9:$I$1008,$I396-8)))</x:f>
      </x:c>
      <x:c r="I396" t="str">
        <x:f>IF(388&gt;$H$4,"",MATCH(388,'Fleet dates'!$N$9:$N$1008,0)+8)</x:f>
      </x:c>
    </x:row>
    <x:row r="397" ht="36" customHeight="1">
      <x:c r="A397" s="50" t="str">
        <x:f>IF(389&gt;$H$4,"",IF(INDEX('Fleet dates'!$A$9:$A$1008,$I397-8)="","",INDEX('Fleet dates'!$A$9:$A$1008,$I397-8)))</x:f>
      </x:c>
      <x:c r="B397" s="50" t="str">
        <x:f>IF(389&gt;$H$4,"",IF(INDEX('Fleet dates'!$B$9:$B$1008,$I397-8)="","",INDEX('Fleet dates'!$B$9:$B$1008,$I397-8)))</x:f>
      </x:c>
      <x:c r="C397" s="51" t="str">
        <x:f>IF(389&gt;$H$4,"",IF(INDEX('Fleet dates'!$C$9:$C$1008,$I397-8)="","",INDEX('Fleet dates'!$C$9:$C$1008,$I397-8)))</x:f>
      </x:c>
      <x:c r="D397" s="51" t="str">
        <x:f>IF(389&gt;$H$4,"",IF(INDEX('Fleet dates'!$D$9:$D$1008,$I397-8)="","",INDEX('Fleet dates'!$D$9:$D$1008,$I397-8)))</x:f>
      </x:c>
      <x:c r="E397" s="51" t="str">
        <x:f>IF(389&gt;$H$4,"",IF(INDEX('Fleet dates'!$E$9:$E$1008,$I397-8)="","",INDEX('Fleet dates'!$E$9:$E$1008,$I397-8)))</x:f>
      </x:c>
      <x:c r="F397" s="51" t="str">
        <x:f>IF(389&gt;$H$4,"",IF(INDEX('Fleet dates'!$F$9:$F$1008,$I397-8)="","",INDEX('Fleet dates'!$F$9:$F$1008,$I397-8)))</x:f>
      </x:c>
      <x:c r="G397" s="50" t="str">
        <x:f>IF(389&gt;$H$4,"",IF(INDEX('Fleet dates'!$G$9:$G$1008,$I397-8)="","",INDEX('Fleet dates'!$G$9:$G$1008,$I397-8)))</x:f>
      </x:c>
      <x:c r="H397" s="50" t="str">
        <x:f>IF(389&gt;$H$4,"",IF(INDEX('Fleet dates'!$I$9:$I$1008,$I397-8)="","",INDEX('Fleet dates'!$I$9:$I$1008,$I397-8)))</x:f>
      </x:c>
      <x:c r="I397" t="str">
        <x:f>IF(389&gt;$H$4,"",MATCH(389,'Fleet dates'!$N$9:$N$1008,0)+8)</x:f>
      </x:c>
    </x:row>
    <x:row r="398" ht="36" customHeight="1">
      <x:c r="A398" s="50" t="str">
        <x:f>IF(390&gt;$H$4,"",IF(INDEX('Fleet dates'!$A$9:$A$1008,$I398-8)="","",INDEX('Fleet dates'!$A$9:$A$1008,$I398-8)))</x:f>
      </x:c>
      <x:c r="B398" s="50" t="str">
        <x:f>IF(390&gt;$H$4,"",IF(INDEX('Fleet dates'!$B$9:$B$1008,$I398-8)="","",INDEX('Fleet dates'!$B$9:$B$1008,$I398-8)))</x:f>
      </x:c>
      <x:c r="C398" s="51" t="str">
        <x:f>IF(390&gt;$H$4,"",IF(INDEX('Fleet dates'!$C$9:$C$1008,$I398-8)="","",INDEX('Fleet dates'!$C$9:$C$1008,$I398-8)))</x:f>
      </x:c>
      <x:c r="D398" s="51" t="str">
        <x:f>IF(390&gt;$H$4,"",IF(INDEX('Fleet dates'!$D$9:$D$1008,$I398-8)="","",INDEX('Fleet dates'!$D$9:$D$1008,$I398-8)))</x:f>
      </x:c>
      <x:c r="E398" s="51" t="str">
        <x:f>IF(390&gt;$H$4,"",IF(INDEX('Fleet dates'!$E$9:$E$1008,$I398-8)="","",INDEX('Fleet dates'!$E$9:$E$1008,$I398-8)))</x:f>
      </x:c>
      <x:c r="F398" s="51" t="str">
        <x:f>IF(390&gt;$H$4,"",IF(INDEX('Fleet dates'!$F$9:$F$1008,$I398-8)="","",INDEX('Fleet dates'!$F$9:$F$1008,$I398-8)))</x:f>
      </x:c>
      <x:c r="G398" s="50" t="str">
        <x:f>IF(390&gt;$H$4,"",IF(INDEX('Fleet dates'!$G$9:$G$1008,$I398-8)="","",INDEX('Fleet dates'!$G$9:$G$1008,$I398-8)))</x:f>
      </x:c>
      <x:c r="H398" s="50" t="str">
        <x:f>IF(390&gt;$H$4,"",IF(INDEX('Fleet dates'!$I$9:$I$1008,$I398-8)="","",INDEX('Fleet dates'!$I$9:$I$1008,$I398-8)))</x:f>
      </x:c>
      <x:c r="I398" t="str">
        <x:f>IF(390&gt;$H$4,"",MATCH(390,'Fleet dates'!$N$9:$N$1008,0)+8)</x:f>
      </x:c>
    </x:row>
    <x:row r="399" ht="36" customHeight="1">
      <x:c r="A399" s="50" t="str">
        <x:f>IF(391&gt;$H$4,"",IF(INDEX('Fleet dates'!$A$9:$A$1008,$I399-8)="","",INDEX('Fleet dates'!$A$9:$A$1008,$I399-8)))</x:f>
      </x:c>
      <x:c r="B399" s="50" t="str">
        <x:f>IF(391&gt;$H$4,"",IF(INDEX('Fleet dates'!$B$9:$B$1008,$I399-8)="","",INDEX('Fleet dates'!$B$9:$B$1008,$I399-8)))</x:f>
      </x:c>
      <x:c r="C399" s="51" t="str">
        <x:f>IF(391&gt;$H$4,"",IF(INDEX('Fleet dates'!$C$9:$C$1008,$I399-8)="","",INDEX('Fleet dates'!$C$9:$C$1008,$I399-8)))</x:f>
      </x:c>
      <x:c r="D399" s="51" t="str">
        <x:f>IF(391&gt;$H$4,"",IF(INDEX('Fleet dates'!$D$9:$D$1008,$I399-8)="","",INDEX('Fleet dates'!$D$9:$D$1008,$I399-8)))</x:f>
      </x:c>
      <x:c r="E399" s="51" t="str">
        <x:f>IF(391&gt;$H$4,"",IF(INDEX('Fleet dates'!$E$9:$E$1008,$I399-8)="","",INDEX('Fleet dates'!$E$9:$E$1008,$I399-8)))</x:f>
      </x:c>
      <x:c r="F399" s="51" t="str">
        <x:f>IF(391&gt;$H$4,"",IF(INDEX('Fleet dates'!$F$9:$F$1008,$I399-8)="","",INDEX('Fleet dates'!$F$9:$F$1008,$I399-8)))</x:f>
      </x:c>
      <x:c r="G399" s="50" t="str">
        <x:f>IF(391&gt;$H$4,"",IF(INDEX('Fleet dates'!$G$9:$G$1008,$I399-8)="","",INDEX('Fleet dates'!$G$9:$G$1008,$I399-8)))</x:f>
      </x:c>
      <x:c r="H399" s="50" t="str">
        <x:f>IF(391&gt;$H$4,"",IF(INDEX('Fleet dates'!$I$9:$I$1008,$I399-8)="","",INDEX('Fleet dates'!$I$9:$I$1008,$I399-8)))</x:f>
      </x:c>
      <x:c r="I399" t="str">
        <x:f>IF(391&gt;$H$4,"",MATCH(391,'Fleet dates'!$N$9:$N$1008,0)+8)</x:f>
      </x:c>
    </x:row>
    <x:row r="400" ht="36" customHeight="1">
      <x:c r="A400" s="50" t="str">
        <x:f>IF(392&gt;$H$4,"",IF(INDEX('Fleet dates'!$A$9:$A$1008,$I400-8)="","",INDEX('Fleet dates'!$A$9:$A$1008,$I400-8)))</x:f>
      </x:c>
      <x:c r="B400" s="50" t="str">
        <x:f>IF(392&gt;$H$4,"",IF(INDEX('Fleet dates'!$B$9:$B$1008,$I400-8)="","",INDEX('Fleet dates'!$B$9:$B$1008,$I400-8)))</x:f>
      </x:c>
      <x:c r="C400" s="51" t="str">
        <x:f>IF(392&gt;$H$4,"",IF(INDEX('Fleet dates'!$C$9:$C$1008,$I400-8)="","",INDEX('Fleet dates'!$C$9:$C$1008,$I400-8)))</x:f>
      </x:c>
      <x:c r="D400" s="51" t="str">
        <x:f>IF(392&gt;$H$4,"",IF(INDEX('Fleet dates'!$D$9:$D$1008,$I400-8)="","",INDEX('Fleet dates'!$D$9:$D$1008,$I400-8)))</x:f>
      </x:c>
      <x:c r="E400" s="51" t="str">
        <x:f>IF(392&gt;$H$4,"",IF(INDEX('Fleet dates'!$E$9:$E$1008,$I400-8)="","",INDEX('Fleet dates'!$E$9:$E$1008,$I400-8)))</x:f>
      </x:c>
      <x:c r="F400" s="51" t="str">
        <x:f>IF(392&gt;$H$4,"",IF(INDEX('Fleet dates'!$F$9:$F$1008,$I400-8)="","",INDEX('Fleet dates'!$F$9:$F$1008,$I400-8)))</x:f>
      </x:c>
      <x:c r="G400" s="50" t="str">
        <x:f>IF(392&gt;$H$4,"",IF(INDEX('Fleet dates'!$G$9:$G$1008,$I400-8)="","",INDEX('Fleet dates'!$G$9:$G$1008,$I400-8)))</x:f>
      </x:c>
      <x:c r="H400" s="50" t="str">
        <x:f>IF(392&gt;$H$4,"",IF(INDEX('Fleet dates'!$I$9:$I$1008,$I400-8)="","",INDEX('Fleet dates'!$I$9:$I$1008,$I400-8)))</x:f>
      </x:c>
      <x:c r="I400" t="str">
        <x:f>IF(392&gt;$H$4,"",MATCH(392,'Fleet dates'!$N$9:$N$1008,0)+8)</x:f>
      </x:c>
    </x:row>
    <x:row r="401" ht="36" customHeight="1">
      <x:c r="A401" s="50" t="str">
        <x:f>IF(393&gt;$H$4,"",IF(INDEX('Fleet dates'!$A$9:$A$1008,$I401-8)="","",INDEX('Fleet dates'!$A$9:$A$1008,$I401-8)))</x:f>
      </x:c>
      <x:c r="B401" s="50" t="str">
        <x:f>IF(393&gt;$H$4,"",IF(INDEX('Fleet dates'!$B$9:$B$1008,$I401-8)="","",INDEX('Fleet dates'!$B$9:$B$1008,$I401-8)))</x:f>
      </x:c>
      <x:c r="C401" s="51" t="str">
        <x:f>IF(393&gt;$H$4,"",IF(INDEX('Fleet dates'!$C$9:$C$1008,$I401-8)="","",INDEX('Fleet dates'!$C$9:$C$1008,$I401-8)))</x:f>
      </x:c>
      <x:c r="D401" s="51" t="str">
        <x:f>IF(393&gt;$H$4,"",IF(INDEX('Fleet dates'!$D$9:$D$1008,$I401-8)="","",INDEX('Fleet dates'!$D$9:$D$1008,$I401-8)))</x:f>
      </x:c>
      <x:c r="E401" s="51" t="str">
        <x:f>IF(393&gt;$H$4,"",IF(INDEX('Fleet dates'!$E$9:$E$1008,$I401-8)="","",INDEX('Fleet dates'!$E$9:$E$1008,$I401-8)))</x:f>
      </x:c>
      <x:c r="F401" s="51" t="str">
        <x:f>IF(393&gt;$H$4,"",IF(INDEX('Fleet dates'!$F$9:$F$1008,$I401-8)="","",INDEX('Fleet dates'!$F$9:$F$1008,$I401-8)))</x:f>
      </x:c>
      <x:c r="G401" s="50" t="str">
        <x:f>IF(393&gt;$H$4,"",IF(INDEX('Fleet dates'!$G$9:$G$1008,$I401-8)="","",INDEX('Fleet dates'!$G$9:$G$1008,$I401-8)))</x:f>
      </x:c>
      <x:c r="H401" s="50" t="str">
        <x:f>IF(393&gt;$H$4,"",IF(INDEX('Fleet dates'!$I$9:$I$1008,$I401-8)="","",INDEX('Fleet dates'!$I$9:$I$1008,$I401-8)))</x:f>
      </x:c>
      <x:c r="I401" t="str">
        <x:f>IF(393&gt;$H$4,"",MATCH(393,'Fleet dates'!$N$9:$N$1008,0)+8)</x:f>
      </x:c>
    </x:row>
    <x:row r="402" ht="36" customHeight="1">
      <x:c r="A402" s="50" t="str">
        <x:f>IF(394&gt;$H$4,"",IF(INDEX('Fleet dates'!$A$9:$A$1008,$I402-8)="","",INDEX('Fleet dates'!$A$9:$A$1008,$I402-8)))</x:f>
      </x:c>
      <x:c r="B402" s="50" t="str">
        <x:f>IF(394&gt;$H$4,"",IF(INDEX('Fleet dates'!$B$9:$B$1008,$I402-8)="","",INDEX('Fleet dates'!$B$9:$B$1008,$I402-8)))</x:f>
      </x:c>
      <x:c r="C402" s="51" t="str">
        <x:f>IF(394&gt;$H$4,"",IF(INDEX('Fleet dates'!$C$9:$C$1008,$I402-8)="","",INDEX('Fleet dates'!$C$9:$C$1008,$I402-8)))</x:f>
      </x:c>
      <x:c r="D402" s="51" t="str">
        <x:f>IF(394&gt;$H$4,"",IF(INDEX('Fleet dates'!$D$9:$D$1008,$I402-8)="","",INDEX('Fleet dates'!$D$9:$D$1008,$I402-8)))</x:f>
      </x:c>
      <x:c r="E402" s="51" t="str">
        <x:f>IF(394&gt;$H$4,"",IF(INDEX('Fleet dates'!$E$9:$E$1008,$I402-8)="","",INDEX('Fleet dates'!$E$9:$E$1008,$I402-8)))</x:f>
      </x:c>
      <x:c r="F402" s="51" t="str">
        <x:f>IF(394&gt;$H$4,"",IF(INDEX('Fleet dates'!$F$9:$F$1008,$I402-8)="","",INDEX('Fleet dates'!$F$9:$F$1008,$I402-8)))</x:f>
      </x:c>
      <x:c r="G402" s="50" t="str">
        <x:f>IF(394&gt;$H$4,"",IF(INDEX('Fleet dates'!$G$9:$G$1008,$I402-8)="","",INDEX('Fleet dates'!$G$9:$G$1008,$I402-8)))</x:f>
      </x:c>
      <x:c r="H402" s="50" t="str">
        <x:f>IF(394&gt;$H$4,"",IF(INDEX('Fleet dates'!$I$9:$I$1008,$I402-8)="","",INDEX('Fleet dates'!$I$9:$I$1008,$I402-8)))</x:f>
      </x:c>
      <x:c r="I402" t="str">
        <x:f>IF(394&gt;$H$4,"",MATCH(394,'Fleet dates'!$N$9:$N$1008,0)+8)</x:f>
      </x:c>
    </x:row>
    <x:row r="403" ht="36" customHeight="1">
      <x:c r="A403" s="50" t="str">
        <x:f>IF(395&gt;$H$4,"",IF(INDEX('Fleet dates'!$A$9:$A$1008,$I403-8)="","",INDEX('Fleet dates'!$A$9:$A$1008,$I403-8)))</x:f>
      </x:c>
      <x:c r="B403" s="50" t="str">
        <x:f>IF(395&gt;$H$4,"",IF(INDEX('Fleet dates'!$B$9:$B$1008,$I403-8)="","",INDEX('Fleet dates'!$B$9:$B$1008,$I403-8)))</x:f>
      </x:c>
      <x:c r="C403" s="51" t="str">
        <x:f>IF(395&gt;$H$4,"",IF(INDEX('Fleet dates'!$C$9:$C$1008,$I403-8)="","",INDEX('Fleet dates'!$C$9:$C$1008,$I403-8)))</x:f>
      </x:c>
      <x:c r="D403" s="51" t="str">
        <x:f>IF(395&gt;$H$4,"",IF(INDEX('Fleet dates'!$D$9:$D$1008,$I403-8)="","",INDEX('Fleet dates'!$D$9:$D$1008,$I403-8)))</x:f>
      </x:c>
      <x:c r="E403" s="51" t="str">
        <x:f>IF(395&gt;$H$4,"",IF(INDEX('Fleet dates'!$E$9:$E$1008,$I403-8)="","",INDEX('Fleet dates'!$E$9:$E$1008,$I403-8)))</x:f>
      </x:c>
      <x:c r="F403" s="51" t="str">
        <x:f>IF(395&gt;$H$4,"",IF(INDEX('Fleet dates'!$F$9:$F$1008,$I403-8)="","",INDEX('Fleet dates'!$F$9:$F$1008,$I403-8)))</x:f>
      </x:c>
      <x:c r="G403" s="50" t="str">
        <x:f>IF(395&gt;$H$4,"",IF(INDEX('Fleet dates'!$G$9:$G$1008,$I403-8)="","",INDEX('Fleet dates'!$G$9:$G$1008,$I403-8)))</x:f>
      </x:c>
      <x:c r="H403" s="50" t="str">
        <x:f>IF(395&gt;$H$4,"",IF(INDEX('Fleet dates'!$I$9:$I$1008,$I403-8)="","",INDEX('Fleet dates'!$I$9:$I$1008,$I403-8)))</x:f>
      </x:c>
      <x:c r="I403" t="str">
        <x:f>IF(395&gt;$H$4,"",MATCH(395,'Fleet dates'!$N$9:$N$1008,0)+8)</x:f>
      </x:c>
    </x:row>
    <x:row r="404" ht="36" customHeight="1">
      <x:c r="A404" s="50" t="str">
        <x:f>IF(396&gt;$H$4,"",IF(INDEX('Fleet dates'!$A$9:$A$1008,$I404-8)="","",INDEX('Fleet dates'!$A$9:$A$1008,$I404-8)))</x:f>
      </x:c>
      <x:c r="B404" s="50" t="str">
        <x:f>IF(396&gt;$H$4,"",IF(INDEX('Fleet dates'!$B$9:$B$1008,$I404-8)="","",INDEX('Fleet dates'!$B$9:$B$1008,$I404-8)))</x:f>
      </x:c>
      <x:c r="C404" s="51" t="str">
        <x:f>IF(396&gt;$H$4,"",IF(INDEX('Fleet dates'!$C$9:$C$1008,$I404-8)="","",INDEX('Fleet dates'!$C$9:$C$1008,$I404-8)))</x:f>
      </x:c>
      <x:c r="D404" s="51" t="str">
        <x:f>IF(396&gt;$H$4,"",IF(INDEX('Fleet dates'!$D$9:$D$1008,$I404-8)="","",INDEX('Fleet dates'!$D$9:$D$1008,$I404-8)))</x:f>
      </x:c>
      <x:c r="E404" s="51" t="str">
        <x:f>IF(396&gt;$H$4,"",IF(INDEX('Fleet dates'!$E$9:$E$1008,$I404-8)="","",INDEX('Fleet dates'!$E$9:$E$1008,$I404-8)))</x:f>
      </x:c>
      <x:c r="F404" s="51" t="str">
        <x:f>IF(396&gt;$H$4,"",IF(INDEX('Fleet dates'!$F$9:$F$1008,$I404-8)="","",INDEX('Fleet dates'!$F$9:$F$1008,$I404-8)))</x:f>
      </x:c>
      <x:c r="G404" s="50" t="str">
        <x:f>IF(396&gt;$H$4,"",IF(INDEX('Fleet dates'!$G$9:$G$1008,$I404-8)="","",INDEX('Fleet dates'!$G$9:$G$1008,$I404-8)))</x:f>
      </x:c>
      <x:c r="H404" s="50" t="str">
        <x:f>IF(396&gt;$H$4,"",IF(INDEX('Fleet dates'!$I$9:$I$1008,$I404-8)="","",INDEX('Fleet dates'!$I$9:$I$1008,$I404-8)))</x:f>
      </x:c>
      <x:c r="I404" t="str">
        <x:f>IF(396&gt;$H$4,"",MATCH(396,'Fleet dates'!$N$9:$N$1008,0)+8)</x:f>
      </x:c>
    </x:row>
    <x:row r="405" ht="36" customHeight="1">
      <x:c r="A405" s="50" t="str">
        <x:f>IF(397&gt;$H$4,"",IF(INDEX('Fleet dates'!$A$9:$A$1008,$I405-8)="","",INDEX('Fleet dates'!$A$9:$A$1008,$I405-8)))</x:f>
      </x:c>
      <x:c r="B405" s="50" t="str">
        <x:f>IF(397&gt;$H$4,"",IF(INDEX('Fleet dates'!$B$9:$B$1008,$I405-8)="","",INDEX('Fleet dates'!$B$9:$B$1008,$I405-8)))</x:f>
      </x:c>
      <x:c r="C405" s="51" t="str">
        <x:f>IF(397&gt;$H$4,"",IF(INDEX('Fleet dates'!$C$9:$C$1008,$I405-8)="","",INDEX('Fleet dates'!$C$9:$C$1008,$I405-8)))</x:f>
      </x:c>
      <x:c r="D405" s="51" t="str">
        <x:f>IF(397&gt;$H$4,"",IF(INDEX('Fleet dates'!$D$9:$D$1008,$I405-8)="","",INDEX('Fleet dates'!$D$9:$D$1008,$I405-8)))</x:f>
      </x:c>
      <x:c r="E405" s="51" t="str">
        <x:f>IF(397&gt;$H$4,"",IF(INDEX('Fleet dates'!$E$9:$E$1008,$I405-8)="","",INDEX('Fleet dates'!$E$9:$E$1008,$I405-8)))</x:f>
      </x:c>
      <x:c r="F405" s="51" t="str">
        <x:f>IF(397&gt;$H$4,"",IF(INDEX('Fleet dates'!$F$9:$F$1008,$I405-8)="","",INDEX('Fleet dates'!$F$9:$F$1008,$I405-8)))</x:f>
      </x:c>
      <x:c r="G405" s="50" t="str">
        <x:f>IF(397&gt;$H$4,"",IF(INDEX('Fleet dates'!$G$9:$G$1008,$I405-8)="","",INDEX('Fleet dates'!$G$9:$G$1008,$I405-8)))</x:f>
      </x:c>
      <x:c r="H405" s="50" t="str">
        <x:f>IF(397&gt;$H$4,"",IF(INDEX('Fleet dates'!$I$9:$I$1008,$I405-8)="","",INDEX('Fleet dates'!$I$9:$I$1008,$I405-8)))</x:f>
      </x:c>
      <x:c r="I405" t="str">
        <x:f>IF(397&gt;$H$4,"",MATCH(397,'Fleet dates'!$N$9:$N$1008,0)+8)</x:f>
      </x:c>
    </x:row>
    <x:row r="406" ht="36" customHeight="1">
      <x:c r="A406" s="50" t="str">
        <x:f>IF(398&gt;$H$4,"",IF(INDEX('Fleet dates'!$A$9:$A$1008,$I406-8)="","",INDEX('Fleet dates'!$A$9:$A$1008,$I406-8)))</x:f>
      </x:c>
      <x:c r="B406" s="50" t="str">
        <x:f>IF(398&gt;$H$4,"",IF(INDEX('Fleet dates'!$B$9:$B$1008,$I406-8)="","",INDEX('Fleet dates'!$B$9:$B$1008,$I406-8)))</x:f>
      </x:c>
      <x:c r="C406" s="51" t="str">
        <x:f>IF(398&gt;$H$4,"",IF(INDEX('Fleet dates'!$C$9:$C$1008,$I406-8)="","",INDEX('Fleet dates'!$C$9:$C$1008,$I406-8)))</x:f>
      </x:c>
      <x:c r="D406" s="51" t="str">
        <x:f>IF(398&gt;$H$4,"",IF(INDEX('Fleet dates'!$D$9:$D$1008,$I406-8)="","",INDEX('Fleet dates'!$D$9:$D$1008,$I406-8)))</x:f>
      </x:c>
      <x:c r="E406" s="51" t="str">
        <x:f>IF(398&gt;$H$4,"",IF(INDEX('Fleet dates'!$E$9:$E$1008,$I406-8)="","",INDEX('Fleet dates'!$E$9:$E$1008,$I406-8)))</x:f>
      </x:c>
      <x:c r="F406" s="51" t="str">
        <x:f>IF(398&gt;$H$4,"",IF(INDEX('Fleet dates'!$F$9:$F$1008,$I406-8)="","",INDEX('Fleet dates'!$F$9:$F$1008,$I406-8)))</x:f>
      </x:c>
      <x:c r="G406" s="50" t="str">
        <x:f>IF(398&gt;$H$4,"",IF(INDEX('Fleet dates'!$G$9:$G$1008,$I406-8)="","",INDEX('Fleet dates'!$G$9:$G$1008,$I406-8)))</x:f>
      </x:c>
      <x:c r="H406" s="50" t="str">
        <x:f>IF(398&gt;$H$4,"",IF(INDEX('Fleet dates'!$I$9:$I$1008,$I406-8)="","",INDEX('Fleet dates'!$I$9:$I$1008,$I406-8)))</x:f>
      </x:c>
      <x:c r="I406" t="str">
        <x:f>IF(398&gt;$H$4,"",MATCH(398,'Fleet dates'!$N$9:$N$1008,0)+8)</x:f>
      </x:c>
    </x:row>
    <x:row r="407" ht="36" customHeight="1">
      <x:c r="A407" s="50" t="str">
        <x:f>IF(399&gt;$H$4,"",IF(INDEX('Fleet dates'!$A$9:$A$1008,$I407-8)="","",INDEX('Fleet dates'!$A$9:$A$1008,$I407-8)))</x:f>
      </x:c>
      <x:c r="B407" s="50" t="str">
        <x:f>IF(399&gt;$H$4,"",IF(INDEX('Fleet dates'!$B$9:$B$1008,$I407-8)="","",INDEX('Fleet dates'!$B$9:$B$1008,$I407-8)))</x:f>
      </x:c>
      <x:c r="C407" s="51" t="str">
        <x:f>IF(399&gt;$H$4,"",IF(INDEX('Fleet dates'!$C$9:$C$1008,$I407-8)="","",INDEX('Fleet dates'!$C$9:$C$1008,$I407-8)))</x:f>
      </x:c>
      <x:c r="D407" s="51" t="str">
        <x:f>IF(399&gt;$H$4,"",IF(INDEX('Fleet dates'!$D$9:$D$1008,$I407-8)="","",INDEX('Fleet dates'!$D$9:$D$1008,$I407-8)))</x:f>
      </x:c>
      <x:c r="E407" s="51" t="str">
        <x:f>IF(399&gt;$H$4,"",IF(INDEX('Fleet dates'!$E$9:$E$1008,$I407-8)="","",INDEX('Fleet dates'!$E$9:$E$1008,$I407-8)))</x:f>
      </x:c>
      <x:c r="F407" s="51" t="str">
        <x:f>IF(399&gt;$H$4,"",IF(INDEX('Fleet dates'!$F$9:$F$1008,$I407-8)="","",INDEX('Fleet dates'!$F$9:$F$1008,$I407-8)))</x:f>
      </x:c>
      <x:c r="G407" s="50" t="str">
        <x:f>IF(399&gt;$H$4,"",IF(INDEX('Fleet dates'!$G$9:$G$1008,$I407-8)="","",INDEX('Fleet dates'!$G$9:$G$1008,$I407-8)))</x:f>
      </x:c>
      <x:c r="H407" s="50" t="str">
        <x:f>IF(399&gt;$H$4,"",IF(INDEX('Fleet dates'!$I$9:$I$1008,$I407-8)="","",INDEX('Fleet dates'!$I$9:$I$1008,$I407-8)))</x:f>
      </x:c>
      <x:c r="I407" t="str">
        <x:f>IF(399&gt;$H$4,"",MATCH(399,'Fleet dates'!$N$9:$N$1008,0)+8)</x:f>
      </x:c>
    </x:row>
    <x:row r="408" ht="36" customHeight="1">
      <x:c r="A408" s="50" t="str">
        <x:f>IF(400&gt;$H$4,"",IF(INDEX('Fleet dates'!$A$9:$A$1008,$I408-8)="","",INDEX('Fleet dates'!$A$9:$A$1008,$I408-8)))</x:f>
      </x:c>
      <x:c r="B408" s="50" t="str">
        <x:f>IF(400&gt;$H$4,"",IF(INDEX('Fleet dates'!$B$9:$B$1008,$I408-8)="","",INDEX('Fleet dates'!$B$9:$B$1008,$I408-8)))</x:f>
      </x:c>
      <x:c r="C408" s="51" t="str">
        <x:f>IF(400&gt;$H$4,"",IF(INDEX('Fleet dates'!$C$9:$C$1008,$I408-8)="","",INDEX('Fleet dates'!$C$9:$C$1008,$I408-8)))</x:f>
      </x:c>
      <x:c r="D408" s="51" t="str">
        <x:f>IF(400&gt;$H$4,"",IF(INDEX('Fleet dates'!$D$9:$D$1008,$I408-8)="","",INDEX('Fleet dates'!$D$9:$D$1008,$I408-8)))</x:f>
      </x:c>
      <x:c r="E408" s="51" t="str">
        <x:f>IF(400&gt;$H$4,"",IF(INDEX('Fleet dates'!$E$9:$E$1008,$I408-8)="","",INDEX('Fleet dates'!$E$9:$E$1008,$I408-8)))</x:f>
      </x:c>
      <x:c r="F408" s="51" t="str">
        <x:f>IF(400&gt;$H$4,"",IF(INDEX('Fleet dates'!$F$9:$F$1008,$I408-8)="","",INDEX('Fleet dates'!$F$9:$F$1008,$I408-8)))</x:f>
      </x:c>
      <x:c r="G408" s="50" t="str">
        <x:f>IF(400&gt;$H$4,"",IF(INDEX('Fleet dates'!$G$9:$G$1008,$I408-8)="","",INDEX('Fleet dates'!$G$9:$G$1008,$I408-8)))</x:f>
      </x:c>
      <x:c r="H408" s="50" t="str">
        <x:f>IF(400&gt;$H$4,"",IF(INDEX('Fleet dates'!$I$9:$I$1008,$I408-8)="","",INDEX('Fleet dates'!$I$9:$I$1008,$I408-8)))</x:f>
      </x:c>
      <x:c r="I408" t="str">
        <x:f>IF(400&gt;$H$4,"",MATCH(400,'Fleet dates'!$N$9:$N$1008,0)+8)</x:f>
      </x:c>
    </x:row>
    <x:row r="409" ht="36" customHeight="1">
      <x:c r="A409" s="50" t="str">
        <x:f>IF(401&gt;$H$4,"",IF(INDEX('Fleet dates'!$A$9:$A$1008,$I409-8)="","",INDEX('Fleet dates'!$A$9:$A$1008,$I409-8)))</x:f>
      </x:c>
      <x:c r="B409" s="50" t="str">
        <x:f>IF(401&gt;$H$4,"",IF(INDEX('Fleet dates'!$B$9:$B$1008,$I409-8)="","",INDEX('Fleet dates'!$B$9:$B$1008,$I409-8)))</x:f>
      </x:c>
      <x:c r="C409" s="51" t="str">
        <x:f>IF(401&gt;$H$4,"",IF(INDEX('Fleet dates'!$C$9:$C$1008,$I409-8)="","",INDEX('Fleet dates'!$C$9:$C$1008,$I409-8)))</x:f>
      </x:c>
      <x:c r="D409" s="51" t="str">
        <x:f>IF(401&gt;$H$4,"",IF(INDEX('Fleet dates'!$D$9:$D$1008,$I409-8)="","",INDEX('Fleet dates'!$D$9:$D$1008,$I409-8)))</x:f>
      </x:c>
      <x:c r="E409" s="51" t="str">
        <x:f>IF(401&gt;$H$4,"",IF(INDEX('Fleet dates'!$E$9:$E$1008,$I409-8)="","",INDEX('Fleet dates'!$E$9:$E$1008,$I409-8)))</x:f>
      </x:c>
      <x:c r="F409" s="51" t="str">
        <x:f>IF(401&gt;$H$4,"",IF(INDEX('Fleet dates'!$F$9:$F$1008,$I409-8)="","",INDEX('Fleet dates'!$F$9:$F$1008,$I409-8)))</x:f>
      </x:c>
      <x:c r="G409" s="50" t="str">
        <x:f>IF(401&gt;$H$4,"",IF(INDEX('Fleet dates'!$G$9:$G$1008,$I409-8)="","",INDEX('Fleet dates'!$G$9:$G$1008,$I409-8)))</x:f>
      </x:c>
      <x:c r="H409" s="50" t="str">
        <x:f>IF(401&gt;$H$4,"",IF(INDEX('Fleet dates'!$I$9:$I$1008,$I409-8)="","",INDEX('Fleet dates'!$I$9:$I$1008,$I409-8)))</x:f>
      </x:c>
      <x:c r="I409" t="str">
        <x:f>IF(401&gt;$H$4,"",MATCH(401,'Fleet dates'!$N$9:$N$1008,0)+8)</x:f>
      </x:c>
    </x:row>
    <x:row r="410" ht="36" customHeight="1">
      <x:c r="A410" s="50" t="str">
        <x:f>IF(402&gt;$H$4,"",IF(INDEX('Fleet dates'!$A$9:$A$1008,$I410-8)="","",INDEX('Fleet dates'!$A$9:$A$1008,$I410-8)))</x:f>
      </x:c>
      <x:c r="B410" s="50" t="str">
        <x:f>IF(402&gt;$H$4,"",IF(INDEX('Fleet dates'!$B$9:$B$1008,$I410-8)="","",INDEX('Fleet dates'!$B$9:$B$1008,$I410-8)))</x:f>
      </x:c>
      <x:c r="C410" s="51" t="str">
        <x:f>IF(402&gt;$H$4,"",IF(INDEX('Fleet dates'!$C$9:$C$1008,$I410-8)="","",INDEX('Fleet dates'!$C$9:$C$1008,$I410-8)))</x:f>
      </x:c>
      <x:c r="D410" s="51" t="str">
        <x:f>IF(402&gt;$H$4,"",IF(INDEX('Fleet dates'!$D$9:$D$1008,$I410-8)="","",INDEX('Fleet dates'!$D$9:$D$1008,$I410-8)))</x:f>
      </x:c>
      <x:c r="E410" s="51" t="str">
        <x:f>IF(402&gt;$H$4,"",IF(INDEX('Fleet dates'!$E$9:$E$1008,$I410-8)="","",INDEX('Fleet dates'!$E$9:$E$1008,$I410-8)))</x:f>
      </x:c>
      <x:c r="F410" s="51" t="str">
        <x:f>IF(402&gt;$H$4,"",IF(INDEX('Fleet dates'!$F$9:$F$1008,$I410-8)="","",INDEX('Fleet dates'!$F$9:$F$1008,$I410-8)))</x:f>
      </x:c>
      <x:c r="G410" s="50" t="str">
        <x:f>IF(402&gt;$H$4,"",IF(INDEX('Fleet dates'!$G$9:$G$1008,$I410-8)="","",INDEX('Fleet dates'!$G$9:$G$1008,$I410-8)))</x:f>
      </x:c>
      <x:c r="H410" s="50" t="str">
        <x:f>IF(402&gt;$H$4,"",IF(INDEX('Fleet dates'!$I$9:$I$1008,$I410-8)="","",INDEX('Fleet dates'!$I$9:$I$1008,$I410-8)))</x:f>
      </x:c>
      <x:c r="I410" t="str">
        <x:f>IF(402&gt;$H$4,"",MATCH(402,'Fleet dates'!$N$9:$N$1008,0)+8)</x:f>
      </x:c>
    </x:row>
    <x:row r="411" ht="36" customHeight="1">
      <x:c r="A411" s="50" t="str">
        <x:f>IF(403&gt;$H$4,"",IF(INDEX('Fleet dates'!$A$9:$A$1008,$I411-8)="","",INDEX('Fleet dates'!$A$9:$A$1008,$I411-8)))</x:f>
      </x:c>
      <x:c r="B411" s="50" t="str">
        <x:f>IF(403&gt;$H$4,"",IF(INDEX('Fleet dates'!$B$9:$B$1008,$I411-8)="","",INDEX('Fleet dates'!$B$9:$B$1008,$I411-8)))</x:f>
      </x:c>
      <x:c r="C411" s="51" t="str">
        <x:f>IF(403&gt;$H$4,"",IF(INDEX('Fleet dates'!$C$9:$C$1008,$I411-8)="","",INDEX('Fleet dates'!$C$9:$C$1008,$I411-8)))</x:f>
      </x:c>
      <x:c r="D411" s="51" t="str">
        <x:f>IF(403&gt;$H$4,"",IF(INDEX('Fleet dates'!$D$9:$D$1008,$I411-8)="","",INDEX('Fleet dates'!$D$9:$D$1008,$I411-8)))</x:f>
      </x:c>
      <x:c r="E411" s="51" t="str">
        <x:f>IF(403&gt;$H$4,"",IF(INDEX('Fleet dates'!$E$9:$E$1008,$I411-8)="","",INDEX('Fleet dates'!$E$9:$E$1008,$I411-8)))</x:f>
      </x:c>
      <x:c r="F411" s="51" t="str">
        <x:f>IF(403&gt;$H$4,"",IF(INDEX('Fleet dates'!$F$9:$F$1008,$I411-8)="","",INDEX('Fleet dates'!$F$9:$F$1008,$I411-8)))</x:f>
      </x:c>
      <x:c r="G411" s="50" t="str">
        <x:f>IF(403&gt;$H$4,"",IF(INDEX('Fleet dates'!$G$9:$G$1008,$I411-8)="","",INDEX('Fleet dates'!$G$9:$G$1008,$I411-8)))</x:f>
      </x:c>
      <x:c r="H411" s="50" t="str">
        <x:f>IF(403&gt;$H$4,"",IF(INDEX('Fleet dates'!$I$9:$I$1008,$I411-8)="","",INDEX('Fleet dates'!$I$9:$I$1008,$I411-8)))</x:f>
      </x:c>
      <x:c r="I411" t="str">
        <x:f>IF(403&gt;$H$4,"",MATCH(403,'Fleet dates'!$N$9:$N$1008,0)+8)</x:f>
      </x:c>
    </x:row>
    <x:row r="412" ht="36" customHeight="1">
      <x:c r="A412" s="50" t="str">
        <x:f>IF(404&gt;$H$4,"",IF(INDEX('Fleet dates'!$A$9:$A$1008,$I412-8)="","",INDEX('Fleet dates'!$A$9:$A$1008,$I412-8)))</x:f>
      </x:c>
      <x:c r="B412" s="50" t="str">
        <x:f>IF(404&gt;$H$4,"",IF(INDEX('Fleet dates'!$B$9:$B$1008,$I412-8)="","",INDEX('Fleet dates'!$B$9:$B$1008,$I412-8)))</x:f>
      </x:c>
      <x:c r="C412" s="51" t="str">
        <x:f>IF(404&gt;$H$4,"",IF(INDEX('Fleet dates'!$C$9:$C$1008,$I412-8)="","",INDEX('Fleet dates'!$C$9:$C$1008,$I412-8)))</x:f>
      </x:c>
      <x:c r="D412" s="51" t="str">
        <x:f>IF(404&gt;$H$4,"",IF(INDEX('Fleet dates'!$D$9:$D$1008,$I412-8)="","",INDEX('Fleet dates'!$D$9:$D$1008,$I412-8)))</x:f>
      </x:c>
      <x:c r="E412" s="51" t="str">
        <x:f>IF(404&gt;$H$4,"",IF(INDEX('Fleet dates'!$E$9:$E$1008,$I412-8)="","",INDEX('Fleet dates'!$E$9:$E$1008,$I412-8)))</x:f>
      </x:c>
      <x:c r="F412" s="51" t="str">
        <x:f>IF(404&gt;$H$4,"",IF(INDEX('Fleet dates'!$F$9:$F$1008,$I412-8)="","",INDEX('Fleet dates'!$F$9:$F$1008,$I412-8)))</x:f>
      </x:c>
      <x:c r="G412" s="50" t="str">
        <x:f>IF(404&gt;$H$4,"",IF(INDEX('Fleet dates'!$G$9:$G$1008,$I412-8)="","",INDEX('Fleet dates'!$G$9:$G$1008,$I412-8)))</x:f>
      </x:c>
      <x:c r="H412" s="50" t="str">
        <x:f>IF(404&gt;$H$4,"",IF(INDEX('Fleet dates'!$I$9:$I$1008,$I412-8)="","",INDEX('Fleet dates'!$I$9:$I$1008,$I412-8)))</x:f>
      </x:c>
      <x:c r="I412" t="str">
        <x:f>IF(404&gt;$H$4,"",MATCH(404,'Fleet dates'!$N$9:$N$1008,0)+8)</x:f>
      </x:c>
    </x:row>
    <x:row r="413" ht="36" customHeight="1">
      <x:c r="A413" s="50" t="str">
        <x:f>IF(405&gt;$H$4,"",IF(INDEX('Fleet dates'!$A$9:$A$1008,$I413-8)="","",INDEX('Fleet dates'!$A$9:$A$1008,$I413-8)))</x:f>
      </x:c>
      <x:c r="B413" s="50" t="str">
        <x:f>IF(405&gt;$H$4,"",IF(INDEX('Fleet dates'!$B$9:$B$1008,$I413-8)="","",INDEX('Fleet dates'!$B$9:$B$1008,$I413-8)))</x:f>
      </x:c>
      <x:c r="C413" s="51" t="str">
        <x:f>IF(405&gt;$H$4,"",IF(INDEX('Fleet dates'!$C$9:$C$1008,$I413-8)="","",INDEX('Fleet dates'!$C$9:$C$1008,$I413-8)))</x:f>
      </x:c>
      <x:c r="D413" s="51" t="str">
        <x:f>IF(405&gt;$H$4,"",IF(INDEX('Fleet dates'!$D$9:$D$1008,$I413-8)="","",INDEX('Fleet dates'!$D$9:$D$1008,$I413-8)))</x:f>
      </x:c>
      <x:c r="E413" s="51" t="str">
        <x:f>IF(405&gt;$H$4,"",IF(INDEX('Fleet dates'!$E$9:$E$1008,$I413-8)="","",INDEX('Fleet dates'!$E$9:$E$1008,$I413-8)))</x:f>
      </x:c>
      <x:c r="F413" s="51" t="str">
        <x:f>IF(405&gt;$H$4,"",IF(INDEX('Fleet dates'!$F$9:$F$1008,$I413-8)="","",INDEX('Fleet dates'!$F$9:$F$1008,$I413-8)))</x:f>
      </x:c>
      <x:c r="G413" s="50" t="str">
        <x:f>IF(405&gt;$H$4,"",IF(INDEX('Fleet dates'!$G$9:$G$1008,$I413-8)="","",INDEX('Fleet dates'!$G$9:$G$1008,$I413-8)))</x:f>
      </x:c>
      <x:c r="H413" s="50" t="str">
        <x:f>IF(405&gt;$H$4,"",IF(INDEX('Fleet dates'!$I$9:$I$1008,$I413-8)="","",INDEX('Fleet dates'!$I$9:$I$1008,$I413-8)))</x:f>
      </x:c>
      <x:c r="I413" t="str">
        <x:f>IF(405&gt;$H$4,"",MATCH(405,'Fleet dates'!$N$9:$N$1008,0)+8)</x:f>
      </x:c>
    </x:row>
    <x:row r="414" ht="36" customHeight="1">
      <x:c r="A414" s="50" t="str">
        <x:f>IF(406&gt;$H$4,"",IF(INDEX('Fleet dates'!$A$9:$A$1008,$I414-8)="","",INDEX('Fleet dates'!$A$9:$A$1008,$I414-8)))</x:f>
      </x:c>
      <x:c r="B414" s="50" t="str">
        <x:f>IF(406&gt;$H$4,"",IF(INDEX('Fleet dates'!$B$9:$B$1008,$I414-8)="","",INDEX('Fleet dates'!$B$9:$B$1008,$I414-8)))</x:f>
      </x:c>
      <x:c r="C414" s="51" t="str">
        <x:f>IF(406&gt;$H$4,"",IF(INDEX('Fleet dates'!$C$9:$C$1008,$I414-8)="","",INDEX('Fleet dates'!$C$9:$C$1008,$I414-8)))</x:f>
      </x:c>
      <x:c r="D414" s="51" t="str">
        <x:f>IF(406&gt;$H$4,"",IF(INDEX('Fleet dates'!$D$9:$D$1008,$I414-8)="","",INDEX('Fleet dates'!$D$9:$D$1008,$I414-8)))</x:f>
      </x:c>
      <x:c r="E414" s="51" t="str">
        <x:f>IF(406&gt;$H$4,"",IF(INDEX('Fleet dates'!$E$9:$E$1008,$I414-8)="","",INDEX('Fleet dates'!$E$9:$E$1008,$I414-8)))</x:f>
      </x:c>
      <x:c r="F414" s="51" t="str">
        <x:f>IF(406&gt;$H$4,"",IF(INDEX('Fleet dates'!$F$9:$F$1008,$I414-8)="","",INDEX('Fleet dates'!$F$9:$F$1008,$I414-8)))</x:f>
      </x:c>
      <x:c r="G414" s="50" t="str">
        <x:f>IF(406&gt;$H$4,"",IF(INDEX('Fleet dates'!$G$9:$G$1008,$I414-8)="","",INDEX('Fleet dates'!$G$9:$G$1008,$I414-8)))</x:f>
      </x:c>
      <x:c r="H414" s="50" t="str">
        <x:f>IF(406&gt;$H$4,"",IF(INDEX('Fleet dates'!$I$9:$I$1008,$I414-8)="","",INDEX('Fleet dates'!$I$9:$I$1008,$I414-8)))</x:f>
      </x:c>
      <x:c r="I414" t="str">
        <x:f>IF(406&gt;$H$4,"",MATCH(406,'Fleet dates'!$N$9:$N$1008,0)+8)</x:f>
      </x:c>
    </x:row>
    <x:row r="415" ht="36" customHeight="1">
      <x:c r="A415" s="50" t="str">
        <x:f>IF(407&gt;$H$4,"",IF(INDEX('Fleet dates'!$A$9:$A$1008,$I415-8)="","",INDEX('Fleet dates'!$A$9:$A$1008,$I415-8)))</x:f>
      </x:c>
      <x:c r="B415" s="50" t="str">
        <x:f>IF(407&gt;$H$4,"",IF(INDEX('Fleet dates'!$B$9:$B$1008,$I415-8)="","",INDEX('Fleet dates'!$B$9:$B$1008,$I415-8)))</x:f>
      </x:c>
      <x:c r="C415" s="51" t="str">
        <x:f>IF(407&gt;$H$4,"",IF(INDEX('Fleet dates'!$C$9:$C$1008,$I415-8)="","",INDEX('Fleet dates'!$C$9:$C$1008,$I415-8)))</x:f>
      </x:c>
      <x:c r="D415" s="51" t="str">
        <x:f>IF(407&gt;$H$4,"",IF(INDEX('Fleet dates'!$D$9:$D$1008,$I415-8)="","",INDEX('Fleet dates'!$D$9:$D$1008,$I415-8)))</x:f>
      </x:c>
      <x:c r="E415" s="51" t="str">
        <x:f>IF(407&gt;$H$4,"",IF(INDEX('Fleet dates'!$E$9:$E$1008,$I415-8)="","",INDEX('Fleet dates'!$E$9:$E$1008,$I415-8)))</x:f>
      </x:c>
      <x:c r="F415" s="51" t="str">
        <x:f>IF(407&gt;$H$4,"",IF(INDEX('Fleet dates'!$F$9:$F$1008,$I415-8)="","",INDEX('Fleet dates'!$F$9:$F$1008,$I415-8)))</x:f>
      </x:c>
      <x:c r="G415" s="50" t="str">
        <x:f>IF(407&gt;$H$4,"",IF(INDEX('Fleet dates'!$G$9:$G$1008,$I415-8)="","",INDEX('Fleet dates'!$G$9:$G$1008,$I415-8)))</x:f>
      </x:c>
      <x:c r="H415" s="50" t="str">
        <x:f>IF(407&gt;$H$4,"",IF(INDEX('Fleet dates'!$I$9:$I$1008,$I415-8)="","",INDEX('Fleet dates'!$I$9:$I$1008,$I415-8)))</x:f>
      </x:c>
      <x:c r="I415" t="str">
        <x:f>IF(407&gt;$H$4,"",MATCH(407,'Fleet dates'!$N$9:$N$1008,0)+8)</x:f>
      </x:c>
    </x:row>
    <x:row r="416" ht="36" customHeight="1">
      <x:c r="A416" s="50" t="str">
        <x:f>IF(408&gt;$H$4,"",IF(INDEX('Fleet dates'!$A$9:$A$1008,$I416-8)="","",INDEX('Fleet dates'!$A$9:$A$1008,$I416-8)))</x:f>
      </x:c>
      <x:c r="B416" s="50" t="str">
        <x:f>IF(408&gt;$H$4,"",IF(INDEX('Fleet dates'!$B$9:$B$1008,$I416-8)="","",INDEX('Fleet dates'!$B$9:$B$1008,$I416-8)))</x:f>
      </x:c>
      <x:c r="C416" s="51" t="str">
        <x:f>IF(408&gt;$H$4,"",IF(INDEX('Fleet dates'!$C$9:$C$1008,$I416-8)="","",INDEX('Fleet dates'!$C$9:$C$1008,$I416-8)))</x:f>
      </x:c>
      <x:c r="D416" s="51" t="str">
        <x:f>IF(408&gt;$H$4,"",IF(INDEX('Fleet dates'!$D$9:$D$1008,$I416-8)="","",INDEX('Fleet dates'!$D$9:$D$1008,$I416-8)))</x:f>
      </x:c>
      <x:c r="E416" s="51" t="str">
        <x:f>IF(408&gt;$H$4,"",IF(INDEX('Fleet dates'!$E$9:$E$1008,$I416-8)="","",INDEX('Fleet dates'!$E$9:$E$1008,$I416-8)))</x:f>
      </x:c>
      <x:c r="F416" s="51" t="str">
        <x:f>IF(408&gt;$H$4,"",IF(INDEX('Fleet dates'!$F$9:$F$1008,$I416-8)="","",INDEX('Fleet dates'!$F$9:$F$1008,$I416-8)))</x:f>
      </x:c>
      <x:c r="G416" s="50" t="str">
        <x:f>IF(408&gt;$H$4,"",IF(INDEX('Fleet dates'!$G$9:$G$1008,$I416-8)="","",INDEX('Fleet dates'!$G$9:$G$1008,$I416-8)))</x:f>
      </x:c>
      <x:c r="H416" s="50" t="str">
        <x:f>IF(408&gt;$H$4,"",IF(INDEX('Fleet dates'!$I$9:$I$1008,$I416-8)="","",INDEX('Fleet dates'!$I$9:$I$1008,$I416-8)))</x:f>
      </x:c>
      <x:c r="I416" t="str">
        <x:f>IF(408&gt;$H$4,"",MATCH(408,'Fleet dates'!$N$9:$N$1008,0)+8)</x:f>
      </x:c>
    </x:row>
    <x:row r="417" ht="36" customHeight="1">
      <x:c r="A417" s="50" t="str">
        <x:f>IF(409&gt;$H$4,"",IF(INDEX('Fleet dates'!$A$9:$A$1008,$I417-8)="","",INDEX('Fleet dates'!$A$9:$A$1008,$I417-8)))</x:f>
      </x:c>
      <x:c r="B417" s="50" t="str">
        <x:f>IF(409&gt;$H$4,"",IF(INDEX('Fleet dates'!$B$9:$B$1008,$I417-8)="","",INDEX('Fleet dates'!$B$9:$B$1008,$I417-8)))</x:f>
      </x:c>
      <x:c r="C417" s="51" t="str">
        <x:f>IF(409&gt;$H$4,"",IF(INDEX('Fleet dates'!$C$9:$C$1008,$I417-8)="","",INDEX('Fleet dates'!$C$9:$C$1008,$I417-8)))</x:f>
      </x:c>
      <x:c r="D417" s="51" t="str">
        <x:f>IF(409&gt;$H$4,"",IF(INDEX('Fleet dates'!$D$9:$D$1008,$I417-8)="","",INDEX('Fleet dates'!$D$9:$D$1008,$I417-8)))</x:f>
      </x:c>
      <x:c r="E417" s="51" t="str">
        <x:f>IF(409&gt;$H$4,"",IF(INDEX('Fleet dates'!$E$9:$E$1008,$I417-8)="","",INDEX('Fleet dates'!$E$9:$E$1008,$I417-8)))</x:f>
      </x:c>
      <x:c r="F417" s="51" t="str">
        <x:f>IF(409&gt;$H$4,"",IF(INDEX('Fleet dates'!$F$9:$F$1008,$I417-8)="","",INDEX('Fleet dates'!$F$9:$F$1008,$I417-8)))</x:f>
      </x:c>
      <x:c r="G417" s="50" t="str">
        <x:f>IF(409&gt;$H$4,"",IF(INDEX('Fleet dates'!$G$9:$G$1008,$I417-8)="","",INDEX('Fleet dates'!$G$9:$G$1008,$I417-8)))</x:f>
      </x:c>
      <x:c r="H417" s="50" t="str">
        <x:f>IF(409&gt;$H$4,"",IF(INDEX('Fleet dates'!$I$9:$I$1008,$I417-8)="","",INDEX('Fleet dates'!$I$9:$I$1008,$I417-8)))</x:f>
      </x:c>
      <x:c r="I417" t="str">
        <x:f>IF(409&gt;$H$4,"",MATCH(409,'Fleet dates'!$N$9:$N$1008,0)+8)</x:f>
      </x:c>
    </x:row>
    <x:row r="418" ht="36" customHeight="1">
      <x:c r="A418" s="50" t="str">
        <x:f>IF(410&gt;$H$4,"",IF(INDEX('Fleet dates'!$A$9:$A$1008,$I418-8)="","",INDEX('Fleet dates'!$A$9:$A$1008,$I418-8)))</x:f>
      </x:c>
      <x:c r="B418" s="50" t="str">
        <x:f>IF(410&gt;$H$4,"",IF(INDEX('Fleet dates'!$B$9:$B$1008,$I418-8)="","",INDEX('Fleet dates'!$B$9:$B$1008,$I418-8)))</x:f>
      </x:c>
      <x:c r="C418" s="51" t="str">
        <x:f>IF(410&gt;$H$4,"",IF(INDEX('Fleet dates'!$C$9:$C$1008,$I418-8)="","",INDEX('Fleet dates'!$C$9:$C$1008,$I418-8)))</x:f>
      </x:c>
      <x:c r="D418" s="51" t="str">
        <x:f>IF(410&gt;$H$4,"",IF(INDEX('Fleet dates'!$D$9:$D$1008,$I418-8)="","",INDEX('Fleet dates'!$D$9:$D$1008,$I418-8)))</x:f>
      </x:c>
      <x:c r="E418" s="51" t="str">
        <x:f>IF(410&gt;$H$4,"",IF(INDEX('Fleet dates'!$E$9:$E$1008,$I418-8)="","",INDEX('Fleet dates'!$E$9:$E$1008,$I418-8)))</x:f>
      </x:c>
      <x:c r="F418" s="51" t="str">
        <x:f>IF(410&gt;$H$4,"",IF(INDEX('Fleet dates'!$F$9:$F$1008,$I418-8)="","",INDEX('Fleet dates'!$F$9:$F$1008,$I418-8)))</x:f>
      </x:c>
      <x:c r="G418" s="50" t="str">
        <x:f>IF(410&gt;$H$4,"",IF(INDEX('Fleet dates'!$G$9:$G$1008,$I418-8)="","",INDEX('Fleet dates'!$G$9:$G$1008,$I418-8)))</x:f>
      </x:c>
      <x:c r="H418" s="50" t="str">
        <x:f>IF(410&gt;$H$4,"",IF(INDEX('Fleet dates'!$I$9:$I$1008,$I418-8)="","",INDEX('Fleet dates'!$I$9:$I$1008,$I418-8)))</x:f>
      </x:c>
      <x:c r="I418" t="str">
        <x:f>IF(410&gt;$H$4,"",MATCH(410,'Fleet dates'!$N$9:$N$1008,0)+8)</x:f>
      </x:c>
    </x:row>
    <x:row r="419" ht="36" customHeight="1">
      <x:c r="A419" s="50" t="str">
        <x:f>IF(411&gt;$H$4,"",IF(INDEX('Fleet dates'!$A$9:$A$1008,$I419-8)="","",INDEX('Fleet dates'!$A$9:$A$1008,$I419-8)))</x:f>
      </x:c>
      <x:c r="B419" s="50" t="str">
        <x:f>IF(411&gt;$H$4,"",IF(INDEX('Fleet dates'!$B$9:$B$1008,$I419-8)="","",INDEX('Fleet dates'!$B$9:$B$1008,$I419-8)))</x:f>
      </x:c>
      <x:c r="C419" s="51" t="str">
        <x:f>IF(411&gt;$H$4,"",IF(INDEX('Fleet dates'!$C$9:$C$1008,$I419-8)="","",INDEX('Fleet dates'!$C$9:$C$1008,$I419-8)))</x:f>
      </x:c>
      <x:c r="D419" s="51" t="str">
        <x:f>IF(411&gt;$H$4,"",IF(INDEX('Fleet dates'!$D$9:$D$1008,$I419-8)="","",INDEX('Fleet dates'!$D$9:$D$1008,$I419-8)))</x:f>
      </x:c>
      <x:c r="E419" s="51" t="str">
        <x:f>IF(411&gt;$H$4,"",IF(INDEX('Fleet dates'!$E$9:$E$1008,$I419-8)="","",INDEX('Fleet dates'!$E$9:$E$1008,$I419-8)))</x:f>
      </x:c>
      <x:c r="F419" s="51" t="str">
        <x:f>IF(411&gt;$H$4,"",IF(INDEX('Fleet dates'!$F$9:$F$1008,$I419-8)="","",INDEX('Fleet dates'!$F$9:$F$1008,$I419-8)))</x:f>
      </x:c>
      <x:c r="G419" s="50" t="str">
        <x:f>IF(411&gt;$H$4,"",IF(INDEX('Fleet dates'!$G$9:$G$1008,$I419-8)="","",INDEX('Fleet dates'!$G$9:$G$1008,$I419-8)))</x:f>
      </x:c>
      <x:c r="H419" s="50" t="str">
        <x:f>IF(411&gt;$H$4,"",IF(INDEX('Fleet dates'!$I$9:$I$1008,$I419-8)="","",INDEX('Fleet dates'!$I$9:$I$1008,$I419-8)))</x:f>
      </x:c>
      <x:c r="I419" t="str">
        <x:f>IF(411&gt;$H$4,"",MATCH(411,'Fleet dates'!$N$9:$N$1008,0)+8)</x:f>
      </x:c>
    </x:row>
    <x:row r="420" ht="36" customHeight="1">
      <x:c r="A420" s="50" t="str">
        <x:f>IF(412&gt;$H$4,"",IF(INDEX('Fleet dates'!$A$9:$A$1008,$I420-8)="","",INDEX('Fleet dates'!$A$9:$A$1008,$I420-8)))</x:f>
      </x:c>
      <x:c r="B420" s="50" t="str">
        <x:f>IF(412&gt;$H$4,"",IF(INDEX('Fleet dates'!$B$9:$B$1008,$I420-8)="","",INDEX('Fleet dates'!$B$9:$B$1008,$I420-8)))</x:f>
      </x:c>
      <x:c r="C420" s="51" t="str">
        <x:f>IF(412&gt;$H$4,"",IF(INDEX('Fleet dates'!$C$9:$C$1008,$I420-8)="","",INDEX('Fleet dates'!$C$9:$C$1008,$I420-8)))</x:f>
      </x:c>
      <x:c r="D420" s="51" t="str">
        <x:f>IF(412&gt;$H$4,"",IF(INDEX('Fleet dates'!$D$9:$D$1008,$I420-8)="","",INDEX('Fleet dates'!$D$9:$D$1008,$I420-8)))</x:f>
      </x:c>
      <x:c r="E420" s="51" t="str">
        <x:f>IF(412&gt;$H$4,"",IF(INDEX('Fleet dates'!$E$9:$E$1008,$I420-8)="","",INDEX('Fleet dates'!$E$9:$E$1008,$I420-8)))</x:f>
      </x:c>
      <x:c r="F420" s="51" t="str">
        <x:f>IF(412&gt;$H$4,"",IF(INDEX('Fleet dates'!$F$9:$F$1008,$I420-8)="","",INDEX('Fleet dates'!$F$9:$F$1008,$I420-8)))</x:f>
      </x:c>
      <x:c r="G420" s="50" t="str">
        <x:f>IF(412&gt;$H$4,"",IF(INDEX('Fleet dates'!$G$9:$G$1008,$I420-8)="","",INDEX('Fleet dates'!$G$9:$G$1008,$I420-8)))</x:f>
      </x:c>
      <x:c r="H420" s="50" t="str">
        <x:f>IF(412&gt;$H$4,"",IF(INDEX('Fleet dates'!$I$9:$I$1008,$I420-8)="","",INDEX('Fleet dates'!$I$9:$I$1008,$I420-8)))</x:f>
      </x:c>
      <x:c r="I420" t="str">
        <x:f>IF(412&gt;$H$4,"",MATCH(412,'Fleet dates'!$N$9:$N$1008,0)+8)</x:f>
      </x:c>
    </x:row>
    <x:row r="421" ht="36" customHeight="1">
      <x:c r="A421" s="50" t="str">
        <x:f>IF(413&gt;$H$4,"",IF(INDEX('Fleet dates'!$A$9:$A$1008,$I421-8)="","",INDEX('Fleet dates'!$A$9:$A$1008,$I421-8)))</x:f>
      </x:c>
      <x:c r="B421" s="50" t="str">
        <x:f>IF(413&gt;$H$4,"",IF(INDEX('Fleet dates'!$B$9:$B$1008,$I421-8)="","",INDEX('Fleet dates'!$B$9:$B$1008,$I421-8)))</x:f>
      </x:c>
      <x:c r="C421" s="51" t="str">
        <x:f>IF(413&gt;$H$4,"",IF(INDEX('Fleet dates'!$C$9:$C$1008,$I421-8)="","",INDEX('Fleet dates'!$C$9:$C$1008,$I421-8)))</x:f>
      </x:c>
      <x:c r="D421" s="51" t="str">
        <x:f>IF(413&gt;$H$4,"",IF(INDEX('Fleet dates'!$D$9:$D$1008,$I421-8)="","",INDEX('Fleet dates'!$D$9:$D$1008,$I421-8)))</x:f>
      </x:c>
      <x:c r="E421" s="51" t="str">
        <x:f>IF(413&gt;$H$4,"",IF(INDEX('Fleet dates'!$E$9:$E$1008,$I421-8)="","",INDEX('Fleet dates'!$E$9:$E$1008,$I421-8)))</x:f>
      </x:c>
      <x:c r="F421" s="51" t="str">
        <x:f>IF(413&gt;$H$4,"",IF(INDEX('Fleet dates'!$F$9:$F$1008,$I421-8)="","",INDEX('Fleet dates'!$F$9:$F$1008,$I421-8)))</x:f>
      </x:c>
      <x:c r="G421" s="50" t="str">
        <x:f>IF(413&gt;$H$4,"",IF(INDEX('Fleet dates'!$G$9:$G$1008,$I421-8)="","",INDEX('Fleet dates'!$G$9:$G$1008,$I421-8)))</x:f>
      </x:c>
      <x:c r="H421" s="50" t="str">
        <x:f>IF(413&gt;$H$4,"",IF(INDEX('Fleet dates'!$I$9:$I$1008,$I421-8)="","",INDEX('Fleet dates'!$I$9:$I$1008,$I421-8)))</x:f>
      </x:c>
      <x:c r="I421" t="str">
        <x:f>IF(413&gt;$H$4,"",MATCH(413,'Fleet dates'!$N$9:$N$1008,0)+8)</x:f>
      </x:c>
    </x:row>
    <x:row r="422" ht="36" customHeight="1">
      <x:c r="A422" s="50" t="str">
        <x:f>IF(414&gt;$H$4,"",IF(INDEX('Fleet dates'!$A$9:$A$1008,$I422-8)="","",INDEX('Fleet dates'!$A$9:$A$1008,$I422-8)))</x:f>
      </x:c>
      <x:c r="B422" s="50" t="str">
        <x:f>IF(414&gt;$H$4,"",IF(INDEX('Fleet dates'!$B$9:$B$1008,$I422-8)="","",INDEX('Fleet dates'!$B$9:$B$1008,$I422-8)))</x:f>
      </x:c>
      <x:c r="C422" s="51" t="str">
        <x:f>IF(414&gt;$H$4,"",IF(INDEX('Fleet dates'!$C$9:$C$1008,$I422-8)="","",INDEX('Fleet dates'!$C$9:$C$1008,$I422-8)))</x:f>
      </x:c>
      <x:c r="D422" s="51" t="str">
        <x:f>IF(414&gt;$H$4,"",IF(INDEX('Fleet dates'!$D$9:$D$1008,$I422-8)="","",INDEX('Fleet dates'!$D$9:$D$1008,$I422-8)))</x:f>
      </x:c>
      <x:c r="E422" s="51" t="str">
        <x:f>IF(414&gt;$H$4,"",IF(INDEX('Fleet dates'!$E$9:$E$1008,$I422-8)="","",INDEX('Fleet dates'!$E$9:$E$1008,$I422-8)))</x:f>
      </x:c>
      <x:c r="F422" s="51" t="str">
        <x:f>IF(414&gt;$H$4,"",IF(INDEX('Fleet dates'!$F$9:$F$1008,$I422-8)="","",INDEX('Fleet dates'!$F$9:$F$1008,$I422-8)))</x:f>
      </x:c>
      <x:c r="G422" s="50" t="str">
        <x:f>IF(414&gt;$H$4,"",IF(INDEX('Fleet dates'!$G$9:$G$1008,$I422-8)="","",INDEX('Fleet dates'!$G$9:$G$1008,$I422-8)))</x:f>
      </x:c>
      <x:c r="H422" s="50" t="str">
        <x:f>IF(414&gt;$H$4,"",IF(INDEX('Fleet dates'!$I$9:$I$1008,$I422-8)="","",INDEX('Fleet dates'!$I$9:$I$1008,$I422-8)))</x:f>
      </x:c>
      <x:c r="I422" t="str">
        <x:f>IF(414&gt;$H$4,"",MATCH(414,'Fleet dates'!$N$9:$N$1008,0)+8)</x:f>
      </x:c>
    </x:row>
    <x:row r="423" ht="36" customHeight="1">
      <x:c r="A423" s="50" t="str">
        <x:f>IF(415&gt;$H$4,"",IF(INDEX('Fleet dates'!$A$9:$A$1008,$I423-8)="","",INDEX('Fleet dates'!$A$9:$A$1008,$I423-8)))</x:f>
      </x:c>
      <x:c r="B423" s="50" t="str">
        <x:f>IF(415&gt;$H$4,"",IF(INDEX('Fleet dates'!$B$9:$B$1008,$I423-8)="","",INDEX('Fleet dates'!$B$9:$B$1008,$I423-8)))</x:f>
      </x:c>
      <x:c r="C423" s="51" t="str">
        <x:f>IF(415&gt;$H$4,"",IF(INDEX('Fleet dates'!$C$9:$C$1008,$I423-8)="","",INDEX('Fleet dates'!$C$9:$C$1008,$I423-8)))</x:f>
      </x:c>
      <x:c r="D423" s="51" t="str">
        <x:f>IF(415&gt;$H$4,"",IF(INDEX('Fleet dates'!$D$9:$D$1008,$I423-8)="","",INDEX('Fleet dates'!$D$9:$D$1008,$I423-8)))</x:f>
      </x:c>
      <x:c r="E423" s="51" t="str">
        <x:f>IF(415&gt;$H$4,"",IF(INDEX('Fleet dates'!$E$9:$E$1008,$I423-8)="","",INDEX('Fleet dates'!$E$9:$E$1008,$I423-8)))</x:f>
      </x:c>
      <x:c r="F423" s="51" t="str">
        <x:f>IF(415&gt;$H$4,"",IF(INDEX('Fleet dates'!$F$9:$F$1008,$I423-8)="","",INDEX('Fleet dates'!$F$9:$F$1008,$I423-8)))</x:f>
      </x:c>
      <x:c r="G423" s="50" t="str">
        <x:f>IF(415&gt;$H$4,"",IF(INDEX('Fleet dates'!$G$9:$G$1008,$I423-8)="","",INDEX('Fleet dates'!$G$9:$G$1008,$I423-8)))</x:f>
      </x:c>
      <x:c r="H423" s="50" t="str">
        <x:f>IF(415&gt;$H$4,"",IF(INDEX('Fleet dates'!$I$9:$I$1008,$I423-8)="","",INDEX('Fleet dates'!$I$9:$I$1008,$I423-8)))</x:f>
      </x:c>
      <x:c r="I423" t="str">
        <x:f>IF(415&gt;$H$4,"",MATCH(415,'Fleet dates'!$N$9:$N$1008,0)+8)</x:f>
      </x:c>
    </x:row>
    <x:row r="424" ht="36" customHeight="1">
      <x:c r="A424" s="50" t="str">
        <x:f>IF(416&gt;$H$4,"",IF(INDEX('Fleet dates'!$A$9:$A$1008,$I424-8)="","",INDEX('Fleet dates'!$A$9:$A$1008,$I424-8)))</x:f>
      </x:c>
      <x:c r="B424" s="50" t="str">
        <x:f>IF(416&gt;$H$4,"",IF(INDEX('Fleet dates'!$B$9:$B$1008,$I424-8)="","",INDEX('Fleet dates'!$B$9:$B$1008,$I424-8)))</x:f>
      </x:c>
      <x:c r="C424" s="51" t="str">
        <x:f>IF(416&gt;$H$4,"",IF(INDEX('Fleet dates'!$C$9:$C$1008,$I424-8)="","",INDEX('Fleet dates'!$C$9:$C$1008,$I424-8)))</x:f>
      </x:c>
      <x:c r="D424" s="51" t="str">
        <x:f>IF(416&gt;$H$4,"",IF(INDEX('Fleet dates'!$D$9:$D$1008,$I424-8)="","",INDEX('Fleet dates'!$D$9:$D$1008,$I424-8)))</x:f>
      </x:c>
      <x:c r="E424" s="51" t="str">
        <x:f>IF(416&gt;$H$4,"",IF(INDEX('Fleet dates'!$E$9:$E$1008,$I424-8)="","",INDEX('Fleet dates'!$E$9:$E$1008,$I424-8)))</x:f>
      </x:c>
      <x:c r="F424" s="51" t="str">
        <x:f>IF(416&gt;$H$4,"",IF(INDEX('Fleet dates'!$F$9:$F$1008,$I424-8)="","",INDEX('Fleet dates'!$F$9:$F$1008,$I424-8)))</x:f>
      </x:c>
      <x:c r="G424" s="50" t="str">
        <x:f>IF(416&gt;$H$4,"",IF(INDEX('Fleet dates'!$G$9:$G$1008,$I424-8)="","",INDEX('Fleet dates'!$G$9:$G$1008,$I424-8)))</x:f>
      </x:c>
      <x:c r="H424" s="50" t="str">
        <x:f>IF(416&gt;$H$4,"",IF(INDEX('Fleet dates'!$I$9:$I$1008,$I424-8)="","",INDEX('Fleet dates'!$I$9:$I$1008,$I424-8)))</x:f>
      </x:c>
      <x:c r="I424" t="str">
        <x:f>IF(416&gt;$H$4,"",MATCH(416,'Fleet dates'!$N$9:$N$1008,0)+8)</x:f>
      </x:c>
    </x:row>
    <x:row r="425" ht="36" customHeight="1">
      <x:c r="A425" s="50" t="str">
        <x:f>IF(417&gt;$H$4,"",IF(INDEX('Fleet dates'!$A$9:$A$1008,$I425-8)="","",INDEX('Fleet dates'!$A$9:$A$1008,$I425-8)))</x:f>
      </x:c>
      <x:c r="B425" s="50" t="str">
        <x:f>IF(417&gt;$H$4,"",IF(INDEX('Fleet dates'!$B$9:$B$1008,$I425-8)="","",INDEX('Fleet dates'!$B$9:$B$1008,$I425-8)))</x:f>
      </x:c>
      <x:c r="C425" s="51" t="str">
        <x:f>IF(417&gt;$H$4,"",IF(INDEX('Fleet dates'!$C$9:$C$1008,$I425-8)="","",INDEX('Fleet dates'!$C$9:$C$1008,$I425-8)))</x:f>
      </x:c>
      <x:c r="D425" s="51" t="str">
        <x:f>IF(417&gt;$H$4,"",IF(INDEX('Fleet dates'!$D$9:$D$1008,$I425-8)="","",INDEX('Fleet dates'!$D$9:$D$1008,$I425-8)))</x:f>
      </x:c>
      <x:c r="E425" s="51" t="str">
        <x:f>IF(417&gt;$H$4,"",IF(INDEX('Fleet dates'!$E$9:$E$1008,$I425-8)="","",INDEX('Fleet dates'!$E$9:$E$1008,$I425-8)))</x:f>
      </x:c>
      <x:c r="F425" s="51" t="str">
        <x:f>IF(417&gt;$H$4,"",IF(INDEX('Fleet dates'!$F$9:$F$1008,$I425-8)="","",INDEX('Fleet dates'!$F$9:$F$1008,$I425-8)))</x:f>
      </x:c>
      <x:c r="G425" s="50" t="str">
        <x:f>IF(417&gt;$H$4,"",IF(INDEX('Fleet dates'!$G$9:$G$1008,$I425-8)="","",INDEX('Fleet dates'!$G$9:$G$1008,$I425-8)))</x:f>
      </x:c>
      <x:c r="H425" s="50" t="str">
        <x:f>IF(417&gt;$H$4,"",IF(INDEX('Fleet dates'!$I$9:$I$1008,$I425-8)="","",INDEX('Fleet dates'!$I$9:$I$1008,$I425-8)))</x:f>
      </x:c>
      <x:c r="I425" t="str">
        <x:f>IF(417&gt;$H$4,"",MATCH(417,'Fleet dates'!$N$9:$N$1008,0)+8)</x:f>
      </x:c>
    </x:row>
    <x:row r="426" ht="36" customHeight="1">
      <x:c r="A426" s="50" t="str">
        <x:f>IF(418&gt;$H$4,"",IF(INDEX('Fleet dates'!$A$9:$A$1008,$I426-8)="","",INDEX('Fleet dates'!$A$9:$A$1008,$I426-8)))</x:f>
      </x:c>
      <x:c r="B426" s="50" t="str">
        <x:f>IF(418&gt;$H$4,"",IF(INDEX('Fleet dates'!$B$9:$B$1008,$I426-8)="","",INDEX('Fleet dates'!$B$9:$B$1008,$I426-8)))</x:f>
      </x:c>
      <x:c r="C426" s="51" t="str">
        <x:f>IF(418&gt;$H$4,"",IF(INDEX('Fleet dates'!$C$9:$C$1008,$I426-8)="","",INDEX('Fleet dates'!$C$9:$C$1008,$I426-8)))</x:f>
      </x:c>
      <x:c r="D426" s="51" t="str">
        <x:f>IF(418&gt;$H$4,"",IF(INDEX('Fleet dates'!$D$9:$D$1008,$I426-8)="","",INDEX('Fleet dates'!$D$9:$D$1008,$I426-8)))</x:f>
      </x:c>
      <x:c r="E426" s="51" t="str">
        <x:f>IF(418&gt;$H$4,"",IF(INDEX('Fleet dates'!$E$9:$E$1008,$I426-8)="","",INDEX('Fleet dates'!$E$9:$E$1008,$I426-8)))</x:f>
      </x:c>
      <x:c r="F426" s="51" t="str">
        <x:f>IF(418&gt;$H$4,"",IF(INDEX('Fleet dates'!$F$9:$F$1008,$I426-8)="","",INDEX('Fleet dates'!$F$9:$F$1008,$I426-8)))</x:f>
      </x:c>
      <x:c r="G426" s="50" t="str">
        <x:f>IF(418&gt;$H$4,"",IF(INDEX('Fleet dates'!$G$9:$G$1008,$I426-8)="","",INDEX('Fleet dates'!$G$9:$G$1008,$I426-8)))</x:f>
      </x:c>
      <x:c r="H426" s="50" t="str">
        <x:f>IF(418&gt;$H$4,"",IF(INDEX('Fleet dates'!$I$9:$I$1008,$I426-8)="","",INDEX('Fleet dates'!$I$9:$I$1008,$I426-8)))</x:f>
      </x:c>
      <x:c r="I426" t="str">
        <x:f>IF(418&gt;$H$4,"",MATCH(418,'Fleet dates'!$N$9:$N$1008,0)+8)</x:f>
      </x:c>
    </x:row>
    <x:row r="427" ht="36" customHeight="1">
      <x:c r="A427" s="50" t="str">
        <x:f>IF(419&gt;$H$4,"",IF(INDEX('Fleet dates'!$A$9:$A$1008,$I427-8)="","",INDEX('Fleet dates'!$A$9:$A$1008,$I427-8)))</x:f>
      </x:c>
      <x:c r="B427" s="50" t="str">
        <x:f>IF(419&gt;$H$4,"",IF(INDEX('Fleet dates'!$B$9:$B$1008,$I427-8)="","",INDEX('Fleet dates'!$B$9:$B$1008,$I427-8)))</x:f>
      </x:c>
      <x:c r="C427" s="51" t="str">
        <x:f>IF(419&gt;$H$4,"",IF(INDEX('Fleet dates'!$C$9:$C$1008,$I427-8)="","",INDEX('Fleet dates'!$C$9:$C$1008,$I427-8)))</x:f>
      </x:c>
      <x:c r="D427" s="51" t="str">
        <x:f>IF(419&gt;$H$4,"",IF(INDEX('Fleet dates'!$D$9:$D$1008,$I427-8)="","",INDEX('Fleet dates'!$D$9:$D$1008,$I427-8)))</x:f>
      </x:c>
      <x:c r="E427" s="51" t="str">
        <x:f>IF(419&gt;$H$4,"",IF(INDEX('Fleet dates'!$E$9:$E$1008,$I427-8)="","",INDEX('Fleet dates'!$E$9:$E$1008,$I427-8)))</x:f>
      </x:c>
      <x:c r="F427" s="51" t="str">
        <x:f>IF(419&gt;$H$4,"",IF(INDEX('Fleet dates'!$F$9:$F$1008,$I427-8)="","",INDEX('Fleet dates'!$F$9:$F$1008,$I427-8)))</x:f>
      </x:c>
      <x:c r="G427" s="50" t="str">
        <x:f>IF(419&gt;$H$4,"",IF(INDEX('Fleet dates'!$G$9:$G$1008,$I427-8)="","",INDEX('Fleet dates'!$G$9:$G$1008,$I427-8)))</x:f>
      </x:c>
      <x:c r="H427" s="50" t="str">
        <x:f>IF(419&gt;$H$4,"",IF(INDEX('Fleet dates'!$I$9:$I$1008,$I427-8)="","",INDEX('Fleet dates'!$I$9:$I$1008,$I427-8)))</x:f>
      </x:c>
      <x:c r="I427" t="str">
        <x:f>IF(419&gt;$H$4,"",MATCH(419,'Fleet dates'!$N$9:$N$1008,0)+8)</x:f>
      </x:c>
    </x:row>
    <x:row r="428" ht="36" customHeight="1">
      <x:c r="A428" s="50" t="str">
        <x:f>IF(420&gt;$H$4,"",IF(INDEX('Fleet dates'!$A$9:$A$1008,$I428-8)="","",INDEX('Fleet dates'!$A$9:$A$1008,$I428-8)))</x:f>
      </x:c>
      <x:c r="B428" s="50" t="str">
        <x:f>IF(420&gt;$H$4,"",IF(INDEX('Fleet dates'!$B$9:$B$1008,$I428-8)="","",INDEX('Fleet dates'!$B$9:$B$1008,$I428-8)))</x:f>
      </x:c>
      <x:c r="C428" s="51" t="str">
        <x:f>IF(420&gt;$H$4,"",IF(INDEX('Fleet dates'!$C$9:$C$1008,$I428-8)="","",INDEX('Fleet dates'!$C$9:$C$1008,$I428-8)))</x:f>
      </x:c>
      <x:c r="D428" s="51" t="str">
        <x:f>IF(420&gt;$H$4,"",IF(INDEX('Fleet dates'!$D$9:$D$1008,$I428-8)="","",INDEX('Fleet dates'!$D$9:$D$1008,$I428-8)))</x:f>
      </x:c>
      <x:c r="E428" s="51" t="str">
        <x:f>IF(420&gt;$H$4,"",IF(INDEX('Fleet dates'!$E$9:$E$1008,$I428-8)="","",INDEX('Fleet dates'!$E$9:$E$1008,$I428-8)))</x:f>
      </x:c>
      <x:c r="F428" s="51" t="str">
        <x:f>IF(420&gt;$H$4,"",IF(INDEX('Fleet dates'!$F$9:$F$1008,$I428-8)="","",INDEX('Fleet dates'!$F$9:$F$1008,$I428-8)))</x:f>
      </x:c>
      <x:c r="G428" s="50" t="str">
        <x:f>IF(420&gt;$H$4,"",IF(INDEX('Fleet dates'!$G$9:$G$1008,$I428-8)="","",INDEX('Fleet dates'!$G$9:$G$1008,$I428-8)))</x:f>
      </x:c>
      <x:c r="H428" s="50" t="str">
        <x:f>IF(420&gt;$H$4,"",IF(INDEX('Fleet dates'!$I$9:$I$1008,$I428-8)="","",INDEX('Fleet dates'!$I$9:$I$1008,$I428-8)))</x:f>
      </x:c>
      <x:c r="I428" t="str">
        <x:f>IF(420&gt;$H$4,"",MATCH(420,'Fleet dates'!$N$9:$N$1008,0)+8)</x:f>
      </x:c>
    </x:row>
    <x:row r="429" ht="36" customHeight="1">
      <x:c r="A429" s="50" t="str">
        <x:f>IF(421&gt;$H$4,"",IF(INDEX('Fleet dates'!$A$9:$A$1008,$I429-8)="","",INDEX('Fleet dates'!$A$9:$A$1008,$I429-8)))</x:f>
      </x:c>
      <x:c r="B429" s="50" t="str">
        <x:f>IF(421&gt;$H$4,"",IF(INDEX('Fleet dates'!$B$9:$B$1008,$I429-8)="","",INDEX('Fleet dates'!$B$9:$B$1008,$I429-8)))</x:f>
      </x:c>
      <x:c r="C429" s="51" t="str">
        <x:f>IF(421&gt;$H$4,"",IF(INDEX('Fleet dates'!$C$9:$C$1008,$I429-8)="","",INDEX('Fleet dates'!$C$9:$C$1008,$I429-8)))</x:f>
      </x:c>
      <x:c r="D429" s="51" t="str">
        <x:f>IF(421&gt;$H$4,"",IF(INDEX('Fleet dates'!$D$9:$D$1008,$I429-8)="","",INDEX('Fleet dates'!$D$9:$D$1008,$I429-8)))</x:f>
      </x:c>
      <x:c r="E429" s="51" t="str">
        <x:f>IF(421&gt;$H$4,"",IF(INDEX('Fleet dates'!$E$9:$E$1008,$I429-8)="","",INDEX('Fleet dates'!$E$9:$E$1008,$I429-8)))</x:f>
      </x:c>
      <x:c r="F429" s="51" t="str">
        <x:f>IF(421&gt;$H$4,"",IF(INDEX('Fleet dates'!$F$9:$F$1008,$I429-8)="","",INDEX('Fleet dates'!$F$9:$F$1008,$I429-8)))</x:f>
      </x:c>
      <x:c r="G429" s="50" t="str">
        <x:f>IF(421&gt;$H$4,"",IF(INDEX('Fleet dates'!$G$9:$G$1008,$I429-8)="","",INDEX('Fleet dates'!$G$9:$G$1008,$I429-8)))</x:f>
      </x:c>
      <x:c r="H429" s="50" t="str">
        <x:f>IF(421&gt;$H$4,"",IF(INDEX('Fleet dates'!$I$9:$I$1008,$I429-8)="","",INDEX('Fleet dates'!$I$9:$I$1008,$I429-8)))</x:f>
      </x:c>
      <x:c r="I429" t="str">
        <x:f>IF(421&gt;$H$4,"",MATCH(421,'Fleet dates'!$N$9:$N$1008,0)+8)</x:f>
      </x:c>
    </x:row>
    <x:row r="430" ht="36" customHeight="1">
      <x:c r="A430" s="50" t="str">
        <x:f>IF(422&gt;$H$4,"",IF(INDEX('Fleet dates'!$A$9:$A$1008,$I430-8)="","",INDEX('Fleet dates'!$A$9:$A$1008,$I430-8)))</x:f>
      </x:c>
      <x:c r="B430" s="50" t="str">
        <x:f>IF(422&gt;$H$4,"",IF(INDEX('Fleet dates'!$B$9:$B$1008,$I430-8)="","",INDEX('Fleet dates'!$B$9:$B$1008,$I430-8)))</x:f>
      </x:c>
      <x:c r="C430" s="51" t="str">
        <x:f>IF(422&gt;$H$4,"",IF(INDEX('Fleet dates'!$C$9:$C$1008,$I430-8)="","",INDEX('Fleet dates'!$C$9:$C$1008,$I430-8)))</x:f>
      </x:c>
      <x:c r="D430" s="51" t="str">
        <x:f>IF(422&gt;$H$4,"",IF(INDEX('Fleet dates'!$D$9:$D$1008,$I430-8)="","",INDEX('Fleet dates'!$D$9:$D$1008,$I430-8)))</x:f>
      </x:c>
      <x:c r="E430" s="51" t="str">
        <x:f>IF(422&gt;$H$4,"",IF(INDEX('Fleet dates'!$E$9:$E$1008,$I430-8)="","",INDEX('Fleet dates'!$E$9:$E$1008,$I430-8)))</x:f>
      </x:c>
      <x:c r="F430" s="51" t="str">
        <x:f>IF(422&gt;$H$4,"",IF(INDEX('Fleet dates'!$F$9:$F$1008,$I430-8)="","",INDEX('Fleet dates'!$F$9:$F$1008,$I430-8)))</x:f>
      </x:c>
      <x:c r="G430" s="50" t="str">
        <x:f>IF(422&gt;$H$4,"",IF(INDEX('Fleet dates'!$G$9:$G$1008,$I430-8)="","",INDEX('Fleet dates'!$G$9:$G$1008,$I430-8)))</x:f>
      </x:c>
      <x:c r="H430" s="50" t="str">
        <x:f>IF(422&gt;$H$4,"",IF(INDEX('Fleet dates'!$I$9:$I$1008,$I430-8)="","",INDEX('Fleet dates'!$I$9:$I$1008,$I430-8)))</x:f>
      </x:c>
      <x:c r="I430" t="str">
        <x:f>IF(422&gt;$H$4,"",MATCH(422,'Fleet dates'!$N$9:$N$1008,0)+8)</x:f>
      </x:c>
    </x:row>
    <x:row r="431" ht="36" customHeight="1">
      <x:c r="A431" s="50" t="str">
        <x:f>IF(423&gt;$H$4,"",IF(INDEX('Fleet dates'!$A$9:$A$1008,$I431-8)="","",INDEX('Fleet dates'!$A$9:$A$1008,$I431-8)))</x:f>
      </x:c>
      <x:c r="B431" s="50" t="str">
        <x:f>IF(423&gt;$H$4,"",IF(INDEX('Fleet dates'!$B$9:$B$1008,$I431-8)="","",INDEX('Fleet dates'!$B$9:$B$1008,$I431-8)))</x:f>
      </x:c>
      <x:c r="C431" s="51" t="str">
        <x:f>IF(423&gt;$H$4,"",IF(INDEX('Fleet dates'!$C$9:$C$1008,$I431-8)="","",INDEX('Fleet dates'!$C$9:$C$1008,$I431-8)))</x:f>
      </x:c>
      <x:c r="D431" s="51" t="str">
        <x:f>IF(423&gt;$H$4,"",IF(INDEX('Fleet dates'!$D$9:$D$1008,$I431-8)="","",INDEX('Fleet dates'!$D$9:$D$1008,$I431-8)))</x:f>
      </x:c>
      <x:c r="E431" s="51" t="str">
        <x:f>IF(423&gt;$H$4,"",IF(INDEX('Fleet dates'!$E$9:$E$1008,$I431-8)="","",INDEX('Fleet dates'!$E$9:$E$1008,$I431-8)))</x:f>
      </x:c>
      <x:c r="F431" s="51" t="str">
        <x:f>IF(423&gt;$H$4,"",IF(INDEX('Fleet dates'!$F$9:$F$1008,$I431-8)="","",INDEX('Fleet dates'!$F$9:$F$1008,$I431-8)))</x:f>
      </x:c>
      <x:c r="G431" s="50" t="str">
        <x:f>IF(423&gt;$H$4,"",IF(INDEX('Fleet dates'!$G$9:$G$1008,$I431-8)="","",INDEX('Fleet dates'!$G$9:$G$1008,$I431-8)))</x:f>
      </x:c>
      <x:c r="H431" s="50" t="str">
        <x:f>IF(423&gt;$H$4,"",IF(INDEX('Fleet dates'!$I$9:$I$1008,$I431-8)="","",INDEX('Fleet dates'!$I$9:$I$1008,$I431-8)))</x:f>
      </x:c>
      <x:c r="I431" t="str">
        <x:f>IF(423&gt;$H$4,"",MATCH(423,'Fleet dates'!$N$9:$N$1008,0)+8)</x:f>
      </x:c>
    </x:row>
    <x:row r="432" ht="36" customHeight="1">
      <x:c r="A432" s="50" t="str">
        <x:f>IF(424&gt;$H$4,"",IF(INDEX('Fleet dates'!$A$9:$A$1008,$I432-8)="","",INDEX('Fleet dates'!$A$9:$A$1008,$I432-8)))</x:f>
      </x:c>
      <x:c r="B432" s="50" t="str">
        <x:f>IF(424&gt;$H$4,"",IF(INDEX('Fleet dates'!$B$9:$B$1008,$I432-8)="","",INDEX('Fleet dates'!$B$9:$B$1008,$I432-8)))</x:f>
      </x:c>
      <x:c r="C432" s="51" t="str">
        <x:f>IF(424&gt;$H$4,"",IF(INDEX('Fleet dates'!$C$9:$C$1008,$I432-8)="","",INDEX('Fleet dates'!$C$9:$C$1008,$I432-8)))</x:f>
      </x:c>
      <x:c r="D432" s="51" t="str">
        <x:f>IF(424&gt;$H$4,"",IF(INDEX('Fleet dates'!$D$9:$D$1008,$I432-8)="","",INDEX('Fleet dates'!$D$9:$D$1008,$I432-8)))</x:f>
      </x:c>
      <x:c r="E432" s="51" t="str">
        <x:f>IF(424&gt;$H$4,"",IF(INDEX('Fleet dates'!$E$9:$E$1008,$I432-8)="","",INDEX('Fleet dates'!$E$9:$E$1008,$I432-8)))</x:f>
      </x:c>
      <x:c r="F432" s="51" t="str">
        <x:f>IF(424&gt;$H$4,"",IF(INDEX('Fleet dates'!$F$9:$F$1008,$I432-8)="","",INDEX('Fleet dates'!$F$9:$F$1008,$I432-8)))</x:f>
      </x:c>
      <x:c r="G432" s="50" t="str">
        <x:f>IF(424&gt;$H$4,"",IF(INDEX('Fleet dates'!$G$9:$G$1008,$I432-8)="","",INDEX('Fleet dates'!$G$9:$G$1008,$I432-8)))</x:f>
      </x:c>
      <x:c r="H432" s="50" t="str">
        <x:f>IF(424&gt;$H$4,"",IF(INDEX('Fleet dates'!$I$9:$I$1008,$I432-8)="","",INDEX('Fleet dates'!$I$9:$I$1008,$I432-8)))</x:f>
      </x:c>
      <x:c r="I432" t="str">
        <x:f>IF(424&gt;$H$4,"",MATCH(424,'Fleet dates'!$N$9:$N$1008,0)+8)</x:f>
      </x:c>
    </x:row>
    <x:row r="433" ht="36" customHeight="1">
      <x:c r="A433" s="50" t="str">
        <x:f>IF(425&gt;$H$4,"",IF(INDEX('Fleet dates'!$A$9:$A$1008,$I433-8)="","",INDEX('Fleet dates'!$A$9:$A$1008,$I433-8)))</x:f>
      </x:c>
      <x:c r="B433" s="50" t="str">
        <x:f>IF(425&gt;$H$4,"",IF(INDEX('Fleet dates'!$B$9:$B$1008,$I433-8)="","",INDEX('Fleet dates'!$B$9:$B$1008,$I433-8)))</x:f>
      </x:c>
      <x:c r="C433" s="51" t="str">
        <x:f>IF(425&gt;$H$4,"",IF(INDEX('Fleet dates'!$C$9:$C$1008,$I433-8)="","",INDEX('Fleet dates'!$C$9:$C$1008,$I433-8)))</x:f>
      </x:c>
      <x:c r="D433" s="51" t="str">
        <x:f>IF(425&gt;$H$4,"",IF(INDEX('Fleet dates'!$D$9:$D$1008,$I433-8)="","",INDEX('Fleet dates'!$D$9:$D$1008,$I433-8)))</x:f>
      </x:c>
      <x:c r="E433" s="51" t="str">
        <x:f>IF(425&gt;$H$4,"",IF(INDEX('Fleet dates'!$E$9:$E$1008,$I433-8)="","",INDEX('Fleet dates'!$E$9:$E$1008,$I433-8)))</x:f>
      </x:c>
      <x:c r="F433" s="51" t="str">
        <x:f>IF(425&gt;$H$4,"",IF(INDEX('Fleet dates'!$F$9:$F$1008,$I433-8)="","",INDEX('Fleet dates'!$F$9:$F$1008,$I433-8)))</x:f>
      </x:c>
      <x:c r="G433" s="50" t="str">
        <x:f>IF(425&gt;$H$4,"",IF(INDEX('Fleet dates'!$G$9:$G$1008,$I433-8)="","",INDEX('Fleet dates'!$G$9:$G$1008,$I433-8)))</x:f>
      </x:c>
      <x:c r="H433" s="50" t="str">
        <x:f>IF(425&gt;$H$4,"",IF(INDEX('Fleet dates'!$I$9:$I$1008,$I433-8)="","",INDEX('Fleet dates'!$I$9:$I$1008,$I433-8)))</x:f>
      </x:c>
      <x:c r="I433" t="str">
        <x:f>IF(425&gt;$H$4,"",MATCH(425,'Fleet dates'!$N$9:$N$1008,0)+8)</x:f>
      </x:c>
    </x:row>
    <x:row r="434" ht="36" customHeight="1">
      <x:c r="A434" s="50" t="str">
        <x:f>IF(426&gt;$H$4,"",IF(INDEX('Fleet dates'!$A$9:$A$1008,$I434-8)="","",INDEX('Fleet dates'!$A$9:$A$1008,$I434-8)))</x:f>
      </x:c>
      <x:c r="B434" s="50" t="str">
        <x:f>IF(426&gt;$H$4,"",IF(INDEX('Fleet dates'!$B$9:$B$1008,$I434-8)="","",INDEX('Fleet dates'!$B$9:$B$1008,$I434-8)))</x:f>
      </x:c>
      <x:c r="C434" s="51" t="str">
        <x:f>IF(426&gt;$H$4,"",IF(INDEX('Fleet dates'!$C$9:$C$1008,$I434-8)="","",INDEX('Fleet dates'!$C$9:$C$1008,$I434-8)))</x:f>
      </x:c>
      <x:c r="D434" s="51" t="str">
        <x:f>IF(426&gt;$H$4,"",IF(INDEX('Fleet dates'!$D$9:$D$1008,$I434-8)="","",INDEX('Fleet dates'!$D$9:$D$1008,$I434-8)))</x:f>
      </x:c>
      <x:c r="E434" s="51" t="str">
        <x:f>IF(426&gt;$H$4,"",IF(INDEX('Fleet dates'!$E$9:$E$1008,$I434-8)="","",INDEX('Fleet dates'!$E$9:$E$1008,$I434-8)))</x:f>
      </x:c>
      <x:c r="F434" s="51" t="str">
        <x:f>IF(426&gt;$H$4,"",IF(INDEX('Fleet dates'!$F$9:$F$1008,$I434-8)="","",INDEX('Fleet dates'!$F$9:$F$1008,$I434-8)))</x:f>
      </x:c>
      <x:c r="G434" s="50" t="str">
        <x:f>IF(426&gt;$H$4,"",IF(INDEX('Fleet dates'!$G$9:$G$1008,$I434-8)="","",INDEX('Fleet dates'!$G$9:$G$1008,$I434-8)))</x:f>
      </x:c>
      <x:c r="H434" s="50" t="str">
        <x:f>IF(426&gt;$H$4,"",IF(INDEX('Fleet dates'!$I$9:$I$1008,$I434-8)="","",INDEX('Fleet dates'!$I$9:$I$1008,$I434-8)))</x:f>
      </x:c>
      <x:c r="I434" t="str">
        <x:f>IF(426&gt;$H$4,"",MATCH(426,'Fleet dates'!$N$9:$N$1008,0)+8)</x:f>
      </x:c>
    </x:row>
    <x:row r="435" ht="36" customHeight="1">
      <x:c r="A435" s="50" t="str">
        <x:f>IF(427&gt;$H$4,"",IF(INDEX('Fleet dates'!$A$9:$A$1008,$I435-8)="","",INDEX('Fleet dates'!$A$9:$A$1008,$I435-8)))</x:f>
      </x:c>
      <x:c r="B435" s="50" t="str">
        <x:f>IF(427&gt;$H$4,"",IF(INDEX('Fleet dates'!$B$9:$B$1008,$I435-8)="","",INDEX('Fleet dates'!$B$9:$B$1008,$I435-8)))</x:f>
      </x:c>
      <x:c r="C435" s="51" t="str">
        <x:f>IF(427&gt;$H$4,"",IF(INDEX('Fleet dates'!$C$9:$C$1008,$I435-8)="","",INDEX('Fleet dates'!$C$9:$C$1008,$I435-8)))</x:f>
      </x:c>
      <x:c r="D435" s="51" t="str">
        <x:f>IF(427&gt;$H$4,"",IF(INDEX('Fleet dates'!$D$9:$D$1008,$I435-8)="","",INDEX('Fleet dates'!$D$9:$D$1008,$I435-8)))</x:f>
      </x:c>
      <x:c r="E435" s="51" t="str">
        <x:f>IF(427&gt;$H$4,"",IF(INDEX('Fleet dates'!$E$9:$E$1008,$I435-8)="","",INDEX('Fleet dates'!$E$9:$E$1008,$I435-8)))</x:f>
      </x:c>
      <x:c r="F435" s="51" t="str">
        <x:f>IF(427&gt;$H$4,"",IF(INDEX('Fleet dates'!$F$9:$F$1008,$I435-8)="","",INDEX('Fleet dates'!$F$9:$F$1008,$I435-8)))</x:f>
      </x:c>
      <x:c r="G435" s="50" t="str">
        <x:f>IF(427&gt;$H$4,"",IF(INDEX('Fleet dates'!$G$9:$G$1008,$I435-8)="","",INDEX('Fleet dates'!$G$9:$G$1008,$I435-8)))</x:f>
      </x:c>
      <x:c r="H435" s="50" t="str">
        <x:f>IF(427&gt;$H$4,"",IF(INDEX('Fleet dates'!$I$9:$I$1008,$I435-8)="","",INDEX('Fleet dates'!$I$9:$I$1008,$I435-8)))</x:f>
      </x:c>
      <x:c r="I435" t="str">
        <x:f>IF(427&gt;$H$4,"",MATCH(427,'Fleet dates'!$N$9:$N$1008,0)+8)</x:f>
      </x:c>
    </x:row>
    <x:row r="436" ht="36" customHeight="1">
      <x:c r="A436" s="50" t="str">
        <x:f>IF(428&gt;$H$4,"",IF(INDEX('Fleet dates'!$A$9:$A$1008,$I436-8)="","",INDEX('Fleet dates'!$A$9:$A$1008,$I436-8)))</x:f>
      </x:c>
      <x:c r="B436" s="50" t="str">
        <x:f>IF(428&gt;$H$4,"",IF(INDEX('Fleet dates'!$B$9:$B$1008,$I436-8)="","",INDEX('Fleet dates'!$B$9:$B$1008,$I436-8)))</x:f>
      </x:c>
      <x:c r="C436" s="51" t="str">
        <x:f>IF(428&gt;$H$4,"",IF(INDEX('Fleet dates'!$C$9:$C$1008,$I436-8)="","",INDEX('Fleet dates'!$C$9:$C$1008,$I436-8)))</x:f>
      </x:c>
      <x:c r="D436" s="51" t="str">
        <x:f>IF(428&gt;$H$4,"",IF(INDEX('Fleet dates'!$D$9:$D$1008,$I436-8)="","",INDEX('Fleet dates'!$D$9:$D$1008,$I436-8)))</x:f>
      </x:c>
      <x:c r="E436" s="51" t="str">
        <x:f>IF(428&gt;$H$4,"",IF(INDEX('Fleet dates'!$E$9:$E$1008,$I436-8)="","",INDEX('Fleet dates'!$E$9:$E$1008,$I436-8)))</x:f>
      </x:c>
      <x:c r="F436" s="51" t="str">
        <x:f>IF(428&gt;$H$4,"",IF(INDEX('Fleet dates'!$F$9:$F$1008,$I436-8)="","",INDEX('Fleet dates'!$F$9:$F$1008,$I436-8)))</x:f>
      </x:c>
      <x:c r="G436" s="50" t="str">
        <x:f>IF(428&gt;$H$4,"",IF(INDEX('Fleet dates'!$G$9:$G$1008,$I436-8)="","",INDEX('Fleet dates'!$G$9:$G$1008,$I436-8)))</x:f>
      </x:c>
      <x:c r="H436" s="50" t="str">
        <x:f>IF(428&gt;$H$4,"",IF(INDEX('Fleet dates'!$I$9:$I$1008,$I436-8)="","",INDEX('Fleet dates'!$I$9:$I$1008,$I436-8)))</x:f>
      </x:c>
      <x:c r="I436" t="str">
        <x:f>IF(428&gt;$H$4,"",MATCH(428,'Fleet dates'!$N$9:$N$1008,0)+8)</x:f>
      </x:c>
    </x:row>
    <x:row r="437" ht="36" customHeight="1">
      <x:c r="A437" s="50" t="str">
        <x:f>IF(429&gt;$H$4,"",IF(INDEX('Fleet dates'!$A$9:$A$1008,$I437-8)="","",INDEX('Fleet dates'!$A$9:$A$1008,$I437-8)))</x:f>
      </x:c>
      <x:c r="B437" s="50" t="str">
        <x:f>IF(429&gt;$H$4,"",IF(INDEX('Fleet dates'!$B$9:$B$1008,$I437-8)="","",INDEX('Fleet dates'!$B$9:$B$1008,$I437-8)))</x:f>
      </x:c>
      <x:c r="C437" s="51" t="str">
        <x:f>IF(429&gt;$H$4,"",IF(INDEX('Fleet dates'!$C$9:$C$1008,$I437-8)="","",INDEX('Fleet dates'!$C$9:$C$1008,$I437-8)))</x:f>
      </x:c>
      <x:c r="D437" s="51" t="str">
        <x:f>IF(429&gt;$H$4,"",IF(INDEX('Fleet dates'!$D$9:$D$1008,$I437-8)="","",INDEX('Fleet dates'!$D$9:$D$1008,$I437-8)))</x:f>
      </x:c>
      <x:c r="E437" s="51" t="str">
        <x:f>IF(429&gt;$H$4,"",IF(INDEX('Fleet dates'!$E$9:$E$1008,$I437-8)="","",INDEX('Fleet dates'!$E$9:$E$1008,$I437-8)))</x:f>
      </x:c>
      <x:c r="F437" s="51" t="str">
        <x:f>IF(429&gt;$H$4,"",IF(INDEX('Fleet dates'!$F$9:$F$1008,$I437-8)="","",INDEX('Fleet dates'!$F$9:$F$1008,$I437-8)))</x:f>
      </x:c>
      <x:c r="G437" s="50" t="str">
        <x:f>IF(429&gt;$H$4,"",IF(INDEX('Fleet dates'!$G$9:$G$1008,$I437-8)="","",INDEX('Fleet dates'!$G$9:$G$1008,$I437-8)))</x:f>
      </x:c>
      <x:c r="H437" s="50" t="str">
        <x:f>IF(429&gt;$H$4,"",IF(INDEX('Fleet dates'!$I$9:$I$1008,$I437-8)="","",INDEX('Fleet dates'!$I$9:$I$1008,$I437-8)))</x:f>
      </x:c>
      <x:c r="I437" t="str">
        <x:f>IF(429&gt;$H$4,"",MATCH(429,'Fleet dates'!$N$9:$N$1008,0)+8)</x:f>
      </x:c>
    </x:row>
    <x:row r="438" ht="36" customHeight="1">
      <x:c r="A438" s="50" t="str">
        <x:f>IF(430&gt;$H$4,"",IF(INDEX('Fleet dates'!$A$9:$A$1008,$I438-8)="","",INDEX('Fleet dates'!$A$9:$A$1008,$I438-8)))</x:f>
      </x:c>
      <x:c r="B438" s="50" t="str">
        <x:f>IF(430&gt;$H$4,"",IF(INDEX('Fleet dates'!$B$9:$B$1008,$I438-8)="","",INDEX('Fleet dates'!$B$9:$B$1008,$I438-8)))</x:f>
      </x:c>
      <x:c r="C438" s="51" t="str">
        <x:f>IF(430&gt;$H$4,"",IF(INDEX('Fleet dates'!$C$9:$C$1008,$I438-8)="","",INDEX('Fleet dates'!$C$9:$C$1008,$I438-8)))</x:f>
      </x:c>
      <x:c r="D438" s="51" t="str">
        <x:f>IF(430&gt;$H$4,"",IF(INDEX('Fleet dates'!$D$9:$D$1008,$I438-8)="","",INDEX('Fleet dates'!$D$9:$D$1008,$I438-8)))</x:f>
      </x:c>
      <x:c r="E438" s="51" t="str">
        <x:f>IF(430&gt;$H$4,"",IF(INDEX('Fleet dates'!$E$9:$E$1008,$I438-8)="","",INDEX('Fleet dates'!$E$9:$E$1008,$I438-8)))</x:f>
      </x:c>
      <x:c r="F438" s="51" t="str">
        <x:f>IF(430&gt;$H$4,"",IF(INDEX('Fleet dates'!$F$9:$F$1008,$I438-8)="","",INDEX('Fleet dates'!$F$9:$F$1008,$I438-8)))</x:f>
      </x:c>
      <x:c r="G438" s="50" t="str">
        <x:f>IF(430&gt;$H$4,"",IF(INDEX('Fleet dates'!$G$9:$G$1008,$I438-8)="","",INDEX('Fleet dates'!$G$9:$G$1008,$I438-8)))</x:f>
      </x:c>
      <x:c r="H438" s="50" t="str">
        <x:f>IF(430&gt;$H$4,"",IF(INDEX('Fleet dates'!$I$9:$I$1008,$I438-8)="","",INDEX('Fleet dates'!$I$9:$I$1008,$I438-8)))</x:f>
      </x:c>
      <x:c r="I438" t="str">
        <x:f>IF(430&gt;$H$4,"",MATCH(430,'Fleet dates'!$N$9:$N$1008,0)+8)</x:f>
      </x:c>
    </x:row>
    <x:row r="439" ht="36" customHeight="1">
      <x:c r="A439" s="50" t="str">
        <x:f>IF(431&gt;$H$4,"",IF(INDEX('Fleet dates'!$A$9:$A$1008,$I439-8)="","",INDEX('Fleet dates'!$A$9:$A$1008,$I439-8)))</x:f>
      </x:c>
      <x:c r="B439" s="50" t="str">
        <x:f>IF(431&gt;$H$4,"",IF(INDEX('Fleet dates'!$B$9:$B$1008,$I439-8)="","",INDEX('Fleet dates'!$B$9:$B$1008,$I439-8)))</x:f>
      </x:c>
      <x:c r="C439" s="51" t="str">
        <x:f>IF(431&gt;$H$4,"",IF(INDEX('Fleet dates'!$C$9:$C$1008,$I439-8)="","",INDEX('Fleet dates'!$C$9:$C$1008,$I439-8)))</x:f>
      </x:c>
      <x:c r="D439" s="51" t="str">
        <x:f>IF(431&gt;$H$4,"",IF(INDEX('Fleet dates'!$D$9:$D$1008,$I439-8)="","",INDEX('Fleet dates'!$D$9:$D$1008,$I439-8)))</x:f>
      </x:c>
      <x:c r="E439" s="51" t="str">
        <x:f>IF(431&gt;$H$4,"",IF(INDEX('Fleet dates'!$E$9:$E$1008,$I439-8)="","",INDEX('Fleet dates'!$E$9:$E$1008,$I439-8)))</x:f>
      </x:c>
      <x:c r="F439" s="51" t="str">
        <x:f>IF(431&gt;$H$4,"",IF(INDEX('Fleet dates'!$F$9:$F$1008,$I439-8)="","",INDEX('Fleet dates'!$F$9:$F$1008,$I439-8)))</x:f>
      </x:c>
      <x:c r="G439" s="50" t="str">
        <x:f>IF(431&gt;$H$4,"",IF(INDEX('Fleet dates'!$G$9:$G$1008,$I439-8)="","",INDEX('Fleet dates'!$G$9:$G$1008,$I439-8)))</x:f>
      </x:c>
      <x:c r="H439" s="50" t="str">
        <x:f>IF(431&gt;$H$4,"",IF(INDEX('Fleet dates'!$I$9:$I$1008,$I439-8)="","",INDEX('Fleet dates'!$I$9:$I$1008,$I439-8)))</x:f>
      </x:c>
      <x:c r="I439" t="str">
        <x:f>IF(431&gt;$H$4,"",MATCH(431,'Fleet dates'!$N$9:$N$1008,0)+8)</x:f>
      </x:c>
    </x:row>
    <x:row r="440" ht="36" customHeight="1">
      <x:c r="A440" s="50" t="str">
        <x:f>IF(432&gt;$H$4,"",IF(INDEX('Fleet dates'!$A$9:$A$1008,$I440-8)="","",INDEX('Fleet dates'!$A$9:$A$1008,$I440-8)))</x:f>
      </x:c>
      <x:c r="B440" s="50" t="str">
        <x:f>IF(432&gt;$H$4,"",IF(INDEX('Fleet dates'!$B$9:$B$1008,$I440-8)="","",INDEX('Fleet dates'!$B$9:$B$1008,$I440-8)))</x:f>
      </x:c>
      <x:c r="C440" s="51" t="str">
        <x:f>IF(432&gt;$H$4,"",IF(INDEX('Fleet dates'!$C$9:$C$1008,$I440-8)="","",INDEX('Fleet dates'!$C$9:$C$1008,$I440-8)))</x:f>
      </x:c>
      <x:c r="D440" s="51" t="str">
        <x:f>IF(432&gt;$H$4,"",IF(INDEX('Fleet dates'!$D$9:$D$1008,$I440-8)="","",INDEX('Fleet dates'!$D$9:$D$1008,$I440-8)))</x:f>
      </x:c>
      <x:c r="E440" s="51" t="str">
        <x:f>IF(432&gt;$H$4,"",IF(INDEX('Fleet dates'!$E$9:$E$1008,$I440-8)="","",INDEX('Fleet dates'!$E$9:$E$1008,$I440-8)))</x:f>
      </x:c>
      <x:c r="F440" s="51" t="str">
        <x:f>IF(432&gt;$H$4,"",IF(INDEX('Fleet dates'!$F$9:$F$1008,$I440-8)="","",INDEX('Fleet dates'!$F$9:$F$1008,$I440-8)))</x:f>
      </x:c>
      <x:c r="G440" s="50" t="str">
        <x:f>IF(432&gt;$H$4,"",IF(INDEX('Fleet dates'!$G$9:$G$1008,$I440-8)="","",INDEX('Fleet dates'!$G$9:$G$1008,$I440-8)))</x:f>
      </x:c>
      <x:c r="H440" s="50" t="str">
        <x:f>IF(432&gt;$H$4,"",IF(INDEX('Fleet dates'!$I$9:$I$1008,$I440-8)="","",INDEX('Fleet dates'!$I$9:$I$1008,$I440-8)))</x:f>
      </x:c>
      <x:c r="I440" t="str">
        <x:f>IF(432&gt;$H$4,"",MATCH(432,'Fleet dates'!$N$9:$N$1008,0)+8)</x:f>
      </x:c>
    </x:row>
    <x:row r="441" ht="36" customHeight="1">
      <x:c r="A441" s="50" t="str">
        <x:f>IF(433&gt;$H$4,"",IF(INDEX('Fleet dates'!$A$9:$A$1008,$I441-8)="","",INDEX('Fleet dates'!$A$9:$A$1008,$I441-8)))</x:f>
      </x:c>
      <x:c r="B441" s="50" t="str">
        <x:f>IF(433&gt;$H$4,"",IF(INDEX('Fleet dates'!$B$9:$B$1008,$I441-8)="","",INDEX('Fleet dates'!$B$9:$B$1008,$I441-8)))</x:f>
      </x:c>
      <x:c r="C441" s="51" t="str">
        <x:f>IF(433&gt;$H$4,"",IF(INDEX('Fleet dates'!$C$9:$C$1008,$I441-8)="","",INDEX('Fleet dates'!$C$9:$C$1008,$I441-8)))</x:f>
      </x:c>
      <x:c r="D441" s="51" t="str">
        <x:f>IF(433&gt;$H$4,"",IF(INDEX('Fleet dates'!$D$9:$D$1008,$I441-8)="","",INDEX('Fleet dates'!$D$9:$D$1008,$I441-8)))</x:f>
      </x:c>
      <x:c r="E441" s="51" t="str">
        <x:f>IF(433&gt;$H$4,"",IF(INDEX('Fleet dates'!$E$9:$E$1008,$I441-8)="","",INDEX('Fleet dates'!$E$9:$E$1008,$I441-8)))</x:f>
      </x:c>
      <x:c r="F441" s="51" t="str">
        <x:f>IF(433&gt;$H$4,"",IF(INDEX('Fleet dates'!$F$9:$F$1008,$I441-8)="","",INDEX('Fleet dates'!$F$9:$F$1008,$I441-8)))</x:f>
      </x:c>
      <x:c r="G441" s="50" t="str">
        <x:f>IF(433&gt;$H$4,"",IF(INDEX('Fleet dates'!$G$9:$G$1008,$I441-8)="","",INDEX('Fleet dates'!$G$9:$G$1008,$I441-8)))</x:f>
      </x:c>
      <x:c r="H441" s="50" t="str">
        <x:f>IF(433&gt;$H$4,"",IF(INDEX('Fleet dates'!$I$9:$I$1008,$I441-8)="","",INDEX('Fleet dates'!$I$9:$I$1008,$I441-8)))</x:f>
      </x:c>
      <x:c r="I441" t="str">
        <x:f>IF(433&gt;$H$4,"",MATCH(433,'Fleet dates'!$N$9:$N$1008,0)+8)</x:f>
      </x:c>
    </x:row>
    <x:row r="442" ht="36" customHeight="1">
      <x:c r="A442" s="50" t="str">
        <x:f>IF(434&gt;$H$4,"",IF(INDEX('Fleet dates'!$A$9:$A$1008,$I442-8)="","",INDEX('Fleet dates'!$A$9:$A$1008,$I442-8)))</x:f>
      </x:c>
      <x:c r="B442" s="50" t="str">
        <x:f>IF(434&gt;$H$4,"",IF(INDEX('Fleet dates'!$B$9:$B$1008,$I442-8)="","",INDEX('Fleet dates'!$B$9:$B$1008,$I442-8)))</x:f>
      </x:c>
      <x:c r="C442" s="51" t="str">
        <x:f>IF(434&gt;$H$4,"",IF(INDEX('Fleet dates'!$C$9:$C$1008,$I442-8)="","",INDEX('Fleet dates'!$C$9:$C$1008,$I442-8)))</x:f>
      </x:c>
      <x:c r="D442" s="51" t="str">
        <x:f>IF(434&gt;$H$4,"",IF(INDEX('Fleet dates'!$D$9:$D$1008,$I442-8)="","",INDEX('Fleet dates'!$D$9:$D$1008,$I442-8)))</x:f>
      </x:c>
      <x:c r="E442" s="51" t="str">
        <x:f>IF(434&gt;$H$4,"",IF(INDEX('Fleet dates'!$E$9:$E$1008,$I442-8)="","",INDEX('Fleet dates'!$E$9:$E$1008,$I442-8)))</x:f>
      </x:c>
      <x:c r="F442" s="51" t="str">
        <x:f>IF(434&gt;$H$4,"",IF(INDEX('Fleet dates'!$F$9:$F$1008,$I442-8)="","",INDEX('Fleet dates'!$F$9:$F$1008,$I442-8)))</x:f>
      </x:c>
      <x:c r="G442" s="50" t="str">
        <x:f>IF(434&gt;$H$4,"",IF(INDEX('Fleet dates'!$G$9:$G$1008,$I442-8)="","",INDEX('Fleet dates'!$G$9:$G$1008,$I442-8)))</x:f>
      </x:c>
      <x:c r="H442" s="50" t="str">
        <x:f>IF(434&gt;$H$4,"",IF(INDEX('Fleet dates'!$I$9:$I$1008,$I442-8)="","",INDEX('Fleet dates'!$I$9:$I$1008,$I442-8)))</x:f>
      </x:c>
      <x:c r="I442" t="str">
        <x:f>IF(434&gt;$H$4,"",MATCH(434,'Fleet dates'!$N$9:$N$1008,0)+8)</x:f>
      </x:c>
    </x:row>
    <x:row r="443" ht="36" customHeight="1">
      <x:c r="A443" s="50" t="str">
        <x:f>IF(435&gt;$H$4,"",IF(INDEX('Fleet dates'!$A$9:$A$1008,$I443-8)="","",INDEX('Fleet dates'!$A$9:$A$1008,$I443-8)))</x:f>
      </x:c>
      <x:c r="B443" s="50" t="str">
        <x:f>IF(435&gt;$H$4,"",IF(INDEX('Fleet dates'!$B$9:$B$1008,$I443-8)="","",INDEX('Fleet dates'!$B$9:$B$1008,$I443-8)))</x:f>
      </x:c>
      <x:c r="C443" s="51" t="str">
        <x:f>IF(435&gt;$H$4,"",IF(INDEX('Fleet dates'!$C$9:$C$1008,$I443-8)="","",INDEX('Fleet dates'!$C$9:$C$1008,$I443-8)))</x:f>
      </x:c>
      <x:c r="D443" s="51" t="str">
        <x:f>IF(435&gt;$H$4,"",IF(INDEX('Fleet dates'!$D$9:$D$1008,$I443-8)="","",INDEX('Fleet dates'!$D$9:$D$1008,$I443-8)))</x:f>
      </x:c>
      <x:c r="E443" s="51" t="str">
        <x:f>IF(435&gt;$H$4,"",IF(INDEX('Fleet dates'!$E$9:$E$1008,$I443-8)="","",INDEX('Fleet dates'!$E$9:$E$1008,$I443-8)))</x:f>
      </x:c>
      <x:c r="F443" s="51" t="str">
        <x:f>IF(435&gt;$H$4,"",IF(INDEX('Fleet dates'!$F$9:$F$1008,$I443-8)="","",INDEX('Fleet dates'!$F$9:$F$1008,$I443-8)))</x:f>
      </x:c>
      <x:c r="G443" s="50" t="str">
        <x:f>IF(435&gt;$H$4,"",IF(INDEX('Fleet dates'!$G$9:$G$1008,$I443-8)="","",INDEX('Fleet dates'!$G$9:$G$1008,$I443-8)))</x:f>
      </x:c>
      <x:c r="H443" s="50" t="str">
        <x:f>IF(435&gt;$H$4,"",IF(INDEX('Fleet dates'!$I$9:$I$1008,$I443-8)="","",INDEX('Fleet dates'!$I$9:$I$1008,$I443-8)))</x:f>
      </x:c>
      <x:c r="I443" t="str">
        <x:f>IF(435&gt;$H$4,"",MATCH(435,'Fleet dates'!$N$9:$N$1008,0)+8)</x:f>
      </x:c>
    </x:row>
    <x:row r="444" ht="36" customHeight="1">
      <x:c r="A444" s="50" t="str">
        <x:f>IF(436&gt;$H$4,"",IF(INDEX('Fleet dates'!$A$9:$A$1008,$I444-8)="","",INDEX('Fleet dates'!$A$9:$A$1008,$I444-8)))</x:f>
      </x:c>
      <x:c r="B444" s="50" t="str">
        <x:f>IF(436&gt;$H$4,"",IF(INDEX('Fleet dates'!$B$9:$B$1008,$I444-8)="","",INDEX('Fleet dates'!$B$9:$B$1008,$I444-8)))</x:f>
      </x:c>
      <x:c r="C444" s="51" t="str">
        <x:f>IF(436&gt;$H$4,"",IF(INDEX('Fleet dates'!$C$9:$C$1008,$I444-8)="","",INDEX('Fleet dates'!$C$9:$C$1008,$I444-8)))</x:f>
      </x:c>
      <x:c r="D444" s="51" t="str">
        <x:f>IF(436&gt;$H$4,"",IF(INDEX('Fleet dates'!$D$9:$D$1008,$I444-8)="","",INDEX('Fleet dates'!$D$9:$D$1008,$I444-8)))</x:f>
      </x:c>
      <x:c r="E444" s="51" t="str">
        <x:f>IF(436&gt;$H$4,"",IF(INDEX('Fleet dates'!$E$9:$E$1008,$I444-8)="","",INDEX('Fleet dates'!$E$9:$E$1008,$I444-8)))</x:f>
      </x:c>
      <x:c r="F444" s="51" t="str">
        <x:f>IF(436&gt;$H$4,"",IF(INDEX('Fleet dates'!$F$9:$F$1008,$I444-8)="","",INDEX('Fleet dates'!$F$9:$F$1008,$I444-8)))</x:f>
      </x:c>
      <x:c r="G444" s="50" t="str">
        <x:f>IF(436&gt;$H$4,"",IF(INDEX('Fleet dates'!$G$9:$G$1008,$I444-8)="","",INDEX('Fleet dates'!$G$9:$G$1008,$I444-8)))</x:f>
      </x:c>
      <x:c r="H444" s="50" t="str">
        <x:f>IF(436&gt;$H$4,"",IF(INDEX('Fleet dates'!$I$9:$I$1008,$I444-8)="","",INDEX('Fleet dates'!$I$9:$I$1008,$I444-8)))</x:f>
      </x:c>
      <x:c r="I444" t="str">
        <x:f>IF(436&gt;$H$4,"",MATCH(436,'Fleet dates'!$N$9:$N$1008,0)+8)</x:f>
      </x:c>
    </x:row>
    <x:row r="445" ht="36" customHeight="1">
      <x:c r="A445" s="50" t="str">
        <x:f>IF(437&gt;$H$4,"",IF(INDEX('Fleet dates'!$A$9:$A$1008,$I445-8)="","",INDEX('Fleet dates'!$A$9:$A$1008,$I445-8)))</x:f>
      </x:c>
      <x:c r="B445" s="50" t="str">
        <x:f>IF(437&gt;$H$4,"",IF(INDEX('Fleet dates'!$B$9:$B$1008,$I445-8)="","",INDEX('Fleet dates'!$B$9:$B$1008,$I445-8)))</x:f>
      </x:c>
      <x:c r="C445" s="51" t="str">
        <x:f>IF(437&gt;$H$4,"",IF(INDEX('Fleet dates'!$C$9:$C$1008,$I445-8)="","",INDEX('Fleet dates'!$C$9:$C$1008,$I445-8)))</x:f>
      </x:c>
      <x:c r="D445" s="51" t="str">
        <x:f>IF(437&gt;$H$4,"",IF(INDEX('Fleet dates'!$D$9:$D$1008,$I445-8)="","",INDEX('Fleet dates'!$D$9:$D$1008,$I445-8)))</x:f>
      </x:c>
      <x:c r="E445" s="51" t="str">
        <x:f>IF(437&gt;$H$4,"",IF(INDEX('Fleet dates'!$E$9:$E$1008,$I445-8)="","",INDEX('Fleet dates'!$E$9:$E$1008,$I445-8)))</x:f>
      </x:c>
      <x:c r="F445" s="51" t="str">
        <x:f>IF(437&gt;$H$4,"",IF(INDEX('Fleet dates'!$F$9:$F$1008,$I445-8)="","",INDEX('Fleet dates'!$F$9:$F$1008,$I445-8)))</x:f>
      </x:c>
      <x:c r="G445" s="50" t="str">
        <x:f>IF(437&gt;$H$4,"",IF(INDEX('Fleet dates'!$G$9:$G$1008,$I445-8)="","",INDEX('Fleet dates'!$G$9:$G$1008,$I445-8)))</x:f>
      </x:c>
      <x:c r="H445" s="50" t="str">
        <x:f>IF(437&gt;$H$4,"",IF(INDEX('Fleet dates'!$I$9:$I$1008,$I445-8)="","",INDEX('Fleet dates'!$I$9:$I$1008,$I445-8)))</x:f>
      </x:c>
      <x:c r="I445" t="str">
        <x:f>IF(437&gt;$H$4,"",MATCH(437,'Fleet dates'!$N$9:$N$1008,0)+8)</x:f>
      </x:c>
    </x:row>
    <x:row r="446" ht="36" customHeight="1">
      <x:c r="A446" s="50" t="str">
        <x:f>IF(438&gt;$H$4,"",IF(INDEX('Fleet dates'!$A$9:$A$1008,$I446-8)="","",INDEX('Fleet dates'!$A$9:$A$1008,$I446-8)))</x:f>
      </x:c>
      <x:c r="B446" s="50" t="str">
        <x:f>IF(438&gt;$H$4,"",IF(INDEX('Fleet dates'!$B$9:$B$1008,$I446-8)="","",INDEX('Fleet dates'!$B$9:$B$1008,$I446-8)))</x:f>
      </x:c>
      <x:c r="C446" s="51" t="str">
        <x:f>IF(438&gt;$H$4,"",IF(INDEX('Fleet dates'!$C$9:$C$1008,$I446-8)="","",INDEX('Fleet dates'!$C$9:$C$1008,$I446-8)))</x:f>
      </x:c>
      <x:c r="D446" s="51" t="str">
        <x:f>IF(438&gt;$H$4,"",IF(INDEX('Fleet dates'!$D$9:$D$1008,$I446-8)="","",INDEX('Fleet dates'!$D$9:$D$1008,$I446-8)))</x:f>
      </x:c>
      <x:c r="E446" s="51" t="str">
        <x:f>IF(438&gt;$H$4,"",IF(INDEX('Fleet dates'!$E$9:$E$1008,$I446-8)="","",INDEX('Fleet dates'!$E$9:$E$1008,$I446-8)))</x:f>
      </x:c>
      <x:c r="F446" s="51" t="str">
        <x:f>IF(438&gt;$H$4,"",IF(INDEX('Fleet dates'!$F$9:$F$1008,$I446-8)="","",INDEX('Fleet dates'!$F$9:$F$1008,$I446-8)))</x:f>
      </x:c>
      <x:c r="G446" s="50" t="str">
        <x:f>IF(438&gt;$H$4,"",IF(INDEX('Fleet dates'!$G$9:$G$1008,$I446-8)="","",INDEX('Fleet dates'!$G$9:$G$1008,$I446-8)))</x:f>
      </x:c>
      <x:c r="H446" s="50" t="str">
        <x:f>IF(438&gt;$H$4,"",IF(INDEX('Fleet dates'!$I$9:$I$1008,$I446-8)="","",INDEX('Fleet dates'!$I$9:$I$1008,$I446-8)))</x:f>
      </x:c>
      <x:c r="I446" t="str">
        <x:f>IF(438&gt;$H$4,"",MATCH(438,'Fleet dates'!$N$9:$N$1008,0)+8)</x:f>
      </x:c>
    </x:row>
    <x:row r="447" ht="36" customHeight="1">
      <x:c r="A447" s="50" t="str">
        <x:f>IF(439&gt;$H$4,"",IF(INDEX('Fleet dates'!$A$9:$A$1008,$I447-8)="","",INDEX('Fleet dates'!$A$9:$A$1008,$I447-8)))</x:f>
      </x:c>
      <x:c r="B447" s="50" t="str">
        <x:f>IF(439&gt;$H$4,"",IF(INDEX('Fleet dates'!$B$9:$B$1008,$I447-8)="","",INDEX('Fleet dates'!$B$9:$B$1008,$I447-8)))</x:f>
      </x:c>
      <x:c r="C447" s="51" t="str">
        <x:f>IF(439&gt;$H$4,"",IF(INDEX('Fleet dates'!$C$9:$C$1008,$I447-8)="","",INDEX('Fleet dates'!$C$9:$C$1008,$I447-8)))</x:f>
      </x:c>
      <x:c r="D447" s="51" t="str">
        <x:f>IF(439&gt;$H$4,"",IF(INDEX('Fleet dates'!$D$9:$D$1008,$I447-8)="","",INDEX('Fleet dates'!$D$9:$D$1008,$I447-8)))</x:f>
      </x:c>
      <x:c r="E447" s="51" t="str">
        <x:f>IF(439&gt;$H$4,"",IF(INDEX('Fleet dates'!$E$9:$E$1008,$I447-8)="","",INDEX('Fleet dates'!$E$9:$E$1008,$I447-8)))</x:f>
      </x:c>
      <x:c r="F447" s="51" t="str">
        <x:f>IF(439&gt;$H$4,"",IF(INDEX('Fleet dates'!$F$9:$F$1008,$I447-8)="","",INDEX('Fleet dates'!$F$9:$F$1008,$I447-8)))</x:f>
      </x:c>
      <x:c r="G447" s="50" t="str">
        <x:f>IF(439&gt;$H$4,"",IF(INDEX('Fleet dates'!$G$9:$G$1008,$I447-8)="","",INDEX('Fleet dates'!$G$9:$G$1008,$I447-8)))</x:f>
      </x:c>
      <x:c r="H447" s="50" t="str">
        <x:f>IF(439&gt;$H$4,"",IF(INDEX('Fleet dates'!$I$9:$I$1008,$I447-8)="","",INDEX('Fleet dates'!$I$9:$I$1008,$I447-8)))</x:f>
      </x:c>
      <x:c r="I447" t="str">
        <x:f>IF(439&gt;$H$4,"",MATCH(439,'Fleet dates'!$N$9:$N$1008,0)+8)</x:f>
      </x:c>
    </x:row>
    <x:row r="448" ht="36" customHeight="1">
      <x:c r="A448" s="50" t="str">
        <x:f>IF(440&gt;$H$4,"",IF(INDEX('Fleet dates'!$A$9:$A$1008,$I448-8)="","",INDEX('Fleet dates'!$A$9:$A$1008,$I448-8)))</x:f>
      </x:c>
      <x:c r="B448" s="50" t="str">
        <x:f>IF(440&gt;$H$4,"",IF(INDEX('Fleet dates'!$B$9:$B$1008,$I448-8)="","",INDEX('Fleet dates'!$B$9:$B$1008,$I448-8)))</x:f>
      </x:c>
      <x:c r="C448" s="51" t="str">
        <x:f>IF(440&gt;$H$4,"",IF(INDEX('Fleet dates'!$C$9:$C$1008,$I448-8)="","",INDEX('Fleet dates'!$C$9:$C$1008,$I448-8)))</x:f>
      </x:c>
      <x:c r="D448" s="51" t="str">
        <x:f>IF(440&gt;$H$4,"",IF(INDEX('Fleet dates'!$D$9:$D$1008,$I448-8)="","",INDEX('Fleet dates'!$D$9:$D$1008,$I448-8)))</x:f>
      </x:c>
      <x:c r="E448" s="51" t="str">
        <x:f>IF(440&gt;$H$4,"",IF(INDEX('Fleet dates'!$E$9:$E$1008,$I448-8)="","",INDEX('Fleet dates'!$E$9:$E$1008,$I448-8)))</x:f>
      </x:c>
      <x:c r="F448" s="51" t="str">
        <x:f>IF(440&gt;$H$4,"",IF(INDEX('Fleet dates'!$F$9:$F$1008,$I448-8)="","",INDEX('Fleet dates'!$F$9:$F$1008,$I448-8)))</x:f>
      </x:c>
      <x:c r="G448" s="50" t="str">
        <x:f>IF(440&gt;$H$4,"",IF(INDEX('Fleet dates'!$G$9:$G$1008,$I448-8)="","",INDEX('Fleet dates'!$G$9:$G$1008,$I448-8)))</x:f>
      </x:c>
      <x:c r="H448" s="50" t="str">
        <x:f>IF(440&gt;$H$4,"",IF(INDEX('Fleet dates'!$I$9:$I$1008,$I448-8)="","",INDEX('Fleet dates'!$I$9:$I$1008,$I448-8)))</x:f>
      </x:c>
      <x:c r="I448" t="str">
        <x:f>IF(440&gt;$H$4,"",MATCH(440,'Fleet dates'!$N$9:$N$1008,0)+8)</x:f>
      </x:c>
    </x:row>
    <x:row r="449" ht="36" customHeight="1">
      <x:c r="A449" s="50" t="str">
        <x:f>IF(441&gt;$H$4,"",IF(INDEX('Fleet dates'!$A$9:$A$1008,$I449-8)="","",INDEX('Fleet dates'!$A$9:$A$1008,$I449-8)))</x:f>
      </x:c>
      <x:c r="B449" s="50" t="str">
        <x:f>IF(441&gt;$H$4,"",IF(INDEX('Fleet dates'!$B$9:$B$1008,$I449-8)="","",INDEX('Fleet dates'!$B$9:$B$1008,$I449-8)))</x:f>
      </x:c>
      <x:c r="C449" s="51" t="str">
        <x:f>IF(441&gt;$H$4,"",IF(INDEX('Fleet dates'!$C$9:$C$1008,$I449-8)="","",INDEX('Fleet dates'!$C$9:$C$1008,$I449-8)))</x:f>
      </x:c>
      <x:c r="D449" s="51" t="str">
        <x:f>IF(441&gt;$H$4,"",IF(INDEX('Fleet dates'!$D$9:$D$1008,$I449-8)="","",INDEX('Fleet dates'!$D$9:$D$1008,$I449-8)))</x:f>
      </x:c>
      <x:c r="E449" s="51" t="str">
        <x:f>IF(441&gt;$H$4,"",IF(INDEX('Fleet dates'!$E$9:$E$1008,$I449-8)="","",INDEX('Fleet dates'!$E$9:$E$1008,$I449-8)))</x:f>
      </x:c>
      <x:c r="F449" s="51" t="str">
        <x:f>IF(441&gt;$H$4,"",IF(INDEX('Fleet dates'!$F$9:$F$1008,$I449-8)="","",INDEX('Fleet dates'!$F$9:$F$1008,$I449-8)))</x:f>
      </x:c>
      <x:c r="G449" s="50" t="str">
        <x:f>IF(441&gt;$H$4,"",IF(INDEX('Fleet dates'!$G$9:$G$1008,$I449-8)="","",INDEX('Fleet dates'!$G$9:$G$1008,$I449-8)))</x:f>
      </x:c>
      <x:c r="H449" s="50" t="str">
        <x:f>IF(441&gt;$H$4,"",IF(INDEX('Fleet dates'!$I$9:$I$1008,$I449-8)="","",INDEX('Fleet dates'!$I$9:$I$1008,$I449-8)))</x:f>
      </x:c>
      <x:c r="I449" t="str">
        <x:f>IF(441&gt;$H$4,"",MATCH(441,'Fleet dates'!$N$9:$N$1008,0)+8)</x:f>
      </x:c>
    </x:row>
    <x:row r="450" ht="36" customHeight="1">
      <x:c r="A450" s="50" t="str">
        <x:f>IF(442&gt;$H$4,"",IF(INDEX('Fleet dates'!$A$9:$A$1008,$I450-8)="","",INDEX('Fleet dates'!$A$9:$A$1008,$I450-8)))</x:f>
      </x:c>
      <x:c r="B450" s="50" t="str">
        <x:f>IF(442&gt;$H$4,"",IF(INDEX('Fleet dates'!$B$9:$B$1008,$I450-8)="","",INDEX('Fleet dates'!$B$9:$B$1008,$I450-8)))</x:f>
      </x:c>
      <x:c r="C450" s="51" t="str">
        <x:f>IF(442&gt;$H$4,"",IF(INDEX('Fleet dates'!$C$9:$C$1008,$I450-8)="","",INDEX('Fleet dates'!$C$9:$C$1008,$I450-8)))</x:f>
      </x:c>
      <x:c r="D450" s="51" t="str">
        <x:f>IF(442&gt;$H$4,"",IF(INDEX('Fleet dates'!$D$9:$D$1008,$I450-8)="","",INDEX('Fleet dates'!$D$9:$D$1008,$I450-8)))</x:f>
      </x:c>
      <x:c r="E450" s="51" t="str">
        <x:f>IF(442&gt;$H$4,"",IF(INDEX('Fleet dates'!$E$9:$E$1008,$I450-8)="","",INDEX('Fleet dates'!$E$9:$E$1008,$I450-8)))</x:f>
      </x:c>
      <x:c r="F450" s="51" t="str">
        <x:f>IF(442&gt;$H$4,"",IF(INDEX('Fleet dates'!$F$9:$F$1008,$I450-8)="","",INDEX('Fleet dates'!$F$9:$F$1008,$I450-8)))</x:f>
      </x:c>
      <x:c r="G450" s="50" t="str">
        <x:f>IF(442&gt;$H$4,"",IF(INDEX('Fleet dates'!$G$9:$G$1008,$I450-8)="","",INDEX('Fleet dates'!$G$9:$G$1008,$I450-8)))</x:f>
      </x:c>
      <x:c r="H450" s="50" t="str">
        <x:f>IF(442&gt;$H$4,"",IF(INDEX('Fleet dates'!$I$9:$I$1008,$I450-8)="","",INDEX('Fleet dates'!$I$9:$I$1008,$I450-8)))</x:f>
      </x:c>
      <x:c r="I450" t="str">
        <x:f>IF(442&gt;$H$4,"",MATCH(442,'Fleet dates'!$N$9:$N$1008,0)+8)</x:f>
      </x:c>
    </x:row>
    <x:row r="451" ht="36" customHeight="1">
      <x:c r="A451" s="50" t="str">
        <x:f>IF(443&gt;$H$4,"",IF(INDEX('Fleet dates'!$A$9:$A$1008,$I451-8)="","",INDEX('Fleet dates'!$A$9:$A$1008,$I451-8)))</x:f>
      </x:c>
      <x:c r="B451" s="50" t="str">
        <x:f>IF(443&gt;$H$4,"",IF(INDEX('Fleet dates'!$B$9:$B$1008,$I451-8)="","",INDEX('Fleet dates'!$B$9:$B$1008,$I451-8)))</x:f>
      </x:c>
      <x:c r="C451" s="51" t="str">
        <x:f>IF(443&gt;$H$4,"",IF(INDEX('Fleet dates'!$C$9:$C$1008,$I451-8)="","",INDEX('Fleet dates'!$C$9:$C$1008,$I451-8)))</x:f>
      </x:c>
      <x:c r="D451" s="51" t="str">
        <x:f>IF(443&gt;$H$4,"",IF(INDEX('Fleet dates'!$D$9:$D$1008,$I451-8)="","",INDEX('Fleet dates'!$D$9:$D$1008,$I451-8)))</x:f>
      </x:c>
      <x:c r="E451" s="51" t="str">
        <x:f>IF(443&gt;$H$4,"",IF(INDEX('Fleet dates'!$E$9:$E$1008,$I451-8)="","",INDEX('Fleet dates'!$E$9:$E$1008,$I451-8)))</x:f>
      </x:c>
      <x:c r="F451" s="51" t="str">
        <x:f>IF(443&gt;$H$4,"",IF(INDEX('Fleet dates'!$F$9:$F$1008,$I451-8)="","",INDEX('Fleet dates'!$F$9:$F$1008,$I451-8)))</x:f>
      </x:c>
      <x:c r="G451" s="50" t="str">
        <x:f>IF(443&gt;$H$4,"",IF(INDEX('Fleet dates'!$G$9:$G$1008,$I451-8)="","",INDEX('Fleet dates'!$G$9:$G$1008,$I451-8)))</x:f>
      </x:c>
      <x:c r="H451" s="50" t="str">
        <x:f>IF(443&gt;$H$4,"",IF(INDEX('Fleet dates'!$I$9:$I$1008,$I451-8)="","",INDEX('Fleet dates'!$I$9:$I$1008,$I451-8)))</x:f>
      </x:c>
      <x:c r="I451" t="str">
        <x:f>IF(443&gt;$H$4,"",MATCH(443,'Fleet dates'!$N$9:$N$1008,0)+8)</x:f>
      </x:c>
    </x:row>
    <x:row r="452" ht="36" customHeight="1">
      <x:c r="A452" s="50" t="str">
        <x:f>IF(444&gt;$H$4,"",IF(INDEX('Fleet dates'!$A$9:$A$1008,$I452-8)="","",INDEX('Fleet dates'!$A$9:$A$1008,$I452-8)))</x:f>
      </x:c>
      <x:c r="B452" s="50" t="str">
        <x:f>IF(444&gt;$H$4,"",IF(INDEX('Fleet dates'!$B$9:$B$1008,$I452-8)="","",INDEX('Fleet dates'!$B$9:$B$1008,$I452-8)))</x:f>
      </x:c>
      <x:c r="C452" s="51" t="str">
        <x:f>IF(444&gt;$H$4,"",IF(INDEX('Fleet dates'!$C$9:$C$1008,$I452-8)="","",INDEX('Fleet dates'!$C$9:$C$1008,$I452-8)))</x:f>
      </x:c>
      <x:c r="D452" s="51" t="str">
        <x:f>IF(444&gt;$H$4,"",IF(INDEX('Fleet dates'!$D$9:$D$1008,$I452-8)="","",INDEX('Fleet dates'!$D$9:$D$1008,$I452-8)))</x:f>
      </x:c>
      <x:c r="E452" s="51" t="str">
        <x:f>IF(444&gt;$H$4,"",IF(INDEX('Fleet dates'!$E$9:$E$1008,$I452-8)="","",INDEX('Fleet dates'!$E$9:$E$1008,$I452-8)))</x:f>
      </x:c>
      <x:c r="F452" s="51" t="str">
        <x:f>IF(444&gt;$H$4,"",IF(INDEX('Fleet dates'!$F$9:$F$1008,$I452-8)="","",INDEX('Fleet dates'!$F$9:$F$1008,$I452-8)))</x:f>
      </x:c>
      <x:c r="G452" s="50" t="str">
        <x:f>IF(444&gt;$H$4,"",IF(INDEX('Fleet dates'!$G$9:$G$1008,$I452-8)="","",INDEX('Fleet dates'!$G$9:$G$1008,$I452-8)))</x:f>
      </x:c>
      <x:c r="H452" s="50" t="str">
        <x:f>IF(444&gt;$H$4,"",IF(INDEX('Fleet dates'!$I$9:$I$1008,$I452-8)="","",INDEX('Fleet dates'!$I$9:$I$1008,$I452-8)))</x:f>
      </x:c>
      <x:c r="I452" t="str">
        <x:f>IF(444&gt;$H$4,"",MATCH(444,'Fleet dates'!$N$9:$N$1008,0)+8)</x:f>
      </x:c>
    </x:row>
    <x:row r="453" ht="36" customHeight="1">
      <x:c r="A453" s="50" t="str">
        <x:f>IF(445&gt;$H$4,"",IF(INDEX('Fleet dates'!$A$9:$A$1008,$I453-8)="","",INDEX('Fleet dates'!$A$9:$A$1008,$I453-8)))</x:f>
      </x:c>
      <x:c r="B453" s="50" t="str">
        <x:f>IF(445&gt;$H$4,"",IF(INDEX('Fleet dates'!$B$9:$B$1008,$I453-8)="","",INDEX('Fleet dates'!$B$9:$B$1008,$I453-8)))</x:f>
      </x:c>
      <x:c r="C453" s="51" t="str">
        <x:f>IF(445&gt;$H$4,"",IF(INDEX('Fleet dates'!$C$9:$C$1008,$I453-8)="","",INDEX('Fleet dates'!$C$9:$C$1008,$I453-8)))</x:f>
      </x:c>
      <x:c r="D453" s="51" t="str">
        <x:f>IF(445&gt;$H$4,"",IF(INDEX('Fleet dates'!$D$9:$D$1008,$I453-8)="","",INDEX('Fleet dates'!$D$9:$D$1008,$I453-8)))</x:f>
      </x:c>
      <x:c r="E453" s="51" t="str">
        <x:f>IF(445&gt;$H$4,"",IF(INDEX('Fleet dates'!$E$9:$E$1008,$I453-8)="","",INDEX('Fleet dates'!$E$9:$E$1008,$I453-8)))</x:f>
      </x:c>
      <x:c r="F453" s="51" t="str">
        <x:f>IF(445&gt;$H$4,"",IF(INDEX('Fleet dates'!$F$9:$F$1008,$I453-8)="","",INDEX('Fleet dates'!$F$9:$F$1008,$I453-8)))</x:f>
      </x:c>
      <x:c r="G453" s="50" t="str">
        <x:f>IF(445&gt;$H$4,"",IF(INDEX('Fleet dates'!$G$9:$G$1008,$I453-8)="","",INDEX('Fleet dates'!$G$9:$G$1008,$I453-8)))</x:f>
      </x:c>
      <x:c r="H453" s="50" t="str">
        <x:f>IF(445&gt;$H$4,"",IF(INDEX('Fleet dates'!$I$9:$I$1008,$I453-8)="","",INDEX('Fleet dates'!$I$9:$I$1008,$I453-8)))</x:f>
      </x:c>
      <x:c r="I453" t="str">
        <x:f>IF(445&gt;$H$4,"",MATCH(445,'Fleet dates'!$N$9:$N$1008,0)+8)</x:f>
      </x:c>
    </x:row>
    <x:row r="454" ht="36" customHeight="1">
      <x:c r="A454" s="50" t="str">
        <x:f>IF(446&gt;$H$4,"",IF(INDEX('Fleet dates'!$A$9:$A$1008,$I454-8)="","",INDEX('Fleet dates'!$A$9:$A$1008,$I454-8)))</x:f>
      </x:c>
      <x:c r="B454" s="50" t="str">
        <x:f>IF(446&gt;$H$4,"",IF(INDEX('Fleet dates'!$B$9:$B$1008,$I454-8)="","",INDEX('Fleet dates'!$B$9:$B$1008,$I454-8)))</x:f>
      </x:c>
      <x:c r="C454" s="51" t="str">
        <x:f>IF(446&gt;$H$4,"",IF(INDEX('Fleet dates'!$C$9:$C$1008,$I454-8)="","",INDEX('Fleet dates'!$C$9:$C$1008,$I454-8)))</x:f>
      </x:c>
      <x:c r="D454" s="51" t="str">
        <x:f>IF(446&gt;$H$4,"",IF(INDEX('Fleet dates'!$D$9:$D$1008,$I454-8)="","",INDEX('Fleet dates'!$D$9:$D$1008,$I454-8)))</x:f>
      </x:c>
      <x:c r="E454" s="51" t="str">
        <x:f>IF(446&gt;$H$4,"",IF(INDEX('Fleet dates'!$E$9:$E$1008,$I454-8)="","",INDEX('Fleet dates'!$E$9:$E$1008,$I454-8)))</x:f>
      </x:c>
      <x:c r="F454" s="51" t="str">
        <x:f>IF(446&gt;$H$4,"",IF(INDEX('Fleet dates'!$F$9:$F$1008,$I454-8)="","",INDEX('Fleet dates'!$F$9:$F$1008,$I454-8)))</x:f>
      </x:c>
      <x:c r="G454" s="50" t="str">
        <x:f>IF(446&gt;$H$4,"",IF(INDEX('Fleet dates'!$G$9:$G$1008,$I454-8)="","",INDEX('Fleet dates'!$G$9:$G$1008,$I454-8)))</x:f>
      </x:c>
      <x:c r="H454" s="50" t="str">
        <x:f>IF(446&gt;$H$4,"",IF(INDEX('Fleet dates'!$I$9:$I$1008,$I454-8)="","",INDEX('Fleet dates'!$I$9:$I$1008,$I454-8)))</x:f>
      </x:c>
      <x:c r="I454" t="str">
        <x:f>IF(446&gt;$H$4,"",MATCH(446,'Fleet dates'!$N$9:$N$1008,0)+8)</x:f>
      </x:c>
    </x:row>
    <x:row r="455" ht="36" customHeight="1">
      <x:c r="A455" s="50" t="str">
        <x:f>IF(447&gt;$H$4,"",IF(INDEX('Fleet dates'!$A$9:$A$1008,$I455-8)="","",INDEX('Fleet dates'!$A$9:$A$1008,$I455-8)))</x:f>
      </x:c>
      <x:c r="B455" s="50" t="str">
        <x:f>IF(447&gt;$H$4,"",IF(INDEX('Fleet dates'!$B$9:$B$1008,$I455-8)="","",INDEX('Fleet dates'!$B$9:$B$1008,$I455-8)))</x:f>
      </x:c>
      <x:c r="C455" s="51" t="str">
        <x:f>IF(447&gt;$H$4,"",IF(INDEX('Fleet dates'!$C$9:$C$1008,$I455-8)="","",INDEX('Fleet dates'!$C$9:$C$1008,$I455-8)))</x:f>
      </x:c>
      <x:c r="D455" s="51" t="str">
        <x:f>IF(447&gt;$H$4,"",IF(INDEX('Fleet dates'!$D$9:$D$1008,$I455-8)="","",INDEX('Fleet dates'!$D$9:$D$1008,$I455-8)))</x:f>
      </x:c>
      <x:c r="E455" s="51" t="str">
        <x:f>IF(447&gt;$H$4,"",IF(INDEX('Fleet dates'!$E$9:$E$1008,$I455-8)="","",INDEX('Fleet dates'!$E$9:$E$1008,$I455-8)))</x:f>
      </x:c>
      <x:c r="F455" s="51" t="str">
        <x:f>IF(447&gt;$H$4,"",IF(INDEX('Fleet dates'!$F$9:$F$1008,$I455-8)="","",INDEX('Fleet dates'!$F$9:$F$1008,$I455-8)))</x:f>
      </x:c>
      <x:c r="G455" s="50" t="str">
        <x:f>IF(447&gt;$H$4,"",IF(INDEX('Fleet dates'!$G$9:$G$1008,$I455-8)="","",INDEX('Fleet dates'!$G$9:$G$1008,$I455-8)))</x:f>
      </x:c>
      <x:c r="H455" s="50" t="str">
        <x:f>IF(447&gt;$H$4,"",IF(INDEX('Fleet dates'!$I$9:$I$1008,$I455-8)="","",INDEX('Fleet dates'!$I$9:$I$1008,$I455-8)))</x:f>
      </x:c>
      <x:c r="I455" t="str">
        <x:f>IF(447&gt;$H$4,"",MATCH(447,'Fleet dates'!$N$9:$N$1008,0)+8)</x:f>
      </x:c>
    </x:row>
    <x:row r="456" ht="36" customHeight="1">
      <x:c r="A456" s="50" t="str">
        <x:f>IF(448&gt;$H$4,"",IF(INDEX('Fleet dates'!$A$9:$A$1008,$I456-8)="","",INDEX('Fleet dates'!$A$9:$A$1008,$I456-8)))</x:f>
      </x:c>
      <x:c r="B456" s="50" t="str">
        <x:f>IF(448&gt;$H$4,"",IF(INDEX('Fleet dates'!$B$9:$B$1008,$I456-8)="","",INDEX('Fleet dates'!$B$9:$B$1008,$I456-8)))</x:f>
      </x:c>
      <x:c r="C456" s="51" t="str">
        <x:f>IF(448&gt;$H$4,"",IF(INDEX('Fleet dates'!$C$9:$C$1008,$I456-8)="","",INDEX('Fleet dates'!$C$9:$C$1008,$I456-8)))</x:f>
      </x:c>
      <x:c r="D456" s="51" t="str">
        <x:f>IF(448&gt;$H$4,"",IF(INDEX('Fleet dates'!$D$9:$D$1008,$I456-8)="","",INDEX('Fleet dates'!$D$9:$D$1008,$I456-8)))</x:f>
      </x:c>
      <x:c r="E456" s="51" t="str">
        <x:f>IF(448&gt;$H$4,"",IF(INDEX('Fleet dates'!$E$9:$E$1008,$I456-8)="","",INDEX('Fleet dates'!$E$9:$E$1008,$I456-8)))</x:f>
      </x:c>
      <x:c r="F456" s="51" t="str">
        <x:f>IF(448&gt;$H$4,"",IF(INDEX('Fleet dates'!$F$9:$F$1008,$I456-8)="","",INDEX('Fleet dates'!$F$9:$F$1008,$I456-8)))</x:f>
      </x:c>
      <x:c r="G456" s="50" t="str">
        <x:f>IF(448&gt;$H$4,"",IF(INDEX('Fleet dates'!$G$9:$G$1008,$I456-8)="","",INDEX('Fleet dates'!$G$9:$G$1008,$I456-8)))</x:f>
      </x:c>
      <x:c r="H456" s="50" t="str">
        <x:f>IF(448&gt;$H$4,"",IF(INDEX('Fleet dates'!$I$9:$I$1008,$I456-8)="","",INDEX('Fleet dates'!$I$9:$I$1008,$I456-8)))</x:f>
      </x:c>
      <x:c r="I456" t="str">
        <x:f>IF(448&gt;$H$4,"",MATCH(448,'Fleet dates'!$N$9:$N$1008,0)+8)</x:f>
      </x:c>
    </x:row>
    <x:row r="457" ht="36" customHeight="1">
      <x:c r="A457" s="50" t="str">
        <x:f>IF(449&gt;$H$4,"",IF(INDEX('Fleet dates'!$A$9:$A$1008,$I457-8)="","",INDEX('Fleet dates'!$A$9:$A$1008,$I457-8)))</x:f>
      </x:c>
      <x:c r="B457" s="50" t="str">
        <x:f>IF(449&gt;$H$4,"",IF(INDEX('Fleet dates'!$B$9:$B$1008,$I457-8)="","",INDEX('Fleet dates'!$B$9:$B$1008,$I457-8)))</x:f>
      </x:c>
      <x:c r="C457" s="51" t="str">
        <x:f>IF(449&gt;$H$4,"",IF(INDEX('Fleet dates'!$C$9:$C$1008,$I457-8)="","",INDEX('Fleet dates'!$C$9:$C$1008,$I457-8)))</x:f>
      </x:c>
      <x:c r="D457" s="51" t="str">
        <x:f>IF(449&gt;$H$4,"",IF(INDEX('Fleet dates'!$D$9:$D$1008,$I457-8)="","",INDEX('Fleet dates'!$D$9:$D$1008,$I457-8)))</x:f>
      </x:c>
      <x:c r="E457" s="51" t="str">
        <x:f>IF(449&gt;$H$4,"",IF(INDEX('Fleet dates'!$E$9:$E$1008,$I457-8)="","",INDEX('Fleet dates'!$E$9:$E$1008,$I457-8)))</x:f>
      </x:c>
      <x:c r="F457" s="51" t="str">
        <x:f>IF(449&gt;$H$4,"",IF(INDEX('Fleet dates'!$F$9:$F$1008,$I457-8)="","",INDEX('Fleet dates'!$F$9:$F$1008,$I457-8)))</x:f>
      </x:c>
      <x:c r="G457" s="50" t="str">
        <x:f>IF(449&gt;$H$4,"",IF(INDEX('Fleet dates'!$G$9:$G$1008,$I457-8)="","",INDEX('Fleet dates'!$G$9:$G$1008,$I457-8)))</x:f>
      </x:c>
      <x:c r="H457" s="50" t="str">
        <x:f>IF(449&gt;$H$4,"",IF(INDEX('Fleet dates'!$I$9:$I$1008,$I457-8)="","",INDEX('Fleet dates'!$I$9:$I$1008,$I457-8)))</x:f>
      </x:c>
      <x:c r="I457" t="str">
        <x:f>IF(449&gt;$H$4,"",MATCH(449,'Fleet dates'!$N$9:$N$1008,0)+8)</x:f>
      </x:c>
    </x:row>
    <x:row r="458" ht="36" customHeight="1">
      <x:c r="A458" s="50" t="str">
        <x:f>IF(450&gt;$H$4,"",IF(INDEX('Fleet dates'!$A$9:$A$1008,$I458-8)="","",INDEX('Fleet dates'!$A$9:$A$1008,$I458-8)))</x:f>
      </x:c>
      <x:c r="B458" s="50" t="str">
        <x:f>IF(450&gt;$H$4,"",IF(INDEX('Fleet dates'!$B$9:$B$1008,$I458-8)="","",INDEX('Fleet dates'!$B$9:$B$1008,$I458-8)))</x:f>
      </x:c>
      <x:c r="C458" s="51" t="str">
        <x:f>IF(450&gt;$H$4,"",IF(INDEX('Fleet dates'!$C$9:$C$1008,$I458-8)="","",INDEX('Fleet dates'!$C$9:$C$1008,$I458-8)))</x:f>
      </x:c>
      <x:c r="D458" s="51" t="str">
        <x:f>IF(450&gt;$H$4,"",IF(INDEX('Fleet dates'!$D$9:$D$1008,$I458-8)="","",INDEX('Fleet dates'!$D$9:$D$1008,$I458-8)))</x:f>
      </x:c>
      <x:c r="E458" s="51" t="str">
        <x:f>IF(450&gt;$H$4,"",IF(INDEX('Fleet dates'!$E$9:$E$1008,$I458-8)="","",INDEX('Fleet dates'!$E$9:$E$1008,$I458-8)))</x:f>
      </x:c>
      <x:c r="F458" s="51" t="str">
        <x:f>IF(450&gt;$H$4,"",IF(INDEX('Fleet dates'!$F$9:$F$1008,$I458-8)="","",INDEX('Fleet dates'!$F$9:$F$1008,$I458-8)))</x:f>
      </x:c>
      <x:c r="G458" s="50" t="str">
        <x:f>IF(450&gt;$H$4,"",IF(INDEX('Fleet dates'!$G$9:$G$1008,$I458-8)="","",INDEX('Fleet dates'!$G$9:$G$1008,$I458-8)))</x:f>
      </x:c>
      <x:c r="H458" s="50" t="str">
        <x:f>IF(450&gt;$H$4,"",IF(INDEX('Fleet dates'!$I$9:$I$1008,$I458-8)="","",INDEX('Fleet dates'!$I$9:$I$1008,$I458-8)))</x:f>
      </x:c>
      <x:c r="I458" t="str">
        <x:f>IF(450&gt;$H$4,"",MATCH(450,'Fleet dates'!$N$9:$N$1008,0)+8)</x:f>
      </x:c>
    </x:row>
    <x:row r="459" ht="36" customHeight="1">
      <x:c r="A459" s="50" t="str">
        <x:f>IF(451&gt;$H$4,"",IF(INDEX('Fleet dates'!$A$9:$A$1008,$I459-8)="","",INDEX('Fleet dates'!$A$9:$A$1008,$I459-8)))</x:f>
      </x:c>
      <x:c r="B459" s="50" t="str">
        <x:f>IF(451&gt;$H$4,"",IF(INDEX('Fleet dates'!$B$9:$B$1008,$I459-8)="","",INDEX('Fleet dates'!$B$9:$B$1008,$I459-8)))</x:f>
      </x:c>
      <x:c r="C459" s="51" t="str">
        <x:f>IF(451&gt;$H$4,"",IF(INDEX('Fleet dates'!$C$9:$C$1008,$I459-8)="","",INDEX('Fleet dates'!$C$9:$C$1008,$I459-8)))</x:f>
      </x:c>
      <x:c r="D459" s="51" t="str">
        <x:f>IF(451&gt;$H$4,"",IF(INDEX('Fleet dates'!$D$9:$D$1008,$I459-8)="","",INDEX('Fleet dates'!$D$9:$D$1008,$I459-8)))</x:f>
      </x:c>
      <x:c r="E459" s="51" t="str">
        <x:f>IF(451&gt;$H$4,"",IF(INDEX('Fleet dates'!$E$9:$E$1008,$I459-8)="","",INDEX('Fleet dates'!$E$9:$E$1008,$I459-8)))</x:f>
      </x:c>
      <x:c r="F459" s="51" t="str">
        <x:f>IF(451&gt;$H$4,"",IF(INDEX('Fleet dates'!$F$9:$F$1008,$I459-8)="","",INDEX('Fleet dates'!$F$9:$F$1008,$I459-8)))</x:f>
      </x:c>
      <x:c r="G459" s="50" t="str">
        <x:f>IF(451&gt;$H$4,"",IF(INDEX('Fleet dates'!$G$9:$G$1008,$I459-8)="","",INDEX('Fleet dates'!$G$9:$G$1008,$I459-8)))</x:f>
      </x:c>
      <x:c r="H459" s="50" t="str">
        <x:f>IF(451&gt;$H$4,"",IF(INDEX('Fleet dates'!$I$9:$I$1008,$I459-8)="","",INDEX('Fleet dates'!$I$9:$I$1008,$I459-8)))</x:f>
      </x:c>
      <x:c r="I459" t="str">
        <x:f>IF(451&gt;$H$4,"",MATCH(451,'Fleet dates'!$N$9:$N$1008,0)+8)</x:f>
      </x:c>
    </x:row>
    <x:row r="460" ht="36" customHeight="1">
      <x:c r="A460" s="50" t="str">
        <x:f>IF(452&gt;$H$4,"",IF(INDEX('Fleet dates'!$A$9:$A$1008,$I460-8)="","",INDEX('Fleet dates'!$A$9:$A$1008,$I460-8)))</x:f>
      </x:c>
      <x:c r="B460" s="50" t="str">
        <x:f>IF(452&gt;$H$4,"",IF(INDEX('Fleet dates'!$B$9:$B$1008,$I460-8)="","",INDEX('Fleet dates'!$B$9:$B$1008,$I460-8)))</x:f>
      </x:c>
      <x:c r="C460" s="51" t="str">
        <x:f>IF(452&gt;$H$4,"",IF(INDEX('Fleet dates'!$C$9:$C$1008,$I460-8)="","",INDEX('Fleet dates'!$C$9:$C$1008,$I460-8)))</x:f>
      </x:c>
      <x:c r="D460" s="51" t="str">
        <x:f>IF(452&gt;$H$4,"",IF(INDEX('Fleet dates'!$D$9:$D$1008,$I460-8)="","",INDEX('Fleet dates'!$D$9:$D$1008,$I460-8)))</x:f>
      </x:c>
      <x:c r="E460" s="51" t="str">
        <x:f>IF(452&gt;$H$4,"",IF(INDEX('Fleet dates'!$E$9:$E$1008,$I460-8)="","",INDEX('Fleet dates'!$E$9:$E$1008,$I460-8)))</x:f>
      </x:c>
      <x:c r="F460" s="51" t="str">
        <x:f>IF(452&gt;$H$4,"",IF(INDEX('Fleet dates'!$F$9:$F$1008,$I460-8)="","",INDEX('Fleet dates'!$F$9:$F$1008,$I460-8)))</x:f>
      </x:c>
      <x:c r="G460" s="50" t="str">
        <x:f>IF(452&gt;$H$4,"",IF(INDEX('Fleet dates'!$G$9:$G$1008,$I460-8)="","",INDEX('Fleet dates'!$G$9:$G$1008,$I460-8)))</x:f>
      </x:c>
      <x:c r="H460" s="50" t="str">
        <x:f>IF(452&gt;$H$4,"",IF(INDEX('Fleet dates'!$I$9:$I$1008,$I460-8)="","",INDEX('Fleet dates'!$I$9:$I$1008,$I460-8)))</x:f>
      </x:c>
      <x:c r="I460" t="str">
        <x:f>IF(452&gt;$H$4,"",MATCH(452,'Fleet dates'!$N$9:$N$1008,0)+8)</x:f>
      </x:c>
    </x:row>
    <x:row r="461" ht="36" customHeight="1">
      <x:c r="A461" s="50" t="str">
        <x:f>IF(453&gt;$H$4,"",IF(INDEX('Fleet dates'!$A$9:$A$1008,$I461-8)="","",INDEX('Fleet dates'!$A$9:$A$1008,$I461-8)))</x:f>
      </x:c>
      <x:c r="B461" s="50" t="str">
        <x:f>IF(453&gt;$H$4,"",IF(INDEX('Fleet dates'!$B$9:$B$1008,$I461-8)="","",INDEX('Fleet dates'!$B$9:$B$1008,$I461-8)))</x:f>
      </x:c>
      <x:c r="C461" s="51" t="str">
        <x:f>IF(453&gt;$H$4,"",IF(INDEX('Fleet dates'!$C$9:$C$1008,$I461-8)="","",INDEX('Fleet dates'!$C$9:$C$1008,$I461-8)))</x:f>
      </x:c>
      <x:c r="D461" s="51" t="str">
        <x:f>IF(453&gt;$H$4,"",IF(INDEX('Fleet dates'!$D$9:$D$1008,$I461-8)="","",INDEX('Fleet dates'!$D$9:$D$1008,$I461-8)))</x:f>
      </x:c>
      <x:c r="E461" s="51" t="str">
        <x:f>IF(453&gt;$H$4,"",IF(INDEX('Fleet dates'!$E$9:$E$1008,$I461-8)="","",INDEX('Fleet dates'!$E$9:$E$1008,$I461-8)))</x:f>
      </x:c>
      <x:c r="F461" s="51" t="str">
        <x:f>IF(453&gt;$H$4,"",IF(INDEX('Fleet dates'!$F$9:$F$1008,$I461-8)="","",INDEX('Fleet dates'!$F$9:$F$1008,$I461-8)))</x:f>
      </x:c>
      <x:c r="G461" s="50" t="str">
        <x:f>IF(453&gt;$H$4,"",IF(INDEX('Fleet dates'!$G$9:$G$1008,$I461-8)="","",INDEX('Fleet dates'!$G$9:$G$1008,$I461-8)))</x:f>
      </x:c>
      <x:c r="H461" s="50" t="str">
        <x:f>IF(453&gt;$H$4,"",IF(INDEX('Fleet dates'!$I$9:$I$1008,$I461-8)="","",INDEX('Fleet dates'!$I$9:$I$1008,$I461-8)))</x:f>
      </x:c>
      <x:c r="I461" t="str">
        <x:f>IF(453&gt;$H$4,"",MATCH(453,'Fleet dates'!$N$9:$N$1008,0)+8)</x:f>
      </x:c>
    </x:row>
    <x:row r="462" ht="36" customHeight="1">
      <x:c r="A462" s="50" t="str">
        <x:f>IF(454&gt;$H$4,"",IF(INDEX('Fleet dates'!$A$9:$A$1008,$I462-8)="","",INDEX('Fleet dates'!$A$9:$A$1008,$I462-8)))</x:f>
      </x:c>
      <x:c r="B462" s="50" t="str">
        <x:f>IF(454&gt;$H$4,"",IF(INDEX('Fleet dates'!$B$9:$B$1008,$I462-8)="","",INDEX('Fleet dates'!$B$9:$B$1008,$I462-8)))</x:f>
      </x:c>
      <x:c r="C462" s="51" t="str">
        <x:f>IF(454&gt;$H$4,"",IF(INDEX('Fleet dates'!$C$9:$C$1008,$I462-8)="","",INDEX('Fleet dates'!$C$9:$C$1008,$I462-8)))</x:f>
      </x:c>
      <x:c r="D462" s="51" t="str">
        <x:f>IF(454&gt;$H$4,"",IF(INDEX('Fleet dates'!$D$9:$D$1008,$I462-8)="","",INDEX('Fleet dates'!$D$9:$D$1008,$I462-8)))</x:f>
      </x:c>
      <x:c r="E462" s="51" t="str">
        <x:f>IF(454&gt;$H$4,"",IF(INDEX('Fleet dates'!$E$9:$E$1008,$I462-8)="","",INDEX('Fleet dates'!$E$9:$E$1008,$I462-8)))</x:f>
      </x:c>
      <x:c r="F462" s="51" t="str">
        <x:f>IF(454&gt;$H$4,"",IF(INDEX('Fleet dates'!$F$9:$F$1008,$I462-8)="","",INDEX('Fleet dates'!$F$9:$F$1008,$I462-8)))</x:f>
      </x:c>
      <x:c r="G462" s="50" t="str">
        <x:f>IF(454&gt;$H$4,"",IF(INDEX('Fleet dates'!$G$9:$G$1008,$I462-8)="","",INDEX('Fleet dates'!$G$9:$G$1008,$I462-8)))</x:f>
      </x:c>
      <x:c r="H462" s="50" t="str">
        <x:f>IF(454&gt;$H$4,"",IF(INDEX('Fleet dates'!$I$9:$I$1008,$I462-8)="","",INDEX('Fleet dates'!$I$9:$I$1008,$I462-8)))</x:f>
      </x:c>
      <x:c r="I462" t="str">
        <x:f>IF(454&gt;$H$4,"",MATCH(454,'Fleet dates'!$N$9:$N$1008,0)+8)</x:f>
      </x:c>
    </x:row>
    <x:row r="463" ht="36" customHeight="1">
      <x:c r="A463" s="50" t="str">
        <x:f>IF(455&gt;$H$4,"",IF(INDEX('Fleet dates'!$A$9:$A$1008,$I463-8)="","",INDEX('Fleet dates'!$A$9:$A$1008,$I463-8)))</x:f>
      </x:c>
      <x:c r="B463" s="50" t="str">
        <x:f>IF(455&gt;$H$4,"",IF(INDEX('Fleet dates'!$B$9:$B$1008,$I463-8)="","",INDEX('Fleet dates'!$B$9:$B$1008,$I463-8)))</x:f>
      </x:c>
      <x:c r="C463" s="51" t="str">
        <x:f>IF(455&gt;$H$4,"",IF(INDEX('Fleet dates'!$C$9:$C$1008,$I463-8)="","",INDEX('Fleet dates'!$C$9:$C$1008,$I463-8)))</x:f>
      </x:c>
      <x:c r="D463" s="51" t="str">
        <x:f>IF(455&gt;$H$4,"",IF(INDEX('Fleet dates'!$D$9:$D$1008,$I463-8)="","",INDEX('Fleet dates'!$D$9:$D$1008,$I463-8)))</x:f>
      </x:c>
      <x:c r="E463" s="51" t="str">
        <x:f>IF(455&gt;$H$4,"",IF(INDEX('Fleet dates'!$E$9:$E$1008,$I463-8)="","",INDEX('Fleet dates'!$E$9:$E$1008,$I463-8)))</x:f>
      </x:c>
      <x:c r="F463" s="51" t="str">
        <x:f>IF(455&gt;$H$4,"",IF(INDEX('Fleet dates'!$F$9:$F$1008,$I463-8)="","",INDEX('Fleet dates'!$F$9:$F$1008,$I463-8)))</x:f>
      </x:c>
      <x:c r="G463" s="50" t="str">
        <x:f>IF(455&gt;$H$4,"",IF(INDEX('Fleet dates'!$G$9:$G$1008,$I463-8)="","",INDEX('Fleet dates'!$G$9:$G$1008,$I463-8)))</x:f>
      </x:c>
      <x:c r="H463" s="50" t="str">
        <x:f>IF(455&gt;$H$4,"",IF(INDEX('Fleet dates'!$I$9:$I$1008,$I463-8)="","",INDEX('Fleet dates'!$I$9:$I$1008,$I463-8)))</x:f>
      </x:c>
      <x:c r="I463" t="str">
        <x:f>IF(455&gt;$H$4,"",MATCH(455,'Fleet dates'!$N$9:$N$1008,0)+8)</x:f>
      </x:c>
    </x:row>
    <x:row r="464" ht="36" customHeight="1">
      <x:c r="A464" s="50" t="str">
        <x:f>IF(456&gt;$H$4,"",IF(INDEX('Fleet dates'!$A$9:$A$1008,$I464-8)="","",INDEX('Fleet dates'!$A$9:$A$1008,$I464-8)))</x:f>
      </x:c>
      <x:c r="B464" s="50" t="str">
        <x:f>IF(456&gt;$H$4,"",IF(INDEX('Fleet dates'!$B$9:$B$1008,$I464-8)="","",INDEX('Fleet dates'!$B$9:$B$1008,$I464-8)))</x:f>
      </x:c>
      <x:c r="C464" s="51" t="str">
        <x:f>IF(456&gt;$H$4,"",IF(INDEX('Fleet dates'!$C$9:$C$1008,$I464-8)="","",INDEX('Fleet dates'!$C$9:$C$1008,$I464-8)))</x:f>
      </x:c>
      <x:c r="D464" s="51" t="str">
        <x:f>IF(456&gt;$H$4,"",IF(INDEX('Fleet dates'!$D$9:$D$1008,$I464-8)="","",INDEX('Fleet dates'!$D$9:$D$1008,$I464-8)))</x:f>
      </x:c>
      <x:c r="E464" s="51" t="str">
        <x:f>IF(456&gt;$H$4,"",IF(INDEX('Fleet dates'!$E$9:$E$1008,$I464-8)="","",INDEX('Fleet dates'!$E$9:$E$1008,$I464-8)))</x:f>
      </x:c>
      <x:c r="F464" s="51" t="str">
        <x:f>IF(456&gt;$H$4,"",IF(INDEX('Fleet dates'!$F$9:$F$1008,$I464-8)="","",INDEX('Fleet dates'!$F$9:$F$1008,$I464-8)))</x:f>
      </x:c>
      <x:c r="G464" s="50" t="str">
        <x:f>IF(456&gt;$H$4,"",IF(INDEX('Fleet dates'!$G$9:$G$1008,$I464-8)="","",INDEX('Fleet dates'!$G$9:$G$1008,$I464-8)))</x:f>
      </x:c>
      <x:c r="H464" s="50" t="str">
        <x:f>IF(456&gt;$H$4,"",IF(INDEX('Fleet dates'!$I$9:$I$1008,$I464-8)="","",INDEX('Fleet dates'!$I$9:$I$1008,$I464-8)))</x:f>
      </x:c>
      <x:c r="I464" t="str">
        <x:f>IF(456&gt;$H$4,"",MATCH(456,'Fleet dates'!$N$9:$N$1008,0)+8)</x:f>
      </x:c>
    </x:row>
    <x:row r="465" ht="36" customHeight="1">
      <x:c r="A465" s="50" t="str">
        <x:f>IF(457&gt;$H$4,"",IF(INDEX('Fleet dates'!$A$9:$A$1008,$I465-8)="","",INDEX('Fleet dates'!$A$9:$A$1008,$I465-8)))</x:f>
      </x:c>
      <x:c r="B465" s="50" t="str">
        <x:f>IF(457&gt;$H$4,"",IF(INDEX('Fleet dates'!$B$9:$B$1008,$I465-8)="","",INDEX('Fleet dates'!$B$9:$B$1008,$I465-8)))</x:f>
      </x:c>
      <x:c r="C465" s="51" t="str">
        <x:f>IF(457&gt;$H$4,"",IF(INDEX('Fleet dates'!$C$9:$C$1008,$I465-8)="","",INDEX('Fleet dates'!$C$9:$C$1008,$I465-8)))</x:f>
      </x:c>
      <x:c r="D465" s="51" t="str">
        <x:f>IF(457&gt;$H$4,"",IF(INDEX('Fleet dates'!$D$9:$D$1008,$I465-8)="","",INDEX('Fleet dates'!$D$9:$D$1008,$I465-8)))</x:f>
      </x:c>
      <x:c r="E465" s="51" t="str">
        <x:f>IF(457&gt;$H$4,"",IF(INDEX('Fleet dates'!$E$9:$E$1008,$I465-8)="","",INDEX('Fleet dates'!$E$9:$E$1008,$I465-8)))</x:f>
      </x:c>
      <x:c r="F465" s="51" t="str">
        <x:f>IF(457&gt;$H$4,"",IF(INDEX('Fleet dates'!$F$9:$F$1008,$I465-8)="","",INDEX('Fleet dates'!$F$9:$F$1008,$I465-8)))</x:f>
      </x:c>
      <x:c r="G465" s="50" t="str">
        <x:f>IF(457&gt;$H$4,"",IF(INDEX('Fleet dates'!$G$9:$G$1008,$I465-8)="","",INDEX('Fleet dates'!$G$9:$G$1008,$I465-8)))</x:f>
      </x:c>
      <x:c r="H465" s="50" t="str">
        <x:f>IF(457&gt;$H$4,"",IF(INDEX('Fleet dates'!$I$9:$I$1008,$I465-8)="","",INDEX('Fleet dates'!$I$9:$I$1008,$I465-8)))</x:f>
      </x:c>
      <x:c r="I465" t="str">
        <x:f>IF(457&gt;$H$4,"",MATCH(457,'Fleet dates'!$N$9:$N$1008,0)+8)</x:f>
      </x:c>
    </x:row>
    <x:row r="466" ht="36" customHeight="1">
      <x:c r="A466" s="50" t="str">
        <x:f>IF(458&gt;$H$4,"",IF(INDEX('Fleet dates'!$A$9:$A$1008,$I466-8)="","",INDEX('Fleet dates'!$A$9:$A$1008,$I466-8)))</x:f>
      </x:c>
      <x:c r="B466" s="50" t="str">
        <x:f>IF(458&gt;$H$4,"",IF(INDEX('Fleet dates'!$B$9:$B$1008,$I466-8)="","",INDEX('Fleet dates'!$B$9:$B$1008,$I466-8)))</x:f>
      </x:c>
      <x:c r="C466" s="51" t="str">
        <x:f>IF(458&gt;$H$4,"",IF(INDEX('Fleet dates'!$C$9:$C$1008,$I466-8)="","",INDEX('Fleet dates'!$C$9:$C$1008,$I466-8)))</x:f>
      </x:c>
      <x:c r="D466" s="51" t="str">
        <x:f>IF(458&gt;$H$4,"",IF(INDEX('Fleet dates'!$D$9:$D$1008,$I466-8)="","",INDEX('Fleet dates'!$D$9:$D$1008,$I466-8)))</x:f>
      </x:c>
      <x:c r="E466" s="51" t="str">
        <x:f>IF(458&gt;$H$4,"",IF(INDEX('Fleet dates'!$E$9:$E$1008,$I466-8)="","",INDEX('Fleet dates'!$E$9:$E$1008,$I466-8)))</x:f>
      </x:c>
      <x:c r="F466" s="51" t="str">
        <x:f>IF(458&gt;$H$4,"",IF(INDEX('Fleet dates'!$F$9:$F$1008,$I466-8)="","",INDEX('Fleet dates'!$F$9:$F$1008,$I466-8)))</x:f>
      </x:c>
      <x:c r="G466" s="50" t="str">
        <x:f>IF(458&gt;$H$4,"",IF(INDEX('Fleet dates'!$G$9:$G$1008,$I466-8)="","",INDEX('Fleet dates'!$G$9:$G$1008,$I466-8)))</x:f>
      </x:c>
      <x:c r="H466" s="50" t="str">
        <x:f>IF(458&gt;$H$4,"",IF(INDEX('Fleet dates'!$I$9:$I$1008,$I466-8)="","",INDEX('Fleet dates'!$I$9:$I$1008,$I466-8)))</x:f>
      </x:c>
      <x:c r="I466" t="str">
        <x:f>IF(458&gt;$H$4,"",MATCH(458,'Fleet dates'!$N$9:$N$1008,0)+8)</x:f>
      </x:c>
    </x:row>
    <x:row r="467" ht="36" customHeight="1">
      <x:c r="A467" s="50" t="str">
        <x:f>IF(459&gt;$H$4,"",IF(INDEX('Fleet dates'!$A$9:$A$1008,$I467-8)="","",INDEX('Fleet dates'!$A$9:$A$1008,$I467-8)))</x:f>
      </x:c>
      <x:c r="B467" s="50" t="str">
        <x:f>IF(459&gt;$H$4,"",IF(INDEX('Fleet dates'!$B$9:$B$1008,$I467-8)="","",INDEX('Fleet dates'!$B$9:$B$1008,$I467-8)))</x:f>
      </x:c>
      <x:c r="C467" s="51" t="str">
        <x:f>IF(459&gt;$H$4,"",IF(INDEX('Fleet dates'!$C$9:$C$1008,$I467-8)="","",INDEX('Fleet dates'!$C$9:$C$1008,$I467-8)))</x:f>
      </x:c>
      <x:c r="D467" s="51" t="str">
        <x:f>IF(459&gt;$H$4,"",IF(INDEX('Fleet dates'!$D$9:$D$1008,$I467-8)="","",INDEX('Fleet dates'!$D$9:$D$1008,$I467-8)))</x:f>
      </x:c>
      <x:c r="E467" s="51" t="str">
        <x:f>IF(459&gt;$H$4,"",IF(INDEX('Fleet dates'!$E$9:$E$1008,$I467-8)="","",INDEX('Fleet dates'!$E$9:$E$1008,$I467-8)))</x:f>
      </x:c>
      <x:c r="F467" s="51" t="str">
        <x:f>IF(459&gt;$H$4,"",IF(INDEX('Fleet dates'!$F$9:$F$1008,$I467-8)="","",INDEX('Fleet dates'!$F$9:$F$1008,$I467-8)))</x:f>
      </x:c>
      <x:c r="G467" s="50" t="str">
        <x:f>IF(459&gt;$H$4,"",IF(INDEX('Fleet dates'!$G$9:$G$1008,$I467-8)="","",INDEX('Fleet dates'!$G$9:$G$1008,$I467-8)))</x:f>
      </x:c>
      <x:c r="H467" s="50" t="str">
        <x:f>IF(459&gt;$H$4,"",IF(INDEX('Fleet dates'!$I$9:$I$1008,$I467-8)="","",INDEX('Fleet dates'!$I$9:$I$1008,$I467-8)))</x:f>
      </x:c>
      <x:c r="I467" t="str">
        <x:f>IF(459&gt;$H$4,"",MATCH(459,'Fleet dates'!$N$9:$N$1008,0)+8)</x:f>
      </x:c>
    </x:row>
    <x:row r="468" ht="36" customHeight="1">
      <x:c r="A468" s="50" t="str">
        <x:f>IF(460&gt;$H$4,"",IF(INDEX('Fleet dates'!$A$9:$A$1008,$I468-8)="","",INDEX('Fleet dates'!$A$9:$A$1008,$I468-8)))</x:f>
      </x:c>
      <x:c r="B468" s="50" t="str">
        <x:f>IF(460&gt;$H$4,"",IF(INDEX('Fleet dates'!$B$9:$B$1008,$I468-8)="","",INDEX('Fleet dates'!$B$9:$B$1008,$I468-8)))</x:f>
      </x:c>
      <x:c r="C468" s="51" t="str">
        <x:f>IF(460&gt;$H$4,"",IF(INDEX('Fleet dates'!$C$9:$C$1008,$I468-8)="","",INDEX('Fleet dates'!$C$9:$C$1008,$I468-8)))</x:f>
      </x:c>
      <x:c r="D468" s="51" t="str">
        <x:f>IF(460&gt;$H$4,"",IF(INDEX('Fleet dates'!$D$9:$D$1008,$I468-8)="","",INDEX('Fleet dates'!$D$9:$D$1008,$I468-8)))</x:f>
      </x:c>
      <x:c r="E468" s="51" t="str">
        <x:f>IF(460&gt;$H$4,"",IF(INDEX('Fleet dates'!$E$9:$E$1008,$I468-8)="","",INDEX('Fleet dates'!$E$9:$E$1008,$I468-8)))</x:f>
      </x:c>
      <x:c r="F468" s="51" t="str">
        <x:f>IF(460&gt;$H$4,"",IF(INDEX('Fleet dates'!$F$9:$F$1008,$I468-8)="","",INDEX('Fleet dates'!$F$9:$F$1008,$I468-8)))</x:f>
      </x:c>
      <x:c r="G468" s="50" t="str">
        <x:f>IF(460&gt;$H$4,"",IF(INDEX('Fleet dates'!$G$9:$G$1008,$I468-8)="","",INDEX('Fleet dates'!$G$9:$G$1008,$I468-8)))</x:f>
      </x:c>
      <x:c r="H468" s="50" t="str">
        <x:f>IF(460&gt;$H$4,"",IF(INDEX('Fleet dates'!$I$9:$I$1008,$I468-8)="","",INDEX('Fleet dates'!$I$9:$I$1008,$I468-8)))</x:f>
      </x:c>
      <x:c r="I468" t="str">
        <x:f>IF(460&gt;$H$4,"",MATCH(460,'Fleet dates'!$N$9:$N$1008,0)+8)</x:f>
      </x:c>
    </x:row>
    <x:row r="469" ht="36" customHeight="1">
      <x:c r="A469" s="50" t="str">
        <x:f>IF(461&gt;$H$4,"",IF(INDEX('Fleet dates'!$A$9:$A$1008,$I469-8)="","",INDEX('Fleet dates'!$A$9:$A$1008,$I469-8)))</x:f>
      </x:c>
      <x:c r="B469" s="50" t="str">
        <x:f>IF(461&gt;$H$4,"",IF(INDEX('Fleet dates'!$B$9:$B$1008,$I469-8)="","",INDEX('Fleet dates'!$B$9:$B$1008,$I469-8)))</x:f>
      </x:c>
      <x:c r="C469" s="51" t="str">
        <x:f>IF(461&gt;$H$4,"",IF(INDEX('Fleet dates'!$C$9:$C$1008,$I469-8)="","",INDEX('Fleet dates'!$C$9:$C$1008,$I469-8)))</x:f>
      </x:c>
      <x:c r="D469" s="51" t="str">
        <x:f>IF(461&gt;$H$4,"",IF(INDEX('Fleet dates'!$D$9:$D$1008,$I469-8)="","",INDEX('Fleet dates'!$D$9:$D$1008,$I469-8)))</x:f>
      </x:c>
      <x:c r="E469" s="51" t="str">
        <x:f>IF(461&gt;$H$4,"",IF(INDEX('Fleet dates'!$E$9:$E$1008,$I469-8)="","",INDEX('Fleet dates'!$E$9:$E$1008,$I469-8)))</x:f>
      </x:c>
      <x:c r="F469" s="51" t="str">
        <x:f>IF(461&gt;$H$4,"",IF(INDEX('Fleet dates'!$F$9:$F$1008,$I469-8)="","",INDEX('Fleet dates'!$F$9:$F$1008,$I469-8)))</x:f>
      </x:c>
      <x:c r="G469" s="50" t="str">
        <x:f>IF(461&gt;$H$4,"",IF(INDEX('Fleet dates'!$G$9:$G$1008,$I469-8)="","",INDEX('Fleet dates'!$G$9:$G$1008,$I469-8)))</x:f>
      </x:c>
      <x:c r="H469" s="50" t="str">
        <x:f>IF(461&gt;$H$4,"",IF(INDEX('Fleet dates'!$I$9:$I$1008,$I469-8)="","",INDEX('Fleet dates'!$I$9:$I$1008,$I469-8)))</x:f>
      </x:c>
      <x:c r="I469" t="str">
        <x:f>IF(461&gt;$H$4,"",MATCH(461,'Fleet dates'!$N$9:$N$1008,0)+8)</x:f>
      </x:c>
    </x:row>
    <x:row r="470" ht="36" customHeight="1">
      <x:c r="A470" s="50" t="str">
        <x:f>IF(462&gt;$H$4,"",IF(INDEX('Fleet dates'!$A$9:$A$1008,$I470-8)="","",INDEX('Fleet dates'!$A$9:$A$1008,$I470-8)))</x:f>
      </x:c>
      <x:c r="B470" s="50" t="str">
        <x:f>IF(462&gt;$H$4,"",IF(INDEX('Fleet dates'!$B$9:$B$1008,$I470-8)="","",INDEX('Fleet dates'!$B$9:$B$1008,$I470-8)))</x:f>
      </x:c>
      <x:c r="C470" s="51" t="str">
        <x:f>IF(462&gt;$H$4,"",IF(INDEX('Fleet dates'!$C$9:$C$1008,$I470-8)="","",INDEX('Fleet dates'!$C$9:$C$1008,$I470-8)))</x:f>
      </x:c>
      <x:c r="D470" s="51" t="str">
        <x:f>IF(462&gt;$H$4,"",IF(INDEX('Fleet dates'!$D$9:$D$1008,$I470-8)="","",INDEX('Fleet dates'!$D$9:$D$1008,$I470-8)))</x:f>
      </x:c>
      <x:c r="E470" s="51" t="str">
        <x:f>IF(462&gt;$H$4,"",IF(INDEX('Fleet dates'!$E$9:$E$1008,$I470-8)="","",INDEX('Fleet dates'!$E$9:$E$1008,$I470-8)))</x:f>
      </x:c>
      <x:c r="F470" s="51" t="str">
        <x:f>IF(462&gt;$H$4,"",IF(INDEX('Fleet dates'!$F$9:$F$1008,$I470-8)="","",INDEX('Fleet dates'!$F$9:$F$1008,$I470-8)))</x:f>
      </x:c>
      <x:c r="G470" s="50" t="str">
        <x:f>IF(462&gt;$H$4,"",IF(INDEX('Fleet dates'!$G$9:$G$1008,$I470-8)="","",INDEX('Fleet dates'!$G$9:$G$1008,$I470-8)))</x:f>
      </x:c>
      <x:c r="H470" s="50" t="str">
        <x:f>IF(462&gt;$H$4,"",IF(INDEX('Fleet dates'!$I$9:$I$1008,$I470-8)="","",INDEX('Fleet dates'!$I$9:$I$1008,$I470-8)))</x:f>
      </x:c>
      <x:c r="I470" t="str">
        <x:f>IF(462&gt;$H$4,"",MATCH(462,'Fleet dates'!$N$9:$N$1008,0)+8)</x:f>
      </x:c>
    </x:row>
    <x:row r="471" ht="36" customHeight="1">
      <x:c r="A471" s="50" t="str">
        <x:f>IF(463&gt;$H$4,"",IF(INDEX('Fleet dates'!$A$9:$A$1008,$I471-8)="","",INDEX('Fleet dates'!$A$9:$A$1008,$I471-8)))</x:f>
      </x:c>
      <x:c r="B471" s="50" t="str">
        <x:f>IF(463&gt;$H$4,"",IF(INDEX('Fleet dates'!$B$9:$B$1008,$I471-8)="","",INDEX('Fleet dates'!$B$9:$B$1008,$I471-8)))</x:f>
      </x:c>
      <x:c r="C471" s="51" t="str">
        <x:f>IF(463&gt;$H$4,"",IF(INDEX('Fleet dates'!$C$9:$C$1008,$I471-8)="","",INDEX('Fleet dates'!$C$9:$C$1008,$I471-8)))</x:f>
      </x:c>
      <x:c r="D471" s="51" t="str">
        <x:f>IF(463&gt;$H$4,"",IF(INDEX('Fleet dates'!$D$9:$D$1008,$I471-8)="","",INDEX('Fleet dates'!$D$9:$D$1008,$I471-8)))</x:f>
      </x:c>
      <x:c r="E471" s="51" t="str">
        <x:f>IF(463&gt;$H$4,"",IF(INDEX('Fleet dates'!$E$9:$E$1008,$I471-8)="","",INDEX('Fleet dates'!$E$9:$E$1008,$I471-8)))</x:f>
      </x:c>
      <x:c r="F471" s="51" t="str">
        <x:f>IF(463&gt;$H$4,"",IF(INDEX('Fleet dates'!$F$9:$F$1008,$I471-8)="","",INDEX('Fleet dates'!$F$9:$F$1008,$I471-8)))</x:f>
      </x:c>
      <x:c r="G471" s="50" t="str">
        <x:f>IF(463&gt;$H$4,"",IF(INDEX('Fleet dates'!$G$9:$G$1008,$I471-8)="","",INDEX('Fleet dates'!$G$9:$G$1008,$I471-8)))</x:f>
      </x:c>
      <x:c r="H471" s="50" t="str">
        <x:f>IF(463&gt;$H$4,"",IF(INDEX('Fleet dates'!$I$9:$I$1008,$I471-8)="","",INDEX('Fleet dates'!$I$9:$I$1008,$I471-8)))</x:f>
      </x:c>
      <x:c r="I471" t="str">
        <x:f>IF(463&gt;$H$4,"",MATCH(463,'Fleet dates'!$N$9:$N$1008,0)+8)</x:f>
      </x:c>
    </x:row>
    <x:row r="472" ht="36" customHeight="1">
      <x:c r="A472" s="50" t="str">
        <x:f>IF(464&gt;$H$4,"",IF(INDEX('Fleet dates'!$A$9:$A$1008,$I472-8)="","",INDEX('Fleet dates'!$A$9:$A$1008,$I472-8)))</x:f>
      </x:c>
      <x:c r="B472" s="50" t="str">
        <x:f>IF(464&gt;$H$4,"",IF(INDEX('Fleet dates'!$B$9:$B$1008,$I472-8)="","",INDEX('Fleet dates'!$B$9:$B$1008,$I472-8)))</x:f>
      </x:c>
      <x:c r="C472" s="51" t="str">
        <x:f>IF(464&gt;$H$4,"",IF(INDEX('Fleet dates'!$C$9:$C$1008,$I472-8)="","",INDEX('Fleet dates'!$C$9:$C$1008,$I472-8)))</x:f>
      </x:c>
      <x:c r="D472" s="51" t="str">
        <x:f>IF(464&gt;$H$4,"",IF(INDEX('Fleet dates'!$D$9:$D$1008,$I472-8)="","",INDEX('Fleet dates'!$D$9:$D$1008,$I472-8)))</x:f>
      </x:c>
      <x:c r="E472" s="51" t="str">
        <x:f>IF(464&gt;$H$4,"",IF(INDEX('Fleet dates'!$E$9:$E$1008,$I472-8)="","",INDEX('Fleet dates'!$E$9:$E$1008,$I472-8)))</x:f>
      </x:c>
      <x:c r="F472" s="51" t="str">
        <x:f>IF(464&gt;$H$4,"",IF(INDEX('Fleet dates'!$F$9:$F$1008,$I472-8)="","",INDEX('Fleet dates'!$F$9:$F$1008,$I472-8)))</x:f>
      </x:c>
      <x:c r="G472" s="50" t="str">
        <x:f>IF(464&gt;$H$4,"",IF(INDEX('Fleet dates'!$G$9:$G$1008,$I472-8)="","",INDEX('Fleet dates'!$G$9:$G$1008,$I472-8)))</x:f>
      </x:c>
      <x:c r="H472" s="50" t="str">
        <x:f>IF(464&gt;$H$4,"",IF(INDEX('Fleet dates'!$I$9:$I$1008,$I472-8)="","",INDEX('Fleet dates'!$I$9:$I$1008,$I472-8)))</x:f>
      </x:c>
      <x:c r="I472" t="str">
        <x:f>IF(464&gt;$H$4,"",MATCH(464,'Fleet dates'!$N$9:$N$1008,0)+8)</x:f>
      </x:c>
    </x:row>
    <x:row r="473" ht="36" customHeight="1">
      <x:c r="A473" s="50" t="str">
        <x:f>IF(465&gt;$H$4,"",IF(INDEX('Fleet dates'!$A$9:$A$1008,$I473-8)="","",INDEX('Fleet dates'!$A$9:$A$1008,$I473-8)))</x:f>
      </x:c>
      <x:c r="B473" s="50" t="str">
        <x:f>IF(465&gt;$H$4,"",IF(INDEX('Fleet dates'!$B$9:$B$1008,$I473-8)="","",INDEX('Fleet dates'!$B$9:$B$1008,$I473-8)))</x:f>
      </x:c>
      <x:c r="C473" s="51" t="str">
        <x:f>IF(465&gt;$H$4,"",IF(INDEX('Fleet dates'!$C$9:$C$1008,$I473-8)="","",INDEX('Fleet dates'!$C$9:$C$1008,$I473-8)))</x:f>
      </x:c>
      <x:c r="D473" s="51" t="str">
        <x:f>IF(465&gt;$H$4,"",IF(INDEX('Fleet dates'!$D$9:$D$1008,$I473-8)="","",INDEX('Fleet dates'!$D$9:$D$1008,$I473-8)))</x:f>
      </x:c>
      <x:c r="E473" s="51" t="str">
        <x:f>IF(465&gt;$H$4,"",IF(INDEX('Fleet dates'!$E$9:$E$1008,$I473-8)="","",INDEX('Fleet dates'!$E$9:$E$1008,$I473-8)))</x:f>
      </x:c>
      <x:c r="F473" s="51" t="str">
        <x:f>IF(465&gt;$H$4,"",IF(INDEX('Fleet dates'!$F$9:$F$1008,$I473-8)="","",INDEX('Fleet dates'!$F$9:$F$1008,$I473-8)))</x:f>
      </x:c>
      <x:c r="G473" s="50" t="str">
        <x:f>IF(465&gt;$H$4,"",IF(INDEX('Fleet dates'!$G$9:$G$1008,$I473-8)="","",INDEX('Fleet dates'!$G$9:$G$1008,$I473-8)))</x:f>
      </x:c>
      <x:c r="H473" s="50" t="str">
        <x:f>IF(465&gt;$H$4,"",IF(INDEX('Fleet dates'!$I$9:$I$1008,$I473-8)="","",INDEX('Fleet dates'!$I$9:$I$1008,$I473-8)))</x:f>
      </x:c>
      <x:c r="I473" t="str">
        <x:f>IF(465&gt;$H$4,"",MATCH(465,'Fleet dates'!$N$9:$N$1008,0)+8)</x:f>
      </x:c>
    </x:row>
    <x:row r="474" ht="36" customHeight="1">
      <x:c r="A474" s="50" t="str">
        <x:f>IF(466&gt;$H$4,"",IF(INDEX('Fleet dates'!$A$9:$A$1008,$I474-8)="","",INDEX('Fleet dates'!$A$9:$A$1008,$I474-8)))</x:f>
      </x:c>
      <x:c r="B474" s="50" t="str">
        <x:f>IF(466&gt;$H$4,"",IF(INDEX('Fleet dates'!$B$9:$B$1008,$I474-8)="","",INDEX('Fleet dates'!$B$9:$B$1008,$I474-8)))</x:f>
      </x:c>
      <x:c r="C474" s="51" t="str">
        <x:f>IF(466&gt;$H$4,"",IF(INDEX('Fleet dates'!$C$9:$C$1008,$I474-8)="","",INDEX('Fleet dates'!$C$9:$C$1008,$I474-8)))</x:f>
      </x:c>
      <x:c r="D474" s="51" t="str">
        <x:f>IF(466&gt;$H$4,"",IF(INDEX('Fleet dates'!$D$9:$D$1008,$I474-8)="","",INDEX('Fleet dates'!$D$9:$D$1008,$I474-8)))</x:f>
      </x:c>
      <x:c r="E474" s="51" t="str">
        <x:f>IF(466&gt;$H$4,"",IF(INDEX('Fleet dates'!$E$9:$E$1008,$I474-8)="","",INDEX('Fleet dates'!$E$9:$E$1008,$I474-8)))</x:f>
      </x:c>
      <x:c r="F474" s="51" t="str">
        <x:f>IF(466&gt;$H$4,"",IF(INDEX('Fleet dates'!$F$9:$F$1008,$I474-8)="","",INDEX('Fleet dates'!$F$9:$F$1008,$I474-8)))</x:f>
      </x:c>
      <x:c r="G474" s="50" t="str">
        <x:f>IF(466&gt;$H$4,"",IF(INDEX('Fleet dates'!$G$9:$G$1008,$I474-8)="","",INDEX('Fleet dates'!$G$9:$G$1008,$I474-8)))</x:f>
      </x:c>
      <x:c r="H474" s="50" t="str">
        <x:f>IF(466&gt;$H$4,"",IF(INDEX('Fleet dates'!$I$9:$I$1008,$I474-8)="","",INDEX('Fleet dates'!$I$9:$I$1008,$I474-8)))</x:f>
      </x:c>
      <x:c r="I474" t="str">
        <x:f>IF(466&gt;$H$4,"",MATCH(466,'Fleet dates'!$N$9:$N$1008,0)+8)</x:f>
      </x:c>
    </x:row>
    <x:row r="475" ht="36" customHeight="1">
      <x:c r="A475" s="50" t="str">
        <x:f>IF(467&gt;$H$4,"",IF(INDEX('Fleet dates'!$A$9:$A$1008,$I475-8)="","",INDEX('Fleet dates'!$A$9:$A$1008,$I475-8)))</x:f>
      </x:c>
      <x:c r="B475" s="50" t="str">
        <x:f>IF(467&gt;$H$4,"",IF(INDEX('Fleet dates'!$B$9:$B$1008,$I475-8)="","",INDEX('Fleet dates'!$B$9:$B$1008,$I475-8)))</x:f>
      </x:c>
      <x:c r="C475" s="51" t="str">
        <x:f>IF(467&gt;$H$4,"",IF(INDEX('Fleet dates'!$C$9:$C$1008,$I475-8)="","",INDEX('Fleet dates'!$C$9:$C$1008,$I475-8)))</x:f>
      </x:c>
      <x:c r="D475" s="51" t="str">
        <x:f>IF(467&gt;$H$4,"",IF(INDEX('Fleet dates'!$D$9:$D$1008,$I475-8)="","",INDEX('Fleet dates'!$D$9:$D$1008,$I475-8)))</x:f>
      </x:c>
      <x:c r="E475" s="51" t="str">
        <x:f>IF(467&gt;$H$4,"",IF(INDEX('Fleet dates'!$E$9:$E$1008,$I475-8)="","",INDEX('Fleet dates'!$E$9:$E$1008,$I475-8)))</x:f>
      </x:c>
      <x:c r="F475" s="51" t="str">
        <x:f>IF(467&gt;$H$4,"",IF(INDEX('Fleet dates'!$F$9:$F$1008,$I475-8)="","",INDEX('Fleet dates'!$F$9:$F$1008,$I475-8)))</x:f>
      </x:c>
      <x:c r="G475" s="50" t="str">
        <x:f>IF(467&gt;$H$4,"",IF(INDEX('Fleet dates'!$G$9:$G$1008,$I475-8)="","",INDEX('Fleet dates'!$G$9:$G$1008,$I475-8)))</x:f>
      </x:c>
      <x:c r="H475" s="50" t="str">
        <x:f>IF(467&gt;$H$4,"",IF(INDEX('Fleet dates'!$I$9:$I$1008,$I475-8)="","",INDEX('Fleet dates'!$I$9:$I$1008,$I475-8)))</x:f>
      </x:c>
      <x:c r="I475" t="str">
        <x:f>IF(467&gt;$H$4,"",MATCH(467,'Fleet dates'!$N$9:$N$1008,0)+8)</x:f>
      </x:c>
    </x:row>
    <x:row r="476" ht="36" customHeight="1">
      <x:c r="A476" s="50" t="str">
        <x:f>IF(468&gt;$H$4,"",IF(INDEX('Fleet dates'!$A$9:$A$1008,$I476-8)="","",INDEX('Fleet dates'!$A$9:$A$1008,$I476-8)))</x:f>
      </x:c>
      <x:c r="B476" s="50" t="str">
        <x:f>IF(468&gt;$H$4,"",IF(INDEX('Fleet dates'!$B$9:$B$1008,$I476-8)="","",INDEX('Fleet dates'!$B$9:$B$1008,$I476-8)))</x:f>
      </x:c>
      <x:c r="C476" s="51" t="str">
        <x:f>IF(468&gt;$H$4,"",IF(INDEX('Fleet dates'!$C$9:$C$1008,$I476-8)="","",INDEX('Fleet dates'!$C$9:$C$1008,$I476-8)))</x:f>
      </x:c>
      <x:c r="D476" s="51" t="str">
        <x:f>IF(468&gt;$H$4,"",IF(INDEX('Fleet dates'!$D$9:$D$1008,$I476-8)="","",INDEX('Fleet dates'!$D$9:$D$1008,$I476-8)))</x:f>
      </x:c>
      <x:c r="E476" s="51" t="str">
        <x:f>IF(468&gt;$H$4,"",IF(INDEX('Fleet dates'!$E$9:$E$1008,$I476-8)="","",INDEX('Fleet dates'!$E$9:$E$1008,$I476-8)))</x:f>
      </x:c>
      <x:c r="F476" s="51" t="str">
        <x:f>IF(468&gt;$H$4,"",IF(INDEX('Fleet dates'!$F$9:$F$1008,$I476-8)="","",INDEX('Fleet dates'!$F$9:$F$1008,$I476-8)))</x:f>
      </x:c>
      <x:c r="G476" s="50" t="str">
        <x:f>IF(468&gt;$H$4,"",IF(INDEX('Fleet dates'!$G$9:$G$1008,$I476-8)="","",INDEX('Fleet dates'!$G$9:$G$1008,$I476-8)))</x:f>
      </x:c>
      <x:c r="H476" s="50" t="str">
        <x:f>IF(468&gt;$H$4,"",IF(INDEX('Fleet dates'!$I$9:$I$1008,$I476-8)="","",INDEX('Fleet dates'!$I$9:$I$1008,$I476-8)))</x:f>
      </x:c>
      <x:c r="I476" t="str">
        <x:f>IF(468&gt;$H$4,"",MATCH(468,'Fleet dates'!$N$9:$N$1008,0)+8)</x:f>
      </x:c>
    </x:row>
    <x:row r="477" ht="36" customHeight="1">
      <x:c r="A477" s="50" t="str">
        <x:f>IF(469&gt;$H$4,"",IF(INDEX('Fleet dates'!$A$9:$A$1008,$I477-8)="","",INDEX('Fleet dates'!$A$9:$A$1008,$I477-8)))</x:f>
      </x:c>
      <x:c r="B477" s="50" t="str">
        <x:f>IF(469&gt;$H$4,"",IF(INDEX('Fleet dates'!$B$9:$B$1008,$I477-8)="","",INDEX('Fleet dates'!$B$9:$B$1008,$I477-8)))</x:f>
      </x:c>
      <x:c r="C477" s="51" t="str">
        <x:f>IF(469&gt;$H$4,"",IF(INDEX('Fleet dates'!$C$9:$C$1008,$I477-8)="","",INDEX('Fleet dates'!$C$9:$C$1008,$I477-8)))</x:f>
      </x:c>
      <x:c r="D477" s="51" t="str">
        <x:f>IF(469&gt;$H$4,"",IF(INDEX('Fleet dates'!$D$9:$D$1008,$I477-8)="","",INDEX('Fleet dates'!$D$9:$D$1008,$I477-8)))</x:f>
      </x:c>
      <x:c r="E477" s="51" t="str">
        <x:f>IF(469&gt;$H$4,"",IF(INDEX('Fleet dates'!$E$9:$E$1008,$I477-8)="","",INDEX('Fleet dates'!$E$9:$E$1008,$I477-8)))</x:f>
      </x:c>
      <x:c r="F477" s="51" t="str">
        <x:f>IF(469&gt;$H$4,"",IF(INDEX('Fleet dates'!$F$9:$F$1008,$I477-8)="","",INDEX('Fleet dates'!$F$9:$F$1008,$I477-8)))</x:f>
      </x:c>
      <x:c r="G477" s="50" t="str">
        <x:f>IF(469&gt;$H$4,"",IF(INDEX('Fleet dates'!$G$9:$G$1008,$I477-8)="","",INDEX('Fleet dates'!$G$9:$G$1008,$I477-8)))</x:f>
      </x:c>
      <x:c r="H477" s="50" t="str">
        <x:f>IF(469&gt;$H$4,"",IF(INDEX('Fleet dates'!$I$9:$I$1008,$I477-8)="","",INDEX('Fleet dates'!$I$9:$I$1008,$I477-8)))</x:f>
      </x:c>
      <x:c r="I477" t="str">
        <x:f>IF(469&gt;$H$4,"",MATCH(469,'Fleet dates'!$N$9:$N$1008,0)+8)</x:f>
      </x:c>
    </x:row>
    <x:row r="478" ht="36" customHeight="1">
      <x:c r="A478" s="50" t="str">
        <x:f>IF(470&gt;$H$4,"",IF(INDEX('Fleet dates'!$A$9:$A$1008,$I478-8)="","",INDEX('Fleet dates'!$A$9:$A$1008,$I478-8)))</x:f>
      </x:c>
      <x:c r="B478" s="50" t="str">
        <x:f>IF(470&gt;$H$4,"",IF(INDEX('Fleet dates'!$B$9:$B$1008,$I478-8)="","",INDEX('Fleet dates'!$B$9:$B$1008,$I478-8)))</x:f>
      </x:c>
      <x:c r="C478" s="51" t="str">
        <x:f>IF(470&gt;$H$4,"",IF(INDEX('Fleet dates'!$C$9:$C$1008,$I478-8)="","",INDEX('Fleet dates'!$C$9:$C$1008,$I478-8)))</x:f>
      </x:c>
      <x:c r="D478" s="51" t="str">
        <x:f>IF(470&gt;$H$4,"",IF(INDEX('Fleet dates'!$D$9:$D$1008,$I478-8)="","",INDEX('Fleet dates'!$D$9:$D$1008,$I478-8)))</x:f>
      </x:c>
      <x:c r="E478" s="51" t="str">
        <x:f>IF(470&gt;$H$4,"",IF(INDEX('Fleet dates'!$E$9:$E$1008,$I478-8)="","",INDEX('Fleet dates'!$E$9:$E$1008,$I478-8)))</x:f>
      </x:c>
      <x:c r="F478" s="51" t="str">
        <x:f>IF(470&gt;$H$4,"",IF(INDEX('Fleet dates'!$F$9:$F$1008,$I478-8)="","",INDEX('Fleet dates'!$F$9:$F$1008,$I478-8)))</x:f>
      </x:c>
      <x:c r="G478" s="50" t="str">
        <x:f>IF(470&gt;$H$4,"",IF(INDEX('Fleet dates'!$G$9:$G$1008,$I478-8)="","",INDEX('Fleet dates'!$G$9:$G$1008,$I478-8)))</x:f>
      </x:c>
      <x:c r="H478" s="50" t="str">
        <x:f>IF(470&gt;$H$4,"",IF(INDEX('Fleet dates'!$I$9:$I$1008,$I478-8)="","",INDEX('Fleet dates'!$I$9:$I$1008,$I478-8)))</x:f>
      </x:c>
      <x:c r="I478" t="str">
        <x:f>IF(470&gt;$H$4,"",MATCH(470,'Fleet dates'!$N$9:$N$1008,0)+8)</x:f>
      </x:c>
    </x:row>
    <x:row r="479" ht="36" customHeight="1">
      <x:c r="A479" s="50" t="str">
        <x:f>IF(471&gt;$H$4,"",IF(INDEX('Fleet dates'!$A$9:$A$1008,$I479-8)="","",INDEX('Fleet dates'!$A$9:$A$1008,$I479-8)))</x:f>
      </x:c>
      <x:c r="B479" s="50" t="str">
        <x:f>IF(471&gt;$H$4,"",IF(INDEX('Fleet dates'!$B$9:$B$1008,$I479-8)="","",INDEX('Fleet dates'!$B$9:$B$1008,$I479-8)))</x:f>
      </x:c>
      <x:c r="C479" s="51" t="str">
        <x:f>IF(471&gt;$H$4,"",IF(INDEX('Fleet dates'!$C$9:$C$1008,$I479-8)="","",INDEX('Fleet dates'!$C$9:$C$1008,$I479-8)))</x:f>
      </x:c>
      <x:c r="D479" s="51" t="str">
        <x:f>IF(471&gt;$H$4,"",IF(INDEX('Fleet dates'!$D$9:$D$1008,$I479-8)="","",INDEX('Fleet dates'!$D$9:$D$1008,$I479-8)))</x:f>
      </x:c>
      <x:c r="E479" s="51" t="str">
        <x:f>IF(471&gt;$H$4,"",IF(INDEX('Fleet dates'!$E$9:$E$1008,$I479-8)="","",INDEX('Fleet dates'!$E$9:$E$1008,$I479-8)))</x:f>
      </x:c>
      <x:c r="F479" s="51" t="str">
        <x:f>IF(471&gt;$H$4,"",IF(INDEX('Fleet dates'!$F$9:$F$1008,$I479-8)="","",INDEX('Fleet dates'!$F$9:$F$1008,$I479-8)))</x:f>
      </x:c>
      <x:c r="G479" s="50" t="str">
        <x:f>IF(471&gt;$H$4,"",IF(INDEX('Fleet dates'!$G$9:$G$1008,$I479-8)="","",INDEX('Fleet dates'!$G$9:$G$1008,$I479-8)))</x:f>
      </x:c>
      <x:c r="H479" s="50" t="str">
        <x:f>IF(471&gt;$H$4,"",IF(INDEX('Fleet dates'!$I$9:$I$1008,$I479-8)="","",INDEX('Fleet dates'!$I$9:$I$1008,$I479-8)))</x:f>
      </x:c>
      <x:c r="I479" t="str">
        <x:f>IF(471&gt;$H$4,"",MATCH(471,'Fleet dates'!$N$9:$N$1008,0)+8)</x:f>
      </x:c>
    </x:row>
    <x:row r="480" ht="36" customHeight="1">
      <x:c r="A480" s="50" t="str">
        <x:f>IF(472&gt;$H$4,"",IF(INDEX('Fleet dates'!$A$9:$A$1008,$I480-8)="","",INDEX('Fleet dates'!$A$9:$A$1008,$I480-8)))</x:f>
      </x:c>
      <x:c r="B480" s="50" t="str">
        <x:f>IF(472&gt;$H$4,"",IF(INDEX('Fleet dates'!$B$9:$B$1008,$I480-8)="","",INDEX('Fleet dates'!$B$9:$B$1008,$I480-8)))</x:f>
      </x:c>
      <x:c r="C480" s="51" t="str">
        <x:f>IF(472&gt;$H$4,"",IF(INDEX('Fleet dates'!$C$9:$C$1008,$I480-8)="","",INDEX('Fleet dates'!$C$9:$C$1008,$I480-8)))</x:f>
      </x:c>
      <x:c r="D480" s="51" t="str">
        <x:f>IF(472&gt;$H$4,"",IF(INDEX('Fleet dates'!$D$9:$D$1008,$I480-8)="","",INDEX('Fleet dates'!$D$9:$D$1008,$I480-8)))</x:f>
      </x:c>
      <x:c r="E480" s="51" t="str">
        <x:f>IF(472&gt;$H$4,"",IF(INDEX('Fleet dates'!$E$9:$E$1008,$I480-8)="","",INDEX('Fleet dates'!$E$9:$E$1008,$I480-8)))</x:f>
      </x:c>
      <x:c r="F480" s="51" t="str">
        <x:f>IF(472&gt;$H$4,"",IF(INDEX('Fleet dates'!$F$9:$F$1008,$I480-8)="","",INDEX('Fleet dates'!$F$9:$F$1008,$I480-8)))</x:f>
      </x:c>
      <x:c r="G480" s="50" t="str">
        <x:f>IF(472&gt;$H$4,"",IF(INDEX('Fleet dates'!$G$9:$G$1008,$I480-8)="","",INDEX('Fleet dates'!$G$9:$G$1008,$I480-8)))</x:f>
      </x:c>
      <x:c r="H480" s="50" t="str">
        <x:f>IF(472&gt;$H$4,"",IF(INDEX('Fleet dates'!$I$9:$I$1008,$I480-8)="","",INDEX('Fleet dates'!$I$9:$I$1008,$I480-8)))</x:f>
      </x:c>
      <x:c r="I480" t="str">
        <x:f>IF(472&gt;$H$4,"",MATCH(472,'Fleet dates'!$N$9:$N$1008,0)+8)</x:f>
      </x:c>
    </x:row>
    <x:row r="481" ht="36" customHeight="1">
      <x:c r="A481" s="50" t="str">
        <x:f>IF(473&gt;$H$4,"",IF(INDEX('Fleet dates'!$A$9:$A$1008,$I481-8)="","",INDEX('Fleet dates'!$A$9:$A$1008,$I481-8)))</x:f>
      </x:c>
      <x:c r="B481" s="50" t="str">
        <x:f>IF(473&gt;$H$4,"",IF(INDEX('Fleet dates'!$B$9:$B$1008,$I481-8)="","",INDEX('Fleet dates'!$B$9:$B$1008,$I481-8)))</x:f>
      </x:c>
      <x:c r="C481" s="51" t="str">
        <x:f>IF(473&gt;$H$4,"",IF(INDEX('Fleet dates'!$C$9:$C$1008,$I481-8)="","",INDEX('Fleet dates'!$C$9:$C$1008,$I481-8)))</x:f>
      </x:c>
      <x:c r="D481" s="51" t="str">
        <x:f>IF(473&gt;$H$4,"",IF(INDEX('Fleet dates'!$D$9:$D$1008,$I481-8)="","",INDEX('Fleet dates'!$D$9:$D$1008,$I481-8)))</x:f>
      </x:c>
      <x:c r="E481" s="51" t="str">
        <x:f>IF(473&gt;$H$4,"",IF(INDEX('Fleet dates'!$E$9:$E$1008,$I481-8)="","",INDEX('Fleet dates'!$E$9:$E$1008,$I481-8)))</x:f>
      </x:c>
      <x:c r="F481" s="51" t="str">
        <x:f>IF(473&gt;$H$4,"",IF(INDEX('Fleet dates'!$F$9:$F$1008,$I481-8)="","",INDEX('Fleet dates'!$F$9:$F$1008,$I481-8)))</x:f>
      </x:c>
      <x:c r="G481" s="50" t="str">
        <x:f>IF(473&gt;$H$4,"",IF(INDEX('Fleet dates'!$G$9:$G$1008,$I481-8)="","",INDEX('Fleet dates'!$G$9:$G$1008,$I481-8)))</x:f>
      </x:c>
      <x:c r="H481" s="50" t="str">
        <x:f>IF(473&gt;$H$4,"",IF(INDEX('Fleet dates'!$I$9:$I$1008,$I481-8)="","",INDEX('Fleet dates'!$I$9:$I$1008,$I481-8)))</x:f>
      </x:c>
      <x:c r="I481" t="str">
        <x:f>IF(473&gt;$H$4,"",MATCH(473,'Fleet dates'!$N$9:$N$1008,0)+8)</x:f>
      </x:c>
    </x:row>
    <x:row r="482" ht="36" customHeight="1">
      <x:c r="A482" s="50" t="str">
        <x:f>IF(474&gt;$H$4,"",IF(INDEX('Fleet dates'!$A$9:$A$1008,$I482-8)="","",INDEX('Fleet dates'!$A$9:$A$1008,$I482-8)))</x:f>
      </x:c>
      <x:c r="B482" s="50" t="str">
        <x:f>IF(474&gt;$H$4,"",IF(INDEX('Fleet dates'!$B$9:$B$1008,$I482-8)="","",INDEX('Fleet dates'!$B$9:$B$1008,$I482-8)))</x:f>
      </x:c>
      <x:c r="C482" s="51" t="str">
        <x:f>IF(474&gt;$H$4,"",IF(INDEX('Fleet dates'!$C$9:$C$1008,$I482-8)="","",INDEX('Fleet dates'!$C$9:$C$1008,$I482-8)))</x:f>
      </x:c>
      <x:c r="D482" s="51" t="str">
        <x:f>IF(474&gt;$H$4,"",IF(INDEX('Fleet dates'!$D$9:$D$1008,$I482-8)="","",INDEX('Fleet dates'!$D$9:$D$1008,$I482-8)))</x:f>
      </x:c>
      <x:c r="E482" s="51" t="str">
        <x:f>IF(474&gt;$H$4,"",IF(INDEX('Fleet dates'!$E$9:$E$1008,$I482-8)="","",INDEX('Fleet dates'!$E$9:$E$1008,$I482-8)))</x:f>
      </x:c>
      <x:c r="F482" s="51" t="str">
        <x:f>IF(474&gt;$H$4,"",IF(INDEX('Fleet dates'!$F$9:$F$1008,$I482-8)="","",INDEX('Fleet dates'!$F$9:$F$1008,$I482-8)))</x:f>
      </x:c>
      <x:c r="G482" s="50" t="str">
        <x:f>IF(474&gt;$H$4,"",IF(INDEX('Fleet dates'!$G$9:$G$1008,$I482-8)="","",INDEX('Fleet dates'!$G$9:$G$1008,$I482-8)))</x:f>
      </x:c>
      <x:c r="H482" s="50" t="str">
        <x:f>IF(474&gt;$H$4,"",IF(INDEX('Fleet dates'!$I$9:$I$1008,$I482-8)="","",INDEX('Fleet dates'!$I$9:$I$1008,$I482-8)))</x:f>
      </x:c>
      <x:c r="I482" t="str">
        <x:f>IF(474&gt;$H$4,"",MATCH(474,'Fleet dates'!$N$9:$N$1008,0)+8)</x:f>
      </x:c>
    </x:row>
    <x:row r="483" ht="36" customHeight="1">
      <x:c r="A483" s="50" t="str">
        <x:f>IF(475&gt;$H$4,"",IF(INDEX('Fleet dates'!$A$9:$A$1008,$I483-8)="","",INDEX('Fleet dates'!$A$9:$A$1008,$I483-8)))</x:f>
      </x:c>
      <x:c r="B483" s="50" t="str">
        <x:f>IF(475&gt;$H$4,"",IF(INDEX('Fleet dates'!$B$9:$B$1008,$I483-8)="","",INDEX('Fleet dates'!$B$9:$B$1008,$I483-8)))</x:f>
      </x:c>
      <x:c r="C483" s="51" t="str">
        <x:f>IF(475&gt;$H$4,"",IF(INDEX('Fleet dates'!$C$9:$C$1008,$I483-8)="","",INDEX('Fleet dates'!$C$9:$C$1008,$I483-8)))</x:f>
      </x:c>
      <x:c r="D483" s="51" t="str">
        <x:f>IF(475&gt;$H$4,"",IF(INDEX('Fleet dates'!$D$9:$D$1008,$I483-8)="","",INDEX('Fleet dates'!$D$9:$D$1008,$I483-8)))</x:f>
      </x:c>
      <x:c r="E483" s="51" t="str">
        <x:f>IF(475&gt;$H$4,"",IF(INDEX('Fleet dates'!$E$9:$E$1008,$I483-8)="","",INDEX('Fleet dates'!$E$9:$E$1008,$I483-8)))</x:f>
      </x:c>
      <x:c r="F483" s="51" t="str">
        <x:f>IF(475&gt;$H$4,"",IF(INDEX('Fleet dates'!$F$9:$F$1008,$I483-8)="","",INDEX('Fleet dates'!$F$9:$F$1008,$I483-8)))</x:f>
      </x:c>
      <x:c r="G483" s="50" t="str">
        <x:f>IF(475&gt;$H$4,"",IF(INDEX('Fleet dates'!$G$9:$G$1008,$I483-8)="","",INDEX('Fleet dates'!$G$9:$G$1008,$I483-8)))</x:f>
      </x:c>
      <x:c r="H483" s="50" t="str">
        <x:f>IF(475&gt;$H$4,"",IF(INDEX('Fleet dates'!$I$9:$I$1008,$I483-8)="","",INDEX('Fleet dates'!$I$9:$I$1008,$I483-8)))</x:f>
      </x:c>
      <x:c r="I483" t="str">
        <x:f>IF(475&gt;$H$4,"",MATCH(475,'Fleet dates'!$N$9:$N$1008,0)+8)</x:f>
      </x:c>
    </x:row>
    <x:row r="484" ht="36" customHeight="1">
      <x:c r="A484" s="50" t="str">
        <x:f>IF(476&gt;$H$4,"",IF(INDEX('Fleet dates'!$A$9:$A$1008,$I484-8)="","",INDEX('Fleet dates'!$A$9:$A$1008,$I484-8)))</x:f>
      </x:c>
      <x:c r="B484" s="50" t="str">
        <x:f>IF(476&gt;$H$4,"",IF(INDEX('Fleet dates'!$B$9:$B$1008,$I484-8)="","",INDEX('Fleet dates'!$B$9:$B$1008,$I484-8)))</x:f>
      </x:c>
      <x:c r="C484" s="51" t="str">
        <x:f>IF(476&gt;$H$4,"",IF(INDEX('Fleet dates'!$C$9:$C$1008,$I484-8)="","",INDEX('Fleet dates'!$C$9:$C$1008,$I484-8)))</x:f>
      </x:c>
      <x:c r="D484" s="51" t="str">
        <x:f>IF(476&gt;$H$4,"",IF(INDEX('Fleet dates'!$D$9:$D$1008,$I484-8)="","",INDEX('Fleet dates'!$D$9:$D$1008,$I484-8)))</x:f>
      </x:c>
      <x:c r="E484" s="51" t="str">
        <x:f>IF(476&gt;$H$4,"",IF(INDEX('Fleet dates'!$E$9:$E$1008,$I484-8)="","",INDEX('Fleet dates'!$E$9:$E$1008,$I484-8)))</x:f>
      </x:c>
      <x:c r="F484" s="51" t="str">
        <x:f>IF(476&gt;$H$4,"",IF(INDEX('Fleet dates'!$F$9:$F$1008,$I484-8)="","",INDEX('Fleet dates'!$F$9:$F$1008,$I484-8)))</x:f>
      </x:c>
      <x:c r="G484" s="50" t="str">
        <x:f>IF(476&gt;$H$4,"",IF(INDEX('Fleet dates'!$G$9:$G$1008,$I484-8)="","",INDEX('Fleet dates'!$G$9:$G$1008,$I484-8)))</x:f>
      </x:c>
      <x:c r="H484" s="50" t="str">
        <x:f>IF(476&gt;$H$4,"",IF(INDEX('Fleet dates'!$I$9:$I$1008,$I484-8)="","",INDEX('Fleet dates'!$I$9:$I$1008,$I484-8)))</x:f>
      </x:c>
      <x:c r="I484" t="str">
        <x:f>IF(476&gt;$H$4,"",MATCH(476,'Fleet dates'!$N$9:$N$1008,0)+8)</x:f>
      </x:c>
    </x:row>
    <x:row r="485" ht="36" customHeight="1">
      <x:c r="A485" s="50" t="str">
        <x:f>IF(477&gt;$H$4,"",IF(INDEX('Fleet dates'!$A$9:$A$1008,$I485-8)="","",INDEX('Fleet dates'!$A$9:$A$1008,$I485-8)))</x:f>
      </x:c>
      <x:c r="B485" s="50" t="str">
        <x:f>IF(477&gt;$H$4,"",IF(INDEX('Fleet dates'!$B$9:$B$1008,$I485-8)="","",INDEX('Fleet dates'!$B$9:$B$1008,$I485-8)))</x:f>
      </x:c>
      <x:c r="C485" s="51" t="str">
        <x:f>IF(477&gt;$H$4,"",IF(INDEX('Fleet dates'!$C$9:$C$1008,$I485-8)="","",INDEX('Fleet dates'!$C$9:$C$1008,$I485-8)))</x:f>
      </x:c>
      <x:c r="D485" s="51" t="str">
        <x:f>IF(477&gt;$H$4,"",IF(INDEX('Fleet dates'!$D$9:$D$1008,$I485-8)="","",INDEX('Fleet dates'!$D$9:$D$1008,$I485-8)))</x:f>
      </x:c>
      <x:c r="E485" s="51" t="str">
        <x:f>IF(477&gt;$H$4,"",IF(INDEX('Fleet dates'!$E$9:$E$1008,$I485-8)="","",INDEX('Fleet dates'!$E$9:$E$1008,$I485-8)))</x:f>
      </x:c>
      <x:c r="F485" s="51" t="str">
        <x:f>IF(477&gt;$H$4,"",IF(INDEX('Fleet dates'!$F$9:$F$1008,$I485-8)="","",INDEX('Fleet dates'!$F$9:$F$1008,$I485-8)))</x:f>
      </x:c>
      <x:c r="G485" s="50" t="str">
        <x:f>IF(477&gt;$H$4,"",IF(INDEX('Fleet dates'!$G$9:$G$1008,$I485-8)="","",INDEX('Fleet dates'!$G$9:$G$1008,$I485-8)))</x:f>
      </x:c>
      <x:c r="H485" s="50" t="str">
        <x:f>IF(477&gt;$H$4,"",IF(INDEX('Fleet dates'!$I$9:$I$1008,$I485-8)="","",INDEX('Fleet dates'!$I$9:$I$1008,$I485-8)))</x:f>
      </x:c>
      <x:c r="I485" t="str">
        <x:f>IF(477&gt;$H$4,"",MATCH(477,'Fleet dates'!$N$9:$N$1008,0)+8)</x:f>
      </x:c>
    </x:row>
    <x:row r="486" ht="36" customHeight="1">
      <x:c r="A486" s="50" t="str">
        <x:f>IF(478&gt;$H$4,"",IF(INDEX('Fleet dates'!$A$9:$A$1008,$I486-8)="","",INDEX('Fleet dates'!$A$9:$A$1008,$I486-8)))</x:f>
      </x:c>
      <x:c r="B486" s="50" t="str">
        <x:f>IF(478&gt;$H$4,"",IF(INDEX('Fleet dates'!$B$9:$B$1008,$I486-8)="","",INDEX('Fleet dates'!$B$9:$B$1008,$I486-8)))</x:f>
      </x:c>
      <x:c r="C486" s="51" t="str">
        <x:f>IF(478&gt;$H$4,"",IF(INDEX('Fleet dates'!$C$9:$C$1008,$I486-8)="","",INDEX('Fleet dates'!$C$9:$C$1008,$I486-8)))</x:f>
      </x:c>
      <x:c r="D486" s="51" t="str">
        <x:f>IF(478&gt;$H$4,"",IF(INDEX('Fleet dates'!$D$9:$D$1008,$I486-8)="","",INDEX('Fleet dates'!$D$9:$D$1008,$I486-8)))</x:f>
      </x:c>
      <x:c r="E486" s="51" t="str">
        <x:f>IF(478&gt;$H$4,"",IF(INDEX('Fleet dates'!$E$9:$E$1008,$I486-8)="","",INDEX('Fleet dates'!$E$9:$E$1008,$I486-8)))</x:f>
      </x:c>
      <x:c r="F486" s="51" t="str">
        <x:f>IF(478&gt;$H$4,"",IF(INDEX('Fleet dates'!$F$9:$F$1008,$I486-8)="","",INDEX('Fleet dates'!$F$9:$F$1008,$I486-8)))</x:f>
      </x:c>
      <x:c r="G486" s="50" t="str">
        <x:f>IF(478&gt;$H$4,"",IF(INDEX('Fleet dates'!$G$9:$G$1008,$I486-8)="","",INDEX('Fleet dates'!$G$9:$G$1008,$I486-8)))</x:f>
      </x:c>
      <x:c r="H486" s="50" t="str">
        <x:f>IF(478&gt;$H$4,"",IF(INDEX('Fleet dates'!$I$9:$I$1008,$I486-8)="","",INDEX('Fleet dates'!$I$9:$I$1008,$I486-8)))</x:f>
      </x:c>
      <x:c r="I486" t="str">
        <x:f>IF(478&gt;$H$4,"",MATCH(478,'Fleet dates'!$N$9:$N$1008,0)+8)</x:f>
      </x:c>
    </x:row>
    <x:row r="487" ht="36" customHeight="1">
      <x:c r="A487" s="50" t="str">
        <x:f>IF(479&gt;$H$4,"",IF(INDEX('Fleet dates'!$A$9:$A$1008,$I487-8)="","",INDEX('Fleet dates'!$A$9:$A$1008,$I487-8)))</x:f>
      </x:c>
      <x:c r="B487" s="50" t="str">
        <x:f>IF(479&gt;$H$4,"",IF(INDEX('Fleet dates'!$B$9:$B$1008,$I487-8)="","",INDEX('Fleet dates'!$B$9:$B$1008,$I487-8)))</x:f>
      </x:c>
      <x:c r="C487" s="51" t="str">
        <x:f>IF(479&gt;$H$4,"",IF(INDEX('Fleet dates'!$C$9:$C$1008,$I487-8)="","",INDEX('Fleet dates'!$C$9:$C$1008,$I487-8)))</x:f>
      </x:c>
      <x:c r="D487" s="51" t="str">
        <x:f>IF(479&gt;$H$4,"",IF(INDEX('Fleet dates'!$D$9:$D$1008,$I487-8)="","",INDEX('Fleet dates'!$D$9:$D$1008,$I487-8)))</x:f>
      </x:c>
      <x:c r="E487" s="51" t="str">
        <x:f>IF(479&gt;$H$4,"",IF(INDEX('Fleet dates'!$E$9:$E$1008,$I487-8)="","",INDEX('Fleet dates'!$E$9:$E$1008,$I487-8)))</x:f>
      </x:c>
      <x:c r="F487" s="51" t="str">
        <x:f>IF(479&gt;$H$4,"",IF(INDEX('Fleet dates'!$F$9:$F$1008,$I487-8)="","",INDEX('Fleet dates'!$F$9:$F$1008,$I487-8)))</x:f>
      </x:c>
      <x:c r="G487" s="50" t="str">
        <x:f>IF(479&gt;$H$4,"",IF(INDEX('Fleet dates'!$G$9:$G$1008,$I487-8)="","",INDEX('Fleet dates'!$G$9:$G$1008,$I487-8)))</x:f>
      </x:c>
      <x:c r="H487" s="50" t="str">
        <x:f>IF(479&gt;$H$4,"",IF(INDEX('Fleet dates'!$I$9:$I$1008,$I487-8)="","",INDEX('Fleet dates'!$I$9:$I$1008,$I487-8)))</x:f>
      </x:c>
      <x:c r="I487" t="str">
        <x:f>IF(479&gt;$H$4,"",MATCH(479,'Fleet dates'!$N$9:$N$1008,0)+8)</x:f>
      </x:c>
    </x:row>
    <x:row r="488" ht="36" customHeight="1">
      <x:c r="A488" s="50" t="str">
        <x:f>IF(480&gt;$H$4,"",IF(INDEX('Fleet dates'!$A$9:$A$1008,$I488-8)="","",INDEX('Fleet dates'!$A$9:$A$1008,$I488-8)))</x:f>
      </x:c>
      <x:c r="B488" s="50" t="str">
        <x:f>IF(480&gt;$H$4,"",IF(INDEX('Fleet dates'!$B$9:$B$1008,$I488-8)="","",INDEX('Fleet dates'!$B$9:$B$1008,$I488-8)))</x:f>
      </x:c>
      <x:c r="C488" s="51" t="str">
        <x:f>IF(480&gt;$H$4,"",IF(INDEX('Fleet dates'!$C$9:$C$1008,$I488-8)="","",INDEX('Fleet dates'!$C$9:$C$1008,$I488-8)))</x:f>
      </x:c>
      <x:c r="D488" s="51" t="str">
        <x:f>IF(480&gt;$H$4,"",IF(INDEX('Fleet dates'!$D$9:$D$1008,$I488-8)="","",INDEX('Fleet dates'!$D$9:$D$1008,$I488-8)))</x:f>
      </x:c>
      <x:c r="E488" s="51" t="str">
        <x:f>IF(480&gt;$H$4,"",IF(INDEX('Fleet dates'!$E$9:$E$1008,$I488-8)="","",INDEX('Fleet dates'!$E$9:$E$1008,$I488-8)))</x:f>
      </x:c>
      <x:c r="F488" s="51" t="str">
        <x:f>IF(480&gt;$H$4,"",IF(INDEX('Fleet dates'!$F$9:$F$1008,$I488-8)="","",INDEX('Fleet dates'!$F$9:$F$1008,$I488-8)))</x:f>
      </x:c>
      <x:c r="G488" s="50" t="str">
        <x:f>IF(480&gt;$H$4,"",IF(INDEX('Fleet dates'!$G$9:$G$1008,$I488-8)="","",INDEX('Fleet dates'!$G$9:$G$1008,$I488-8)))</x:f>
      </x:c>
      <x:c r="H488" s="50" t="str">
        <x:f>IF(480&gt;$H$4,"",IF(INDEX('Fleet dates'!$I$9:$I$1008,$I488-8)="","",INDEX('Fleet dates'!$I$9:$I$1008,$I488-8)))</x:f>
      </x:c>
      <x:c r="I488" t="str">
        <x:f>IF(480&gt;$H$4,"",MATCH(480,'Fleet dates'!$N$9:$N$1008,0)+8)</x:f>
      </x:c>
    </x:row>
    <x:row r="489" ht="36" customHeight="1">
      <x:c r="A489" s="50" t="str">
        <x:f>IF(481&gt;$H$4,"",IF(INDEX('Fleet dates'!$A$9:$A$1008,$I489-8)="","",INDEX('Fleet dates'!$A$9:$A$1008,$I489-8)))</x:f>
      </x:c>
      <x:c r="B489" s="50" t="str">
        <x:f>IF(481&gt;$H$4,"",IF(INDEX('Fleet dates'!$B$9:$B$1008,$I489-8)="","",INDEX('Fleet dates'!$B$9:$B$1008,$I489-8)))</x:f>
      </x:c>
      <x:c r="C489" s="51" t="str">
        <x:f>IF(481&gt;$H$4,"",IF(INDEX('Fleet dates'!$C$9:$C$1008,$I489-8)="","",INDEX('Fleet dates'!$C$9:$C$1008,$I489-8)))</x:f>
      </x:c>
      <x:c r="D489" s="51" t="str">
        <x:f>IF(481&gt;$H$4,"",IF(INDEX('Fleet dates'!$D$9:$D$1008,$I489-8)="","",INDEX('Fleet dates'!$D$9:$D$1008,$I489-8)))</x:f>
      </x:c>
      <x:c r="E489" s="51" t="str">
        <x:f>IF(481&gt;$H$4,"",IF(INDEX('Fleet dates'!$E$9:$E$1008,$I489-8)="","",INDEX('Fleet dates'!$E$9:$E$1008,$I489-8)))</x:f>
      </x:c>
      <x:c r="F489" s="51" t="str">
        <x:f>IF(481&gt;$H$4,"",IF(INDEX('Fleet dates'!$F$9:$F$1008,$I489-8)="","",INDEX('Fleet dates'!$F$9:$F$1008,$I489-8)))</x:f>
      </x:c>
      <x:c r="G489" s="50" t="str">
        <x:f>IF(481&gt;$H$4,"",IF(INDEX('Fleet dates'!$G$9:$G$1008,$I489-8)="","",INDEX('Fleet dates'!$G$9:$G$1008,$I489-8)))</x:f>
      </x:c>
      <x:c r="H489" s="50" t="str">
        <x:f>IF(481&gt;$H$4,"",IF(INDEX('Fleet dates'!$I$9:$I$1008,$I489-8)="","",INDEX('Fleet dates'!$I$9:$I$1008,$I489-8)))</x:f>
      </x:c>
      <x:c r="I489" t="str">
        <x:f>IF(481&gt;$H$4,"",MATCH(481,'Fleet dates'!$N$9:$N$1008,0)+8)</x:f>
      </x:c>
    </x:row>
    <x:row r="490" ht="36" customHeight="1">
      <x:c r="A490" s="50" t="str">
        <x:f>IF(482&gt;$H$4,"",IF(INDEX('Fleet dates'!$A$9:$A$1008,$I490-8)="","",INDEX('Fleet dates'!$A$9:$A$1008,$I490-8)))</x:f>
      </x:c>
      <x:c r="B490" s="50" t="str">
        <x:f>IF(482&gt;$H$4,"",IF(INDEX('Fleet dates'!$B$9:$B$1008,$I490-8)="","",INDEX('Fleet dates'!$B$9:$B$1008,$I490-8)))</x:f>
      </x:c>
      <x:c r="C490" s="51" t="str">
        <x:f>IF(482&gt;$H$4,"",IF(INDEX('Fleet dates'!$C$9:$C$1008,$I490-8)="","",INDEX('Fleet dates'!$C$9:$C$1008,$I490-8)))</x:f>
      </x:c>
      <x:c r="D490" s="51" t="str">
        <x:f>IF(482&gt;$H$4,"",IF(INDEX('Fleet dates'!$D$9:$D$1008,$I490-8)="","",INDEX('Fleet dates'!$D$9:$D$1008,$I490-8)))</x:f>
      </x:c>
      <x:c r="E490" s="51" t="str">
        <x:f>IF(482&gt;$H$4,"",IF(INDEX('Fleet dates'!$E$9:$E$1008,$I490-8)="","",INDEX('Fleet dates'!$E$9:$E$1008,$I490-8)))</x:f>
      </x:c>
      <x:c r="F490" s="51" t="str">
        <x:f>IF(482&gt;$H$4,"",IF(INDEX('Fleet dates'!$F$9:$F$1008,$I490-8)="","",INDEX('Fleet dates'!$F$9:$F$1008,$I490-8)))</x:f>
      </x:c>
      <x:c r="G490" s="50" t="str">
        <x:f>IF(482&gt;$H$4,"",IF(INDEX('Fleet dates'!$G$9:$G$1008,$I490-8)="","",INDEX('Fleet dates'!$G$9:$G$1008,$I490-8)))</x:f>
      </x:c>
      <x:c r="H490" s="50" t="str">
        <x:f>IF(482&gt;$H$4,"",IF(INDEX('Fleet dates'!$I$9:$I$1008,$I490-8)="","",INDEX('Fleet dates'!$I$9:$I$1008,$I490-8)))</x:f>
      </x:c>
      <x:c r="I490" t="str">
        <x:f>IF(482&gt;$H$4,"",MATCH(482,'Fleet dates'!$N$9:$N$1008,0)+8)</x:f>
      </x:c>
    </x:row>
    <x:row r="491" ht="36" customHeight="1">
      <x:c r="A491" s="50" t="str">
        <x:f>IF(483&gt;$H$4,"",IF(INDEX('Fleet dates'!$A$9:$A$1008,$I491-8)="","",INDEX('Fleet dates'!$A$9:$A$1008,$I491-8)))</x:f>
      </x:c>
      <x:c r="B491" s="50" t="str">
        <x:f>IF(483&gt;$H$4,"",IF(INDEX('Fleet dates'!$B$9:$B$1008,$I491-8)="","",INDEX('Fleet dates'!$B$9:$B$1008,$I491-8)))</x:f>
      </x:c>
      <x:c r="C491" s="51" t="str">
        <x:f>IF(483&gt;$H$4,"",IF(INDEX('Fleet dates'!$C$9:$C$1008,$I491-8)="","",INDEX('Fleet dates'!$C$9:$C$1008,$I491-8)))</x:f>
      </x:c>
      <x:c r="D491" s="51" t="str">
        <x:f>IF(483&gt;$H$4,"",IF(INDEX('Fleet dates'!$D$9:$D$1008,$I491-8)="","",INDEX('Fleet dates'!$D$9:$D$1008,$I491-8)))</x:f>
      </x:c>
      <x:c r="E491" s="51" t="str">
        <x:f>IF(483&gt;$H$4,"",IF(INDEX('Fleet dates'!$E$9:$E$1008,$I491-8)="","",INDEX('Fleet dates'!$E$9:$E$1008,$I491-8)))</x:f>
      </x:c>
      <x:c r="F491" s="51" t="str">
        <x:f>IF(483&gt;$H$4,"",IF(INDEX('Fleet dates'!$F$9:$F$1008,$I491-8)="","",INDEX('Fleet dates'!$F$9:$F$1008,$I491-8)))</x:f>
      </x:c>
      <x:c r="G491" s="50" t="str">
        <x:f>IF(483&gt;$H$4,"",IF(INDEX('Fleet dates'!$G$9:$G$1008,$I491-8)="","",INDEX('Fleet dates'!$G$9:$G$1008,$I491-8)))</x:f>
      </x:c>
      <x:c r="H491" s="50" t="str">
        <x:f>IF(483&gt;$H$4,"",IF(INDEX('Fleet dates'!$I$9:$I$1008,$I491-8)="","",INDEX('Fleet dates'!$I$9:$I$1008,$I491-8)))</x:f>
      </x:c>
      <x:c r="I491" t="str">
        <x:f>IF(483&gt;$H$4,"",MATCH(483,'Fleet dates'!$N$9:$N$1008,0)+8)</x:f>
      </x:c>
    </x:row>
    <x:row r="492" ht="36" customHeight="1">
      <x:c r="A492" s="50" t="str">
        <x:f>IF(484&gt;$H$4,"",IF(INDEX('Fleet dates'!$A$9:$A$1008,$I492-8)="","",INDEX('Fleet dates'!$A$9:$A$1008,$I492-8)))</x:f>
      </x:c>
      <x:c r="B492" s="50" t="str">
        <x:f>IF(484&gt;$H$4,"",IF(INDEX('Fleet dates'!$B$9:$B$1008,$I492-8)="","",INDEX('Fleet dates'!$B$9:$B$1008,$I492-8)))</x:f>
      </x:c>
      <x:c r="C492" s="51" t="str">
        <x:f>IF(484&gt;$H$4,"",IF(INDEX('Fleet dates'!$C$9:$C$1008,$I492-8)="","",INDEX('Fleet dates'!$C$9:$C$1008,$I492-8)))</x:f>
      </x:c>
      <x:c r="D492" s="51" t="str">
        <x:f>IF(484&gt;$H$4,"",IF(INDEX('Fleet dates'!$D$9:$D$1008,$I492-8)="","",INDEX('Fleet dates'!$D$9:$D$1008,$I492-8)))</x:f>
      </x:c>
      <x:c r="E492" s="51" t="str">
        <x:f>IF(484&gt;$H$4,"",IF(INDEX('Fleet dates'!$E$9:$E$1008,$I492-8)="","",INDEX('Fleet dates'!$E$9:$E$1008,$I492-8)))</x:f>
      </x:c>
      <x:c r="F492" s="51" t="str">
        <x:f>IF(484&gt;$H$4,"",IF(INDEX('Fleet dates'!$F$9:$F$1008,$I492-8)="","",INDEX('Fleet dates'!$F$9:$F$1008,$I492-8)))</x:f>
      </x:c>
      <x:c r="G492" s="50" t="str">
        <x:f>IF(484&gt;$H$4,"",IF(INDEX('Fleet dates'!$G$9:$G$1008,$I492-8)="","",INDEX('Fleet dates'!$G$9:$G$1008,$I492-8)))</x:f>
      </x:c>
      <x:c r="H492" s="50" t="str">
        <x:f>IF(484&gt;$H$4,"",IF(INDEX('Fleet dates'!$I$9:$I$1008,$I492-8)="","",INDEX('Fleet dates'!$I$9:$I$1008,$I492-8)))</x:f>
      </x:c>
      <x:c r="I492" t="str">
        <x:f>IF(484&gt;$H$4,"",MATCH(484,'Fleet dates'!$N$9:$N$1008,0)+8)</x:f>
      </x:c>
    </x:row>
    <x:row r="493" ht="36" customHeight="1">
      <x:c r="A493" s="50" t="str">
        <x:f>IF(485&gt;$H$4,"",IF(INDEX('Fleet dates'!$A$9:$A$1008,$I493-8)="","",INDEX('Fleet dates'!$A$9:$A$1008,$I493-8)))</x:f>
      </x:c>
      <x:c r="B493" s="50" t="str">
        <x:f>IF(485&gt;$H$4,"",IF(INDEX('Fleet dates'!$B$9:$B$1008,$I493-8)="","",INDEX('Fleet dates'!$B$9:$B$1008,$I493-8)))</x:f>
      </x:c>
      <x:c r="C493" s="51" t="str">
        <x:f>IF(485&gt;$H$4,"",IF(INDEX('Fleet dates'!$C$9:$C$1008,$I493-8)="","",INDEX('Fleet dates'!$C$9:$C$1008,$I493-8)))</x:f>
      </x:c>
      <x:c r="D493" s="51" t="str">
        <x:f>IF(485&gt;$H$4,"",IF(INDEX('Fleet dates'!$D$9:$D$1008,$I493-8)="","",INDEX('Fleet dates'!$D$9:$D$1008,$I493-8)))</x:f>
      </x:c>
      <x:c r="E493" s="51" t="str">
        <x:f>IF(485&gt;$H$4,"",IF(INDEX('Fleet dates'!$E$9:$E$1008,$I493-8)="","",INDEX('Fleet dates'!$E$9:$E$1008,$I493-8)))</x:f>
      </x:c>
      <x:c r="F493" s="51" t="str">
        <x:f>IF(485&gt;$H$4,"",IF(INDEX('Fleet dates'!$F$9:$F$1008,$I493-8)="","",INDEX('Fleet dates'!$F$9:$F$1008,$I493-8)))</x:f>
      </x:c>
      <x:c r="G493" s="50" t="str">
        <x:f>IF(485&gt;$H$4,"",IF(INDEX('Fleet dates'!$G$9:$G$1008,$I493-8)="","",INDEX('Fleet dates'!$G$9:$G$1008,$I493-8)))</x:f>
      </x:c>
      <x:c r="H493" s="50" t="str">
        <x:f>IF(485&gt;$H$4,"",IF(INDEX('Fleet dates'!$I$9:$I$1008,$I493-8)="","",INDEX('Fleet dates'!$I$9:$I$1008,$I493-8)))</x:f>
      </x:c>
      <x:c r="I493" t="str">
        <x:f>IF(485&gt;$H$4,"",MATCH(485,'Fleet dates'!$N$9:$N$1008,0)+8)</x:f>
      </x:c>
    </x:row>
    <x:row r="494" ht="36" customHeight="1">
      <x:c r="A494" s="50" t="str">
        <x:f>IF(486&gt;$H$4,"",IF(INDEX('Fleet dates'!$A$9:$A$1008,$I494-8)="","",INDEX('Fleet dates'!$A$9:$A$1008,$I494-8)))</x:f>
      </x:c>
      <x:c r="B494" s="50" t="str">
        <x:f>IF(486&gt;$H$4,"",IF(INDEX('Fleet dates'!$B$9:$B$1008,$I494-8)="","",INDEX('Fleet dates'!$B$9:$B$1008,$I494-8)))</x:f>
      </x:c>
      <x:c r="C494" s="51" t="str">
        <x:f>IF(486&gt;$H$4,"",IF(INDEX('Fleet dates'!$C$9:$C$1008,$I494-8)="","",INDEX('Fleet dates'!$C$9:$C$1008,$I494-8)))</x:f>
      </x:c>
      <x:c r="D494" s="51" t="str">
        <x:f>IF(486&gt;$H$4,"",IF(INDEX('Fleet dates'!$D$9:$D$1008,$I494-8)="","",INDEX('Fleet dates'!$D$9:$D$1008,$I494-8)))</x:f>
      </x:c>
      <x:c r="E494" s="51" t="str">
        <x:f>IF(486&gt;$H$4,"",IF(INDEX('Fleet dates'!$E$9:$E$1008,$I494-8)="","",INDEX('Fleet dates'!$E$9:$E$1008,$I494-8)))</x:f>
      </x:c>
      <x:c r="F494" s="51" t="str">
        <x:f>IF(486&gt;$H$4,"",IF(INDEX('Fleet dates'!$F$9:$F$1008,$I494-8)="","",INDEX('Fleet dates'!$F$9:$F$1008,$I494-8)))</x:f>
      </x:c>
      <x:c r="G494" s="50" t="str">
        <x:f>IF(486&gt;$H$4,"",IF(INDEX('Fleet dates'!$G$9:$G$1008,$I494-8)="","",INDEX('Fleet dates'!$G$9:$G$1008,$I494-8)))</x:f>
      </x:c>
      <x:c r="H494" s="50" t="str">
        <x:f>IF(486&gt;$H$4,"",IF(INDEX('Fleet dates'!$I$9:$I$1008,$I494-8)="","",INDEX('Fleet dates'!$I$9:$I$1008,$I494-8)))</x:f>
      </x:c>
      <x:c r="I494" t="str">
        <x:f>IF(486&gt;$H$4,"",MATCH(486,'Fleet dates'!$N$9:$N$1008,0)+8)</x:f>
      </x:c>
    </x:row>
    <x:row r="495" ht="36" customHeight="1">
      <x:c r="A495" s="50" t="str">
        <x:f>IF(487&gt;$H$4,"",IF(INDEX('Fleet dates'!$A$9:$A$1008,$I495-8)="","",INDEX('Fleet dates'!$A$9:$A$1008,$I495-8)))</x:f>
      </x:c>
      <x:c r="B495" s="50" t="str">
        <x:f>IF(487&gt;$H$4,"",IF(INDEX('Fleet dates'!$B$9:$B$1008,$I495-8)="","",INDEX('Fleet dates'!$B$9:$B$1008,$I495-8)))</x:f>
      </x:c>
      <x:c r="C495" s="51" t="str">
        <x:f>IF(487&gt;$H$4,"",IF(INDEX('Fleet dates'!$C$9:$C$1008,$I495-8)="","",INDEX('Fleet dates'!$C$9:$C$1008,$I495-8)))</x:f>
      </x:c>
      <x:c r="D495" s="51" t="str">
        <x:f>IF(487&gt;$H$4,"",IF(INDEX('Fleet dates'!$D$9:$D$1008,$I495-8)="","",INDEX('Fleet dates'!$D$9:$D$1008,$I495-8)))</x:f>
      </x:c>
      <x:c r="E495" s="51" t="str">
        <x:f>IF(487&gt;$H$4,"",IF(INDEX('Fleet dates'!$E$9:$E$1008,$I495-8)="","",INDEX('Fleet dates'!$E$9:$E$1008,$I495-8)))</x:f>
      </x:c>
      <x:c r="F495" s="51" t="str">
        <x:f>IF(487&gt;$H$4,"",IF(INDEX('Fleet dates'!$F$9:$F$1008,$I495-8)="","",INDEX('Fleet dates'!$F$9:$F$1008,$I495-8)))</x:f>
      </x:c>
      <x:c r="G495" s="50" t="str">
        <x:f>IF(487&gt;$H$4,"",IF(INDEX('Fleet dates'!$G$9:$G$1008,$I495-8)="","",INDEX('Fleet dates'!$G$9:$G$1008,$I495-8)))</x:f>
      </x:c>
      <x:c r="H495" s="50" t="str">
        <x:f>IF(487&gt;$H$4,"",IF(INDEX('Fleet dates'!$I$9:$I$1008,$I495-8)="","",INDEX('Fleet dates'!$I$9:$I$1008,$I495-8)))</x:f>
      </x:c>
      <x:c r="I495" t="str">
        <x:f>IF(487&gt;$H$4,"",MATCH(487,'Fleet dates'!$N$9:$N$1008,0)+8)</x:f>
      </x:c>
    </x:row>
    <x:row r="496" ht="36" customHeight="1">
      <x:c r="A496" s="50" t="str">
        <x:f>IF(488&gt;$H$4,"",IF(INDEX('Fleet dates'!$A$9:$A$1008,$I496-8)="","",INDEX('Fleet dates'!$A$9:$A$1008,$I496-8)))</x:f>
      </x:c>
      <x:c r="B496" s="50" t="str">
        <x:f>IF(488&gt;$H$4,"",IF(INDEX('Fleet dates'!$B$9:$B$1008,$I496-8)="","",INDEX('Fleet dates'!$B$9:$B$1008,$I496-8)))</x:f>
      </x:c>
      <x:c r="C496" s="51" t="str">
        <x:f>IF(488&gt;$H$4,"",IF(INDEX('Fleet dates'!$C$9:$C$1008,$I496-8)="","",INDEX('Fleet dates'!$C$9:$C$1008,$I496-8)))</x:f>
      </x:c>
      <x:c r="D496" s="51" t="str">
        <x:f>IF(488&gt;$H$4,"",IF(INDEX('Fleet dates'!$D$9:$D$1008,$I496-8)="","",INDEX('Fleet dates'!$D$9:$D$1008,$I496-8)))</x:f>
      </x:c>
      <x:c r="E496" s="51" t="str">
        <x:f>IF(488&gt;$H$4,"",IF(INDEX('Fleet dates'!$E$9:$E$1008,$I496-8)="","",INDEX('Fleet dates'!$E$9:$E$1008,$I496-8)))</x:f>
      </x:c>
      <x:c r="F496" s="51" t="str">
        <x:f>IF(488&gt;$H$4,"",IF(INDEX('Fleet dates'!$F$9:$F$1008,$I496-8)="","",INDEX('Fleet dates'!$F$9:$F$1008,$I496-8)))</x:f>
      </x:c>
      <x:c r="G496" s="50" t="str">
        <x:f>IF(488&gt;$H$4,"",IF(INDEX('Fleet dates'!$G$9:$G$1008,$I496-8)="","",INDEX('Fleet dates'!$G$9:$G$1008,$I496-8)))</x:f>
      </x:c>
      <x:c r="H496" s="50" t="str">
        <x:f>IF(488&gt;$H$4,"",IF(INDEX('Fleet dates'!$I$9:$I$1008,$I496-8)="","",INDEX('Fleet dates'!$I$9:$I$1008,$I496-8)))</x:f>
      </x:c>
      <x:c r="I496" t="str">
        <x:f>IF(488&gt;$H$4,"",MATCH(488,'Fleet dates'!$N$9:$N$1008,0)+8)</x:f>
      </x:c>
    </x:row>
    <x:row r="497" ht="36" customHeight="1">
      <x:c r="A497" s="50" t="str">
        <x:f>IF(489&gt;$H$4,"",IF(INDEX('Fleet dates'!$A$9:$A$1008,$I497-8)="","",INDEX('Fleet dates'!$A$9:$A$1008,$I497-8)))</x:f>
      </x:c>
      <x:c r="B497" s="50" t="str">
        <x:f>IF(489&gt;$H$4,"",IF(INDEX('Fleet dates'!$B$9:$B$1008,$I497-8)="","",INDEX('Fleet dates'!$B$9:$B$1008,$I497-8)))</x:f>
      </x:c>
      <x:c r="C497" s="51" t="str">
        <x:f>IF(489&gt;$H$4,"",IF(INDEX('Fleet dates'!$C$9:$C$1008,$I497-8)="","",INDEX('Fleet dates'!$C$9:$C$1008,$I497-8)))</x:f>
      </x:c>
      <x:c r="D497" s="51" t="str">
        <x:f>IF(489&gt;$H$4,"",IF(INDEX('Fleet dates'!$D$9:$D$1008,$I497-8)="","",INDEX('Fleet dates'!$D$9:$D$1008,$I497-8)))</x:f>
      </x:c>
      <x:c r="E497" s="51" t="str">
        <x:f>IF(489&gt;$H$4,"",IF(INDEX('Fleet dates'!$E$9:$E$1008,$I497-8)="","",INDEX('Fleet dates'!$E$9:$E$1008,$I497-8)))</x:f>
      </x:c>
      <x:c r="F497" s="51" t="str">
        <x:f>IF(489&gt;$H$4,"",IF(INDEX('Fleet dates'!$F$9:$F$1008,$I497-8)="","",INDEX('Fleet dates'!$F$9:$F$1008,$I497-8)))</x:f>
      </x:c>
      <x:c r="G497" s="50" t="str">
        <x:f>IF(489&gt;$H$4,"",IF(INDEX('Fleet dates'!$G$9:$G$1008,$I497-8)="","",INDEX('Fleet dates'!$G$9:$G$1008,$I497-8)))</x:f>
      </x:c>
      <x:c r="H497" s="50" t="str">
        <x:f>IF(489&gt;$H$4,"",IF(INDEX('Fleet dates'!$I$9:$I$1008,$I497-8)="","",INDEX('Fleet dates'!$I$9:$I$1008,$I497-8)))</x:f>
      </x:c>
      <x:c r="I497" t="str">
        <x:f>IF(489&gt;$H$4,"",MATCH(489,'Fleet dates'!$N$9:$N$1008,0)+8)</x:f>
      </x:c>
    </x:row>
    <x:row r="498" ht="36" customHeight="1">
      <x:c r="A498" s="50" t="str">
        <x:f>IF(490&gt;$H$4,"",IF(INDEX('Fleet dates'!$A$9:$A$1008,$I498-8)="","",INDEX('Fleet dates'!$A$9:$A$1008,$I498-8)))</x:f>
      </x:c>
      <x:c r="B498" s="50" t="str">
        <x:f>IF(490&gt;$H$4,"",IF(INDEX('Fleet dates'!$B$9:$B$1008,$I498-8)="","",INDEX('Fleet dates'!$B$9:$B$1008,$I498-8)))</x:f>
      </x:c>
      <x:c r="C498" s="51" t="str">
        <x:f>IF(490&gt;$H$4,"",IF(INDEX('Fleet dates'!$C$9:$C$1008,$I498-8)="","",INDEX('Fleet dates'!$C$9:$C$1008,$I498-8)))</x:f>
      </x:c>
      <x:c r="D498" s="51" t="str">
        <x:f>IF(490&gt;$H$4,"",IF(INDEX('Fleet dates'!$D$9:$D$1008,$I498-8)="","",INDEX('Fleet dates'!$D$9:$D$1008,$I498-8)))</x:f>
      </x:c>
      <x:c r="E498" s="51" t="str">
        <x:f>IF(490&gt;$H$4,"",IF(INDEX('Fleet dates'!$E$9:$E$1008,$I498-8)="","",INDEX('Fleet dates'!$E$9:$E$1008,$I498-8)))</x:f>
      </x:c>
      <x:c r="F498" s="51" t="str">
        <x:f>IF(490&gt;$H$4,"",IF(INDEX('Fleet dates'!$F$9:$F$1008,$I498-8)="","",INDEX('Fleet dates'!$F$9:$F$1008,$I498-8)))</x:f>
      </x:c>
      <x:c r="G498" s="50" t="str">
        <x:f>IF(490&gt;$H$4,"",IF(INDEX('Fleet dates'!$G$9:$G$1008,$I498-8)="","",INDEX('Fleet dates'!$G$9:$G$1008,$I498-8)))</x:f>
      </x:c>
      <x:c r="H498" s="50" t="str">
        <x:f>IF(490&gt;$H$4,"",IF(INDEX('Fleet dates'!$I$9:$I$1008,$I498-8)="","",INDEX('Fleet dates'!$I$9:$I$1008,$I498-8)))</x:f>
      </x:c>
      <x:c r="I498" t="str">
        <x:f>IF(490&gt;$H$4,"",MATCH(490,'Fleet dates'!$N$9:$N$1008,0)+8)</x:f>
      </x:c>
    </x:row>
    <x:row r="499" ht="36" customHeight="1">
      <x:c r="A499" s="50" t="str">
        <x:f>IF(491&gt;$H$4,"",IF(INDEX('Fleet dates'!$A$9:$A$1008,$I499-8)="","",INDEX('Fleet dates'!$A$9:$A$1008,$I499-8)))</x:f>
      </x:c>
      <x:c r="B499" s="50" t="str">
        <x:f>IF(491&gt;$H$4,"",IF(INDEX('Fleet dates'!$B$9:$B$1008,$I499-8)="","",INDEX('Fleet dates'!$B$9:$B$1008,$I499-8)))</x:f>
      </x:c>
      <x:c r="C499" s="51" t="str">
        <x:f>IF(491&gt;$H$4,"",IF(INDEX('Fleet dates'!$C$9:$C$1008,$I499-8)="","",INDEX('Fleet dates'!$C$9:$C$1008,$I499-8)))</x:f>
      </x:c>
      <x:c r="D499" s="51" t="str">
        <x:f>IF(491&gt;$H$4,"",IF(INDEX('Fleet dates'!$D$9:$D$1008,$I499-8)="","",INDEX('Fleet dates'!$D$9:$D$1008,$I499-8)))</x:f>
      </x:c>
      <x:c r="E499" s="51" t="str">
        <x:f>IF(491&gt;$H$4,"",IF(INDEX('Fleet dates'!$E$9:$E$1008,$I499-8)="","",INDEX('Fleet dates'!$E$9:$E$1008,$I499-8)))</x:f>
      </x:c>
      <x:c r="F499" s="51" t="str">
        <x:f>IF(491&gt;$H$4,"",IF(INDEX('Fleet dates'!$F$9:$F$1008,$I499-8)="","",INDEX('Fleet dates'!$F$9:$F$1008,$I499-8)))</x:f>
      </x:c>
      <x:c r="G499" s="50" t="str">
        <x:f>IF(491&gt;$H$4,"",IF(INDEX('Fleet dates'!$G$9:$G$1008,$I499-8)="","",INDEX('Fleet dates'!$G$9:$G$1008,$I499-8)))</x:f>
      </x:c>
      <x:c r="H499" s="50" t="str">
        <x:f>IF(491&gt;$H$4,"",IF(INDEX('Fleet dates'!$I$9:$I$1008,$I499-8)="","",INDEX('Fleet dates'!$I$9:$I$1008,$I499-8)))</x:f>
      </x:c>
      <x:c r="I499" t="str">
        <x:f>IF(491&gt;$H$4,"",MATCH(491,'Fleet dates'!$N$9:$N$1008,0)+8)</x:f>
      </x:c>
    </x:row>
    <x:row r="500" ht="36" customHeight="1">
      <x:c r="A500" s="50" t="str">
        <x:f>IF(492&gt;$H$4,"",IF(INDEX('Fleet dates'!$A$9:$A$1008,$I500-8)="","",INDEX('Fleet dates'!$A$9:$A$1008,$I500-8)))</x:f>
      </x:c>
      <x:c r="B500" s="50" t="str">
        <x:f>IF(492&gt;$H$4,"",IF(INDEX('Fleet dates'!$B$9:$B$1008,$I500-8)="","",INDEX('Fleet dates'!$B$9:$B$1008,$I500-8)))</x:f>
      </x:c>
      <x:c r="C500" s="51" t="str">
        <x:f>IF(492&gt;$H$4,"",IF(INDEX('Fleet dates'!$C$9:$C$1008,$I500-8)="","",INDEX('Fleet dates'!$C$9:$C$1008,$I500-8)))</x:f>
      </x:c>
      <x:c r="D500" s="51" t="str">
        <x:f>IF(492&gt;$H$4,"",IF(INDEX('Fleet dates'!$D$9:$D$1008,$I500-8)="","",INDEX('Fleet dates'!$D$9:$D$1008,$I500-8)))</x:f>
      </x:c>
      <x:c r="E500" s="51" t="str">
        <x:f>IF(492&gt;$H$4,"",IF(INDEX('Fleet dates'!$E$9:$E$1008,$I500-8)="","",INDEX('Fleet dates'!$E$9:$E$1008,$I500-8)))</x:f>
      </x:c>
      <x:c r="F500" s="51" t="str">
        <x:f>IF(492&gt;$H$4,"",IF(INDEX('Fleet dates'!$F$9:$F$1008,$I500-8)="","",INDEX('Fleet dates'!$F$9:$F$1008,$I500-8)))</x:f>
      </x:c>
      <x:c r="G500" s="50" t="str">
        <x:f>IF(492&gt;$H$4,"",IF(INDEX('Fleet dates'!$G$9:$G$1008,$I500-8)="","",INDEX('Fleet dates'!$G$9:$G$1008,$I500-8)))</x:f>
      </x:c>
      <x:c r="H500" s="50" t="str">
        <x:f>IF(492&gt;$H$4,"",IF(INDEX('Fleet dates'!$I$9:$I$1008,$I500-8)="","",INDEX('Fleet dates'!$I$9:$I$1008,$I500-8)))</x:f>
      </x:c>
      <x:c r="I500" t="str">
        <x:f>IF(492&gt;$H$4,"",MATCH(492,'Fleet dates'!$N$9:$N$1008,0)+8)</x:f>
      </x:c>
    </x:row>
    <x:row r="501" ht="36" customHeight="1">
      <x:c r="A501" s="50" t="str">
        <x:f>IF(493&gt;$H$4,"",IF(INDEX('Fleet dates'!$A$9:$A$1008,$I501-8)="","",INDEX('Fleet dates'!$A$9:$A$1008,$I501-8)))</x:f>
      </x:c>
      <x:c r="B501" s="50" t="str">
        <x:f>IF(493&gt;$H$4,"",IF(INDEX('Fleet dates'!$B$9:$B$1008,$I501-8)="","",INDEX('Fleet dates'!$B$9:$B$1008,$I501-8)))</x:f>
      </x:c>
      <x:c r="C501" s="51" t="str">
        <x:f>IF(493&gt;$H$4,"",IF(INDEX('Fleet dates'!$C$9:$C$1008,$I501-8)="","",INDEX('Fleet dates'!$C$9:$C$1008,$I501-8)))</x:f>
      </x:c>
      <x:c r="D501" s="51" t="str">
        <x:f>IF(493&gt;$H$4,"",IF(INDEX('Fleet dates'!$D$9:$D$1008,$I501-8)="","",INDEX('Fleet dates'!$D$9:$D$1008,$I501-8)))</x:f>
      </x:c>
      <x:c r="E501" s="51" t="str">
        <x:f>IF(493&gt;$H$4,"",IF(INDEX('Fleet dates'!$E$9:$E$1008,$I501-8)="","",INDEX('Fleet dates'!$E$9:$E$1008,$I501-8)))</x:f>
      </x:c>
      <x:c r="F501" s="51" t="str">
        <x:f>IF(493&gt;$H$4,"",IF(INDEX('Fleet dates'!$F$9:$F$1008,$I501-8)="","",INDEX('Fleet dates'!$F$9:$F$1008,$I501-8)))</x:f>
      </x:c>
      <x:c r="G501" s="50" t="str">
        <x:f>IF(493&gt;$H$4,"",IF(INDEX('Fleet dates'!$G$9:$G$1008,$I501-8)="","",INDEX('Fleet dates'!$G$9:$G$1008,$I501-8)))</x:f>
      </x:c>
      <x:c r="H501" s="50" t="str">
        <x:f>IF(493&gt;$H$4,"",IF(INDEX('Fleet dates'!$I$9:$I$1008,$I501-8)="","",INDEX('Fleet dates'!$I$9:$I$1008,$I501-8)))</x:f>
      </x:c>
      <x:c r="I501" t="str">
        <x:f>IF(493&gt;$H$4,"",MATCH(493,'Fleet dates'!$N$9:$N$1008,0)+8)</x:f>
      </x:c>
    </x:row>
    <x:row r="502" ht="36" customHeight="1">
      <x:c r="A502" s="50" t="str">
        <x:f>IF(494&gt;$H$4,"",IF(INDEX('Fleet dates'!$A$9:$A$1008,$I502-8)="","",INDEX('Fleet dates'!$A$9:$A$1008,$I502-8)))</x:f>
      </x:c>
      <x:c r="B502" s="50" t="str">
        <x:f>IF(494&gt;$H$4,"",IF(INDEX('Fleet dates'!$B$9:$B$1008,$I502-8)="","",INDEX('Fleet dates'!$B$9:$B$1008,$I502-8)))</x:f>
      </x:c>
      <x:c r="C502" s="51" t="str">
        <x:f>IF(494&gt;$H$4,"",IF(INDEX('Fleet dates'!$C$9:$C$1008,$I502-8)="","",INDEX('Fleet dates'!$C$9:$C$1008,$I502-8)))</x:f>
      </x:c>
      <x:c r="D502" s="51" t="str">
        <x:f>IF(494&gt;$H$4,"",IF(INDEX('Fleet dates'!$D$9:$D$1008,$I502-8)="","",INDEX('Fleet dates'!$D$9:$D$1008,$I502-8)))</x:f>
      </x:c>
      <x:c r="E502" s="51" t="str">
        <x:f>IF(494&gt;$H$4,"",IF(INDEX('Fleet dates'!$E$9:$E$1008,$I502-8)="","",INDEX('Fleet dates'!$E$9:$E$1008,$I502-8)))</x:f>
      </x:c>
      <x:c r="F502" s="51" t="str">
        <x:f>IF(494&gt;$H$4,"",IF(INDEX('Fleet dates'!$F$9:$F$1008,$I502-8)="","",INDEX('Fleet dates'!$F$9:$F$1008,$I502-8)))</x:f>
      </x:c>
      <x:c r="G502" s="50" t="str">
        <x:f>IF(494&gt;$H$4,"",IF(INDEX('Fleet dates'!$G$9:$G$1008,$I502-8)="","",INDEX('Fleet dates'!$G$9:$G$1008,$I502-8)))</x:f>
      </x:c>
      <x:c r="H502" s="50" t="str">
        <x:f>IF(494&gt;$H$4,"",IF(INDEX('Fleet dates'!$I$9:$I$1008,$I502-8)="","",INDEX('Fleet dates'!$I$9:$I$1008,$I502-8)))</x:f>
      </x:c>
      <x:c r="I502" t="str">
        <x:f>IF(494&gt;$H$4,"",MATCH(494,'Fleet dates'!$N$9:$N$1008,0)+8)</x:f>
      </x:c>
    </x:row>
    <x:row r="503" ht="36" customHeight="1">
      <x:c r="A503" s="50" t="str">
        <x:f>IF(495&gt;$H$4,"",IF(INDEX('Fleet dates'!$A$9:$A$1008,$I503-8)="","",INDEX('Fleet dates'!$A$9:$A$1008,$I503-8)))</x:f>
      </x:c>
      <x:c r="B503" s="50" t="str">
        <x:f>IF(495&gt;$H$4,"",IF(INDEX('Fleet dates'!$B$9:$B$1008,$I503-8)="","",INDEX('Fleet dates'!$B$9:$B$1008,$I503-8)))</x:f>
      </x:c>
      <x:c r="C503" s="51" t="str">
        <x:f>IF(495&gt;$H$4,"",IF(INDEX('Fleet dates'!$C$9:$C$1008,$I503-8)="","",INDEX('Fleet dates'!$C$9:$C$1008,$I503-8)))</x:f>
      </x:c>
      <x:c r="D503" s="51" t="str">
        <x:f>IF(495&gt;$H$4,"",IF(INDEX('Fleet dates'!$D$9:$D$1008,$I503-8)="","",INDEX('Fleet dates'!$D$9:$D$1008,$I503-8)))</x:f>
      </x:c>
      <x:c r="E503" s="51" t="str">
        <x:f>IF(495&gt;$H$4,"",IF(INDEX('Fleet dates'!$E$9:$E$1008,$I503-8)="","",INDEX('Fleet dates'!$E$9:$E$1008,$I503-8)))</x:f>
      </x:c>
      <x:c r="F503" s="51" t="str">
        <x:f>IF(495&gt;$H$4,"",IF(INDEX('Fleet dates'!$F$9:$F$1008,$I503-8)="","",INDEX('Fleet dates'!$F$9:$F$1008,$I503-8)))</x:f>
      </x:c>
      <x:c r="G503" s="50" t="str">
        <x:f>IF(495&gt;$H$4,"",IF(INDEX('Fleet dates'!$G$9:$G$1008,$I503-8)="","",INDEX('Fleet dates'!$G$9:$G$1008,$I503-8)))</x:f>
      </x:c>
      <x:c r="H503" s="50" t="str">
        <x:f>IF(495&gt;$H$4,"",IF(INDEX('Fleet dates'!$I$9:$I$1008,$I503-8)="","",INDEX('Fleet dates'!$I$9:$I$1008,$I503-8)))</x:f>
      </x:c>
      <x:c r="I503" t="str">
        <x:f>IF(495&gt;$H$4,"",MATCH(495,'Fleet dates'!$N$9:$N$1008,0)+8)</x:f>
      </x:c>
    </x:row>
    <x:row r="504" ht="36" customHeight="1">
      <x:c r="A504" s="50" t="str">
        <x:f>IF(496&gt;$H$4,"",IF(INDEX('Fleet dates'!$A$9:$A$1008,$I504-8)="","",INDEX('Fleet dates'!$A$9:$A$1008,$I504-8)))</x:f>
      </x:c>
      <x:c r="B504" s="50" t="str">
        <x:f>IF(496&gt;$H$4,"",IF(INDEX('Fleet dates'!$B$9:$B$1008,$I504-8)="","",INDEX('Fleet dates'!$B$9:$B$1008,$I504-8)))</x:f>
      </x:c>
      <x:c r="C504" s="51" t="str">
        <x:f>IF(496&gt;$H$4,"",IF(INDEX('Fleet dates'!$C$9:$C$1008,$I504-8)="","",INDEX('Fleet dates'!$C$9:$C$1008,$I504-8)))</x:f>
      </x:c>
      <x:c r="D504" s="51" t="str">
        <x:f>IF(496&gt;$H$4,"",IF(INDEX('Fleet dates'!$D$9:$D$1008,$I504-8)="","",INDEX('Fleet dates'!$D$9:$D$1008,$I504-8)))</x:f>
      </x:c>
      <x:c r="E504" s="51" t="str">
        <x:f>IF(496&gt;$H$4,"",IF(INDEX('Fleet dates'!$E$9:$E$1008,$I504-8)="","",INDEX('Fleet dates'!$E$9:$E$1008,$I504-8)))</x:f>
      </x:c>
      <x:c r="F504" s="51" t="str">
        <x:f>IF(496&gt;$H$4,"",IF(INDEX('Fleet dates'!$F$9:$F$1008,$I504-8)="","",INDEX('Fleet dates'!$F$9:$F$1008,$I504-8)))</x:f>
      </x:c>
      <x:c r="G504" s="50" t="str">
        <x:f>IF(496&gt;$H$4,"",IF(INDEX('Fleet dates'!$G$9:$G$1008,$I504-8)="","",INDEX('Fleet dates'!$G$9:$G$1008,$I504-8)))</x:f>
      </x:c>
      <x:c r="H504" s="50" t="str">
        <x:f>IF(496&gt;$H$4,"",IF(INDEX('Fleet dates'!$I$9:$I$1008,$I504-8)="","",INDEX('Fleet dates'!$I$9:$I$1008,$I504-8)))</x:f>
      </x:c>
      <x:c r="I504" t="str">
        <x:f>IF(496&gt;$H$4,"",MATCH(496,'Fleet dates'!$N$9:$N$1008,0)+8)</x:f>
      </x:c>
    </x:row>
    <x:row r="505" ht="36" customHeight="1">
      <x:c r="A505" s="50" t="str">
        <x:f>IF(497&gt;$H$4,"",IF(INDEX('Fleet dates'!$A$9:$A$1008,$I505-8)="","",INDEX('Fleet dates'!$A$9:$A$1008,$I505-8)))</x:f>
      </x:c>
      <x:c r="B505" s="50" t="str">
        <x:f>IF(497&gt;$H$4,"",IF(INDEX('Fleet dates'!$B$9:$B$1008,$I505-8)="","",INDEX('Fleet dates'!$B$9:$B$1008,$I505-8)))</x:f>
      </x:c>
      <x:c r="C505" s="51" t="str">
        <x:f>IF(497&gt;$H$4,"",IF(INDEX('Fleet dates'!$C$9:$C$1008,$I505-8)="","",INDEX('Fleet dates'!$C$9:$C$1008,$I505-8)))</x:f>
      </x:c>
      <x:c r="D505" s="51" t="str">
        <x:f>IF(497&gt;$H$4,"",IF(INDEX('Fleet dates'!$D$9:$D$1008,$I505-8)="","",INDEX('Fleet dates'!$D$9:$D$1008,$I505-8)))</x:f>
      </x:c>
      <x:c r="E505" s="51" t="str">
        <x:f>IF(497&gt;$H$4,"",IF(INDEX('Fleet dates'!$E$9:$E$1008,$I505-8)="","",INDEX('Fleet dates'!$E$9:$E$1008,$I505-8)))</x:f>
      </x:c>
      <x:c r="F505" s="51" t="str">
        <x:f>IF(497&gt;$H$4,"",IF(INDEX('Fleet dates'!$F$9:$F$1008,$I505-8)="","",INDEX('Fleet dates'!$F$9:$F$1008,$I505-8)))</x:f>
      </x:c>
      <x:c r="G505" s="50" t="str">
        <x:f>IF(497&gt;$H$4,"",IF(INDEX('Fleet dates'!$G$9:$G$1008,$I505-8)="","",INDEX('Fleet dates'!$G$9:$G$1008,$I505-8)))</x:f>
      </x:c>
      <x:c r="H505" s="50" t="str">
        <x:f>IF(497&gt;$H$4,"",IF(INDEX('Fleet dates'!$I$9:$I$1008,$I505-8)="","",INDEX('Fleet dates'!$I$9:$I$1008,$I505-8)))</x:f>
      </x:c>
      <x:c r="I505" t="str">
        <x:f>IF(497&gt;$H$4,"",MATCH(497,'Fleet dates'!$N$9:$N$1008,0)+8)</x:f>
      </x:c>
    </x:row>
    <x:row r="506" ht="36" customHeight="1">
      <x:c r="A506" s="50" t="str">
        <x:f>IF(498&gt;$H$4,"",IF(INDEX('Fleet dates'!$A$9:$A$1008,$I506-8)="","",INDEX('Fleet dates'!$A$9:$A$1008,$I506-8)))</x:f>
      </x:c>
      <x:c r="B506" s="50" t="str">
        <x:f>IF(498&gt;$H$4,"",IF(INDEX('Fleet dates'!$B$9:$B$1008,$I506-8)="","",INDEX('Fleet dates'!$B$9:$B$1008,$I506-8)))</x:f>
      </x:c>
      <x:c r="C506" s="51" t="str">
        <x:f>IF(498&gt;$H$4,"",IF(INDEX('Fleet dates'!$C$9:$C$1008,$I506-8)="","",INDEX('Fleet dates'!$C$9:$C$1008,$I506-8)))</x:f>
      </x:c>
      <x:c r="D506" s="51" t="str">
        <x:f>IF(498&gt;$H$4,"",IF(INDEX('Fleet dates'!$D$9:$D$1008,$I506-8)="","",INDEX('Fleet dates'!$D$9:$D$1008,$I506-8)))</x:f>
      </x:c>
      <x:c r="E506" s="51" t="str">
        <x:f>IF(498&gt;$H$4,"",IF(INDEX('Fleet dates'!$E$9:$E$1008,$I506-8)="","",INDEX('Fleet dates'!$E$9:$E$1008,$I506-8)))</x:f>
      </x:c>
      <x:c r="F506" s="51" t="str">
        <x:f>IF(498&gt;$H$4,"",IF(INDEX('Fleet dates'!$F$9:$F$1008,$I506-8)="","",INDEX('Fleet dates'!$F$9:$F$1008,$I506-8)))</x:f>
      </x:c>
      <x:c r="G506" s="50" t="str">
        <x:f>IF(498&gt;$H$4,"",IF(INDEX('Fleet dates'!$G$9:$G$1008,$I506-8)="","",INDEX('Fleet dates'!$G$9:$G$1008,$I506-8)))</x:f>
      </x:c>
      <x:c r="H506" s="50" t="str">
        <x:f>IF(498&gt;$H$4,"",IF(INDEX('Fleet dates'!$I$9:$I$1008,$I506-8)="","",INDEX('Fleet dates'!$I$9:$I$1008,$I506-8)))</x:f>
      </x:c>
      <x:c r="I506" t="str">
        <x:f>IF(498&gt;$H$4,"",MATCH(498,'Fleet dates'!$N$9:$N$1008,0)+8)</x:f>
      </x:c>
    </x:row>
    <x:row r="507" ht="36" customHeight="1">
      <x:c r="A507" s="50" t="str">
        <x:f>IF(499&gt;$H$4,"",IF(INDEX('Fleet dates'!$A$9:$A$1008,$I507-8)="","",INDEX('Fleet dates'!$A$9:$A$1008,$I507-8)))</x:f>
      </x:c>
      <x:c r="B507" s="50" t="str">
        <x:f>IF(499&gt;$H$4,"",IF(INDEX('Fleet dates'!$B$9:$B$1008,$I507-8)="","",INDEX('Fleet dates'!$B$9:$B$1008,$I507-8)))</x:f>
      </x:c>
      <x:c r="C507" s="51" t="str">
        <x:f>IF(499&gt;$H$4,"",IF(INDEX('Fleet dates'!$C$9:$C$1008,$I507-8)="","",INDEX('Fleet dates'!$C$9:$C$1008,$I507-8)))</x:f>
      </x:c>
      <x:c r="D507" s="51" t="str">
        <x:f>IF(499&gt;$H$4,"",IF(INDEX('Fleet dates'!$D$9:$D$1008,$I507-8)="","",INDEX('Fleet dates'!$D$9:$D$1008,$I507-8)))</x:f>
      </x:c>
      <x:c r="E507" s="51" t="str">
        <x:f>IF(499&gt;$H$4,"",IF(INDEX('Fleet dates'!$E$9:$E$1008,$I507-8)="","",INDEX('Fleet dates'!$E$9:$E$1008,$I507-8)))</x:f>
      </x:c>
      <x:c r="F507" s="51" t="str">
        <x:f>IF(499&gt;$H$4,"",IF(INDEX('Fleet dates'!$F$9:$F$1008,$I507-8)="","",INDEX('Fleet dates'!$F$9:$F$1008,$I507-8)))</x:f>
      </x:c>
      <x:c r="G507" s="50" t="str">
        <x:f>IF(499&gt;$H$4,"",IF(INDEX('Fleet dates'!$G$9:$G$1008,$I507-8)="","",INDEX('Fleet dates'!$G$9:$G$1008,$I507-8)))</x:f>
      </x:c>
      <x:c r="H507" s="50" t="str">
        <x:f>IF(499&gt;$H$4,"",IF(INDEX('Fleet dates'!$I$9:$I$1008,$I507-8)="","",INDEX('Fleet dates'!$I$9:$I$1008,$I507-8)))</x:f>
      </x:c>
      <x:c r="I507" t="str">
        <x:f>IF(499&gt;$H$4,"",MATCH(499,'Fleet dates'!$N$9:$N$1008,0)+8)</x:f>
      </x:c>
    </x:row>
    <x:row r="508" ht="36" customHeight="1">
      <x:c r="A508" s="50" t="str">
        <x:f>IF(500&gt;$H$4,"",IF(INDEX('Fleet dates'!$A$9:$A$1008,$I508-8)="","",INDEX('Fleet dates'!$A$9:$A$1008,$I508-8)))</x:f>
      </x:c>
      <x:c r="B508" s="50" t="str">
        <x:f>IF(500&gt;$H$4,"",IF(INDEX('Fleet dates'!$B$9:$B$1008,$I508-8)="","",INDEX('Fleet dates'!$B$9:$B$1008,$I508-8)))</x:f>
      </x:c>
      <x:c r="C508" s="51" t="str">
        <x:f>IF(500&gt;$H$4,"",IF(INDEX('Fleet dates'!$C$9:$C$1008,$I508-8)="","",INDEX('Fleet dates'!$C$9:$C$1008,$I508-8)))</x:f>
      </x:c>
      <x:c r="D508" s="51" t="str">
        <x:f>IF(500&gt;$H$4,"",IF(INDEX('Fleet dates'!$D$9:$D$1008,$I508-8)="","",INDEX('Fleet dates'!$D$9:$D$1008,$I508-8)))</x:f>
      </x:c>
      <x:c r="E508" s="51" t="str">
        <x:f>IF(500&gt;$H$4,"",IF(INDEX('Fleet dates'!$E$9:$E$1008,$I508-8)="","",INDEX('Fleet dates'!$E$9:$E$1008,$I508-8)))</x:f>
      </x:c>
      <x:c r="F508" s="51" t="str">
        <x:f>IF(500&gt;$H$4,"",IF(INDEX('Fleet dates'!$F$9:$F$1008,$I508-8)="","",INDEX('Fleet dates'!$F$9:$F$1008,$I508-8)))</x:f>
      </x:c>
      <x:c r="G508" s="50" t="str">
        <x:f>IF(500&gt;$H$4,"",IF(INDEX('Fleet dates'!$G$9:$G$1008,$I508-8)="","",INDEX('Fleet dates'!$G$9:$G$1008,$I508-8)))</x:f>
      </x:c>
      <x:c r="H508" s="50" t="str">
        <x:f>IF(500&gt;$H$4,"",IF(INDEX('Fleet dates'!$I$9:$I$1008,$I508-8)="","",INDEX('Fleet dates'!$I$9:$I$1008,$I508-8)))</x:f>
      </x:c>
      <x:c r="I508" t="str">
        <x:f>IF(500&gt;$H$4,"",MATCH(500,'Fleet dates'!$N$9:$N$1008,0)+8)</x:f>
      </x:c>
    </x:row>
    <x:row r="509" ht="36" customHeight="1">
      <x:c r="A509" s="50" t="str">
        <x:f>IF(501&gt;$H$4,"",IF(INDEX('Fleet dates'!$A$9:$A$1008,$I509-8)="","",INDEX('Fleet dates'!$A$9:$A$1008,$I509-8)))</x:f>
      </x:c>
      <x:c r="B509" s="50" t="str">
        <x:f>IF(501&gt;$H$4,"",IF(INDEX('Fleet dates'!$B$9:$B$1008,$I509-8)="","",INDEX('Fleet dates'!$B$9:$B$1008,$I509-8)))</x:f>
      </x:c>
      <x:c r="C509" s="51" t="str">
        <x:f>IF(501&gt;$H$4,"",IF(INDEX('Fleet dates'!$C$9:$C$1008,$I509-8)="","",INDEX('Fleet dates'!$C$9:$C$1008,$I509-8)))</x:f>
      </x:c>
      <x:c r="D509" s="51" t="str">
        <x:f>IF(501&gt;$H$4,"",IF(INDEX('Fleet dates'!$D$9:$D$1008,$I509-8)="","",INDEX('Fleet dates'!$D$9:$D$1008,$I509-8)))</x:f>
      </x:c>
      <x:c r="E509" s="51" t="str">
        <x:f>IF(501&gt;$H$4,"",IF(INDEX('Fleet dates'!$E$9:$E$1008,$I509-8)="","",INDEX('Fleet dates'!$E$9:$E$1008,$I509-8)))</x:f>
      </x:c>
      <x:c r="F509" s="51" t="str">
        <x:f>IF(501&gt;$H$4,"",IF(INDEX('Fleet dates'!$F$9:$F$1008,$I509-8)="","",INDEX('Fleet dates'!$F$9:$F$1008,$I509-8)))</x:f>
      </x:c>
      <x:c r="G509" s="50" t="str">
        <x:f>IF(501&gt;$H$4,"",IF(INDEX('Fleet dates'!$G$9:$G$1008,$I509-8)="","",INDEX('Fleet dates'!$G$9:$G$1008,$I509-8)))</x:f>
      </x:c>
      <x:c r="H509" s="50" t="str">
        <x:f>IF(501&gt;$H$4,"",IF(INDEX('Fleet dates'!$I$9:$I$1008,$I509-8)="","",INDEX('Fleet dates'!$I$9:$I$1008,$I509-8)))</x:f>
      </x:c>
      <x:c r="I509" t="str">
        <x:f>IF(501&gt;$H$4,"",MATCH(501,'Fleet dates'!$N$9:$N$1008,0)+8)</x:f>
      </x:c>
    </x:row>
    <x:row r="510" ht="36" customHeight="1">
      <x:c r="A510" s="50" t="str">
        <x:f>IF(502&gt;$H$4,"",IF(INDEX('Fleet dates'!$A$9:$A$1008,$I510-8)="","",INDEX('Fleet dates'!$A$9:$A$1008,$I510-8)))</x:f>
      </x:c>
      <x:c r="B510" s="50" t="str">
        <x:f>IF(502&gt;$H$4,"",IF(INDEX('Fleet dates'!$B$9:$B$1008,$I510-8)="","",INDEX('Fleet dates'!$B$9:$B$1008,$I510-8)))</x:f>
      </x:c>
      <x:c r="C510" s="51" t="str">
        <x:f>IF(502&gt;$H$4,"",IF(INDEX('Fleet dates'!$C$9:$C$1008,$I510-8)="","",INDEX('Fleet dates'!$C$9:$C$1008,$I510-8)))</x:f>
      </x:c>
      <x:c r="D510" s="51" t="str">
        <x:f>IF(502&gt;$H$4,"",IF(INDEX('Fleet dates'!$D$9:$D$1008,$I510-8)="","",INDEX('Fleet dates'!$D$9:$D$1008,$I510-8)))</x:f>
      </x:c>
      <x:c r="E510" s="51" t="str">
        <x:f>IF(502&gt;$H$4,"",IF(INDEX('Fleet dates'!$E$9:$E$1008,$I510-8)="","",INDEX('Fleet dates'!$E$9:$E$1008,$I510-8)))</x:f>
      </x:c>
      <x:c r="F510" s="51" t="str">
        <x:f>IF(502&gt;$H$4,"",IF(INDEX('Fleet dates'!$F$9:$F$1008,$I510-8)="","",INDEX('Fleet dates'!$F$9:$F$1008,$I510-8)))</x:f>
      </x:c>
      <x:c r="G510" s="50" t="str">
        <x:f>IF(502&gt;$H$4,"",IF(INDEX('Fleet dates'!$G$9:$G$1008,$I510-8)="","",INDEX('Fleet dates'!$G$9:$G$1008,$I510-8)))</x:f>
      </x:c>
      <x:c r="H510" s="50" t="str">
        <x:f>IF(502&gt;$H$4,"",IF(INDEX('Fleet dates'!$I$9:$I$1008,$I510-8)="","",INDEX('Fleet dates'!$I$9:$I$1008,$I510-8)))</x:f>
      </x:c>
      <x:c r="I510" t="str">
        <x:f>IF(502&gt;$H$4,"",MATCH(502,'Fleet dates'!$N$9:$N$1008,0)+8)</x:f>
      </x:c>
    </x:row>
    <x:row r="511" ht="36" customHeight="1">
      <x:c r="A511" s="50" t="str">
        <x:f>IF(503&gt;$H$4,"",IF(INDEX('Fleet dates'!$A$9:$A$1008,$I511-8)="","",INDEX('Fleet dates'!$A$9:$A$1008,$I511-8)))</x:f>
      </x:c>
      <x:c r="B511" s="50" t="str">
        <x:f>IF(503&gt;$H$4,"",IF(INDEX('Fleet dates'!$B$9:$B$1008,$I511-8)="","",INDEX('Fleet dates'!$B$9:$B$1008,$I511-8)))</x:f>
      </x:c>
      <x:c r="C511" s="51" t="str">
        <x:f>IF(503&gt;$H$4,"",IF(INDEX('Fleet dates'!$C$9:$C$1008,$I511-8)="","",INDEX('Fleet dates'!$C$9:$C$1008,$I511-8)))</x:f>
      </x:c>
      <x:c r="D511" s="51" t="str">
        <x:f>IF(503&gt;$H$4,"",IF(INDEX('Fleet dates'!$D$9:$D$1008,$I511-8)="","",INDEX('Fleet dates'!$D$9:$D$1008,$I511-8)))</x:f>
      </x:c>
      <x:c r="E511" s="51" t="str">
        <x:f>IF(503&gt;$H$4,"",IF(INDEX('Fleet dates'!$E$9:$E$1008,$I511-8)="","",INDEX('Fleet dates'!$E$9:$E$1008,$I511-8)))</x:f>
      </x:c>
      <x:c r="F511" s="51" t="str">
        <x:f>IF(503&gt;$H$4,"",IF(INDEX('Fleet dates'!$F$9:$F$1008,$I511-8)="","",INDEX('Fleet dates'!$F$9:$F$1008,$I511-8)))</x:f>
      </x:c>
      <x:c r="G511" s="50" t="str">
        <x:f>IF(503&gt;$H$4,"",IF(INDEX('Fleet dates'!$G$9:$G$1008,$I511-8)="","",INDEX('Fleet dates'!$G$9:$G$1008,$I511-8)))</x:f>
      </x:c>
      <x:c r="H511" s="50" t="str">
        <x:f>IF(503&gt;$H$4,"",IF(INDEX('Fleet dates'!$I$9:$I$1008,$I511-8)="","",INDEX('Fleet dates'!$I$9:$I$1008,$I511-8)))</x:f>
      </x:c>
      <x:c r="I511" t="str">
        <x:f>IF(503&gt;$H$4,"",MATCH(503,'Fleet dates'!$N$9:$N$1008,0)+8)</x:f>
      </x:c>
    </x:row>
    <x:row r="512" ht="36" customHeight="1">
      <x:c r="A512" s="50" t="str">
        <x:f>IF(504&gt;$H$4,"",IF(INDEX('Fleet dates'!$A$9:$A$1008,$I512-8)="","",INDEX('Fleet dates'!$A$9:$A$1008,$I512-8)))</x:f>
      </x:c>
      <x:c r="B512" s="50" t="str">
        <x:f>IF(504&gt;$H$4,"",IF(INDEX('Fleet dates'!$B$9:$B$1008,$I512-8)="","",INDEX('Fleet dates'!$B$9:$B$1008,$I512-8)))</x:f>
      </x:c>
      <x:c r="C512" s="51" t="str">
        <x:f>IF(504&gt;$H$4,"",IF(INDEX('Fleet dates'!$C$9:$C$1008,$I512-8)="","",INDEX('Fleet dates'!$C$9:$C$1008,$I512-8)))</x:f>
      </x:c>
      <x:c r="D512" s="51" t="str">
        <x:f>IF(504&gt;$H$4,"",IF(INDEX('Fleet dates'!$D$9:$D$1008,$I512-8)="","",INDEX('Fleet dates'!$D$9:$D$1008,$I512-8)))</x:f>
      </x:c>
      <x:c r="E512" s="51" t="str">
        <x:f>IF(504&gt;$H$4,"",IF(INDEX('Fleet dates'!$E$9:$E$1008,$I512-8)="","",INDEX('Fleet dates'!$E$9:$E$1008,$I512-8)))</x:f>
      </x:c>
      <x:c r="F512" s="51" t="str">
        <x:f>IF(504&gt;$H$4,"",IF(INDEX('Fleet dates'!$F$9:$F$1008,$I512-8)="","",INDEX('Fleet dates'!$F$9:$F$1008,$I512-8)))</x:f>
      </x:c>
      <x:c r="G512" s="50" t="str">
        <x:f>IF(504&gt;$H$4,"",IF(INDEX('Fleet dates'!$G$9:$G$1008,$I512-8)="","",INDEX('Fleet dates'!$G$9:$G$1008,$I512-8)))</x:f>
      </x:c>
      <x:c r="H512" s="50" t="str">
        <x:f>IF(504&gt;$H$4,"",IF(INDEX('Fleet dates'!$I$9:$I$1008,$I512-8)="","",INDEX('Fleet dates'!$I$9:$I$1008,$I512-8)))</x:f>
      </x:c>
      <x:c r="I512" t="str">
        <x:f>IF(504&gt;$H$4,"",MATCH(504,'Fleet dates'!$N$9:$N$1008,0)+8)</x:f>
      </x:c>
    </x:row>
    <x:row r="513" ht="36" customHeight="1">
      <x:c r="A513" s="50" t="str">
        <x:f>IF(505&gt;$H$4,"",IF(INDEX('Fleet dates'!$A$9:$A$1008,$I513-8)="","",INDEX('Fleet dates'!$A$9:$A$1008,$I513-8)))</x:f>
      </x:c>
      <x:c r="B513" s="50" t="str">
        <x:f>IF(505&gt;$H$4,"",IF(INDEX('Fleet dates'!$B$9:$B$1008,$I513-8)="","",INDEX('Fleet dates'!$B$9:$B$1008,$I513-8)))</x:f>
      </x:c>
      <x:c r="C513" s="51" t="str">
        <x:f>IF(505&gt;$H$4,"",IF(INDEX('Fleet dates'!$C$9:$C$1008,$I513-8)="","",INDEX('Fleet dates'!$C$9:$C$1008,$I513-8)))</x:f>
      </x:c>
      <x:c r="D513" s="51" t="str">
        <x:f>IF(505&gt;$H$4,"",IF(INDEX('Fleet dates'!$D$9:$D$1008,$I513-8)="","",INDEX('Fleet dates'!$D$9:$D$1008,$I513-8)))</x:f>
      </x:c>
      <x:c r="E513" s="51" t="str">
        <x:f>IF(505&gt;$H$4,"",IF(INDEX('Fleet dates'!$E$9:$E$1008,$I513-8)="","",INDEX('Fleet dates'!$E$9:$E$1008,$I513-8)))</x:f>
      </x:c>
      <x:c r="F513" s="51" t="str">
        <x:f>IF(505&gt;$H$4,"",IF(INDEX('Fleet dates'!$F$9:$F$1008,$I513-8)="","",INDEX('Fleet dates'!$F$9:$F$1008,$I513-8)))</x:f>
      </x:c>
      <x:c r="G513" s="50" t="str">
        <x:f>IF(505&gt;$H$4,"",IF(INDEX('Fleet dates'!$G$9:$G$1008,$I513-8)="","",INDEX('Fleet dates'!$G$9:$G$1008,$I513-8)))</x:f>
      </x:c>
      <x:c r="H513" s="50" t="str">
        <x:f>IF(505&gt;$H$4,"",IF(INDEX('Fleet dates'!$I$9:$I$1008,$I513-8)="","",INDEX('Fleet dates'!$I$9:$I$1008,$I513-8)))</x:f>
      </x:c>
      <x:c r="I513" t="str">
        <x:f>IF(505&gt;$H$4,"",MATCH(505,'Fleet dates'!$N$9:$N$1008,0)+8)</x:f>
      </x:c>
    </x:row>
    <x:row r="514" ht="36" customHeight="1">
      <x:c r="A514" s="50" t="str">
        <x:f>IF(506&gt;$H$4,"",IF(INDEX('Fleet dates'!$A$9:$A$1008,$I514-8)="","",INDEX('Fleet dates'!$A$9:$A$1008,$I514-8)))</x:f>
      </x:c>
      <x:c r="B514" s="50" t="str">
        <x:f>IF(506&gt;$H$4,"",IF(INDEX('Fleet dates'!$B$9:$B$1008,$I514-8)="","",INDEX('Fleet dates'!$B$9:$B$1008,$I514-8)))</x:f>
      </x:c>
      <x:c r="C514" s="51" t="str">
        <x:f>IF(506&gt;$H$4,"",IF(INDEX('Fleet dates'!$C$9:$C$1008,$I514-8)="","",INDEX('Fleet dates'!$C$9:$C$1008,$I514-8)))</x:f>
      </x:c>
      <x:c r="D514" s="51" t="str">
        <x:f>IF(506&gt;$H$4,"",IF(INDEX('Fleet dates'!$D$9:$D$1008,$I514-8)="","",INDEX('Fleet dates'!$D$9:$D$1008,$I514-8)))</x:f>
      </x:c>
      <x:c r="E514" s="51" t="str">
        <x:f>IF(506&gt;$H$4,"",IF(INDEX('Fleet dates'!$E$9:$E$1008,$I514-8)="","",INDEX('Fleet dates'!$E$9:$E$1008,$I514-8)))</x:f>
      </x:c>
      <x:c r="F514" s="51" t="str">
        <x:f>IF(506&gt;$H$4,"",IF(INDEX('Fleet dates'!$F$9:$F$1008,$I514-8)="","",INDEX('Fleet dates'!$F$9:$F$1008,$I514-8)))</x:f>
      </x:c>
      <x:c r="G514" s="50" t="str">
        <x:f>IF(506&gt;$H$4,"",IF(INDEX('Fleet dates'!$G$9:$G$1008,$I514-8)="","",INDEX('Fleet dates'!$G$9:$G$1008,$I514-8)))</x:f>
      </x:c>
      <x:c r="H514" s="50" t="str">
        <x:f>IF(506&gt;$H$4,"",IF(INDEX('Fleet dates'!$I$9:$I$1008,$I514-8)="","",INDEX('Fleet dates'!$I$9:$I$1008,$I514-8)))</x:f>
      </x:c>
      <x:c r="I514" t="str">
        <x:f>IF(506&gt;$H$4,"",MATCH(506,'Fleet dates'!$N$9:$N$1008,0)+8)</x:f>
      </x:c>
    </x:row>
    <x:row r="515" ht="36" customHeight="1">
      <x:c r="A515" s="50" t="str">
        <x:f>IF(507&gt;$H$4,"",IF(INDEX('Fleet dates'!$A$9:$A$1008,$I515-8)="","",INDEX('Fleet dates'!$A$9:$A$1008,$I515-8)))</x:f>
      </x:c>
      <x:c r="B515" s="50" t="str">
        <x:f>IF(507&gt;$H$4,"",IF(INDEX('Fleet dates'!$B$9:$B$1008,$I515-8)="","",INDEX('Fleet dates'!$B$9:$B$1008,$I515-8)))</x:f>
      </x:c>
      <x:c r="C515" s="51" t="str">
        <x:f>IF(507&gt;$H$4,"",IF(INDEX('Fleet dates'!$C$9:$C$1008,$I515-8)="","",INDEX('Fleet dates'!$C$9:$C$1008,$I515-8)))</x:f>
      </x:c>
      <x:c r="D515" s="51" t="str">
        <x:f>IF(507&gt;$H$4,"",IF(INDEX('Fleet dates'!$D$9:$D$1008,$I515-8)="","",INDEX('Fleet dates'!$D$9:$D$1008,$I515-8)))</x:f>
      </x:c>
      <x:c r="E515" s="51" t="str">
        <x:f>IF(507&gt;$H$4,"",IF(INDEX('Fleet dates'!$E$9:$E$1008,$I515-8)="","",INDEX('Fleet dates'!$E$9:$E$1008,$I515-8)))</x:f>
      </x:c>
      <x:c r="F515" s="51" t="str">
        <x:f>IF(507&gt;$H$4,"",IF(INDEX('Fleet dates'!$F$9:$F$1008,$I515-8)="","",INDEX('Fleet dates'!$F$9:$F$1008,$I515-8)))</x:f>
      </x:c>
      <x:c r="G515" s="50" t="str">
        <x:f>IF(507&gt;$H$4,"",IF(INDEX('Fleet dates'!$G$9:$G$1008,$I515-8)="","",INDEX('Fleet dates'!$G$9:$G$1008,$I515-8)))</x:f>
      </x:c>
      <x:c r="H515" s="50" t="str">
        <x:f>IF(507&gt;$H$4,"",IF(INDEX('Fleet dates'!$I$9:$I$1008,$I515-8)="","",INDEX('Fleet dates'!$I$9:$I$1008,$I515-8)))</x:f>
      </x:c>
      <x:c r="I515" t="str">
        <x:f>IF(507&gt;$H$4,"",MATCH(507,'Fleet dates'!$N$9:$N$1008,0)+8)</x:f>
      </x:c>
    </x:row>
    <x:row r="516" ht="36" customHeight="1">
      <x:c r="A516" s="50" t="str">
        <x:f>IF(508&gt;$H$4,"",IF(INDEX('Fleet dates'!$A$9:$A$1008,$I516-8)="","",INDEX('Fleet dates'!$A$9:$A$1008,$I516-8)))</x:f>
      </x:c>
      <x:c r="B516" s="50" t="str">
        <x:f>IF(508&gt;$H$4,"",IF(INDEX('Fleet dates'!$B$9:$B$1008,$I516-8)="","",INDEX('Fleet dates'!$B$9:$B$1008,$I516-8)))</x:f>
      </x:c>
      <x:c r="C516" s="51" t="str">
        <x:f>IF(508&gt;$H$4,"",IF(INDEX('Fleet dates'!$C$9:$C$1008,$I516-8)="","",INDEX('Fleet dates'!$C$9:$C$1008,$I516-8)))</x:f>
      </x:c>
      <x:c r="D516" s="51" t="str">
        <x:f>IF(508&gt;$H$4,"",IF(INDEX('Fleet dates'!$D$9:$D$1008,$I516-8)="","",INDEX('Fleet dates'!$D$9:$D$1008,$I516-8)))</x:f>
      </x:c>
      <x:c r="E516" s="51" t="str">
        <x:f>IF(508&gt;$H$4,"",IF(INDEX('Fleet dates'!$E$9:$E$1008,$I516-8)="","",INDEX('Fleet dates'!$E$9:$E$1008,$I516-8)))</x:f>
      </x:c>
      <x:c r="F516" s="51" t="str">
        <x:f>IF(508&gt;$H$4,"",IF(INDEX('Fleet dates'!$F$9:$F$1008,$I516-8)="","",INDEX('Fleet dates'!$F$9:$F$1008,$I516-8)))</x:f>
      </x:c>
      <x:c r="G516" s="50" t="str">
        <x:f>IF(508&gt;$H$4,"",IF(INDEX('Fleet dates'!$G$9:$G$1008,$I516-8)="","",INDEX('Fleet dates'!$G$9:$G$1008,$I516-8)))</x:f>
      </x:c>
      <x:c r="H516" s="50" t="str">
        <x:f>IF(508&gt;$H$4,"",IF(INDEX('Fleet dates'!$I$9:$I$1008,$I516-8)="","",INDEX('Fleet dates'!$I$9:$I$1008,$I516-8)))</x:f>
      </x:c>
      <x:c r="I516" t="str">
        <x:f>IF(508&gt;$H$4,"",MATCH(508,'Fleet dates'!$N$9:$N$1008,0)+8)</x:f>
      </x:c>
    </x:row>
    <x:row r="517" ht="36" customHeight="1">
      <x:c r="A517" s="50" t="str">
        <x:f>IF(509&gt;$H$4,"",IF(INDEX('Fleet dates'!$A$9:$A$1008,$I517-8)="","",INDEX('Fleet dates'!$A$9:$A$1008,$I517-8)))</x:f>
      </x:c>
      <x:c r="B517" s="50" t="str">
        <x:f>IF(509&gt;$H$4,"",IF(INDEX('Fleet dates'!$B$9:$B$1008,$I517-8)="","",INDEX('Fleet dates'!$B$9:$B$1008,$I517-8)))</x:f>
      </x:c>
      <x:c r="C517" s="51" t="str">
        <x:f>IF(509&gt;$H$4,"",IF(INDEX('Fleet dates'!$C$9:$C$1008,$I517-8)="","",INDEX('Fleet dates'!$C$9:$C$1008,$I517-8)))</x:f>
      </x:c>
      <x:c r="D517" s="51" t="str">
        <x:f>IF(509&gt;$H$4,"",IF(INDEX('Fleet dates'!$D$9:$D$1008,$I517-8)="","",INDEX('Fleet dates'!$D$9:$D$1008,$I517-8)))</x:f>
      </x:c>
      <x:c r="E517" s="51" t="str">
        <x:f>IF(509&gt;$H$4,"",IF(INDEX('Fleet dates'!$E$9:$E$1008,$I517-8)="","",INDEX('Fleet dates'!$E$9:$E$1008,$I517-8)))</x:f>
      </x:c>
      <x:c r="F517" s="51" t="str">
        <x:f>IF(509&gt;$H$4,"",IF(INDEX('Fleet dates'!$F$9:$F$1008,$I517-8)="","",INDEX('Fleet dates'!$F$9:$F$1008,$I517-8)))</x:f>
      </x:c>
      <x:c r="G517" s="50" t="str">
        <x:f>IF(509&gt;$H$4,"",IF(INDEX('Fleet dates'!$G$9:$G$1008,$I517-8)="","",INDEX('Fleet dates'!$G$9:$G$1008,$I517-8)))</x:f>
      </x:c>
      <x:c r="H517" s="50" t="str">
        <x:f>IF(509&gt;$H$4,"",IF(INDEX('Fleet dates'!$I$9:$I$1008,$I517-8)="","",INDEX('Fleet dates'!$I$9:$I$1008,$I517-8)))</x:f>
      </x:c>
      <x:c r="I517" t="str">
        <x:f>IF(509&gt;$H$4,"",MATCH(509,'Fleet dates'!$N$9:$N$1008,0)+8)</x:f>
      </x:c>
    </x:row>
    <x:row r="518" ht="36" customHeight="1">
      <x:c r="A518" s="50" t="str">
        <x:f>IF(510&gt;$H$4,"",IF(INDEX('Fleet dates'!$A$9:$A$1008,$I518-8)="","",INDEX('Fleet dates'!$A$9:$A$1008,$I518-8)))</x:f>
      </x:c>
      <x:c r="B518" s="50" t="str">
        <x:f>IF(510&gt;$H$4,"",IF(INDEX('Fleet dates'!$B$9:$B$1008,$I518-8)="","",INDEX('Fleet dates'!$B$9:$B$1008,$I518-8)))</x:f>
      </x:c>
      <x:c r="C518" s="51" t="str">
        <x:f>IF(510&gt;$H$4,"",IF(INDEX('Fleet dates'!$C$9:$C$1008,$I518-8)="","",INDEX('Fleet dates'!$C$9:$C$1008,$I518-8)))</x:f>
      </x:c>
      <x:c r="D518" s="51" t="str">
        <x:f>IF(510&gt;$H$4,"",IF(INDEX('Fleet dates'!$D$9:$D$1008,$I518-8)="","",INDEX('Fleet dates'!$D$9:$D$1008,$I518-8)))</x:f>
      </x:c>
      <x:c r="E518" s="51" t="str">
        <x:f>IF(510&gt;$H$4,"",IF(INDEX('Fleet dates'!$E$9:$E$1008,$I518-8)="","",INDEX('Fleet dates'!$E$9:$E$1008,$I518-8)))</x:f>
      </x:c>
      <x:c r="F518" s="51" t="str">
        <x:f>IF(510&gt;$H$4,"",IF(INDEX('Fleet dates'!$F$9:$F$1008,$I518-8)="","",INDEX('Fleet dates'!$F$9:$F$1008,$I518-8)))</x:f>
      </x:c>
      <x:c r="G518" s="50" t="str">
        <x:f>IF(510&gt;$H$4,"",IF(INDEX('Fleet dates'!$G$9:$G$1008,$I518-8)="","",INDEX('Fleet dates'!$G$9:$G$1008,$I518-8)))</x:f>
      </x:c>
      <x:c r="H518" s="50" t="str">
        <x:f>IF(510&gt;$H$4,"",IF(INDEX('Fleet dates'!$I$9:$I$1008,$I518-8)="","",INDEX('Fleet dates'!$I$9:$I$1008,$I518-8)))</x:f>
      </x:c>
      <x:c r="I518" t="str">
        <x:f>IF(510&gt;$H$4,"",MATCH(510,'Fleet dates'!$N$9:$N$1008,0)+8)</x:f>
      </x:c>
    </x:row>
    <x:row r="519" ht="36" customHeight="1">
      <x:c r="A519" s="50" t="str">
        <x:f>IF(511&gt;$H$4,"",IF(INDEX('Fleet dates'!$A$9:$A$1008,$I519-8)="","",INDEX('Fleet dates'!$A$9:$A$1008,$I519-8)))</x:f>
      </x:c>
      <x:c r="B519" s="50" t="str">
        <x:f>IF(511&gt;$H$4,"",IF(INDEX('Fleet dates'!$B$9:$B$1008,$I519-8)="","",INDEX('Fleet dates'!$B$9:$B$1008,$I519-8)))</x:f>
      </x:c>
      <x:c r="C519" s="51" t="str">
        <x:f>IF(511&gt;$H$4,"",IF(INDEX('Fleet dates'!$C$9:$C$1008,$I519-8)="","",INDEX('Fleet dates'!$C$9:$C$1008,$I519-8)))</x:f>
      </x:c>
      <x:c r="D519" s="51" t="str">
        <x:f>IF(511&gt;$H$4,"",IF(INDEX('Fleet dates'!$D$9:$D$1008,$I519-8)="","",INDEX('Fleet dates'!$D$9:$D$1008,$I519-8)))</x:f>
      </x:c>
      <x:c r="E519" s="51" t="str">
        <x:f>IF(511&gt;$H$4,"",IF(INDEX('Fleet dates'!$E$9:$E$1008,$I519-8)="","",INDEX('Fleet dates'!$E$9:$E$1008,$I519-8)))</x:f>
      </x:c>
      <x:c r="F519" s="51" t="str">
        <x:f>IF(511&gt;$H$4,"",IF(INDEX('Fleet dates'!$F$9:$F$1008,$I519-8)="","",INDEX('Fleet dates'!$F$9:$F$1008,$I519-8)))</x:f>
      </x:c>
      <x:c r="G519" s="50" t="str">
        <x:f>IF(511&gt;$H$4,"",IF(INDEX('Fleet dates'!$G$9:$G$1008,$I519-8)="","",INDEX('Fleet dates'!$G$9:$G$1008,$I519-8)))</x:f>
      </x:c>
      <x:c r="H519" s="50" t="str">
        <x:f>IF(511&gt;$H$4,"",IF(INDEX('Fleet dates'!$I$9:$I$1008,$I519-8)="","",INDEX('Fleet dates'!$I$9:$I$1008,$I519-8)))</x:f>
      </x:c>
      <x:c r="I519" t="str">
        <x:f>IF(511&gt;$H$4,"",MATCH(511,'Fleet dates'!$N$9:$N$1008,0)+8)</x:f>
      </x:c>
    </x:row>
    <x:row r="520" ht="36" customHeight="1">
      <x:c r="A520" s="50" t="str">
        <x:f>IF(512&gt;$H$4,"",IF(INDEX('Fleet dates'!$A$9:$A$1008,$I520-8)="","",INDEX('Fleet dates'!$A$9:$A$1008,$I520-8)))</x:f>
      </x:c>
      <x:c r="B520" s="50" t="str">
        <x:f>IF(512&gt;$H$4,"",IF(INDEX('Fleet dates'!$B$9:$B$1008,$I520-8)="","",INDEX('Fleet dates'!$B$9:$B$1008,$I520-8)))</x:f>
      </x:c>
      <x:c r="C520" s="51" t="str">
        <x:f>IF(512&gt;$H$4,"",IF(INDEX('Fleet dates'!$C$9:$C$1008,$I520-8)="","",INDEX('Fleet dates'!$C$9:$C$1008,$I520-8)))</x:f>
      </x:c>
      <x:c r="D520" s="51" t="str">
        <x:f>IF(512&gt;$H$4,"",IF(INDEX('Fleet dates'!$D$9:$D$1008,$I520-8)="","",INDEX('Fleet dates'!$D$9:$D$1008,$I520-8)))</x:f>
      </x:c>
      <x:c r="E520" s="51" t="str">
        <x:f>IF(512&gt;$H$4,"",IF(INDEX('Fleet dates'!$E$9:$E$1008,$I520-8)="","",INDEX('Fleet dates'!$E$9:$E$1008,$I520-8)))</x:f>
      </x:c>
      <x:c r="F520" s="51" t="str">
        <x:f>IF(512&gt;$H$4,"",IF(INDEX('Fleet dates'!$F$9:$F$1008,$I520-8)="","",INDEX('Fleet dates'!$F$9:$F$1008,$I520-8)))</x:f>
      </x:c>
      <x:c r="G520" s="50" t="str">
        <x:f>IF(512&gt;$H$4,"",IF(INDEX('Fleet dates'!$G$9:$G$1008,$I520-8)="","",INDEX('Fleet dates'!$G$9:$G$1008,$I520-8)))</x:f>
      </x:c>
      <x:c r="H520" s="50" t="str">
        <x:f>IF(512&gt;$H$4,"",IF(INDEX('Fleet dates'!$I$9:$I$1008,$I520-8)="","",INDEX('Fleet dates'!$I$9:$I$1008,$I520-8)))</x:f>
      </x:c>
      <x:c r="I520" t="str">
        <x:f>IF(512&gt;$H$4,"",MATCH(512,'Fleet dates'!$N$9:$N$1008,0)+8)</x:f>
      </x:c>
    </x:row>
    <x:row r="521" ht="36" customHeight="1">
      <x:c r="A521" s="50" t="str">
        <x:f>IF(513&gt;$H$4,"",IF(INDEX('Fleet dates'!$A$9:$A$1008,$I521-8)="","",INDEX('Fleet dates'!$A$9:$A$1008,$I521-8)))</x:f>
      </x:c>
      <x:c r="B521" s="50" t="str">
        <x:f>IF(513&gt;$H$4,"",IF(INDEX('Fleet dates'!$B$9:$B$1008,$I521-8)="","",INDEX('Fleet dates'!$B$9:$B$1008,$I521-8)))</x:f>
      </x:c>
      <x:c r="C521" s="51" t="str">
        <x:f>IF(513&gt;$H$4,"",IF(INDEX('Fleet dates'!$C$9:$C$1008,$I521-8)="","",INDEX('Fleet dates'!$C$9:$C$1008,$I521-8)))</x:f>
      </x:c>
      <x:c r="D521" s="51" t="str">
        <x:f>IF(513&gt;$H$4,"",IF(INDEX('Fleet dates'!$D$9:$D$1008,$I521-8)="","",INDEX('Fleet dates'!$D$9:$D$1008,$I521-8)))</x:f>
      </x:c>
      <x:c r="E521" s="51" t="str">
        <x:f>IF(513&gt;$H$4,"",IF(INDEX('Fleet dates'!$E$9:$E$1008,$I521-8)="","",INDEX('Fleet dates'!$E$9:$E$1008,$I521-8)))</x:f>
      </x:c>
      <x:c r="F521" s="51" t="str">
        <x:f>IF(513&gt;$H$4,"",IF(INDEX('Fleet dates'!$F$9:$F$1008,$I521-8)="","",INDEX('Fleet dates'!$F$9:$F$1008,$I521-8)))</x:f>
      </x:c>
      <x:c r="G521" s="50" t="str">
        <x:f>IF(513&gt;$H$4,"",IF(INDEX('Fleet dates'!$G$9:$G$1008,$I521-8)="","",INDEX('Fleet dates'!$G$9:$G$1008,$I521-8)))</x:f>
      </x:c>
      <x:c r="H521" s="50" t="str">
        <x:f>IF(513&gt;$H$4,"",IF(INDEX('Fleet dates'!$I$9:$I$1008,$I521-8)="","",INDEX('Fleet dates'!$I$9:$I$1008,$I521-8)))</x:f>
      </x:c>
      <x:c r="I521" t="str">
        <x:f>IF(513&gt;$H$4,"",MATCH(513,'Fleet dates'!$N$9:$N$1008,0)+8)</x:f>
      </x:c>
    </x:row>
    <x:row r="522" ht="36" customHeight="1">
      <x:c r="A522" s="50" t="str">
        <x:f>IF(514&gt;$H$4,"",IF(INDEX('Fleet dates'!$A$9:$A$1008,$I522-8)="","",INDEX('Fleet dates'!$A$9:$A$1008,$I522-8)))</x:f>
      </x:c>
      <x:c r="B522" s="50" t="str">
        <x:f>IF(514&gt;$H$4,"",IF(INDEX('Fleet dates'!$B$9:$B$1008,$I522-8)="","",INDEX('Fleet dates'!$B$9:$B$1008,$I522-8)))</x:f>
      </x:c>
      <x:c r="C522" s="51" t="str">
        <x:f>IF(514&gt;$H$4,"",IF(INDEX('Fleet dates'!$C$9:$C$1008,$I522-8)="","",INDEX('Fleet dates'!$C$9:$C$1008,$I522-8)))</x:f>
      </x:c>
      <x:c r="D522" s="51" t="str">
        <x:f>IF(514&gt;$H$4,"",IF(INDEX('Fleet dates'!$D$9:$D$1008,$I522-8)="","",INDEX('Fleet dates'!$D$9:$D$1008,$I522-8)))</x:f>
      </x:c>
      <x:c r="E522" s="51" t="str">
        <x:f>IF(514&gt;$H$4,"",IF(INDEX('Fleet dates'!$E$9:$E$1008,$I522-8)="","",INDEX('Fleet dates'!$E$9:$E$1008,$I522-8)))</x:f>
      </x:c>
      <x:c r="F522" s="51" t="str">
        <x:f>IF(514&gt;$H$4,"",IF(INDEX('Fleet dates'!$F$9:$F$1008,$I522-8)="","",INDEX('Fleet dates'!$F$9:$F$1008,$I522-8)))</x:f>
      </x:c>
      <x:c r="G522" s="50" t="str">
        <x:f>IF(514&gt;$H$4,"",IF(INDEX('Fleet dates'!$G$9:$G$1008,$I522-8)="","",INDEX('Fleet dates'!$G$9:$G$1008,$I522-8)))</x:f>
      </x:c>
      <x:c r="H522" s="50" t="str">
        <x:f>IF(514&gt;$H$4,"",IF(INDEX('Fleet dates'!$I$9:$I$1008,$I522-8)="","",INDEX('Fleet dates'!$I$9:$I$1008,$I522-8)))</x:f>
      </x:c>
      <x:c r="I522" t="str">
        <x:f>IF(514&gt;$H$4,"",MATCH(514,'Fleet dates'!$N$9:$N$1008,0)+8)</x:f>
      </x:c>
    </x:row>
    <x:row r="523" ht="36" customHeight="1">
      <x:c r="A523" s="50" t="str">
        <x:f>IF(515&gt;$H$4,"",IF(INDEX('Fleet dates'!$A$9:$A$1008,$I523-8)="","",INDEX('Fleet dates'!$A$9:$A$1008,$I523-8)))</x:f>
      </x:c>
      <x:c r="B523" s="50" t="str">
        <x:f>IF(515&gt;$H$4,"",IF(INDEX('Fleet dates'!$B$9:$B$1008,$I523-8)="","",INDEX('Fleet dates'!$B$9:$B$1008,$I523-8)))</x:f>
      </x:c>
      <x:c r="C523" s="51" t="str">
        <x:f>IF(515&gt;$H$4,"",IF(INDEX('Fleet dates'!$C$9:$C$1008,$I523-8)="","",INDEX('Fleet dates'!$C$9:$C$1008,$I523-8)))</x:f>
      </x:c>
      <x:c r="D523" s="51" t="str">
        <x:f>IF(515&gt;$H$4,"",IF(INDEX('Fleet dates'!$D$9:$D$1008,$I523-8)="","",INDEX('Fleet dates'!$D$9:$D$1008,$I523-8)))</x:f>
      </x:c>
      <x:c r="E523" s="51" t="str">
        <x:f>IF(515&gt;$H$4,"",IF(INDEX('Fleet dates'!$E$9:$E$1008,$I523-8)="","",INDEX('Fleet dates'!$E$9:$E$1008,$I523-8)))</x:f>
      </x:c>
      <x:c r="F523" s="51" t="str">
        <x:f>IF(515&gt;$H$4,"",IF(INDEX('Fleet dates'!$F$9:$F$1008,$I523-8)="","",INDEX('Fleet dates'!$F$9:$F$1008,$I523-8)))</x:f>
      </x:c>
      <x:c r="G523" s="50" t="str">
        <x:f>IF(515&gt;$H$4,"",IF(INDEX('Fleet dates'!$G$9:$G$1008,$I523-8)="","",INDEX('Fleet dates'!$G$9:$G$1008,$I523-8)))</x:f>
      </x:c>
      <x:c r="H523" s="50" t="str">
        <x:f>IF(515&gt;$H$4,"",IF(INDEX('Fleet dates'!$I$9:$I$1008,$I523-8)="","",INDEX('Fleet dates'!$I$9:$I$1008,$I523-8)))</x:f>
      </x:c>
      <x:c r="I523" t="str">
        <x:f>IF(515&gt;$H$4,"",MATCH(515,'Fleet dates'!$N$9:$N$1008,0)+8)</x:f>
      </x:c>
    </x:row>
    <x:row r="524" ht="36" customHeight="1">
      <x:c r="A524" s="50" t="str">
        <x:f>IF(516&gt;$H$4,"",IF(INDEX('Fleet dates'!$A$9:$A$1008,$I524-8)="","",INDEX('Fleet dates'!$A$9:$A$1008,$I524-8)))</x:f>
      </x:c>
      <x:c r="B524" s="50" t="str">
        <x:f>IF(516&gt;$H$4,"",IF(INDEX('Fleet dates'!$B$9:$B$1008,$I524-8)="","",INDEX('Fleet dates'!$B$9:$B$1008,$I524-8)))</x:f>
      </x:c>
      <x:c r="C524" s="51" t="str">
        <x:f>IF(516&gt;$H$4,"",IF(INDEX('Fleet dates'!$C$9:$C$1008,$I524-8)="","",INDEX('Fleet dates'!$C$9:$C$1008,$I524-8)))</x:f>
      </x:c>
      <x:c r="D524" s="51" t="str">
        <x:f>IF(516&gt;$H$4,"",IF(INDEX('Fleet dates'!$D$9:$D$1008,$I524-8)="","",INDEX('Fleet dates'!$D$9:$D$1008,$I524-8)))</x:f>
      </x:c>
      <x:c r="E524" s="51" t="str">
        <x:f>IF(516&gt;$H$4,"",IF(INDEX('Fleet dates'!$E$9:$E$1008,$I524-8)="","",INDEX('Fleet dates'!$E$9:$E$1008,$I524-8)))</x:f>
      </x:c>
      <x:c r="F524" s="51" t="str">
        <x:f>IF(516&gt;$H$4,"",IF(INDEX('Fleet dates'!$F$9:$F$1008,$I524-8)="","",INDEX('Fleet dates'!$F$9:$F$1008,$I524-8)))</x:f>
      </x:c>
      <x:c r="G524" s="50" t="str">
        <x:f>IF(516&gt;$H$4,"",IF(INDEX('Fleet dates'!$G$9:$G$1008,$I524-8)="","",INDEX('Fleet dates'!$G$9:$G$1008,$I524-8)))</x:f>
      </x:c>
      <x:c r="H524" s="50" t="str">
        <x:f>IF(516&gt;$H$4,"",IF(INDEX('Fleet dates'!$I$9:$I$1008,$I524-8)="","",INDEX('Fleet dates'!$I$9:$I$1008,$I524-8)))</x:f>
      </x:c>
      <x:c r="I524" t="str">
        <x:f>IF(516&gt;$H$4,"",MATCH(516,'Fleet dates'!$N$9:$N$1008,0)+8)</x:f>
      </x:c>
    </x:row>
    <x:row r="525" ht="36" customHeight="1">
      <x:c r="A525" s="50" t="str">
        <x:f>IF(517&gt;$H$4,"",IF(INDEX('Fleet dates'!$A$9:$A$1008,$I525-8)="","",INDEX('Fleet dates'!$A$9:$A$1008,$I525-8)))</x:f>
      </x:c>
      <x:c r="B525" s="50" t="str">
        <x:f>IF(517&gt;$H$4,"",IF(INDEX('Fleet dates'!$B$9:$B$1008,$I525-8)="","",INDEX('Fleet dates'!$B$9:$B$1008,$I525-8)))</x:f>
      </x:c>
      <x:c r="C525" s="51" t="str">
        <x:f>IF(517&gt;$H$4,"",IF(INDEX('Fleet dates'!$C$9:$C$1008,$I525-8)="","",INDEX('Fleet dates'!$C$9:$C$1008,$I525-8)))</x:f>
      </x:c>
      <x:c r="D525" s="51" t="str">
        <x:f>IF(517&gt;$H$4,"",IF(INDEX('Fleet dates'!$D$9:$D$1008,$I525-8)="","",INDEX('Fleet dates'!$D$9:$D$1008,$I525-8)))</x:f>
      </x:c>
      <x:c r="E525" s="51" t="str">
        <x:f>IF(517&gt;$H$4,"",IF(INDEX('Fleet dates'!$E$9:$E$1008,$I525-8)="","",INDEX('Fleet dates'!$E$9:$E$1008,$I525-8)))</x:f>
      </x:c>
      <x:c r="F525" s="51" t="str">
        <x:f>IF(517&gt;$H$4,"",IF(INDEX('Fleet dates'!$F$9:$F$1008,$I525-8)="","",INDEX('Fleet dates'!$F$9:$F$1008,$I525-8)))</x:f>
      </x:c>
      <x:c r="G525" s="50" t="str">
        <x:f>IF(517&gt;$H$4,"",IF(INDEX('Fleet dates'!$G$9:$G$1008,$I525-8)="","",INDEX('Fleet dates'!$G$9:$G$1008,$I525-8)))</x:f>
      </x:c>
      <x:c r="H525" s="50" t="str">
        <x:f>IF(517&gt;$H$4,"",IF(INDEX('Fleet dates'!$I$9:$I$1008,$I525-8)="","",INDEX('Fleet dates'!$I$9:$I$1008,$I525-8)))</x:f>
      </x:c>
      <x:c r="I525" t="str">
        <x:f>IF(517&gt;$H$4,"",MATCH(517,'Fleet dates'!$N$9:$N$1008,0)+8)</x:f>
      </x:c>
    </x:row>
    <x:row r="526" ht="36" customHeight="1">
      <x:c r="A526" s="50" t="str">
        <x:f>IF(518&gt;$H$4,"",IF(INDEX('Fleet dates'!$A$9:$A$1008,$I526-8)="","",INDEX('Fleet dates'!$A$9:$A$1008,$I526-8)))</x:f>
      </x:c>
      <x:c r="B526" s="50" t="str">
        <x:f>IF(518&gt;$H$4,"",IF(INDEX('Fleet dates'!$B$9:$B$1008,$I526-8)="","",INDEX('Fleet dates'!$B$9:$B$1008,$I526-8)))</x:f>
      </x:c>
      <x:c r="C526" s="51" t="str">
        <x:f>IF(518&gt;$H$4,"",IF(INDEX('Fleet dates'!$C$9:$C$1008,$I526-8)="","",INDEX('Fleet dates'!$C$9:$C$1008,$I526-8)))</x:f>
      </x:c>
      <x:c r="D526" s="51" t="str">
        <x:f>IF(518&gt;$H$4,"",IF(INDEX('Fleet dates'!$D$9:$D$1008,$I526-8)="","",INDEX('Fleet dates'!$D$9:$D$1008,$I526-8)))</x:f>
      </x:c>
      <x:c r="E526" s="51" t="str">
        <x:f>IF(518&gt;$H$4,"",IF(INDEX('Fleet dates'!$E$9:$E$1008,$I526-8)="","",INDEX('Fleet dates'!$E$9:$E$1008,$I526-8)))</x:f>
      </x:c>
      <x:c r="F526" s="51" t="str">
        <x:f>IF(518&gt;$H$4,"",IF(INDEX('Fleet dates'!$F$9:$F$1008,$I526-8)="","",INDEX('Fleet dates'!$F$9:$F$1008,$I526-8)))</x:f>
      </x:c>
      <x:c r="G526" s="50" t="str">
        <x:f>IF(518&gt;$H$4,"",IF(INDEX('Fleet dates'!$G$9:$G$1008,$I526-8)="","",INDEX('Fleet dates'!$G$9:$G$1008,$I526-8)))</x:f>
      </x:c>
      <x:c r="H526" s="50" t="str">
        <x:f>IF(518&gt;$H$4,"",IF(INDEX('Fleet dates'!$I$9:$I$1008,$I526-8)="","",INDEX('Fleet dates'!$I$9:$I$1008,$I526-8)))</x:f>
      </x:c>
      <x:c r="I526" t="str">
        <x:f>IF(518&gt;$H$4,"",MATCH(518,'Fleet dates'!$N$9:$N$1008,0)+8)</x:f>
      </x:c>
    </x:row>
    <x:row r="527" ht="36" customHeight="1">
      <x:c r="A527" s="50" t="str">
        <x:f>IF(519&gt;$H$4,"",IF(INDEX('Fleet dates'!$A$9:$A$1008,$I527-8)="","",INDEX('Fleet dates'!$A$9:$A$1008,$I527-8)))</x:f>
      </x:c>
      <x:c r="B527" s="50" t="str">
        <x:f>IF(519&gt;$H$4,"",IF(INDEX('Fleet dates'!$B$9:$B$1008,$I527-8)="","",INDEX('Fleet dates'!$B$9:$B$1008,$I527-8)))</x:f>
      </x:c>
      <x:c r="C527" s="51" t="str">
        <x:f>IF(519&gt;$H$4,"",IF(INDEX('Fleet dates'!$C$9:$C$1008,$I527-8)="","",INDEX('Fleet dates'!$C$9:$C$1008,$I527-8)))</x:f>
      </x:c>
      <x:c r="D527" s="51" t="str">
        <x:f>IF(519&gt;$H$4,"",IF(INDEX('Fleet dates'!$D$9:$D$1008,$I527-8)="","",INDEX('Fleet dates'!$D$9:$D$1008,$I527-8)))</x:f>
      </x:c>
      <x:c r="E527" s="51" t="str">
        <x:f>IF(519&gt;$H$4,"",IF(INDEX('Fleet dates'!$E$9:$E$1008,$I527-8)="","",INDEX('Fleet dates'!$E$9:$E$1008,$I527-8)))</x:f>
      </x:c>
      <x:c r="F527" s="51" t="str">
        <x:f>IF(519&gt;$H$4,"",IF(INDEX('Fleet dates'!$F$9:$F$1008,$I527-8)="","",INDEX('Fleet dates'!$F$9:$F$1008,$I527-8)))</x:f>
      </x:c>
      <x:c r="G527" s="50" t="str">
        <x:f>IF(519&gt;$H$4,"",IF(INDEX('Fleet dates'!$G$9:$G$1008,$I527-8)="","",INDEX('Fleet dates'!$G$9:$G$1008,$I527-8)))</x:f>
      </x:c>
      <x:c r="H527" s="50" t="str">
        <x:f>IF(519&gt;$H$4,"",IF(INDEX('Fleet dates'!$I$9:$I$1008,$I527-8)="","",INDEX('Fleet dates'!$I$9:$I$1008,$I527-8)))</x:f>
      </x:c>
      <x:c r="I527" t="str">
        <x:f>IF(519&gt;$H$4,"",MATCH(519,'Fleet dates'!$N$9:$N$1008,0)+8)</x:f>
      </x:c>
    </x:row>
    <x:row r="528" ht="36" customHeight="1">
      <x:c r="A528" s="50" t="str">
        <x:f>IF(520&gt;$H$4,"",IF(INDEX('Fleet dates'!$A$9:$A$1008,$I528-8)="","",INDEX('Fleet dates'!$A$9:$A$1008,$I528-8)))</x:f>
      </x:c>
      <x:c r="B528" s="50" t="str">
        <x:f>IF(520&gt;$H$4,"",IF(INDEX('Fleet dates'!$B$9:$B$1008,$I528-8)="","",INDEX('Fleet dates'!$B$9:$B$1008,$I528-8)))</x:f>
      </x:c>
      <x:c r="C528" s="51" t="str">
        <x:f>IF(520&gt;$H$4,"",IF(INDEX('Fleet dates'!$C$9:$C$1008,$I528-8)="","",INDEX('Fleet dates'!$C$9:$C$1008,$I528-8)))</x:f>
      </x:c>
      <x:c r="D528" s="51" t="str">
        <x:f>IF(520&gt;$H$4,"",IF(INDEX('Fleet dates'!$D$9:$D$1008,$I528-8)="","",INDEX('Fleet dates'!$D$9:$D$1008,$I528-8)))</x:f>
      </x:c>
      <x:c r="E528" s="51" t="str">
        <x:f>IF(520&gt;$H$4,"",IF(INDEX('Fleet dates'!$E$9:$E$1008,$I528-8)="","",INDEX('Fleet dates'!$E$9:$E$1008,$I528-8)))</x:f>
      </x:c>
      <x:c r="F528" s="51" t="str">
        <x:f>IF(520&gt;$H$4,"",IF(INDEX('Fleet dates'!$F$9:$F$1008,$I528-8)="","",INDEX('Fleet dates'!$F$9:$F$1008,$I528-8)))</x:f>
      </x:c>
      <x:c r="G528" s="50" t="str">
        <x:f>IF(520&gt;$H$4,"",IF(INDEX('Fleet dates'!$G$9:$G$1008,$I528-8)="","",INDEX('Fleet dates'!$G$9:$G$1008,$I528-8)))</x:f>
      </x:c>
      <x:c r="H528" s="50" t="str">
        <x:f>IF(520&gt;$H$4,"",IF(INDEX('Fleet dates'!$I$9:$I$1008,$I528-8)="","",INDEX('Fleet dates'!$I$9:$I$1008,$I528-8)))</x:f>
      </x:c>
      <x:c r="I528" t="str">
        <x:f>IF(520&gt;$H$4,"",MATCH(520,'Fleet dates'!$N$9:$N$1008,0)+8)</x:f>
      </x:c>
    </x:row>
    <x:row r="529" ht="36" customHeight="1">
      <x:c r="A529" s="50" t="str">
        <x:f>IF(521&gt;$H$4,"",IF(INDEX('Fleet dates'!$A$9:$A$1008,$I529-8)="","",INDEX('Fleet dates'!$A$9:$A$1008,$I529-8)))</x:f>
      </x:c>
      <x:c r="B529" s="50" t="str">
        <x:f>IF(521&gt;$H$4,"",IF(INDEX('Fleet dates'!$B$9:$B$1008,$I529-8)="","",INDEX('Fleet dates'!$B$9:$B$1008,$I529-8)))</x:f>
      </x:c>
      <x:c r="C529" s="51" t="str">
        <x:f>IF(521&gt;$H$4,"",IF(INDEX('Fleet dates'!$C$9:$C$1008,$I529-8)="","",INDEX('Fleet dates'!$C$9:$C$1008,$I529-8)))</x:f>
      </x:c>
      <x:c r="D529" s="51" t="str">
        <x:f>IF(521&gt;$H$4,"",IF(INDEX('Fleet dates'!$D$9:$D$1008,$I529-8)="","",INDEX('Fleet dates'!$D$9:$D$1008,$I529-8)))</x:f>
      </x:c>
      <x:c r="E529" s="51" t="str">
        <x:f>IF(521&gt;$H$4,"",IF(INDEX('Fleet dates'!$E$9:$E$1008,$I529-8)="","",INDEX('Fleet dates'!$E$9:$E$1008,$I529-8)))</x:f>
      </x:c>
      <x:c r="F529" s="51" t="str">
        <x:f>IF(521&gt;$H$4,"",IF(INDEX('Fleet dates'!$F$9:$F$1008,$I529-8)="","",INDEX('Fleet dates'!$F$9:$F$1008,$I529-8)))</x:f>
      </x:c>
      <x:c r="G529" s="50" t="str">
        <x:f>IF(521&gt;$H$4,"",IF(INDEX('Fleet dates'!$G$9:$G$1008,$I529-8)="","",INDEX('Fleet dates'!$G$9:$G$1008,$I529-8)))</x:f>
      </x:c>
      <x:c r="H529" s="50" t="str">
        <x:f>IF(521&gt;$H$4,"",IF(INDEX('Fleet dates'!$I$9:$I$1008,$I529-8)="","",INDEX('Fleet dates'!$I$9:$I$1008,$I529-8)))</x:f>
      </x:c>
      <x:c r="I529" t="str">
        <x:f>IF(521&gt;$H$4,"",MATCH(521,'Fleet dates'!$N$9:$N$1008,0)+8)</x:f>
      </x:c>
    </x:row>
    <x:row r="530" ht="36" customHeight="1">
      <x:c r="A530" s="50" t="str">
        <x:f>IF(522&gt;$H$4,"",IF(INDEX('Fleet dates'!$A$9:$A$1008,$I530-8)="","",INDEX('Fleet dates'!$A$9:$A$1008,$I530-8)))</x:f>
      </x:c>
      <x:c r="B530" s="50" t="str">
        <x:f>IF(522&gt;$H$4,"",IF(INDEX('Fleet dates'!$B$9:$B$1008,$I530-8)="","",INDEX('Fleet dates'!$B$9:$B$1008,$I530-8)))</x:f>
      </x:c>
      <x:c r="C530" s="51" t="str">
        <x:f>IF(522&gt;$H$4,"",IF(INDEX('Fleet dates'!$C$9:$C$1008,$I530-8)="","",INDEX('Fleet dates'!$C$9:$C$1008,$I530-8)))</x:f>
      </x:c>
      <x:c r="D530" s="51" t="str">
        <x:f>IF(522&gt;$H$4,"",IF(INDEX('Fleet dates'!$D$9:$D$1008,$I530-8)="","",INDEX('Fleet dates'!$D$9:$D$1008,$I530-8)))</x:f>
      </x:c>
      <x:c r="E530" s="51" t="str">
        <x:f>IF(522&gt;$H$4,"",IF(INDEX('Fleet dates'!$E$9:$E$1008,$I530-8)="","",INDEX('Fleet dates'!$E$9:$E$1008,$I530-8)))</x:f>
      </x:c>
      <x:c r="F530" s="51" t="str">
        <x:f>IF(522&gt;$H$4,"",IF(INDEX('Fleet dates'!$F$9:$F$1008,$I530-8)="","",INDEX('Fleet dates'!$F$9:$F$1008,$I530-8)))</x:f>
      </x:c>
      <x:c r="G530" s="50" t="str">
        <x:f>IF(522&gt;$H$4,"",IF(INDEX('Fleet dates'!$G$9:$G$1008,$I530-8)="","",INDEX('Fleet dates'!$G$9:$G$1008,$I530-8)))</x:f>
      </x:c>
      <x:c r="H530" s="50" t="str">
        <x:f>IF(522&gt;$H$4,"",IF(INDEX('Fleet dates'!$I$9:$I$1008,$I530-8)="","",INDEX('Fleet dates'!$I$9:$I$1008,$I530-8)))</x:f>
      </x:c>
      <x:c r="I530" t="str">
        <x:f>IF(522&gt;$H$4,"",MATCH(522,'Fleet dates'!$N$9:$N$1008,0)+8)</x:f>
      </x:c>
    </x:row>
    <x:row r="531" ht="36" customHeight="1">
      <x:c r="A531" s="50" t="str">
        <x:f>IF(523&gt;$H$4,"",IF(INDEX('Fleet dates'!$A$9:$A$1008,$I531-8)="","",INDEX('Fleet dates'!$A$9:$A$1008,$I531-8)))</x:f>
      </x:c>
      <x:c r="B531" s="50" t="str">
        <x:f>IF(523&gt;$H$4,"",IF(INDEX('Fleet dates'!$B$9:$B$1008,$I531-8)="","",INDEX('Fleet dates'!$B$9:$B$1008,$I531-8)))</x:f>
      </x:c>
      <x:c r="C531" s="51" t="str">
        <x:f>IF(523&gt;$H$4,"",IF(INDEX('Fleet dates'!$C$9:$C$1008,$I531-8)="","",INDEX('Fleet dates'!$C$9:$C$1008,$I531-8)))</x:f>
      </x:c>
      <x:c r="D531" s="51" t="str">
        <x:f>IF(523&gt;$H$4,"",IF(INDEX('Fleet dates'!$D$9:$D$1008,$I531-8)="","",INDEX('Fleet dates'!$D$9:$D$1008,$I531-8)))</x:f>
      </x:c>
      <x:c r="E531" s="51" t="str">
        <x:f>IF(523&gt;$H$4,"",IF(INDEX('Fleet dates'!$E$9:$E$1008,$I531-8)="","",INDEX('Fleet dates'!$E$9:$E$1008,$I531-8)))</x:f>
      </x:c>
      <x:c r="F531" s="51" t="str">
        <x:f>IF(523&gt;$H$4,"",IF(INDEX('Fleet dates'!$F$9:$F$1008,$I531-8)="","",INDEX('Fleet dates'!$F$9:$F$1008,$I531-8)))</x:f>
      </x:c>
      <x:c r="G531" s="50" t="str">
        <x:f>IF(523&gt;$H$4,"",IF(INDEX('Fleet dates'!$G$9:$G$1008,$I531-8)="","",INDEX('Fleet dates'!$G$9:$G$1008,$I531-8)))</x:f>
      </x:c>
      <x:c r="H531" s="50" t="str">
        <x:f>IF(523&gt;$H$4,"",IF(INDEX('Fleet dates'!$I$9:$I$1008,$I531-8)="","",INDEX('Fleet dates'!$I$9:$I$1008,$I531-8)))</x:f>
      </x:c>
      <x:c r="I531" t="str">
        <x:f>IF(523&gt;$H$4,"",MATCH(523,'Fleet dates'!$N$9:$N$1008,0)+8)</x:f>
      </x:c>
    </x:row>
    <x:row r="532" ht="36" customHeight="1">
      <x:c r="A532" s="50" t="str">
        <x:f>IF(524&gt;$H$4,"",IF(INDEX('Fleet dates'!$A$9:$A$1008,$I532-8)="","",INDEX('Fleet dates'!$A$9:$A$1008,$I532-8)))</x:f>
      </x:c>
      <x:c r="B532" s="50" t="str">
        <x:f>IF(524&gt;$H$4,"",IF(INDEX('Fleet dates'!$B$9:$B$1008,$I532-8)="","",INDEX('Fleet dates'!$B$9:$B$1008,$I532-8)))</x:f>
      </x:c>
      <x:c r="C532" s="51" t="str">
        <x:f>IF(524&gt;$H$4,"",IF(INDEX('Fleet dates'!$C$9:$C$1008,$I532-8)="","",INDEX('Fleet dates'!$C$9:$C$1008,$I532-8)))</x:f>
      </x:c>
      <x:c r="D532" s="51" t="str">
        <x:f>IF(524&gt;$H$4,"",IF(INDEX('Fleet dates'!$D$9:$D$1008,$I532-8)="","",INDEX('Fleet dates'!$D$9:$D$1008,$I532-8)))</x:f>
      </x:c>
      <x:c r="E532" s="51" t="str">
        <x:f>IF(524&gt;$H$4,"",IF(INDEX('Fleet dates'!$E$9:$E$1008,$I532-8)="","",INDEX('Fleet dates'!$E$9:$E$1008,$I532-8)))</x:f>
      </x:c>
      <x:c r="F532" s="51" t="str">
        <x:f>IF(524&gt;$H$4,"",IF(INDEX('Fleet dates'!$F$9:$F$1008,$I532-8)="","",INDEX('Fleet dates'!$F$9:$F$1008,$I532-8)))</x:f>
      </x:c>
      <x:c r="G532" s="50" t="str">
        <x:f>IF(524&gt;$H$4,"",IF(INDEX('Fleet dates'!$G$9:$G$1008,$I532-8)="","",INDEX('Fleet dates'!$G$9:$G$1008,$I532-8)))</x:f>
      </x:c>
      <x:c r="H532" s="50" t="str">
        <x:f>IF(524&gt;$H$4,"",IF(INDEX('Fleet dates'!$I$9:$I$1008,$I532-8)="","",INDEX('Fleet dates'!$I$9:$I$1008,$I532-8)))</x:f>
      </x:c>
      <x:c r="I532" t="str">
        <x:f>IF(524&gt;$H$4,"",MATCH(524,'Fleet dates'!$N$9:$N$1008,0)+8)</x:f>
      </x:c>
    </x:row>
    <x:row r="533" ht="36" customHeight="1">
      <x:c r="A533" s="50" t="str">
        <x:f>IF(525&gt;$H$4,"",IF(INDEX('Fleet dates'!$A$9:$A$1008,$I533-8)="","",INDEX('Fleet dates'!$A$9:$A$1008,$I533-8)))</x:f>
      </x:c>
      <x:c r="B533" s="50" t="str">
        <x:f>IF(525&gt;$H$4,"",IF(INDEX('Fleet dates'!$B$9:$B$1008,$I533-8)="","",INDEX('Fleet dates'!$B$9:$B$1008,$I533-8)))</x:f>
      </x:c>
      <x:c r="C533" s="51" t="str">
        <x:f>IF(525&gt;$H$4,"",IF(INDEX('Fleet dates'!$C$9:$C$1008,$I533-8)="","",INDEX('Fleet dates'!$C$9:$C$1008,$I533-8)))</x:f>
      </x:c>
      <x:c r="D533" s="51" t="str">
        <x:f>IF(525&gt;$H$4,"",IF(INDEX('Fleet dates'!$D$9:$D$1008,$I533-8)="","",INDEX('Fleet dates'!$D$9:$D$1008,$I533-8)))</x:f>
      </x:c>
      <x:c r="E533" s="51" t="str">
        <x:f>IF(525&gt;$H$4,"",IF(INDEX('Fleet dates'!$E$9:$E$1008,$I533-8)="","",INDEX('Fleet dates'!$E$9:$E$1008,$I533-8)))</x:f>
      </x:c>
      <x:c r="F533" s="51" t="str">
        <x:f>IF(525&gt;$H$4,"",IF(INDEX('Fleet dates'!$F$9:$F$1008,$I533-8)="","",INDEX('Fleet dates'!$F$9:$F$1008,$I533-8)))</x:f>
      </x:c>
      <x:c r="G533" s="50" t="str">
        <x:f>IF(525&gt;$H$4,"",IF(INDEX('Fleet dates'!$G$9:$G$1008,$I533-8)="","",INDEX('Fleet dates'!$G$9:$G$1008,$I533-8)))</x:f>
      </x:c>
      <x:c r="H533" s="50" t="str">
        <x:f>IF(525&gt;$H$4,"",IF(INDEX('Fleet dates'!$I$9:$I$1008,$I533-8)="","",INDEX('Fleet dates'!$I$9:$I$1008,$I533-8)))</x:f>
      </x:c>
      <x:c r="I533" t="str">
        <x:f>IF(525&gt;$H$4,"",MATCH(525,'Fleet dates'!$N$9:$N$1008,0)+8)</x:f>
      </x:c>
    </x:row>
    <x:row r="534" ht="36" customHeight="1">
      <x:c r="A534" s="50" t="str">
        <x:f>IF(526&gt;$H$4,"",IF(INDEX('Fleet dates'!$A$9:$A$1008,$I534-8)="","",INDEX('Fleet dates'!$A$9:$A$1008,$I534-8)))</x:f>
      </x:c>
      <x:c r="B534" s="50" t="str">
        <x:f>IF(526&gt;$H$4,"",IF(INDEX('Fleet dates'!$B$9:$B$1008,$I534-8)="","",INDEX('Fleet dates'!$B$9:$B$1008,$I534-8)))</x:f>
      </x:c>
      <x:c r="C534" s="51" t="str">
        <x:f>IF(526&gt;$H$4,"",IF(INDEX('Fleet dates'!$C$9:$C$1008,$I534-8)="","",INDEX('Fleet dates'!$C$9:$C$1008,$I534-8)))</x:f>
      </x:c>
      <x:c r="D534" s="51" t="str">
        <x:f>IF(526&gt;$H$4,"",IF(INDEX('Fleet dates'!$D$9:$D$1008,$I534-8)="","",INDEX('Fleet dates'!$D$9:$D$1008,$I534-8)))</x:f>
      </x:c>
      <x:c r="E534" s="51" t="str">
        <x:f>IF(526&gt;$H$4,"",IF(INDEX('Fleet dates'!$E$9:$E$1008,$I534-8)="","",INDEX('Fleet dates'!$E$9:$E$1008,$I534-8)))</x:f>
      </x:c>
      <x:c r="F534" s="51" t="str">
        <x:f>IF(526&gt;$H$4,"",IF(INDEX('Fleet dates'!$F$9:$F$1008,$I534-8)="","",INDEX('Fleet dates'!$F$9:$F$1008,$I534-8)))</x:f>
      </x:c>
      <x:c r="G534" s="50" t="str">
        <x:f>IF(526&gt;$H$4,"",IF(INDEX('Fleet dates'!$G$9:$G$1008,$I534-8)="","",INDEX('Fleet dates'!$G$9:$G$1008,$I534-8)))</x:f>
      </x:c>
      <x:c r="H534" s="50" t="str">
        <x:f>IF(526&gt;$H$4,"",IF(INDEX('Fleet dates'!$I$9:$I$1008,$I534-8)="","",INDEX('Fleet dates'!$I$9:$I$1008,$I534-8)))</x:f>
      </x:c>
      <x:c r="I534" t="str">
        <x:f>IF(526&gt;$H$4,"",MATCH(526,'Fleet dates'!$N$9:$N$1008,0)+8)</x:f>
      </x:c>
    </x:row>
    <x:row r="535" ht="36" customHeight="1">
      <x:c r="A535" s="50" t="str">
        <x:f>IF(527&gt;$H$4,"",IF(INDEX('Fleet dates'!$A$9:$A$1008,$I535-8)="","",INDEX('Fleet dates'!$A$9:$A$1008,$I535-8)))</x:f>
      </x:c>
      <x:c r="B535" s="50" t="str">
        <x:f>IF(527&gt;$H$4,"",IF(INDEX('Fleet dates'!$B$9:$B$1008,$I535-8)="","",INDEX('Fleet dates'!$B$9:$B$1008,$I535-8)))</x:f>
      </x:c>
      <x:c r="C535" s="51" t="str">
        <x:f>IF(527&gt;$H$4,"",IF(INDEX('Fleet dates'!$C$9:$C$1008,$I535-8)="","",INDEX('Fleet dates'!$C$9:$C$1008,$I535-8)))</x:f>
      </x:c>
      <x:c r="D535" s="51" t="str">
        <x:f>IF(527&gt;$H$4,"",IF(INDEX('Fleet dates'!$D$9:$D$1008,$I535-8)="","",INDEX('Fleet dates'!$D$9:$D$1008,$I535-8)))</x:f>
      </x:c>
      <x:c r="E535" s="51" t="str">
        <x:f>IF(527&gt;$H$4,"",IF(INDEX('Fleet dates'!$E$9:$E$1008,$I535-8)="","",INDEX('Fleet dates'!$E$9:$E$1008,$I535-8)))</x:f>
      </x:c>
      <x:c r="F535" s="51" t="str">
        <x:f>IF(527&gt;$H$4,"",IF(INDEX('Fleet dates'!$F$9:$F$1008,$I535-8)="","",INDEX('Fleet dates'!$F$9:$F$1008,$I535-8)))</x:f>
      </x:c>
      <x:c r="G535" s="50" t="str">
        <x:f>IF(527&gt;$H$4,"",IF(INDEX('Fleet dates'!$G$9:$G$1008,$I535-8)="","",INDEX('Fleet dates'!$G$9:$G$1008,$I535-8)))</x:f>
      </x:c>
      <x:c r="H535" s="50" t="str">
        <x:f>IF(527&gt;$H$4,"",IF(INDEX('Fleet dates'!$I$9:$I$1008,$I535-8)="","",INDEX('Fleet dates'!$I$9:$I$1008,$I535-8)))</x:f>
      </x:c>
      <x:c r="I535" t="str">
        <x:f>IF(527&gt;$H$4,"",MATCH(527,'Fleet dates'!$N$9:$N$1008,0)+8)</x:f>
      </x:c>
    </x:row>
    <x:row r="536" ht="36" customHeight="1">
      <x:c r="A536" s="50" t="str">
        <x:f>IF(528&gt;$H$4,"",IF(INDEX('Fleet dates'!$A$9:$A$1008,$I536-8)="","",INDEX('Fleet dates'!$A$9:$A$1008,$I536-8)))</x:f>
      </x:c>
      <x:c r="B536" s="50" t="str">
        <x:f>IF(528&gt;$H$4,"",IF(INDEX('Fleet dates'!$B$9:$B$1008,$I536-8)="","",INDEX('Fleet dates'!$B$9:$B$1008,$I536-8)))</x:f>
      </x:c>
      <x:c r="C536" s="51" t="str">
        <x:f>IF(528&gt;$H$4,"",IF(INDEX('Fleet dates'!$C$9:$C$1008,$I536-8)="","",INDEX('Fleet dates'!$C$9:$C$1008,$I536-8)))</x:f>
      </x:c>
      <x:c r="D536" s="51" t="str">
        <x:f>IF(528&gt;$H$4,"",IF(INDEX('Fleet dates'!$D$9:$D$1008,$I536-8)="","",INDEX('Fleet dates'!$D$9:$D$1008,$I536-8)))</x:f>
      </x:c>
      <x:c r="E536" s="51" t="str">
        <x:f>IF(528&gt;$H$4,"",IF(INDEX('Fleet dates'!$E$9:$E$1008,$I536-8)="","",INDEX('Fleet dates'!$E$9:$E$1008,$I536-8)))</x:f>
      </x:c>
      <x:c r="F536" s="51" t="str">
        <x:f>IF(528&gt;$H$4,"",IF(INDEX('Fleet dates'!$F$9:$F$1008,$I536-8)="","",INDEX('Fleet dates'!$F$9:$F$1008,$I536-8)))</x:f>
      </x:c>
      <x:c r="G536" s="50" t="str">
        <x:f>IF(528&gt;$H$4,"",IF(INDEX('Fleet dates'!$G$9:$G$1008,$I536-8)="","",INDEX('Fleet dates'!$G$9:$G$1008,$I536-8)))</x:f>
      </x:c>
      <x:c r="H536" s="50" t="str">
        <x:f>IF(528&gt;$H$4,"",IF(INDEX('Fleet dates'!$I$9:$I$1008,$I536-8)="","",INDEX('Fleet dates'!$I$9:$I$1008,$I536-8)))</x:f>
      </x:c>
      <x:c r="I536" t="str">
        <x:f>IF(528&gt;$H$4,"",MATCH(528,'Fleet dates'!$N$9:$N$1008,0)+8)</x:f>
      </x:c>
    </x:row>
    <x:row r="537" ht="36" customHeight="1">
      <x:c r="A537" s="50" t="str">
        <x:f>IF(529&gt;$H$4,"",IF(INDEX('Fleet dates'!$A$9:$A$1008,$I537-8)="","",INDEX('Fleet dates'!$A$9:$A$1008,$I537-8)))</x:f>
      </x:c>
      <x:c r="B537" s="50" t="str">
        <x:f>IF(529&gt;$H$4,"",IF(INDEX('Fleet dates'!$B$9:$B$1008,$I537-8)="","",INDEX('Fleet dates'!$B$9:$B$1008,$I537-8)))</x:f>
      </x:c>
      <x:c r="C537" s="51" t="str">
        <x:f>IF(529&gt;$H$4,"",IF(INDEX('Fleet dates'!$C$9:$C$1008,$I537-8)="","",INDEX('Fleet dates'!$C$9:$C$1008,$I537-8)))</x:f>
      </x:c>
      <x:c r="D537" s="51" t="str">
        <x:f>IF(529&gt;$H$4,"",IF(INDEX('Fleet dates'!$D$9:$D$1008,$I537-8)="","",INDEX('Fleet dates'!$D$9:$D$1008,$I537-8)))</x:f>
      </x:c>
      <x:c r="E537" s="51" t="str">
        <x:f>IF(529&gt;$H$4,"",IF(INDEX('Fleet dates'!$E$9:$E$1008,$I537-8)="","",INDEX('Fleet dates'!$E$9:$E$1008,$I537-8)))</x:f>
      </x:c>
      <x:c r="F537" s="51" t="str">
        <x:f>IF(529&gt;$H$4,"",IF(INDEX('Fleet dates'!$F$9:$F$1008,$I537-8)="","",INDEX('Fleet dates'!$F$9:$F$1008,$I537-8)))</x:f>
      </x:c>
      <x:c r="G537" s="50" t="str">
        <x:f>IF(529&gt;$H$4,"",IF(INDEX('Fleet dates'!$G$9:$G$1008,$I537-8)="","",INDEX('Fleet dates'!$G$9:$G$1008,$I537-8)))</x:f>
      </x:c>
      <x:c r="H537" s="50" t="str">
        <x:f>IF(529&gt;$H$4,"",IF(INDEX('Fleet dates'!$I$9:$I$1008,$I537-8)="","",INDEX('Fleet dates'!$I$9:$I$1008,$I537-8)))</x:f>
      </x:c>
      <x:c r="I537" t="str">
        <x:f>IF(529&gt;$H$4,"",MATCH(529,'Fleet dates'!$N$9:$N$1008,0)+8)</x:f>
      </x:c>
    </x:row>
    <x:row r="538" ht="36" customHeight="1">
      <x:c r="A538" s="50" t="str">
        <x:f>IF(530&gt;$H$4,"",IF(INDEX('Fleet dates'!$A$9:$A$1008,$I538-8)="","",INDEX('Fleet dates'!$A$9:$A$1008,$I538-8)))</x:f>
      </x:c>
      <x:c r="B538" s="50" t="str">
        <x:f>IF(530&gt;$H$4,"",IF(INDEX('Fleet dates'!$B$9:$B$1008,$I538-8)="","",INDEX('Fleet dates'!$B$9:$B$1008,$I538-8)))</x:f>
      </x:c>
      <x:c r="C538" s="51" t="str">
        <x:f>IF(530&gt;$H$4,"",IF(INDEX('Fleet dates'!$C$9:$C$1008,$I538-8)="","",INDEX('Fleet dates'!$C$9:$C$1008,$I538-8)))</x:f>
      </x:c>
      <x:c r="D538" s="51" t="str">
        <x:f>IF(530&gt;$H$4,"",IF(INDEX('Fleet dates'!$D$9:$D$1008,$I538-8)="","",INDEX('Fleet dates'!$D$9:$D$1008,$I538-8)))</x:f>
      </x:c>
      <x:c r="E538" s="51" t="str">
        <x:f>IF(530&gt;$H$4,"",IF(INDEX('Fleet dates'!$E$9:$E$1008,$I538-8)="","",INDEX('Fleet dates'!$E$9:$E$1008,$I538-8)))</x:f>
      </x:c>
      <x:c r="F538" s="51" t="str">
        <x:f>IF(530&gt;$H$4,"",IF(INDEX('Fleet dates'!$F$9:$F$1008,$I538-8)="","",INDEX('Fleet dates'!$F$9:$F$1008,$I538-8)))</x:f>
      </x:c>
      <x:c r="G538" s="50" t="str">
        <x:f>IF(530&gt;$H$4,"",IF(INDEX('Fleet dates'!$G$9:$G$1008,$I538-8)="","",INDEX('Fleet dates'!$G$9:$G$1008,$I538-8)))</x:f>
      </x:c>
      <x:c r="H538" s="50" t="str">
        <x:f>IF(530&gt;$H$4,"",IF(INDEX('Fleet dates'!$I$9:$I$1008,$I538-8)="","",INDEX('Fleet dates'!$I$9:$I$1008,$I538-8)))</x:f>
      </x:c>
      <x:c r="I538" t="str">
        <x:f>IF(530&gt;$H$4,"",MATCH(530,'Fleet dates'!$N$9:$N$1008,0)+8)</x:f>
      </x:c>
    </x:row>
    <x:row r="539" ht="36" customHeight="1">
      <x:c r="A539" s="50" t="str">
        <x:f>IF(531&gt;$H$4,"",IF(INDEX('Fleet dates'!$A$9:$A$1008,$I539-8)="","",INDEX('Fleet dates'!$A$9:$A$1008,$I539-8)))</x:f>
      </x:c>
      <x:c r="B539" s="50" t="str">
        <x:f>IF(531&gt;$H$4,"",IF(INDEX('Fleet dates'!$B$9:$B$1008,$I539-8)="","",INDEX('Fleet dates'!$B$9:$B$1008,$I539-8)))</x:f>
      </x:c>
      <x:c r="C539" s="51" t="str">
        <x:f>IF(531&gt;$H$4,"",IF(INDEX('Fleet dates'!$C$9:$C$1008,$I539-8)="","",INDEX('Fleet dates'!$C$9:$C$1008,$I539-8)))</x:f>
      </x:c>
      <x:c r="D539" s="51" t="str">
        <x:f>IF(531&gt;$H$4,"",IF(INDEX('Fleet dates'!$D$9:$D$1008,$I539-8)="","",INDEX('Fleet dates'!$D$9:$D$1008,$I539-8)))</x:f>
      </x:c>
      <x:c r="E539" s="51" t="str">
        <x:f>IF(531&gt;$H$4,"",IF(INDEX('Fleet dates'!$E$9:$E$1008,$I539-8)="","",INDEX('Fleet dates'!$E$9:$E$1008,$I539-8)))</x:f>
      </x:c>
      <x:c r="F539" s="51" t="str">
        <x:f>IF(531&gt;$H$4,"",IF(INDEX('Fleet dates'!$F$9:$F$1008,$I539-8)="","",INDEX('Fleet dates'!$F$9:$F$1008,$I539-8)))</x:f>
      </x:c>
      <x:c r="G539" s="50" t="str">
        <x:f>IF(531&gt;$H$4,"",IF(INDEX('Fleet dates'!$G$9:$G$1008,$I539-8)="","",INDEX('Fleet dates'!$G$9:$G$1008,$I539-8)))</x:f>
      </x:c>
      <x:c r="H539" s="50" t="str">
        <x:f>IF(531&gt;$H$4,"",IF(INDEX('Fleet dates'!$I$9:$I$1008,$I539-8)="","",INDEX('Fleet dates'!$I$9:$I$1008,$I539-8)))</x:f>
      </x:c>
      <x:c r="I539" t="str">
        <x:f>IF(531&gt;$H$4,"",MATCH(531,'Fleet dates'!$N$9:$N$1008,0)+8)</x:f>
      </x:c>
    </x:row>
    <x:row r="540" ht="36" customHeight="1">
      <x:c r="A540" s="50" t="str">
        <x:f>IF(532&gt;$H$4,"",IF(INDEX('Fleet dates'!$A$9:$A$1008,$I540-8)="","",INDEX('Fleet dates'!$A$9:$A$1008,$I540-8)))</x:f>
      </x:c>
      <x:c r="B540" s="50" t="str">
        <x:f>IF(532&gt;$H$4,"",IF(INDEX('Fleet dates'!$B$9:$B$1008,$I540-8)="","",INDEX('Fleet dates'!$B$9:$B$1008,$I540-8)))</x:f>
      </x:c>
      <x:c r="C540" s="51" t="str">
        <x:f>IF(532&gt;$H$4,"",IF(INDEX('Fleet dates'!$C$9:$C$1008,$I540-8)="","",INDEX('Fleet dates'!$C$9:$C$1008,$I540-8)))</x:f>
      </x:c>
      <x:c r="D540" s="51" t="str">
        <x:f>IF(532&gt;$H$4,"",IF(INDEX('Fleet dates'!$D$9:$D$1008,$I540-8)="","",INDEX('Fleet dates'!$D$9:$D$1008,$I540-8)))</x:f>
      </x:c>
      <x:c r="E540" s="51" t="str">
        <x:f>IF(532&gt;$H$4,"",IF(INDEX('Fleet dates'!$E$9:$E$1008,$I540-8)="","",INDEX('Fleet dates'!$E$9:$E$1008,$I540-8)))</x:f>
      </x:c>
      <x:c r="F540" s="51" t="str">
        <x:f>IF(532&gt;$H$4,"",IF(INDEX('Fleet dates'!$F$9:$F$1008,$I540-8)="","",INDEX('Fleet dates'!$F$9:$F$1008,$I540-8)))</x:f>
      </x:c>
      <x:c r="G540" s="50" t="str">
        <x:f>IF(532&gt;$H$4,"",IF(INDEX('Fleet dates'!$G$9:$G$1008,$I540-8)="","",INDEX('Fleet dates'!$G$9:$G$1008,$I540-8)))</x:f>
      </x:c>
      <x:c r="H540" s="50" t="str">
        <x:f>IF(532&gt;$H$4,"",IF(INDEX('Fleet dates'!$I$9:$I$1008,$I540-8)="","",INDEX('Fleet dates'!$I$9:$I$1008,$I540-8)))</x:f>
      </x:c>
      <x:c r="I540" t="str">
        <x:f>IF(532&gt;$H$4,"",MATCH(532,'Fleet dates'!$N$9:$N$1008,0)+8)</x:f>
      </x:c>
    </x:row>
    <x:row r="541" ht="36" customHeight="1">
      <x:c r="A541" s="50" t="str">
        <x:f>IF(533&gt;$H$4,"",IF(INDEX('Fleet dates'!$A$9:$A$1008,$I541-8)="","",INDEX('Fleet dates'!$A$9:$A$1008,$I541-8)))</x:f>
      </x:c>
      <x:c r="B541" s="50" t="str">
        <x:f>IF(533&gt;$H$4,"",IF(INDEX('Fleet dates'!$B$9:$B$1008,$I541-8)="","",INDEX('Fleet dates'!$B$9:$B$1008,$I541-8)))</x:f>
      </x:c>
      <x:c r="C541" s="51" t="str">
        <x:f>IF(533&gt;$H$4,"",IF(INDEX('Fleet dates'!$C$9:$C$1008,$I541-8)="","",INDEX('Fleet dates'!$C$9:$C$1008,$I541-8)))</x:f>
      </x:c>
      <x:c r="D541" s="51" t="str">
        <x:f>IF(533&gt;$H$4,"",IF(INDEX('Fleet dates'!$D$9:$D$1008,$I541-8)="","",INDEX('Fleet dates'!$D$9:$D$1008,$I541-8)))</x:f>
      </x:c>
      <x:c r="E541" s="51" t="str">
        <x:f>IF(533&gt;$H$4,"",IF(INDEX('Fleet dates'!$E$9:$E$1008,$I541-8)="","",INDEX('Fleet dates'!$E$9:$E$1008,$I541-8)))</x:f>
      </x:c>
      <x:c r="F541" s="51" t="str">
        <x:f>IF(533&gt;$H$4,"",IF(INDEX('Fleet dates'!$F$9:$F$1008,$I541-8)="","",INDEX('Fleet dates'!$F$9:$F$1008,$I541-8)))</x:f>
      </x:c>
      <x:c r="G541" s="50" t="str">
        <x:f>IF(533&gt;$H$4,"",IF(INDEX('Fleet dates'!$G$9:$G$1008,$I541-8)="","",INDEX('Fleet dates'!$G$9:$G$1008,$I541-8)))</x:f>
      </x:c>
      <x:c r="H541" s="50" t="str">
        <x:f>IF(533&gt;$H$4,"",IF(INDEX('Fleet dates'!$I$9:$I$1008,$I541-8)="","",INDEX('Fleet dates'!$I$9:$I$1008,$I541-8)))</x:f>
      </x:c>
      <x:c r="I541" t="str">
        <x:f>IF(533&gt;$H$4,"",MATCH(533,'Fleet dates'!$N$9:$N$1008,0)+8)</x:f>
      </x:c>
    </x:row>
    <x:row r="542" ht="36" customHeight="1">
      <x:c r="A542" s="50" t="str">
        <x:f>IF(534&gt;$H$4,"",IF(INDEX('Fleet dates'!$A$9:$A$1008,$I542-8)="","",INDEX('Fleet dates'!$A$9:$A$1008,$I542-8)))</x:f>
      </x:c>
      <x:c r="B542" s="50" t="str">
        <x:f>IF(534&gt;$H$4,"",IF(INDEX('Fleet dates'!$B$9:$B$1008,$I542-8)="","",INDEX('Fleet dates'!$B$9:$B$1008,$I542-8)))</x:f>
      </x:c>
      <x:c r="C542" s="51" t="str">
        <x:f>IF(534&gt;$H$4,"",IF(INDEX('Fleet dates'!$C$9:$C$1008,$I542-8)="","",INDEX('Fleet dates'!$C$9:$C$1008,$I542-8)))</x:f>
      </x:c>
      <x:c r="D542" s="51" t="str">
        <x:f>IF(534&gt;$H$4,"",IF(INDEX('Fleet dates'!$D$9:$D$1008,$I542-8)="","",INDEX('Fleet dates'!$D$9:$D$1008,$I542-8)))</x:f>
      </x:c>
      <x:c r="E542" s="51" t="str">
        <x:f>IF(534&gt;$H$4,"",IF(INDEX('Fleet dates'!$E$9:$E$1008,$I542-8)="","",INDEX('Fleet dates'!$E$9:$E$1008,$I542-8)))</x:f>
      </x:c>
      <x:c r="F542" s="51" t="str">
        <x:f>IF(534&gt;$H$4,"",IF(INDEX('Fleet dates'!$F$9:$F$1008,$I542-8)="","",INDEX('Fleet dates'!$F$9:$F$1008,$I542-8)))</x:f>
      </x:c>
      <x:c r="G542" s="50" t="str">
        <x:f>IF(534&gt;$H$4,"",IF(INDEX('Fleet dates'!$G$9:$G$1008,$I542-8)="","",INDEX('Fleet dates'!$G$9:$G$1008,$I542-8)))</x:f>
      </x:c>
      <x:c r="H542" s="50" t="str">
        <x:f>IF(534&gt;$H$4,"",IF(INDEX('Fleet dates'!$I$9:$I$1008,$I542-8)="","",INDEX('Fleet dates'!$I$9:$I$1008,$I542-8)))</x:f>
      </x:c>
      <x:c r="I542" t="str">
        <x:f>IF(534&gt;$H$4,"",MATCH(534,'Fleet dates'!$N$9:$N$1008,0)+8)</x:f>
      </x:c>
    </x:row>
    <x:row r="543" ht="36" customHeight="1">
      <x:c r="A543" s="50" t="str">
        <x:f>IF(535&gt;$H$4,"",IF(INDEX('Fleet dates'!$A$9:$A$1008,$I543-8)="","",INDEX('Fleet dates'!$A$9:$A$1008,$I543-8)))</x:f>
      </x:c>
      <x:c r="B543" s="50" t="str">
        <x:f>IF(535&gt;$H$4,"",IF(INDEX('Fleet dates'!$B$9:$B$1008,$I543-8)="","",INDEX('Fleet dates'!$B$9:$B$1008,$I543-8)))</x:f>
      </x:c>
      <x:c r="C543" s="51" t="str">
        <x:f>IF(535&gt;$H$4,"",IF(INDEX('Fleet dates'!$C$9:$C$1008,$I543-8)="","",INDEX('Fleet dates'!$C$9:$C$1008,$I543-8)))</x:f>
      </x:c>
      <x:c r="D543" s="51" t="str">
        <x:f>IF(535&gt;$H$4,"",IF(INDEX('Fleet dates'!$D$9:$D$1008,$I543-8)="","",INDEX('Fleet dates'!$D$9:$D$1008,$I543-8)))</x:f>
      </x:c>
      <x:c r="E543" s="51" t="str">
        <x:f>IF(535&gt;$H$4,"",IF(INDEX('Fleet dates'!$E$9:$E$1008,$I543-8)="","",INDEX('Fleet dates'!$E$9:$E$1008,$I543-8)))</x:f>
      </x:c>
      <x:c r="F543" s="51" t="str">
        <x:f>IF(535&gt;$H$4,"",IF(INDEX('Fleet dates'!$F$9:$F$1008,$I543-8)="","",INDEX('Fleet dates'!$F$9:$F$1008,$I543-8)))</x:f>
      </x:c>
      <x:c r="G543" s="50" t="str">
        <x:f>IF(535&gt;$H$4,"",IF(INDEX('Fleet dates'!$G$9:$G$1008,$I543-8)="","",INDEX('Fleet dates'!$G$9:$G$1008,$I543-8)))</x:f>
      </x:c>
      <x:c r="H543" s="50" t="str">
        <x:f>IF(535&gt;$H$4,"",IF(INDEX('Fleet dates'!$I$9:$I$1008,$I543-8)="","",INDEX('Fleet dates'!$I$9:$I$1008,$I543-8)))</x:f>
      </x:c>
      <x:c r="I543" t="str">
        <x:f>IF(535&gt;$H$4,"",MATCH(535,'Fleet dates'!$N$9:$N$1008,0)+8)</x:f>
      </x:c>
    </x:row>
    <x:row r="544" ht="36" customHeight="1">
      <x:c r="A544" s="50" t="str">
        <x:f>IF(536&gt;$H$4,"",IF(INDEX('Fleet dates'!$A$9:$A$1008,$I544-8)="","",INDEX('Fleet dates'!$A$9:$A$1008,$I544-8)))</x:f>
      </x:c>
      <x:c r="B544" s="50" t="str">
        <x:f>IF(536&gt;$H$4,"",IF(INDEX('Fleet dates'!$B$9:$B$1008,$I544-8)="","",INDEX('Fleet dates'!$B$9:$B$1008,$I544-8)))</x:f>
      </x:c>
      <x:c r="C544" s="51" t="str">
        <x:f>IF(536&gt;$H$4,"",IF(INDEX('Fleet dates'!$C$9:$C$1008,$I544-8)="","",INDEX('Fleet dates'!$C$9:$C$1008,$I544-8)))</x:f>
      </x:c>
      <x:c r="D544" s="51" t="str">
        <x:f>IF(536&gt;$H$4,"",IF(INDEX('Fleet dates'!$D$9:$D$1008,$I544-8)="","",INDEX('Fleet dates'!$D$9:$D$1008,$I544-8)))</x:f>
      </x:c>
      <x:c r="E544" s="51" t="str">
        <x:f>IF(536&gt;$H$4,"",IF(INDEX('Fleet dates'!$E$9:$E$1008,$I544-8)="","",INDEX('Fleet dates'!$E$9:$E$1008,$I544-8)))</x:f>
      </x:c>
      <x:c r="F544" s="51" t="str">
        <x:f>IF(536&gt;$H$4,"",IF(INDEX('Fleet dates'!$F$9:$F$1008,$I544-8)="","",INDEX('Fleet dates'!$F$9:$F$1008,$I544-8)))</x:f>
      </x:c>
      <x:c r="G544" s="50" t="str">
        <x:f>IF(536&gt;$H$4,"",IF(INDEX('Fleet dates'!$G$9:$G$1008,$I544-8)="","",INDEX('Fleet dates'!$G$9:$G$1008,$I544-8)))</x:f>
      </x:c>
      <x:c r="H544" s="50" t="str">
        <x:f>IF(536&gt;$H$4,"",IF(INDEX('Fleet dates'!$I$9:$I$1008,$I544-8)="","",INDEX('Fleet dates'!$I$9:$I$1008,$I544-8)))</x:f>
      </x:c>
      <x:c r="I544" t="str">
        <x:f>IF(536&gt;$H$4,"",MATCH(536,'Fleet dates'!$N$9:$N$1008,0)+8)</x:f>
      </x:c>
    </x:row>
    <x:row r="545" ht="36" customHeight="1">
      <x:c r="A545" s="50" t="str">
        <x:f>IF(537&gt;$H$4,"",IF(INDEX('Fleet dates'!$A$9:$A$1008,$I545-8)="","",INDEX('Fleet dates'!$A$9:$A$1008,$I545-8)))</x:f>
      </x:c>
      <x:c r="B545" s="50" t="str">
        <x:f>IF(537&gt;$H$4,"",IF(INDEX('Fleet dates'!$B$9:$B$1008,$I545-8)="","",INDEX('Fleet dates'!$B$9:$B$1008,$I545-8)))</x:f>
      </x:c>
      <x:c r="C545" s="51" t="str">
        <x:f>IF(537&gt;$H$4,"",IF(INDEX('Fleet dates'!$C$9:$C$1008,$I545-8)="","",INDEX('Fleet dates'!$C$9:$C$1008,$I545-8)))</x:f>
      </x:c>
      <x:c r="D545" s="51" t="str">
        <x:f>IF(537&gt;$H$4,"",IF(INDEX('Fleet dates'!$D$9:$D$1008,$I545-8)="","",INDEX('Fleet dates'!$D$9:$D$1008,$I545-8)))</x:f>
      </x:c>
      <x:c r="E545" s="51" t="str">
        <x:f>IF(537&gt;$H$4,"",IF(INDEX('Fleet dates'!$E$9:$E$1008,$I545-8)="","",INDEX('Fleet dates'!$E$9:$E$1008,$I545-8)))</x:f>
      </x:c>
      <x:c r="F545" s="51" t="str">
        <x:f>IF(537&gt;$H$4,"",IF(INDEX('Fleet dates'!$F$9:$F$1008,$I545-8)="","",INDEX('Fleet dates'!$F$9:$F$1008,$I545-8)))</x:f>
      </x:c>
      <x:c r="G545" s="50" t="str">
        <x:f>IF(537&gt;$H$4,"",IF(INDEX('Fleet dates'!$G$9:$G$1008,$I545-8)="","",INDEX('Fleet dates'!$G$9:$G$1008,$I545-8)))</x:f>
      </x:c>
      <x:c r="H545" s="50" t="str">
        <x:f>IF(537&gt;$H$4,"",IF(INDEX('Fleet dates'!$I$9:$I$1008,$I545-8)="","",INDEX('Fleet dates'!$I$9:$I$1008,$I545-8)))</x:f>
      </x:c>
      <x:c r="I545" t="str">
        <x:f>IF(537&gt;$H$4,"",MATCH(537,'Fleet dates'!$N$9:$N$1008,0)+8)</x:f>
      </x:c>
    </x:row>
    <x:row r="546" ht="36" customHeight="1">
      <x:c r="A546" s="50" t="str">
        <x:f>IF(538&gt;$H$4,"",IF(INDEX('Fleet dates'!$A$9:$A$1008,$I546-8)="","",INDEX('Fleet dates'!$A$9:$A$1008,$I546-8)))</x:f>
      </x:c>
      <x:c r="B546" s="50" t="str">
        <x:f>IF(538&gt;$H$4,"",IF(INDEX('Fleet dates'!$B$9:$B$1008,$I546-8)="","",INDEX('Fleet dates'!$B$9:$B$1008,$I546-8)))</x:f>
      </x:c>
      <x:c r="C546" s="51" t="str">
        <x:f>IF(538&gt;$H$4,"",IF(INDEX('Fleet dates'!$C$9:$C$1008,$I546-8)="","",INDEX('Fleet dates'!$C$9:$C$1008,$I546-8)))</x:f>
      </x:c>
      <x:c r="D546" s="51" t="str">
        <x:f>IF(538&gt;$H$4,"",IF(INDEX('Fleet dates'!$D$9:$D$1008,$I546-8)="","",INDEX('Fleet dates'!$D$9:$D$1008,$I546-8)))</x:f>
      </x:c>
      <x:c r="E546" s="51" t="str">
        <x:f>IF(538&gt;$H$4,"",IF(INDEX('Fleet dates'!$E$9:$E$1008,$I546-8)="","",INDEX('Fleet dates'!$E$9:$E$1008,$I546-8)))</x:f>
      </x:c>
      <x:c r="F546" s="51" t="str">
        <x:f>IF(538&gt;$H$4,"",IF(INDEX('Fleet dates'!$F$9:$F$1008,$I546-8)="","",INDEX('Fleet dates'!$F$9:$F$1008,$I546-8)))</x:f>
      </x:c>
      <x:c r="G546" s="50" t="str">
        <x:f>IF(538&gt;$H$4,"",IF(INDEX('Fleet dates'!$G$9:$G$1008,$I546-8)="","",INDEX('Fleet dates'!$G$9:$G$1008,$I546-8)))</x:f>
      </x:c>
      <x:c r="H546" s="50" t="str">
        <x:f>IF(538&gt;$H$4,"",IF(INDEX('Fleet dates'!$I$9:$I$1008,$I546-8)="","",INDEX('Fleet dates'!$I$9:$I$1008,$I546-8)))</x:f>
      </x:c>
      <x:c r="I546" t="str">
        <x:f>IF(538&gt;$H$4,"",MATCH(538,'Fleet dates'!$N$9:$N$1008,0)+8)</x:f>
      </x:c>
    </x:row>
    <x:row r="547" ht="36" customHeight="1">
      <x:c r="A547" s="50" t="str">
        <x:f>IF(539&gt;$H$4,"",IF(INDEX('Fleet dates'!$A$9:$A$1008,$I547-8)="","",INDEX('Fleet dates'!$A$9:$A$1008,$I547-8)))</x:f>
      </x:c>
      <x:c r="B547" s="50" t="str">
        <x:f>IF(539&gt;$H$4,"",IF(INDEX('Fleet dates'!$B$9:$B$1008,$I547-8)="","",INDEX('Fleet dates'!$B$9:$B$1008,$I547-8)))</x:f>
      </x:c>
      <x:c r="C547" s="51" t="str">
        <x:f>IF(539&gt;$H$4,"",IF(INDEX('Fleet dates'!$C$9:$C$1008,$I547-8)="","",INDEX('Fleet dates'!$C$9:$C$1008,$I547-8)))</x:f>
      </x:c>
      <x:c r="D547" s="51" t="str">
        <x:f>IF(539&gt;$H$4,"",IF(INDEX('Fleet dates'!$D$9:$D$1008,$I547-8)="","",INDEX('Fleet dates'!$D$9:$D$1008,$I547-8)))</x:f>
      </x:c>
      <x:c r="E547" s="51" t="str">
        <x:f>IF(539&gt;$H$4,"",IF(INDEX('Fleet dates'!$E$9:$E$1008,$I547-8)="","",INDEX('Fleet dates'!$E$9:$E$1008,$I547-8)))</x:f>
      </x:c>
      <x:c r="F547" s="51" t="str">
        <x:f>IF(539&gt;$H$4,"",IF(INDEX('Fleet dates'!$F$9:$F$1008,$I547-8)="","",INDEX('Fleet dates'!$F$9:$F$1008,$I547-8)))</x:f>
      </x:c>
      <x:c r="G547" s="50" t="str">
        <x:f>IF(539&gt;$H$4,"",IF(INDEX('Fleet dates'!$G$9:$G$1008,$I547-8)="","",INDEX('Fleet dates'!$G$9:$G$1008,$I547-8)))</x:f>
      </x:c>
      <x:c r="H547" s="50" t="str">
        <x:f>IF(539&gt;$H$4,"",IF(INDEX('Fleet dates'!$I$9:$I$1008,$I547-8)="","",INDEX('Fleet dates'!$I$9:$I$1008,$I547-8)))</x:f>
      </x:c>
      <x:c r="I547" t="str">
        <x:f>IF(539&gt;$H$4,"",MATCH(539,'Fleet dates'!$N$9:$N$1008,0)+8)</x:f>
      </x:c>
    </x:row>
    <x:row r="548" ht="36" customHeight="1">
      <x:c r="A548" s="50" t="str">
        <x:f>IF(540&gt;$H$4,"",IF(INDEX('Fleet dates'!$A$9:$A$1008,$I548-8)="","",INDEX('Fleet dates'!$A$9:$A$1008,$I548-8)))</x:f>
      </x:c>
      <x:c r="B548" s="50" t="str">
        <x:f>IF(540&gt;$H$4,"",IF(INDEX('Fleet dates'!$B$9:$B$1008,$I548-8)="","",INDEX('Fleet dates'!$B$9:$B$1008,$I548-8)))</x:f>
      </x:c>
      <x:c r="C548" s="51" t="str">
        <x:f>IF(540&gt;$H$4,"",IF(INDEX('Fleet dates'!$C$9:$C$1008,$I548-8)="","",INDEX('Fleet dates'!$C$9:$C$1008,$I548-8)))</x:f>
      </x:c>
      <x:c r="D548" s="51" t="str">
        <x:f>IF(540&gt;$H$4,"",IF(INDEX('Fleet dates'!$D$9:$D$1008,$I548-8)="","",INDEX('Fleet dates'!$D$9:$D$1008,$I548-8)))</x:f>
      </x:c>
      <x:c r="E548" s="51" t="str">
        <x:f>IF(540&gt;$H$4,"",IF(INDEX('Fleet dates'!$E$9:$E$1008,$I548-8)="","",INDEX('Fleet dates'!$E$9:$E$1008,$I548-8)))</x:f>
      </x:c>
      <x:c r="F548" s="51" t="str">
        <x:f>IF(540&gt;$H$4,"",IF(INDEX('Fleet dates'!$F$9:$F$1008,$I548-8)="","",INDEX('Fleet dates'!$F$9:$F$1008,$I548-8)))</x:f>
      </x:c>
      <x:c r="G548" s="50" t="str">
        <x:f>IF(540&gt;$H$4,"",IF(INDEX('Fleet dates'!$G$9:$G$1008,$I548-8)="","",INDEX('Fleet dates'!$G$9:$G$1008,$I548-8)))</x:f>
      </x:c>
      <x:c r="H548" s="50" t="str">
        <x:f>IF(540&gt;$H$4,"",IF(INDEX('Fleet dates'!$I$9:$I$1008,$I548-8)="","",INDEX('Fleet dates'!$I$9:$I$1008,$I548-8)))</x:f>
      </x:c>
      <x:c r="I548" t="str">
        <x:f>IF(540&gt;$H$4,"",MATCH(540,'Fleet dates'!$N$9:$N$1008,0)+8)</x:f>
      </x:c>
    </x:row>
    <x:row r="549" ht="36" customHeight="1">
      <x:c r="A549" s="50" t="str">
        <x:f>IF(541&gt;$H$4,"",IF(INDEX('Fleet dates'!$A$9:$A$1008,$I549-8)="","",INDEX('Fleet dates'!$A$9:$A$1008,$I549-8)))</x:f>
      </x:c>
      <x:c r="B549" s="50" t="str">
        <x:f>IF(541&gt;$H$4,"",IF(INDEX('Fleet dates'!$B$9:$B$1008,$I549-8)="","",INDEX('Fleet dates'!$B$9:$B$1008,$I549-8)))</x:f>
      </x:c>
      <x:c r="C549" s="51" t="str">
        <x:f>IF(541&gt;$H$4,"",IF(INDEX('Fleet dates'!$C$9:$C$1008,$I549-8)="","",INDEX('Fleet dates'!$C$9:$C$1008,$I549-8)))</x:f>
      </x:c>
      <x:c r="D549" s="51" t="str">
        <x:f>IF(541&gt;$H$4,"",IF(INDEX('Fleet dates'!$D$9:$D$1008,$I549-8)="","",INDEX('Fleet dates'!$D$9:$D$1008,$I549-8)))</x:f>
      </x:c>
      <x:c r="E549" s="51" t="str">
        <x:f>IF(541&gt;$H$4,"",IF(INDEX('Fleet dates'!$E$9:$E$1008,$I549-8)="","",INDEX('Fleet dates'!$E$9:$E$1008,$I549-8)))</x:f>
      </x:c>
      <x:c r="F549" s="51" t="str">
        <x:f>IF(541&gt;$H$4,"",IF(INDEX('Fleet dates'!$F$9:$F$1008,$I549-8)="","",INDEX('Fleet dates'!$F$9:$F$1008,$I549-8)))</x:f>
      </x:c>
      <x:c r="G549" s="50" t="str">
        <x:f>IF(541&gt;$H$4,"",IF(INDEX('Fleet dates'!$G$9:$G$1008,$I549-8)="","",INDEX('Fleet dates'!$G$9:$G$1008,$I549-8)))</x:f>
      </x:c>
      <x:c r="H549" s="50" t="str">
        <x:f>IF(541&gt;$H$4,"",IF(INDEX('Fleet dates'!$I$9:$I$1008,$I549-8)="","",INDEX('Fleet dates'!$I$9:$I$1008,$I549-8)))</x:f>
      </x:c>
      <x:c r="I549" t="str">
        <x:f>IF(541&gt;$H$4,"",MATCH(541,'Fleet dates'!$N$9:$N$1008,0)+8)</x:f>
      </x:c>
    </x:row>
    <x:row r="550" ht="36" customHeight="1">
      <x:c r="A550" s="50" t="str">
        <x:f>IF(542&gt;$H$4,"",IF(INDEX('Fleet dates'!$A$9:$A$1008,$I550-8)="","",INDEX('Fleet dates'!$A$9:$A$1008,$I550-8)))</x:f>
      </x:c>
      <x:c r="B550" s="50" t="str">
        <x:f>IF(542&gt;$H$4,"",IF(INDEX('Fleet dates'!$B$9:$B$1008,$I550-8)="","",INDEX('Fleet dates'!$B$9:$B$1008,$I550-8)))</x:f>
      </x:c>
      <x:c r="C550" s="51" t="str">
        <x:f>IF(542&gt;$H$4,"",IF(INDEX('Fleet dates'!$C$9:$C$1008,$I550-8)="","",INDEX('Fleet dates'!$C$9:$C$1008,$I550-8)))</x:f>
      </x:c>
      <x:c r="D550" s="51" t="str">
        <x:f>IF(542&gt;$H$4,"",IF(INDEX('Fleet dates'!$D$9:$D$1008,$I550-8)="","",INDEX('Fleet dates'!$D$9:$D$1008,$I550-8)))</x:f>
      </x:c>
      <x:c r="E550" s="51" t="str">
        <x:f>IF(542&gt;$H$4,"",IF(INDEX('Fleet dates'!$E$9:$E$1008,$I550-8)="","",INDEX('Fleet dates'!$E$9:$E$1008,$I550-8)))</x:f>
      </x:c>
      <x:c r="F550" s="51" t="str">
        <x:f>IF(542&gt;$H$4,"",IF(INDEX('Fleet dates'!$F$9:$F$1008,$I550-8)="","",INDEX('Fleet dates'!$F$9:$F$1008,$I550-8)))</x:f>
      </x:c>
      <x:c r="G550" s="50" t="str">
        <x:f>IF(542&gt;$H$4,"",IF(INDEX('Fleet dates'!$G$9:$G$1008,$I550-8)="","",INDEX('Fleet dates'!$G$9:$G$1008,$I550-8)))</x:f>
      </x:c>
      <x:c r="H550" s="50" t="str">
        <x:f>IF(542&gt;$H$4,"",IF(INDEX('Fleet dates'!$I$9:$I$1008,$I550-8)="","",INDEX('Fleet dates'!$I$9:$I$1008,$I550-8)))</x:f>
      </x:c>
      <x:c r="I550" t="str">
        <x:f>IF(542&gt;$H$4,"",MATCH(542,'Fleet dates'!$N$9:$N$1008,0)+8)</x:f>
      </x:c>
    </x:row>
    <x:row r="551" ht="36" customHeight="1">
      <x:c r="A551" s="50" t="str">
        <x:f>IF(543&gt;$H$4,"",IF(INDEX('Fleet dates'!$A$9:$A$1008,$I551-8)="","",INDEX('Fleet dates'!$A$9:$A$1008,$I551-8)))</x:f>
      </x:c>
      <x:c r="B551" s="50" t="str">
        <x:f>IF(543&gt;$H$4,"",IF(INDEX('Fleet dates'!$B$9:$B$1008,$I551-8)="","",INDEX('Fleet dates'!$B$9:$B$1008,$I551-8)))</x:f>
      </x:c>
      <x:c r="C551" s="51" t="str">
        <x:f>IF(543&gt;$H$4,"",IF(INDEX('Fleet dates'!$C$9:$C$1008,$I551-8)="","",INDEX('Fleet dates'!$C$9:$C$1008,$I551-8)))</x:f>
      </x:c>
      <x:c r="D551" s="51" t="str">
        <x:f>IF(543&gt;$H$4,"",IF(INDEX('Fleet dates'!$D$9:$D$1008,$I551-8)="","",INDEX('Fleet dates'!$D$9:$D$1008,$I551-8)))</x:f>
      </x:c>
      <x:c r="E551" s="51" t="str">
        <x:f>IF(543&gt;$H$4,"",IF(INDEX('Fleet dates'!$E$9:$E$1008,$I551-8)="","",INDEX('Fleet dates'!$E$9:$E$1008,$I551-8)))</x:f>
      </x:c>
      <x:c r="F551" s="51" t="str">
        <x:f>IF(543&gt;$H$4,"",IF(INDEX('Fleet dates'!$F$9:$F$1008,$I551-8)="","",INDEX('Fleet dates'!$F$9:$F$1008,$I551-8)))</x:f>
      </x:c>
      <x:c r="G551" s="50" t="str">
        <x:f>IF(543&gt;$H$4,"",IF(INDEX('Fleet dates'!$G$9:$G$1008,$I551-8)="","",INDEX('Fleet dates'!$G$9:$G$1008,$I551-8)))</x:f>
      </x:c>
      <x:c r="H551" s="50" t="str">
        <x:f>IF(543&gt;$H$4,"",IF(INDEX('Fleet dates'!$I$9:$I$1008,$I551-8)="","",INDEX('Fleet dates'!$I$9:$I$1008,$I551-8)))</x:f>
      </x:c>
      <x:c r="I551" t="str">
        <x:f>IF(543&gt;$H$4,"",MATCH(543,'Fleet dates'!$N$9:$N$1008,0)+8)</x:f>
      </x:c>
    </x:row>
    <x:row r="552" ht="36" customHeight="1">
      <x:c r="A552" s="50" t="str">
        <x:f>IF(544&gt;$H$4,"",IF(INDEX('Fleet dates'!$A$9:$A$1008,$I552-8)="","",INDEX('Fleet dates'!$A$9:$A$1008,$I552-8)))</x:f>
      </x:c>
      <x:c r="B552" s="50" t="str">
        <x:f>IF(544&gt;$H$4,"",IF(INDEX('Fleet dates'!$B$9:$B$1008,$I552-8)="","",INDEX('Fleet dates'!$B$9:$B$1008,$I552-8)))</x:f>
      </x:c>
      <x:c r="C552" s="51" t="str">
        <x:f>IF(544&gt;$H$4,"",IF(INDEX('Fleet dates'!$C$9:$C$1008,$I552-8)="","",INDEX('Fleet dates'!$C$9:$C$1008,$I552-8)))</x:f>
      </x:c>
      <x:c r="D552" s="51" t="str">
        <x:f>IF(544&gt;$H$4,"",IF(INDEX('Fleet dates'!$D$9:$D$1008,$I552-8)="","",INDEX('Fleet dates'!$D$9:$D$1008,$I552-8)))</x:f>
      </x:c>
      <x:c r="E552" s="51" t="str">
        <x:f>IF(544&gt;$H$4,"",IF(INDEX('Fleet dates'!$E$9:$E$1008,$I552-8)="","",INDEX('Fleet dates'!$E$9:$E$1008,$I552-8)))</x:f>
      </x:c>
      <x:c r="F552" s="51" t="str">
        <x:f>IF(544&gt;$H$4,"",IF(INDEX('Fleet dates'!$F$9:$F$1008,$I552-8)="","",INDEX('Fleet dates'!$F$9:$F$1008,$I552-8)))</x:f>
      </x:c>
      <x:c r="G552" s="50" t="str">
        <x:f>IF(544&gt;$H$4,"",IF(INDEX('Fleet dates'!$G$9:$G$1008,$I552-8)="","",INDEX('Fleet dates'!$G$9:$G$1008,$I552-8)))</x:f>
      </x:c>
      <x:c r="H552" s="50" t="str">
        <x:f>IF(544&gt;$H$4,"",IF(INDEX('Fleet dates'!$I$9:$I$1008,$I552-8)="","",INDEX('Fleet dates'!$I$9:$I$1008,$I552-8)))</x:f>
      </x:c>
      <x:c r="I552" t="str">
        <x:f>IF(544&gt;$H$4,"",MATCH(544,'Fleet dates'!$N$9:$N$1008,0)+8)</x:f>
      </x:c>
    </x:row>
    <x:row r="553" ht="36" customHeight="1">
      <x:c r="A553" s="50" t="str">
        <x:f>IF(545&gt;$H$4,"",IF(INDEX('Fleet dates'!$A$9:$A$1008,$I553-8)="","",INDEX('Fleet dates'!$A$9:$A$1008,$I553-8)))</x:f>
      </x:c>
      <x:c r="B553" s="50" t="str">
        <x:f>IF(545&gt;$H$4,"",IF(INDEX('Fleet dates'!$B$9:$B$1008,$I553-8)="","",INDEX('Fleet dates'!$B$9:$B$1008,$I553-8)))</x:f>
      </x:c>
      <x:c r="C553" s="51" t="str">
        <x:f>IF(545&gt;$H$4,"",IF(INDEX('Fleet dates'!$C$9:$C$1008,$I553-8)="","",INDEX('Fleet dates'!$C$9:$C$1008,$I553-8)))</x:f>
      </x:c>
      <x:c r="D553" s="51" t="str">
        <x:f>IF(545&gt;$H$4,"",IF(INDEX('Fleet dates'!$D$9:$D$1008,$I553-8)="","",INDEX('Fleet dates'!$D$9:$D$1008,$I553-8)))</x:f>
      </x:c>
      <x:c r="E553" s="51" t="str">
        <x:f>IF(545&gt;$H$4,"",IF(INDEX('Fleet dates'!$E$9:$E$1008,$I553-8)="","",INDEX('Fleet dates'!$E$9:$E$1008,$I553-8)))</x:f>
      </x:c>
      <x:c r="F553" s="51" t="str">
        <x:f>IF(545&gt;$H$4,"",IF(INDEX('Fleet dates'!$F$9:$F$1008,$I553-8)="","",INDEX('Fleet dates'!$F$9:$F$1008,$I553-8)))</x:f>
      </x:c>
      <x:c r="G553" s="50" t="str">
        <x:f>IF(545&gt;$H$4,"",IF(INDEX('Fleet dates'!$G$9:$G$1008,$I553-8)="","",INDEX('Fleet dates'!$G$9:$G$1008,$I553-8)))</x:f>
      </x:c>
      <x:c r="H553" s="50" t="str">
        <x:f>IF(545&gt;$H$4,"",IF(INDEX('Fleet dates'!$I$9:$I$1008,$I553-8)="","",INDEX('Fleet dates'!$I$9:$I$1008,$I553-8)))</x:f>
      </x:c>
      <x:c r="I553" t="str">
        <x:f>IF(545&gt;$H$4,"",MATCH(545,'Fleet dates'!$N$9:$N$1008,0)+8)</x:f>
      </x:c>
    </x:row>
    <x:row r="554" ht="36" customHeight="1">
      <x:c r="A554" s="50" t="str">
        <x:f>IF(546&gt;$H$4,"",IF(INDEX('Fleet dates'!$A$9:$A$1008,$I554-8)="","",INDEX('Fleet dates'!$A$9:$A$1008,$I554-8)))</x:f>
      </x:c>
      <x:c r="B554" s="50" t="str">
        <x:f>IF(546&gt;$H$4,"",IF(INDEX('Fleet dates'!$B$9:$B$1008,$I554-8)="","",INDEX('Fleet dates'!$B$9:$B$1008,$I554-8)))</x:f>
      </x:c>
      <x:c r="C554" s="51" t="str">
        <x:f>IF(546&gt;$H$4,"",IF(INDEX('Fleet dates'!$C$9:$C$1008,$I554-8)="","",INDEX('Fleet dates'!$C$9:$C$1008,$I554-8)))</x:f>
      </x:c>
      <x:c r="D554" s="51" t="str">
        <x:f>IF(546&gt;$H$4,"",IF(INDEX('Fleet dates'!$D$9:$D$1008,$I554-8)="","",INDEX('Fleet dates'!$D$9:$D$1008,$I554-8)))</x:f>
      </x:c>
      <x:c r="E554" s="51" t="str">
        <x:f>IF(546&gt;$H$4,"",IF(INDEX('Fleet dates'!$E$9:$E$1008,$I554-8)="","",INDEX('Fleet dates'!$E$9:$E$1008,$I554-8)))</x:f>
      </x:c>
      <x:c r="F554" s="51" t="str">
        <x:f>IF(546&gt;$H$4,"",IF(INDEX('Fleet dates'!$F$9:$F$1008,$I554-8)="","",INDEX('Fleet dates'!$F$9:$F$1008,$I554-8)))</x:f>
      </x:c>
      <x:c r="G554" s="50" t="str">
        <x:f>IF(546&gt;$H$4,"",IF(INDEX('Fleet dates'!$G$9:$G$1008,$I554-8)="","",INDEX('Fleet dates'!$G$9:$G$1008,$I554-8)))</x:f>
      </x:c>
      <x:c r="H554" s="50" t="str">
        <x:f>IF(546&gt;$H$4,"",IF(INDEX('Fleet dates'!$I$9:$I$1008,$I554-8)="","",INDEX('Fleet dates'!$I$9:$I$1008,$I554-8)))</x:f>
      </x:c>
      <x:c r="I554" t="str">
        <x:f>IF(546&gt;$H$4,"",MATCH(546,'Fleet dates'!$N$9:$N$1008,0)+8)</x:f>
      </x:c>
    </x:row>
    <x:row r="555" ht="36" customHeight="1">
      <x:c r="A555" s="50" t="str">
        <x:f>IF(547&gt;$H$4,"",IF(INDEX('Fleet dates'!$A$9:$A$1008,$I555-8)="","",INDEX('Fleet dates'!$A$9:$A$1008,$I555-8)))</x:f>
      </x:c>
      <x:c r="B555" s="50" t="str">
        <x:f>IF(547&gt;$H$4,"",IF(INDEX('Fleet dates'!$B$9:$B$1008,$I555-8)="","",INDEX('Fleet dates'!$B$9:$B$1008,$I555-8)))</x:f>
      </x:c>
      <x:c r="C555" s="51" t="str">
        <x:f>IF(547&gt;$H$4,"",IF(INDEX('Fleet dates'!$C$9:$C$1008,$I555-8)="","",INDEX('Fleet dates'!$C$9:$C$1008,$I555-8)))</x:f>
      </x:c>
      <x:c r="D555" s="51" t="str">
        <x:f>IF(547&gt;$H$4,"",IF(INDEX('Fleet dates'!$D$9:$D$1008,$I555-8)="","",INDEX('Fleet dates'!$D$9:$D$1008,$I555-8)))</x:f>
      </x:c>
      <x:c r="E555" s="51" t="str">
        <x:f>IF(547&gt;$H$4,"",IF(INDEX('Fleet dates'!$E$9:$E$1008,$I555-8)="","",INDEX('Fleet dates'!$E$9:$E$1008,$I555-8)))</x:f>
      </x:c>
      <x:c r="F555" s="51" t="str">
        <x:f>IF(547&gt;$H$4,"",IF(INDEX('Fleet dates'!$F$9:$F$1008,$I555-8)="","",INDEX('Fleet dates'!$F$9:$F$1008,$I555-8)))</x:f>
      </x:c>
      <x:c r="G555" s="50" t="str">
        <x:f>IF(547&gt;$H$4,"",IF(INDEX('Fleet dates'!$G$9:$G$1008,$I555-8)="","",INDEX('Fleet dates'!$G$9:$G$1008,$I555-8)))</x:f>
      </x:c>
      <x:c r="H555" s="50" t="str">
        <x:f>IF(547&gt;$H$4,"",IF(INDEX('Fleet dates'!$I$9:$I$1008,$I555-8)="","",INDEX('Fleet dates'!$I$9:$I$1008,$I555-8)))</x:f>
      </x:c>
      <x:c r="I555" t="str">
        <x:f>IF(547&gt;$H$4,"",MATCH(547,'Fleet dates'!$N$9:$N$1008,0)+8)</x:f>
      </x:c>
    </x:row>
    <x:row r="556" ht="36" customHeight="1">
      <x:c r="A556" s="50" t="str">
        <x:f>IF(548&gt;$H$4,"",IF(INDEX('Fleet dates'!$A$9:$A$1008,$I556-8)="","",INDEX('Fleet dates'!$A$9:$A$1008,$I556-8)))</x:f>
      </x:c>
      <x:c r="B556" s="50" t="str">
        <x:f>IF(548&gt;$H$4,"",IF(INDEX('Fleet dates'!$B$9:$B$1008,$I556-8)="","",INDEX('Fleet dates'!$B$9:$B$1008,$I556-8)))</x:f>
      </x:c>
      <x:c r="C556" s="51" t="str">
        <x:f>IF(548&gt;$H$4,"",IF(INDEX('Fleet dates'!$C$9:$C$1008,$I556-8)="","",INDEX('Fleet dates'!$C$9:$C$1008,$I556-8)))</x:f>
      </x:c>
      <x:c r="D556" s="51" t="str">
        <x:f>IF(548&gt;$H$4,"",IF(INDEX('Fleet dates'!$D$9:$D$1008,$I556-8)="","",INDEX('Fleet dates'!$D$9:$D$1008,$I556-8)))</x:f>
      </x:c>
      <x:c r="E556" s="51" t="str">
        <x:f>IF(548&gt;$H$4,"",IF(INDEX('Fleet dates'!$E$9:$E$1008,$I556-8)="","",INDEX('Fleet dates'!$E$9:$E$1008,$I556-8)))</x:f>
      </x:c>
      <x:c r="F556" s="51" t="str">
        <x:f>IF(548&gt;$H$4,"",IF(INDEX('Fleet dates'!$F$9:$F$1008,$I556-8)="","",INDEX('Fleet dates'!$F$9:$F$1008,$I556-8)))</x:f>
      </x:c>
      <x:c r="G556" s="50" t="str">
        <x:f>IF(548&gt;$H$4,"",IF(INDEX('Fleet dates'!$G$9:$G$1008,$I556-8)="","",INDEX('Fleet dates'!$G$9:$G$1008,$I556-8)))</x:f>
      </x:c>
      <x:c r="H556" s="50" t="str">
        <x:f>IF(548&gt;$H$4,"",IF(INDEX('Fleet dates'!$I$9:$I$1008,$I556-8)="","",INDEX('Fleet dates'!$I$9:$I$1008,$I556-8)))</x:f>
      </x:c>
      <x:c r="I556" t="str">
        <x:f>IF(548&gt;$H$4,"",MATCH(548,'Fleet dates'!$N$9:$N$1008,0)+8)</x:f>
      </x:c>
    </x:row>
    <x:row r="557" ht="36" customHeight="1">
      <x:c r="A557" s="50" t="str">
        <x:f>IF(549&gt;$H$4,"",IF(INDEX('Fleet dates'!$A$9:$A$1008,$I557-8)="","",INDEX('Fleet dates'!$A$9:$A$1008,$I557-8)))</x:f>
      </x:c>
      <x:c r="B557" s="50" t="str">
        <x:f>IF(549&gt;$H$4,"",IF(INDEX('Fleet dates'!$B$9:$B$1008,$I557-8)="","",INDEX('Fleet dates'!$B$9:$B$1008,$I557-8)))</x:f>
      </x:c>
      <x:c r="C557" s="51" t="str">
        <x:f>IF(549&gt;$H$4,"",IF(INDEX('Fleet dates'!$C$9:$C$1008,$I557-8)="","",INDEX('Fleet dates'!$C$9:$C$1008,$I557-8)))</x:f>
      </x:c>
      <x:c r="D557" s="51" t="str">
        <x:f>IF(549&gt;$H$4,"",IF(INDEX('Fleet dates'!$D$9:$D$1008,$I557-8)="","",INDEX('Fleet dates'!$D$9:$D$1008,$I557-8)))</x:f>
      </x:c>
      <x:c r="E557" s="51" t="str">
        <x:f>IF(549&gt;$H$4,"",IF(INDEX('Fleet dates'!$E$9:$E$1008,$I557-8)="","",INDEX('Fleet dates'!$E$9:$E$1008,$I557-8)))</x:f>
      </x:c>
      <x:c r="F557" s="51" t="str">
        <x:f>IF(549&gt;$H$4,"",IF(INDEX('Fleet dates'!$F$9:$F$1008,$I557-8)="","",INDEX('Fleet dates'!$F$9:$F$1008,$I557-8)))</x:f>
      </x:c>
      <x:c r="G557" s="50" t="str">
        <x:f>IF(549&gt;$H$4,"",IF(INDEX('Fleet dates'!$G$9:$G$1008,$I557-8)="","",INDEX('Fleet dates'!$G$9:$G$1008,$I557-8)))</x:f>
      </x:c>
      <x:c r="H557" s="50" t="str">
        <x:f>IF(549&gt;$H$4,"",IF(INDEX('Fleet dates'!$I$9:$I$1008,$I557-8)="","",INDEX('Fleet dates'!$I$9:$I$1008,$I557-8)))</x:f>
      </x:c>
      <x:c r="I557" t="str">
        <x:f>IF(549&gt;$H$4,"",MATCH(549,'Fleet dates'!$N$9:$N$1008,0)+8)</x:f>
      </x:c>
    </x:row>
    <x:row r="558" ht="36" customHeight="1">
      <x:c r="A558" s="50" t="str">
        <x:f>IF(550&gt;$H$4,"",IF(INDEX('Fleet dates'!$A$9:$A$1008,$I558-8)="","",INDEX('Fleet dates'!$A$9:$A$1008,$I558-8)))</x:f>
      </x:c>
      <x:c r="B558" s="50" t="str">
        <x:f>IF(550&gt;$H$4,"",IF(INDEX('Fleet dates'!$B$9:$B$1008,$I558-8)="","",INDEX('Fleet dates'!$B$9:$B$1008,$I558-8)))</x:f>
      </x:c>
      <x:c r="C558" s="51" t="str">
        <x:f>IF(550&gt;$H$4,"",IF(INDEX('Fleet dates'!$C$9:$C$1008,$I558-8)="","",INDEX('Fleet dates'!$C$9:$C$1008,$I558-8)))</x:f>
      </x:c>
      <x:c r="D558" s="51" t="str">
        <x:f>IF(550&gt;$H$4,"",IF(INDEX('Fleet dates'!$D$9:$D$1008,$I558-8)="","",INDEX('Fleet dates'!$D$9:$D$1008,$I558-8)))</x:f>
      </x:c>
      <x:c r="E558" s="51" t="str">
        <x:f>IF(550&gt;$H$4,"",IF(INDEX('Fleet dates'!$E$9:$E$1008,$I558-8)="","",INDEX('Fleet dates'!$E$9:$E$1008,$I558-8)))</x:f>
      </x:c>
      <x:c r="F558" s="51" t="str">
        <x:f>IF(550&gt;$H$4,"",IF(INDEX('Fleet dates'!$F$9:$F$1008,$I558-8)="","",INDEX('Fleet dates'!$F$9:$F$1008,$I558-8)))</x:f>
      </x:c>
      <x:c r="G558" s="50" t="str">
        <x:f>IF(550&gt;$H$4,"",IF(INDEX('Fleet dates'!$G$9:$G$1008,$I558-8)="","",INDEX('Fleet dates'!$G$9:$G$1008,$I558-8)))</x:f>
      </x:c>
      <x:c r="H558" s="50" t="str">
        <x:f>IF(550&gt;$H$4,"",IF(INDEX('Fleet dates'!$I$9:$I$1008,$I558-8)="","",INDEX('Fleet dates'!$I$9:$I$1008,$I558-8)))</x:f>
      </x:c>
      <x:c r="I558" t="str">
        <x:f>IF(550&gt;$H$4,"",MATCH(550,'Fleet dates'!$N$9:$N$1008,0)+8)</x:f>
      </x:c>
    </x:row>
    <x:row r="559" ht="36" customHeight="1">
      <x:c r="A559" s="50" t="str">
        <x:f>IF(551&gt;$H$4,"",IF(INDEX('Fleet dates'!$A$9:$A$1008,$I559-8)="","",INDEX('Fleet dates'!$A$9:$A$1008,$I559-8)))</x:f>
      </x:c>
      <x:c r="B559" s="50" t="str">
        <x:f>IF(551&gt;$H$4,"",IF(INDEX('Fleet dates'!$B$9:$B$1008,$I559-8)="","",INDEX('Fleet dates'!$B$9:$B$1008,$I559-8)))</x:f>
      </x:c>
      <x:c r="C559" s="51" t="str">
        <x:f>IF(551&gt;$H$4,"",IF(INDEX('Fleet dates'!$C$9:$C$1008,$I559-8)="","",INDEX('Fleet dates'!$C$9:$C$1008,$I559-8)))</x:f>
      </x:c>
      <x:c r="D559" s="51" t="str">
        <x:f>IF(551&gt;$H$4,"",IF(INDEX('Fleet dates'!$D$9:$D$1008,$I559-8)="","",INDEX('Fleet dates'!$D$9:$D$1008,$I559-8)))</x:f>
      </x:c>
      <x:c r="E559" s="51" t="str">
        <x:f>IF(551&gt;$H$4,"",IF(INDEX('Fleet dates'!$E$9:$E$1008,$I559-8)="","",INDEX('Fleet dates'!$E$9:$E$1008,$I559-8)))</x:f>
      </x:c>
      <x:c r="F559" s="51" t="str">
        <x:f>IF(551&gt;$H$4,"",IF(INDEX('Fleet dates'!$F$9:$F$1008,$I559-8)="","",INDEX('Fleet dates'!$F$9:$F$1008,$I559-8)))</x:f>
      </x:c>
      <x:c r="G559" s="50" t="str">
        <x:f>IF(551&gt;$H$4,"",IF(INDEX('Fleet dates'!$G$9:$G$1008,$I559-8)="","",INDEX('Fleet dates'!$G$9:$G$1008,$I559-8)))</x:f>
      </x:c>
      <x:c r="H559" s="50" t="str">
        <x:f>IF(551&gt;$H$4,"",IF(INDEX('Fleet dates'!$I$9:$I$1008,$I559-8)="","",INDEX('Fleet dates'!$I$9:$I$1008,$I559-8)))</x:f>
      </x:c>
      <x:c r="I559" t="str">
        <x:f>IF(551&gt;$H$4,"",MATCH(551,'Fleet dates'!$N$9:$N$1008,0)+8)</x:f>
      </x:c>
    </x:row>
    <x:row r="560" ht="36" customHeight="1">
      <x:c r="A560" s="50" t="str">
        <x:f>IF(552&gt;$H$4,"",IF(INDEX('Fleet dates'!$A$9:$A$1008,$I560-8)="","",INDEX('Fleet dates'!$A$9:$A$1008,$I560-8)))</x:f>
      </x:c>
      <x:c r="B560" s="50" t="str">
        <x:f>IF(552&gt;$H$4,"",IF(INDEX('Fleet dates'!$B$9:$B$1008,$I560-8)="","",INDEX('Fleet dates'!$B$9:$B$1008,$I560-8)))</x:f>
      </x:c>
      <x:c r="C560" s="51" t="str">
        <x:f>IF(552&gt;$H$4,"",IF(INDEX('Fleet dates'!$C$9:$C$1008,$I560-8)="","",INDEX('Fleet dates'!$C$9:$C$1008,$I560-8)))</x:f>
      </x:c>
      <x:c r="D560" s="51" t="str">
        <x:f>IF(552&gt;$H$4,"",IF(INDEX('Fleet dates'!$D$9:$D$1008,$I560-8)="","",INDEX('Fleet dates'!$D$9:$D$1008,$I560-8)))</x:f>
      </x:c>
      <x:c r="E560" s="51" t="str">
        <x:f>IF(552&gt;$H$4,"",IF(INDEX('Fleet dates'!$E$9:$E$1008,$I560-8)="","",INDEX('Fleet dates'!$E$9:$E$1008,$I560-8)))</x:f>
      </x:c>
      <x:c r="F560" s="51" t="str">
        <x:f>IF(552&gt;$H$4,"",IF(INDEX('Fleet dates'!$F$9:$F$1008,$I560-8)="","",INDEX('Fleet dates'!$F$9:$F$1008,$I560-8)))</x:f>
      </x:c>
      <x:c r="G560" s="50" t="str">
        <x:f>IF(552&gt;$H$4,"",IF(INDEX('Fleet dates'!$G$9:$G$1008,$I560-8)="","",INDEX('Fleet dates'!$G$9:$G$1008,$I560-8)))</x:f>
      </x:c>
      <x:c r="H560" s="50" t="str">
        <x:f>IF(552&gt;$H$4,"",IF(INDEX('Fleet dates'!$I$9:$I$1008,$I560-8)="","",INDEX('Fleet dates'!$I$9:$I$1008,$I560-8)))</x:f>
      </x:c>
      <x:c r="I560" t="str">
        <x:f>IF(552&gt;$H$4,"",MATCH(552,'Fleet dates'!$N$9:$N$1008,0)+8)</x:f>
      </x:c>
    </x:row>
    <x:row r="561" ht="36" customHeight="1">
      <x:c r="A561" s="50" t="str">
        <x:f>IF(553&gt;$H$4,"",IF(INDEX('Fleet dates'!$A$9:$A$1008,$I561-8)="","",INDEX('Fleet dates'!$A$9:$A$1008,$I561-8)))</x:f>
      </x:c>
      <x:c r="B561" s="50" t="str">
        <x:f>IF(553&gt;$H$4,"",IF(INDEX('Fleet dates'!$B$9:$B$1008,$I561-8)="","",INDEX('Fleet dates'!$B$9:$B$1008,$I561-8)))</x:f>
      </x:c>
      <x:c r="C561" s="51" t="str">
        <x:f>IF(553&gt;$H$4,"",IF(INDEX('Fleet dates'!$C$9:$C$1008,$I561-8)="","",INDEX('Fleet dates'!$C$9:$C$1008,$I561-8)))</x:f>
      </x:c>
      <x:c r="D561" s="51" t="str">
        <x:f>IF(553&gt;$H$4,"",IF(INDEX('Fleet dates'!$D$9:$D$1008,$I561-8)="","",INDEX('Fleet dates'!$D$9:$D$1008,$I561-8)))</x:f>
      </x:c>
      <x:c r="E561" s="51" t="str">
        <x:f>IF(553&gt;$H$4,"",IF(INDEX('Fleet dates'!$E$9:$E$1008,$I561-8)="","",INDEX('Fleet dates'!$E$9:$E$1008,$I561-8)))</x:f>
      </x:c>
      <x:c r="F561" s="51" t="str">
        <x:f>IF(553&gt;$H$4,"",IF(INDEX('Fleet dates'!$F$9:$F$1008,$I561-8)="","",INDEX('Fleet dates'!$F$9:$F$1008,$I561-8)))</x:f>
      </x:c>
      <x:c r="G561" s="50" t="str">
        <x:f>IF(553&gt;$H$4,"",IF(INDEX('Fleet dates'!$G$9:$G$1008,$I561-8)="","",INDEX('Fleet dates'!$G$9:$G$1008,$I561-8)))</x:f>
      </x:c>
      <x:c r="H561" s="50" t="str">
        <x:f>IF(553&gt;$H$4,"",IF(INDEX('Fleet dates'!$I$9:$I$1008,$I561-8)="","",INDEX('Fleet dates'!$I$9:$I$1008,$I561-8)))</x:f>
      </x:c>
      <x:c r="I561" t="str">
        <x:f>IF(553&gt;$H$4,"",MATCH(553,'Fleet dates'!$N$9:$N$1008,0)+8)</x:f>
      </x:c>
    </x:row>
    <x:row r="562" ht="36" customHeight="1">
      <x:c r="A562" s="50" t="str">
        <x:f>IF(554&gt;$H$4,"",IF(INDEX('Fleet dates'!$A$9:$A$1008,$I562-8)="","",INDEX('Fleet dates'!$A$9:$A$1008,$I562-8)))</x:f>
      </x:c>
      <x:c r="B562" s="50" t="str">
        <x:f>IF(554&gt;$H$4,"",IF(INDEX('Fleet dates'!$B$9:$B$1008,$I562-8)="","",INDEX('Fleet dates'!$B$9:$B$1008,$I562-8)))</x:f>
      </x:c>
      <x:c r="C562" s="51" t="str">
        <x:f>IF(554&gt;$H$4,"",IF(INDEX('Fleet dates'!$C$9:$C$1008,$I562-8)="","",INDEX('Fleet dates'!$C$9:$C$1008,$I562-8)))</x:f>
      </x:c>
      <x:c r="D562" s="51" t="str">
        <x:f>IF(554&gt;$H$4,"",IF(INDEX('Fleet dates'!$D$9:$D$1008,$I562-8)="","",INDEX('Fleet dates'!$D$9:$D$1008,$I562-8)))</x:f>
      </x:c>
      <x:c r="E562" s="51" t="str">
        <x:f>IF(554&gt;$H$4,"",IF(INDEX('Fleet dates'!$E$9:$E$1008,$I562-8)="","",INDEX('Fleet dates'!$E$9:$E$1008,$I562-8)))</x:f>
      </x:c>
      <x:c r="F562" s="51" t="str">
        <x:f>IF(554&gt;$H$4,"",IF(INDEX('Fleet dates'!$F$9:$F$1008,$I562-8)="","",INDEX('Fleet dates'!$F$9:$F$1008,$I562-8)))</x:f>
      </x:c>
      <x:c r="G562" s="50" t="str">
        <x:f>IF(554&gt;$H$4,"",IF(INDEX('Fleet dates'!$G$9:$G$1008,$I562-8)="","",INDEX('Fleet dates'!$G$9:$G$1008,$I562-8)))</x:f>
      </x:c>
      <x:c r="H562" s="50" t="str">
        <x:f>IF(554&gt;$H$4,"",IF(INDEX('Fleet dates'!$I$9:$I$1008,$I562-8)="","",INDEX('Fleet dates'!$I$9:$I$1008,$I562-8)))</x:f>
      </x:c>
      <x:c r="I562" t="str">
        <x:f>IF(554&gt;$H$4,"",MATCH(554,'Fleet dates'!$N$9:$N$1008,0)+8)</x:f>
      </x:c>
    </x:row>
    <x:row r="563" ht="36" customHeight="1">
      <x:c r="A563" s="50" t="str">
        <x:f>IF(555&gt;$H$4,"",IF(INDEX('Fleet dates'!$A$9:$A$1008,$I563-8)="","",INDEX('Fleet dates'!$A$9:$A$1008,$I563-8)))</x:f>
      </x:c>
      <x:c r="B563" s="50" t="str">
        <x:f>IF(555&gt;$H$4,"",IF(INDEX('Fleet dates'!$B$9:$B$1008,$I563-8)="","",INDEX('Fleet dates'!$B$9:$B$1008,$I563-8)))</x:f>
      </x:c>
      <x:c r="C563" s="51" t="str">
        <x:f>IF(555&gt;$H$4,"",IF(INDEX('Fleet dates'!$C$9:$C$1008,$I563-8)="","",INDEX('Fleet dates'!$C$9:$C$1008,$I563-8)))</x:f>
      </x:c>
      <x:c r="D563" s="51" t="str">
        <x:f>IF(555&gt;$H$4,"",IF(INDEX('Fleet dates'!$D$9:$D$1008,$I563-8)="","",INDEX('Fleet dates'!$D$9:$D$1008,$I563-8)))</x:f>
      </x:c>
      <x:c r="E563" s="51" t="str">
        <x:f>IF(555&gt;$H$4,"",IF(INDEX('Fleet dates'!$E$9:$E$1008,$I563-8)="","",INDEX('Fleet dates'!$E$9:$E$1008,$I563-8)))</x:f>
      </x:c>
      <x:c r="F563" s="51" t="str">
        <x:f>IF(555&gt;$H$4,"",IF(INDEX('Fleet dates'!$F$9:$F$1008,$I563-8)="","",INDEX('Fleet dates'!$F$9:$F$1008,$I563-8)))</x:f>
      </x:c>
      <x:c r="G563" s="50" t="str">
        <x:f>IF(555&gt;$H$4,"",IF(INDEX('Fleet dates'!$G$9:$G$1008,$I563-8)="","",INDEX('Fleet dates'!$G$9:$G$1008,$I563-8)))</x:f>
      </x:c>
      <x:c r="H563" s="50" t="str">
        <x:f>IF(555&gt;$H$4,"",IF(INDEX('Fleet dates'!$I$9:$I$1008,$I563-8)="","",INDEX('Fleet dates'!$I$9:$I$1008,$I563-8)))</x:f>
      </x:c>
      <x:c r="I563" t="str">
        <x:f>IF(555&gt;$H$4,"",MATCH(555,'Fleet dates'!$N$9:$N$1008,0)+8)</x:f>
      </x:c>
    </x:row>
    <x:row r="564" ht="36" customHeight="1">
      <x:c r="A564" s="50" t="str">
        <x:f>IF(556&gt;$H$4,"",IF(INDEX('Fleet dates'!$A$9:$A$1008,$I564-8)="","",INDEX('Fleet dates'!$A$9:$A$1008,$I564-8)))</x:f>
      </x:c>
      <x:c r="B564" s="50" t="str">
        <x:f>IF(556&gt;$H$4,"",IF(INDEX('Fleet dates'!$B$9:$B$1008,$I564-8)="","",INDEX('Fleet dates'!$B$9:$B$1008,$I564-8)))</x:f>
      </x:c>
      <x:c r="C564" s="51" t="str">
        <x:f>IF(556&gt;$H$4,"",IF(INDEX('Fleet dates'!$C$9:$C$1008,$I564-8)="","",INDEX('Fleet dates'!$C$9:$C$1008,$I564-8)))</x:f>
      </x:c>
      <x:c r="D564" s="51" t="str">
        <x:f>IF(556&gt;$H$4,"",IF(INDEX('Fleet dates'!$D$9:$D$1008,$I564-8)="","",INDEX('Fleet dates'!$D$9:$D$1008,$I564-8)))</x:f>
      </x:c>
      <x:c r="E564" s="51" t="str">
        <x:f>IF(556&gt;$H$4,"",IF(INDEX('Fleet dates'!$E$9:$E$1008,$I564-8)="","",INDEX('Fleet dates'!$E$9:$E$1008,$I564-8)))</x:f>
      </x:c>
      <x:c r="F564" s="51" t="str">
        <x:f>IF(556&gt;$H$4,"",IF(INDEX('Fleet dates'!$F$9:$F$1008,$I564-8)="","",INDEX('Fleet dates'!$F$9:$F$1008,$I564-8)))</x:f>
      </x:c>
      <x:c r="G564" s="50" t="str">
        <x:f>IF(556&gt;$H$4,"",IF(INDEX('Fleet dates'!$G$9:$G$1008,$I564-8)="","",INDEX('Fleet dates'!$G$9:$G$1008,$I564-8)))</x:f>
      </x:c>
      <x:c r="H564" s="50" t="str">
        <x:f>IF(556&gt;$H$4,"",IF(INDEX('Fleet dates'!$I$9:$I$1008,$I564-8)="","",INDEX('Fleet dates'!$I$9:$I$1008,$I564-8)))</x:f>
      </x:c>
      <x:c r="I564" t="str">
        <x:f>IF(556&gt;$H$4,"",MATCH(556,'Fleet dates'!$N$9:$N$1008,0)+8)</x:f>
      </x:c>
    </x:row>
    <x:row r="565" ht="36" customHeight="1">
      <x:c r="A565" s="50" t="str">
        <x:f>IF(557&gt;$H$4,"",IF(INDEX('Fleet dates'!$A$9:$A$1008,$I565-8)="","",INDEX('Fleet dates'!$A$9:$A$1008,$I565-8)))</x:f>
      </x:c>
      <x:c r="B565" s="50" t="str">
        <x:f>IF(557&gt;$H$4,"",IF(INDEX('Fleet dates'!$B$9:$B$1008,$I565-8)="","",INDEX('Fleet dates'!$B$9:$B$1008,$I565-8)))</x:f>
      </x:c>
      <x:c r="C565" s="51" t="str">
        <x:f>IF(557&gt;$H$4,"",IF(INDEX('Fleet dates'!$C$9:$C$1008,$I565-8)="","",INDEX('Fleet dates'!$C$9:$C$1008,$I565-8)))</x:f>
      </x:c>
      <x:c r="D565" s="51" t="str">
        <x:f>IF(557&gt;$H$4,"",IF(INDEX('Fleet dates'!$D$9:$D$1008,$I565-8)="","",INDEX('Fleet dates'!$D$9:$D$1008,$I565-8)))</x:f>
      </x:c>
      <x:c r="E565" s="51" t="str">
        <x:f>IF(557&gt;$H$4,"",IF(INDEX('Fleet dates'!$E$9:$E$1008,$I565-8)="","",INDEX('Fleet dates'!$E$9:$E$1008,$I565-8)))</x:f>
      </x:c>
      <x:c r="F565" s="51" t="str">
        <x:f>IF(557&gt;$H$4,"",IF(INDEX('Fleet dates'!$F$9:$F$1008,$I565-8)="","",INDEX('Fleet dates'!$F$9:$F$1008,$I565-8)))</x:f>
      </x:c>
      <x:c r="G565" s="50" t="str">
        <x:f>IF(557&gt;$H$4,"",IF(INDEX('Fleet dates'!$G$9:$G$1008,$I565-8)="","",INDEX('Fleet dates'!$G$9:$G$1008,$I565-8)))</x:f>
      </x:c>
      <x:c r="H565" s="50" t="str">
        <x:f>IF(557&gt;$H$4,"",IF(INDEX('Fleet dates'!$I$9:$I$1008,$I565-8)="","",INDEX('Fleet dates'!$I$9:$I$1008,$I565-8)))</x:f>
      </x:c>
      <x:c r="I565" t="str">
        <x:f>IF(557&gt;$H$4,"",MATCH(557,'Fleet dates'!$N$9:$N$1008,0)+8)</x:f>
      </x:c>
    </x:row>
    <x:row r="566" ht="36" customHeight="1">
      <x:c r="A566" s="50" t="str">
        <x:f>IF(558&gt;$H$4,"",IF(INDEX('Fleet dates'!$A$9:$A$1008,$I566-8)="","",INDEX('Fleet dates'!$A$9:$A$1008,$I566-8)))</x:f>
      </x:c>
      <x:c r="B566" s="50" t="str">
        <x:f>IF(558&gt;$H$4,"",IF(INDEX('Fleet dates'!$B$9:$B$1008,$I566-8)="","",INDEX('Fleet dates'!$B$9:$B$1008,$I566-8)))</x:f>
      </x:c>
      <x:c r="C566" s="51" t="str">
        <x:f>IF(558&gt;$H$4,"",IF(INDEX('Fleet dates'!$C$9:$C$1008,$I566-8)="","",INDEX('Fleet dates'!$C$9:$C$1008,$I566-8)))</x:f>
      </x:c>
      <x:c r="D566" s="51" t="str">
        <x:f>IF(558&gt;$H$4,"",IF(INDEX('Fleet dates'!$D$9:$D$1008,$I566-8)="","",INDEX('Fleet dates'!$D$9:$D$1008,$I566-8)))</x:f>
      </x:c>
      <x:c r="E566" s="51" t="str">
        <x:f>IF(558&gt;$H$4,"",IF(INDEX('Fleet dates'!$E$9:$E$1008,$I566-8)="","",INDEX('Fleet dates'!$E$9:$E$1008,$I566-8)))</x:f>
      </x:c>
      <x:c r="F566" s="51" t="str">
        <x:f>IF(558&gt;$H$4,"",IF(INDEX('Fleet dates'!$F$9:$F$1008,$I566-8)="","",INDEX('Fleet dates'!$F$9:$F$1008,$I566-8)))</x:f>
      </x:c>
      <x:c r="G566" s="50" t="str">
        <x:f>IF(558&gt;$H$4,"",IF(INDEX('Fleet dates'!$G$9:$G$1008,$I566-8)="","",INDEX('Fleet dates'!$G$9:$G$1008,$I566-8)))</x:f>
      </x:c>
      <x:c r="H566" s="50" t="str">
        <x:f>IF(558&gt;$H$4,"",IF(INDEX('Fleet dates'!$I$9:$I$1008,$I566-8)="","",INDEX('Fleet dates'!$I$9:$I$1008,$I566-8)))</x:f>
      </x:c>
      <x:c r="I566" t="str">
        <x:f>IF(558&gt;$H$4,"",MATCH(558,'Fleet dates'!$N$9:$N$1008,0)+8)</x:f>
      </x:c>
    </x:row>
    <x:row r="567" ht="36" customHeight="1">
      <x:c r="A567" s="50" t="str">
        <x:f>IF(559&gt;$H$4,"",IF(INDEX('Fleet dates'!$A$9:$A$1008,$I567-8)="","",INDEX('Fleet dates'!$A$9:$A$1008,$I567-8)))</x:f>
      </x:c>
      <x:c r="B567" s="50" t="str">
        <x:f>IF(559&gt;$H$4,"",IF(INDEX('Fleet dates'!$B$9:$B$1008,$I567-8)="","",INDEX('Fleet dates'!$B$9:$B$1008,$I567-8)))</x:f>
      </x:c>
      <x:c r="C567" s="51" t="str">
        <x:f>IF(559&gt;$H$4,"",IF(INDEX('Fleet dates'!$C$9:$C$1008,$I567-8)="","",INDEX('Fleet dates'!$C$9:$C$1008,$I567-8)))</x:f>
      </x:c>
      <x:c r="D567" s="51" t="str">
        <x:f>IF(559&gt;$H$4,"",IF(INDEX('Fleet dates'!$D$9:$D$1008,$I567-8)="","",INDEX('Fleet dates'!$D$9:$D$1008,$I567-8)))</x:f>
      </x:c>
      <x:c r="E567" s="51" t="str">
        <x:f>IF(559&gt;$H$4,"",IF(INDEX('Fleet dates'!$E$9:$E$1008,$I567-8)="","",INDEX('Fleet dates'!$E$9:$E$1008,$I567-8)))</x:f>
      </x:c>
      <x:c r="F567" s="51" t="str">
        <x:f>IF(559&gt;$H$4,"",IF(INDEX('Fleet dates'!$F$9:$F$1008,$I567-8)="","",INDEX('Fleet dates'!$F$9:$F$1008,$I567-8)))</x:f>
      </x:c>
      <x:c r="G567" s="50" t="str">
        <x:f>IF(559&gt;$H$4,"",IF(INDEX('Fleet dates'!$G$9:$G$1008,$I567-8)="","",INDEX('Fleet dates'!$G$9:$G$1008,$I567-8)))</x:f>
      </x:c>
      <x:c r="H567" s="50" t="str">
        <x:f>IF(559&gt;$H$4,"",IF(INDEX('Fleet dates'!$I$9:$I$1008,$I567-8)="","",INDEX('Fleet dates'!$I$9:$I$1008,$I567-8)))</x:f>
      </x:c>
      <x:c r="I567" t="str">
        <x:f>IF(559&gt;$H$4,"",MATCH(559,'Fleet dates'!$N$9:$N$1008,0)+8)</x:f>
      </x:c>
    </x:row>
    <x:row r="568" ht="36" customHeight="1">
      <x:c r="A568" s="50" t="str">
        <x:f>IF(560&gt;$H$4,"",IF(INDEX('Fleet dates'!$A$9:$A$1008,$I568-8)="","",INDEX('Fleet dates'!$A$9:$A$1008,$I568-8)))</x:f>
      </x:c>
      <x:c r="B568" s="50" t="str">
        <x:f>IF(560&gt;$H$4,"",IF(INDEX('Fleet dates'!$B$9:$B$1008,$I568-8)="","",INDEX('Fleet dates'!$B$9:$B$1008,$I568-8)))</x:f>
      </x:c>
      <x:c r="C568" s="51" t="str">
        <x:f>IF(560&gt;$H$4,"",IF(INDEX('Fleet dates'!$C$9:$C$1008,$I568-8)="","",INDEX('Fleet dates'!$C$9:$C$1008,$I568-8)))</x:f>
      </x:c>
      <x:c r="D568" s="51" t="str">
        <x:f>IF(560&gt;$H$4,"",IF(INDEX('Fleet dates'!$D$9:$D$1008,$I568-8)="","",INDEX('Fleet dates'!$D$9:$D$1008,$I568-8)))</x:f>
      </x:c>
      <x:c r="E568" s="51" t="str">
        <x:f>IF(560&gt;$H$4,"",IF(INDEX('Fleet dates'!$E$9:$E$1008,$I568-8)="","",INDEX('Fleet dates'!$E$9:$E$1008,$I568-8)))</x:f>
      </x:c>
      <x:c r="F568" s="51" t="str">
        <x:f>IF(560&gt;$H$4,"",IF(INDEX('Fleet dates'!$F$9:$F$1008,$I568-8)="","",INDEX('Fleet dates'!$F$9:$F$1008,$I568-8)))</x:f>
      </x:c>
      <x:c r="G568" s="50" t="str">
        <x:f>IF(560&gt;$H$4,"",IF(INDEX('Fleet dates'!$G$9:$G$1008,$I568-8)="","",INDEX('Fleet dates'!$G$9:$G$1008,$I568-8)))</x:f>
      </x:c>
      <x:c r="H568" s="50" t="str">
        <x:f>IF(560&gt;$H$4,"",IF(INDEX('Fleet dates'!$I$9:$I$1008,$I568-8)="","",INDEX('Fleet dates'!$I$9:$I$1008,$I568-8)))</x:f>
      </x:c>
      <x:c r="I568" t="str">
        <x:f>IF(560&gt;$H$4,"",MATCH(560,'Fleet dates'!$N$9:$N$1008,0)+8)</x:f>
      </x:c>
    </x:row>
    <x:row r="569" ht="36" customHeight="1">
      <x:c r="A569" s="50" t="str">
        <x:f>IF(561&gt;$H$4,"",IF(INDEX('Fleet dates'!$A$9:$A$1008,$I569-8)="","",INDEX('Fleet dates'!$A$9:$A$1008,$I569-8)))</x:f>
      </x:c>
      <x:c r="B569" s="50" t="str">
        <x:f>IF(561&gt;$H$4,"",IF(INDEX('Fleet dates'!$B$9:$B$1008,$I569-8)="","",INDEX('Fleet dates'!$B$9:$B$1008,$I569-8)))</x:f>
      </x:c>
      <x:c r="C569" s="51" t="str">
        <x:f>IF(561&gt;$H$4,"",IF(INDEX('Fleet dates'!$C$9:$C$1008,$I569-8)="","",INDEX('Fleet dates'!$C$9:$C$1008,$I569-8)))</x:f>
      </x:c>
      <x:c r="D569" s="51" t="str">
        <x:f>IF(561&gt;$H$4,"",IF(INDEX('Fleet dates'!$D$9:$D$1008,$I569-8)="","",INDEX('Fleet dates'!$D$9:$D$1008,$I569-8)))</x:f>
      </x:c>
      <x:c r="E569" s="51" t="str">
        <x:f>IF(561&gt;$H$4,"",IF(INDEX('Fleet dates'!$E$9:$E$1008,$I569-8)="","",INDEX('Fleet dates'!$E$9:$E$1008,$I569-8)))</x:f>
      </x:c>
      <x:c r="F569" s="51" t="str">
        <x:f>IF(561&gt;$H$4,"",IF(INDEX('Fleet dates'!$F$9:$F$1008,$I569-8)="","",INDEX('Fleet dates'!$F$9:$F$1008,$I569-8)))</x:f>
      </x:c>
      <x:c r="G569" s="50" t="str">
        <x:f>IF(561&gt;$H$4,"",IF(INDEX('Fleet dates'!$G$9:$G$1008,$I569-8)="","",INDEX('Fleet dates'!$G$9:$G$1008,$I569-8)))</x:f>
      </x:c>
      <x:c r="H569" s="50" t="str">
        <x:f>IF(561&gt;$H$4,"",IF(INDEX('Fleet dates'!$I$9:$I$1008,$I569-8)="","",INDEX('Fleet dates'!$I$9:$I$1008,$I569-8)))</x:f>
      </x:c>
      <x:c r="I569" t="str">
        <x:f>IF(561&gt;$H$4,"",MATCH(561,'Fleet dates'!$N$9:$N$1008,0)+8)</x:f>
      </x:c>
    </x:row>
    <x:row r="570" ht="36" customHeight="1">
      <x:c r="A570" s="50" t="str">
        <x:f>IF(562&gt;$H$4,"",IF(INDEX('Fleet dates'!$A$9:$A$1008,$I570-8)="","",INDEX('Fleet dates'!$A$9:$A$1008,$I570-8)))</x:f>
      </x:c>
      <x:c r="B570" s="50" t="str">
        <x:f>IF(562&gt;$H$4,"",IF(INDEX('Fleet dates'!$B$9:$B$1008,$I570-8)="","",INDEX('Fleet dates'!$B$9:$B$1008,$I570-8)))</x:f>
      </x:c>
      <x:c r="C570" s="51" t="str">
        <x:f>IF(562&gt;$H$4,"",IF(INDEX('Fleet dates'!$C$9:$C$1008,$I570-8)="","",INDEX('Fleet dates'!$C$9:$C$1008,$I570-8)))</x:f>
      </x:c>
      <x:c r="D570" s="51" t="str">
        <x:f>IF(562&gt;$H$4,"",IF(INDEX('Fleet dates'!$D$9:$D$1008,$I570-8)="","",INDEX('Fleet dates'!$D$9:$D$1008,$I570-8)))</x:f>
      </x:c>
      <x:c r="E570" s="51" t="str">
        <x:f>IF(562&gt;$H$4,"",IF(INDEX('Fleet dates'!$E$9:$E$1008,$I570-8)="","",INDEX('Fleet dates'!$E$9:$E$1008,$I570-8)))</x:f>
      </x:c>
      <x:c r="F570" s="51" t="str">
        <x:f>IF(562&gt;$H$4,"",IF(INDEX('Fleet dates'!$F$9:$F$1008,$I570-8)="","",INDEX('Fleet dates'!$F$9:$F$1008,$I570-8)))</x:f>
      </x:c>
      <x:c r="G570" s="50" t="str">
        <x:f>IF(562&gt;$H$4,"",IF(INDEX('Fleet dates'!$G$9:$G$1008,$I570-8)="","",INDEX('Fleet dates'!$G$9:$G$1008,$I570-8)))</x:f>
      </x:c>
      <x:c r="H570" s="50" t="str">
        <x:f>IF(562&gt;$H$4,"",IF(INDEX('Fleet dates'!$I$9:$I$1008,$I570-8)="","",INDEX('Fleet dates'!$I$9:$I$1008,$I570-8)))</x:f>
      </x:c>
      <x:c r="I570" t="str">
        <x:f>IF(562&gt;$H$4,"",MATCH(562,'Fleet dates'!$N$9:$N$1008,0)+8)</x:f>
      </x:c>
    </x:row>
    <x:row r="571" ht="36" customHeight="1">
      <x:c r="A571" s="50" t="str">
        <x:f>IF(563&gt;$H$4,"",IF(INDEX('Fleet dates'!$A$9:$A$1008,$I571-8)="","",INDEX('Fleet dates'!$A$9:$A$1008,$I571-8)))</x:f>
      </x:c>
      <x:c r="B571" s="50" t="str">
        <x:f>IF(563&gt;$H$4,"",IF(INDEX('Fleet dates'!$B$9:$B$1008,$I571-8)="","",INDEX('Fleet dates'!$B$9:$B$1008,$I571-8)))</x:f>
      </x:c>
      <x:c r="C571" s="51" t="str">
        <x:f>IF(563&gt;$H$4,"",IF(INDEX('Fleet dates'!$C$9:$C$1008,$I571-8)="","",INDEX('Fleet dates'!$C$9:$C$1008,$I571-8)))</x:f>
      </x:c>
      <x:c r="D571" s="51" t="str">
        <x:f>IF(563&gt;$H$4,"",IF(INDEX('Fleet dates'!$D$9:$D$1008,$I571-8)="","",INDEX('Fleet dates'!$D$9:$D$1008,$I571-8)))</x:f>
      </x:c>
      <x:c r="E571" s="51" t="str">
        <x:f>IF(563&gt;$H$4,"",IF(INDEX('Fleet dates'!$E$9:$E$1008,$I571-8)="","",INDEX('Fleet dates'!$E$9:$E$1008,$I571-8)))</x:f>
      </x:c>
      <x:c r="F571" s="51" t="str">
        <x:f>IF(563&gt;$H$4,"",IF(INDEX('Fleet dates'!$F$9:$F$1008,$I571-8)="","",INDEX('Fleet dates'!$F$9:$F$1008,$I571-8)))</x:f>
      </x:c>
      <x:c r="G571" s="50" t="str">
        <x:f>IF(563&gt;$H$4,"",IF(INDEX('Fleet dates'!$G$9:$G$1008,$I571-8)="","",INDEX('Fleet dates'!$G$9:$G$1008,$I571-8)))</x:f>
      </x:c>
      <x:c r="H571" s="50" t="str">
        <x:f>IF(563&gt;$H$4,"",IF(INDEX('Fleet dates'!$I$9:$I$1008,$I571-8)="","",INDEX('Fleet dates'!$I$9:$I$1008,$I571-8)))</x:f>
      </x:c>
      <x:c r="I571" t="str">
        <x:f>IF(563&gt;$H$4,"",MATCH(563,'Fleet dates'!$N$9:$N$1008,0)+8)</x:f>
      </x:c>
    </x:row>
    <x:row r="572" ht="36" customHeight="1">
      <x:c r="A572" s="50" t="str">
        <x:f>IF(564&gt;$H$4,"",IF(INDEX('Fleet dates'!$A$9:$A$1008,$I572-8)="","",INDEX('Fleet dates'!$A$9:$A$1008,$I572-8)))</x:f>
      </x:c>
      <x:c r="B572" s="50" t="str">
        <x:f>IF(564&gt;$H$4,"",IF(INDEX('Fleet dates'!$B$9:$B$1008,$I572-8)="","",INDEX('Fleet dates'!$B$9:$B$1008,$I572-8)))</x:f>
      </x:c>
      <x:c r="C572" s="51" t="str">
        <x:f>IF(564&gt;$H$4,"",IF(INDEX('Fleet dates'!$C$9:$C$1008,$I572-8)="","",INDEX('Fleet dates'!$C$9:$C$1008,$I572-8)))</x:f>
      </x:c>
      <x:c r="D572" s="51" t="str">
        <x:f>IF(564&gt;$H$4,"",IF(INDEX('Fleet dates'!$D$9:$D$1008,$I572-8)="","",INDEX('Fleet dates'!$D$9:$D$1008,$I572-8)))</x:f>
      </x:c>
      <x:c r="E572" s="51" t="str">
        <x:f>IF(564&gt;$H$4,"",IF(INDEX('Fleet dates'!$E$9:$E$1008,$I572-8)="","",INDEX('Fleet dates'!$E$9:$E$1008,$I572-8)))</x:f>
      </x:c>
      <x:c r="F572" s="51" t="str">
        <x:f>IF(564&gt;$H$4,"",IF(INDEX('Fleet dates'!$F$9:$F$1008,$I572-8)="","",INDEX('Fleet dates'!$F$9:$F$1008,$I572-8)))</x:f>
      </x:c>
      <x:c r="G572" s="50" t="str">
        <x:f>IF(564&gt;$H$4,"",IF(INDEX('Fleet dates'!$G$9:$G$1008,$I572-8)="","",INDEX('Fleet dates'!$G$9:$G$1008,$I572-8)))</x:f>
      </x:c>
      <x:c r="H572" s="50" t="str">
        <x:f>IF(564&gt;$H$4,"",IF(INDEX('Fleet dates'!$I$9:$I$1008,$I572-8)="","",INDEX('Fleet dates'!$I$9:$I$1008,$I572-8)))</x:f>
      </x:c>
      <x:c r="I572" t="str">
        <x:f>IF(564&gt;$H$4,"",MATCH(564,'Fleet dates'!$N$9:$N$1008,0)+8)</x:f>
      </x:c>
    </x:row>
    <x:row r="573" ht="36" customHeight="1">
      <x:c r="A573" s="50" t="str">
        <x:f>IF(565&gt;$H$4,"",IF(INDEX('Fleet dates'!$A$9:$A$1008,$I573-8)="","",INDEX('Fleet dates'!$A$9:$A$1008,$I573-8)))</x:f>
      </x:c>
      <x:c r="B573" s="50" t="str">
        <x:f>IF(565&gt;$H$4,"",IF(INDEX('Fleet dates'!$B$9:$B$1008,$I573-8)="","",INDEX('Fleet dates'!$B$9:$B$1008,$I573-8)))</x:f>
      </x:c>
      <x:c r="C573" s="51" t="str">
        <x:f>IF(565&gt;$H$4,"",IF(INDEX('Fleet dates'!$C$9:$C$1008,$I573-8)="","",INDEX('Fleet dates'!$C$9:$C$1008,$I573-8)))</x:f>
      </x:c>
      <x:c r="D573" s="51" t="str">
        <x:f>IF(565&gt;$H$4,"",IF(INDEX('Fleet dates'!$D$9:$D$1008,$I573-8)="","",INDEX('Fleet dates'!$D$9:$D$1008,$I573-8)))</x:f>
      </x:c>
      <x:c r="E573" s="51" t="str">
        <x:f>IF(565&gt;$H$4,"",IF(INDEX('Fleet dates'!$E$9:$E$1008,$I573-8)="","",INDEX('Fleet dates'!$E$9:$E$1008,$I573-8)))</x:f>
      </x:c>
      <x:c r="F573" s="51" t="str">
        <x:f>IF(565&gt;$H$4,"",IF(INDEX('Fleet dates'!$F$9:$F$1008,$I573-8)="","",INDEX('Fleet dates'!$F$9:$F$1008,$I573-8)))</x:f>
      </x:c>
      <x:c r="G573" s="50" t="str">
        <x:f>IF(565&gt;$H$4,"",IF(INDEX('Fleet dates'!$G$9:$G$1008,$I573-8)="","",INDEX('Fleet dates'!$G$9:$G$1008,$I573-8)))</x:f>
      </x:c>
      <x:c r="H573" s="50" t="str">
        <x:f>IF(565&gt;$H$4,"",IF(INDEX('Fleet dates'!$I$9:$I$1008,$I573-8)="","",INDEX('Fleet dates'!$I$9:$I$1008,$I573-8)))</x:f>
      </x:c>
      <x:c r="I573" t="str">
        <x:f>IF(565&gt;$H$4,"",MATCH(565,'Fleet dates'!$N$9:$N$1008,0)+8)</x:f>
      </x:c>
    </x:row>
    <x:row r="574" ht="36" customHeight="1">
      <x:c r="A574" s="50" t="str">
        <x:f>IF(566&gt;$H$4,"",IF(INDEX('Fleet dates'!$A$9:$A$1008,$I574-8)="","",INDEX('Fleet dates'!$A$9:$A$1008,$I574-8)))</x:f>
      </x:c>
      <x:c r="B574" s="50" t="str">
        <x:f>IF(566&gt;$H$4,"",IF(INDEX('Fleet dates'!$B$9:$B$1008,$I574-8)="","",INDEX('Fleet dates'!$B$9:$B$1008,$I574-8)))</x:f>
      </x:c>
      <x:c r="C574" s="51" t="str">
        <x:f>IF(566&gt;$H$4,"",IF(INDEX('Fleet dates'!$C$9:$C$1008,$I574-8)="","",INDEX('Fleet dates'!$C$9:$C$1008,$I574-8)))</x:f>
      </x:c>
      <x:c r="D574" s="51" t="str">
        <x:f>IF(566&gt;$H$4,"",IF(INDEX('Fleet dates'!$D$9:$D$1008,$I574-8)="","",INDEX('Fleet dates'!$D$9:$D$1008,$I574-8)))</x:f>
      </x:c>
      <x:c r="E574" s="51" t="str">
        <x:f>IF(566&gt;$H$4,"",IF(INDEX('Fleet dates'!$E$9:$E$1008,$I574-8)="","",INDEX('Fleet dates'!$E$9:$E$1008,$I574-8)))</x:f>
      </x:c>
      <x:c r="F574" s="51" t="str">
        <x:f>IF(566&gt;$H$4,"",IF(INDEX('Fleet dates'!$F$9:$F$1008,$I574-8)="","",INDEX('Fleet dates'!$F$9:$F$1008,$I574-8)))</x:f>
      </x:c>
      <x:c r="G574" s="50" t="str">
        <x:f>IF(566&gt;$H$4,"",IF(INDEX('Fleet dates'!$G$9:$G$1008,$I574-8)="","",INDEX('Fleet dates'!$G$9:$G$1008,$I574-8)))</x:f>
      </x:c>
      <x:c r="H574" s="50" t="str">
        <x:f>IF(566&gt;$H$4,"",IF(INDEX('Fleet dates'!$I$9:$I$1008,$I574-8)="","",INDEX('Fleet dates'!$I$9:$I$1008,$I574-8)))</x:f>
      </x:c>
      <x:c r="I574" t="str">
        <x:f>IF(566&gt;$H$4,"",MATCH(566,'Fleet dates'!$N$9:$N$1008,0)+8)</x:f>
      </x:c>
    </x:row>
    <x:row r="575" ht="36" customHeight="1">
      <x:c r="A575" s="50" t="str">
        <x:f>IF(567&gt;$H$4,"",IF(INDEX('Fleet dates'!$A$9:$A$1008,$I575-8)="","",INDEX('Fleet dates'!$A$9:$A$1008,$I575-8)))</x:f>
      </x:c>
      <x:c r="B575" s="50" t="str">
        <x:f>IF(567&gt;$H$4,"",IF(INDEX('Fleet dates'!$B$9:$B$1008,$I575-8)="","",INDEX('Fleet dates'!$B$9:$B$1008,$I575-8)))</x:f>
      </x:c>
      <x:c r="C575" s="51" t="str">
        <x:f>IF(567&gt;$H$4,"",IF(INDEX('Fleet dates'!$C$9:$C$1008,$I575-8)="","",INDEX('Fleet dates'!$C$9:$C$1008,$I575-8)))</x:f>
      </x:c>
      <x:c r="D575" s="51" t="str">
        <x:f>IF(567&gt;$H$4,"",IF(INDEX('Fleet dates'!$D$9:$D$1008,$I575-8)="","",INDEX('Fleet dates'!$D$9:$D$1008,$I575-8)))</x:f>
      </x:c>
      <x:c r="E575" s="51" t="str">
        <x:f>IF(567&gt;$H$4,"",IF(INDEX('Fleet dates'!$E$9:$E$1008,$I575-8)="","",INDEX('Fleet dates'!$E$9:$E$1008,$I575-8)))</x:f>
      </x:c>
      <x:c r="F575" s="51" t="str">
        <x:f>IF(567&gt;$H$4,"",IF(INDEX('Fleet dates'!$F$9:$F$1008,$I575-8)="","",INDEX('Fleet dates'!$F$9:$F$1008,$I575-8)))</x:f>
      </x:c>
      <x:c r="G575" s="50" t="str">
        <x:f>IF(567&gt;$H$4,"",IF(INDEX('Fleet dates'!$G$9:$G$1008,$I575-8)="","",INDEX('Fleet dates'!$G$9:$G$1008,$I575-8)))</x:f>
      </x:c>
      <x:c r="H575" s="50" t="str">
        <x:f>IF(567&gt;$H$4,"",IF(INDEX('Fleet dates'!$I$9:$I$1008,$I575-8)="","",INDEX('Fleet dates'!$I$9:$I$1008,$I575-8)))</x:f>
      </x:c>
      <x:c r="I575" t="str">
        <x:f>IF(567&gt;$H$4,"",MATCH(567,'Fleet dates'!$N$9:$N$1008,0)+8)</x:f>
      </x:c>
    </x:row>
    <x:row r="576" ht="36" customHeight="1">
      <x:c r="A576" s="50" t="str">
        <x:f>IF(568&gt;$H$4,"",IF(INDEX('Fleet dates'!$A$9:$A$1008,$I576-8)="","",INDEX('Fleet dates'!$A$9:$A$1008,$I576-8)))</x:f>
      </x:c>
      <x:c r="B576" s="50" t="str">
        <x:f>IF(568&gt;$H$4,"",IF(INDEX('Fleet dates'!$B$9:$B$1008,$I576-8)="","",INDEX('Fleet dates'!$B$9:$B$1008,$I576-8)))</x:f>
      </x:c>
      <x:c r="C576" s="51" t="str">
        <x:f>IF(568&gt;$H$4,"",IF(INDEX('Fleet dates'!$C$9:$C$1008,$I576-8)="","",INDEX('Fleet dates'!$C$9:$C$1008,$I576-8)))</x:f>
      </x:c>
      <x:c r="D576" s="51" t="str">
        <x:f>IF(568&gt;$H$4,"",IF(INDEX('Fleet dates'!$D$9:$D$1008,$I576-8)="","",INDEX('Fleet dates'!$D$9:$D$1008,$I576-8)))</x:f>
      </x:c>
      <x:c r="E576" s="51" t="str">
        <x:f>IF(568&gt;$H$4,"",IF(INDEX('Fleet dates'!$E$9:$E$1008,$I576-8)="","",INDEX('Fleet dates'!$E$9:$E$1008,$I576-8)))</x:f>
      </x:c>
      <x:c r="F576" s="51" t="str">
        <x:f>IF(568&gt;$H$4,"",IF(INDEX('Fleet dates'!$F$9:$F$1008,$I576-8)="","",INDEX('Fleet dates'!$F$9:$F$1008,$I576-8)))</x:f>
      </x:c>
      <x:c r="G576" s="50" t="str">
        <x:f>IF(568&gt;$H$4,"",IF(INDEX('Fleet dates'!$G$9:$G$1008,$I576-8)="","",INDEX('Fleet dates'!$G$9:$G$1008,$I576-8)))</x:f>
      </x:c>
      <x:c r="H576" s="50" t="str">
        <x:f>IF(568&gt;$H$4,"",IF(INDEX('Fleet dates'!$I$9:$I$1008,$I576-8)="","",INDEX('Fleet dates'!$I$9:$I$1008,$I576-8)))</x:f>
      </x:c>
      <x:c r="I576" t="str">
        <x:f>IF(568&gt;$H$4,"",MATCH(568,'Fleet dates'!$N$9:$N$1008,0)+8)</x:f>
      </x:c>
    </x:row>
    <x:row r="577" ht="36" customHeight="1">
      <x:c r="A577" s="50" t="str">
        <x:f>IF(569&gt;$H$4,"",IF(INDEX('Fleet dates'!$A$9:$A$1008,$I577-8)="","",INDEX('Fleet dates'!$A$9:$A$1008,$I577-8)))</x:f>
      </x:c>
      <x:c r="B577" s="50" t="str">
        <x:f>IF(569&gt;$H$4,"",IF(INDEX('Fleet dates'!$B$9:$B$1008,$I577-8)="","",INDEX('Fleet dates'!$B$9:$B$1008,$I577-8)))</x:f>
      </x:c>
      <x:c r="C577" s="51" t="str">
        <x:f>IF(569&gt;$H$4,"",IF(INDEX('Fleet dates'!$C$9:$C$1008,$I577-8)="","",INDEX('Fleet dates'!$C$9:$C$1008,$I577-8)))</x:f>
      </x:c>
      <x:c r="D577" s="51" t="str">
        <x:f>IF(569&gt;$H$4,"",IF(INDEX('Fleet dates'!$D$9:$D$1008,$I577-8)="","",INDEX('Fleet dates'!$D$9:$D$1008,$I577-8)))</x:f>
      </x:c>
      <x:c r="E577" s="51" t="str">
        <x:f>IF(569&gt;$H$4,"",IF(INDEX('Fleet dates'!$E$9:$E$1008,$I577-8)="","",INDEX('Fleet dates'!$E$9:$E$1008,$I577-8)))</x:f>
      </x:c>
      <x:c r="F577" s="51" t="str">
        <x:f>IF(569&gt;$H$4,"",IF(INDEX('Fleet dates'!$F$9:$F$1008,$I577-8)="","",INDEX('Fleet dates'!$F$9:$F$1008,$I577-8)))</x:f>
      </x:c>
      <x:c r="G577" s="50" t="str">
        <x:f>IF(569&gt;$H$4,"",IF(INDEX('Fleet dates'!$G$9:$G$1008,$I577-8)="","",INDEX('Fleet dates'!$G$9:$G$1008,$I577-8)))</x:f>
      </x:c>
      <x:c r="H577" s="50" t="str">
        <x:f>IF(569&gt;$H$4,"",IF(INDEX('Fleet dates'!$I$9:$I$1008,$I577-8)="","",INDEX('Fleet dates'!$I$9:$I$1008,$I577-8)))</x:f>
      </x:c>
      <x:c r="I577" t="str">
        <x:f>IF(569&gt;$H$4,"",MATCH(569,'Fleet dates'!$N$9:$N$1008,0)+8)</x:f>
      </x:c>
    </x:row>
    <x:row r="578" ht="36" customHeight="1">
      <x:c r="A578" s="50" t="str">
        <x:f>IF(570&gt;$H$4,"",IF(INDEX('Fleet dates'!$A$9:$A$1008,$I578-8)="","",INDEX('Fleet dates'!$A$9:$A$1008,$I578-8)))</x:f>
      </x:c>
      <x:c r="B578" s="50" t="str">
        <x:f>IF(570&gt;$H$4,"",IF(INDEX('Fleet dates'!$B$9:$B$1008,$I578-8)="","",INDEX('Fleet dates'!$B$9:$B$1008,$I578-8)))</x:f>
      </x:c>
      <x:c r="C578" s="51" t="str">
        <x:f>IF(570&gt;$H$4,"",IF(INDEX('Fleet dates'!$C$9:$C$1008,$I578-8)="","",INDEX('Fleet dates'!$C$9:$C$1008,$I578-8)))</x:f>
      </x:c>
      <x:c r="D578" s="51" t="str">
        <x:f>IF(570&gt;$H$4,"",IF(INDEX('Fleet dates'!$D$9:$D$1008,$I578-8)="","",INDEX('Fleet dates'!$D$9:$D$1008,$I578-8)))</x:f>
      </x:c>
      <x:c r="E578" s="51" t="str">
        <x:f>IF(570&gt;$H$4,"",IF(INDEX('Fleet dates'!$E$9:$E$1008,$I578-8)="","",INDEX('Fleet dates'!$E$9:$E$1008,$I578-8)))</x:f>
      </x:c>
      <x:c r="F578" s="51" t="str">
        <x:f>IF(570&gt;$H$4,"",IF(INDEX('Fleet dates'!$F$9:$F$1008,$I578-8)="","",INDEX('Fleet dates'!$F$9:$F$1008,$I578-8)))</x:f>
      </x:c>
      <x:c r="G578" s="50" t="str">
        <x:f>IF(570&gt;$H$4,"",IF(INDEX('Fleet dates'!$G$9:$G$1008,$I578-8)="","",INDEX('Fleet dates'!$G$9:$G$1008,$I578-8)))</x:f>
      </x:c>
      <x:c r="H578" s="50" t="str">
        <x:f>IF(570&gt;$H$4,"",IF(INDEX('Fleet dates'!$I$9:$I$1008,$I578-8)="","",INDEX('Fleet dates'!$I$9:$I$1008,$I578-8)))</x:f>
      </x:c>
      <x:c r="I578" t="str">
        <x:f>IF(570&gt;$H$4,"",MATCH(570,'Fleet dates'!$N$9:$N$1008,0)+8)</x:f>
      </x:c>
    </x:row>
    <x:row r="579" ht="36" customHeight="1">
      <x:c r="A579" s="50" t="str">
        <x:f>IF(571&gt;$H$4,"",IF(INDEX('Fleet dates'!$A$9:$A$1008,$I579-8)="","",INDEX('Fleet dates'!$A$9:$A$1008,$I579-8)))</x:f>
      </x:c>
      <x:c r="B579" s="50" t="str">
        <x:f>IF(571&gt;$H$4,"",IF(INDEX('Fleet dates'!$B$9:$B$1008,$I579-8)="","",INDEX('Fleet dates'!$B$9:$B$1008,$I579-8)))</x:f>
      </x:c>
      <x:c r="C579" s="51" t="str">
        <x:f>IF(571&gt;$H$4,"",IF(INDEX('Fleet dates'!$C$9:$C$1008,$I579-8)="","",INDEX('Fleet dates'!$C$9:$C$1008,$I579-8)))</x:f>
      </x:c>
      <x:c r="D579" s="51" t="str">
        <x:f>IF(571&gt;$H$4,"",IF(INDEX('Fleet dates'!$D$9:$D$1008,$I579-8)="","",INDEX('Fleet dates'!$D$9:$D$1008,$I579-8)))</x:f>
      </x:c>
      <x:c r="E579" s="51" t="str">
        <x:f>IF(571&gt;$H$4,"",IF(INDEX('Fleet dates'!$E$9:$E$1008,$I579-8)="","",INDEX('Fleet dates'!$E$9:$E$1008,$I579-8)))</x:f>
      </x:c>
      <x:c r="F579" s="51" t="str">
        <x:f>IF(571&gt;$H$4,"",IF(INDEX('Fleet dates'!$F$9:$F$1008,$I579-8)="","",INDEX('Fleet dates'!$F$9:$F$1008,$I579-8)))</x:f>
      </x:c>
      <x:c r="G579" s="50" t="str">
        <x:f>IF(571&gt;$H$4,"",IF(INDEX('Fleet dates'!$G$9:$G$1008,$I579-8)="","",INDEX('Fleet dates'!$G$9:$G$1008,$I579-8)))</x:f>
      </x:c>
      <x:c r="H579" s="50" t="str">
        <x:f>IF(571&gt;$H$4,"",IF(INDEX('Fleet dates'!$I$9:$I$1008,$I579-8)="","",INDEX('Fleet dates'!$I$9:$I$1008,$I579-8)))</x:f>
      </x:c>
      <x:c r="I579" t="str">
        <x:f>IF(571&gt;$H$4,"",MATCH(571,'Fleet dates'!$N$9:$N$1008,0)+8)</x:f>
      </x:c>
    </x:row>
    <x:row r="580" ht="36" customHeight="1">
      <x:c r="A580" s="50" t="str">
        <x:f>IF(572&gt;$H$4,"",IF(INDEX('Fleet dates'!$A$9:$A$1008,$I580-8)="","",INDEX('Fleet dates'!$A$9:$A$1008,$I580-8)))</x:f>
      </x:c>
      <x:c r="B580" s="50" t="str">
        <x:f>IF(572&gt;$H$4,"",IF(INDEX('Fleet dates'!$B$9:$B$1008,$I580-8)="","",INDEX('Fleet dates'!$B$9:$B$1008,$I580-8)))</x:f>
      </x:c>
      <x:c r="C580" s="51" t="str">
        <x:f>IF(572&gt;$H$4,"",IF(INDEX('Fleet dates'!$C$9:$C$1008,$I580-8)="","",INDEX('Fleet dates'!$C$9:$C$1008,$I580-8)))</x:f>
      </x:c>
      <x:c r="D580" s="51" t="str">
        <x:f>IF(572&gt;$H$4,"",IF(INDEX('Fleet dates'!$D$9:$D$1008,$I580-8)="","",INDEX('Fleet dates'!$D$9:$D$1008,$I580-8)))</x:f>
      </x:c>
      <x:c r="E580" s="51" t="str">
        <x:f>IF(572&gt;$H$4,"",IF(INDEX('Fleet dates'!$E$9:$E$1008,$I580-8)="","",INDEX('Fleet dates'!$E$9:$E$1008,$I580-8)))</x:f>
      </x:c>
      <x:c r="F580" s="51" t="str">
        <x:f>IF(572&gt;$H$4,"",IF(INDEX('Fleet dates'!$F$9:$F$1008,$I580-8)="","",INDEX('Fleet dates'!$F$9:$F$1008,$I580-8)))</x:f>
      </x:c>
      <x:c r="G580" s="50" t="str">
        <x:f>IF(572&gt;$H$4,"",IF(INDEX('Fleet dates'!$G$9:$G$1008,$I580-8)="","",INDEX('Fleet dates'!$G$9:$G$1008,$I580-8)))</x:f>
      </x:c>
      <x:c r="H580" s="50" t="str">
        <x:f>IF(572&gt;$H$4,"",IF(INDEX('Fleet dates'!$I$9:$I$1008,$I580-8)="","",INDEX('Fleet dates'!$I$9:$I$1008,$I580-8)))</x:f>
      </x:c>
      <x:c r="I580" t="str">
        <x:f>IF(572&gt;$H$4,"",MATCH(572,'Fleet dates'!$N$9:$N$1008,0)+8)</x:f>
      </x:c>
    </x:row>
    <x:row r="581" ht="36" customHeight="1">
      <x:c r="A581" s="50" t="str">
        <x:f>IF(573&gt;$H$4,"",IF(INDEX('Fleet dates'!$A$9:$A$1008,$I581-8)="","",INDEX('Fleet dates'!$A$9:$A$1008,$I581-8)))</x:f>
      </x:c>
      <x:c r="B581" s="50" t="str">
        <x:f>IF(573&gt;$H$4,"",IF(INDEX('Fleet dates'!$B$9:$B$1008,$I581-8)="","",INDEX('Fleet dates'!$B$9:$B$1008,$I581-8)))</x:f>
      </x:c>
      <x:c r="C581" s="51" t="str">
        <x:f>IF(573&gt;$H$4,"",IF(INDEX('Fleet dates'!$C$9:$C$1008,$I581-8)="","",INDEX('Fleet dates'!$C$9:$C$1008,$I581-8)))</x:f>
      </x:c>
      <x:c r="D581" s="51" t="str">
        <x:f>IF(573&gt;$H$4,"",IF(INDEX('Fleet dates'!$D$9:$D$1008,$I581-8)="","",INDEX('Fleet dates'!$D$9:$D$1008,$I581-8)))</x:f>
      </x:c>
      <x:c r="E581" s="51" t="str">
        <x:f>IF(573&gt;$H$4,"",IF(INDEX('Fleet dates'!$E$9:$E$1008,$I581-8)="","",INDEX('Fleet dates'!$E$9:$E$1008,$I581-8)))</x:f>
      </x:c>
      <x:c r="F581" s="51" t="str">
        <x:f>IF(573&gt;$H$4,"",IF(INDEX('Fleet dates'!$F$9:$F$1008,$I581-8)="","",INDEX('Fleet dates'!$F$9:$F$1008,$I581-8)))</x:f>
      </x:c>
      <x:c r="G581" s="50" t="str">
        <x:f>IF(573&gt;$H$4,"",IF(INDEX('Fleet dates'!$G$9:$G$1008,$I581-8)="","",INDEX('Fleet dates'!$G$9:$G$1008,$I581-8)))</x:f>
      </x:c>
      <x:c r="H581" s="50" t="str">
        <x:f>IF(573&gt;$H$4,"",IF(INDEX('Fleet dates'!$I$9:$I$1008,$I581-8)="","",INDEX('Fleet dates'!$I$9:$I$1008,$I581-8)))</x:f>
      </x:c>
      <x:c r="I581" t="str">
        <x:f>IF(573&gt;$H$4,"",MATCH(573,'Fleet dates'!$N$9:$N$1008,0)+8)</x:f>
      </x:c>
    </x:row>
    <x:row r="582" ht="36" customHeight="1">
      <x:c r="A582" s="50" t="str">
        <x:f>IF(574&gt;$H$4,"",IF(INDEX('Fleet dates'!$A$9:$A$1008,$I582-8)="","",INDEX('Fleet dates'!$A$9:$A$1008,$I582-8)))</x:f>
      </x:c>
      <x:c r="B582" s="50" t="str">
        <x:f>IF(574&gt;$H$4,"",IF(INDEX('Fleet dates'!$B$9:$B$1008,$I582-8)="","",INDEX('Fleet dates'!$B$9:$B$1008,$I582-8)))</x:f>
      </x:c>
      <x:c r="C582" s="51" t="str">
        <x:f>IF(574&gt;$H$4,"",IF(INDEX('Fleet dates'!$C$9:$C$1008,$I582-8)="","",INDEX('Fleet dates'!$C$9:$C$1008,$I582-8)))</x:f>
      </x:c>
      <x:c r="D582" s="51" t="str">
        <x:f>IF(574&gt;$H$4,"",IF(INDEX('Fleet dates'!$D$9:$D$1008,$I582-8)="","",INDEX('Fleet dates'!$D$9:$D$1008,$I582-8)))</x:f>
      </x:c>
      <x:c r="E582" s="51" t="str">
        <x:f>IF(574&gt;$H$4,"",IF(INDEX('Fleet dates'!$E$9:$E$1008,$I582-8)="","",INDEX('Fleet dates'!$E$9:$E$1008,$I582-8)))</x:f>
      </x:c>
      <x:c r="F582" s="51" t="str">
        <x:f>IF(574&gt;$H$4,"",IF(INDEX('Fleet dates'!$F$9:$F$1008,$I582-8)="","",INDEX('Fleet dates'!$F$9:$F$1008,$I582-8)))</x:f>
      </x:c>
      <x:c r="G582" s="50" t="str">
        <x:f>IF(574&gt;$H$4,"",IF(INDEX('Fleet dates'!$G$9:$G$1008,$I582-8)="","",INDEX('Fleet dates'!$G$9:$G$1008,$I582-8)))</x:f>
      </x:c>
      <x:c r="H582" s="50" t="str">
        <x:f>IF(574&gt;$H$4,"",IF(INDEX('Fleet dates'!$I$9:$I$1008,$I582-8)="","",INDEX('Fleet dates'!$I$9:$I$1008,$I582-8)))</x:f>
      </x:c>
      <x:c r="I582" t="str">
        <x:f>IF(574&gt;$H$4,"",MATCH(574,'Fleet dates'!$N$9:$N$1008,0)+8)</x:f>
      </x:c>
    </x:row>
    <x:row r="583" ht="36" customHeight="1">
      <x:c r="A583" s="50" t="str">
        <x:f>IF(575&gt;$H$4,"",IF(INDEX('Fleet dates'!$A$9:$A$1008,$I583-8)="","",INDEX('Fleet dates'!$A$9:$A$1008,$I583-8)))</x:f>
      </x:c>
      <x:c r="B583" s="50" t="str">
        <x:f>IF(575&gt;$H$4,"",IF(INDEX('Fleet dates'!$B$9:$B$1008,$I583-8)="","",INDEX('Fleet dates'!$B$9:$B$1008,$I583-8)))</x:f>
      </x:c>
      <x:c r="C583" s="51" t="str">
        <x:f>IF(575&gt;$H$4,"",IF(INDEX('Fleet dates'!$C$9:$C$1008,$I583-8)="","",INDEX('Fleet dates'!$C$9:$C$1008,$I583-8)))</x:f>
      </x:c>
      <x:c r="D583" s="51" t="str">
        <x:f>IF(575&gt;$H$4,"",IF(INDEX('Fleet dates'!$D$9:$D$1008,$I583-8)="","",INDEX('Fleet dates'!$D$9:$D$1008,$I583-8)))</x:f>
      </x:c>
      <x:c r="E583" s="51" t="str">
        <x:f>IF(575&gt;$H$4,"",IF(INDEX('Fleet dates'!$E$9:$E$1008,$I583-8)="","",INDEX('Fleet dates'!$E$9:$E$1008,$I583-8)))</x:f>
      </x:c>
      <x:c r="F583" s="51" t="str">
        <x:f>IF(575&gt;$H$4,"",IF(INDEX('Fleet dates'!$F$9:$F$1008,$I583-8)="","",INDEX('Fleet dates'!$F$9:$F$1008,$I583-8)))</x:f>
      </x:c>
      <x:c r="G583" s="50" t="str">
        <x:f>IF(575&gt;$H$4,"",IF(INDEX('Fleet dates'!$G$9:$G$1008,$I583-8)="","",INDEX('Fleet dates'!$G$9:$G$1008,$I583-8)))</x:f>
      </x:c>
      <x:c r="H583" s="50" t="str">
        <x:f>IF(575&gt;$H$4,"",IF(INDEX('Fleet dates'!$I$9:$I$1008,$I583-8)="","",INDEX('Fleet dates'!$I$9:$I$1008,$I583-8)))</x:f>
      </x:c>
      <x:c r="I583" t="str">
        <x:f>IF(575&gt;$H$4,"",MATCH(575,'Fleet dates'!$N$9:$N$1008,0)+8)</x:f>
      </x:c>
    </x:row>
    <x:row r="584" ht="36" customHeight="1">
      <x:c r="A584" s="50" t="str">
        <x:f>IF(576&gt;$H$4,"",IF(INDEX('Fleet dates'!$A$9:$A$1008,$I584-8)="","",INDEX('Fleet dates'!$A$9:$A$1008,$I584-8)))</x:f>
      </x:c>
      <x:c r="B584" s="50" t="str">
        <x:f>IF(576&gt;$H$4,"",IF(INDEX('Fleet dates'!$B$9:$B$1008,$I584-8)="","",INDEX('Fleet dates'!$B$9:$B$1008,$I584-8)))</x:f>
      </x:c>
      <x:c r="C584" s="51" t="str">
        <x:f>IF(576&gt;$H$4,"",IF(INDEX('Fleet dates'!$C$9:$C$1008,$I584-8)="","",INDEX('Fleet dates'!$C$9:$C$1008,$I584-8)))</x:f>
      </x:c>
      <x:c r="D584" s="51" t="str">
        <x:f>IF(576&gt;$H$4,"",IF(INDEX('Fleet dates'!$D$9:$D$1008,$I584-8)="","",INDEX('Fleet dates'!$D$9:$D$1008,$I584-8)))</x:f>
      </x:c>
      <x:c r="E584" s="51" t="str">
        <x:f>IF(576&gt;$H$4,"",IF(INDEX('Fleet dates'!$E$9:$E$1008,$I584-8)="","",INDEX('Fleet dates'!$E$9:$E$1008,$I584-8)))</x:f>
      </x:c>
      <x:c r="F584" s="51" t="str">
        <x:f>IF(576&gt;$H$4,"",IF(INDEX('Fleet dates'!$F$9:$F$1008,$I584-8)="","",INDEX('Fleet dates'!$F$9:$F$1008,$I584-8)))</x:f>
      </x:c>
      <x:c r="G584" s="50" t="str">
        <x:f>IF(576&gt;$H$4,"",IF(INDEX('Fleet dates'!$G$9:$G$1008,$I584-8)="","",INDEX('Fleet dates'!$G$9:$G$1008,$I584-8)))</x:f>
      </x:c>
      <x:c r="H584" s="50" t="str">
        <x:f>IF(576&gt;$H$4,"",IF(INDEX('Fleet dates'!$I$9:$I$1008,$I584-8)="","",INDEX('Fleet dates'!$I$9:$I$1008,$I584-8)))</x:f>
      </x:c>
      <x:c r="I584" t="str">
        <x:f>IF(576&gt;$H$4,"",MATCH(576,'Fleet dates'!$N$9:$N$1008,0)+8)</x:f>
      </x:c>
    </x:row>
    <x:row r="585" ht="36" customHeight="1">
      <x:c r="A585" s="50" t="str">
        <x:f>IF(577&gt;$H$4,"",IF(INDEX('Fleet dates'!$A$9:$A$1008,$I585-8)="","",INDEX('Fleet dates'!$A$9:$A$1008,$I585-8)))</x:f>
      </x:c>
      <x:c r="B585" s="50" t="str">
        <x:f>IF(577&gt;$H$4,"",IF(INDEX('Fleet dates'!$B$9:$B$1008,$I585-8)="","",INDEX('Fleet dates'!$B$9:$B$1008,$I585-8)))</x:f>
      </x:c>
      <x:c r="C585" s="51" t="str">
        <x:f>IF(577&gt;$H$4,"",IF(INDEX('Fleet dates'!$C$9:$C$1008,$I585-8)="","",INDEX('Fleet dates'!$C$9:$C$1008,$I585-8)))</x:f>
      </x:c>
      <x:c r="D585" s="51" t="str">
        <x:f>IF(577&gt;$H$4,"",IF(INDEX('Fleet dates'!$D$9:$D$1008,$I585-8)="","",INDEX('Fleet dates'!$D$9:$D$1008,$I585-8)))</x:f>
      </x:c>
      <x:c r="E585" s="51" t="str">
        <x:f>IF(577&gt;$H$4,"",IF(INDEX('Fleet dates'!$E$9:$E$1008,$I585-8)="","",INDEX('Fleet dates'!$E$9:$E$1008,$I585-8)))</x:f>
      </x:c>
      <x:c r="F585" s="51" t="str">
        <x:f>IF(577&gt;$H$4,"",IF(INDEX('Fleet dates'!$F$9:$F$1008,$I585-8)="","",INDEX('Fleet dates'!$F$9:$F$1008,$I585-8)))</x:f>
      </x:c>
      <x:c r="G585" s="50" t="str">
        <x:f>IF(577&gt;$H$4,"",IF(INDEX('Fleet dates'!$G$9:$G$1008,$I585-8)="","",INDEX('Fleet dates'!$G$9:$G$1008,$I585-8)))</x:f>
      </x:c>
      <x:c r="H585" s="50" t="str">
        <x:f>IF(577&gt;$H$4,"",IF(INDEX('Fleet dates'!$I$9:$I$1008,$I585-8)="","",INDEX('Fleet dates'!$I$9:$I$1008,$I585-8)))</x:f>
      </x:c>
      <x:c r="I585" t="str">
        <x:f>IF(577&gt;$H$4,"",MATCH(577,'Fleet dates'!$N$9:$N$1008,0)+8)</x:f>
      </x:c>
    </x:row>
    <x:row r="586" ht="36" customHeight="1">
      <x:c r="A586" s="50" t="str">
        <x:f>IF(578&gt;$H$4,"",IF(INDEX('Fleet dates'!$A$9:$A$1008,$I586-8)="","",INDEX('Fleet dates'!$A$9:$A$1008,$I586-8)))</x:f>
      </x:c>
      <x:c r="B586" s="50" t="str">
        <x:f>IF(578&gt;$H$4,"",IF(INDEX('Fleet dates'!$B$9:$B$1008,$I586-8)="","",INDEX('Fleet dates'!$B$9:$B$1008,$I586-8)))</x:f>
      </x:c>
      <x:c r="C586" s="51" t="str">
        <x:f>IF(578&gt;$H$4,"",IF(INDEX('Fleet dates'!$C$9:$C$1008,$I586-8)="","",INDEX('Fleet dates'!$C$9:$C$1008,$I586-8)))</x:f>
      </x:c>
      <x:c r="D586" s="51" t="str">
        <x:f>IF(578&gt;$H$4,"",IF(INDEX('Fleet dates'!$D$9:$D$1008,$I586-8)="","",INDEX('Fleet dates'!$D$9:$D$1008,$I586-8)))</x:f>
      </x:c>
      <x:c r="E586" s="51" t="str">
        <x:f>IF(578&gt;$H$4,"",IF(INDEX('Fleet dates'!$E$9:$E$1008,$I586-8)="","",INDEX('Fleet dates'!$E$9:$E$1008,$I586-8)))</x:f>
      </x:c>
      <x:c r="F586" s="51" t="str">
        <x:f>IF(578&gt;$H$4,"",IF(INDEX('Fleet dates'!$F$9:$F$1008,$I586-8)="","",INDEX('Fleet dates'!$F$9:$F$1008,$I586-8)))</x:f>
      </x:c>
      <x:c r="G586" s="50" t="str">
        <x:f>IF(578&gt;$H$4,"",IF(INDEX('Fleet dates'!$G$9:$G$1008,$I586-8)="","",INDEX('Fleet dates'!$G$9:$G$1008,$I586-8)))</x:f>
      </x:c>
      <x:c r="H586" s="50" t="str">
        <x:f>IF(578&gt;$H$4,"",IF(INDEX('Fleet dates'!$I$9:$I$1008,$I586-8)="","",INDEX('Fleet dates'!$I$9:$I$1008,$I586-8)))</x:f>
      </x:c>
      <x:c r="I586" t="str">
        <x:f>IF(578&gt;$H$4,"",MATCH(578,'Fleet dates'!$N$9:$N$1008,0)+8)</x:f>
      </x:c>
    </x:row>
    <x:row r="587" ht="36" customHeight="1">
      <x:c r="A587" s="50" t="str">
        <x:f>IF(579&gt;$H$4,"",IF(INDEX('Fleet dates'!$A$9:$A$1008,$I587-8)="","",INDEX('Fleet dates'!$A$9:$A$1008,$I587-8)))</x:f>
      </x:c>
      <x:c r="B587" s="50" t="str">
        <x:f>IF(579&gt;$H$4,"",IF(INDEX('Fleet dates'!$B$9:$B$1008,$I587-8)="","",INDEX('Fleet dates'!$B$9:$B$1008,$I587-8)))</x:f>
      </x:c>
      <x:c r="C587" s="51" t="str">
        <x:f>IF(579&gt;$H$4,"",IF(INDEX('Fleet dates'!$C$9:$C$1008,$I587-8)="","",INDEX('Fleet dates'!$C$9:$C$1008,$I587-8)))</x:f>
      </x:c>
      <x:c r="D587" s="51" t="str">
        <x:f>IF(579&gt;$H$4,"",IF(INDEX('Fleet dates'!$D$9:$D$1008,$I587-8)="","",INDEX('Fleet dates'!$D$9:$D$1008,$I587-8)))</x:f>
      </x:c>
      <x:c r="E587" s="51" t="str">
        <x:f>IF(579&gt;$H$4,"",IF(INDEX('Fleet dates'!$E$9:$E$1008,$I587-8)="","",INDEX('Fleet dates'!$E$9:$E$1008,$I587-8)))</x:f>
      </x:c>
      <x:c r="F587" s="51" t="str">
        <x:f>IF(579&gt;$H$4,"",IF(INDEX('Fleet dates'!$F$9:$F$1008,$I587-8)="","",INDEX('Fleet dates'!$F$9:$F$1008,$I587-8)))</x:f>
      </x:c>
      <x:c r="G587" s="50" t="str">
        <x:f>IF(579&gt;$H$4,"",IF(INDEX('Fleet dates'!$G$9:$G$1008,$I587-8)="","",INDEX('Fleet dates'!$G$9:$G$1008,$I587-8)))</x:f>
      </x:c>
      <x:c r="H587" s="50" t="str">
        <x:f>IF(579&gt;$H$4,"",IF(INDEX('Fleet dates'!$I$9:$I$1008,$I587-8)="","",INDEX('Fleet dates'!$I$9:$I$1008,$I587-8)))</x:f>
      </x:c>
      <x:c r="I587" t="str">
        <x:f>IF(579&gt;$H$4,"",MATCH(579,'Fleet dates'!$N$9:$N$1008,0)+8)</x:f>
      </x:c>
    </x:row>
    <x:row r="588" ht="36" customHeight="1">
      <x:c r="A588" s="50" t="str">
        <x:f>IF(580&gt;$H$4,"",IF(INDEX('Fleet dates'!$A$9:$A$1008,$I588-8)="","",INDEX('Fleet dates'!$A$9:$A$1008,$I588-8)))</x:f>
      </x:c>
      <x:c r="B588" s="50" t="str">
        <x:f>IF(580&gt;$H$4,"",IF(INDEX('Fleet dates'!$B$9:$B$1008,$I588-8)="","",INDEX('Fleet dates'!$B$9:$B$1008,$I588-8)))</x:f>
      </x:c>
      <x:c r="C588" s="51" t="str">
        <x:f>IF(580&gt;$H$4,"",IF(INDEX('Fleet dates'!$C$9:$C$1008,$I588-8)="","",INDEX('Fleet dates'!$C$9:$C$1008,$I588-8)))</x:f>
      </x:c>
      <x:c r="D588" s="51" t="str">
        <x:f>IF(580&gt;$H$4,"",IF(INDEX('Fleet dates'!$D$9:$D$1008,$I588-8)="","",INDEX('Fleet dates'!$D$9:$D$1008,$I588-8)))</x:f>
      </x:c>
      <x:c r="E588" s="51" t="str">
        <x:f>IF(580&gt;$H$4,"",IF(INDEX('Fleet dates'!$E$9:$E$1008,$I588-8)="","",INDEX('Fleet dates'!$E$9:$E$1008,$I588-8)))</x:f>
      </x:c>
      <x:c r="F588" s="51" t="str">
        <x:f>IF(580&gt;$H$4,"",IF(INDEX('Fleet dates'!$F$9:$F$1008,$I588-8)="","",INDEX('Fleet dates'!$F$9:$F$1008,$I588-8)))</x:f>
      </x:c>
      <x:c r="G588" s="50" t="str">
        <x:f>IF(580&gt;$H$4,"",IF(INDEX('Fleet dates'!$G$9:$G$1008,$I588-8)="","",INDEX('Fleet dates'!$G$9:$G$1008,$I588-8)))</x:f>
      </x:c>
      <x:c r="H588" s="50" t="str">
        <x:f>IF(580&gt;$H$4,"",IF(INDEX('Fleet dates'!$I$9:$I$1008,$I588-8)="","",INDEX('Fleet dates'!$I$9:$I$1008,$I588-8)))</x:f>
      </x:c>
      <x:c r="I588" t="str">
        <x:f>IF(580&gt;$H$4,"",MATCH(580,'Fleet dates'!$N$9:$N$1008,0)+8)</x:f>
      </x:c>
    </x:row>
    <x:row r="589" ht="36" customHeight="1">
      <x:c r="A589" s="50" t="str">
        <x:f>IF(581&gt;$H$4,"",IF(INDEX('Fleet dates'!$A$9:$A$1008,$I589-8)="","",INDEX('Fleet dates'!$A$9:$A$1008,$I589-8)))</x:f>
      </x:c>
      <x:c r="B589" s="50" t="str">
        <x:f>IF(581&gt;$H$4,"",IF(INDEX('Fleet dates'!$B$9:$B$1008,$I589-8)="","",INDEX('Fleet dates'!$B$9:$B$1008,$I589-8)))</x:f>
      </x:c>
      <x:c r="C589" s="51" t="str">
        <x:f>IF(581&gt;$H$4,"",IF(INDEX('Fleet dates'!$C$9:$C$1008,$I589-8)="","",INDEX('Fleet dates'!$C$9:$C$1008,$I589-8)))</x:f>
      </x:c>
      <x:c r="D589" s="51" t="str">
        <x:f>IF(581&gt;$H$4,"",IF(INDEX('Fleet dates'!$D$9:$D$1008,$I589-8)="","",INDEX('Fleet dates'!$D$9:$D$1008,$I589-8)))</x:f>
      </x:c>
      <x:c r="E589" s="51" t="str">
        <x:f>IF(581&gt;$H$4,"",IF(INDEX('Fleet dates'!$E$9:$E$1008,$I589-8)="","",INDEX('Fleet dates'!$E$9:$E$1008,$I589-8)))</x:f>
      </x:c>
      <x:c r="F589" s="51" t="str">
        <x:f>IF(581&gt;$H$4,"",IF(INDEX('Fleet dates'!$F$9:$F$1008,$I589-8)="","",INDEX('Fleet dates'!$F$9:$F$1008,$I589-8)))</x:f>
      </x:c>
      <x:c r="G589" s="50" t="str">
        <x:f>IF(581&gt;$H$4,"",IF(INDEX('Fleet dates'!$G$9:$G$1008,$I589-8)="","",INDEX('Fleet dates'!$G$9:$G$1008,$I589-8)))</x:f>
      </x:c>
      <x:c r="H589" s="50" t="str">
        <x:f>IF(581&gt;$H$4,"",IF(INDEX('Fleet dates'!$I$9:$I$1008,$I589-8)="","",INDEX('Fleet dates'!$I$9:$I$1008,$I589-8)))</x:f>
      </x:c>
      <x:c r="I589" t="str">
        <x:f>IF(581&gt;$H$4,"",MATCH(581,'Fleet dates'!$N$9:$N$1008,0)+8)</x:f>
      </x:c>
    </x:row>
    <x:row r="590" ht="36" customHeight="1">
      <x:c r="A590" s="50" t="str">
        <x:f>IF(582&gt;$H$4,"",IF(INDEX('Fleet dates'!$A$9:$A$1008,$I590-8)="","",INDEX('Fleet dates'!$A$9:$A$1008,$I590-8)))</x:f>
      </x:c>
      <x:c r="B590" s="50" t="str">
        <x:f>IF(582&gt;$H$4,"",IF(INDEX('Fleet dates'!$B$9:$B$1008,$I590-8)="","",INDEX('Fleet dates'!$B$9:$B$1008,$I590-8)))</x:f>
      </x:c>
      <x:c r="C590" s="51" t="str">
        <x:f>IF(582&gt;$H$4,"",IF(INDEX('Fleet dates'!$C$9:$C$1008,$I590-8)="","",INDEX('Fleet dates'!$C$9:$C$1008,$I590-8)))</x:f>
      </x:c>
      <x:c r="D590" s="51" t="str">
        <x:f>IF(582&gt;$H$4,"",IF(INDEX('Fleet dates'!$D$9:$D$1008,$I590-8)="","",INDEX('Fleet dates'!$D$9:$D$1008,$I590-8)))</x:f>
      </x:c>
      <x:c r="E590" s="51" t="str">
        <x:f>IF(582&gt;$H$4,"",IF(INDEX('Fleet dates'!$E$9:$E$1008,$I590-8)="","",INDEX('Fleet dates'!$E$9:$E$1008,$I590-8)))</x:f>
      </x:c>
      <x:c r="F590" s="51" t="str">
        <x:f>IF(582&gt;$H$4,"",IF(INDEX('Fleet dates'!$F$9:$F$1008,$I590-8)="","",INDEX('Fleet dates'!$F$9:$F$1008,$I590-8)))</x:f>
      </x:c>
      <x:c r="G590" s="50" t="str">
        <x:f>IF(582&gt;$H$4,"",IF(INDEX('Fleet dates'!$G$9:$G$1008,$I590-8)="","",INDEX('Fleet dates'!$G$9:$G$1008,$I590-8)))</x:f>
      </x:c>
      <x:c r="H590" s="50" t="str">
        <x:f>IF(582&gt;$H$4,"",IF(INDEX('Fleet dates'!$I$9:$I$1008,$I590-8)="","",INDEX('Fleet dates'!$I$9:$I$1008,$I590-8)))</x:f>
      </x:c>
      <x:c r="I590" t="str">
        <x:f>IF(582&gt;$H$4,"",MATCH(582,'Fleet dates'!$N$9:$N$1008,0)+8)</x:f>
      </x:c>
    </x:row>
    <x:row r="591" ht="36" customHeight="1">
      <x:c r="A591" s="50" t="str">
        <x:f>IF(583&gt;$H$4,"",IF(INDEX('Fleet dates'!$A$9:$A$1008,$I591-8)="","",INDEX('Fleet dates'!$A$9:$A$1008,$I591-8)))</x:f>
      </x:c>
      <x:c r="B591" s="50" t="str">
        <x:f>IF(583&gt;$H$4,"",IF(INDEX('Fleet dates'!$B$9:$B$1008,$I591-8)="","",INDEX('Fleet dates'!$B$9:$B$1008,$I591-8)))</x:f>
      </x:c>
      <x:c r="C591" s="51" t="str">
        <x:f>IF(583&gt;$H$4,"",IF(INDEX('Fleet dates'!$C$9:$C$1008,$I591-8)="","",INDEX('Fleet dates'!$C$9:$C$1008,$I591-8)))</x:f>
      </x:c>
      <x:c r="D591" s="51" t="str">
        <x:f>IF(583&gt;$H$4,"",IF(INDEX('Fleet dates'!$D$9:$D$1008,$I591-8)="","",INDEX('Fleet dates'!$D$9:$D$1008,$I591-8)))</x:f>
      </x:c>
      <x:c r="E591" s="51" t="str">
        <x:f>IF(583&gt;$H$4,"",IF(INDEX('Fleet dates'!$E$9:$E$1008,$I591-8)="","",INDEX('Fleet dates'!$E$9:$E$1008,$I591-8)))</x:f>
      </x:c>
      <x:c r="F591" s="51" t="str">
        <x:f>IF(583&gt;$H$4,"",IF(INDEX('Fleet dates'!$F$9:$F$1008,$I591-8)="","",INDEX('Fleet dates'!$F$9:$F$1008,$I591-8)))</x:f>
      </x:c>
      <x:c r="G591" s="50" t="str">
        <x:f>IF(583&gt;$H$4,"",IF(INDEX('Fleet dates'!$G$9:$G$1008,$I591-8)="","",INDEX('Fleet dates'!$G$9:$G$1008,$I591-8)))</x:f>
      </x:c>
      <x:c r="H591" s="50" t="str">
        <x:f>IF(583&gt;$H$4,"",IF(INDEX('Fleet dates'!$I$9:$I$1008,$I591-8)="","",INDEX('Fleet dates'!$I$9:$I$1008,$I591-8)))</x:f>
      </x:c>
      <x:c r="I591" t="str">
        <x:f>IF(583&gt;$H$4,"",MATCH(583,'Fleet dates'!$N$9:$N$1008,0)+8)</x:f>
      </x:c>
    </x:row>
    <x:row r="592" ht="36" customHeight="1">
      <x:c r="A592" s="50" t="str">
        <x:f>IF(584&gt;$H$4,"",IF(INDEX('Fleet dates'!$A$9:$A$1008,$I592-8)="","",INDEX('Fleet dates'!$A$9:$A$1008,$I592-8)))</x:f>
      </x:c>
      <x:c r="B592" s="50" t="str">
        <x:f>IF(584&gt;$H$4,"",IF(INDEX('Fleet dates'!$B$9:$B$1008,$I592-8)="","",INDEX('Fleet dates'!$B$9:$B$1008,$I592-8)))</x:f>
      </x:c>
      <x:c r="C592" s="51" t="str">
        <x:f>IF(584&gt;$H$4,"",IF(INDEX('Fleet dates'!$C$9:$C$1008,$I592-8)="","",INDEX('Fleet dates'!$C$9:$C$1008,$I592-8)))</x:f>
      </x:c>
      <x:c r="D592" s="51" t="str">
        <x:f>IF(584&gt;$H$4,"",IF(INDEX('Fleet dates'!$D$9:$D$1008,$I592-8)="","",INDEX('Fleet dates'!$D$9:$D$1008,$I592-8)))</x:f>
      </x:c>
      <x:c r="E592" s="51" t="str">
        <x:f>IF(584&gt;$H$4,"",IF(INDEX('Fleet dates'!$E$9:$E$1008,$I592-8)="","",INDEX('Fleet dates'!$E$9:$E$1008,$I592-8)))</x:f>
      </x:c>
      <x:c r="F592" s="51" t="str">
        <x:f>IF(584&gt;$H$4,"",IF(INDEX('Fleet dates'!$F$9:$F$1008,$I592-8)="","",INDEX('Fleet dates'!$F$9:$F$1008,$I592-8)))</x:f>
      </x:c>
      <x:c r="G592" s="50" t="str">
        <x:f>IF(584&gt;$H$4,"",IF(INDEX('Fleet dates'!$G$9:$G$1008,$I592-8)="","",INDEX('Fleet dates'!$G$9:$G$1008,$I592-8)))</x:f>
      </x:c>
      <x:c r="H592" s="50" t="str">
        <x:f>IF(584&gt;$H$4,"",IF(INDEX('Fleet dates'!$I$9:$I$1008,$I592-8)="","",INDEX('Fleet dates'!$I$9:$I$1008,$I592-8)))</x:f>
      </x:c>
      <x:c r="I592" t="str">
        <x:f>IF(584&gt;$H$4,"",MATCH(584,'Fleet dates'!$N$9:$N$1008,0)+8)</x:f>
      </x:c>
    </x:row>
    <x:row r="593" ht="36" customHeight="1">
      <x:c r="A593" s="50" t="str">
        <x:f>IF(585&gt;$H$4,"",IF(INDEX('Fleet dates'!$A$9:$A$1008,$I593-8)="","",INDEX('Fleet dates'!$A$9:$A$1008,$I593-8)))</x:f>
      </x:c>
      <x:c r="B593" s="50" t="str">
        <x:f>IF(585&gt;$H$4,"",IF(INDEX('Fleet dates'!$B$9:$B$1008,$I593-8)="","",INDEX('Fleet dates'!$B$9:$B$1008,$I593-8)))</x:f>
      </x:c>
      <x:c r="C593" s="51" t="str">
        <x:f>IF(585&gt;$H$4,"",IF(INDEX('Fleet dates'!$C$9:$C$1008,$I593-8)="","",INDEX('Fleet dates'!$C$9:$C$1008,$I593-8)))</x:f>
      </x:c>
      <x:c r="D593" s="51" t="str">
        <x:f>IF(585&gt;$H$4,"",IF(INDEX('Fleet dates'!$D$9:$D$1008,$I593-8)="","",INDEX('Fleet dates'!$D$9:$D$1008,$I593-8)))</x:f>
      </x:c>
      <x:c r="E593" s="51" t="str">
        <x:f>IF(585&gt;$H$4,"",IF(INDEX('Fleet dates'!$E$9:$E$1008,$I593-8)="","",INDEX('Fleet dates'!$E$9:$E$1008,$I593-8)))</x:f>
      </x:c>
      <x:c r="F593" s="51" t="str">
        <x:f>IF(585&gt;$H$4,"",IF(INDEX('Fleet dates'!$F$9:$F$1008,$I593-8)="","",INDEX('Fleet dates'!$F$9:$F$1008,$I593-8)))</x:f>
      </x:c>
      <x:c r="G593" s="50" t="str">
        <x:f>IF(585&gt;$H$4,"",IF(INDEX('Fleet dates'!$G$9:$G$1008,$I593-8)="","",INDEX('Fleet dates'!$G$9:$G$1008,$I593-8)))</x:f>
      </x:c>
      <x:c r="H593" s="50" t="str">
        <x:f>IF(585&gt;$H$4,"",IF(INDEX('Fleet dates'!$I$9:$I$1008,$I593-8)="","",INDEX('Fleet dates'!$I$9:$I$1008,$I593-8)))</x:f>
      </x:c>
      <x:c r="I593" t="str">
        <x:f>IF(585&gt;$H$4,"",MATCH(585,'Fleet dates'!$N$9:$N$1008,0)+8)</x:f>
      </x:c>
    </x:row>
    <x:row r="594" ht="36" customHeight="1">
      <x:c r="A594" s="50" t="str">
        <x:f>IF(586&gt;$H$4,"",IF(INDEX('Fleet dates'!$A$9:$A$1008,$I594-8)="","",INDEX('Fleet dates'!$A$9:$A$1008,$I594-8)))</x:f>
      </x:c>
      <x:c r="B594" s="50" t="str">
        <x:f>IF(586&gt;$H$4,"",IF(INDEX('Fleet dates'!$B$9:$B$1008,$I594-8)="","",INDEX('Fleet dates'!$B$9:$B$1008,$I594-8)))</x:f>
      </x:c>
      <x:c r="C594" s="51" t="str">
        <x:f>IF(586&gt;$H$4,"",IF(INDEX('Fleet dates'!$C$9:$C$1008,$I594-8)="","",INDEX('Fleet dates'!$C$9:$C$1008,$I594-8)))</x:f>
      </x:c>
      <x:c r="D594" s="51" t="str">
        <x:f>IF(586&gt;$H$4,"",IF(INDEX('Fleet dates'!$D$9:$D$1008,$I594-8)="","",INDEX('Fleet dates'!$D$9:$D$1008,$I594-8)))</x:f>
      </x:c>
      <x:c r="E594" s="51" t="str">
        <x:f>IF(586&gt;$H$4,"",IF(INDEX('Fleet dates'!$E$9:$E$1008,$I594-8)="","",INDEX('Fleet dates'!$E$9:$E$1008,$I594-8)))</x:f>
      </x:c>
      <x:c r="F594" s="51" t="str">
        <x:f>IF(586&gt;$H$4,"",IF(INDEX('Fleet dates'!$F$9:$F$1008,$I594-8)="","",INDEX('Fleet dates'!$F$9:$F$1008,$I594-8)))</x:f>
      </x:c>
      <x:c r="G594" s="50" t="str">
        <x:f>IF(586&gt;$H$4,"",IF(INDEX('Fleet dates'!$G$9:$G$1008,$I594-8)="","",INDEX('Fleet dates'!$G$9:$G$1008,$I594-8)))</x:f>
      </x:c>
      <x:c r="H594" s="50" t="str">
        <x:f>IF(586&gt;$H$4,"",IF(INDEX('Fleet dates'!$I$9:$I$1008,$I594-8)="","",INDEX('Fleet dates'!$I$9:$I$1008,$I594-8)))</x:f>
      </x:c>
      <x:c r="I594" t="str">
        <x:f>IF(586&gt;$H$4,"",MATCH(586,'Fleet dates'!$N$9:$N$1008,0)+8)</x:f>
      </x:c>
    </x:row>
    <x:row r="595" ht="36" customHeight="1">
      <x:c r="A595" s="50" t="str">
        <x:f>IF(587&gt;$H$4,"",IF(INDEX('Fleet dates'!$A$9:$A$1008,$I595-8)="","",INDEX('Fleet dates'!$A$9:$A$1008,$I595-8)))</x:f>
      </x:c>
      <x:c r="B595" s="50" t="str">
        <x:f>IF(587&gt;$H$4,"",IF(INDEX('Fleet dates'!$B$9:$B$1008,$I595-8)="","",INDEX('Fleet dates'!$B$9:$B$1008,$I595-8)))</x:f>
      </x:c>
      <x:c r="C595" s="51" t="str">
        <x:f>IF(587&gt;$H$4,"",IF(INDEX('Fleet dates'!$C$9:$C$1008,$I595-8)="","",INDEX('Fleet dates'!$C$9:$C$1008,$I595-8)))</x:f>
      </x:c>
      <x:c r="D595" s="51" t="str">
        <x:f>IF(587&gt;$H$4,"",IF(INDEX('Fleet dates'!$D$9:$D$1008,$I595-8)="","",INDEX('Fleet dates'!$D$9:$D$1008,$I595-8)))</x:f>
      </x:c>
      <x:c r="E595" s="51" t="str">
        <x:f>IF(587&gt;$H$4,"",IF(INDEX('Fleet dates'!$E$9:$E$1008,$I595-8)="","",INDEX('Fleet dates'!$E$9:$E$1008,$I595-8)))</x:f>
      </x:c>
      <x:c r="F595" s="51" t="str">
        <x:f>IF(587&gt;$H$4,"",IF(INDEX('Fleet dates'!$F$9:$F$1008,$I595-8)="","",INDEX('Fleet dates'!$F$9:$F$1008,$I595-8)))</x:f>
      </x:c>
      <x:c r="G595" s="50" t="str">
        <x:f>IF(587&gt;$H$4,"",IF(INDEX('Fleet dates'!$G$9:$G$1008,$I595-8)="","",INDEX('Fleet dates'!$G$9:$G$1008,$I595-8)))</x:f>
      </x:c>
      <x:c r="H595" s="50" t="str">
        <x:f>IF(587&gt;$H$4,"",IF(INDEX('Fleet dates'!$I$9:$I$1008,$I595-8)="","",INDEX('Fleet dates'!$I$9:$I$1008,$I595-8)))</x:f>
      </x:c>
      <x:c r="I595" t="str">
        <x:f>IF(587&gt;$H$4,"",MATCH(587,'Fleet dates'!$N$9:$N$1008,0)+8)</x:f>
      </x:c>
    </x:row>
    <x:row r="596" ht="36" customHeight="1">
      <x:c r="A596" s="50" t="str">
        <x:f>IF(588&gt;$H$4,"",IF(INDEX('Fleet dates'!$A$9:$A$1008,$I596-8)="","",INDEX('Fleet dates'!$A$9:$A$1008,$I596-8)))</x:f>
      </x:c>
      <x:c r="B596" s="50" t="str">
        <x:f>IF(588&gt;$H$4,"",IF(INDEX('Fleet dates'!$B$9:$B$1008,$I596-8)="","",INDEX('Fleet dates'!$B$9:$B$1008,$I596-8)))</x:f>
      </x:c>
      <x:c r="C596" s="51" t="str">
        <x:f>IF(588&gt;$H$4,"",IF(INDEX('Fleet dates'!$C$9:$C$1008,$I596-8)="","",INDEX('Fleet dates'!$C$9:$C$1008,$I596-8)))</x:f>
      </x:c>
      <x:c r="D596" s="51" t="str">
        <x:f>IF(588&gt;$H$4,"",IF(INDEX('Fleet dates'!$D$9:$D$1008,$I596-8)="","",INDEX('Fleet dates'!$D$9:$D$1008,$I596-8)))</x:f>
      </x:c>
      <x:c r="E596" s="51" t="str">
        <x:f>IF(588&gt;$H$4,"",IF(INDEX('Fleet dates'!$E$9:$E$1008,$I596-8)="","",INDEX('Fleet dates'!$E$9:$E$1008,$I596-8)))</x:f>
      </x:c>
      <x:c r="F596" s="51" t="str">
        <x:f>IF(588&gt;$H$4,"",IF(INDEX('Fleet dates'!$F$9:$F$1008,$I596-8)="","",INDEX('Fleet dates'!$F$9:$F$1008,$I596-8)))</x:f>
      </x:c>
      <x:c r="G596" s="50" t="str">
        <x:f>IF(588&gt;$H$4,"",IF(INDEX('Fleet dates'!$G$9:$G$1008,$I596-8)="","",INDEX('Fleet dates'!$G$9:$G$1008,$I596-8)))</x:f>
      </x:c>
      <x:c r="H596" s="50" t="str">
        <x:f>IF(588&gt;$H$4,"",IF(INDEX('Fleet dates'!$I$9:$I$1008,$I596-8)="","",INDEX('Fleet dates'!$I$9:$I$1008,$I596-8)))</x:f>
      </x:c>
      <x:c r="I596" t="str">
        <x:f>IF(588&gt;$H$4,"",MATCH(588,'Fleet dates'!$N$9:$N$1008,0)+8)</x:f>
      </x:c>
    </x:row>
    <x:row r="597" ht="36" customHeight="1">
      <x:c r="A597" s="50" t="str">
        <x:f>IF(589&gt;$H$4,"",IF(INDEX('Fleet dates'!$A$9:$A$1008,$I597-8)="","",INDEX('Fleet dates'!$A$9:$A$1008,$I597-8)))</x:f>
      </x:c>
      <x:c r="B597" s="50" t="str">
        <x:f>IF(589&gt;$H$4,"",IF(INDEX('Fleet dates'!$B$9:$B$1008,$I597-8)="","",INDEX('Fleet dates'!$B$9:$B$1008,$I597-8)))</x:f>
      </x:c>
      <x:c r="C597" s="51" t="str">
        <x:f>IF(589&gt;$H$4,"",IF(INDEX('Fleet dates'!$C$9:$C$1008,$I597-8)="","",INDEX('Fleet dates'!$C$9:$C$1008,$I597-8)))</x:f>
      </x:c>
      <x:c r="D597" s="51" t="str">
        <x:f>IF(589&gt;$H$4,"",IF(INDEX('Fleet dates'!$D$9:$D$1008,$I597-8)="","",INDEX('Fleet dates'!$D$9:$D$1008,$I597-8)))</x:f>
      </x:c>
      <x:c r="E597" s="51" t="str">
        <x:f>IF(589&gt;$H$4,"",IF(INDEX('Fleet dates'!$E$9:$E$1008,$I597-8)="","",INDEX('Fleet dates'!$E$9:$E$1008,$I597-8)))</x:f>
      </x:c>
      <x:c r="F597" s="51" t="str">
        <x:f>IF(589&gt;$H$4,"",IF(INDEX('Fleet dates'!$F$9:$F$1008,$I597-8)="","",INDEX('Fleet dates'!$F$9:$F$1008,$I597-8)))</x:f>
      </x:c>
      <x:c r="G597" s="50" t="str">
        <x:f>IF(589&gt;$H$4,"",IF(INDEX('Fleet dates'!$G$9:$G$1008,$I597-8)="","",INDEX('Fleet dates'!$G$9:$G$1008,$I597-8)))</x:f>
      </x:c>
      <x:c r="H597" s="50" t="str">
        <x:f>IF(589&gt;$H$4,"",IF(INDEX('Fleet dates'!$I$9:$I$1008,$I597-8)="","",INDEX('Fleet dates'!$I$9:$I$1008,$I597-8)))</x:f>
      </x:c>
      <x:c r="I597" t="str">
        <x:f>IF(589&gt;$H$4,"",MATCH(589,'Fleet dates'!$N$9:$N$1008,0)+8)</x:f>
      </x:c>
    </x:row>
    <x:row r="598" ht="36" customHeight="1">
      <x:c r="A598" s="50" t="str">
        <x:f>IF(590&gt;$H$4,"",IF(INDEX('Fleet dates'!$A$9:$A$1008,$I598-8)="","",INDEX('Fleet dates'!$A$9:$A$1008,$I598-8)))</x:f>
      </x:c>
      <x:c r="B598" s="50" t="str">
        <x:f>IF(590&gt;$H$4,"",IF(INDEX('Fleet dates'!$B$9:$B$1008,$I598-8)="","",INDEX('Fleet dates'!$B$9:$B$1008,$I598-8)))</x:f>
      </x:c>
      <x:c r="C598" s="51" t="str">
        <x:f>IF(590&gt;$H$4,"",IF(INDEX('Fleet dates'!$C$9:$C$1008,$I598-8)="","",INDEX('Fleet dates'!$C$9:$C$1008,$I598-8)))</x:f>
      </x:c>
      <x:c r="D598" s="51" t="str">
        <x:f>IF(590&gt;$H$4,"",IF(INDEX('Fleet dates'!$D$9:$D$1008,$I598-8)="","",INDEX('Fleet dates'!$D$9:$D$1008,$I598-8)))</x:f>
      </x:c>
      <x:c r="E598" s="51" t="str">
        <x:f>IF(590&gt;$H$4,"",IF(INDEX('Fleet dates'!$E$9:$E$1008,$I598-8)="","",INDEX('Fleet dates'!$E$9:$E$1008,$I598-8)))</x:f>
      </x:c>
      <x:c r="F598" s="51" t="str">
        <x:f>IF(590&gt;$H$4,"",IF(INDEX('Fleet dates'!$F$9:$F$1008,$I598-8)="","",INDEX('Fleet dates'!$F$9:$F$1008,$I598-8)))</x:f>
      </x:c>
      <x:c r="G598" s="50" t="str">
        <x:f>IF(590&gt;$H$4,"",IF(INDEX('Fleet dates'!$G$9:$G$1008,$I598-8)="","",INDEX('Fleet dates'!$G$9:$G$1008,$I598-8)))</x:f>
      </x:c>
      <x:c r="H598" s="50" t="str">
        <x:f>IF(590&gt;$H$4,"",IF(INDEX('Fleet dates'!$I$9:$I$1008,$I598-8)="","",INDEX('Fleet dates'!$I$9:$I$1008,$I598-8)))</x:f>
      </x:c>
      <x:c r="I598" t="str">
        <x:f>IF(590&gt;$H$4,"",MATCH(590,'Fleet dates'!$N$9:$N$1008,0)+8)</x:f>
      </x:c>
    </x:row>
    <x:row r="599" ht="36" customHeight="1">
      <x:c r="A599" s="50" t="str">
        <x:f>IF(591&gt;$H$4,"",IF(INDEX('Fleet dates'!$A$9:$A$1008,$I599-8)="","",INDEX('Fleet dates'!$A$9:$A$1008,$I599-8)))</x:f>
      </x:c>
      <x:c r="B599" s="50" t="str">
        <x:f>IF(591&gt;$H$4,"",IF(INDEX('Fleet dates'!$B$9:$B$1008,$I599-8)="","",INDEX('Fleet dates'!$B$9:$B$1008,$I599-8)))</x:f>
      </x:c>
      <x:c r="C599" s="51" t="str">
        <x:f>IF(591&gt;$H$4,"",IF(INDEX('Fleet dates'!$C$9:$C$1008,$I599-8)="","",INDEX('Fleet dates'!$C$9:$C$1008,$I599-8)))</x:f>
      </x:c>
      <x:c r="D599" s="51" t="str">
        <x:f>IF(591&gt;$H$4,"",IF(INDEX('Fleet dates'!$D$9:$D$1008,$I599-8)="","",INDEX('Fleet dates'!$D$9:$D$1008,$I599-8)))</x:f>
      </x:c>
      <x:c r="E599" s="51" t="str">
        <x:f>IF(591&gt;$H$4,"",IF(INDEX('Fleet dates'!$E$9:$E$1008,$I599-8)="","",INDEX('Fleet dates'!$E$9:$E$1008,$I599-8)))</x:f>
      </x:c>
      <x:c r="F599" s="51" t="str">
        <x:f>IF(591&gt;$H$4,"",IF(INDEX('Fleet dates'!$F$9:$F$1008,$I599-8)="","",INDEX('Fleet dates'!$F$9:$F$1008,$I599-8)))</x:f>
      </x:c>
      <x:c r="G599" s="50" t="str">
        <x:f>IF(591&gt;$H$4,"",IF(INDEX('Fleet dates'!$G$9:$G$1008,$I599-8)="","",INDEX('Fleet dates'!$G$9:$G$1008,$I599-8)))</x:f>
      </x:c>
      <x:c r="H599" s="50" t="str">
        <x:f>IF(591&gt;$H$4,"",IF(INDEX('Fleet dates'!$I$9:$I$1008,$I599-8)="","",INDEX('Fleet dates'!$I$9:$I$1008,$I599-8)))</x:f>
      </x:c>
      <x:c r="I599" t="str">
        <x:f>IF(591&gt;$H$4,"",MATCH(591,'Fleet dates'!$N$9:$N$1008,0)+8)</x:f>
      </x:c>
    </x:row>
    <x:row r="600" ht="36" customHeight="1">
      <x:c r="A600" s="50" t="str">
        <x:f>IF(592&gt;$H$4,"",IF(INDEX('Fleet dates'!$A$9:$A$1008,$I600-8)="","",INDEX('Fleet dates'!$A$9:$A$1008,$I600-8)))</x:f>
      </x:c>
      <x:c r="B600" s="50" t="str">
        <x:f>IF(592&gt;$H$4,"",IF(INDEX('Fleet dates'!$B$9:$B$1008,$I600-8)="","",INDEX('Fleet dates'!$B$9:$B$1008,$I600-8)))</x:f>
      </x:c>
      <x:c r="C600" s="51" t="str">
        <x:f>IF(592&gt;$H$4,"",IF(INDEX('Fleet dates'!$C$9:$C$1008,$I600-8)="","",INDEX('Fleet dates'!$C$9:$C$1008,$I600-8)))</x:f>
      </x:c>
      <x:c r="D600" s="51" t="str">
        <x:f>IF(592&gt;$H$4,"",IF(INDEX('Fleet dates'!$D$9:$D$1008,$I600-8)="","",INDEX('Fleet dates'!$D$9:$D$1008,$I600-8)))</x:f>
      </x:c>
      <x:c r="E600" s="51" t="str">
        <x:f>IF(592&gt;$H$4,"",IF(INDEX('Fleet dates'!$E$9:$E$1008,$I600-8)="","",INDEX('Fleet dates'!$E$9:$E$1008,$I600-8)))</x:f>
      </x:c>
      <x:c r="F600" s="51" t="str">
        <x:f>IF(592&gt;$H$4,"",IF(INDEX('Fleet dates'!$F$9:$F$1008,$I600-8)="","",INDEX('Fleet dates'!$F$9:$F$1008,$I600-8)))</x:f>
      </x:c>
      <x:c r="G600" s="50" t="str">
        <x:f>IF(592&gt;$H$4,"",IF(INDEX('Fleet dates'!$G$9:$G$1008,$I600-8)="","",INDEX('Fleet dates'!$G$9:$G$1008,$I600-8)))</x:f>
      </x:c>
      <x:c r="H600" s="50" t="str">
        <x:f>IF(592&gt;$H$4,"",IF(INDEX('Fleet dates'!$I$9:$I$1008,$I600-8)="","",INDEX('Fleet dates'!$I$9:$I$1008,$I600-8)))</x:f>
      </x:c>
      <x:c r="I600" t="str">
        <x:f>IF(592&gt;$H$4,"",MATCH(592,'Fleet dates'!$N$9:$N$1008,0)+8)</x:f>
      </x:c>
    </x:row>
    <x:row r="601" ht="36" customHeight="1">
      <x:c r="A601" s="50" t="str">
        <x:f>IF(593&gt;$H$4,"",IF(INDEX('Fleet dates'!$A$9:$A$1008,$I601-8)="","",INDEX('Fleet dates'!$A$9:$A$1008,$I601-8)))</x:f>
      </x:c>
      <x:c r="B601" s="50" t="str">
        <x:f>IF(593&gt;$H$4,"",IF(INDEX('Fleet dates'!$B$9:$B$1008,$I601-8)="","",INDEX('Fleet dates'!$B$9:$B$1008,$I601-8)))</x:f>
      </x:c>
      <x:c r="C601" s="51" t="str">
        <x:f>IF(593&gt;$H$4,"",IF(INDEX('Fleet dates'!$C$9:$C$1008,$I601-8)="","",INDEX('Fleet dates'!$C$9:$C$1008,$I601-8)))</x:f>
      </x:c>
      <x:c r="D601" s="51" t="str">
        <x:f>IF(593&gt;$H$4,"",IF(INDEX('Fleet dates'!$D$9:$D$1008,$I601-8)="","",INDEX('Fleet dates'!$D$9:$D$1008,$I601-8)))</x:f>
      </x:c>
      <x:c r="E601" s="51" t="str">
        <x:f>IF(593&gt;$H$4,"",IF(INDEX('Fleet dates'!$E$9:$E$1008,$I601-8)="","",INDEX('Fleet dates'!$E$9:$E$1008,$I601-8)))</x:f>
      </x:c>
      <x:c r="F601" s="51" t="str">
        <x:f>IF(593&gt;$H$4,"",IF(INDEX('Fleet dates'!$F$9:$F$1008,$I601-8)="","",INDEX('Fleet dates'!$F$9:$F$1008,$I601-8)))</x:f>
      </x:c>
      <x:c r="G601" s="50" t="str">
        <x:f>IF(593&gt;$H$4,"",IF(INDEX('Fleet dates'!$G$9:$G$1008,$I601-8)="","",INDEX('Fleet dates'!$G$9:$G$1008,$I601-8)))</x:f>
      </x:c>
      <x:c r="H601" s="50" t="str">
        <x:f>IF(593&gt;$H$4,"",IF(INDEX('Fleet dates'!$I$9:$I$1008,$I601-8)="","",INDEX('Fleet dates'!$I$9:$I$1008,$I601-8)))</x:f>
      </x:c>
      <x:c r="I601" t="str">
        <x:f>IF(593&gt;$H$4,"",MATCH(593,'Fleet dates'!$N$9:$N$1008,0)+8)</x:f>
      </x:c>
    </x:row>
    <x:row r="602" ht="36" customHeight="1">
      <x:c r="A602" s="50" t="str">
        <x:f>IF(594&gt;$H$4,"",IF(INDEX('Fleet dates'!$A$9:$A$1008,$I602-8)="","",INDEX('Fleet dates'!$A$9:$A$1008,$I602-8)))</x:f>
      </x:c>
      <x:c r="B602" s="50" t="str">
        <x:f>IF(594&gt;$H$4,"",IF(INDEX('Fleet dates'!$B$9:$B$1008,$I602-8)="","",INDEX('Fleet dates'!$B$9:$B$1008,$I602-8)))</x:f>
      </x:c>
      <x:c r="C602" s="51" t="str">
        <x:f>IF(594&gt;$H$4,"",IF(INDEX('Fleet dates'!$C$9:$C$1008,$I602-8)="","",INDEX('Fleet dates'!$C$9:$C$1008,$I602-8)))</x:f>
      </x:c>
      <x:c r="D602" s="51" t="str">
        <x:f>IF(594&gt;$H$4,"",IF(INDEX('Fleet dates'!$D$9:$D$1008,$I602-8)="","",INDEX('Fleet dates'!$D$9:$D$1008,$I602-8)))</x:f>
      </x:c>
      <x:c r="E602" s="51" t="str">
        <x:f>IF(594&gt;$H$4,"",IF(INDEX('Fleet dates'!$E$9:$E$1008,$I602-8)="","",INDEX('Fleet dates'!$E$9:$E$1008,$I602-8)))</x:f>
      </x:c>
      <x:c r="F602" s="51" t="str">
        <x:f>IF(594&gt;$H$4,"",IF(INDEX('Fleet dates'!$F$9:$F$1008,$I602-8)="","",INDEX('Fleet dates'!$F$9:$F$1008,$I602-8)))</x:f>
      </x:c>
      <x:c r="G602" s="50" t="str">
        <x:f>IF(594&gt;$H$4,"",IF(INDEX('Fleet dates'!$G$9:$G$1008,$I602-8)="","",INDEX('Fleet dates'!$G$9:$G$1008,$I602-8)))</x:f>
      </x:c>
      <x:c r="H602" s="50" t="str">
        <x:f>IF(594&gt;$H$4,"",IF(INDEX('Fleet dates'!$I$9:$I$1008,$I602-8)="","",INDEX('Fleet dates'!$I$9:$I$1008,$I602-8)))</x:f>
      </x:c>
      <x:c r="I602" t="str">
        <x:f>IF(594&gt;$H$4,"",MATCH(594,'Fleet dates'!$N$9:$N$1008,0)+8)</x:f>
      </x:c>
    </x:row>
    <x:row r="603" ht="36" customHeight="1">
      <x:c r="A603" s="50" t="str">
        <x:f>IF(595&gt;$H$4,"",IF(INDEX('Fleet dates'!$A$9:$A$1008,$I603-8)="","",INDEX('Fleet dates'!$A$9:$A$1008,$I603-8)))</x:f>
      </x:c>
      <x:c r="B603" s="50" t="str">
        <x:f>IF(595&gt;$H$4,"",IF(INDEX('Fleet dates'!$B$9:$B$1008,$I603-8)="","",INDEX('Fleet dates'!$B$9:$B$1008,$I603-8)))</x:f>
      </x:c>
      <x:c r="C603" s="51" t="str">
        <x:f>IF(595&gt;$H$4,"",IF(INDEX('Fleet dates'!$C$9:$C$1008,$I603-8)="","",INDEX('Fleet dates'!$C$9:$C$1008,$I603-8)))</x:f>
      </x:c>
      <x:c r="D603" s="51" t="str">
        <x:f>IF(595&gt;$H$4,"",IF(INDEX('Fleet dates'!$D$9:$D$1008,$I603-8)="","",INDEX('Fleet dates'!$D$9:$D$1008,$I603-8)))</x:f>
      </x:c>
      <x:c r="E603" s="51" t="str">
        <x:f>IF(595&gt;$H$4,"",IF(INDEX('Fleet dates'!$E$9:$E$1008,$I603-8)="","",INDEX('Fleet dates'!$E$9:$E$1008,$I603-8)))</x:f>
      </x:c>
      <x:c r="F603" s="51" t="str">
        <x:f>IF(595&gt;$H$4,"",IF(INDEX('Fleet dates'!$F$9:$F$1008,$I603-8)="","",INDEX('Fleet dates'!$F$9:$F$1008,$I603-8)))</x:f>
      </x:c>
      <x:c r="G603" s="50" t="str">
        <x:f>IF(595&gt;$H$4,"",IF(INDEX('Fleet dates'!$G$9:$G$1008,$I603-8)="","",INDEX('Fleet dates'!$G$9:$G$1008,$I603-8)))</x:f>
      </x:c>
      <x:c r="H603" s="50" t="str">
        <x:f>IF(595&gt;$H$4,"",IF(INDEX('Fleet dates'!$I$9:$I$1008,$I603-8)="","",INDEX('Fleet dates'!$I$9:$I$1008,$I603-8)))</x:f>
      </x:c>
      <x:c r="I603" t="str">
        <x:f>IF(595&gt;$H$4,"",MATCH(595,'Fleet dates'!$N$9:$N$1008,0)+8)</x:f>
      </x:c>
    </x:row>
    <x:row r="604" ht="36" customHeight="1">
      <x:c r="A604" s="50" t="str">
        <x:f>IF(596&gt;$H$4,"",IF(INDEX('Fleet dates'!$A$9:$A$1008,$I604-8)="","",INDEX('Fleet dates'!$A$9:$A$1008,$I604-8)))</x:f>
      </x:c>
      <x:c r="B604" s="50" t="str">
        <x:f>IF(596&gt;$H$4,"",IF(INDEX('Fleet dates'!$B$9:$B$1008,$I604-8)="","",INDEX('Fleet dates'!$B$9:$B$1008,$I604-8)))</x:f>
      </x:c>
      <x:c r="C604" s="51" t="str">
        <x:f>IF(596&gt;$H$4,"",IF(INDEX('Fleet dates'!$C$9:$C$1008,$I604-8)="","",INDEX('Fleet dates'!$C$9:$C$1008,$I604-8)))</x:f>
      </x:c>
      <x:c r="D604" s="51" t="str">
        <x:f>IF(596&gt;$H$4,"",IF(INDEX('Fleet dates'!$D$9:$D$1008,$I604-8)="","",INDEX('Fleet dates'!$D$9:$D$1008,$I604-8)))</x:f>
      </x:c>
      <x:c r="E604" s="51" t="str">
        <x:f>IF(596&gt;$H$4,"",IF(INDEX('Fleet dates'!$E$9:$E$1008,$I604-8)="","",INDEX('Fleet dates'!$E$9:$E$1008,$I604-8)))</x:f>
      </x:c>
      <x:c r="F604" s="51" t="str">
        <x:f>IF(596&gt;$H$4,"",IF(INDEX('Fleet dates'!$F$9:$F$1008,$I604-8)="","",INDEX('Fleet dates'!$F$9:$F$1008,$I604-8)))</x:f>
      </x:c>
      <x:c r="G604" s="50" t="str">
        <x:f>IF(596&gt;$H$4,"",IF(INDEX('Fleet dates'!$G$9:$G$1008,$I604-8)="","",INDEX('Fleet dates'!$G$9:$G$1008,$I604-8)))</x:f>
      </x:c>
      <x:c r="H604" s="50" t="str">
        <x:f>IF(596&gt;$H$4,"",IF(INDEX('Fleet dates'!$I$9:$I$1008,$I604-8)="","",INDEX('Fleet dates'!$I$9:$I$1008,$I604-8)))</x:f>
      </x:c>
      <x:c r="I604" t="str">
        <x:f>IF(596&gt;$H$4,"",MATCH(596,'Fleet dates'!$N$9:$N$1008,0)+8)</x:f>
      </x:c>
    </x:row>
    <x:row r="605" ht="36" customHeight="1">
      <x:c r="A605" s="50" t="str">
        <x:f>IF(597&gt;$H$4,"",IF(INDEX('Fleet dates'!$A$9:$A$1008,$I605-8)="","",INDEX('Fleet dates'!$A$9:$A$1008,$I605-8)))</x:f>
      </x:c>
      <x:c r="B605" s="50" t="str">
        <x:f>IF(597&gt;$H$4,"",IF(INDEX('Fleet dates'!$B$9:$B$1008,$I605-8)="","",INDEX('Fleet dates'!$B$9:$B$1008,$I605-8)))</x:f>
      </x:c>
      <x:c r="C605" s="51" t="str">
        <x:f>IF(597&gt;$H$4,"",IF(INDEX('Fleet dates'!$C$9:$C$1008,$I605-8)="","",INDEX('Fleet dates'!$C$9:$C$1008,$I605-8)))</x:f>
      </x:c>
      <x:c r="D605" s="51" t="str">
        <x:f>IF(597&gt;$H$4,"",IF(INDEX('Fleet dates'!$D$9:$D$1008,$I605-8)="","",INDEX('Fleet dates'!$D$9:$D$1008,$I605-8)))</x:f>
      </x:c>
      <x:c r="E605" s="51" t="str">
        <x:f>IF(597&gt;$H$4,"",IF(INDEX('Fleet dates'!$E$9:$E$1008,$I605-8)="","",INDEX('Fleet dates'!$E$9:$E$1008,$I605-8)))</x:f>
      </x:c>
      <x:c r="F605" s="51" t="str">
        <x:f>IF(597&gt;$H$4,"",IF(INDEX('Fleet dates'!$F$9:$F$1008,$I605-8)="","",INDEX('Fleet dates'!$F$9:$F$1008,$I605-8)))</x:f>
      </x:c>
      <x:c r="G605" s="50" t="str">
        <x:f>IF(597&gt;$H$4,"",IF(INDEX('Fleet dates'!$G$9:$G$1008,$I605-8)="","",INDEX('Fleet dates'!$G$9:$G$1008,$I605-8)))</x:f>
      </x:c>
      <x:c r="H605" s="50" t="str">
        <x:f>IF(597&gt;$H$4,"",IF(INDEX('Fleet dates'!$I$9:$I$1008,$I605-8)="","",INDEX('Fleet dates'!$I$9:$I$1008,$I605-8)))</x:f>
      </x:c>
      <x:c r="I605" t="str">
        <x:f>IF(597&gt;$H$4,"",MATCH(597,'Fleet dates'!$N$9:$N$1008,0)+8)</x:f>
      </x:c>
    </x:row>
    <x:row r="606" ht="36" customHeight="1">
      <x:c r="A606" s="50" t="str">
        <x:f>IF(598&gt;$H$4,"",IF(INDEX('Fleet dates'!$A$9:$A$1008,$I606-8)="","",INDEX('Fleet dates'!$A$9:$A$1008,$I606-8)))</x:f>
      </x:c>
      <x:c r="B606" s="50" t="str">
        <x:f>IF(598&gt;$H$4,"",IF(INDEX('Fleet dates'!$B$9:$B$1008,$I606-8)="","",INDEX('Fleet dates'!$B$9:$B$1008,$I606-8)))</x:f>
      </x:c>
      <x:c r="C606" s="51" t="str">
        <x:f>IF(598&gt;$H$4,"",IF(INDEX('Fleet dates'!$C$9:$C$1008,$I606-8)="","",INDEX('Fleet dates'!$C$9:$C$1008,$I606-8)))</x:f>
      </x:c>
      <x:c r="D606" s="51" t="str">
        <x:f>IF(598&gt;$H$4,"",IF(INDEX('Fleet dates'!$D$9:$D$1008,$I606-8)="","",INDEX('Fleet dates'!$D$9:$D$1008,$I606-8)))</x:f>
      </x:c>
      <x:c r="E606" s="51" t="str">
        <x:f>IF(598&gt;$H$4,"",IF(INDEX('Fleet dates'!$E$9:$E$1008,$I606-8)="","",INDEX('Fleet dates'!$E$9:$E$1008,$I606-8)))</x:f>
      </x:c>
      <x:c r="F606" s="51" t="str">
        <x:f>IF(598&gt;$H$4,"",IF(INDEX('Fleet dates'!$F$9:$F$1008,$I606-8)="","",INDEX('Fleet dates'!$F$9:$F$1008,$I606-8)))</x:f>
      </x:c>
      <x:c r="G606" s="50" t="str">
        <x:f>IF(598&gt;$H$4,"",IF(INDEX('Fleet dates'!$G$9:$G$1008,$I606-8)="","",INDEX('Fleet dates'!$G$9:$G$1008,$I606-8)))</x:f>
      </x:c>
      <x:c r="H606" s="50" t="str">
        <x:f>IF(598&gt;$H$4,"",IF(INDEX('Fleet dates'!$I$9:$I$1008,$I606-8)="","",INDEX('Fleet dates'!$I$9:$I$1008,$I606-8)))</x:f>
      </x:c>
      <x:c r="I606" t="str">
        <x:f>IF(598&gt;$H$4,"",MATCH(598,'Fleet dates'!$N$9:$N$1008,0)+8)</x:f>
      </x:c>
    </x:row>
    <x:row r="607" ht="36" customHeight="1">
      <x:c r="A607" s="50" t="str">
        <x:f>IF(599&gt;$H$4,"",IF(INDEX('Fleet dates'!$A$9:$A$1008,$I607-8)="","",INDEX('Fleet dates'!$A$9:$A$1008,$I607-8)))</x:f>
      </x:c>
      <x:c r="B607" s="50" t="str">
        <x:f>IF(599&gt;$H$4,"",IF(INDEX('Fleet dates'!$B$9:$B$1008,$I607-8)="","",INDEX('Fleet dates'!$B$9:$B$1008,$I607-8)))</x:f>
      </x:c>
      <x:c r="C607" s="51" t="str">
        <x:f>IF(599&gt;$H$4,"",IF(INDEX('Fleet dates'!$C$9:$C$1008,$I607-8)="","",INDEX('Fleet dates'!$C$9:$C$1008,$I607-8)))</x:f>
      </x:c>
      <x:c r="D607" s="51" t="str">
        <x:f>IF(599&gt;$H$4,"",IF(INDEX('Fleet dates'!$D$9:$D$1008,$I607-8)="","",INDEX('Fleet dates'!$D$9:$D$1008,$I607-8)))</x:f>
      </x:c>
      <x:c r="E607" s="51" t="str">
        <x:f>IF(599&gt;$H$4,"",IF(INDEX('Fleet dates'!$E$9:$E$1008,$I607-8)="","",INDEX('Fleet dates'!$E$9:$E$1008,$I607-8)))</x:f>
      </x:c>
      <x:c r="F607" s="51" t="str">
        <x:f>IF(599&gt;$H$4,"",IF(INDEX('Fleet dates'!$F$9:$F$1008,$I607-8)="","",INDEX('Fleet dates'!$F$9:$F$1008,$I607-8)))</x:f>
      </x:c>
      <x:c r="G607" s="50" t="str">
        <x:f>IF(599&gt;$H$4,"",IF(INDEX('Fleet dates'!$G$9:$G$1008,$I607-8)="","",INDEX('Fleet dates'!$G$9:$G$1008,$I607-8)))</x:f>
      </x:c>
      <x:c r="H607" s="50" t="str">
        <x:f>IF(599&gt;$H$4,"",IF(INDEX('Fleet dates'!$I$9:$I$1008,$I607-8)="","",INDEX('Fleet dates'!$I$9:$I$1008,$I607-8)))</x:f>
      </x:c>
      <x:c r="I607" t="str">
        <x:f>IF(599&gt;$H$4,"",MATCH(599,'Fleet dates'!$N$9:$N$1008,0)+8)</x:f>
      </x:c>
    </x:row>
    <x:row r="608" ht="36" customHeight="1">
      <x:c r="A608" s="50" t="str">
        <x:f>IF(600&gt;$H$4,"",IF(INDEX('Fleet dates'!$A$9:$A$1008,$I608-8)="","",INDEX('Fleet dates'!$A$9:$A$1008,$I608-8)))</x:f>
      </x:c>
      <x:c r="B608" s="50" t="str">
        <x:f>IF(600&gt;$H$4,"",IF(INDEX('Fleet dates'!$B$9:$B$1008,$I608-8)="","",INDEX('Fleet dates'!$B$9:$B$1008,$I608-8)))</x:f>
      </x:c>
      <x:c r="C608" s="51" t="str">
        <x:f>IF(600&gt;$H$4,"",IF(INDEX('Fleet dates'!$C$9:$C$1008,$I608-8)="","",INDEX('Fleet dates'!$C$9:$C$1008,$I608-8)))</x:f>
      </x:c>
      <x:c r="D608" s="51" t="str">
        <x:f>IF(600&gt;$H$4,"",IF(INDEX('Fleet dates'!$D$9:$D$1008,$I608-8)="","",INDEX('Fleet dates'!$D$9:$D$1008,$I608-8)))</x:f>
      </x:c>
      <x:c r="E608" s="51" t="str">
        <x:f>IF(600&gt;$H$4,"",IF(INDEX('Fleet dates'!$E$9:$E$1008,$I608-8)="","",INDEX('Fleet dates'!$E$9:$E$1008,$I608-8)))</x:f>
      </x:c>
      <x:c r="F608" s="51" t="str">
        <x:f>IF(600&gt;$H$4,"",IF(INDEX('Fleet dates'!$F$9:$F$1008,$I608-8)="","",INDEX('Fleet dates'!$F$9:$F$1008,$I608-8)))</x:f>
      </x:c>
      <x:c r="G608" s="50" t="str">
        <x:f>IF(600&gt;$H$4,"",IF(INDEX('Fleet dates'!$G$9:$G$1008,$I608-8)="","",INDEX('Fleet dates'!$G$9:$G$1008,$I608-8)))</x:f>
      </x:c>
      <x:c r="H608" s="50" t="str">
        <x:f>IF(600&gt;$H$4,"",IF(INDEX('Fleet dates'!$I$9:$I$1008,$I608-8)="","",INDEX('Fleet dates'!$I$9:$I$1008,$I608-8)))</x:f>
      </x:c>
      <x:c r="I608" t="str">
        <x:f>IF(600&gt;$H$4,"",MATCH(600,'Fleet dates'!$N$9:$N$1008,0)+8)</x:f>
      </x:c>
    </x:row>
    <x:row r="609" ht="36" customHeight="1">
      <x:c r="A609" s="50" t="str">
        <x:f>IF(601&gt;$H$4,"",IF(INDEX('Fleet dates'!$A$9:$A$1008,$I609-8)="","",INDEX('Fleet dates'!$A$9:$A$1008,$I609-8)))</x:f>
      </x:c>
      <x:c r="B609" s="50" t="str">
        <x:f>IF(601&gt;$H$4,"",IF(INDEX('Fleet dates'!$B$9:$B$1008,$I609-8)="","",INDEX('Fleet dates'!$B$9:$B$1008,$I609-8)))</x:f>
      </x:c>
      <x:c r="C609" s="51" t="str">
        <x:f>IF(601&gt;$H$4,"",IF(INDEX('Fleet dates'!$C$9:$C$1008,$I609-8)="","",INDEX('Fleet dates'!$C$9:$C$1008,$I609-8)))</x:f>
      </x:c>
      <x:c r="D609" s="51" t="str">
        <x:f>IF(601&gt;$H$4,"",IF(INDEX('Fleet dates'!$D$9:$D$1008,$I609-8)="","",INDEX('Fleet dates'!$D$9:$D$1008,$I609-8)))</x:f>
      </x:c>
      <x:c r="E609" s="51" t="str">
        <x:f>IF(601&gt;$H$4,"",IF(INDEX('Fleet dates'!$E$9:$E$1008,$I609-8)="","",INDEX('Fleet dates'!$E$9:$E$1008,$I609-8)))</x:f>
      </x:c>
      <x:c r="F609" s="51" t="str">
        <x:f>IF(601&gt;$H$4,"",IF(INDEX('Fleet dates'!$F$9:$F$1008,$I609-8)="","",INDEX('Fleet dates'!$F$9:$F$1008,$I609-8)))</x:f>
      </x:c>
      <x:c r="G609" s="50" t="str">
        <x:f>IF(601&gt;$H$4,"",IF(INDEX('Fleet dates'!$G$9:$G$1008,$I609-8)="","",INDEX('Fleet dates'!$G$9:$G$1008,$I609-8)))</x:f>
      </x:c>
      <x:c r="H609" s="50" t="str">
        <x:f>IF(601&gt;$H$4,"",IF(INDEX('Fleet dates'!$I$9:$I$1008,$I609-8)="","",INDEX('Fleet dates'!$I$9:$I$1008,$I609-8)))</x:f>
      </x:c>
      <x:c r="I609" t="str">
        <x:f>IF(601&gt;$H$4,"",MATCH(601,'Fleet dates'!$N$9:$N$1008,0)+8)</x:f>
      </x:c>
    </x:row>
    <x:row r="610" ht="36" customHeight="1">
      <x:c r="A610" s="50" t="str">
        <x:f>IF(602&gt;$H$4,"",IF(INDEX('Fleet dates'!$A$9:$A$1008,$I610-8)="","",INDEX('Fleet dates'!$A$9:$A$1008,$I610-8)))</x:f>
      </x:c>
      <x:c r="B610" s="50" t="str">
        <x:f>IF(602&gt;$H$4,"",IF(INDEX('Fleet dates'!$B$9:$B$1008,$I610-8)="","",INDEX('Fleet dates'!$B$9:$B$1008,$I610-8)))</x:f>
      </x:c>
      <x:c r="C610" s="51" t="str">
        <x:f>IF(602&gt;$H$4,"",IF(INDEX('Fleet dates'!$C$9:$C$1008,$I610-8)="","",INDEX('Fleet dates'!$C$9:$C$1008,$I610-8)))</x:f>
      </x:c>
      <x:c r="D610" s="51" t="str">
        <x:f>IF(602&gt;$H$4,"",IF(INDEX('Fleet dates'!$D$9:$D$1008,$I610-8)="","",INDEX('Fleet dates'!$D$9:$D$1008,$I610-8)))</x:f>
      </x:c>
      <x:c r="E610" s="51" t="str">
        <x:f>IF(602&gt;$H$4,"",IF(INDEX('Fleet dates'!$E$9:$E$1008,$I610-8)="","",INDEX('Fleet dates'!$E$9:$E$1008,$I610-8)))</x:f>
      </x:c>
      <x:c r="F610" s="51" t="str">
        <x:f>IF(602&gt;$H$4,"",IF(INDEX('Fleet dates'!$F$9:$F$1008,$I610-8)="","",INDEX('Fleet dates'!$F$9:$F$1008,$I610-8)))</x:f>
      </x:c>
      <x:c r="G610" s="50" t="str">
        <x:f>IF(602&gt;$H$4,"",IF(INDEX('Fleet dates'!$G$9:$G$1008,$I610-8)="","",INDEX('Fleet dates'!$G$9:$G$1008,$I610-8)))</x:f>
      </x:c>
      <x:c r="H610" s="50" t="str">
        <x:f>IF(602&gt;$H$4,"",IF(INDEX('Fleet dates'!$I$9:$I$1008,$I610-8)="","",INDEX('Fleet dates'!$I$9:$I$1008,$I610-8)))</x:f>
      </x:c>
      <x:c r="I610" t="str">
        <x:f>IF(602&gt;$H$4,"",MATCH(602,'Fleet dates'!$N$9:$N$1008,0)+8)</x:f>
      </x:c>
    </x:row>
    <x:row r="611" ht="36" customHeight="1">
      <x:c r="A611" s="50" t="str">
        <x:f>IF(603&gt;$H$4,"",IF(INDEX('Fleet dates'!$A$9:$A$1008,$I611-8)="","",INDEX('Fleet dates'!$A$9:$A$1008,$I611-8)))</x:f>
      </x:c>
      <x:c r="B611" s="50" t="str">
        <x:f>IF(603&gt;$H$4,"",IF(INDEX('Fleet dates'!$B$9:$B$1008,$I611-8)="","",INDEX('Fleet dates'!$B$9:$B$1008,$I611-8)))</x:f>
      </x:c>
      <x:c r="C611" s="51" t="str">
        <x:f>IF(603&gt;$H$4,"",IF(INDEX('Fleet dates'!$C$9:$C$1008,$I611-8)="","",INDEX('Fleet dates'!$C$9:$C$1008,$I611-8)))</x:f>
      </x:c>
      <x:c r="D611" s="51" t="str">
        <x:f>IF(603&gt;$H$4,"",IF(INDEX('Fleet dates'!$D$9:$D$1008,$I611-8)="","",INDEX('Fleet dates'!$D$9:$D$1008,$I611-8)))</x:f>
      </x:c>
      <x:c r="E611" s="51" t="str">
        <x:f>IF(603&gt;$H$4,"",IF(INDEX('Fleet dates'!$E$9:$E$1008,$I611-8)="","",INDEX('Fleet dates'!$E$9:$E$1008,$I611-8)))</x:f>
      </x:c>
      <x:c r="F611" s="51" t="str">
        <x:f>IF(603&gt;$H$4,"",IF(INDEX('Fleet dates'!$F$9:$F$1008,$I611-8)="","",INDEX('Fleet dates'!$F$9:$F$1008,$I611-8)))</x:f>
      </x:c>
      <x:c r="G611" s="50" t="str">
        <x:f>IF(603&gt;$H$4,"",IF(INDEX('Fleet dates'!$G$9:$G$1008,$I611-8)="","",INDEX('Fleet dates'!$G$9:$G$1008,$I611-8)))</x:f>
      </x:c>
      <x:c r="H611" s="50" t="str">
        <x:f>IF(603&gt;$H$4,"",IF(INDEX('Fleet dates'!$I$9:$I$1008,$I611-8)="","",INDEX('Fleet dates'!$I$9:$I$1008,$I611-8)))</x:f>
      </x:c>
      <x:c r="I611" t="str">
        <x:f>IF(603&gt;$H$4,"",MATCH(603,'Fleet dates'!$N$9:$N$1008,0)+8)</x:f>
      </x:c>
    </x:row>
    <x:row r="612" ht="36" customHeight="1">
      <x:c r="A612" s="50" t="str">
        <x:f>IF(604&gt;$H$4,"",IF(INDEX('Fleet dates'!$A$9:$A$1008,$I612-8)="","",INDEX('Fleet dates'!$A$9:$A$1008,$I612-8)))</x:f>
      </x:c>
      <x:c r="B612" s="50" t="str">
        <x:f>IF(604&gt;$H$4,"",IF(INDEX('Fleet dates'!$B$9:$B$1008,$I612-8)="","",INDEX('Fleet dates'!$B$9:$B$1008,$I612-8)))</x:f>
      </x:c>
      <x:c r="C612" s="51" t="str">
        <x:f>IF(604&gt;$H$4,"",IF(INDEX('Fleet dates'!$C$9:$C$1008,$I612-8)="","",INDEX('Fleet dates'!$C$9:$C$1008,$I612-8)))</x:f>
      </x:c>
      <x:c r="D612" s="51" t="str">
        <x:f>IF(604&gt;$H$4,"",IF(INDEX('Fleet dates'!$D$9:$D$1008,$I612-8)="","",INDEX('Fleet dates'!$D$9:$D$1008,$I612-8)))</x:f>
      </x:c>
      <x:c r="E612" s="51" t="str">
        <x:f>IF(604&gt;$H$4,"",IF(INDEX('Fleet dates'!$E$9:$E$1008,$I612-8)="","",INDEX('Fleet dates'!$E$9:$E$1008,$I612-8)))</x:f>
      </x:c>
      <x:c r="F612" s="51" t="str">
        <x:f>IF(604&gt;$H$4,"",IF(INDEX('Fleet dates'!$F$9:$F$1008,$I612-8)="","",INDEX('Fleet dates'!$F$9:$F$1008,$I612-8)))</x:f>
      </x:c>
      <x:c r="G612" s="50" t="str">
        <x:f>IF(604&gt;$H$4,"",IF(INDEX('Fleet dates'!$G$9:$G$1008,$I612-8)="","",INDEX('Fleet dates'!$G$9:$G$1008,$I612-8)))</x:f>
      </x:c>
      <x:c r="H612" s="50" t="str">
        <x:f>IF(604&gt;$H$4,"",IF(INDEX('Fleet dates'!$I$9:$I$1008,$I612-8)="","",INDEX('Fleet dates'!$I$9:$I$1008,$I612-8)))</x:f>
      </x:c>
      <x:c r="I612" t="str">
        <x:f>IF(604&gt;$H$4,"",MATCH(604,'Fleet dates'!$N$9:$N$1008,0)+8)</x:f>
      </x:c>
    </x:row>
    <x:row r="613" ht="36" customHeight="1">
      <x:c r="A613" s="50" t="str">
        <x:f>IF(605&gt;$H$4,"",IF(INDEX('Fleet dates'!$A$9:$A$1008,$I613-8)="","",INDEX('Fleet dates'!$A$9:$A$1008,$I613-8)))</x:f>
      </x:c>
      <x:c r="B613" s="50" t="str">
        <x:f>IF(605&gt;$H$4,"",IF(INDEX('Fleet dates'!$B$9:$B$1008,$I613-8)="","",INDEX('Fleet dates'!$B$9:$B$1008,$I613-8)))</x:f>
      </x:c>
      <x:c r="C613" s="51" t="str">
        <x:f>IF(605&gt;$H$4,"",IF(INDEX('Fleet dates'!$C$9:$C$1008,$I613-8)="","",INDEX('Fleet dates'!$C$9:$C$1008,$I613-8)))</x:f>
      </x:c>
      <x:c r="D613" s="51" t="str">
        <x:f>IF(605&gt;$H$4,"",IF(INDEX('Fleet dates'!$D$9:$D$1008,$I613-8)="","",INDEX('Fleet dates'!$D$9:$D$1008,$I613-8)))</x:f>
      </x:c>
      <x:c r="E613" s="51" t="str">
        <x:f>IF(605&gt;$H$4,"",IF(INDEX('Fleet dates'!$E$9:$E$1008,$I613-8)="","",INDEX('Fleet dates'!$E$9:$E$1008,$I613-8)))</x:f>
      </x:c>
      <x:c r="F613" s="51" t="str">
        <x:f>IF(605&gt;$H$4,"",IF(INDEX('Fleet dates'!$F$9:$F$1008,$I613-8)="","",INDEX('Fleet dates'!$F$9:$F$1008,$I613-8)))</x:f>
      </x:c>
      <x:c r="G613" s="50" t="str">
        <x:f>IF(605&gt;$H$4,"",IF(INDEX('Fleet dates'!$G$9:$G$1008,$I613-8)="","",INDEX('Fleet dates'!$G$9:$G$1008,$I613-8)))</x:f>
      </x:c>
      <x:c r="H613" s="50" t="str">
        <x:f>IF(605&gt;$H$4,"",IF(INDEX('Fleet dates'!$I$9:$I$1008,$I613-8)="","",INDEX('Fleet dates'!$I$9:$I$1008,$I613-8)))</x:f>
      </x:c>
      <x:c r="I613" t="str">
        <x:f>IF(605&gt;$H$4,"",MATCH(605,'Fleet dates'!$N$9:$N$1008,0)+8)</x:f>
      </x:c>
    </x:row>
    <x:row r="614" ht="36" customHeight="1">
      <x:c r="A614" s="50" t="str">
        <x:f>IF(606&gt;$H$4,"",IF(INDEX('Fleet dates'!$A$9:$A$1008,$I614-8)="","",INDEX('Fleet dates'!$A$9:$A$1008,$I614-8)))</x:f>
      </x:c>
      <x:c r="B614" s="50" t="str">
        <x:f>IF(606&gt;$H$4,"",IF(INDEX('Fleet dates'!$B$9:$B$1008,$I614-8)="","",INDEX('Fleet dates'!$B$9:$B$1008,$I614-8)))</x:f>
      </x:c>
      <x:c r="C614" s="51" t="str">
        <x:f>IF(606&gt;$H$4,"",IF(INDEX('Fleet dates'!$C$9:$C$1008,$I614-8)="","",INDEX('Fleet dates'!$C$9:$C$1008,$I614-8)))</x:f>
      </x:c>
      <x:c r="D614" s="51" t="str">
        <x:f>IF(606&gt;$H$4,"",IF(INDEX('Fleet dates'!$D$9:$D$1008,$I614-8)="","",INDEX('Fleet dates'!$D$9:$D$1008,$I614-8)))</x:f>
      </x:c>
      <x:c r="E614" s="51" t="str">
        <x:f>IF(606&gt;$H$4,"",IF(INDEX('Fleet dates'!$E$9:$E$1008,$I614-8)="","",INDEX('Fleet dates'!$E$9:$E$1008,$I614-8)))</x:f>
      </x:c>
      <x:c r="F614" s="51" t="str">
        <x:f>IF(606&gt;$H$4,"",IF(INDEX('Fleet dates'!$F$9:$F$1008,$I614-8)="","",INDEX('Fleet dates'!$F$9:$F$1008,$I614-8)))</x:f>
      </x:c>
      <x:c r="G614" s="50" t="str">
        <x:f>IF(606&gt;$H$4,"",IF(INDEX('Fleet dates'!$G$9:$G$1008,$I614-8)="","",INDEX('Fleet dates'!$G$9:$G$1008,$I614-8)))</x:f>
      </x:c>
      <x:c r="H614" s="50" t="str">
        <x:f>IF(606&gt;$H$4,"",IF(INDEX('Fleet dates'!$I$9:$I$1008,$I614-8)="","",INDEX('Fleet dates'!$I$9:$I$1008,$I614-8)))</x:f>
      </x:c>
      <x:c r="I614" t="str">
        <x:f>IF(606&gt;$H$4,"",MATCH(606,'Fleet dates'!$N$9:$N$1008,0)+8)</x:f>
      </x:c>
    </x:row>
    <x:row r="615" ht="36" customHeight="1">
      <x:c r="A615" s="50" t="str">
        <x:f>IF(607&gt;$H$4,"",IF(INDEX('Fleet dates'!$A$9:$A$1008,$I615-8)="","",INDEX('Fleet dates'!$A$9:$A$1008,$I615-8)))</x:f>
      </x:c>
      <x:c r="B615" s="50" t="str">
        <x:f>IF(607&gt;$H$4,"",IF(INDEX('Fleet dates'!$B$9:$B$1008,$I615-8)="","",INDEX('Fleet dates'!$B$9:$B$1008,$I615-8)))</x:f>
      </x:c>
      <x:c r="C615" s="51" t="str">
        <x:f>IF(607&gt;$H$4,"",IF(INDEX('Fleet dates'!$C$9:$C$1008,$I615-8)="","",INDEX('Fleet dates'!$C$9:$C$1008,$I615-8)))</x:f>
      </x:c>
      <x:c r="D615" s="51" t="str">
        <x:f>IF(607&gt;$H$4,"",IF(INDEX('Fleet dates'!$D$9:$D$1008,$I615-8)="","",INDEX('Fleet dates'!$D$9:$D$1008,$I615-8)))</x:f>
      </x:c>
      <x:c r="E615" s="51" t="str">
        <x:f>IF(607&gt;$H$4,"",IF(INDEX('Fleet dates'!$E$9:$E$1008,$I615-8)="","",INDEX('Fleet dates'!$E$9:$E$1008,$I615-8)))</x:f>
      </x:c>
      <x:c r="F615" s="51" t="str">
        <x:f>IF(607&gt;$H$4,"",IF(INDEX('Fleet dates'!$F$9:$F$1008,$I615-8)="","",INDEX('Fleet dates'!$F$9:$F$1008,$I615-8)))</x:f>
      </x:c>
      <x:c r="G615" s="50" t="str">
        <x:f>IF(607&gt;$H$4,"",IF(INDEX('Fleet dates'!$G$9:$G$1008,$I615-8)="","",INDEX('Fleet dates'!$G$9:$G$1008,$I615-8)))</x:f>
      </x:c>
      <x:c r="H615" s="50" t="str">
        <x:f>IF(607&gt;$H$4,"",IF(INDEX('Fleet dates'!$I$9:$I$1008,$I615-8)="","",INDEX('Fleet dates'!$I$9:$I$1008,$I615-8)))</x:f>
      </x:c>
      <x:c r="I615" t="str">
        <x:f>IF(607&gt;$H$4,"",MATCH(607,'Fleet dates'!$N$9:$N$1008,0)+8)</x:f>
      </x:c>
    </x:row>
    <x:row r="616" ht="36" customHeight="1">
      <x:c r="A616" s="50" t="str">
        <x:f>IF(608&gt;$H$4,"",IF(INDEX('Fleet dates'!$A$9:$A$1008,$I616-8)="","",INDEX('Fleet dates'!$A$9:$A$1008,$I616-8)))</x:f>
      </x:c>
      <x:c r="B616" s="50" t="str">
        <x:f>IF(608&gt;$H$4,"",IF(INDEX('Fleet dates'!$B$9:$B$1008,$I616-8)="","",INDEX('Fleet dates'!$B$9:$B$1008,$I616-8)))</x:f>
      </x:c>
      <x:c r="C616" s="51" t="str">
        <x:f>IF(608&gt;$H$4,"",IF(INDEX('Fleet dates'!$C$9:$C$1008,$I616-8)="","",INDEX('Fleet dates'!$C$9:$C$1008,$I616-8)))</x:f>
      </x:c>
      <x:c r="D616" s="51" t="str">
        <x:f>IF(608&gt;$H$4,"",IF(INDEX('Fleet dates'!$D$9:$D$1008,$I616-8)="","",INDEX('Fleet dates'!$D$9:$D$1008,$I616-8)))</x:f>
      </x:c>
      <x:c r="E616" s="51" t="str">
        <x:f>IF(608&gt;$H$4,"",IF(INDEX('Fleet dates'!$E$9:$E$1008,$I616-8)="","",INDEX('Fleet dates'!$E$9:$E$1008,$I616-8)))</x:f>
      </x:c>
      <x:c r="F616" s="51" t="str">
        <x:f>IF(608&gt;$H$4,"",IF(INDEX('Fleet dates'!$F$9:$F$1008,$I616-8)="","",INDEX('Fleet dates'!$F$9:$F$1008,$I616-8)))</x:f>
      </x:c>
      <x:c r="G616" s="50" t="str">
        <x:f>IF(608&gt;$H$4,"",IF(INDEX('Fleet dates'!$G$9:$G$1008,$I616-8)="","",INDEX('Fleet dates'!$G$9:$G$1008,$I616-8)))</x:f>
      </x:c>
      <x:c r="H616" s="50" t="str">
        <x:f>IF(608&gt;$H$4,"",IF(INDEX('Fleet dates'!$I$9:$I$1008,$I616-8)="","",INDEX('Fleet dates'!$I$9:$I$1008,$I616-8)))</x:f>
      </x:c>
      <x:c r="I616" t="str">
        <x:f>IF(608&gt;$H$4,"",MATCH(608,'Fleet dates'!$N$9:$N$1008,0)+8)</x:f>
      </x:c>
    </x:row>
    <x:row r="617" ht="36" customHeight="1">
      <x:c r="A617" s="50" t="str">
        <x:f>IF(609&gt;$H$4,"",IF(INDEX('Fleet dates'!$A$9:$A$1008,$I617-8)="","",INDEX('Fleet dates'!$A$9:$A$1008,$I617-8)))</x:f>
      </x:c>
      <x:c r="B617" s="50" t="str">
        <x:f>IF(609&gt;$H$4,"",IF(INDEX('Fleet dates'!$B$9:$B$1008,$I617-8)="","",INDEX('Fleet dates'!$B$9:$B$1008,$I617-8)))</x:f>
      </x:c>
      <x:c r="C617" s="51" t="str">
        <x:f>IF(609&gt;$H$4,"",IF(INDEX('Fleet dates'!$C$9:$C$1008,$I617-8)="","",INDEX('Fleet dates'!$C$9:$C$1008,$I617-8)))</x:f>
      </x:c>
      <x:c r="D617" s="51" t="str">
        <x:f>IF(609&gt;$H$4,"",IF(INDEX('Fleet dates'!$D$9:$D$1008,$I617-8)="","",INDEX('Fleet dates'!$D$9:$D$1008,$I617-8)))</x:f>
      </x:c>
      <x:c r="E617" s="51" t="str">
        <x:f>IF(609&gt;$H$4,"",IF(INDEX('Fleet dates'!$E$9:$E$1008,$I617-8)="","",INDEX('Fleet dates'!$E$9:$E$1008,$I617-8)))</x:f>
      </x:c>
      <x:c r="F617" s="51" t="str">
        <x:f>IF(609&gt;$H$4,"",IF(INDEX('Fleet dates'!$F$9:$F$1008,$I617-8)="","",INDEX('Fleet dates'!$F$9:$F$1008,$I617-8)))</x:f>
      </x:c>
      <x:c r="G617" s="50" t="str">
        <x:f>IF(609&gt;$H$4,"",IF(INDEX('Fleet dates'!$G$9:$G$1008,$I617-8)="","",INDEX('Fleet dates'!$G$9:$G$1008,$I617-8)))</x:f>
      </x:c>
      <x:c r="H617" s="50" t="str">
        <x:f>IF(609&gt;$H$4,"",IF(INDEX('Fleet dates'!$I$9:$I$1008,$I617-8)="","",INDEX('Fleet dates'!$I$9:$I$1008,$I617-8)))</x:f>
      </x:c>
      <x:c r="I617" t="str">
        <x:f>IF(609&gt;$H$4,"",MATCH(609,'Fleet dates'!$N$9:$N$1008,0)+8)</x:f>
      </x:c>
    </x:row>
    <x:row r="618" ht="36" customHeight="1">
      <x:c r="A618" s="50" t="str">
        <x:f>IF(610&gt;$H$4,"",IF(INDEX('Fleet dates'!$A$9:$A$1008,$I618-8)="","",INDEX('Fleet dates'!$A$9:$A$1008,$I618-8)))</x:f>
      </x:c>
      <x:c r="B618" s="50" t="str">
        <x:f>IF(610&gt;$H$4,"",IF(INDEX('Fleet dates'!$B$9:$B$1008,$I618-8)="","",INDEX('Fleet dates'!$B$9:$B$1008,$I618-8)))</x:f>
      </x:c>
      <x:c r="C618" s="51" t="str">
        <x:f>IF(610&gt;$H$4,"",IF(INDEX('Fleet dates'!$C$9:$C$1008,$I618-8)="","",INDEX('Fleet dates'!$C$9:$C$1008,$I618-8)))</x:f>
      </x:c>
      <x:c r="D618" s="51" t="str">
        <x:f>IF(610&gt;$H$4,"",IF(INDEX('Fleet dates'!$D$9:$D$1008,$I618-8)="","",INDEX('Fleet dates'!$D$9:$D$1008,$I618-8)))</x:f>
      </x:c>
      <x:c r="E618" s="51" t="str">
        <x:f>IF(610&gt;$H$4,"",IF(INDEX('Fleet dates'!$E$9:$E$1008,$I618-8)="","",INDEX('Fleet dates'!$E$9:$E$1008,$I618-8)))</x:f>
      </x:c>
      <x:c r="F618" s="51" t="str">
        <x:f>IF(610&gt;$H$4,"",IF(INDEX('Fleet dates'!$F$9:$F$1008,$I618-8)="","",INDEX('Fleet dates'!$F$9:$F$1008,$I618-8)))</x:f>
      </x:c>
      <x:c r="G618" s="50" t="str">
        <x:f>IF(610&gt;$H$4,"",IF(INDEX('Fleet dates'!$G$9:$G$1008,$I618-8)="","",INDEX('Fleet dates'!$G$9:$G$1008,$I618-8)))</x:f>
      </x:c>
      <x:c r="H618" s="50" t="str">
        <x:f>IF(610&gt;$H$4,"",IF(INDEX('Fleet dates'!$I$9:$I$1008,$I618-8)="","",INDEX('Fleet dates'!$I$9:$I$1008,$I618-8)))</x:f>
      </x:c>
      <x:c r="I618" t="str">
        <x:f>IF(610&gt;$H$4,"",MATCH(610,'Fleet dates'!$N$9:$N$1008,0)+8)</x:f>
      </x:c>
    </x:row>
    <x:row r="619" ht="36" customHeight="1">
      <x:c r="A619" s="50" t="str">
        <x:f>IF(611&gt;$H$4,"",IF(INDEX('Fleet dates'!$A$9:$A$1008,$I619-8)="","",INDEX('Fleet dates'!$A$9:$A$1008,$I619-8)))</x:f>
      </x:c>
      <x:c r="B619" s="50" t="str">
        <x:f>IF(611&gt;$H$4,"",IF(INDEX('Fleet dates'!$B$9:$B$1008,$I619-8)="","",INDEX('Fleet dates'!$B$9:$B$1008,$I619-8)))</x:f>
      </x:c>
      <x:c r="C619" s="51" t="str">
        <x:f>IF(611&gt;$H$4,"",IF(INDEX('Fleet dates'!$C$9:$C$1008,$I619-8)="","",INDEX('Fleet dates'!$C$9:$C$1008,$I619-8)))</x:f>
      </x:c>
      <x:c r="D619" s="51" t="str">
        <x:f>IF(611&gt;$H$4,"",IF(INDEX('Fleet dates'!$D$9:$D$1008,$I619-8)="","",INDEX('Fleet dates'!$D$9:$D$1008,$I619-8)))</x:f>
      </x:c>
      <x:c r="E619" s="51" t="str">
        <x:f>IF(611&gt;$H$4,"",IF(INDEX('Fleet dates'!$E$9:$E$1008,$I619-8)="","",INDEX('Fleet dates'!$E$9:$E$1008,$I619-8)))</x:f>
      </x:c>
      <x:c r="F619" s="51" t="str">
        <x:f>IF(611&gt;$H$4,"",IF(INDEX('Fleet dates'!$F$9:$F$1008,$I619-8)="","",INDEX('Fleet dates'!$F$9:$F$1008,$I619-8)))</x:f>
      </x:c>
      <x:c r="G619" s="50" t="str">
        <x:f>IF(611&gt;$H$4,"",IF(INDEX('Fleet dates'!$G$9:$G$1008,$I619-8)="","",INDEX('Fleet dates'!$G$9:$G$1008,$I619-8)))</x:f>
      </x:c>
      <x:c r="H619" s="50" t="str">
        <x:f>IF(611&gt;$H$4,"",IF(INDEX('Fleet dates'!$I$9:$I$1008,$I619-8)="","",INDEX('Fleet dates'!$I$9:$I$1008,$I619-8)))</x:f>
      </x:c>
      <x:c r="I619" t="str">
        <x:f>IF(611&gt;$H$4,"",MATCH(611,'Fleet dates'!$N$9:$N$1008,0)+8)</x:f>
      </x:c>
    </x:row>
    <x:row r="620" ht="36" customHeight="1">
      <x:c r="A620" s="50" t="str">
        <x:f>IF(612&gt;$H$4,"",IF(INDEX('Fleet dates'!$A$9:$A$1008,$I620-8)="","",INDEX('Fleet dates'!$A$9:$A$1008,$I620-8)))</x:f>
      </x:c>
      <x:c r="B620" s="50" t="str">
        <x:f>IF(612&gt;$H$4,"",IF(INDEX('Fleet dates'!$B$9:$B$1008,$I620-8)="","",INDEX('Fleet dates'!$B$9:$B$1008,$I620-8)))</x:f>
      </x:c>
      <x:c r="C620" s="51" t="str">
        <x:f>IF(612&gt;$H$4,"",IF(INDEX('Fleet dates'!$C$9:$C$1008,$I620-8)="","",INDEX('Fleet dates'!$C$9:$C$1008,$I620-8)))</x:f>
      </x:c>
      <x:c r="D620" s="51" t="str">
        <x:f>IF(612&gt;$H$4,"",IF(INDEX('Fleet dates'!$D$9:$D$1008,$I620-8)="","",INDEX('Fleet dates'!$D$9:$D$1008,$I620-8)))</x:f>
      </x:c>
      <x:c r="E620" s="51" t="str">
        <x:f>IF(612&gt;$H$4,"",IF(INDEX('Fleet dates'!$E$9:$E$1008,$I620-8)="","",INDEX('Fleet dates'!$E$9:$E$1008,$I620-8)))</x:f>
      </x:c>
      <x:c r="F620" s="51" t="str">
        <x:f>IF(612&gt;$H$4,"",IF(INDEX('Fleet dates'!$F$9:$F$1008,$I620-8)="","",INDEX('Fleet dates'!$F$9:$F$1008,$I620-8)))</x:f>
      </x:c>
      <x:c r="G620" s="50" t="str">
        <x:f>IF(612&gt;$H$4,"",IF(INDEX('Fleet dates'!$G$9:$G$1008,$I620-8)="","",INDEX('Fleet dates'!$G$9:$G$1008,$I620-8)))</x:f>
      </x:c>
      <x:c r="H620" s="50" t="str">
        <x:f>IF(612&gt;$H$4,"",IF(INDEX('Fleet dates'!$I$9:$I$1008,$I620-8)="","",INDEX('Fleet dates'!$I$9:$I$1008,$I620-8)))</x:f>
      </x:c>
      <x:c r="I620" t="str">
        <x:f>IF(612&gt;$H$4,"",MATCH(612,'Fleet dates'!$N$9:$N$1008,0)+8)</x:f>
      </x:c>
    </x:row>
    <x:row r="621" ht="36" customHeight="1">
      <x:c r="A621" s="50" t="str">
        <x:f>IF(613&gt;$H$4,"",IF(INDEX('Fleet dates'!$A$9:$A$1008,$I621-8)="","",INDEX('Fleet dates'!$A$9:$A$1008,$I621-8)))</x:f>
      </x:c>
      <x:c r="B621" s="50" t="str">
        <x:f>IF(613&gt;$H$4,"",IF(INDEX('Fleet dates'!$B$9:$B$1008,$I621-8)="","",INDEX('Fleet dates'!$B$9:$B$1008,$I621-8)))</x:f>
      </x:c>
      <x:c r="C621" s="51" t="str">
        <x:f>IF(613&gt;$H$4,"",IF(INDEX('Fleet dates'!$C$9:$C$1008,$I621-8)="","",INDEX('Fleet dates'!$C$9:$C$1008,$I621-8)))</x:f>
      </x:c>
      <x:c r="D621" s="51" t="str">
        <x:f>IF(613&gt;$H$4,"",IF(INDEX('Fleet dates'!$D$9:$D$1008,$I621-8)="","",INDEX('Fleet dates'!$D$9:$D$1008,$I621-8)))</x:f>
      </x:c>
      <x:c r="E621" s="51" t="str">
        <x:f>IF(613&gt;$H$4,"",IF(INDEX('Fleet dates'!$E$9:$E$1008,$I621-8)="","",INDEX('Fleet dates'!$E$9:$E$1008,$I621-8)))</x:f>
      </x:c>
      <x:c r="F621" s="51" t="str">
        <x:f>IF(613&gt;$H$4,"",IF(INDEX('Fleet dates'!$F$9:$F$1008,$I621-8)="","",INDEX('Fleet dates'!$F$9:$F$1008,$I621-8)))</x:f>
      </x:c>
      <x:c r="G621" s="50" t="str">
        <x:f>IF(613&gt;$H$4,"",IF(INDEX('Fleet dates'!$G$9:$G$1008,$I621-8)="","",INDEX('Fleet dates'!$G$9:$G$1008,$I621-8)))</x:f>
      </x:c>
      <x:c r="H621" s="50" t="str">
        <x:f>IF(613&gt;$H$4,"",IF(INDEX('Fleet dates'!$I$9:$I$1008,$I621-8)="","",INDEX('Fleet dates'!$I$9:$I$1008,$I621-8)))</x:f>
      </x:c>
      <x:c r="I621" t="str">
        <x:f>IF(613&gt;$H$4,"",MATCH(613,'Fleet dates'!$N$9:$N$1008,0)+8)</x:f>
      </x:c>
    </x:row>
    <x:row r="622" ht="36" customHeight="1">
      <x:c r="A622" s="50" t="str">
        <x:f>IF(614&gt;$H$4,"",IF(INDEX('Fleet dates'!$A$9:$A$1008,$I622-8)="","",INDEX('Fleet dates'!$A$9:$A$1008,$I622-8)))</x:f>
      </x:c>
      <x:c r="B622" s="50" t="str">
        <x:f>IF(614&gt;$H$4,"",IF(INDEX('Fleet dates'!$B$9:$B$1008,$I622-8)="","",INDEX('Fleet dates'!$B$9:$B$1008,$I622-8)))</x:f>
      </x:c>
      <x:c r="C622" s="51" t="str">
        <x:f>IF(614&gt;$H$4,"",IF(INDEX('Fleet dates'!$C$9:$C$1008,$I622-8)="","",INDEX('Fleet dates'!$C$9:$C$1008,$I622-8)))</x:f>
      </x:c>
      <x:c r="D622" s="51" t="str">
        <x:f>IF(614&gt;$H$4,"",IF(INDEX('Fleet dates'!$D$9:$D$1008,$I622-8)="","",INDEX('Fleet dates'!$D$9:$D$1008,$I622-8)))</x:f>
      </x:c>
      <x:c r="E622" s="51" t="str">
        <x:f>IF(614&gt;$H$4,"",IF(INDEX('Fleet dates'!$E$9:$E$1008,$I622-8)="","",INDEX('Fleet dates'!$E$9:$E$1008,$I622-8)))</x:f>
      </x:c>
      <x:c r="F622" s="51" t="str">
        <x:f>IF(614&gt;$H$4,"",IF(INDEX('Fleet dates'!$F$9:$F$1008,$I622-8)="","",INDEX('Fleet dates'!$F$9:$F$1008,$I622-8)))</x:f>
      </x:c>
      <x:c r="G622" s="50" t="str">
        <x:f>IF(614&gt;$H$4,"",IF(INDEX('Fleet dates'!$G$9:$G$1008,$I622-8)="","",INDEX('Fleet dates'!$G$9:$G$1008,$I622-8)))</x:f>
      </x:c>
      <x:c r="H622" s="50" t="str">
        <x:f>IF(614&gt;$H$4,"",IF(INDEX('Fleet dates'!$I$9:$I$1008,$I622-8)="","",INDEX('Fleet dates'!$I$9:$I$1008,$I622-8)))</x:f>
      </x:c>
      <x:c r="I622" t="str">
        <x:f>IF(614&gt;$H$4,"",MATCH(614,'Fleet dates'!$N$9:$N$1008,0)+8)</x:f>
      </x:c>
    </x:row>
    <x:row r="623" ht="36" customHeight="1">
      <x:c r="A623" s="50" t="str">
        <x:f>IF(615&gt;$H$4,"",IF(INDEX('Fleet dates'!$A$9:$A$1008,$I623-8)="","",INDEX('Fleet dates'!$A$9:$A$1008,$I623-8)))</x:f>
      </x:c>
      <x:c r="B623" s="50" t="str">
        <x:f>IF(615&gt;$H$4,"",IF(INDEX('Fleet dates'!$B$9:$B$1008,$I623-8)="","",INDEX('Fleet dates'!$B$9:$B$1008,$I623-8)))</x:f>
      </x:c>
      <x:c r="C623" s="51" t="str">
        <x:f>IF(615&gt;$H$4,"",IF(INDEX('Fleet dates'!$C$9:$C$1008,$I623-8)="","",INDEX('Fleet dates'!$C$9:$C$1008,$I623-8)))</x:f>
      </x:c>
      <x:c r="D623" s="51" t="str">
        <x:f>IF(615&gt;$H$4,"",IF(INDEX('Fleet dates'!$D$9:$D$1008,$I623-8)="","",INDEX('Fleet dates'!$D$9:$D$1008,$I623-8)))</x:f>
      </x:c>
      <x:c r="E623" s="51" t="str">
        <x:f>IF(615&gt;$H$4,"",IF(INDEX('Fleet dates'!$E$9:$E$1008,$I623-8)="","",INDEX('Fleet dates'!$E$9:$E$1008,$I623-8)))</x:f>
      </x:c>
      <x:c r="F623" s="51" t="str">
        <x:f>IF(615&gt;$H$4,"",IF(INDEX('Fleet dates'!$F$9:$F$1008,$I623-8)="","",INDEX('Fleet dates'!$F$9:$F$1008,$I623-8)))</x:f>
      </x:c>
      <x:c r="G623" s="50" t="str">
        <x:f>IF(615&gt;$H$4,"",IF(INDEX('Fleet dates'!$G$9:$G$1008,$I623-8)="","",INDEX('Fleet dates'!$G$9:$G$1008,$I623-8)))</x:f>
      </x:c>
      <x:c r="H623" s="50" t="str">
        <x:f>IF(615&gt;$H$4,"",IF(INDEX('Fleet dates'!$I$9:$I$1008,$I623-8)="","",INDEX('Fleet dates'!$I$9:$I$1008,$I623-8)))</x:f>
      </x:c>
      <x:c r="I623" t="str">
        <x:f>IF(615&gt;$H$4,"",MATCH(615,'Fleet dates'!$N$9:$N$1008,0)+8)</x:f>
      </x:c>
    </x:row>
    <x:row r="624" ht="36" customHeight="1">
      <x:c r="A624" s="50" t="str">
        <x:f>IF(616&gt;$H$4,"",IF(INDEX('Fleet dates'!$A$9:$A$1008,$I624-8)="","",INDEX('Fleet dates'!$A$9:$A$1008,$I624-8)))</x:f>
      </x:c>
      <x:c r="B624" s="50" t="str">
        <x:f>IF(616&gt;$H$4,"",IF(INDEX('Fleet dates'!$B$9:$B$1008,$I624-8)="","",INDEX('Fleet dates'!$B$9:$B$1008,$I624-8)))</x:f>
      </x:c>
      <x:c r="C624" s="51" t="str">
        <x:f>IF(616&gt;$H$4,"",IF(INDEX('Fleet dates'!$C$9:$C$1008,$I624-8)="","",INDEX('Fleet dates'!$C$9:$C$1008,$I624-8)))</x:f>
      </x:c>
      <x:c r="D624" s="51" t="str">
        <x:f>IF(616&gt;$H$4,"",IF(INDEX('Fleet dates'!$D$9:$D$1008,$I624-8)="","",INDEX('Fleet dates'!$D$9:$D$1008,$I624-8)))</x:f>
      </x:c>
      <x:c r="E624" s="51" t="str">
        <x:f>IF(616&gt;$H$4,"",IF(INDEX('Fleet dates'!$E$9:$E$1008,$I624-8)="","",INDEX('Fleet dates'!$E$9:$E$1008,$I624-8)))</x:f>
      </x:c>
      <x:c r="F624" s="51" t="str">
        <x:f>IF(616&gt;$H$4,"",IF(INDEX('Fleet dates'!$F$9:$F$1008,$I624-8)="","",INDEX('Fleet dates'!$F$9:$F$1008,$I624-8)))</x:f>
      </x:c>
      <x:c r="G624" s="50" t="str">
        <x:f>IF(616&gt;$H$4,"",IF(INDEX('Fleet dates'!$G$9:$G$1008,$I624-8)="","",INDEX('Fleet dates'!$G$9:$G$1008,$I624-8)))</x:f>
      </x:c>
      <x:c r="H624" s="50" t="str">
        <x:f>IF(616&gt;$H$4,"",IF(INDEX('Fleet dates'!$I$9:$I$1008,$I624-8)="","",INDEX('Fleet dates'!$I$9:$I$1008,$I624-8)))</x:f>
      </x:c>
      <x:c r="I624" t="str">
        <x:f>IF(616&gt;$H$4,"",MATCH(616,'Fleet dates'!$N$9:$N$1008,0)+8)</x:f>
      </x:c>
    </x:row>
    <x:row r="625" ht="36" customHeight="1">
      <x:c r="A625" s="50" t="str">
        <x:f>IF(617&gt;$H$4,"",IF(INDEX('Fleet dates'!$A$9:$A$1008,$I625-8)="","",INDEX('Fleet dates'!$A$9:$A$1008,$I625-8)))</x:f>
      </x:c>
      <x:c r="B625" s="50" t="str">
        <x:f>IF(617&gt;$H$4,"",IF(INDEX('Fleet dates'!$B$9:$B$1008,$I625-8)="","",INDEX('Fleet dates'!$B$9:$B$1008,$I625-8)))</x:f>
      </x:c>
      <x:c r="C625" s="51" t="str">
        <x:f>IF(617&gt;$H$4,"",IF(INDEX('Fleet dates'!$C$9:$C$1008,$I625-8)="","",INDEX('Fleet dates'!$C$9:$C$1008,$I625-8)))</x:f>
      </x:c>
      <x:c r="D625" s="51" t="str">
        <x:f>IF(617&gt;$H$4,"",IF(INDEX('Fleet dates'!$D$9:$D$1008,$I625-8)="","",INDEX('Fleet dates'!$D$9:$D$1008,$I625-8)))</x:f>
      </x:c>
      <x:c r="E625" s="51" t="str">
        <x:f>IF(617&gt;$H$4,"",IF(INDEX('Fleet dates'!$E$9:$E$1008,$I625-8)="","",INDEX('Fleet dates'!$E$9:$E$1008,$I625-8)))</x:f>
      </x:c>
      <x:c r="F625" s="51" t="str">
        <x:f>IF(617&gt;$H$4,"",IF(INDEX('Fleet dates'!$F$9:$F$1008,$I625-8)="","",INDEX('Fleet dates'!$F$9:$F$1008,$I625-8)))</x:f>
      </x:c>
      <x:c r="G625" s="50" t="str">
        <x:f>IF(617&gt;$H$4,"",IF(INDEX('Fleet dates'!$G$9:$G$1008,$I625-8)="","",INDEX('Fleet dates'!$G$9:$G$1008,$I625-8)))</x:f>
      </x:c>
      <x:c r="H625" s="50" t="str">
        <x:f>IF(617&gt;$H$4,"",IF(INDEX('Fleet dates'!$I$9:$I$1008,$I625-8)="","",INDEX('Fleet dates'!$I$9:$I$1008,$I625-8)))</x:f>
      </x:c>
      <x:c r="I625" t="str">
        <x:f>IF(617&gt;$H$4,"",MATCH(617,'Fleet dates'!$N$9:$N$1008,0)+8)</x:f>
      </x:c>
    </x:row>
    <x:row r="626" ht="36" customHeight="1">
      <x:c r="A626" s="50" t="str">
        <x:f>IF(618&gt;$H$4,"",IF(INDEX('Fleet dates'!$A$9:$A$1008,$I626-8)="","",INDEX('Fleet dates'!$A$9:$A$1008,$I626-8)))</x:f>
      </x:c>
      <x:c r="B626" s="50" t="str">
        <x:f>IF(618&gt;$H$4,"",IF(INDEX('Fleet dates'!$B$9:$B$1008,$I626-8)="","",INDEX('Fleet dates'!$B$9:$B$1008,$I626-8)))</x:f>
      </x:c>
      <x:c r="C626" s="51" t="str">
        <x:f>IF(618&gt;$H$4,"",IF(INDEX('Fleet dates'!$C$9:$C$1008,$I626-8)="","",INDEX('Fleet dates'!$C$9:$C$1008,$I626-8)))</x:f>
      </x:c>
      <x:c r="D626" s="51" t="str">
        <x:f>IF(618&gt;$H$4,"",IF(INDEX('Fleet dates'!$D$9:$D$1008,$I626-8)="","",INDEX('Fleet dates'!$D$9:$D$1008,$I626-8)))</x:f>
      </x:c>
      <x:c r="E626" s="51" t="str">
        <x:f>IF(618&gt;$H$4,"",IF(INDEX('Fleet dates'!$E$9:$E$1008,$I626-8)="","",INDEX('Fleet dates'!$E$9:$E$1008,$I626-8)))</x:f>
      </x:c>
      <x:c r="F626" s="51" t="str">
        <x:f>IF(618&gt;$H$4,"",IF(INDEX('Fleet dates'!$F$9:$F$1008,$I626-8)="","",INDEX('Fleet dates'!$F$9:$F$1008,$I626-8)))</x:f>
      </x:c>
      <x:c r="G626" s="50" t="str">
        <x:f>IF(618&gt;$H$4,"",IF(INDEX('Fleet dates'!$G$9:$G$1008,$I626-8)="","",INDEX('Fleet dates'!$G$9:$G$1008,$I626-8)))</x:f>
      </x:c>
      <x:c r="H626" s="50" t="str">
        <x:f>IF(618&gt;$H$4,"",IF(INDEX('Fleet dates'!$I$9:$I$1008,$I626-8)="","",INDEX('Fleet dates'!$I$9:$I$1008,$I626-8)))</x:f>
      </x:c>
      <x:c r="I626" t="str">
        <x:f>IF(618&gt;$H$4,"",MATCH(618,'Fleet dates'!$N$9:$N$1008,0)+8)</x:f>
      </x:c>
    </x:row>
    <x:row r="627" ht="36" customHeight="1">
      <x:c r="A627" s="50" t="str">
        <x:f>IF(619&gt;$H$4,"",IF(INDEX('Fleet dates'!$A$9:$A$1008,$I627-8)="","",INDEX('Fleet dates'!$A$9:$A$1008,$I627-8)))</x:f>
      </x:c>
      <x:c r="B627" s="50" t="str">
        <x:f>IF(619&gt;$H$4,"",IF(INDEX('Fleet dates'!$B$9:$B$1008,$I627-8)="","",INDEX('Fleet dates'!$B$9:$B$1008,$I627-8)))</x:f>
      </x:c>
      <x:c r="C627" s="51" t="str">
        <x:f>IF(619&gt;$H$4,"",IF(INDEX('Fleet dates'!$C$9:$C$1008,$I627-8)="","",INDEX('Fleet dates'!$C$9:$C$1008,$I627-8)))</x:f>
      </x:c>
      <x:c r="D627" s="51" t="str">
        <x:f>IF(619&gt;$H$4,"",IF(INDEX('Fleet dates'!$D$9:$D$1008,$I627-8)="","",INDEX('Fleet dates'!$D$9:$D$1008,$I627-8)))</x:f>
      </x:c>
      <x:c r="E627" s="51" t="str">
        <x:f>IF(619&gt;$H$4,"",IF(INDEX('Fleet dates'!$E$9:$E$1008,$I627-8)="","",INDEX('Fleet dates'!$E$9:$E$1008,$I627-8)))</x:f>
      </x:c>
      <x:c r="F627" s="51" t="str">
        <x:f>IF(619&gt;$H$4,"",IF(INDEX('Fleet dates'!$F$9:$F$1008,$I627-8)="","",INDEX('Fleet dates'!$F$9:$F$1008,$I627-8)))</x:f>
      </x:c>
      <x:c r="G627" s="50" t="str">
        <x:f>IF(619&gt;$H$4,"",IF(INDEX('Fleet dates'!$G$9:$G$1008,$I627-8)="","",INDEX('Fleet dates'!$G$9:$G$1008,$I627-8)))</x:f>
      </x:c>
      <x:c r="H627" s="50" t="str">
        <x:f>IF(619&gt;$H$4,"",IF(INDEX('Fleet dates'!$I$9:$I$1008,$I627-8)="","",INDEX('Fleet dates'!$I$9:$I$1008,$I627-8)))</x:f>
      </x:c>
      <x:c r="I627" t="str">
        <x:f>IF(619&gt;$H$4,"",MATCH(619,'Fleet dates'!$N$9:$N$1008,0)+8)</x:f>
      </x:c>
    </x:row>
    <x:row r="628" ht="36" customHeight="1">
      <x:c r="A628" s="50" t="str">
        <x:f>IF(620&gt;$H$4,"",IF(INDEX('Fleet dates'!$A$9:$A$1008,$I628-8)="","",INDEX('Fleet dates'!$A$9:$A$1008,$I628-8)))</x:f>
      </x:c>
      <x:c r="B628" s="50" t="str">
        <x:f>IF(620&gt;$H$4,"",IF(INDEX('Fleet dates'!$B$9:$B$1008,$I628-8)="","",INDEX('Fleet dates'!$B$9:$B$1008,$I628-8)))</x:f>
      </x:c>
      <x:c r="C628" s="51" t="str">
        <x:f>IF(620&gt;$H$4,"",IF(INDEX('Fleet dates'!$C$9:$C$1008,$I628-8)="","",INDEX('Fleet dates'!$C$9:$C$1008,$I628-8)))</x:f>
      </x:c>
      <x:c r="D628" s="51" t="str">
        <x:f>IF(620&gt;$H$4,"",IF(INDEX('Fleet dates'!$D$9:$D$1008,$I628-8)="","",INDEX('Fleet dates'!$D$9:$D$1008,$I628-8)))</x:f>
      </x:c>
      <x:c r="E628" s="51" t="str">
        <x:f>IF(620&gt;$H$4,"",IF(INDEX('Fleet dates'!$E$9:$E$1008,$I628-8)="","",INDEX('Fleet dates'!$E$9:$E$1008,$I628-8)))</x:f>
      </x:c>
      <x:c r="F628" s="51" t="str">
        <x:f>IF(620&gt;$H$4,"",IF(INDEX('Fleet dates'!$F$9:$F$1008,$I628-8)="","",INDEX('Fleet dates'!$F$9:$F$1008,$I628-8)))</x:f>
      </x:c>
      <x:c r="G628" s="50" t="str">
        <x:f>IF(620&gt;$H$4,"",IF(INDEX('Fleet dates'!$G$9:$G$1008,$I628-8)="","",INDEX('Fleet dates'!$G$9:$G$1008,$I628-8)))</x:f>
      </x:c>
      <x:c r="H628" s="50" t="str">
        <x:f>IF(620&gt;$H$4,"",IF(INDEX('Fleet dates'!$I$9:$I$1008,$I628-8)="","",INDEX('Fleet dates'!$I$9:$I$1008,$I628-8)))</x:f>
      </x:c>
      <x:c r="I628" t="str">
        <x:f>IF(620&gt;$H$4,"",MATCH(620,'Fleet dates'!$N$9:$N$1008,0)+8)</x:f>
      </x:c>
    </x:row>
    <x:row r="629" ht="36" customHeight="1">
      <x:c r="A629" s="50" t="str">
        <x:f>IF(621&gt;$H$4,"",IF(INDEX('Fleet dates'!$A$9:$A$1008,$I629-8)="","",INDEX('Fleet dates'!$A$9:$A$1008,$I629-8)))</x:f>
      </x:c>
      <x:c r="B629" s="50" t="str">
        <x:f>IF(621&gt;$H$4,"",IF(INDEX('Fleet dates'!$B$9:$B$1008,$I629-8)="","",INDEX('Fleet dates'!$B$9:$B$1008,$I629-8)))</x:f>
      </x:c>
      <x:c r="C629" s="51" t="str">
        <x:f>IF(621&gt;$H$4,"",IF(INDEX('Fleet dates'!$C$9:$C$1008,$I629-8)="","",INDEX('Fleet dates'!$C$9:$C$1008,$I629-8)))</x:f>
      </x:c>
      <x:c r="D629" s="51" t="str">
        <x:f>IF(621&gt;$H$4,"",IF(INDEX('Fleet dates'!$D$9:$D$1008,$I629-8)="","",INDEX('Fleet dates'!$D$9:$D$1008,$I629-8)))</x:f>
      </x:c>
      <x:c r="E629" s="51" t="str">
        <x:f>IF(621&gt;$H$4,"",IF(INDEX('Fleet dates'!$E$9:$E$1008,$I629-8)="","",INDEX('Fleet dates'!$E$9:$E$1008,$I629-8)))</x:f>
      </x:c>
      <x:c r="F629" s="51" t="str">
        <x:f>IF(621&gt;$H$4,"",IF(INDEX('Fleet dates'!$F$9:$F$1008,$I629-8)="","",INDEX('Fleet dates'!$F$9:$F$1008,$I629-8)))</x:f>
      </x:c>
      <x:c r="G629" s="50" t="str">
        <x:f>IF(621&gt;$H$4,"",IF(INDEX('Fleet dates'!$G$9:$G$1008,$I629-8)="","",INDEX('Fleet dates'!$G$9:$G$1008,$I629-8)))</x:f>
      </x:c>
      <x:c r="H629" s="50" t="str">
        <x:f>IF(621&gt;$H$4,"",IF(INDEX('Fleet dates'!$I$9:$I$1008,$I629-8)="","",INDEX('Fleet dates'!$I$9:$I$1008,$I629-8)))</x:f>
      </x:c>
      <x:c r="I629" t="str">
        <x:f>IF(621&gt;$H$4,"",MATCH(621,'Fleet dates'!$N$9:$N$1008,0)+8)</x:f>
      </x:c>
    </x:row>
    <x:row r="630" ht="36" customHeight="1">
      <x:c r="A630" s="50" t="str">
        <x:f>IF(622&gt;$H$4,"",IF(INDEX('Fleet dates'!$A$9:$A$1008,$I630-8)="","",INDEX('Fleet dates'!$A$9:$A$1008,$I630-8)))</x:f>
      </x:c>
      <x:c r="B630" s="50" t="str">
        <x:f>IF(622&gt;$H$4,"",IF(INDEX('Fleet dates'!$B$9:$B$1008,$I630-8)="","",INDEX('Fleet dates'!$B$9:$B$1008,$I630-8)))</x:f>
      </x:c>
      <x:c r="C630" s="51" t="str">
        <x:f>IF(622&gt;$H$4,"",IF(INDEX('Fleet dates'!$C$9:$C$1008,$I630-8)="","",INDEX('Fleet dates'!$C$9:$C$1008,$I630-8)))</x:f>
      </x:c>
      <x:c r="D630" s="51" t="str">
        <x:f>IF(622&gt;$H$4,"",IF(INDEX('Fleet dates'!$D$9:$D$1008,$I630-8)="","",INDEX('Fleet dates'!$D$9:$D$1008,$I630-8)))</x:f>
      </x:c>
      <x:c r="E630" s="51" t="str">
        <x:f>IF(622&gt;$H$4,"",IF(INDEX('Fleet dates'!$E$9:$E$1008,$I630-8)="","",INDEX('Fleet dates'!$E$9:$E$1008,$I630-8)))</x:f>
      </x:c>
      <x:c r="F630" s="51" t="str">
        <x:f>IF(622&gt;$H$4,"",IF(INDEX('Fleet dates'!$F$9:$F$1008,$I630-8)="","",INDEX('Fleet dates'!$F$9:$F$1008,$I630-8)))</x:f>
      </x:c>
      <x:c r="G630" s="50" t="str">
        <x:f>IF(622&gt;$H$4,"",IF(INDEX('Fleet dates'!$G$9:$G$1008,$I630-8)="","",INDEX('Fleet dates'!$G$9:$G$1008,$I630-8)))</x:f>
      </x:c>
      <x:c r="H630" s="50" t="str">
        <x:f>IF(622&gt;$H$4,"",IF(INDEX('Fleet dates'!$I$9:$I$1008,$I630-8)="","",INDEX('Fleet dates'!$I$9:$I$1008,$I630-8)))</x:f>
      </x:c>
      <x:c r="I630" t="str">
        <x:f>IF(622&gt;$H$4,"",MATCH(622,'Fleet dates'!$N$9:$N$1008,0)+8)</x:f>
      </x:c>
    </x:row>
    <x:row r="631" ht="36" customHeight="1">
      <x:c r="A631" s="50" t="str">
        <x:f>IF(623&gt;$H$4,"",IF(INDEX('Fleet dates'!$A$9:$A$1008,$I631-8)="","",INDEX('Fleet dates'!$A$9:$A$1008,$I631-8)))</x:f>
      </x:c>
      <x:c r="B631" s="50" t="str">
        <x:f>IF(623&gt;$H$4,"",IF(INDEX('Fleet dates'!$B$9:$B$1008,$I631-8)="","",INDEX('Fleet dates'!$B$9:$B$1008,$I631-8)))</x:f>
      </x:c>
      <x:c r="C631" s="51" t="str">
        <x:f>IF(623&gt;$H$4,"",IF(INDEX('Fleet dates'!$C$9:$C$1008,$I631-8)="","",INDEX('Fleet dates'!$C$9:$C$1008,$I631-8)))</x:f>
      </x:c>
      <x:c r="D631" s="51" t="str">
        <x:f>IF(623&gt;$H$4,"",IF(INDEX('Fleet dates'!$D$9:$D$1008,$I631-8)="","",INDEX('Fleet dates'!$D$9:$D$1008,$I631-8)))</x:f>
      </x:c>
      <x:c r="E631" s="51" t="str">
        <x:f>IF(623&gt;$H$4,"",IF(INDEX('Fleet dates'!$E$9:$E$1008,$I631-8)="","",INDEX('Fleet dates'!$E$9:$E$1008,$I631-8)))</x:f>
      </x:c>
      <x:c r="F631" s="51" t="str">
        <x:f>IF(623&gt;$H$4,"",IF(INDEX('Fleet dates'!$F$9:$F$1008,$I631-8)="","",INDEX('Fleet dates'!$F$9:$F$1008,$I631-8)))</x:f>
      </x:c>
      <x:c r="G631" s="50" t="str">
        <x:f>IF(623&gt;$H$4,"",IF(INDEX('Fleet dates'!$G$9:$G$1008,$I631-8)="","",INDEX('Fleet dates'!$G$9:$G$1008,$I631-8)))</x:f>
      </x:c>
      <x:c r="H631" s="50" t="str">
        <x:f>IF(623&gt;$H$4,"",IF(INDEX('Fleet dates'!$I$9:$I$1008,$I631-8)="","",INDEX('Fleet dates'!$I$9:$I$1008,$I631-8)))</x:f>
      </x:c>
      <x:c r="I631" t="str">
        <x:f>IF(623&gt;$H$4,"",MATCH(623,'Fleet dates'!$N$9:$N$1008,0)+8)</x:f>
      </x:c>
    </x:row>
    <x:row r="632" ht="36" customHeight="1">
      <x:c r="A632" s="50" t="str">
        <x:f>IF(624&gt;$H$4,"",IF(INDEX('Fleet dates'!$A$9:$A$1008,$I632-8)="","",INDEX('Fleet dates'!$A$9:$A$1008,$I632-8)))</x:f>
      </x:c>
      <x:c r="B632" s="50" t="str">
        <x:f>IF(624&gt;$H$4,"",IF(INDEX('Fleet dates'!$B$9:$B$1008,$I632-8)="","",INDEX('Fleet dates'!$B$9:$B$1008,$I632-8)))</x:f>
      </x:c>
      <x:c r="C632" s="51" t="str">
        <x:f>IF(624&gt;$H$4,"",IF(INDEX('Fleet dates'!$C$9:$C$1008,$I632-8)="","",INDEX('Fleet dates'!$C$9:$C$1008,$I632-8)))</x:f>
      </x:c>
      <x:c r="D632" s="51" t="str">
        <x:f>IF(624&gt;$H$4,"",IF(INDEX('Fleet dates'!$D$9:$D$1008,$I632-8)="","",INDEX('Fleet dates'!$D$9:$D$1008,$I632-8)))</x:f>
      </x:c>
      <x:c r="E632" s="51" t="str">
        <x:f>IF(624&gt;$H$4,"",IF(INDEX('Fleet dates'!$E$9:$E$1008,$I632-8)="","",INDEX('Fleet dates'!$E$9:$E$1008,$I632-8)))</x:f>
      </x:c>
      <x:c r="F632" s="51" t="str">
        <x:f>IF(624&gt;$H$4,"",IF(INDEX('Fleet dates'!$F$9:$F$1008,$I632-8)="","",INDEX('Fleet dates'!$F$9:$F$1008,$I632-8)))</x:f>
      </x:c>
      <x:c r="G632" s="50" t="str">
        <x:f>IF(624&gt;$H$4,"",IF(INDEX('Fleet dates'!$G$9:$G$1008,$I632-8)="","",INDEX('Fleet dates'!$G$9:$G$1008,$I632-8)))</x:f>
      </x:c>
      <x:c r="H632" s="50" t="str">
        <x:f>IF(624&gt;$H$4,"",IF(INDEX('Fleet dates'!$I$9:$I$1008,$I632-8)="","",INDEX('Fleet dates'!$I$9:$I$1008,$I632-8)))</x:f>
      </x:c>
      <x:c r="I632" t="str">
        <x:f>IF(624&gt;$H$4,"",MATCH(624,'Fleet dates'!$N$9:$N$1008,0)+8)</x:f>
      </x:c>
    </x:row>
    <x:row r="633" ht="36" customHeight="1">
      <x:c r="A633" s="50" t="str">
        <x:f>IF(625&gt;$H$4,"",IF(INDEX('Fleet dates'!$A$9:$A$1008,$I633-8)="","",INDEX('Fleet dates'!$A$9:$A$1008,$I633-8)))</x:f>
      </x:c>
      <x:c r="B633" s="50" t="str">
        <x:f>IF(625&gt;$H$4,"",IF(INDEX('Fleet dates'!$B$9:$B$1008,$I633-8)="","",INDEX('Fleet dates'!$B$9:$B$1008,$I633-8)))</x:f>
      </x:c>
      <x:c r="C633" s="51" t="str">
        <x:f>IF(625&gt;$H$4,"",IF(INDEX('Fleet dates'!$C$9:$C$1008,$I633-8)="","",INDEX('Fleet dates'!$C$9:$C$1008,$I633-8)))</x:f>
      </x:c>
      <x:c r="D633" s="51" t="str">
        <x:f>IF(625&gt;$H$4,"",IF(INDEX('Fleet dates'!$D$9:$D$1008,$I633-8)="","",INDEX('Fleet dates'!$D$9:$D$1008,$I633-8)))</x:f>
      </x:c>
      <x:c r="E633" s="51" t="str">
        <x:f>IF(625&gt;$H$4,"",IF(INDEX('Fleet dates'!$E$9:$E$1008,$I633-8)="","",INDEX('Fleet dates'!$E$9:$E$1008,$I633-8)))</x:f>
      </x:c>
      <x:c r="F633" s="51" t="str">
        <x:f>IF(625&gt;$H$4,"",IF(INDEX('Fleet dates'!$F$9:$F$1008,$I633-8)="","",INDEX('Fleet dates'!$F$9:$F$1008,$I633-8)))</x:f>
      </x:c>
      <x:c r="G633" s="50" t="str">
        <x:f>IF(625&gt;$H$4,"",IF(INDEX('Fleet dates'!$G$9:$G$1008,$I633-8)="","",INDEX('Fleet dates'!$G$9:$G$1008,$I633-8)))</x:f>
      </x:c>
      <x:c r="H633" s="50" t="str">
        <x:f>IF(625&gt;$H$4,"",IF(INDEX('Fleet dates'!$I$9:$I$1008,$I633-8)="","",INDEX('Fleet dates'!$I$9:$I$1008,$I633-8)))</x:f>
      </x:c>
      <x:c r="I633" t="str">
        <x:f>IF(625&gt;$H$4,"",MATCH(625,'Fleet dates'!$N$9:$N$1008,0)+8)</x:f>
      </x:c>
    </x:row>
    <x:row r="634" ht="36" customHeight="1">
      <x:c r="A634" s="50" t="str">
        <x:f>IF(626&gt;$H$4,"",IF(INDEX('Fleet dates'!$A$9:$A$1008,$I634-8)="","",INDEX('Fleet dates'!$A$9:$A$1008,$I634-8)))</x:f>
      </x:c>
      <x:c r="B634" s="50" t="str">
        <x:f>IF(626&gt;$H$4,"",IF(INDEX('Fleet dates'!$B$9:$B$1008,$I634-8)="","",INDEX('Fleet dates'!$B$9:$B$1008,$I634-8)))</x:f>
      </x:c>
      <x:c r="C634" s="51" t="str">
        <x:f>IF(626&gt;$H$4,"",IF(INDEX('Fleet dates'!$C$9:$C$1008,$I634-8)="","",INDEX('Fleet dates'!$C$9:$C$1008,$I634-8)))</x:f>
      </x:c>
      <x:c r="D634" s="51" t="str">
        <x:f>IF(626&gt;$H$4,"",IF(INDEX('Fleet dates'!$D$9:$D$1008,$I634-8)="","",INDEX('Fleet dates'!$D$9:$D$1008,$I634-8)))</x:f>
      </x:c>
      <x:c r="E634" s="51" t="str">
        <x:f>IF(626&gt;$H$4,"",IF(INDEX('Fleet dates'!$E$9:$E$1008,$I634-8)="","",INDEX('Fleet dates'!$E$9:$E$1008,$I634-8)))</x:f>
      </x:c>
      <x:c r="F634" s="51" t="str">
        <x:f>IF(626&gt;$H$4,"",IF(INDEX('Fleet dates'!$F$9:$F$1008,$I634-8)="","",INDEX('Fleet dates'!$F$9:$F$1008,$I634-8)))</x:f>
      </x:c>
      <x:c r="G634" s="50" t="str">
        <x:f>IF(626&gt;$H$4,"",IF(INDEX('Fleet dates'!$G$9:$G$1008,$I634-8)="","",INDEX('Fleet dates'!$G$9:$G$1008,$I634-8)))</x:f>
      </x:c>
      <x:c r="H634" s="50" t="str">
        <x:f>IF(626&gt;$H$4,"",IF(INDEX('Fleet dates'!$I$9:$I$1008,$I634-8)="","",INDEX('Fleet dates'!$I$9:$I$1008,$I634-8)))</x:f>
      </x:c>
      <x:c r="I634" t="str">
        <x:f>IF(626&gt;$H$4,"",MATCH(626,'Fleet dates'!$N$9:$N$1008,0)+8)</x:f>
      </x:c>
    </x:row>
    <x:row r="635" ht="36" customHeight="1">
      <x:c r="A635" s="50" t="str">
        <x:f>IF(627&gt;$H$4,"",IF(INDEX('Fleet dates'!$A$9:$A$1008,$I635-8)="","",INDEX('Fleet dates'!$A$9:$A$1008,$I635-8)))</x:f>
      </x:c>
      <x:c r="B635" s="50" t="str">
        <x:f>IF(627&gt;$H$4,"",IF(INDEX('Fleet dates'!$B$9:$B$1008,$I635-8)="","",INDEX('Fleet dates'!$B$9:$B$1008,$I635-8)))</x:f>
      </x:c>
      <x:c r="C635" s="51" t="str">
        <x:f>IF(627&gt;$H$4,"",IF(INDEX('Fleet dates'!$C$9:$C$1008,$I635-8)="","",INDEX('Fleet dates'!$C$9:$C$1008,$I635-8)))</x:f>
      </x:c>
      <x:c r="D635" s="51" t="str">
        <x:f>IF(627&gt;$H$4,"",IF(INDEX('Fleet dates'!$D$9:$D$1008,$I635-8)="","",INDEX('Fleet dates'!$D$9:$D$1008,$I635-8)))</x:f>
      </x:c>
      <x:c r="E635" s="51" t="str">
        <x:f>IF(627&gt;$H$4,"",IF(INDEX('Fleet dates'!$E$9:$E$1008,$I635-8)="","",INDEX('Fleet dates'!$E$9:$E$1008,$I635-8)))</x:f>
      </x:c>
      <x:c r="F635" s="51" t="str">
        <x:f>IF(627&gt;$H$4,"",IF(INDEX('Fleet dates'!$F$9:$F$1008,$I635-8)="","",INDEX('Fleet dates'!$F$9:$F$1008,$I635-8)))</x:f>
      </x:c>
      <x:c r="G635" s="50" t="str">
        <x:f>IF(627&gt;$H$4,"",IF(INDEX('Fleet dates'!$G$9:$G$1008,$I635-8)="","",INDEX('Fleet dates'!$G$9:$G$1008,$I635-8)))</x:f>
      </x:c>
      <x:c r="H635" s="50" t="str">
        <x:f>IF(627&gt;$H$4,"",IF(INDEX('Fleet dates'!$I$9:$I$1008,$I635-8)="","",INDEX('Fleet dates'!$I$9:$I$1008,$I635-8)))</x:f>
      </x:c>
      <x:c r="I635" t="str">
        <x:f>IF(627&gt;$H$4,"",MATCH(627,'Fleet dates'!$N$9:$N$1008,0)+8)</x:f>
      </x:c>
    </x:row>
    <x:row r="636" ht="36" customHeight="1">
      <x:c r="A636" s="50" t="str">
        <x:f>IF(628&gt;$H$4,"",IF(INDEX('Fleet dates'!$A$9:$A$1008,$I636-8)="","",INDEX('Fleet dates'!$A$9:$A$1008,$I636-8)))</x:f>
      </x:c>
      <x:c r="B636" s="50" t="str">
        <x:f>IF(628&gt;$H$4,"",IF(INDEX('Fleet dates'!$B$9:$B$1008,$I636-8)="","",INDEX('Fleet dates'!$B$9:$B$1008,$I636-8)))</x:f>
      </x:c>
      <x:c r="C636" s="51" t="str">
        <x:f>IF(628&gt;$H$4,"",IF(INDEX('Fleet dates'!$C$9:$C$1008,$I636-8)="","",INDEX('Fleet dates'!$C$9:$C$1008,$I636-8)))</x:f>
      </x:c>
      <x:c r="D636" s="51" t="str">
        <x:f>IF(628&gt;$H$4,"",IF(INDEX('Fleet dates'!$D$9:$D$1008,$I636-8)="","",INDEX('Fleet dates'!$D$9:$D$1008,$I636-8)))</x:f>
      </x:c>
      <x:c r="E636" s="51" t="str">
        <x:f>IF(628&gt;$H$4,"",IF(INDEX('Fleet dates'!$E$9:$E$1008,$I636-8)="","",INDEX('Fleet dates'!$E$9:$E$1008,$I636-8)))</x:f>
      </x:c>
      <x:c r="F636" s="51" t="str">
        <x:f>IF(628&gt;$H$4,"",IF(INDEX('Fleet dates'!$F$9:$F$1008,$I636-8)="","",INDEX('Fleet dates'!$F$9:$F$1008,$I636-8)))</x:f>
      </x:c>
      <x:c r="G636" s="50" t="str">
        <x:f>IF(628&gt;$H$4,"",IF(INDEX('Fleet dates'!$G$9:$G$1008,$I636-8)="","",INDEX('Fleet dates'!$G$9:$G$1008,$I636-8)))</x:f>
      </x:c>
      <x:c r="H636" s="50" t="str">
        <x:f>IF(628&gt;$H$4,"",IF(INDEX('Fleet dates'!$I$9:$I$1008,$I636-8)="","",INDEX('Fleet dates'!$I$9:$I$1008,$I636-8)))</x:f>
      </x:c>
      <x:c r="I636" t="str">
        <x:f>IF(628&gt;$H$4,"",MATCH(628,'Fleet dates'!$N$9:$N$1008,0)+8)</x:f>
      </x:c>
    </x:row>
    <x:row r="637" ht="36" customHeight="1">
      <x:c r="A637" s="50" t="str">
        <x:f>IF(629&gt;$H$4,"",IF(INDEX('Fleet dates'!$A$9:$A$1008,$I637-8)="","",INDEX('Fleet dates'!$A$9:$A$1008,$I637-8)))</x:f>
      </x:c>
      <x:c r="B637" s="50" t="str">
        <x:f>IF(629&gt;$H$4,"",IF(INDEX('Fleet dates'!$B$9:$B$1008,$I637-8)="","",INDEX('Fleet dates'!$B$9:$B$1008,$I637-8)))</x:f>
      </x:c>
      <x:c r="C637" s="51" t="str">
        <x:f>IF(629&gt;$H$4,"",IF(INDEX('Fleet dates'!$C$9:$C$1008,$I637-8)="","",INDEX('Fleet dates'!$C$9:$C$1008,$I637-8)))</x:f>
      </x:c>
      <x:c r="D637" s="51" t="str">
        <x:f>IF(629&gt;$H$4,"",IF(INDEX('Fleet dates'!$D$9:$D$1008,$I637-8)="","",INDEX('Fleet dates'!$D$9:$D$1008,$I637-8)))</x:f>
      </x:c>
      <x:c r="E637" s="51" t="str">
        <x:f>IF(629&gt;$H$4,"",IF(INDEX('Fleet dates'!$E$9:$E$1008,$I637-8)="","",INDEX('Fleet dates'!$E$9:$E$1008,$I637-8)))</x:f>
      </x:c>
      <x:c r="F637" s="51" t="str">
        <x:f>IF(629&gt;$H$4,"",IF(INDEX('Fleet dates'!$F$9:$F$1008,$I637-8)="","",INDEX('Fleet dates'!$F$9:$F$1008,$I637-8)))</x:f>
      </x:c>
      <x:c r="G637" s="50" t="str">
        <x:f>IF(629&gt;$H$4,"",IF(INDEX('Fleet dates'!$G$9:$G$1008,$I637-8)="","",INDEX('Fleet dates'!$G$9:$G$1008,$I637-8)))</x:f>
      </x:c>
      <x:c r="H637" s="50" t="str">
        <x:f>IF(629&gt;$H$4,"",IF(INDEX('Fleet dates'!$I$9:$I$1008,$I637-8)="","",INDEX('Fleet dates'!$I$9:$I$1008,$I637-8)))</x:f>
      </x:c>
      <x:c r="I637" t="str">
        <x:f>IF(629&gt;$H$4,"",MATCH(629,'Fleet dates'!$N$9:$N$1008,0)+8)</x:f>
      </x:c>
    </x:row>
    <x:row r="638" ht="36" customHeight="1">
      <x:c r="A638" s="50" t="str">
        <x:f>IF(630&gt;$H$4,"",IF(INDEX('Fleet dates'!$A$9:$A$1008,$I638-8)="","",INDEX('Fleet dates'!$A$9:$A$1008,$I638-8)))</x:f>
      </x:c>
      <x:c r="B638" s="50" t="str">
        <x:f>IF(630&gt;$H$4,"",IF(INDEX('Fleet dates'!$B$9:$B$1008,$I638-8)="","",INDEX('Fleet dates'!$B$9:$B$1008,$I638-8)))</x:f>
      </x:c>
      <x:c r="C638" s="51" t="str">
        <x:f>IF(630&gt;$H$4,"",IF(INDEX('Fleet dates'!$C$9:$C$1008,$I638-8)="","",INDEX('Fleet dates'!$C$9:$C$1008,$I638-8)))</x:f>
      </x:c>
      <x:c r="D638" s="51" t="str">
        <x:f>IF(630&gt;$H$4,"",IF(INDEX('Fleet dates'!$D$9:$D$1008,$I638-8)="","",INDEX('Fleet dates'!$D$9:$D$1008,$I638-8)))</x:f>
      </x:c>
      <x:c r="E638" s="51" t="str">
        <x:f>IF(630&gt;$H$4,"",IF(INDEX('Fleet dates'!$E$9:$E$1008,$I638-8)="","",INDEX('Fleet dates'!$E$9:$E$1008,$I638-8)))</x:f>
      </x:c>
      <x:c r="F638" s="51" t="str">
        <x:f>IF(630&gt;$H$4,"",IF(INDEX('Fleet dates'!$F$9:$F$1008,$I638-8)="","",INDEX('Fleet dates'!$F$9:$F$1008,$I638-8)))</x:f>
      </x:c>
      <x:c r="G638" s="50" t="str">
        <x:f>IF(630&gt;$H$4,"",IF(INDEX('Fleet dates'!$G$9:$G$1008,$I638-8)="","",INDEX('Fleet dates'!$G$9:$G$1008,$I638-8)))</x:f>
      </x:c>
      <x:c r="H638" s="50" t="str">
        <x:f>IF(630&gt;$H$4,"",IF(INDEX('Fleet dates'!$I$9:$I$1008,$I638-8)="","",INDEX('Fleet dates'!$I$9:$I$1008,$I638-8)))</x:f>
      </x:c>
      <x:c r="I638" t="str">
        <x:f>IF(630&gt;$H$4,"",MATCH(630,'Fleet dates'!$N$9:$N$1008,0)+8)</x:f>
      </x:c>
    </x:row>
    <x:row r="639" ht="36" customHeight="1">
      <x:c r="A639" s="50" t="str">
        <x:f>IF(631&gt;$H$4,"",IF(INDEX('Fleet dates'!$A$9:$A$1008,$I639-8)="","",INDEX('Fleet dates'!$A$9:$A$1008,$I639-8)))</x:f>
      </x:c>
      <x:c r="B639" s="50" t="str">
        <x:f>IF(631&gt;$H$4,"",IF(INDEX('Fleet dates'!$B$9:$B$1008,$I639-8)="","",INDEX('Fleet dates'!$B$9:$B$1008,$I639-8)))</x:f>
      </x:c>
      <x:c r="C639" s="51" t="str">
        <x:f>IF(631&gt;$H$4,"",IF(INDEX('Fleet dates'!$C$9:$C$1008,$I639-8)="","",INDEX('Fleet dates'!$C$9:$C$1008,$I639-8)))</x:f>
      </x:c>
      <x:c r="D639" s="51" t="str">
        <x:f>IF(631&gt;$H$4,"",IF(INDEX('Fleet dates'!$D$9:$D$1008,$I639-8)="","",INDEX('Fleet dates'!$D$9:$D$1008,$I639-8)))</x:f>
      </x:c>
      <x:c r="E639" s="51" t="str">
        <x:f>IF(631&gt;$H$4,"",IF(INDEX('Fleet dates'!$E$9:$E$1008,$I639-8)="","",INDEX('Fleet dates'!$E$9:$E$1008,$I639-8)))</x:f>
      </x:c>
      <x:c r="F639" s="51" t="str">
        <x:f>IF(631&gt;$H$4,"",IF(INDEX('Fleet dates'!$F$9:$F$1008,$I639-8)="","",INDEX('Fleet dates'!$F$9:$F$1008,$I639-8)))</x:f>
      </x:c>
      <x:c r="G639" s="50" t="str">
        <x:f>IF(631&gt;$H$4,"",IF(INDEX('Fleet dates'!$G$9:$G$1008,$I639-8)="","",INDEX('Fleet dates'!$G$9:$G$1008,$I639-8)))</x:f>
      </x:c>
      <x:c r="H639" s="50" t="str">
        <x:f>IF(631&gt;$H$4,"",IF(INDEX('Fleet dates'!$I$9:$I$1008,$I639-8)="","",INDEX('Fleet dates'!$I$9:$I$1008,$I639-8)))</x:f>
      </x:c>
      <x:c r="I639" t="str">
        <x:f>IF(631&gt;$H$4,"",MATCH(631,'Fleet dates'!$N$9:$N$1008,0)+8)</x:f>
      </x:c>
    </x:row>
    <x:row r="640" ht="36" customHeight="1">
      <x:c r="A640" s="50" t="str">
        <x:f>IF(632&gt;$H$4,"",IF(INDEX('Fleet dates'!$A$9:$A$1008,$I640-8)="","",INDEX('Fleet dates'!$A$9:$A$1008,$I640-8)))</x:f>
      </x:c>
      <x:c r="B640" s="50" t="str">
        <x:f>IF(632&gt;$H$4,"",IF(INDEX('Fleet dates'!$B$9:$B$1008,$I640-8)="","",INDEX('Fleet dates'!$B$9:$B$1008,$I640-8)))</x:f>
      </x:c>
      <x:c r="C640" s="51" t="str">
        <x:f>IF(632&gt;$H$4,"",IF(INDEX('Fleet dates'!$C$9:$C$1008,$I640-8)="","",INDEX('Fleet dates'!$C$9:$C$1008,$I640-8)))</x:f>
      </x:c>
      <x:c r="D640" s="51" t="str">
        <x:f>IF(632&gt;$H$4,"",IF(INDEX('Fleet dates'!$D$9:$D$1008,$I640-8)="","",INDEX('Fleet dates'!$D$9:$D$1008,$I640-8)))</x:f>
      </x:c>
      <x:c r="E640" s="51" t="str">
        <x:f>IF(632&gt;$H$4,"",IF(INDEX('Fleet dates'!$E$9:$E$1008,$I640-8)="","",INDEX('Fleet dates'!$E$9:$E$1008,$I640-8)))</x:f>
      </x:c>
      <x:c r="F640" s="51" t="str">
        <x:f>IF(632&gt;$H$4,"",IF(INDEX('Fleet dates'!$F$9:$F$1008,$I640-8)="","",INDEX('Fleet dates'!$F$9:$F$1008,$I640-8)))</x:f>
      </x:c>
      <x:c r="G640" s="50" t="str">
        <x:f>IF(632&gt;$H$4,"",IF(INDEX('Fleet dates'!$G$9:$G$1008,$I640-8)="","",INDEX('Fleet dates'!$G$9:$G$1008,$I640-8)))</x:f>
      </x:c>
      <x:c r="H640" s="50" t="str">
        <x:f>IF(632&gt;$H$4,"",IF(INDEX('Fleet dates'!$I$9:$I$1008,$I640-8)="","",INDEX('Fleet dates'!$I$9:$I$1008,$I640-8)))</x:f>
      </x:c>
      <x:c r="I640" t="str">
        <x:f>IF(632&gt;$H$4,"",MATCH(632,'Fleet dates'!$N$9:$N$1008,0)+8)</x:f>
      </x:c>
    </x:row>
    <x:row r="641" ht="36" customHeight="1">
      <x:c r="A641" s="50" t="str">
        <x:f>IF(633&gt;$H$4,"",IF(INDEX('Fleet dates'!$A$9:$A$1008,$I641-8)="","",INDEX('Fleet dates'!$A$9:$A$1008,$I641-8)))</x:f>
      </x:c>
      <x:c r="B641" s="50" t="str">
        <x:f>IF(633&gt;$H$4,"",IF(INDEX('Fleet dates'!$B$9:$B$1008,$I641-8)="","",INDEX('Fleet dates'!$B$9:$B$1008,$I641-8)))</x:f>
      </x:c>
      <x:c r="C641" s="51" t="str">
        <x:f>IF(633&gt;$H$4,"",IF(INDEX('Fleet dates'!$C$9:$C$1008,$I641-8)="","",INDEX('Fleet dates'!$C$9:$C$1008,$I641-8)))</x:f>
      </x:c>
      <x:c r="D641" s="51" t="str">
        <x:f>IF(633&gt;$H$4,"",IF(INDEX('Fleet dates'!$D$9:$D$1008,$I641-8)="","",INDEX('Fleet dates'!$D$9:$D$1008,$I641-8)))</x:f>
      </x:c>
      <x:c r="E641" s="51" t="str">
        <x:f>IF(633&gt;$H$4,"",IF(INDEX('Fleet dates'!$E$9:$E$1008,$I641-8)="","",INDEX('Fleet dates'!$E$9:$E$1008,$I641-8)))</x:f>
      </x:c>
      <x:c r="F641" s="51" t="str">
        <x:f>IF(633&gt;$H$4,"",IF(INDEX('Fleet dates'!$F$9:$F$1008,$I641-8)="","",INDEX('Fleet dates'!$F$9:$F$1008,$I641-8)))</x:f>
      </x:c>
      <x:c r="G641" s="50" t="str">
        <x:f>IF(633&gt;$H$4,"",IF(INDEX('Fleet dates'!$G$9:$G$1008,$I641-8)="","",INDEX('Fleet dates'!$G$9:$G$1008,$I641-8)))</x:f>
      </x:c>
      <x:c r="H641" s="50" t="str">
        <x:f>IF(633&gt;$H$4,"",IF(INDEX('Fleet dates'!$I$9:$I$1008,$I641-8)="","",INDEX('Fleet dates'!$I$9:$I$1008,$I641-8)))</x:f>
      </x:c>
      <x:c r="I641" t="str">
        <x:f>IF(633&gt;$H$4,"",MATCH(633,'Fleet dates'!$N$9:$N$1008,0)+8)</x:f>
      </x:c>
    </x:row>
    <x:row r="642" ht="36" customHeight="1">
      <x:c r="A642" s="50" t="str">
        <x:f>IF(634&gt;$H$4,"",IF(INDEX('Fleet dates'!$A$9:$A$1008,$I642-8)="","",INDEX('Fleet dates'!$A$9:$A$1008,$I642-8)))</x:f>
      </x:c>
      <x:c r="B642" s="50" t="str">
        <x:f>IF(634&gt;$H$4,"",IF(INDEX('Fleet dates'!$B$9:$B$1008,$I642-8)="","",INDEX('Fleet dates'!$B$9:$B$1008,$I642-8)))</x:f>
      </x:c>
      <x:c r="C642" s="51" t="str">
        <x:f>IF(634&gt;$H$4,"",IF(INDEX('Fleet dates'!$C$9:$C$1008,$I642-8)="","",INDEX('Fleet dates'!$C$9:$C$1008,$I642-8)))</x:f>
      </x:c>
      <x:c r="D642" s="51" t="str">
        <x:f>IF(634&gt;$H$4,"",IF(INDEX('Fleet dates'!$D$9:$D$1008,$I642-8)="","",INDEX('Fleet dates'!$D$9:$D$1008,$I642-8)))</x:f>
      </x:c>
      <x:c r="E642" s="51" t="str">
        <x:f>IF(634&gt;$H$4,"",IF(INDEX('Fleet dates'!$E$9:$E$1008,$I642-8)="","",INDEX('Fleet dates'!$E$9:$E$1008,$I642-8)))</x:f>
      </x:c>
      <x:c r="F642" s="51" t="str">
        <x:f>IF(634&gt;$H$4,"",IF(INDEX('Fleet dates'!$F$9:$F$1008,$I642-8)="","",INDEX('Fleet dates'!$F$9:$F$1008,$I642-8)))</x:f>
      </x:c>
      <x:c r="G642" s="50" t="str">
        <x:f>IF(634&gt;$H$4,"",IF(INDEX('Fleet dates'!$G$9:$G$1008,$I642-8)="","",INDEX('Fleet dates'!$G$9:$G$1008,$I642-8)))</x:f>
      </x:c>
      <x:c r="H642" s="50" t="str">
        <x:f>IF(634&gt;$H$4,"",IF(INDEX('Fleet dates'!$I$9:$I$1008,$I642-8)="","",INDEX('Fleet dates'!$I$9:$I$1008,$I642-8)))</x:f>
      </x:c>
      <x:c r="I642" t="str">
        <x:f>IF(634&gt;$H$4,"",MATCH(634,'Fleet dates'!$N$9:$N$1008,0)+8)</x:f>
      </x:c>
    </x:row>
    <x:row r="643" ht="36" customHeight="1">
      <x:c r="A643" s="50" t="str">
        <x:f>IF(635&gt;$H$4,"",IF(INDEX('Fleet dates'!$A$9:$A$1008,$I643-8)="","",INDEX('Fleet dates'!$A$9:$A$1008,$I643-8)))</x:f>
      </x:c>
      <x:c r="B643" s="50" t="str">
        <x:f>IF(635&gt;$H$4,"",IF(INDEX('Fleet dates'!$B$9:$B$1008,$I643-8)="","",INDEX('Fleet dates'!$B$9:$B$1008,$I643-8)))</x:f>
      </x:c>
      <x:c r="C643" s="51" t="str">
        <x:f>IF(635&gt;$H$4,"",IF(INDEX('Fleet dates'!$C$9:$C$1008,$I643-8)="","",INDEX('Fleet dates'!$C$9:$C$1008,$I643-8)))</x:f>
      </x:c>
      <x:c r="D643" s="51" t="str">
        <x:f>IF(635&gt;$H$4,"",IF(INDEX('Fleet dates'!$D$9:$D$1008,$I643-8)="","",INDEX('Fleet dates'!$D$9:$D$1008,$I643-8)))</x:f>
      </x:c>
      <x:c r="E643" s="51" t="str">
        <x:f>IF(635&gt;$H$4,"",IF(INDEX('Fleet dates'!$E$9:$E$1008,$I643-8)="","",INDEX('Fleet dates'!$E$9:$E$1008,$I643-8)))</x:f>
      </x:c>
      <x:c r="F643" s="51" t="str">
        <x:f>IF(635&gt;$H$4,"",IF(INDEX('Fleet dates'!$F$9:$F$1008,$I643-8)="","",INDEX('Fleet dates'!$F$9:$F$1008,$I643-8)))</x:f>
      </x:c>
      <x:c r="G643" s="50" t="str">
        <x:f>IF(635&gt;$H$4,"",IF(INDEX('Fleet dates'!$G$9:$G$1008,$I643-8)="","",INDEX('Fleet dates'!$G$9:$G$1008,$I643-8)))</x:f>
      </x:c>
      <x:c r="H643" s="50" t="str">
        <x:f>IF(635&gt;$H$4,"",IF(INDEX('Fleet dates'!$I$9:$I$1008,$I643-8)="","",INDEX('Fleet dates'!$I$9:$I$1008,$I643-8)))</x:f>
      </x:c>
      <x:c r="I643" t="str">
        <x:f>IF(635&gt;$H$4,"",MATCH(635,'Fleet dates'!$N$9:$N$1008,0)+8)</x:f>
      </x:c>
    </x:row>
    <x:row r="644" ht="36" customHeight="1">
      <x:c r="A644" s="50" t="str">
        <x:f>IF(636&gt;$H$4,"",IF(INDEX('Fleet dates'!$A$9:$A$1008,$I644-8)="","",INDEX('Fleet dates'!$A$9:$A$1008,$I644-8)))</x:f>
      </x:c>
      <x:c r="B644" s="50" t="str">
        <x:f>IF(636&gt;$H$4,"",IF(INDEX('Fleet dates'!$B$9:$B$1008,$I644-8)="","",INDEX('Fleet dates'!$B$9:$B$1008,$I644-8)))</x:f>
      </x:c>
      <x:c r="C644" s="51" t="str">
        <x:f>IF(636&gt;$H$4,"",IF(INDEX('Fleet dates'!$C$9:$C$1008,$I644-8)="","",INDEX('Fleet dates'!$C$9:$C$1008,$I644-8)))</x:f>
      </x:c>
      <x:c r="D644" s="51" t="str">
        <x:f>IF(636&gt;$H$4,"",IF(INDEX('Fleet dates'!$D$9:$D$1008,$I644-8)="","",INDEX('Fleet dates'!$D$9:$D$1008,$I644-8)))</x:f>
      </x:c>
      <x:c r="E644" s="51" t="str">
        <x:f>IF(636&gt;$H$4,"",IF(INDEX('Fleet dates'!$E$9:$E$1008,$I644-8)="","",INDEX('Fleet dates'!$E$9:$E$1008,$I644-8)))</x:f>
      </x:c>
      <x:c r="F644" s="51" t="str">
        <x:f>IF(636&gt;$H$4,"",IF(INDEX('Fleet dates'!$F$9:$F$1008,$I644-8)="","",INDEX('Fleet dates'!$F$9:$F$1008,$I644-8)))</x:f>
      </x:c>
      <x:c r="G644" s="50" t="str">
        <x:f>IF(636&gt;$H$4,"",IF(INDEX('Fleet dates'!$G$9:$G$1008,$I644-8)="","",INDEX('Fleet dates'!$G$9:$G$1008,$I644-8)))</x:f>
      </x:c>
      <x:c r="H644" s="50" t="str">
        <x:f>IF(636&gt;$H$4,"",IF(INDEX('Fleet dates'!$I$9:$I$1008,$I644-8)="","",INDEX('Fleet dates'!$I$9:$I$1008,$I644-8)))</x:f>
      </x:c>
      <x:c r="I644" t="str">
        <x:f>IF(636&gt;$H$4,"",MATCH(636,'Fleet dates'!$N$9:$N$1008,0)+8)</x:f>
      </x:c>
    </x:row>
    <x:row r="645" ht="36" customHeight="1">
      <x:c r="A645" s="50" t="str">
        <x:f>IF(637&gt;$H$4,"",IF(INDEX('Fleet dates'!$A$9:$A$1008,$I645-8)="","",INDEX('Fleet dates'!$A$9:$A$1008,$I645-8)))</x:f>
      </x:c>
      <x:c r="B645" s="50" t="str">
        <x:f>IF(637&gt;$H$4,"",IF(INDEX('Fleet dates'!$B$9:$B$1008,$I645-8)="","",INDEX('Fleet dates'!$B$9:$B$1008,$I645-8)))</x:f>
      </x:c>
      <x:c r="C645" s="51" t="str">
        <x:f>IF(637&gt;$H$4,"",IF(INDEX('Fleet dates'!$C$9:$C$1008,$I645-8)="","",INDEX('Fleet dates'!$C$9:$C$1008,$I645-8)))</x:f>
      </x:c>
      <x:c r="D645" s="51" t="str">
        <x:f>IF(637&gt;$H$4,"",IF(INDEX('Fleet dates'!$D$9:$D$1008,$I645-8)="","",INDEX('Fleet dates'!$D$9:$D$1008,$I645-8)))</x:f>
      </x:c>
      <x:c r="E645" s="51" t="str">
        <x:f>IF(637&gt;$H$4,"",IF(INDEX('Fleet dates'!$E$9:$E$1008,$I645-8)="","",INDEX('Fleet dates'!$E$9:$E$1008,$I645-8)))</x:f>
      </x:c>
      <x:c r="F645" s="51" t="str">
        <x:f>IF(637&gt;$H$4,"",IF(INDEX('Fleet dates'!$F$9:$F$1008,$I645-8)="","",INDEX('Fleet dates'!$F$9:$F$1008,$I645-8)))</x:f>
      </x:c>
      <x:c r="G645" s="50" t="str">
        <x:f>IF(637&gt;$H$4,"",IF(INDEX('Fleet dates'!$G$9:$G$1008,$I645-8)="","",INDEX('Fleet dates'!$G$9:$G$1008,$I645-8)))</x:f>
      </x:c>
      <x:c r="H645" s="50" t="str">
        <x:f>IF(637&gt;$H$4,"",IF(INDEX('Fleet dates'!$I$9:$I$1008,$I645-8)="","",INDEX('Fleet dates'!$I$9:$I$1008,$I645-8)))</x:f>
      </x:c>
      <x:c r="I645" t="str">
        <x:f>IF(637&gt;$H$4,"",MATCH(637,'Fleet dates'!$N$9:$N$1008,0)+8)</x:f>
      </x:c>
    </x:row>
    <x:row r="646" ht="36" customHeight="1">
      <x:c r="A646" s="50" t="str">
        <x:f>IF(638&gt;$H$4,"",IF(INDEX('Fleet dates'!$A$9:$A$1008,$I646-8)="","",INDEX('Fleet dates'!$A$9:$A$1008,$I646-8)))</x:f>
      </x:c>
      <x:c r="B646" s="50" t="str">
        <x:f>IF(638&gt;$H$4,"",IF(INDEX('Fleet dates'!$B$9:$B$1008,$I646-8)="","",INDEX('Fleet dates'!$B$9:$B$1008,$I646-8)))</x:f>
      </x:c>
      <x:c r="C646" s="51" t="str">
        <x:f>IF(638&gt;$H$4,"",IF(INDEX('Fleet dates'!$C$9:$C$1008,$I646-8)="","",INDEX('Fleet dates'!$C$9:$C$1008,$I646-8)))</x:f>
      </x:c>
      <x:c r="D646" s="51" t="str">
        <x:f>IF(638&gt;$H$4,"",IF(INDEX('Fleet dates'!$D$9:$D$1008,$I646-8)="","",INDEX('Fleet dates'!$D$9:$D$1008,$I646-8)))</x:f>
      </x:c>
      <x:c r="E646" s="51" t="str">
        <x:f>IF(638&gt;$H$4,"",IF(INDEX('Fleet dates'!$E$9:$E$1008,$I646-8)="","",INDEX('Fleet dates'!$E$9:$E$1008,$I646-8)))</x:f>
      </x:c>
      <x:c r="F646" s="51" t="str">
        <x:f>IF(638&gt;$H$4,"",IF(INDEX('Fleet dates'!$F$9:$F$1008,$I646-8)="","",INDEX('Fleet dates'!$F$9:$F$1008,$I646-8)))</x:f>
      </x:c>
      <x:c r="G646" s="50" t="str">
        <x:f>IF(638&gt;$H$4,"",IF(INDEX('Fleet dates'!$G$9:$G$1008,$I646-8)="","",INDEX('Fleet dates'!$G$9:$G$1008,$I646-8)))</x:f>
      </x:c>
      <x:c r="H646" s="50" t="str">
        <x:f>IF(638&gt;$H$4,"",IF(INDEX('Fleet dates'!$I$9:$I$1008,$I646-8)="","",INDEX('Fleet dates'!$I$9:$I$1008,$I646-8)))</x:f>
      </x:c>
      <x:c r="I646" t="str">
        <x:f>IF(638&gt;$H$4,"",MATCH(638,'Fleet dates'!$N$9:$N$1008,0)+8)</x:f>
      </x:c>
    </x:row>
    <x:row r="647" ht="36" customHeight="1">
      <x:c r="A647" s="50" t="str">
        <x:f>IF(639&gt;$H$4,"",IF(INDEX('Fleet dates'!$A$9:$A$1008,$I647-8)="","",INDEX('Fleet dates'!$A$9:$A$1008,$I647-8)))</x:f>
      </x:c>
      <x:c r="B647" s="50" t="str">
        <x:f>IF(639&gt;$H$4,"",IF(INDEX('Fleet dates'!$B$9:$B$1008,$I647-8)="","",INDEX('Fleet dates'!$B$9:$B$1008,$I647-8)))</x:f>
      </x:c>
      <x:c r="C647" s="51" t="str">
        <x:f>IF(639&gt;$H$4,"",IF(INDEX('Fleet dates'!$C$9:$C$1008,$I647-8)="","",INDEX('Fleet dates'!$C$9:$C$1008,$I647-8)))</x:f>
      </x:c>
      <x:c r="D647" s="51" t="str">
        <x:f>IF(639&gt;$H$4,"",IF(INDEX('Fleet dates'!$D$9:$D$1008,$I647-8)="","",INDEX('Fleet dates'!$D$9:$D$1008,$I647-8)))</x:f>
      </x:c>
      <x:c r="E647" s="51" t="str">
        <x:f>IF(639&gt;$H$4,"",IF(INDEX('Fleet dates'!$E$9:$E$1008,$I647-8)="","",INDEX('Fleet dates'!$E$9:$E$1008,$I647-8)))</x:f>
      </x:c>
      <x:c r="F647" s="51" t="str">
        <x:f>IF(639&gt;$H$4,"",IF(INDEX('Fleet dates'!$F$9:$F$1008,$I647-8)="","",INDEX('Fleet dates'!$F$9:$F$1008,$I647-8)))</x:f>
      </x:c>
      <x:c r="G647" s="50" t="str">
        <x:f>IF(639&gt;$H$4,"",IF(INDEX('Fleet dates'!$G$9:$G$1008,$I647-8)="","",INDEX('Fleet dates'!$G$9:$G$1008,$I647-8)))</x:f>
      </x:c>
      <x:c r="H647" s="50" t="str">
        <x:f>IF(639&gt;$H$4,"",IF(INDEX('Fleet dates'!$I$9:$I$1008,$I647-8)="","",INDEX('Fleet dates'!$I$9:$I$1008,$I647-8)))</x:f>
      </x:c>
      <x:c r="I647" t="str">
        <x:f>IF(639&gt;$H$4,"",MATCH(639,'Fleet dates'!$N$9:$N$1008,0)+8)</x:f>
      </x:c>
    </x:row>
    <x:row r="648" ht="36" customHeight="1">
      <x:c r="A648" s="50" t="str">
        <x:f>IF(640&gt;$H$4,"",IF(INDEX('Fleet dates'!$A$9:$A$1008,$I648-8)="","",INDEX('Fleet dates'!$A$9:$A$1008,$I648-8)))</x:f>
      </x:c>
      <x:c r="B648" s="50" t="str">
        <x:f>IF(640&gt;$H$4,"",IF(INDEX('Fleet dates'!$B$9:$B$1008,$I648-8)="","",INDEX('Fleet dates'!$B$9:$B$1008,$I648-8)))</x:f>
      </x:c>
      <x:c r="C648" s="51" t="str">
        <x:f>IF(640&gt;$H$4,"",IF(INDEX('Fleet dates'!$C$9:$C$1008,$I648-8)="","",INDEX('Fleet dates'!$C$9:$C$1008,$I648-8)))</x:f>
      </x:c>
      <x:c r="D648" s="51" t="str">
        <x:f>IF(640&gt;$H$4,"",IF(INDEX('Fleet dates'!$D$9:$D$1008,$I648-8)="","",INDEX('Fleet dates'!$D$9:$D$1008,$I648-8)))</x:f>
      </x:c>
      <x:c r="E648" s="51" t="str">
        <x:f>IF(640&gt;$H$4,"",IF(INDEX('Fleet dates'!$E$9:$E$1008,$I648-8)="","",INDEX('Fleet dates'!$E$9:$E$1008,$I648-8)))</x:f>
      </x:c>
      <x:c r="F648" s="51" t="str">
        <x:f>IF(640&gt;$H$4,"",IF(INDEX('Fleet dates'!$F$9:$F$1008,$I648-8)="","",INDEX('Fleet dates'!$F$9:$F$1008,$I648-8)))</x:f>
      </x:c>
      <x:c r="G648" s="50" t="str">
        <x:f>IF(640&gt;$H$4,"",IF(INDEX('Fleet dates'!$G$9:$G$1008,$I648-8)="","",INDEX('Fleet dates'!$G$9:$G$1008,$I648-8)))</x:f>
      </x:c>
      <x:c r="H648" s="50" t="str">
        <x:f>IF(640&gt;$H$4,"",IF(INDEX('Fleet dates'!$I$9:$I$1008,$I648-8)="","",INDEX('Fleet dates'!$I$9:$I$1008,$I648-8)))</x:f>
      </x:c>
      <x:c r="I648" t="str">
        <x:f>IF(640&gt;$H$4,"",MATCH(640,'Fleet dates'!$N$9:$N$1008,0)+8)</x:f>
      </x:c>
    </x:row>
    <x:row r="649" ht="36" customHeight="1">
      <x:c r="A649" s="50" t="str">
        <x:f>IF(641&gt;$H$4,"",IF(INDEX('Fleet dates'!$A$9:$A$1008,$I649-8)="","",INDEX('Fleet dates'!$A$9:$A$1008,$I649-8)))</x:f>
      </x:c>
      <x:c r="B649" s="50" t="str">
        <x:f>IF(641&gt;$H$4,"",IF(INDEX('Fleet dates'!$B$9:$B$1008,$I649-8)="","",INDEX('Fleet dates'!$B$9:$B$1008,$I649-8)))</x:f>
      </x:c>
      <x:c r="C649" s="51" t="str">
        <x:f>IF(641&gt;$H$4,"",IF(INDEX('Fleet dates'!$C$9:$C$1008,$I649-8)="","",INDEX('Fleet dates'!$C$9:$C$1008,$I649-8)))</x:f>
      </x:c>
      <x:c r="D649" s="51" t="str">
        <x:f>IF(641&gt;$H$4,"",IF(INDEX('Fleet dates'!$D$9:$D$1008,$I649-8)="","",INDEX('Fleet dates'!$D$9:$D$1008,$I649-8)))</x:f>
      </x:c>
      <x:c r="E649" s="51" t="str">
        <x:f>IF(641&gt;$H$4,"",IF(INDEX('Fleet dates'!$E$9:$E$1008,$I649-8)="","",INDEX('Fleet dates'!$E$9:$E$1008,$I649-8)))</x:f>
      </x:c>
      <x:c r="F649" s="51" t="str">
        <x:f>IF(641&gt;$H$4,"",IF(INDEX('Fleet dates'!$F$9:$F$1008,$I649-8)="","",INDEX('Fleet dates'!$F$9:$F$1008,$I649-8)))</x:f>
      </x:c>
      <x:c r="G649" s="50" t="str">
        <x:f>IF(641&gt;$H$4,"",IF(INDEX('Fleet dates'!$G$9:$G$1008,$I649-8)="","",INDEX('Fleet dates'!$G$9:$G$1008,$I649-8)))</x:f>
      </x:c>
      <x:c r="H649" s="50" t="str">
        <x:f>IF(641&gt;$H$4,"",IF(INDEX('Fleet dates'!$I$9:$I$1008,$I649-8)="","",INDEX('Fleet dates'!$I$9:$I$1008,$I649-8)))</x:f>
      </x:c>
      <x:c r="I649" t="str">
        <x:f>IF(641&gt;$H$4,"",MATCH(641,'Fleet dates'!$N$9:$N$1008,0)+8)</x:f>
      </x:c>
    </x:row>
    <x:row r="650" ht="36" customHeight="1">
      <x:c r="A650" s="50" t="str">
        <x:f>IF(642&gt;$H$4,"",IF(INDEX('Fleet dates'!$A$9:$A$1008,$I650-8)="","",INDEX('Fleet dates'!$A$9:$A$1008,$I650-8)))</x:f>
      </x:c>
      <x:c r="B650" s="50" t="str">
        <x:f>IF(642&gt;$H$4,"",IF(INDEX('Fleet dates'!$B$9:$B$1008,$I650-8)="","",INDEX('Fleet dates'!$B$9:$B$1008,$I650-8)))</x:f>
      </x:c>
      <x:c r="C650" s="51" t="str">
        <x:f>IF(642&gt;$H$4,"",IF(INDEX('Fleet dates'!$C$9:$C$1008,$I650-8)="","",INDEX('Fleet dates'!$C$9:$C$1008,$I650-8)))</x:f>
      </x:c>
      <x:c r="D650" s="51" t="str">
        <x:f>IF(642&gt;$H$4,"",IF(INDEX('Fleet dates'!$D$9:$D$1008,$I650-8)="","",INDEX('Fleet dates'!$D$9:$D$1008,$I650-8)))</x:f>
      </x:c>
      <x:c r="E650" s="51" t="str">
        <x:f>IF(642&gt;$H$4,"",IF(INDEX('Fleet dates'!$E$9:$E$1008,$I650-8)="","",INDEX('Fleet dates'!$E$9:$E$1008,$I650-8)))</x:f>
      </x:c>
      <x:c r="F650" s="51" t="str">
        <x:f>IF(642&gt;$H$4,"",IF(INDEX('Fleet dates'!$F$9:$F$1008,$I650-8)="","",INDEX('Fleet dates'!$F$9:$F$1008,$I650-8)))</x:f>
      </x:c>
      <x:c r="G650" s="50" t="str">
        <x:f>IF(642&gt;$H$4,"",IF(INDEX('Fleet dates'!$G$9:$G$1008,$I650-8)="","",INDEX('Fleet dates'!$G$9:$G$1008,$I650-8)))</x:f>
      </x:c>
      <x:c r="H650" s="50" t="str">
        <x:f>IF(642&gt;$H$4,"",IF(INDEX('Fleet dates'!$I$9:$I$1008,$I650-8)="","",INDEX('Fleet dates'!$I$9:$I$1008,$I650-8)))</x:f>
      </x:c>
      <x:c r="I650" t="str">
        <x:f>IF(642&gt;$H$4,"",MATCH(642,'Fleet dates'!$N$9:$N$1008,0)+8)</x:f>
      </x:c>
    </x:row>
    <x:row r="651" ht="36" customHeight="1">
      <x:c r="A651" s="50" t="str">
        <x:f>IF(643&gt;$H$4,"",IF(INDEX('Fleet dates'!$A$9:$A$1008,$I651-8)="","",INDEX('Fleet dates'!$A$9:$A$1008,$I651-8)))</x:f>
      </x:c>
      <x:c r="B651" s="50" t="str">
        <x:f>IF(643&gt;$H$4,"",IF(INDEX('Fleet dates'!$B$9:$B$1008,$I651-8)="","",INDEX('Fleet dates'!$B$9:$B$1008,$I651-8)))</x:f>
      </x:c>
      <x:c r="C651" s="51" t="str">
        <x:f>IF(643&gt;$H$4,"",IF(INDEX('Fleet dates'!$C$9:$C$1008,$I651-8)="","",INDEX('Fleet dates'!$C$9:$C$1008,$I651-8)))</x:f>
      </x:c>
      <x:c r="D651" s="51" t="str">
        <x:f>IF(643&gt;$H$4,"",IF(INDEX('Fleet dates'!$D$9:$D$1008,$I651-8)="","",INDEX('Fleet dates'!$D$9:$D$1008,$I651-8)))</x:f>
      </x:c>
      <x:c r="E651" s="51" t="str">
        <x:f>IF(643&gt;$H$4,"",IF(INDEX('Fleet dates'!$E$9:$E$1008,$I651-8)="","",INDEX('Fleet dates'!$E$9:$E$1008,$I651-8)))</x:f>
      </x:c>
      <x:c r="F651" s="51" t="str">
        <x:f>IF(643&gt;$H$4,"",IF(INDEX('Fleet dates'!$F$9:$F$1008,$I651-8)="","",INDEX('Fleet dates'!$F$9:$F$1008,$I651-8)))</x:f>
      </x:c>
      <x:c r="G651" s="50" t="str">
        <x:f>IF(643&gt;$H$4,"",IF(INDEX('Fleet dates'!$G$9:$G$1008,$I651-8)="","",INDEX('Fleet dates'!$G$9:$G$1008,$I651-8)))</x:f>
      </x:c>
      <x:c r="H651" s="50" t="str">
        <x:f>IF(643&gt;$H$4,"",IF(INDEX('Fleet dates'!$I$9:$I$1008,$I651-8)="","",INDEX('Fleet dates'!$I$9:$I$1008,$I651-8)))</x:f>
      </x:c>
      <x:c r="I651" t="str">
        <x:f>IF(643&gt;$H$4,"",MATCH(643,'Fleet dates'!$N$9:$N$1008,0)+8)</x:f>
      </x:c>
    </x:row>
    <x:row r="652" ht="36" customHeight="1">
      <x:c r="A652" s="50" t="str">
        <x:f>IF(644&gt;$H$4,"",IF(INDEX('Fleet dates'!$A$9:$A$1008,$I652-8)="","",INDEX('Fleet dates'!$A$9:$A$1008,$I652-8)))</x:f>
      </x:c>
      <x:c r="B652" s="50" t="str">
        <x:f>IF(644&gt;$H$4,"",IF(INDEX('Fleet dates'!$B$9:$B$1008,$I652-8)="","",INDEX('Fleet dates'!$B$9:$B$1008,$I652-8)))</x:f>
      </x:c>
      <x:c r="C652" s="51" t="str">
        <x:f>IF(644&gt;$H$4,"",IF(INDEX('Fleet dates'!$C$9:$C$1008,$I652-8)="","",INDEX('Fleet dates'!$C$9:$C$1008,$I652-8)))</x:f>
      </x:c>
      <x:c r="D652" s="51" t="str">
        <x:f>IF(644&gt;$H$4,"",IF(INDEX('Fleet dates'!$D$9:$D$1008,$I652-8)="","",INDEX('Fleet dates'!$D$9:$D$1008,$I652-8)))</x:f>
      </x:c>
      <x:c r="E652" s="51" t="str">
        <x:f>IF(644&gt;$H$4,"",IF(INDEX('Fleet dates'!$E$9:$E$1008,$I652-8)="","",INDEX('Fleet dates'!$E$9:$E$1008,$I652-8)))</x:f>
      </x:c>
      <x:c r="F652" s="51" t="str">
        <x:f>IF(644&gt;$H$4,"",IF(INDEX('Fleet dates'!$F$9:$F$1008,$I652-8)="","",INDEX('Fleet dates'!$F$9:$F$1008,$I652-8)))</x:f>
      </x:c>
      <x:c r="G652" s="50" t="str">
        <x:f>IF(644&gt;$H$4,"",IF(INDEX('Fleet dates'!$G$9:$G$1008,$I652-8)="","",INDEX('Fleet dates'!$G$9:$G$1008,$I652-8)))</x:f>
      </x:c>
      <x:c r="H652" s="50" t="str">
        <x:f>IF(644&gt;$H$4,"",IF(INDEX('Fleet dates'!$I$9:$I$1008,$I652-8)="","",INDEX('Fleet dates'!$I$9:$I$1008,$I652-8)))</x:f>
      </x:c>
      <x:c r="I652" t="str">
        <x:f>IF(644&gt;$H$4,"",MATCH(644,'Fleet dates'!$N$9:$N$1008,0)+8)</x:f>
      </x:c>
    </x:row>
    <x:row r="653" ht="36" customHeight="1">
      <x:c r="A653" s="50" t="str">
        <x:f>IF(645&gt;$H$4,"",IF(INDEX('Fleet dates'!$A$9:$A$1008,$I653-8)="","",INDEX('Fleet dates'!$A$9:$A$1008,$I653-8)))</x:f>
      </x:c>
      <x:c r="B653" s="50" t="str">
        <x:f>IF(645&gt;$H$4,"",IF(INDEX('Fleet dates'!$B$9:$B$1008,$I653-8)="","",INDEX('Fleet dates'!$B$9:$B$1008,$I653-8)))</x:f>
      </x:c>
      <x:c r="C653" s="51" t="str">
        <x:f>IF(645&gt;$H$4,"",IF(INDEX('Fleet dates'!$C$9:$C$1008,$I653-8)="","",INDEX('Fleet dates'!$C$9:$C$1008,$I653-8)))</x:f>
      </x:c>
      <x:c r="D653" s="51" t="str">
        <x:f>IF(645&gt;$H$4,"",IF(INDEX('Fleet dates'!$D$9:$D$1008,$I653-8)="","",INDEX('Fleet dates'!$D$9:$D$1008,$I653-8)))</x:f>
      </x:c>
      <x:c r="E653" s="51" t="str">
        <x:f>IF(645&gt;$H$4,"",IF(INDEX('Fleet dates'!$E$9:$E$1008,$I653-8)="","",INDEX('Fleet dates'!$E$9:$E$1008,$I653-8)))</x:f>
      </x:c>
      <x:c r="F653" s="51" t="str">
        <x:f>IF(645&gt;$H$4,"",IF(INDEX('Fleet dates'!$F$9:$F$1008,$I653-8)="","",INDEX('Fleet dates'!$F$9:$F$1008,$I653-8)))</x:f>
      </x:c>
      <x:c r="G653" s="50" t="str">
        <x:f>IF(645&gt;$H$4,"",IF(INDEX('Fleet dates'!$G$9:$G$1008,$I653-8)="","",INDEX('Fleet dates'!$G$9:$G$1008,$I653-8)))</x:f>
      </x:c>
      <x:c r="H653" s="50" t="str">
        <x:f>IF(645&gt;$H$4,"",IF(INDEX('Fleet dates'!$I$9:$I$1008,$I653-8)="","",INDEX('Fleet dates'!$I$9:$I$1008,$I653-8)))</x:f>
      </x:c>
      <x:c r="I653" t="str">
        <x:f>IF(645&gt;$H$4,"",MATCH(645,'Fleet dates'!$N$9:$N$1008,0)+8)</x:f>
      </x:c>
    </x:row>
    <x:row r="654" ht="36" customHeight="1">
      <x:c r="A654" s="50" t="str">
        <x:f>IF(646&gt;$H$4,"",IF(INDEX('Fleet dates'!$A$9:$A$1008,$I654-8)="","",INDEX('Fleet dates'!$A$9:$A$1008,$I654-8)))</x:f>
      </x:c>
      <x:c r="B654" s="50" t="str">
        <x:f>IF(646&gt;$H$4,"",IF(INDEX('Fleet dates'!$B$9:$B$1008,$I654-8)="","",INDEX('Fleet dates'!$B$9:$B$1008,$I654-8)))</x:f>
      </x:c>
      <x:c r="C654" s="51" t="str">
        <x:f>IF(646&gt;$H$4,"",IF(INDEX('Fleet dates'!$C$9:$C$1008,$I654-8)="","",INDEX('Fleet dates'!$C$9:$C$1008,$I654-8)))</x:f>
      </x:c>
      <x:c r="D654" s="51" t="str">
        <x:f>IF(646&gt;$H$4,"",IF(INDEX('Fleet dates'!$D$9:$D$1008,$I654-8)="","",INDEX('Fleet dates'!$D$9:$D$1008,$I654-8)))</x:f>
      </x:c>
      <x:c r="E654" s="51" t="str">
        <x:f>IF(646&gt;$H$4,"",IF(INDEX('Fleet dates'!$E$9:$E$1008,$I654-8)="","",INDEX('Fleet dates'!$E$9:$E$1008,$I654-8)))</x:f>
      </x:c>
      <x:c r="F654" s="51" t="str">
        <x:f>IF(646&gt;$H$4,"",IF(INDEX('Fleet dates'!$F$9:$F$1008,$I654-8)="","",INDEX('Fleet dates'!$F$9:$F$1008,$I654-8)))</x:f>
      </x:c>
      <x:c r="G654" s="50" t="str">
        <x:f>IF(646&gt;$H$4,"",IF(INDEX('Fleet dates'!$G$9:$G$1008,$I654-8)="","",INDEX('Fleet dates'!$G$9:$G$1008,$I654-8)))</x:f>
      </x:c>
      <x:c r="H654" s="50" t="str">
        <x:f>IF(646&gt;$H$4,"",IF(INDEX('Fleet dates'!$I$9:$I$1008,$I654-8)="","",INDEX('Fleet dates'!$I$9:$I$1008,$I654-8)))</x:f>
      </x:c>
      <x:c r="I654" t="str">
        <x:f>IF(646&gt;$H$4,"",MATCH(646,'Fleet dates'!$N$9:$N$1008,0)+8)</x:f>
      </x:c>
    </x:row>
    <x:row r="655" ht="36" customHeight="1">
      <x:c r="A655" s="50" t="str">
        <x:f>IF(647&gt;$H$4,"",IF(INDEX('Fleet dates'!$A$9:$A$1008,$I655-8)="","",INDEX('Fleet dates'!$A$9:$A$1008,$I655-8)))</x:f>
      </x:c>
      <x:c r="B655" s="50" t="str">
        <x:f>IF(647&gt;$H$4,"",IF(INDEX('Fleet dates'!$B$9:$B$1008,$I655-8)="","",INDEX('Fleet dates'!$B$9:$B$1008,$I655-8)))</x:f>
      </x:c>
      <x:c r="C655" s="51" t="str">
        <x:f>IF(647&gt;$H$4,"",IF(INDEX('Fleet dates'!$C$9:$C$1008,$I655-8)="","",INDEX('Fleet dates'!$C$9:$C$1008,$I655-8)))</x:f>
      </x:c>
      <x:c r="D655" s="51" t="str">
        <x:f>IF(647&gt;$H$4,"",IF(INDEX('Fleet dates'!$D$9:$D$1008,$I655-8)="","",INDEX('Fleet dates'!$D$9:$D$1008,$I655-8)))</x:f>
      </x:c>
      <x:c r="E655" s="51" t="str">
        <x:f>IF(647&gt;$H$4,"",IF(INDEX('Fleet dates'!$E$9:$E$1008,$I655-8)="","",INDEX('Fleet dates'!$E$9:$E$1008,$I655-8)))</x:f>
      </x:c>
      <x:c r="F655" s="51" t="str">
        <x:f>IF(647&gt;$H$4,"",IF(INDEX('Fleet dates'!$F$9:$F$1008,$I655-8)="","",INDEX('Fleet dates'!$F$9:$F$1008,$I655-8)))</x:f>
      </x:c>
      <x:c r="G655" s="50" t="str">
        <x:f>IF(647&gt;$H$4,"",IF(INDEX('Fleet dates'!$G$9:$G$1008,$I655-8)="","",INDEX('Fleet dates'!$G$9:$G$1008,$I655-8)))</x:f>
      </x:c>
      <x:c r="H655" s="50" t="str">
        <x:f>IF(647&gt;$H$4,"",IF(INDEX('Fleet dates'!$I$9:$I$1008,$I655-8)="","",INDEX('Fleet dates'!$I$9:$I$1008,$I655-8)))</x:f>
      </x:c>
      <x:c r="I655" t="str">
        <x:f>IF(647&gt;$H$4,"",MATCH(647,'Fleet dates'!$N$9:$N$1008,0)+8)</x:f>
      </x:c>
    </x:row>
    <x:row r="656" ht="36" customHeight="1">
      <x:c r="A656" s="50" t="str">
        <x:f>IF(648&gt;$H$4,"",IF(INDEX('Fleet dates'!$A$9:$A$1008,$I656-8)="","",INDEX('Fleet dates'!$A$9:$A$1008,$I656-8)))</x:f>
      </x:c>
      <x:c r="B656" s="50" t="str">
        <x:f>IF(648&gt;$H$4,"",IF(INDEX('Fleet dates'!$B$9:$B$1008,$I656-8)="","",INDEX('Fleet dates'!$B$9:$B$1008,$I656-8)))</x:f>
      </x:c>
      <x:c r="C656" s="51" t="str">
        <x:f>IF(648&gt;$H$4,"",IF(INDEX('Fleet dates'!$C$9:$C$1008,$I656-8)="","",INDEX('Fleet dates'!$C$9:$C$1008,$I656-8)))</x:f>
      </x:c>
      <x:c r="D656" s="51" t="str">
        <x:f>IF(648&gt;$H$4,"",IF(INDEX('Fleet dates'!$D$9:$D$1008,$I656-8)="","",INDEX('Fleet dates'!$D$9:$D$1008,$I656-8)))</x:f>
      </x:c>
      <x:c r="E656" s="51" t="str">
        <x:f>IF(648&gt;$H$4,"",IF(INDEX('Fleet dates'!$E$9:$E$1008,$I656-8)="","",INDEX('Fleet dates'!$E$9:$E$1008,$I656-8)))</x:f>
      </x:c>
      <x:c r="F656" s="51" t="str">
        <x:f>IF(648&gt;$H$4,"",IF(INDEX('Fleet dates'!$F$9:$F$1008,$I656-8)="","",INDEX('Fleet dates'!$F$9:$F$1008,$I656-8)))</x:f>
      </x:c>
      <x:c r="G656" s="50" t="str">
        <x:f>IF(648&gt;$H$4,"",IF(INDEX('Fleet dates'!$G$9:$G$1008,$I656-8)="","",INDEX('Fleet dates'!$G$9:$G$1008,$I656-8)))</x:f>
      </x:c>
      <x:c r="H656" s="50" t="str">
        <x:f>IF(648&gt;$H$4,"",IF(INDEX('Fleet dates'!$I$9:$I$1008,$I656-8)="","",INDEX('Fleet dates'!$I$9:$I$1008,$I656-8)))</x:f>
      </x:c>
      <x:c r="I656" t="str">
        <x:f>IF(648&gt;$H$4,"",MATCH(648,'Fleet dates'!$N$9:$N$1008,0)+8)</x:f>
      </x:c>
    </x:row>
    <x:row r="657" ht="36" customHeight="1">
      <x:c r="A657" s="50" t="str">
        <x:f>IF(649&gt;$H$4,"",IF(INDEX('Fleet dates'!$A$9:$A$1008,$I657-8)="","",INDEX('Fleet dates'!$A$9:$A$1008,$I657-8)))</x:f>
      </x:c>
      <x:c r="B657" s="50" t="str">
        <x:f>IF(649&gt;$H$4,"",IF(INDEX('Fleet dates'!$B$9:$B$1008,$I657-8)="","",INDEX('Fleet dates'!$B$9:$B$1008,$I657-8)))</x:f>
      </x:c>
      <x:c r="C657" s="51" t="str">
        <x:f>IF(649&gt;$H$4,"",IF(INDEX('Fleet dates'!$C$9:$C$1008,$I657-8)="","",INDEX('Fleet dates'!$C$9:$C$1008,$I657-8)))</x:f>
      </x:c>
      <x:c r="D657" s="51" t="str">
        <x:f>IF(649&gt;$H$4,"",IF(INDEX('Fleet dates'!$D$9:$D$1008,$I657-8)="","",INDEX('Fleet dates'!$D$9:$D$1008,$I657-8)))</x:f>
      </x:c>
      <x:c r="E657" s="51" t="str">
        <x:f>IF(649&gt;$H$4,"",IF(INDEX('Fleet dates'!$E$9:$E$1008,$I657-8)="","",INDEX('Fleet dates'!$E$9:$E$1008,$I657-8)))</x:f>
      </x:c>
      <x:c r="F657" s="51" t="str">
        <x:f>IF(649&gt;$H$4,"",IF(INDEX('Fleet dates'!$F$9:$F$1008,$I657-8)="","",INDEX('Fleet dates'!$F$9:$F$1008,$I657-8)))</x:f>
      </x:c>
      <x:c r="G657" s="50" t="str">
        <x:f>IF(649&gt;$H$4,"",IF(INDEX('Fleet dates'!$G$9:$G$1008,$I657-8)="","",INDEX('Fleet dates'!$G$9:$G$1008,$I657-8)))</x:f>
      </x:c>
      <x:c r="H657" s="50" t="str">
        <x:f>IF(649&gt;$H$4,"",IF(INDEX('Fleet dates'!$I$9:$I$1008,$I657-8)="","",INDEX('Fleet dates'!$I$9:$I$1008,$I657-8)))</x:f>
      </x:c>
      <x:c r="I657" t="str">
        <x:f>IF(649&gt;$H$4,"",MATCH(649,'Fleet dates'!$N$9:$N$1008,0)+8)</x:f>
      </x:c>
    </x:row>
    <x:row r="658" ht="36" customHeight="1">
      <x:c r="A658" s="50" t="str">
        <x:f>IF(650&gt;$H$4,"",IF(INDEX('Fleet dates'!$A$9:$A$1008,$I658-8)="","",INDEX('Fleet dates'!$A$9:$A$1008,$I658-8)))</x:f>
      </x:c>
      <x:c r="B658" s="50" t="str">
        <x:f>IF(650&gt;$H$4,"",IF(INDEX('Fleet dates'!$B$9:$B$1008,$I658-8)="","",INDEX('Fleet dates'!$B$9:$B$1008,$I658-8)))</x:f>
      </x:c>
      <x:c r="C658" s="51" t="str">
        <x:f>IF(650&gt;$H$4,"",IF(INDEX('Fleet dates'!$C$9:$C$1008,$I658-8)="","",INDEX('Fleet dates'!$C$9:$C$1008,$I658-8)))</x:f>
      </x:c>
      <x:c r="D658" s="51" t="str">
        <x:f>IF(650&gt;$H$4,"",IF(INDEX('Fleet dates'!$D$9:$D$1008,$I658-8)="","",INDEX('Fleet dates'!$D$9:$D$1008,$I658-8)))</x:f>
      </x:c>
      <x:c r="E658" s="51" t="str">
        <x:f>IF(650&gt;$H$4,"",IF(INDEX('Fleet dates'!$E$9:$E$1008,$I658-8)="","",INDEX('Fleet dates'!$E$9:$E$1008,$I658-8)))</x:f>
      </x:c>
      <x:c r="F658" s="51" t="str">
        <x:f>IF(650&gt;$H$4,"",IF(INDEX('Fleet dates'!$F$9:$F$1008,$I658-8)="","",INDEX('Fleet dates'!$F$9:$F$1008,$I658-8)))</x:f>
      </x:c>
      <x:c r="G658" s="50" t="str">
        <x:f>IF(650&gt;$H$4,"",IF(INDEX('Fleet dates'!$G$9:$G$1008,$I658-8)="","",INDEX('Fleet dates'!$G$9:$G$1008,$I658-8)))</x:f>
      </x:c>
      <x:c r="H658" s="50" t="str">
        <x:f>IF(650&gt;$H$4,"",IF(INDEX('Fleet dates'!$I$9:$I$1008,$I658-8)="","",INDEX('Fleet dates'!$I$9:$I$1008,$I658-8)))</x:f>
      </x:c>
      <x:c r="I658" t="str">
        <x:f>IF(650&gt;$H$4,"",MATCH(650,'Fleet dates'!$N$9:$N$1008,0)+8)</x:f>
      </x:c>
    </x:row>
    <x:row r="659" ht="36" customHeight="1">
      <x:c r="A659" s="50" t="str">
        <x:f>IF(651&gt;$H$4,"",IF(INDEX('Fleet dates'!$A$9:$A$1008,$I659-8)="","",INDEX('Fleet dates'!$A$9:$A$1008,$I659-8)))</x:f>
      </x:c>
      <x:c r="B659" s="50" t="str">
        <x:f>IF(651&gt;$H$4,"",IF(INDEX('Fleet dates'!$B$9:$B$1008,$I659-8)="","",INDEX('Fleet dates'!$B$9:$B$1008,$I659-8)))</x:f>
      </x:c>
      <x:c r="C659" s="51" t="str">
        <x:f>IF(651&gt;$H$4,"",IF(INDEX('Fleet dates'!$C$9:$C$1008,$I659-8)="","",INDEX('Fleet dates'!$C$9:$C$1008,$I659-8)))</x:f>
      </x:c>
      <x:c r="D659" s="51" t="str">
        <x:f>IF(651&gt;$H$4,"",IF(INDEX('Fleet dates'!$D$9:$D$1008,$I659-8)="","",INDEX('Fleet dates'!$D$9:$D$1008,$I659-8)))</x:f>
      </x:c>
      <x:c r="E659" s="51" t="str">
        <x:f>IF(651&gt;$H$4,"",IF(INDEX('Fleet dates'!$E$9:$E$1008,$I659-8)="","",INDEX('Fleet dates'!$E$9:$E$1008,$I659-8)))</x:f>
      </x:c>
      <x:c r="F659" s="51" t="str">
        <x:f>IF(651&gt;$H$4,"",IF(INDEX('Fleet dates'!$F$9:$F$1008,$I659-8)="","",INDEX('Fleet dates'!$F$9:$F$1008,$I659-8)))</x:f>
      </x:c>
      <x:c r="G659" s="50" t="str">
        <x:f>IF(651&gt;$H$4,"",IF(INDEX('Fleet dates'!$G$9:$G$1008,$I659-8)="","",INDEX('Fleet dates'!$G$9:$G$1008,$I659-8)))</x:f>
      </x:c>
      <x:c r="H659" s="50" t="str">
        <x:f>IF(651&gt;$H$4,"",IF(INDEX('Fleet dates'!$I$9:$I$1008,$I659-8)="","",INDEX('Fleet dates'!$I$9:$I$1008,$I659-8)))</x:f>
      </x:c>
      <x:c r="I659" t="str">
        <x:f>IF(651&gt;$H$4,"",MATCH(651,'Fleet dates'!$N$9:$N$1008,0)+8)</x:f>
      </x:c>
    </x:row>
    <x:row r="660" ht="36" customHeight="1">
      <x:c r="A660" s="50" t="str">
        <x:f>IF(652&gt;$H$4,"",IF(INDEX('Fleet dates'!$A$9:$A$1008,$I660-8)="","",INDEX('Fleet dates'!$A$9:$A$1008,$I660-8)))</x:f>
      </x:c>
      <x:c r="B660" s="50" t="str">
        <x:f>IF(652&gt;$H$4,"",IF(INDEX('Fleet dates'!$B$9:$B$1008,$I660-8)="","",INDEX('Fleet dates'!$B$9:$B$1008,$I660-8)))</x:f>
      </x:c>
      <x:c r="C660" s="51" t="str">
        <x:f>IF(652&gt;$H$4,"",IF(INDEX('Fleet dates'!$C$9:$C$1008,$I660-8)="","",INDEX('Fleet dates'!$C$9:$C$1008,$I660-8)))</x:f>
      </x:c>
      <x:c r="D660" s="51" t="str">
        <x:f>IF(652&gt;$H$4,"",IF(INDEX('Fleet dates'!$D$9:$D$1008,$I660-8)="","",INDEX('Fleet dates'!$D$9:$D$1008,$I660-8)))</x:f>
      </x:c>
      <x:c r="E660" s="51" t="str">
        <x:f>IF(652&gt;$H$4,"",IF(INDEX('Fleet dates'!$E$9:$E$1008,$I660-8)="","",INDEX('Fleet dates'!$E$9:$E$1008,$I660-8)))</x:f>
      </x:c>
      <x:c r="F660" s="51" t="str">
        <x:f>IF(652&gt;$H$4,"",IF(INDEX('Fleet dates'!$F$9:$F$1008,$I660-8)="","",INDEX('Fleet dates'!$F$9:$F$1008,$I660-8)))</x:f>
      </x:c>
      <x:c r="G660" s="50" t="str">
        <x:f>IF(652&gt;$H$4,"",IF(INDEX('Fleet dates'!$G$9:$G$1008,$I660-8)="","",INDEX('Fleet dates'!$G$9:$G$1008,$I660-8)))</x:f>
      </x:c>
      <x:c r="H660" s="50" t="str">
        <x:f>IF(652&gt;$H$4,"",IF(INDEX('Fleet dates'!$I$9:$I$1008,$I660-8)="","",INDEX('Fleet dates'!$I$9:$I$1008,$I660-8)))</x:f>
      </x:c>
      <x:c r="I660" t="str">
        <x:f>IF(652&gt;$H$4,"",MATCH(652,'Fleet dates'!$N$9:$N$1008,0)+8)</x:f>
      </x:c>
    </x:row>
    <x:row r="661" ht="36" customHeight="1">
      <x:c r="A661" s="50" t="str">
        <x:f>IF(653&gt;$H$4,"",IF(INDEX('Fleet dates'!$A$9:$A$1008,$I661-8)="","",INDEX('Fleet dates'!$A$9:$A$1008,$I661-8)))</x:f>
      </x:c>
      <x:c r="B661" s="50" t="str">
        <x:f>IF(653&gt;$H$4,"",IF(INDEX('Fleet dates'!$B$9:$B$1008,$I661-8)="","",INDEX('Fleet dates'!$B$9:$B$1008,$I661-8)))</x:f>
      </x:c>
      <x:c r="C661" s="51" t="str">
        <x:f>IF(653&gt;$H$4,"",IF(INDEX('Fleet dates'!$C$9:$C$1008,$I661-8)="","",INDEX('Fleet dates'!$C$9:$C$1008,$I661-8)))</x:f>
      </x:c>
      <x:c r="D661" s="51" t="str">
        <x:f>IF(653&gt;$H$4,"",IF(INDEX('Fleet dates'!$D$9:$D$1008,$I661-8)="","",INDEX('Fleet dates'!$D$9:$D$1008,$I661-8)))</x:f>
      </x:c>
      <x:c r="E661" s="51" t="str">
        <x:f>IF(653&gt;$H$4,"",IF(INDEX('Fleet dates'!$E$9:$E$1008,$I661-8)="","",INDEX('Fleet dates'!$E$9:$E$1008,$I661-8)))</x:f>
      </x:c>
      <x:c r="F661" s="51" t="str">
        <x:f>IF(653&gt;$H$4,"",IF(INDEX('Fleet dates'!$F$9:$F$1008,$I661-8)="","",INDEX('Fleet dates'!$F$9:$F$1008,$I661-8)))</x:f>
      </x:c>
      <x:c r="G661" s="50" t="str">
        <x:f>IF(653&gt;$H$4,"",IF(INDEX('Fleet dates'!$G$9:$G$1008,$I661-8)="","",INDEX('Fleet dates'!$G$9:$G$1008,$I661-8)))</x:f>
      </x:c>
      <x:c r="H661" s="50" t="str">
        <x:f>IF(653&gt;$H$4,"",IF(INDEX('Fleet dates'!$I$9:$I$1008,$I661-8)="","",INDEX('Fleet dates'!$I$9:$I$1008,$I661-8)))</x:f>
      </x:c>
      <x:c r="I661" t="str">
        <x:f>IF(653&gt;$H$4,"",MATCH(653,'Fleet dates'!$N$9:$N$1008,0)+8)</x:f>
      </x:c>
    </x:row>
    <x:row r="662" ht="36" customHeight="1">
      <x:c r="A662" s="50" t="str">
        <x:f>IF(654&gt;$H$4,"",IF(INDEX('Fleet dates'!$A$9:$A$1008,$I662-8)="","",INDEX('Fleet dates'!$A$9:$A$1008,$I662-8)))</x:f>
      </x:c>
      <x:c r="B662" s="50" t="str">
        <x:f>IF(654&gt;$H$4,"",IF(INDEX('Fleet dates'!$B$9:$B$1008,$I662-8)="","",INDEX('Fleet dates'!$B$9:$B$1008,$I662-8)))</x:f>
      </x:c>
      <x:c r="C662" s="51" t="str">
        <x:f>IF(654&gt;$H$4,"",IF(INDEX('Fleet dates'!$C$9:$C$1008,$I662-8)="","",INDEX('Fleet dates'!$C$9:$C$1008,$I662-8)))</x:f>
      </x:c>
      <x:c r="D662" s="51" t="str">
        <x:f>IF(654&gt;$H$4,"",IF(INDEX('Fleet dates'!$D$9:$D$1008,$I662-8)="","",INDEX('Fleet dates'!$D$9:$D$1008,$I662-8)))</x:f>
      </x:c>
      <x:c r="E662" s="51" t="str">
        <x:f>IF(654&gt;$H$4,"",IF(INDEX('Fleet dates'!$E$9:$E$1008,$I662-8)="","",INDEX('Fleet dates'!$E$9:$E$1008,$I662-8)))</x:f>
      </x:c>
      <x:c r="F662" s="51" t="str">
        <x:f>IF(654&gt;$H$4,"",IF(INDEX('Fleet dates'!$F$9:$F$1008,$I662-8)="","",INDEX('Fleet dates'!$F$9:$F$1008,$I662-8)))</x:f>
      </x:c>
      <x:c r="G662" s="50" t="str">
        <x:f>IF(654&gt;$H$4,"",IF(INDEX('Fleet dates'!$G$9:$G$1008,$I662-8)="","",INDEX('Fleet dates'!$G$9:$G$1008,$I662-8)))</x:f>
      </x:c>
      <x:c r="H662" s="50" t="str">
        <x:f>IF(654&gt;$H$4,"",IF(INDEX('Fleet dates'!$I$9:$I$1008,$I662-8)="","",INDEX('Fleet dates'!$I$9:$I$1008,$I662-8)))</x:f>
      </x:c>
      <x:c r="I662" t="str">
        <x:f>IF(654&gt;$H$4,"",MATCH(654,'Fleet dates'!$N$9:$N$1008,0)+8)</x:f>
      </x:c>
    </x:row>
    <x:row r="663" ht="36" customHeight="1">
      <x:c r="A663" s="50" t="str">
        <x:f>IF(655&gt;$H$4,"",IF(INDEX('Fleet dates'!$A$9:$A$1008,$I663-8)="","",INDEX('Fleet dates'!$A$9:$A$1008,$I663-8)))</x:f>
      </x:c>
      <x:c r="B663" s="50" t="str">
        <x:f>IF(655&gt;$H$4,"",IF(INDEX('Fleet dates'!$B$9:$B$1008,$I663-8)="","",INDEX('Fleet dates'!$B$9:$B$1008,$I663-8)))</x:f>
      </x:c>
      <x:c r="C663" s="51" t="str">
        <x:f>IF(655&gt;$H$4,"",IF(INDEX('Fleet dates'!$C$9:$C$1008,$I663-8)="","",INDEX('Fleet dates'!$C$9:$C$1008,$I663-8)))</x:f>
      </x:c>
      <x:c r="D663" s="51" t="str">
        <x:f>IF(655&gt;$H$4,"",IF(INDEX('Fleet dates'!$D$9:$D$1008,$I663-8)="","",INDEX('Fleet dates'!$D$9:$D$1008,$I663-8)))</x:f>
      </x:c>
      <x:c r="E663" s="51" t="str">
        <x:f>IF(655&gt;$H$4,"",IF(INDEX('Fleet dates'!$E$9:$E$1008,$I663-8)="","",INDEX('Fleet dates'!$E$9:$E$1008,$I663-8)))</x:f>
      </x:c>
      <x:c r="F663" s="51" t="str">
        <x:f>IF(655&gt;$H$4,"",IF(INDEX('Fleet dates'!$F$9:$F$1008,$I663-8)="","",INDEX('Fleet dates'!$F$9:$F$1008,$I663-8)))</x:f>
      </x:c>
      <x:c r="G663" s="50" t="str">
        <x:f>IF(655&gt;$H$4,"",IF(INDEX('Fleet dates'!$G$9:$G$1008,$I663-8)="","",INDEX('Fleet dates'!$G$9:$G$1008,$I663-8)))</x:f>
      </x:c>
      <x:c r="H663" s="50" t="str">
        <x:f>IF(655&gt;$H$4,"",IF(INDEX('Fleet dates'!$I$9:$I$1008,$I663-8)="","",INDEX('Fleet dates'!$I$9:$I$1008,$I663-8)))</x:f>
      </x:c>
      <x:c r="I663" t="str">
        <x:f>IF(655&gt;$H$4,"",MATCH(655,'Fleet dates'!$N$9:$N$1008,0)+8)</x:f>
      </x:c>
    </x:row>
    <x:row r="664" ht="36" customHeight="1">
      <x:c r="A664" s="50" t="str">
        <x:f>IF(656&gt;$H$4,"",IF(INDEX('Fleet dates'!$A$9:$A$1008,$I664-8)="","",INDEX('Fleet dates'!$A$9:$A$1008,$I664-8)))</x:f>
      </x:c>
      <x:c r="B664" s="50" t="str">
        <x:f>IF(656&gt;$H$4,"",IF(INDEX('Fleet dates'!$B$9:$B$1008,$I664-8)="","",INDEX('Fleet dates'!$B$9:$B$1008,$I664-8)))</x:f>
      </x:c>
      <x:c r="C664" s="51" t="str">
        <x:f>IF(656&gt;$H$4,"",IF(INDEX('Fleet dates'!$C$9:$C$1008,$I664-8)="","",INDEX('Fleet dates'!$C$9:$C$1008,$I664-8)))</x:f>
      </x:c>
      <x:c r="D664" s="51" t="str">
        <x:f>IF(656&gt;$H$4,"",IF(INDEX('Fleet dates'!$D$9:$D$1008,$I664-8)="","",INDEX('Fleet dates'!$D$9:$D$1008,$I664-8)))</x:f>
      </x:c>
      <x:c r="E664" s="51" t="str">
        <x:f>IF(656&gt;$H$4,"",IF(INDEX('Fleet dates'!$E$9:$E$1008,$I664-8)="","",INDEX('Fleet dates'!$E$9:$E$1008,$I664-8)))</x:f>
      </x:c>
      <x:c r="F664" s="51" t="str">
        <x:f>IF(656&gt;$H$4,"",IF(INDEX('Fleet dates'!$F$9:$F$1008,$I664-8)="","",INDEX('Fleet dates'!$F$9:$F$1008,$I664-8)))</x:f>
      </x:c>
      <x:c r="G664" s="50" t="str">
        <x:f>IF(656&gt;$H$4,"",IF(INDEX('Fleet dates'!$G$9:$G$1008,$I664-8)="","",INDEX('Fleet dates'!$G$9:$G$1008,$I664-8)))</x:f>
      </x:c>
      <x:c r="H664" s="50" t="str">
        <x:f>IF(656&gt;$H$4,"",IF(INDEX('Fleet dates'!$I$9:$I$1008,$I664-8)="","",INDEX('Fleet dates'!$I$9:$I$1008,$I664-8)))</x:f>
      </x:c>
      <x:c r="I664" t="str">
        <x:f>IF(656&gt;$H$4,"",MATCH(656,'Fleet dates'!$N$9:$N$1008,0)+8)</x:f>
      </x:c>
    </x:row>
    <x:row r="665" ht="36" customHeight="1">
      <x:c r="A665" s="50" t="str">
        <x:f>IF(657&gt;$H$4,"",IF(INDEX('Fleet dates'!$A$9:$A$1008,$I665-8)="","",INDEX('Fleet dates'!$A$9:$A$1008,$I665-8)))</x:f>
      </x:c>
      <x:c r="B665" s="50" t="str">
        <x:f>IF(657&gt;$H$4,"",IF(INDEX('Fleet dates'!$B$9:$B$1008,$I665-8)="","",INDEX('Fleet dates'!$B$9:$B$1008,$I665-8)))</x:f>
      </x:c>
      <x:c r="C665" s="51" t="str">
        <x:f>IF(657&gt;$H$4,"",IF(INDEX('Fleet dates'!$C$9:$C$1008,$I665-8)="","",INDEX('Fleet dates'!$C$9:$C$1008,$I665-8)))</x:f>
      </x:c>
      <x:c r="D665" s="51" t="str">
        <x:f>IF(657&gt;$H$4,"",IF(INDEX('Fleet dates'!$D$9:$D$1008,$I665-8)="","",INDEX('Fleet dates'!$D$9:$D$1008,$I665-8)))</x:f>
      </x:c>
      <x:c r="E665" s="51" t="str">
        <x:f>IF(657&gt;$H$4,"",IF(INDEX('Fleet dates'!$E$9:$E$1008,$I665-8)="","",INDEX('Fleet dates'!$E$9:$E$1008,$I665-8)))</x:f>
      </x:c>
      <x:c r="F665" s="51" t="str">
        <x:f>IF(657&gt;$H$4,"",IF(INDEX('Fleet dates'!$F$9:$F$1008,$I665-8)="","",INDEX('Fleet dates'!$F$9:$F$1008,$I665-8)))</x:f>
      </x:c>
      <x:c r="G665" s="50" t="str">
        <x:f>IF(657&gt;$H$4,"",IF(INDEX('Fleet dates'!$G$9:$G$1008,$I665-8)="","",INDEX('Fleet dates'!$G$9:$G$1008,$I665-8)))</x:f>
      </x:c>
      <x:c r="H665" s="50" t="str">
        <x:f>IF(657&gt;$H$4,"",IF(INDEX('Fleet dates'!$I$9:$I$1008,$I665-8)="","",INDEX('Fleet dates'!$I$9:$I$1008,$I665-8)))</x:f>
      </x:c>
      <x:c r="I665" t="str">
        <x:f>IF(657&gt;$H$4,"",MATCH(657,'Fleet dates'!$N$9:$N$1008,0)+8)</x:f>
      </x:c>
    </x:row>
    <x:row r="666" ht="36" customHeight="1">
      <x:c r="A666" s="50" t="str">
        <x:f>IF(658&gt;$H$4,"",IF(INDEX('Fleet dates'!$A$9:$A$1008,$I666-8)="","",INDEX('Fleet dates'!$A$9:$A$1008,$I666-8)))</x:f>
      </x:c>
      <x:c r="B666" s="50" t="str">
        <x:f>IF(658&gt;$H$4,"",IF(INDEX('Fleet dates'!$B$9:$B$1008,$I666-8)="","",INDEX('Fleet dates'!$B$9:$B$1008,$I666-8)))</x:f>
      </x:c>
      <x:c r="C666" s="51" t="str">
        <x:f>IF(658&gt;$H$4,"",IF(INDEX('Fleet dates'!$C$9:$C$1008,$I666-8)="","",INDEX('Fleet dates'!$C$9:$C$1008,$I666-8)))</x:f>
      </x:c>
      <x:c r="D666" s="51" t="str">
        <x:f>IF(658&gt;$H$4,"",IF(INDEX('Fleet dates'!$D$9:$D$1008,$I666-8)="","",INDEX('Fleet dates'!$D$9:$D$1008,$I666-8)))</x:f>
      </x:c>
      <x:c r="E666" s="51" t="str">
        <x:f>IF(658&gt;$H$4,"",IF(INDEX('Fleet dates'!$E$9:$E$1008,$I666-8)="","",INDEX('Fleet dates'!$E$9:$E$1008,$I666-8)))</x:f>
      </x:c>
      <x:c r="F666" s="51" t="str">
        <x:f>IF(658&gt;$H$4,"",IF(INDEX('Fleet dates'!$F$9:$F$1008,$I666-8)="","",INDEX('Fleet dates'!$F$9:$F$1008,$I666-8)))</x:f>
      </x:c>
      <x:c r="G666" s="50" t="str">
        <x:f>IF(658&gt;$H$4,"",IF(INDEX('Fleet dates'!$G$9:$G$1008,$I666-8)="","",INDEX('Fleet dates'!$G$9:$G$1008,$I666-8)))</x:f>
      </x:c>
      <x:c r="H666" s="50" t="str">
        <x:f>IF(658&gt;$H$4,"",IF(INDEX('Fleet dates'!$I$9:$I$1008,$I666-8)="","",INDEX('Fleet dates'!$I$9:$I$1008,$I666-8)))</x:f>
      </x:c>
      <x:c r="I666" t="str">
        <x:f>IF(658&gt;$H$4,"",MATCH(658,'Fleet dates'!$N$9:$N$1008,0)+8)</x:f>
      </x:c>
    </x:row>
    <x:row r="667" ht="36" customHeight="1">
      <x:c r="A667" s="50" t="str">
        <x:f>IF(659&gt;$H$4,"",IF(INDEX('Fleet dates'!$A$9:$A$1008,$I667-8)="","",INDEX('Fleet dates'!$A$9:$A$1008,$I667-8)))</x:f>
      </x:c>
      <x:c r="B667" s="50" t="str">
        <x:f>IF(659&gt;$H$4,"",IF(INDEX('Fleet dates'!$B$9:$B$1008,$I667-8)="","",INDEX('Fleet dates'!$B$9:$B$1008,$I667-8)))</x:f>
      </x:c>
      <x:c r="C667" s="51" t="str">
        <x:f>IF(659&gt;$H$4,"",IF(INDEX('Fleet dates'!$C$9:$C$1008,$I667-8)="","",INDEX('Fleet dates'!$C$9:$C$1008,$I667-8)))</x:f>
      </x:c>
      <x:c r="D667" s="51" t="str">
        <x:f>IF(659&gt;$H$4,"",IF(INDEX('Fleet dates'!$D$9:$D$1008,$I667-8)="","",INDEX('Fleet dates'!$D$9:$D$1008,$I667-8)))</x:f>
      </x:c>
      <x:c r="E667" s="51" t="str">
        <x:f>IF(659&gt;$H$4,"",IF(INDEX('Fleet dates'!$E$9:$E$1008,$I667-8)="","",INDEX('Fleet dates'!$E$9:$E$1008,$I667-8)))</x:f>
      </x:c>
      <x:c r="F667" s="51" t="str">
        <x:f>IF(659&gt;$H$4,"",IF(INDEX('Fleet dates'!$F$9:$F$1008,$I667-8)="","",INDEX('Fleet dates'!$F$9:$F$1008,$I667-8)))</x:f>
      </x:c>
      <x:c r="G667" s="50" t="str">
        <x:f>IF(659&gt;$H$4,"",IF(INDEX('Fleet dates'!$G$9:$G$1008,$I667-8)="","",INDEX('Fleet dates'!$G$9:$G$1008,$I667-8)))</x:f>
      </x:c>
      <x:c r="H667" s="50" t="str">
        <x:f>IF(659&gt;$H$4,"",IF(INDEX('Fleet dates'!$I$9:$I$1008,$I667-8)="","",INDEX('Fleet dates'!$I$9:$I$1008,$I667-8)))</x:f>
      </x:c>
      <x:c r="I667" t="str">
        <x:f>IF(659&gt;$H$4,"",MATCH(659,'Fleet dates'!$N$9:$N$1008,0)+8)</x:f>
      </x:c>
    </x:row>
    <x:row r="668" ht="36" customHeight="1">
      <x:c r="A668" s="50" t="str">
        <x:f>IF(660&gt;$H$4,"",IF(INDEX('Fleet dates'!$A$9:$A$1008,$I668-8)="","",INDEX('Fleet dates'!$A$9:$A$1008,$I668-8)))</x:f>
      </x:c>
      <x:c r="B668" s="50" t="str">
        <x:f>IF(660&gt;$H$4,"",IF(INDEX('Fleet dates'!$B$9:$B$1008,$I668-8)="","",INDEX('Fleet dates'!$B$9:$B$1008,$I668-8)))</x:f>
      </x:c>
      <x:c r="C668" s="51" t="str">
        <x:f>IF(660&gt;$H$4,"",IF(INDEX('Fleet dates'!$C$9:$C$1008,$I668-8)="","",INDEX('Fleet dates'!$C$9:$C$1008,$I668-8)))</x:f>
      </x:c>
      <x:c r="D668" s="51" t="str">
        <x:f>IF(660&gt;$H$4,"",IF(INDEX('Fleet dates'!$D$9:$D$1008,$I668-8)="","",INDEX('Fleet dates'!$D$9:$D$1008,$I668-8)))</x:f>
      </x:c>
      <x:c r="E668" s="51" t="str">
        <x:f>IF(660&gt;$H$4,"",IF(INDEX('Fleet dates'!$E$9:$E$1008,$I668-8)="","",INDEX('Fleet dates'!$E$9:$E$1008,$I668-8)))</x:f>
      </x:c>
      <x:c r="F668" s="51" t="str">
        <x:f>IF(660&gt;$H$4,"",IF(INDEX('Fleet dates'!$F$9:$F$1008,$I668-8)="","",INDEX('Fleet dates'!$F$9:$F$1008,$I668-8)))</x:f>
      </x:c>
      <x:c r="G668" s="50" t="str">
        <x:f>IF(660&gt;$H$4,"",IF(INDEX('Fleet dates'!$G$9:$G$1008,$I668-8)="","",INDEX('Fleet dates'!$G$9:$G$1008,$I668-8)))</x:f>
      </x:c>
      <x:c r="H668" s="50" t="str">
        <x:f>IF(660&gt;$H$4,"",IF(INDEX('Fleet dates'!$I$9:$I$1008,$I668-8)="","",INDEX('Fleet dates'!$I$9:$I$1008,$I668-8)))</x:f>
      </x:c>
      <x:c r="I668" t="str">
        <x:f>IF(660&gt;$H$4,"",MATCH(660,'Fleet dates'!$N$9:$N$1008,0)+8)</x:f>
      </x:c>
    </x:row>
    <x:row r="669" ht="36" customHeight="1">
      <x:c r="A669" s="50" t="str">
        <x:f>IF(661&gt;$H$4,"",IF(INDEX('Fleet dates'!$A$9:$A$1008,$I669-8)="","",INDEX('Fleet dates'!$A$9:$A$1008,$I669-8)))</x:f>
      </x:c>
      <x:c r="B669" s="50" t="str">
        <x:f>IF(661&gt;$H$4,"",IF(INDEX('Fleet dates'!$B$9:$B$1008,$I669-8)="","",INDEX('Fleet dates'!$B$9:$B$1008,$I669-8)))</x:f>
      </x:c>
      <x:c r="C669" s="51" t="str">
        <x:f>IF(661&gt;$H$4,"",IF(INDEX('Fleet dates'!$C$9:$C$1008,$I669-8)="","",INDEX('Fleet dates'!$C$9:$C$1008,$I669-8)))</x:f>
      </x:c>
      <x:c r="D669" s="51" t="str">
        <x:f>IF(661&gt;$H$4,"",IF(INDEX('Fleet dates'!$D$9:$D$1008,$I669-8)="","",INDEX('Fleet dates'!$D$9:$D$1008,$I669-8)))</x:f>
      </x:c>
      <x:c r="E669" s="51" t="str">
        <x:f>IF(661&gt;$H$4,"",IF(INDEX('Fleet dates'!$E$9:$E$1008,$I669-8)="","",INDEX('Fleet dates'!$E$9:$E$1008,$I669-8)))</x:f>
      </x:c>
      <x:c r="F669" s="51" t="str">
        <x:f>IF(661&gt;$H$4,"",IF(INDEX('Fleet dates'!$F$9:$F$1008,$I669-8)="","",INDEX('Fleet dates'!$F$9:$F$1008,$I669-8)))</x:f>
      </x:c>
      <x:c r="G669" s="50" t="str">
        <x:f>IF(661&gt;$H$4,"",IF(INDEX('Fleet dates'!$G$9:$G$1008,$I669-8)="","",INDEX('Fleet dates'!$G$9:$G$1008,$I669-8)))</x:f>
      </x:c>
      <x:c r="H669" s="50" t="str">
        <x:f>IF(661&gt;$H$4,"",IF(INDEX('Fleet dates'!$I$9:$I$1008,$I669-8)="","",INDEX('Fleet dates'!$I$9:$I$1008,$I669-8)))</x:f>
      </x:c>
      <x:c r="I669" t="str">
        <x:f>IF(661&gt;$H$4,"",MATCH(661,'Fleet dates'!$N$9:$N$1008,0)+8)</x:f>
      </x:c>
    </x:row>
    <x:row r="670" ht="36" customHeight="1">
      <x:c r="A670" s="50" t="str">
        <x:f>IF(662&gt;$H$4,"",IF(INDEX('Fleet dates'!$A$9:$A$1008,$I670-8)="","",INDEX('Fleet dates'!$A$9:$A$1008,$I670-8)))</x:f>
      </x:c>
      <x:c r="B670" s="50" t="str">
        <x:f>IF(662&gt;$H$4,"",IF(INDEX('Fleet dates'!$B$9:$B$1008,$I670-8)="","",INDEX('Fleet dates'!$B$9:$B$1008,$I670-8)))</x:f>
      </x:c>
      <x:c r="C670" s="51" t="str">
        <x:f>IF(662&gt;$H$4,"",IF(INDEX('Fleet dates'!$C$9:$C$1008,$I670-8)="","",INDEX('Fleet dates'!$C$9:$C$1008,$I670-8)))</x:f>
      </x:c>
      <x:c r="D670" s="51" t="str">
        <x:f>IF(662&gt;$H$4,"",IF(INDEX('Fleet dates'!$D$9:$D$1008,$I670-8)="","",INDEX('Fleet dates'!$D$9:$D$1008,$I670-8)))</x:f>
      </x:c>
      <x:c r="E670" s="51" t="str">
        <x:f>IF(662&gt;$H$4,"",IF(INDEX('Fleet dates'!$E$9:$E$1008,$I670-8)="","",INDEX('Fleet dates'!$E$9:$E$1008,$I670-8)))</x:f>
      </x:c>
      <x:c r="F670" s="51" t="str">
        <x:f>IF(662&gt;$H$4,"",IF(INDEX('Fleet dates'!$F$9:$F$1008,$I670-8)="","",INDEX('Fleet dates'!$F$9:$F$1008,$I670-8)))</x:f>
      </x:c>
      <x:c r="G670" s="50" t="str">
        <x:f>IF(662&gt;$H$4,"",IF(INDEX('Fleet dates'!$G$9:$G$1008,$I670-8)="","",INDEX('Fleet dates'!$G$9:$G$1008,$I670-8)))</x:f>
      </x:c>
      <x:c r="H670" s="50" t="str">
        <x:f>IF(662&gt;$H$4,"",IF(INDEX('Fleet dates'!$I$9:$I$1008,$I670-8)="","",INDEX('Fleet dates'!$I$9:$I$1008,$I670-8)))</x:f>
      </x:c>
      <x:c r="I670" t="str">
        <x:f>IF(662&gt;$H$4,"",MATCH(662,'Fleet dates'!$N$9:$N$1008,0)+8)</x:f>
      </x:c>
    </x:row>
    <x:row r="671" ht="36" customHeight="1">
      <x:c r="A671" s="50" t="str">
        <x:f>IF(663&gt;$H$4,"",IF(INDEX('Fleet dates'!$A$9:$A$1008,$I671-8)="","",INDEX('Fleet dates'!$A$9:$A$1008,$I671-8)))</x:f>
      </x:c>
      <x:c r="B671" s="50" t="str">
        <x:f>IF(663&gt;$H$4,"",IF(INDEX('Fleet dates'!$B$9:$B$1008,$I671-8)="","",INDEX('Fleet dates'!$B$9:$B$1008,$I671-8)))</x:f>
      </x:c>
      <x:c r="C671" s="51" t="str">
        <x:f>IF(663&gt;$H$4,"",IF(INDEX('Fleet dates'!$C$9:$C$1008,$I671-8)="","",INDEX('Fleet dates'!$C$9:$C$1008,$I671-8)))</x:f>
      </x:c>
      <x:c r="D671" s="51" t="str">
        <x:f>IF(663&gt;$H$4,"",IF(INDEX('Fleet dates'!$D$9:$D$1008,$I671-8)="","",INDEX('Fleet dates'!$D$9:$D$1008,$I671-8)))</x:f>
      </x:c>
      <x:c r="E671" s="51" t="str">
        <x:f>IF(663&gt;$H$4,"",IF(INDEX('Fleet dates'!$E$9:$E$1008,$I671-8)="","",INDEX('Fleet dates'!$E$9:$E$1008,$I671-8)))</x:f>
      </x:c>
      <x:c r="F671" s="51" t="str">
        <x:f>IF(663&gt;$H$4,"",IF(INDEX('Fleet dates'!$F$9:$F$1008,$I671-8)="","",INDEX('Fleet dates'!$F$9:$F$1008,$I671-8)))</x:f>
      </x:c>
      <x:c r="G671" s="50" t="str">
        <x:f>IF(663&gt;$H$4,"",IF(INDEX('Fleet dates'!$G$9:$G$1008,$I671-8)="","",INDEX('Fleet dates'!$G$9:$G$1008,$I671-8)))</x:f>
      </x:c>
      <x:c r="H671" s="50" t="str">
        <x:f>IF(663&gt;$H$4,"",IF(INDEX('Fleet dates'!$I$9:$I$1008,$I671-8)="","",INDEX('Fleet dates'!$I$9:$I$1008,$I671-8)))</x:f>
      </x:c>
      <x:c r="I671" t="str">
        <x:f>IF(663&gt;$H$4,"",MATCH(663,'Fleet dates'!$N$9:$N$1008,0)+8)</x:f>
      </x:c>
    </x:row>
    <x:row r="672" ht="36" customHeight="1">
      <x:c r="A672" s="50" t="str">
        <x:f>IF(664&gt;$H$4,"",IF(INDEX('Fleet dates'!$A$9:$A$1008,$I672-8)="","",INDEX('Fleet dates'!$A$9:$A$1008,$I672-8)))</x:f>
      </x:c>
      <x:c r="B672" s="50" t="str">
        <x:f>IF(664&gt;$H$4,"",IF(INDEX('Fleet dates'!$B$9:$B$1008,$I672-8)="","",INDEX('Fleet dates'!$B$9:$B$1008,$I672-8)))</x:f>
      </x:c>
      <x:c r="C672" s="51" t="str">
        <x:f>IF(664&gt;$H$4,"",IF(INDEX('Fleet dates'!$C$9:$C$1008,$I672-8)="","",INDEX('Fleet dates'!$C$9:$C$1008,$I672-8)))</x:f>
      </x:c>
      <x:c r="D672" s="51" t="str">
        <x:f>IF(664&gt;$H$4,"",IF(INDEX('Fleet dates'!$D$9:$D$1008,$I672-8)="","",INDEX('Fleet dates'!$D$9:$D$1008,$I672-8)))</x:f>
      </x:c>
      <x:c r="E672" s="51" t="str">
        <x:f>IF(664&gt;$H$4,"",IF(INDEX('Fleet dates'!$E$9:$E$1008,$I672-8)="","",INDEX('Fleet dates'!$E$9:$E$1008,$I672-8)))</x:f>
      </x:c>
      <x:c r="F672" s="51" t="str">
        <x:f>IF(664&gt;$H$4,"",IF(INDEX('Fleet dates'!$F$9:$F$1008,$I672-8)="","",INDEX('Fleet dates'!$F$9:$F$1008,$I672-8)))</x:f>
      </x:c>
      <x:c r="G672" s="50" t="str">
        <x:f>IF(664&gt;$H$4,"",IF(INDEX('Fleet dates'!$G$9:$G$1008,$I672-8)="","",INDEX('Fleet dates'!$G$9:$G$1008,$I672-8)))</x:f>
      </x:c>
      <x:c r="H672" s="50" t="str">
        <x:f>IF(664&gt;$H$4,"",IF(INDEX('Fleet dates'!$I$9:$I$1008,$I672-8)="","",INDEX('Fleet dates'!$I$9:$I$1008,$I672-8)))</x:f>
      </x:c>
      <x:c r="I672" t="str">
        <x:f>IF(664&gt;$H$4,"",MATCH(664,'Fleet dates'!$N$9:$N$1008,0)+8)</x:f>
      </x:c>
    </x:row>
    <x:row r="673" ht="36" customHeight="1">
      <x:c r="A673" s="50" t="str">
        <x:f>IF(665&gt;$H$4,"",IF(INDEX('Fleet dates'!$A$9:$A$1008,$I673-8)="","",INDEX('Fleet dates'!$A$9:$A$1008,$I673-8)))</x:f>
      </x:c>
      <x:c r="B673" s="50" t="str">
        <x:f>IF(665&gt;$H$4,"",IF(INDEX('Fleet dates'!$B$9:$B$1008,$I673-8)="","",INDEX('Fleet dates'!$B$9:$B$1008,$I673-8)))</x:f>
      </x:c>
      <x:c r="C673" s="51" t="str">
        <x:f>IF(665&gt;$H$4,"",IF(INDEX('Fleet dates'!$C$9:$C$1008,$I673-8)="","",INDEX('Fleet dates'!$C$9:$C$1008,$I673-8)))</x:f>
      </x:c>
      <x:c r="D673" s="51" t="str">
        <x:f>IF(665&gt;$H$4,"",IF(INDEX('Fleet dates'!$D$9:$D$1008,$I673-8)="","",INDEX('Fleet dates'!$D$9:$D$1008,$I673-8)))</x:f>
      </x:c>
      <x:c r="E673" s="51" t="str">
        <x:f>IF(665&gt;$H$4,"",IF(INDEX('Fleet dates'!$E$9:$E$1008,$I673-8)="","",INDEX('Fleet dates'!$E$9:$E$1008,$I673-8)))</x:f>
      </x:c>
      <x:c r="F673" s="51" t="str">
        <x:f>IF(665&gt;$H$4,"",IF(INDEX('Fleet dates'!$F$9:$F$1008,$I673-8)="","",INDEX('Fleet dates'!$F$9:$F$1008,$I673-8)))</x:f>
      </x:c>
      <x:c r="G673" s="50" t="str">
        <x:f>IF(665&gt;$H$4,"",IF(INDEX('Fleet dates'!$G$9:$G$1008,$I673-8)="","",INDEX('Fleet dates'!$G$9:$G$1008,$I673-8)))</x:f>
      </x:c>
      <x:c r="H673" s="50" t="str">
        <x:f>IF(665&gt;$H$4,"",IF(INDEX('Fleet dates'!$I$9:$I$1008,$I673-8)="","",INDEX('Fleet dates'!$I$9:$I$1008,$I673-8)))</x:f>
      </x:c>
      <x:c r="I673" t="str">
        <x:f>IF(665&gt;$H$4,"",MATCH(665,'Fleet dates'!$N$9:$N$1008,0)+8)</x:f>
      </x:c>
    </x:row>
    <x:row r="674" ht="36" customHeight="1">
      <x:c r="A674" s="50" t="str">
        <x:f>IF(666&gt;$H$4,"",IF(INDEX('Fleet dates'!$A$9:$A$1008,$I674-8)="","",INDEX('Fleet dates'!$A$9:$A$1008,$I674-8)))</x:f>
      </x:c>
      <x:c r="B674" s="50" t="str">
        <x:f>IF(666&gt;$H$4,"",IF(INDEX('Fleet dates'!$B$9:$B$1008,$I674-8)="","",INDEX('Fleet dates'!$B$9:$B$1008,$I674-8)))</x:f>
      </x:c>
      <x:c r="C674" s="51" t="str">
        <x:f>IF(666&gt;$H$4,"",IF(INDEX('Fleet dates'!$C$9:$C$1008,$I674-8)="","",INDEX('Fleet dates'!$C$9:$C$1008,$I674-8)))</x:f>
      </x:c>
      <x:c r="D674" s="51" t="str">
        <x:f>IF(666&gt;$H$4,"",IF(INDEX('Fleet dates'!$D$9:$D$1008,$I674-8)="","",INDEX('Fleet dates'!$D$9:$D$1008,$I674-8)))</x:f>
      </x:c>
      <x:c r="E674" s="51" t="str">
        <x:f>IF(666&gt;$H$4,"",IF(INDEX('Fleet dates'!$E$9:$E$1008,$I674-8)="","",INDEX('Fleet dates'!$E$9:$E$1008,$I674-8)))</x:f>
      </x:c>
      <x:c r="F674" s="51" t="str">
        <x:f>IF(666&gt;$H$4,"",IF(INDEX('Fleet dates'!$F$9:$F$1008,$I674-8)="","",INDEX('Fleet dates'!$F$9:$F$1008,$I674-8)))</x:f>
      </x:c>
      <x:c r="G674" s="50" t="str">
        <x:f>IF(666&gt;$H$4,"",IF(INDEX('Fleet dates'!$G$9:$G$1008,$I674-8)="","",INDEX('Fleet dates'!$G$9:$G$1008,$I674-8)))</x:f>
      </x:c>
      <x:c r="H674" s="50" t="str">
        <x:f>IF(666&gt;$H$4,"",IF(INDEX('Fleet dates'!$I$9:$I$1008,$I674-8)="","",INDEX('Fleet dates'!$I$9:$I$1008,$I674-8)))</x:f>
      </x:c>
      <x:c r="I674" t="str">
        <x:f>IF(666&gt;$H$4,"",MATCH(666,'Fleet dates'!$N$9:$N$1008,0)+8)</x:f>
      </x:c>
    </x:row>
    <x:row r="675" ht="36" customHeight="1">
      <x:c r="A675" s="50" t="str">
        <x:f>IF(667&gt;$H$4,"",IF(INDEX('Fleet dates'!$A$9:$A$1008,$I675-8)="","",INDEX('Fleet dates'!$A$9:$A$1008,$I675-8)))</x:f>
      </x:c>
      <x:c r="B675" s="50" t="str">
        <x:f>IF(667&gt;$H$4,"",IF(INDEX('Fleet dates'!$B$9:$B$1008,$I675-8)="","",INDEX('Fleet dates'!$B$9:$B$1008,$I675-8)))</x:f>
      </x:c>
      <x:c r="C675" s="51" t="str">
        <x:f>IF(667&gt;$H$4,"",IF(INDEX('Fleet dates'!$C$9:$C$1008,$I675-8)="","",INDEX('Fleet dates'!$C$9:$C$1008,$I675-8)))</x:f>
      </x:c>
      <x:c r="D675" s="51" t="str">
        <x:f>IF(667&gt;$H$4,"",IF(INDEX('Fleet dates'!$D$9:$D$1008,$I675-8)="","",INDEX('Fleet dates'!$D$9:$D$1008,$I675-8)))</x:f>
      </x:c>
      <x:c r="E675" s="51" t="str">
        <x:f>IF(667&gt;$H$4,"",IF(INDEX('Fleet dates'!$E$9:$E$1008,$I675-8)="","",INDEX('Fleet dates'!$E$9:$E$1008,$I675-8)))</x:f>
      </x:c>
      <x:c r="F675" s="51" t="str">
        <x:f>IF(667&gt;$H$4,"",IF(INDEX('Fleet dates'!$F$9:$F$1008,$I675-8)="","",INDEX('Fleet dates'!$F$9:$F$1008,$I675-8)))</x:f>
      </x:c>
      <x:c r="G675" s="50" t="str">
        <x:f>IF(667&gt;$H$4,"",IF(INDEX('Fleet dates'!$G$9:$G$1008,$I675-8)="","",INDEX('Fleet dates'!$G$9:$G$1008,$I675-8)))</x:f>
      </x:c>
      <x:c r="H675" s="50" t="str">
        <x:f>IF(667&gt;$H$4,"",IF(INDEX('Fleet dates'!$I$9:$I$1008,$I675-8)="","",INDEX('Fleet dates'!$I$9:$I$1008,$I675-8)))</x:f>
      </x:c>
      <x:c r="I675" t="str">
        <x:f>IF(667&gt;$H$4,"",MATCH(667,'Fleet dates'!$N$9:$N$1008,0)+8)</x:f>
      </x:c>
    </x:row>
    <x:row r="676" ht="36" customHeight="1">
      <x:c r="A676" s="50" t="str">
        <x:f>IF(668&gt;$H$4,"",IF(INDEX('Fleet dates'!$A$9:$A$1008,$I676-8)="","",INDEX('Fleet dates'!$A$9:$A$1008,$I676-8)))</x:f>
      </x:c>
      <x:c r="B676" s="50" t="str">
        <x:f>IF(668&gt;$H$4,"",IF(INDEX('Fleet dates'!$B$9:$B$1008,$I676-8)="","",INDEX('Fleet dates'!$B$9:$B$1008,$I676-8)))</x:f>
      </x:c>
      <x:c r="C676" s="51" t="str">
        <x:f>IF(668&gt;$H$4,"",IF(INDEX('Fleet dates'!$C$9:$C$1008,$I676-8)="","",INDEX('Fleet dates'!$C$9:$C$1008,$I676-8)))</x:f>
      </x:c>
      <x:c r="D676" s="51" t="str">
        <x:f>IF(668&gt;$H$4,"",IF(INDEX('Fleet dates'!$D$9:$D$1008,$I676-8)="","",INDEX('Fleet dates'!$D$9:$D$1008,$I676-8)))</x:f>
      </x:c>
      <x:c r="E676" s="51" t="str">
        <x:f>IF(668&gt;$H$4,"",IF(INDEX('Fleet dates'!$E$9:$E$1008,$I676-8)="","",INDEX('Fleet dates'!$E$9:$E$1008,$I676-8)))</x:f>
      </x:c>
      <x:c r="F676" s="51" t="str">
        <x:f>IF(668&gt;$H$4,"",IF(INDEX('Fleet dates'!$F$9:$F$1008,$I676-8)="","",INDEX('Fleet dates'!$F$9:$F$1008,$I676-8)))</x:f>
      </x:c>
      <x:c r="G676" s="50" t="str">
        <x:f>IF(668&gt;$H$4,"",IF(INDEX('Fleet dates'!$G$9:$G$1008,$I676-8)="","",INDEX('Fleet dates'!$G$9:$G$1008,$I676-8)))</x:f>
      </x:c>
      <x:c r="H676" s="50" t="str">
        <x:f>IF(668&gt;$H$4,"",IF(INDEX('Fleet dates'!$I$9:$I$1008,$I676-8)="","",INDEX('Fleet dates'!$I$9:$I$1008,$I676-8)))</x:f>
      </x:c>
      <x:c r="I676" t="str">
        <x:f>IF(668&gt;$H$4,"",MATCH(668,'Fleet dates'!$N$9:$N$1008,0)+8)</x:f>
      </x:c>
    </x:row>
    <x:row r="677" ht="36" customHeight="1">
      <x:c r="A677" s="50" t="str">
        <x:f>IF(669&gt;$H$4,"",IF(INDEX('Fleet dates'!$A$9:$A$1008,$I677-8)="","",INDEX('Fleet dates'!$A$9:$A$1008,$I677-8)))</x:f>
      </x:c>
      <x:c r="B677" s="50" t="str">
        <x:f>IF(669&gt;$H$4,"",IF(INDEX('Fleet dates'!$B$9:$B$1008,$I677-8)="","",INDEX('Fleet dates'!$B$9:$B$1008,$I677-8)))</x:f>
      </x:c>
      <x:c r="C677" s="51" t="str">
        <x:f>IF(669&gt;$H$4,"",IF(INDEX('Fleet dates'!$C$9:$C$1008,$I677-8)="","",INDEX('Fleet dates'!$C$9:$C$1008,$I677-8)))</x:f>
      </x:c>
      <x:c r="D677" s="51" t="str">
        <x:f>IF(669&gt;$H$4,"",IF(INDEX('Fleet dates'!$D$9:$D$1008,$I677-8)="","",INDEX('Fleet dates'!$D$9:$D$1008,$I677-8)))</x:f>
      </x:c>
      <x:c r="E677" s="51" t="str">
        <x:f>IF(669&gt;$H$4,"",IF(INDEX('Fleet dates'!$E$9:$E$1008,$I677-8)="","",INDEX('Fleet dates'!$E$9:$E$1008,$I677-8)))</x:f>
      </x:c>
      <x:c r="F677" s="51" t="str">
        <x:f>IF(669&gt;$H$4,"",IF(INDEX('Fleet dates'!$F$9:$F$1008,$I677-8)="","",INDEX('Fleet dates'!$F$9:$F$1008,$I677-8)))</x:f>
      </x:c>
      <x:c r="G677" s="50" t="str">
        <x:f>IF(669&gt;$H$4,"",IF(INDEX('Fleet dates'!$G$9:$G$1008,$I677-8)="","",INDEX('Fleet dates'!$G$9:$G$1008,$I677-8)))</x:f>
      </x:c>
      <x:c r="H677" s="50" t="str">
        <x:f>IF(669&gt;$H$4,"",IF(INDEX('Fleet dates'!$I$9:$I$1008,$I677-8)="","",INDEX('Fleet dates'!$I$9:$I$1008,$I677-8)))</x:f>
      </x:c>
      <x:c r="I677" t="str">
        <x:f>IF(669&gt;$H$4,"",MATCH(669,'Fleet dates'!$N$9:$N$1008,0)+8)</x:f>
      </x:c>
    </x:row>
    <x:row r="678" ht="36" customHeight="1">
      <x:c r="A678" s="50" t="str">
        <x:f>IF(670&gt;$H$4,"",IF(INDEX('Fleet dates'!$A$9:$A$1008,$I678-8)="","",INDEX('Fleet dates'!$A$9:$A$1008,$I678-8)))</x:f>
      </x:c>
      <x:c r="B678" s="50" t="str">
        <x:f>IF(670&gt;$H$4,"",IF(INDEX('Fleet dates'!$B$9:$B$1008,$I678-8)="","",INDEX('Fleet dates'!$B$9:$B$1008,$I678-8)))</x:f>
      </x:c>
      <x:c r="C678" s="51" t="str">
        <x:f>IF(670&gt;$H$4,"",IF(INDEX('Fleet dates'!$C$9:$C$1008,$I678-8)="","",INDEX('Fleet dates'!$C$9:$C$1008,$I678-8)))</x:f>
      </x:c>
      <x:c r="D678" s="51" t="str">
        <x:f>IF(670&gt;$H$4,"",IF(INDEX('Fleet dates'!$D$9:$D$1008,$I678-8)="","",INDEX('Fleet dates'!$D$9:$D$1008,$I678-8)))</x:f>
      </x:c>
      <x:c r="E678" s="51" t="str">
        <x:f>IF(670&gt;$H$4,"",IF(INDEX('Fleet dates'!$E$9:$E$1008,$I678-8)="","",INDEX('Fleet dates'!$E$9:$E$1008,$I678-8)))</x:f>
      </x:c>
      <x:c r="F678" s="51" t="str">
        <x:f>IF(670&gt;$H$4,"",IF(INDEX('Fleet dates'!$F$9:$F$1008,$I678-8)="","",INDEX('Fleet dates'!$F$9:$F$1008,$I678-8)))</x:f>
      </x:c>
      <x:c r="G678" s="50" t="str">
        <x:f>IF(670&gt;$H$4,"",IF(INDEX('Fleet dates'!$G$9:$G$1008,$I678-8)="","",INDEX('Fleet dates'!$G$9:$G$1008,$I678-8)))</x:f>
      </x:c>
      <x:c r="H678" s="50" t="str">
        <x:f>IF(670&gt;$H$4,"",IF(INDEX('Fleet dates'!$I$9:$I$1008,$I678-8)="","",INDEX('Fleet dates'!$I$9:$I$1008,$I678-8)))</x:f>
      </x:c>
      <x:c r="I678" t="str">
        <x:f>IF(670&gt;$H$4,"",MATCH(670,'Fleet dates'!$N$9:$N$1008,0)+8)</x:f>
      </x:c>
    </x:row>
    <x:row r="679" ht="36" customHeight="1">
      <x:c r="A679" s="50" t="str">
        <x:f>IF(671&gt;$H$4,"",IF(INDEX('Fleet dates'!$A$9:$A$1008,$I679-8)="","",INDEX('Fleet dates'!$A$9:$A$1008,$I679-8)))</x:f>
      </x:c>
      <x:c r="B679" s="50" t="str">
        <x:f>IF(671&gt;$H$4,"",IF(INDEX('Fleet dates'!$B$9:$B$1008,$I679-8)="","",INDEX('Fleet dates'!$B$9:$B$1008,$I679-8)))</x:f>
      </x:c>
      <x:c r="C679" s="51" t="str">
        <x:f>IF(671&gt;$H$4,"",IF(INDEX('Fleet dates'!$C$9:$C$1008,$I679-8)="","",INDEX('Fleet dates'!$C$9:$C$1008,$I679-8)))</x:f>
      </x:c>
      <x:c r="D679" s="51" t="str">
        <x:f>IF(671&gt;$H$4,"",IF(INDEX('Fleet dates'!$D$9:$D$1008,$I679-8)="","",INDEX('Fleet dates'!$D$9:$D$1008,$I679-8)))</x:f>
      </x:c>
      <x:c r="E679" s="51" t="str">
        <x:f>IF(671&gt;$H$4,"",IF(INDEX('Fleet dates'!$E$9:$E$1008,$I679-8)="","",INDEX('Fleet dates'!$E$9:$E$1008,$I679-8)))</x:f>
      </x:c>
      <x:c r="F679" s="51" t="str">
        <x:f>IF(671&gt;$H$4,"",IF(INDEX('Fleet dates'!$F$9:$F$1008,$I679-8)="","",INDEX('Fleet dates'!$F$9:$F$1008,$I679-8)))</x:f>
      </x:c>
      <x:c r="G679" s="50" t="str">
        <x:f>IF(671&gt;$H$4,"",IF(INDEX('Fleet dates'!$G$9:$G$1008,$I679-8)="","",INDEX('Fleet dates'!$G$9:$G$1008,$I679-8)))</x:f>
      </x:c>
      <x:c r="H679" s="50" t="str">
        <x:f>IF(671&gt;$H$4,"",IF(INDEX('Fleet dates'!$I$9:$I$1008,$I679-8)="","",INDEX('Fleet dates'!$I$9:$I$1008,$I679-8)))</x:f>
      </x:c>
      <x:c r="I679" t="str">
        <x:f>IF(671&gt;$H$4,"",MATCH(671,'Fleet dates'!$N$9:$N$1008,0)+8)</x:f>
      </x:c>
    </x:row>
    <x:row r="680" ht="36" customHeight="1">
      <x:c r="A680" s="50" t="str">
        <x:f>IF(672&gt;$H$4,"",IF(INDEX('Fleet dates'!$A$9:$A$1008,$I680-8)="","",INDEX('Fleet dates'!$A$9:$A$1008,$I680-8)))</x:f>
      </x:c>
      <x:c r="B680" s="50" t="str">
        <x:f>IF(672&gt;$H$4,"",IF(INDEX('Fleet dates'!$B$9:$B$1008,$I680-8)="","",INDEX('Fleet dates'!$B$9:$B$1008,$I680-8)))</x:f>
      </x:c>
      <x:c r="C680" s="51" t="str">
        <x:f>IF(672&gt;$H$4,"",IF(INDEX('Fleet dates'!$C$9:$C$1008,$I680-8)="","",INDEX('Fleet dates'!$C$9:$C$1008,$I680-8)))</x:f>
      </x:c>
      <x:c r="D680" s="51" t="str">
        <x:f>IF(672&gt;$H$4,"",IF(INDEX('Fleet dates'!$D$9:$D$1008,$I680-8)="","",INDEX('Fleet dates'!$D$9:$D$1008,$I680-8)))</x:f>
      </x:c>
      <x:c r="E680" s="51" t="str">
        <x:f>IF(672&gt;$H$4,"",IF(INDEX('Fleet dates'!$E$9:$E$1008,$I680-8)="","",INDEX('Fleet dates'!$E$9:$E$1008,$I680-8)))</x:f>
      </x:c>
      <x:c r="F680" s="51" t="str">
        <x:f>IF(672&gt;$H$4,"",IF(INDEX('Fleet dates'!$F$9:$F$1008,$I680-8)="","",INDEX('Fleet dates'!$F$9:$F$1008,$I680-8)))</x:f>
      </x:c>
      <x:c r="G680" s="50" t="str">
        <x:f>IF(672&gt;$H$4,"",IF(INDEX('Fleet dates'!$G$9:$G$1008,$I680-8)="","",INDEX('Fleet dates'!$G$9:$G$1008,$I680-8)))</x:f>
      </x:c>
      <x:c r="H680" s="50" t="str">
        <x:f>IF(672&gt;$H$4,"",IF(INDEX('Fleet dates'!$I$9:$I$1008,$I680-8)="","",INDEX('Fleet dates'!$I$9:$I$1008,$I680-8)))</x:f>
      </x:c>
      <x:c r="I680" t="str">
        <x:f>IF(672&gt;$H$4,"",MATCH(672,'Fleet dates'!$N$9:$N$1008,0)+8)</x:f>
      </x:c>
    </x:row>
    <x:row r="681" ht="36" customHeight="1">
      <x:c r="A681" s="50" t="str">
        <x:f>IF(673&gt;$H$4,"",IF(INDEX('Fleet dates'!$A$9:$A$1008,$I681-8)="","",INDEX('Fleet dates'!$A$9:$A$1008,$I681-8)))</x:f>
      </x:c>
      <x:c r="B681" s="50" t="str">
        <x:f>IF(673&gt;$H$4,"",IF(INDEX('Fleet dates'!$B$9:$B$1008,$I681-8)="","",INDEX('Fleet dates'!$B$9:$B$1008,$I681-8)))</x:f>
      </x:c>
      <x:c r="C681" s="51" t="str">
        <x:f>IF(673&gt;$H$4,"",IF(INDEX('Fleet dates'!$C$9:$C$1008,$I681-8)="","",INDEX('Fleet dates'!$C$9:$C$1008,$I681-8)))</x:f>
      </x:c>
      <x:c r="D681" s="51" t="str">
        <x:f>IF(673&gt;$H$4,"",IF(INDEX('Fleet dates'!$D$9:$D$1008,$I681-8)="","",INDEX('Fleet dates'!$D$9:$D$1008,$I681-8)))</x:f>
      </x:c>
      <x:c r="E681" s="51" t="str">
        <x:f>IF(673&gt;$H$4,"",IF(INDEX('Fleet dates'!$E$9:$E$1008,$I681-8)="","",INDEX('Fleet dates'!$E$9:$E$1008,$I681-8)))</x:f>
      </x:c>
      <x:c r="F681" s="51" t="str">
        <x:f>IF(673&gt;$H$4,"",IF(INDEX('Fleet dates'!$F$9:$F$1008,$I681-8)="","",INDEX('Fleet dates'!$F$9:$F$1008,$I681-8)))</x:f>
      </x:c>
      <x:c r="G681" s="50" t="str">
        <x:f>IF(673&gt;$H$4,"",IF(INDEX('Fleet dates'!$G$9:$G$1008,$I681-8)="","",INDEX('Fleet dates'!$G$9:$G$1008,$I681-8)))</x:f>
      </x:c>
      <x:c r="H681" s="50" t="str">
        <x:f>IF(673&gt;$H$4,"",IF(INDEX('Fleet dates'!$I$9:$I$1008,$I681-8)="","",INDEX('Fleet dates'!$I$9:$I$1008,$I681-8)))</x:f>
      </x:c>
      <x:c r="I681" t="str">
        <x:f>IF(673&gt;$H$4,"",MATCH(673,'Fleet dates'!$N$9:$N$1008,0)+8)</x:f>
      </x:c>
    </x:row>
    <x:row r="682" ht="36" customHeight="1">
      <x:c r="A682" s="50" t="str">
        <x:f>IF(674&gt;$H$4,"",IF(INDEX('Fleet dates'!$A$9:$A$1008,$I682-8)="","",INDEX('Fleet dates'!$A$9:$A$1008,$I682-8)))</x:f>
      </x:c>
      <x:c r="B682" s="50" t="str">
        <x:f>IF(674&gt;$H$4,"",IF(INDEX('Fleet dates'!$B$9:$B$1008,$I682-8)="","",INDEX('Fleet dates'!$B$9:$B$1008,$I682-8)))</x:f>
      </x:c>
      <x:c r="C682" s="51" t="str">
        <x:f>IF(674&gt;$H$4,"",IF(INDEX('Fleet dates'!$C$9:$C$1008,$I682-8)="","",INDEX('Fleet dates'!$C$9:$C$1008,$I682-8)))</x:f>
      </x:c>
      <x:c r="D682" s="51" t="str">
        <x:f>IF(674&gt;$H$4,"",IF(INDEX('Fleet dates'!$D$9:$D$1008,$I682-8)="","",INDEX('Fleet dates'!$D$9:$D$1008,$I682-8)))</x:f>
      </x:c>
      <x:c r="E682" s="51" t="str">
        <x:f>IF(674&gt;$H$4,"",IF(INDEX('Fleet dates'!$E$9:$E$1008,$I682-8)="","",INDEX('Fleet dates'!$E$9:$E$1008,$I682-8)))</x:f>
      </x:c>
      <x:c r="F682" s="51" t="str">
        <x:f>IF(674&gt;$H$4,"",IF(INDEX('Fleet dates'!$F$9:$F$1008,$I682-8)="","",INDEX('Fleet dates'!$F$9:$F$1008,$I682-8)))</x:f>
      </x:c>
      <x:c r="G682" s="50" t="str">
        <x:f>IF(674&gt;$H$4,"",IF(INDEX('Fleet dates'!$G$9:$G$1008,$I682-8)="","",INDEX('Fleet dates'!$G$9:$G$1008,$I682-8)))</x:f>
      </x:c>
      <x:c r="H682" s="50" t="str">
        <x:f>IF(674&gt;$H$4,"",IF(INDEX('Fleet dates'!$I$9:$I$1008,$I682-8)="","",INDEX('Fleet dates'!$I$9:$I$1008,$I682-8)))</x:f>
      </x:c>
      <x:c r="I682" t="str">
        <x:f>IF(674&gt;$H$4,"",MATCH(674,'Fleet dates'!$N$9:$N$1008,0)+8)</x:f>
      </x:c>
    </x:row>
    <x:row r="683" ht="36" customHeight="1">
      <x:c r="A683" s="50" t="str">
        <x:f>IF(675&gt;$H$4,"",IF(INDEX('Fleet dates'!$A$9:$A$1008,$I683-8)="","",INDEX('Fleet dates'!$A$9:$A$1008,$I683-8)))</x:f>
      </x:c>
      <x:c r="B683" s="50" t="str">
        <x:f>IF(675&gt;$H$4,"",IF(INDEX('Fleet dates'!$B$9:$B$1008,$I683-8)="","",INDEX('Fleet dates'!$B$9:$B$1008,$I683-8)))</x:f>
      </x:c>
      <x:c r="C683" s="51" t="str">
        <x:f>IF(675&gt;$H$4,"",IF(INDEX('Fleet dates'!$C$9:$C$1008,$I683-8)="","",INDEX('Fleet dates'!$C$9:$C$1008,$I683-8)))</x:f>
      </x:c>
      <x:c r="D683" s="51" t="str">
        <x:f>IF(675&gt;$H$4,"",IF(INDEX('Fleet dates'!$D$9:$D$1008,$I683-8)="","",INDEX('Fleet dates'!$D$9:$D$1008,$I683-8)))</x:f>
      </x:c>
      <x:c r="E683" s="51" t="str">
        <x:f>IF(675&gt;$H$4,"",IF(INDEX('Fleet dates'!$E$9:$E$1008,$I683-8)="","",INDEX('Fleet dates'!$E$9:$E$1008,$I683-8)))</x:f>
      </x:c>
      <x:c r="F683" s="51" t="str">
        <x:f>IF(675&gt;$H$4,"",IF(INDEX('Fleet dates'!$F$9:$F$1008,$I683-8)="","",INDEX('Fleet dates'!$F$9:$F$1008,$I683-8)))</x:f>
      </x:c>
      <x:c r="G683" s="50" t="str">
        <x:f>IF(675&gt;$H$4,"",IF(INDEX('Fleet dates'!$G$9:$G$1008,$I683-8)="","",INDEX('Fleet dates'!$G$9:$G$1008,$I683-8)))</x:f>
      </x:c>
      <x:c r="H683" s="50" t="str">
        <x:f>IF(675&gt;$H$4,"",IF(INDEX('Fleet dates'!$I$9:$I$1008,$I683-8)="","",INDEX('Fleet dates'!$I$9:$I$1008,$I683-8)))</x:f>
      </x:c>
      <x:c r="I683" t="str">
        <x:f>IF(675&gt;$H$4,"",MATCH(675,'Fleet dates'!$N$9:$N$1008,0)+8)</x:f>
      </x:c>
    </x:row>
    <x:row r="684" ht="36" customHeight="1">
      <x:c r="A684" s="50" t="str">
        <x:f>IF(676&gt;$H$4,"",IF(INDEX('Fleet dates'!$A$9:$A$1008,$I684-8)="","",INDEX('Fleet dates'!$A$9:$A$1008,$I684-8)))</x:f>
      </x:c>
      <x:c r="B684" s="50" t="str">
        <x:f>IF(676&gt;$H$4,"",IF(INDEX('Fleet dates'!$B$9:$B$1008,$I684-8)="","",INDEX('Fleet dates'!$B$9:$B$1008,$I684-8)))</x:f>
      </x:c>
      <x:c r="C684" s="51" t="str">
        <x:f>IF(676&gt;$H$4,"",IF(INDEX('Fleet dates'!$C$9:$C$1008,$I684-8)="","",INDEX('Fleet dates'!$C$9:$C$1008,$I684-8)))</x:f>
      </x:c>
      <x:c r="D684" s="51" t="str">
        <x:f>IF(676&gt;$H$4,"",IF(INDEX('Fleet dates'!$D$9:$D$1008,$I684-8)="","",INDEX('Fleet dates'!$D$9:$D$1008,$I684-8)))</x:f>
      </x:c>
      <x:c r="E684" s="51" t="str">
        <x:f>IF(676&gt;$H$4,"",IF(INDEX('Fleet dates'!$E$9:$E$1008,$I684-8)="","",INDEX('Fleet dates'!$E$9:$E$1008,$I684-8)))</x:f>
      </x:c>
      <x:c r="F684" s="51" t="str">
        <x:f>IF(676&gt;$H$4,"",IF(INDEX('Fleet dates'!$F$9:$F$1008,$I684-8)="","",INDEX('Fleet dates'!$F$9:$F$1008,$I684-8)))</x:f>
      </x:c>
      <x:c r="G684" s="50" t="str">
        <x:f>IF(676&gt;$H$4,"",IF(INDEX('Fleet dates'!$G$9:$G$1008,$I684-8)="","",INDEX('Fleet dates'!$G$9:$G$1008,$I684-8)))</x:f>
      </x:c>
      <x:c r="H684" s="50" t="str">
        <x:f>IF(676&gt;$H$4,"",IF(INDEX('Fleet dates'!$I$9:$I$1008,$I684-8)="","",INDEX('Fleet dates'!$I$9:$I$1008,$I684-8)))</x:f>
      </x:c>
      <x:c r="I684" t="str">
        <x:f>IF(676&gt;$H$4,"",MATCH(676,'Fleet dates'!$N$9:$N$1008,0)+8)</x:f>
      </x:c>
    </x:row>
    <x:row r="685" ht="36" customHeight="1">
      <x:c r="A685" s="50" t="str">
        <x:f>IF(677&gt;$H$4,"",IF(INDEX('Fleet dates'!$A$9:$A$1008,$I685-8)="","",INDEX('Fleet dates'!$A$9:$A$1008,$I685-8)))</x:f>
      </x:c>
      <x:c r="B685" s="50" t="str">
        <x:f>IF(677&gt;$H$4,"",IF(INDEX('Fleet dates'!$B$9:$B$1008,$I685-8)="","",INDEX('Fleet dates'!$B$9:$B$1008,$I685-8)))</x:f>
      </x:c>
      <x:c r="C685" s="51" t="str">
        <x:f>IF(677&gt;$H$4,"",IF(INDEX('Fleet dates'!$C$9:$C$1008,$I685-8)="","",INDEX('Fleet dates'!$C$9:$C$1008,$I685-8)))</x:f>
      </x:c>
      <x:c r="D685" s="51" t="str">
        <x:f>IF(677&gt;$H$4,"",IF(INDEX('Fleet dates'!$D$9:$D$1008,$I685-8)="","",INDEX('Fleet dates'!$D$9:$D$1008,$I685-8)))</x:f>
      </x:c>
      <x:c r="E685" s="51" t="str">
        <x:f>IF(677&gt;$H$4,"",IF(INDEX('Fleet dates'!$E$9:$E$1008,$I685-8)="","",INDEX('Fleet dates'!$E$9:$E$1008,$I685-8)))</x:f>
      </x:c>
      <x:c r="F685" s="51" t="str">
        <x:f>IF(677&gt;$H$4,"",IF(INDEX('Fleet dates'!$F$9:$F$1008,$I685-8)="","",INDEX('Fleet dates'!$F$9:$F$1008,$I685-8)))</x:f>
      </x:c>
      <x:c r="G685" s="50" t="str">
        <x:f>IF(677&gt;$H$4,"",IF(INDEX('Fleet dates'!$G$9:$G$1008,$I685-8)="","",INDEX('Fleet dates'!$G$9:$G$1008,$I685-8)))</x:f>
      </x:c>
      <x:c r="H685" s="50" t="str">
        <x:f>IF(677&gt;$H$4,"",IF(INDEX('Fleet dates'!$I$9:$I$1008,$I685-8)="","",INDEX('Fleet dates'!$I$9:$I$1008,$I685-8)))</x:f>
      </x:c>
      <x:c r="I685" t="str">
        <x:f>IF(677&gt;$H$4,"",MATCH(677,'Fleet dates'!$N$9:$N$1008,0)+8)</x:f>
      </x:c>
    </x:row>
    <x:row r="686" ht="36" customHeight="1">
      <x:c r="A686" s="50" t="str">
        <x:f>IF(678&gt;$H$4,"",IF(INDEX('Fleet dates'!$A$9:$A$1008,$I686-8)="","",INDEX('Fleet dates'!$A$9:$A$1008,$I686-8)))</x:f>
      </x:c>
      <x:c r="B686" s="50" t="str">
        <x:f>IF(678&gt;$H$4,"",IF(INDEX('Fleet dates'!$B$9:$B$1008,$I686-8)="","",INDEX('Fleet dates'!$B$9:$B$1008,$I686-8)))</x:f>
      </x:c>
      <x:c r="C686" s="51" t="str">
        <x:f>IF(678&gt;$H$4,"",IF(INDEX('Fleet dates'!$C$9:$C$1008,$I686-8)="","",INDEX('Fleet dates'!$C$9:$C$1008,$I686-8)))</x:f>
      </x:c>
      <x:c r="D686" s="51" t="str">
        <x:f>IF(678&gt;$H$4,"",IF(INDEX('Fleet dates'!$D$9:$D$1008,$I686-8)="","",INDEX('Fleet dates'!$D$9:$D$1008,$I686-8)))</x:f>
      </x:c>
      <x:c r="E686" s="51" t="str">
        <x:f>IF(678&gt;$H$4,"",IF(INDEX('Fleet dates'!$E$9:$E$1008,$I686-8)="","",INDEX('Fleet dates'!$E$9:$E$1008,$I686-8)))</x:f>
      </x:c>
      <x:c r="F686" s="51" t="str">
        <x:f>IF(678&gt;$H$4,"",IF(INDEX('Fleet dates'!$F$9:$F$1008,$I686-8)="","",INDEX('Fleet dates'!$F$9:$F$1008,$I686-8)))</x:f>
      </x:c>
      <x:c r="G686" s="50" t="str">
        <x:f>IF(678&gt;$H$4,"",IF(INDEX('Fleet dates'!$G$9:$G$1008,$I686-8)="","",INDEX('Fleet dates'!$G$9:$G$1008,$I686-8)))</x:f>
      </x:c>
      <x:c r="H686" s="50" t="str">
        <x:f>IF(678&gt;$H$4,"",IF(INDEX('Fleet dates'!$I$9:$I$1008,$I686-8)="","",INDEX('Fleet dates'!$I$9:$I$1008,$I686-8)))</x:f>
      </x:c>
      <x:c r="I686" t="str">
        <x:f>IF(678&gt;$H$4,"",MATCH(678,'Fleet dates'!$N$9:$N$1008,0)+8)</x:f>
      </x:c>
    </x:row>
    <x:row r="687" ht="36" customHeight="1">
      <x:c r="A687" s="50" t="str">
        <x:f>IF(679&gt;$H$4,"",IF(INDEX('Fleet dates'!$A$9:$A$1008,$I687-8)="","",INDEX('Fleet dates'!$A$9:$A$1008,$I687-8)))</x:f>
      </x:c>
      <x:c r="B687" s="50" t="str">
        <x:f>IF(679&gt;$H$4,"",IF(INDEX('Fleet dates'!$B$9:$B$1008,$I687-8)="","",INDEX('Fleet dates'!$B$9:$B$1008,$I687-8)))</x:f>
      </x:c>
      <x:c r="C687" s="51" t="str">
        <x:f>IF(679&gt;$H$4,"",IF(INDEX('Fleet dates'!$C$9:$C$1008,$I687-8)="","",INDEX('Fleet dates'!$C$9:$C$1008,$I687-8)))</x:f>
      </x:c>
      <x:c r="D687" s="51" t="str">
        <x:f>IF(679&gt;$H$4,"",IF(INDEX('Fleet dates'!$D$9:$D$1008,$I687-8)="","",INDEX('Fleet dates'!$D$9:$D$1008,$I687-8)))</x:f>
      </x:c>
      <x:c r="E687" s="51" t="str">
        <x:f>IF(679&gt;$H$4,"",IF(INDEX('Fleet dates'!$E$9:$E$1008,$I687-8)="","",INDEX('Fleet dates'!$E$9:$E$1008,$I687-8)))</x:f>
      </x:c>
      <x:c r="F687" s="51" t="str">
        <x:f>IF(679&gt;$H$4,"",IF(INDEX('Fleet dates'!$F$9:$F$1008,$I687-8)="","",INDEX('Fleet dates'!$F$9:$F$1008,$I687-8)))</x:f>
      </x:c>
      <x:c r="G687" s="50" t="str">
        <x:f>IF(679&gt;$H$4,"",IF(INDEX('Fleet dates'!$G$9:$G$1008,$I687-8)="","",INDEX('Fleet dates'!$G$9:$G$1008,$I687-8)))</x:f>
      </x:c>
      <x:c r="H687" s="50" t="str">
        <x:f>IF(679&gt;$H$4,"",IF(INDEX('Fleet dates'!$I$9:$I$1008,$I687-8)="","",INDEX('Fleet dates'!$I$9:$I$1008,$I687-8)))</x:f>
      </x:c>
      <x:c r="I687" t="str">
        <x:f>IF(679&gt;$H$4,"",MATCH(679,'Fleet dates'!$N$9:$N$1008,0)+8)</x:f>
      </x:c>
    </x:row>
    <x:row r="688" ht="36" customHeight="1">
      <x:c r="A688" s="50" t="str">
        <x:f>IF(680&gt;$H$4,"",IF(INDEX('Fleet dates'!$A$9:$A$1008,$I688-8)="","",INDEX('Fleet dates'!$A$9:$A$1008,$I688-8)))</x:f>
      </x:c>
      <x:c r="B688" s="50" t="str">
        <x:f>IF(680&gt;$H$4,"",IF(INDEX('Fleet dates'!$B$9:$B$1008,$I688-8)="","",INDEX('Fleet dates'!$B$9:$B$1008,$I688-8)))</x:f>
      </x:c>
      <x:c r="C688" s="51" t="str">
        <x:f>IF(680&gt;$H$4,"",IF(INDEX('Fleet dates'!$C$9:$C$1008,$I688-8)="","",INDEX('Fleet dates'!$C$9:$C$1008,$I688-8)))</x:f>
      </x:c>
      <x:c r="D688" s="51" t="str">
        <x:f>IF(680&gt;$H$4,"",IF(INDEX('Fleet dates'!$D$9:$D$1008,$I688-8)="","",INDEX('Fleet dates'!$D$9:$D$1008,$I688-8)))</x:f>
      </x:c>
      <x:c r="E688" s="51" t="str">
        <x:f>IF(680&gt;$H$4,"",IF(INDEX('Fleet dates'!$E$9:$E$1008,$I688-8)="","",INDEX('Fleet dates'!$E$9:$E$1008,$I688-8)))</x:f>
      </x:c>
      <x:c r="F688" s="51" t="str">
        <x:f>IF(680&gt;$H$4,"",IF(INDEX('Fleet dates'!$F$9:$F$1008,$I688-8)="","",INDEX('Fleet dates'!$F$9:$F$1008,$I688-8)))</x:f>
      </x:c>
      <x:c r="G688" s="50" t="str">
        <x:f>IF(680&gt;$H$4,"",IF(INDEX('Fleet dates'!$G$9:$G$1008,$I688-8)="","",INDEX('Fleet dates'!$G$9:$G$1008,$I688-8)))</x:f>
      </x:c>
      <x:c r="H688" s="50" t="str">
        <x:f>IF(680&gt;$H$4,"",IF(INDEX('Fleet dates'!$I$9:$I$1008,$I688-8)="","",INDEX('Fleet dates'!$I$9:$I$1008,$I688-8)))</x:f>
      </x:c>
      <x:c r="I688" t="str">
        <x:f>IF(680&gt;$H$4,"",MATCH(680,'Fleet dates'!$N$9:$N$1008,0)+8)</x:f>
      </x:c>
    </x:row>
    <x:row r="689" ht="36" customHeight="1">
      <x:c r="A689" s="50" t="str">
        <x:f>IF(681&gt;$H$4,"",IF(INDEX('Fleet dates'!$A$9:$A$1008,$I689-8)="","",INDEX('Fleet dates'!$A$9:$A$1008,$I689-8)))</x:f>
      </x:c>
      <x:c r="B689" s="50" t="str">
        <x:f>IF(681&gt;$H$4,"",IF(INDEX('Fleet dates'!$B$9:$B$1008,$I689-8)="","",INDEX('Fleet dates'!$B$9:$B$1008,$I689-8)))</x:f>
      </x:c>
      <x:c r="C689" s="51" t="str">
        <x:f>IF(681&gt;$H$4,"",IF(INDEX('Fleet dates'!$C$9:$C$1008,$I689-8)="","",INDEX('Fleet dates'!$C$9:$C$1008,$I689-8)))</x:f>
      </x:c>
      <x:c r="D689" s="51" t="str">
        <x:f>IF(681&gt;$H$4,"",IF(INDEX('Fleet dates'!$D$9:$D$1008,$I689-8)="","",INDEX('Fleet dates'!$D$9:$D$1008,$I689-8)))</x:f>
      </x:c>
      <x:c r="E689" s="51" t="str">
        <x:f>IF(681&gt;$H$4,"",IF(INDEX('Fleet dates'!$E$9:$E$1008,$I689-8)="","",INDEX('Fleet dates'!$E$9:$E$1008,$I689-8)))</x:f>
      </x:c>
      <x:c r="F689" s="51" t="str">
        <x:f>IF(681&gt;$H$4,"",IF(INDEX('Fleet dates'!$F$9:$F$1008,$I689-8)="","",INDEX('Fleet dates'!$F$9:$F$1008,$I689-8)))</x:f>
      </x:c>
      <x:c r="G689" s="50" t="str">
        <x:f>IF(681&gt;$H$4,"",IF(INDEX('Fleet dates'!$G$9:$G$1008,$I689-8)="","",INDEX('Fleet dates'!$G$9:$G$1008,$I689-8)))</x:f>
      </x:c>
      <x:c r="H689" s="50" t="str">
        <x:f>IF(681&gt;$H$4,"",IF(INDEX('Fleet dates'!$I$9:$I$1008,$I689-8)="","",INDEX('Fleet dates'!$I$9:$I$1008,$I689-8)))</x:f>
      </x:c>
      <x:c r="I689" t="str">
        <x:f>IF(681&gt;$H$4,"",MATCH(681,'Fleet dates'!$N$9:$N$1008,0)+8)</x:f>
      </x:c>
    </x:row>
    <x:row r="690" ht="36" customHeight="1">
      <x:c r="A690" s="50" t="str">
        <x:f>IF(682&gt;$H$4,"",IF(INDEX('Fleet dates'!$A$9:$A$1008,$I690-8)="","",INDEX('Fleet dates'!$A$9:$A$1008,$I690-8)))</x:f>
      </x:c>
      <x:c r="B690" s="50" t="str">
        <x:f>IF(682&gt;$H$4,"",IF(INDEX('Fleet dates'!$B$9:$B$1008,$I690-8)="","",INDEX('Fleet dates'!$B$9:$B$1008,$I690-8)))</x:f>
      </x:c>
      <x:c r="C690" s="51" t="str">
        <x:f>IF(682&gt;$H$4,"",IF(INDEX('Fleet dates'!$C$9:$C$1008,$I690-8)="","",INDEX('Fleet dates'!$C$9:$C$1008,$I690-8)))</x:f>
      </x:c>
      <x:c r="D690" s="51" t="str">
        <x:f>IF(682&gt;$H$4,"",IF(INDEX('Fleet dates'!$D$9:$D$1008,$I690-8)="","",INDEX('Fleet dates'!$D$9:$D$1008,$I690-8)))</x:f>
      </x:c>
      <x:c r="E690" s="51" t="str">
        <x:f>IF(682&gt;$H$4,"",IF(INDEX('Fleet dates'!$E$9:$E$1008,$I690-8)="","",INDEX('Fleet dates'!$E$9:$E$1008,$I690-8)))</x:f>
      </x:c>
      <x:c r="F690" s="51" t="str">
        <x:f>IF(682&gt;$H$4,"",IF(INDEX('Fleet dates'!$F$9:$F$1008,$I690-8)="","",INDEX('Fleet dates'!$F$9:$F$1008,$I690-8)))</x:f>
      </x:c>
      <x:c r="G690" s="50" t="str">
        <x:f>IF(682&gt;$H$4,"",IF(INDEX('Fleet dates'!$G$9:$G$1008,$I690-8)="","",INDEX('Fleet dates'!$G$9:$G$1008,$I690-8)))</x:f>
      </x:c>
      <x:c r="H690" s="50" t="str">
        <x:f>IF(682&gt;$H$4,"",IF(INDEX('Fleet dates'!$I$9:$I$1008,$I690-8)="","",INDEX('Fleet dates'!$I$9:$I$1008,$I690-8)))</x:f>
      </x:c>
      <x:c r="I690" t="str">
        <x:f>IF(682&gt;$H$4,"",MATCH(682,'Fleet dates'!$N$9:$N$1008,0)+8)</x:f>
      </x:c>
    </x:row>
    <x:row r="691" ht="36" customHeight="1">
      <x:c r="A691" s="50" t="str">
        <x:f>IF(683&gt;$H$4,"",IF(INDEX('Fleet dates'!$A$9:$A$1008,$I691-8)="","",INDEX('Fleet dates'!$A$9:$A$1008,$I691-8)))</x:f>
      </x:c>
      <x:c r="B691" s="50" t="str">
        <x:f>IF(683&gt;$H$4,"",IF(INDEX('Fleet dates'!$B$9:$B$1008,$I691-8)="","",INDEX('Fleet dates'!$B$9:$B$1008,$I691-8)))</x:f>
      </x:c>
      <x:c r="C691" s="51" t="str">
        <x:f>IF(683&gt;$H$4,"",IF(INDEX('Fleet dates'!$C$9:$C$1008,$I691-8)="","",INDEX('Fleet dates'!$C$9:$C$1008,$I691-8)))</x:f>
      </x:c>
      <x:c r="D691" s="51" t="str">
        <x:f>IF(683&gt;$H$4,"",IF(INDEX('Fleet dates'!$D$9:$D$1008,$I691-8)="","",INDEX('Fleet dates'!$D$9:$D$1008,$I691-8)))</x:f>
      </x:c>
      <x:c r="E691" s="51" t="str">
        <x:f>IF(683&gt;$H$4,"",IF(INDEX('Fleet dates'!$E$9:$E$1008,$I691-8)="","",INDEX('Fleet dates'!$E$9:$E$1008,$I691-8)))</x:f>
      </x:c>
      <x:c r="F691" s="51" t="str">
        <x:f>IF(683&gt;$H$4,"",IF(INDEX('Fleet dates'!$F$9:$F$1008,$I691-8)="","",INDEX('Fleet dates'!$F$9:$F$1008,$I691-8)))</x:f>
      </x:c>
      <x:c r="G691" s="50" t="str">
        <x:f>IF(683&gt;$H$4,"",IF(INDEX('Fleet dates'!$G$9:$G$1008,$I691-8)="","",INDEX('Fleet dates'!$G$9:$G$1008,$I691-8)))</x:f>
      </x:c>
      <x:c r="H691" s="50" t="str">
        <x:f>IF(683&gt;$H$4,"",IF(INDEX('Fleet dates'!$I$9:$I$1008,$I691-8)="","",INDEX('Fleet dates'!$I$9:$I$1008,$I691-8)))</x:f>
      </x:c>
      <x:c r="I691" t="str">
        <x:f>IF(683&gt;$H$4,"",MATCH(683,'Fleet dates'!$N$9:$N$1008,0)+8)</x:f>
      </x:c>
    </x:row>
    <x:row r="692" ht="36" customHeight="1">
      <x:c r="A692" s="50" t="str">
        <x:f>IF(684&gt;$H$4,"",IF(INDEX('Fleet dates'!$A$9:$A$1008,$I692-8)="","",INDEX('Fleet dates'!$A$9:$A$1008,$I692-8)))</x:f>
      </x:c>
      <x:c r="B692" s="50" t="str">
        <x:f>IF(684&gt;$H$4,"",IF(INDEX('Fleet dates'!$B$9:$B$1008,$I692-8)="","",INDEX('Fleet dates'!$B$9:$B$1008,$I692-8)))</x:f>
      </x:c>
      <x:c r="C692" s="51" t="str">
        <x:f>IF(684&gt;$H$4,"",IF(INDEX('Fleet dates'!$C$9:$C$1008,$I692-8)="","",INDEX('Fleet dates'!$C$9:$C$1008,$I692-8)))</x:f>
      </x:c>
      <x:c r="D692" s="51" t="str">
        <x:f>IF(684&gt;$H$4,"",IF(INDEX('Fleet dates'!$D$9:$D$1008,$I692-8)="","",INDEX('Fleet dates'!$D$9:$D$1008,$I692-8)))</x:f>
      </x:c>
      <x:c r="E692" s="51" t="str">
        <x:f>IF(684&gt;$H$4,"",IF(INDEX('Fleet dates'!$E$9:$E$1008,$I692-8)="","",INDEX('Fleet dates'!$E$9:$E$1008,$I692-8)))</x:f>
      </x:c>
      <x:c r="F692" s="51" t="str">
        <x:f>IF(684&gt;$H$4,"",IF(INDEX('Fleet dates'!$F$9:$F$1008,$I692-8)="","",INDEX('Fleet dates'!$F$9:$F$1008,$I692-8)))</x:f>
      </x:c>
      <x:c r="G692" s="50" t="str">
        <x:f>IF(684&gt;$H$4,"",IF(INDEX('Fleet dates'!$G$9:$G$1008,$I692-8)="","",INDEX('Fleet dates'!$G$9:$G$1008,$I692-8)))</x:f>
      </x:c>
      <x:c r="H692" s="50" t="str">
        <x:f>IF(684&gt;$H$4,"",IF(INDEX('Fleet dates'!$I$9:$I$1008,$I692-8)="","",INDEX('Fleet dates'!$I$9:$I$1008,$I692-8)))</x:f>
      </x:c>
      <x:c r="I692" t="str">
        <x:f>IF(684&gt;$H$4,"",MATCH(684,'Fleet dates'!$N$9:$N$1008,0)+8)</x:f>
      </x:c>
    </x:row>
    <x:row r="693" ht="36" customHeight="1">
      <x:c r="A693" s="50" t="str">
        <x:f>IF(685&gt;$H$4,"",IF(INDEX('Fleet dates'!$A$9:$A$1008,$I693-8)="","",INDEX('Fleet dates'!$A$9:$A$1008,$I693-8)))</x:f>
      </x:c>
      <x:c r="B693" s="50" t="str">
        <x:f>IF(685&gt;$H$4,"",IF(INDEX('Fleet dates'!$B$9:$B$1008,$I693-8)="","",INDEX('Fleet dates'!$B$9:$B$1008,$I693-8)))</x:f>
      </x:c>
      <x:c r="C693" s="51" t="str">
        <x:f>IF(685&gt;$H$4,"",IF(INDEX('Fleet dates'!$C$9:$C$1008,$I693-8)="","",INDEX('Fleet dates'!$C$9:$C$1008,$I693-8)))</x:f>
      </x:c>
      <x:c r="D693" s="51" t="str">
        <x:f>IF(685&gt;$H$4,"",IF(INDEX('Fleet dates'!$D$9:$D$1008,$I693-8)="","",INDEX('Fleet dates'!$D$9:$D$1008,$I693-8)))</x:f>
      </x:c>
      <x:c r="E693" s="51" t="str">
        <x:f>IF(685&gt;$H$4,"",IF(INDEX('Fleet dates'!$E$9:$E$1008,$I693-8)="","",INDEX('Fleet dates'!$E$9:$E$1008,$I693-8)))</x:f>
      </x:c>
      <x:c r="F693" s="51" t="str">
        <x:f>IF(685&gt;$H$4,"",IF(INDEX('Fleet dates'!$F$9:$F$1008,$I693-8)="","",INDEX('Fleet dates'!$F$9:$F$1008,$I693-8)))</x:f>
      </x:c>
      <x:c r="G693" s="50" t="str">
        <x:f>IF(685&gt;$H$4,"",IF(INDEX('Fleet dates'!$G$9:$G$1008,$I693-8)="","",INDEX('Fleet dates'!$G$9:$G$1008,$I693-8)))</x:f>
      </x:c>
      <x:c r="H693" s="50" t="str">
        <x:f>IF(685&gt;$H$4,"",IF(INDEX('Fleet dates'!$I$9:$I$1008,$I693-8)="","",INDEX('Fleet dates'!$I$9:$I$1008,$I693-8)))</x:f>
      </x:c>
      <x:c r="I693" t="str">
        <x:f>IF(685&gt;$H$4,"",MATCH(685,'Fleet dates'!$N$9:$N$1008,0)+8)</x:f>
      </x:c>
    </x:row>
    <x:row r="694" ht="36" customHeight="1">
      <x:c r="A694" s="50" t="str">
        <x:f>IF(686&gt;$H$4,"",IF(INDEX('Fleet dates'!$A$9:$A$1008,$I694-8)="","",INDEX('Fleet dates'!$A$9:$A$1008,$I694-8)))</x:f>
      </x:c>
      <x:c r="B694" s="50" t="str">
        <x:f>IF(686&gt;$H$4,"",IF(INDEX('Fleet dates'!$B$9:$B$1008,$I694-8)="","",INDEX('Fleet dates'!$B$9:$B$1008,$I694-8)))</x:f>
      </x:c>
      <x:c r="C694" s="51" t="str">
        <x:f>IF(686&gt;$H$4,"",IF(INDEX('Fleet dates'!$C$9:$C$1008,$I694-8)="","",INDEX('Fleet dates'!$C$9:$C$1008,$I694-8)))</x:f>
      </x:c>
      <x:c r="D694" s="51" t="str">
        <x:f>IF(686&gt;$H$4,"",IF(INDEX('Fleet dates'!$D$9:$D$1008,$I694-8)="","",INDEX('Fleet dates'!$D$9:$D$1008,$I694-8)))</x:f>
      </x:c>
      <x:c r="E694" s="51" t="str">
        <x:f>IF(686&gt;$H$4,"",IF(INDEX('Fleet dates'!$E$9:$E$1008,$I694-8)="","",INDEX('Fleet dates'!$E$9:$E$1008,$I694-8)))</x:f>
      </x:c>
      <x:c r="F694" s="51" t="str">
        <x:f>IF(686&gt;$H$4,"",IF(INDEX('Fleet dates'!$F$9:$F$1008,$I694-8)="","",INDEX('Fleet dates'!$F$9:$F$1008,$I694-8)))</x:f>
      </x:c>
      <x:c r="G694" s="50" t="str">
        <x:f>IF(686&gt;$H$4,"",IF(INDEX('Fleet dates'!$G$9:$G$1008,$I694-8)="","",INDEX('Fleet dates'!$G$9:$G$1008,$I694-8)))</x:f>
      </x:c>
      <x:c r="H694" s="50" t="str">
        <x:f>IF(686&gt;$H$4,"",IF(INDEX('Fleet dates'!$I$9:$I$1008,$I694-8)="","",INDEX('Fleet dates'!$I$9:$I$1008,$I694-8)))</x:f>
      </x:c>
      <x:c r="I694" t="str">
        <x:f>IF(686&gt;$H$4,"",MATCH(686,'Fleet dates'!$N$9:$N$1008,0)+8)</x:f>
      </x:c>
    </x:row>
    <x:row r="695" ht="36" customHeight="1">
      <x:c r="A695" s="50" t="str">
        <x:f>IF(687&gt;$H$4,"",IF(INDEX('Fleet dates'!$A$9:$A$1008,$I695-8)="","",INDEX('Fleet dates'!$A$9:$A$1008,$I695-8)))</x:f>
      </x:c>
      <x:c r="B695" s="50" t="str">
        <x:f>IF(687&gt;$H$4,"",IF(INDEX('Fleet dates'!$B$9:$B$1008,$I695-8)="","",INDEX('Fleet dates'!$B$9:$B$1008,$I695-8)))</x:f>
      </x:c>
      <x:c r="C695" s="51" t="str">
        <x:f>IF(687&gt;$H$4,"",IF(INDEX('Fleet dates'!$C$9:$C$1008,$I695-8)="","",INDEX('Fleet dates'!$C$9:$C$1008,$I695-8)))</x:f>
      </x:c>
      <x:c r="D695" s="51" t="str">
        <x:f>IF(687&gt;$H$4,"",IF(INDEX('Fleet dates'!$D$9:$D$1008,$I695-8)="","",INDEX('Fleet dates'!$D$9:$D$1008,$I695-8)))</x:f>
      </x:c>
      <x:c r="E695" s="51" t="str">
        <x:f>IF(687&gt;$H$4,"",IF(INDEX('Fleet dates'!$E$9:$E$1008,$I695-8)="","",INDEX('Fleet dates'!$E$9:$E$1008,$I695-8)))</x:f>
      </x:c>
      <x:c r="F695" s="51" t="str">
        <x:f>IF(687&gt;$H$4,"",IF(INDEX('Fleet dates'!$F$9:$F$1008,$I695-8)="","",INDEX('Fleet dates'!$F$9:$F$1008,$I695-8)))</x:f>
      </x:c>
      <x:c r="G695" s="50" t="str">
        <x:f>IF(687&gt;$H$4,"",IF(INDEX('Fleet dates'!$G$9:$G$1008,$I695-8)="","",INDEX('Fleet dates'!$G$9:$G$1008,$I695-8)))</x:f>
      </x:c>
      <x:c r="H695" s="50" t="str">
        <x:f>IF(687&gt;$H$4,"",IF(INDEX('Fleet dates'!$I$9:$I$1008,$I695-8)="","",INDEX('Fleet dates'!$I$9:$I$1008,$I695-8)))</x:f>
      </x:c>
      <x:c r="I695" t="str">
        <x:f>IF(687&gt;$H$4,"",MATCH(687,'Fleet dates'!$N$9:$N$1008,0)+8)</x:f>
      </x:c>
    </x:row>
    <x:row r="696" ht="36" customHeight="1">
      <x:c r="A696" s="50" t="str">
        <x:f>IF(688&gt;$H$4,"",IF(INDEX('Fleet dates'!$A$9:$A$1008,$I696-8)="","",INDEX('Fleet dates'!$A$9:$A$1008,$I696-8)))</x:f>
      </x:c>
      <x:c r="B696" s="50" t="str">
        <x:f>IF(688&gt;$H$4,"",IF(INDEX('Fleet dates'!$B$9:$B$1008,$I696-8)="","",INDEX('Fleet dates'!$B$9:$B$1008,$I696-8)))</x:f>
      </x:c>
      <x:c r="C696" s="51" t="str">
        <x:f>IF(688&gt;$H$4,"",IF(INDEX('Fleet dates'!$C$9:$C$1008,$I696-8)="","",INDEX('Fleet dates'!$C$9:$C$1008,$I696-8)))</x:f>
      </x:c>
      <x:c r="D696" s="51" t="str">
        <x:f>IF(688&gt;$H$4,"",IF(INDEX('Fleet dates'!$D$9:$D$1008,$I696-8)="","",INDEX('Fleet dates'!$D$9:$D$1008,$I696-8)))</x:f>
      </x:c>
      <x:c r="E696" s="51" t="str">
        <x:f>IF(688&gt;$H$4,"",IF(INDEX('Fleet dates'!$E$9:$E$1008,$I696-8)="","",INDEX('Fleet dates'!$E$9:$E$1008,$I696-8)))</x:f>
      </x:c>
      <x:c r="F696" s="51" t="str">
        <x:f>IF(688&gt;$H$4,"",IF(INDEX('Fleet dates'!$F$9:$F$1008,$I696-8)="","",INDEX('Fleet dates'!$F$9:$F$1008,$I696-8)))</x:f>
      </x:c>
      <x:c r="G696" s="50" t="str">
        <x:f>IF(688&gt;$H$4,"",IF(INDEX('Fleet dates'!$G$9:$G$1008,$I696-8)="","",INDEX('Fleet dates'!$G$9:$G$1008,$I696-8)))</x:f>
      </x:c>
      <x:c r="H696" s="50" t="str">
        <x:f>IF(688&gt;$H$4,"",IF(INDEX('Fleet dates'!$I$9:$I$1008,$I696-8)="","",INDEX('Fleet dates'!$I$9:$I$1008,$I696-8)))</x:f>
      </x:c>
      <x:c r="I696" t="str">
        <x:f>IF(688&gt;$H$4,"",MATCH(688,'Fleet dates'!$N$9:$N$1008,0)+8)</x:f>
      </x:c>
    </x:row>
    <x:row r="697" ht="36" customHeight="1">
      <x:c r="A697" s="50" t="str">
        <x:f>IF(689&gt;$H$4,"",IF(INDEX('Fleet dates'!$A$9:$A$1008,$I697-8)="","",INDEX('Fleet dates'!$A$9:$A$1008,$I697-8)))</x:f>
      </x:c>
      <x:c r="B697" s="50" t="str">
        <x:f>IF(689&gt;$H$4,"",IF(INDEX('Fleet dates'!$B$9:$B$1008,$I697-8)="","",INDEX('Fleet dates'!$B$9:$B$1008,$I697-8)))</x:f>
      </x:c>
      <x:c r="C697" s="51" t="str">
        <x:f>IF(689&gt;$H$4,"",IF(INDEX('Fleet dates'!$C$9:$C$1008,$I697-8)="","",INDEX('Fleet dates'!$C$9:$C$1008,$I697-8)))</x:f>
      </x:c>
      <x:c r="D697" s="51" t="str">
        <x:f>IF(689&gt;$H$4,"",IF(INDEX('Fleet dates'!$D$9:$D$1008,$I697-8)="","",INDEX('Fleet dates'!$D$9:$D$1008,$I697-8)))</x:f>
      </x:c>
      <x:c r="E697" s="51" t="str">
        <x:f>IF(689&gt;$H$4,"",IF(INDEX('Fleet dates'!$E$9:$E$1008,$I697-8)="","",INDEX('Fleet dates'!$E$9:$E$1008,$I697-8)))</x:f>
      </x:c>
      <x:c r="F697" s="51" t="str">
        <x:f>IF(689&gt;$H$4,"",IF(INDEX('Fleet dates'!$F$9:$F$1008,$I697-8)="","",INDEX('Fleet dates'!$F$9:$F$1008,$I697-8)))</x:f>
      </x:c>
      <x:c r="G697" s="50" t="str">
        <x:f>IF(689&gt;$H$4,"",IF(INDEX('Fleet dates'!$G$9:$G$1008,$I697-8)="","",INDEX('Fleet dates'!$G$9:$G$1008,$I697-8)))</x:f>
      </x:c>
      <x:c r="H697" s="50" t="str">
        <x:f>IF(689&gt;$H$4,"",IF(INDEX('Fleet dates'!$I$9:$I$1008,$I697-8)="","",INDEX('Fleet dates'!$I$9:$I$1008,$I697-8)))</x:f>
      </x:c>
      <x:c r="I697" t="str">
        <x:f>IF(689&gt;$H$4,"",MATCH(689,'Fleet dates'!$N$9:$N$1008,0)+8)</x:f>
      </x:c>
    </x:row>
    <x:row r="698" ht="36" customHeight="1">
      <x:c r="A698" s="50" t="str">
        <x:f>IF(690&gt;$H$4,"",IF(INDEX('Fleet dates'!$A$9:$A$1008,$I698-8)="","",INDEX('Fleet dates'!$A$9:$A$1008,$I698-8)))</x:f>
      </x:c>
      <x:c r="B698" s="50" t="str">
        <x:f>IF(690&gt;$H$4,"",IF(INDEX('Fleet dates'!$B$9:$B$1008,$I698-8)="","",INDEX('Fleet dates'!$B$9:$B$1008,$I698-8)))</x:f>
      </x:c>
      <x:c r="C698" s="51" t="str">
        <x:f>IF(690&gt;$H$4,"",IF(INDEX('Fleet dates'!$C$9:$C$1008,$I698-8)="","",INDEX('Fleet dates'!$C$9:$C$1008,$I698-8)))</x:f>
      </x:c>
      <x:c r="D698" s="51" t="str">
        <x:f>IF(690&gt;$H$4,"",IF(INDEX('Fleet dates'!$D$9:$D$1008,$I698-8)="","",INDEX('Fleet dates'!$D$9:$D$1008,$I698-8)))</x:f>
      </x:c>
      <x:c r="E698" s="51" t="str">
        <x:f>IF(690&gt;$H$4,"",IF(INDEX('Fleet dates'!$E$9:$E$1008,$I698-8)="","",INDEX('Fleet dates'!$E$9:$E$1008,$I698-8)))</x:f>
      </x:c>
      <x:c r="F698" s="51" t="str">
        <x:f>IF(690&gt;$H$4,"",IF(INDEX('Fleet dates'!$F$9:$F$1008,$I698-8)="","",INDEX('Fleet dates'!$F$9:$F$1008,$I698-8)))</x:f>
      </x:c>
      <x:c r="G698" s="50" t="str">
        <x:f>IF(690&gt;$H$4,"",IF(INDEX('Fleet dates'!$G$9:$G$1008,$I698-8)="","",INDEX('Fleet dates'!$G$9:$G$1008,$I698-8)))</x:f>
      </x:c>
      <x:c r="H698" s="50" t="str">
        <x:f>IF(690&gt;$H$4,"",IF(INDEX('Fleet dates'!$I$9:$I$1008,$I698-8)="","",INDEX('Fleet dates'!$I$9:$I$1008,$I698-8)))</x:f>
      </x:c>
      <x:c r="I698" t="str">
        <x:f>IF(690&gt;$H$4,"",MATCH(690,'Fleet dates'!$N$9:$N$1008,0)+8)</x:f>
      </x:c>
    </x:row>
    <x:row r="699" ht="36" customHeight="1">
      <x:c r="A699" s="50" t="str">
        <x:f>IF(691&gt;$H$4,"",IF(INDEX('Fleet dates'!$A$9:$A$1008,$I699-8)="","",INDEX('Fleet dates'!$A$9:$A$1008,$I699-8)))</x:f>
      </x:c>
      <x:c r="B699" s="50" t="str">
        <x:f>IF(691&gt;$H$4,"",IF(INDEX('Fleet dates'!$B$9:$B$1008,$I699-8)="","",INDEX('Fleet dates'!$B$9:$B$1008,$I699-8)))</x:f>
      </x:c>
      <x:c r="C699" s="51" t="str">
        <x:f>IF(691&gt;$H$4,"",IF(INDEX('Fleet dates'!$C$9:$C$1008,$I699-8)="","",INDEX('Fleet dates'!$C$9:$C$1008,$I699-8)))</x:f>
      </x:c>
      <x:c r="D699" s="51" t="str">
        <x:f>IF(691&gt;$H$4,"",IF(INDEX('Fleet dates'!$D$9:$D$1008,$I699-8)="","",INDEX('Fleet dates'!$D$9:$D$1008,$I699-8)))</x:f>
      </x:c>
      <x:c r="E699" s="51" t="str">
        <x:f>IF(691&gt;$H$4,"",IF(INDEX('Fleet dates'!$E$9:$E$1008,$I699-8)="","",INDEX('Fleet dates'!$E$9:$E$1008,$I699-8)))</x:f>
      </x:c>
      <x:c r="F699" s="51" t="str">
        <x:f>IF(691&gt;$H$4,"",IF(INDEX('Fleet dates'!$F$9:$F$1008,$I699-8)="","",INDEX('Fleet dates'!$F$9:$F$1008,$I699-8)))</x:f>
      </x:c>
      <x:c r="G699" s="50" t="str">
        <x:f>IF(691&gt;$H$4,"",IF(INDEX('Fleet dates'!$G$9:$G$1008,$I699-8)="","",INDEX('Fleet dates'!$G$9:$G$1008,$I699-8)))</x:f>
      </x:c>
      <x:c r="H699" s="50" t="str">
        <x:f>IF(691&gt;$H$4,"",IF(INDEX('Fleet dates'!$I$9:$I$1008,$I699-8)="","",INDEX('Fleet dates'!$I$9:$I$1008,$I699-8)))</x:f>
      </x:c>
      <x:c r="I699" t="str">
        <x:f>IF(691&gt;$H$4,"",MATCH(691,'Fleet dates'!$N$9:$N$1008,0)+8)</x:f>
      </x:c>
    </x:row>
    <x:row r="700" ht="36" customHeight="1">
      <x:c r="A700" s="50" t="str">
        <x:f>IF(692&gt;$H$4,"",IF(INDEX('Fleet dates'!$A$9:$A$1008,$I700-8)="","",INDEX('Fleet dates'!$A$9:$A$1008,$I700-8)))</x:f>
      </x:c>
      <x:c r="B700" s="50" t="str">
        <x:f>IF(692&gt;$H$4,"",IF(INDEX('Fleet dates'!$B$9:$B$1008,$I700-8)="","",INDEX('Fleet dates'!$B$9:$B$1008,$I700-8)))</x:f>
      </x:c>
      <x:c r="C700" s="51" t="str">
        <x:f>IF(692&gt;$H$4,"",IF(INDEX('Fleet dates'!$C$9:$C$1008,$I700-8)="","",INDEX('Fleet dates'!$C$9:$C$1008,$I700-8)))</x:f>
      </x:c>
      <x:c r="D700" s="51" t="str">
        <x:f>IF(692&gt;$H$4,"",IF(INDEX('Fleet dates'!$D$9:$D$1008,$I700-8)="","",INDEX('Fleet dates'!$D$9:$D$1008,$I700-8)))</x:f>
      </x:c>
      <x:c r="E700" s="51" t="str">
        <x:f>IF(692&gt;$H$4,"",IF(INDEX('Fleet dates'!$E$9:$E$1008,$I700-8)="","",INDEX('Fleet dates'!$E$9:$E$1008,$I700-8)))</x:f>
      </x:c>
      <x:c r="F700" s="51" t="str">
        <x:f>IF(692&gt;$H$4,"",IF(INDEX('Fleet dates'!$F$9:$F$1008,$I700-8)="","",INDEX('Fleet dates'!$F$9:$F$1008,$I700-8)))</x:f>
      </x:c>
      <x:c r="G700" s="50" t="str">
        <x:f>IF(692&gt;$H$4,"",IF(INDEX('Fleet dates'!$G$9:$G$1008,$I700-8)="","",INDEX('Fleet dates'!$G$9:$G$1008,$I700-8)))</x:f>
      </x:c>
      <x:c r="H700" s="50" t="str">
        <x:f>IF(692&gt;$H$4,"",IF(INDEX('Fleet dates'!$I$9:$I$1008,$I700-8)="","",INDEX('Fleet dates'!$I$9:$I$1008,$I700-8)))</x:f>
      </x:c>
      <x:c r="I700" t="str">
        <x:f>IF(692&gt;$H$4,"",MATCH(692,'Fleet dates'!$N$9:$N$1008,0)+8)</x:f>
      </x:c>
    </x:row>
    <x:row r="701" ht="36" customHeight="1">
      <x:c r="A701" s="50" t="str">
        <x:f>IF(693&gt;$H$4,"",IF(INDEX('Fleet dates'!$A$9:$A$1008,$I701-8)="","",INDEX('Fleet dates'!$A$9:$A$1008,$I701-8)))</x:f>
      </x:c>
      <x:c r="B701" s="50" t="str">
        <x:f>IF(693&gt;$H$4,"",IF(INDEX('Fleet dates'!$B$9:$B$1008,$I701-8)="","",INDEX('Fleet dates'!$B$9:$B$1008,$I701-8)))</x:f>
      </x:c>
      <x:c r="C701" s="51" t="str">
        <x:f>IF(693&gt;$H$4,"",IF(INDEX('Fleet dates'!$C$9:$C$1008,$I701-8)="","",INDEX('Fleet dates'!$C$9:$C$1008,$I701-8)))</x:f>
      </x:c>
      <x:c r="D701" s="51" t="str">
        <x:f>IF(693&gt;$H$4,"",IF(INDEX('Fleet dates'!$D$9:$D$1008,$I701-8)="","",INDEX('Fleet dates'!$D$9:$D$1008,$I701-8)))</x:f>
      </x:c>
      <x:c r="E701" s="51" t="str">
        <x:f>IF(693&gt;$H$4,"",IF(INDEX('Fleet dates'!$E$9:$E$1008,$I701-8)="","",INDEX('Fleet dates'!$E$9:$E$1008,$I701-8)))</x:f>
      </x:c>
      <x:c r="F701" s="51" t="str">
        <x:f>IF(693&gt;$H$4,"",IF(INDEX('Fleet dates'!$F$9:$F$1008,$I701-8)="","",INDEX('Fleet dates'!$F$9:$F$1008,$I701-8)))</x:f>
      </x:c>
      <x:c r="G701" s="50" t="str">
        <x:f>IF(693&gt;$H$4,"",IF(INDEX('Fleet dates'!$G$9:$G$1008,$I701-8)="","",INDEX('Fleet dates'!$G$9:$G$1008,$I701-8)))</x:f>
      </x:c>
      <x:c r="H701" s="50" t="str">
        <x:f>IF(693&gt;$H$4,"",IF(INDEX('Fleet dates'!$I$9:$I$1008,$I701-8)="","",INDEX('Fleet dates'!$I$9:$I$1008,$I701-8)))</x:f>
      </x:c>
      <x:c r="I701" t="str">
        <x:f>IF(693&gt;$H$4,"",MATCH(693,'Fleet dates'!$N$9:$N$1008,0)+8)</x:f>
      </x:c>
    </x:row>
    <x:row r="702" ht="36" customHeight="1">
      <x:c r="A702" s="50" t="str">
        <x:f>IF(694&gt;$H$4,"",IF(INDEX('Fleet dates'!$A$9:$A$1008,$I702-8)="","",INDEX('Fleet dates'!$A$9:$A$1008,$I702-8)))</x:f>
      </x:c>
      <x:c r="B702" s="50" t="str">
        <x:f>IF(694&gt;$H$4,"",IF(INDEX('Fleet dates'!$B$9:$B$1008,$I702-8)="","",INDEX('Fleet dates'!$B$9:$B$1008,$I702-8)))</x:f>
      </x:c>
      <x:c r="C702" s="51" t="str">
        <x:f>IF(694&gt;$H$4,"",IF(INDEX('Fleet dates'!$C$9:$C$1008,$I702-8)="","",INDEX('Fleet dates'!$C$9:$C$1008,$I702-8)))</x:f>
      </x:c>
      <x:c r="D702" s="51" t="str">
        <x:f>IF(694&gt;$H$4,"",IF(INDEX('Fleet dates'!$D$9:$D$1008,$I702-8)="","",INDEX('Fleet dates'!$D$9:$D$1008,$I702-8)))</x:f>
      </x:c>
      <x:c r="E702" s="51" t="str">
        <x:f>IF(694&gt;$H$4,"",IF(INDEX('Fleet dates'!$E$9:$E$1008,$I702-8)="","",INDEX('Fleet dates'!$E$9:$E$1008,$I702-8)))</x:f>
      </x:c>
      <x:c r="F702" s="51" t="str">
        <x:f>IF(694&gt;$H$4,"",IF(INDEX('Fleet dates'!$F$9:$F$1008,$I702-8)="","",INDEX('Fleet dates'!$F$9:$F$1008,$I702-8)))</x:f>
      </x:c>
      <x:c r="G702" s="50" t="str">
        <x:f>IF(694&gt;$H$4,"",IF(INDEX('Fleet dates'!$G$9:$G$1008,$I702-8)="","",INDEX('Fleet dates'!$G$9:$G$1008,$I702-8)))</x:f>
      </x:c>
      <x:c r="H702" s="50" t="str">
        <x:f>IF(694&gt;$H$4,"",IF(INDEX('Fleet dates'!$I$9:$I$1008,$I702-8)="","",INDEX('Fleet dates'!$I$9:$I$1008,$I702-8)))</x:f>
      </x:c>
      <x:c r="I702" t="str">
        <x:f>IF(694&gt;$H$4,"",MATCH(694,'Fleet dates'!$N$9:$N$1008,0)+8)</x:f>
      </x:c>
    </x:row>
    <x:row r="703" ht="36" customHeight="1">
      <x:c r="A703" s="50" t="str">
        <x:f>IF(695&gt;$H$4,"",IF(INDEX('Fleet dates'!$A$9:$A$1008,$I703-8)="","",INDEX('Fleet dates'!$A$9:$A$1008,$I703-8)))</x:f>
      </x:c>
      <x:c r="B703" s="50" t="str">
        <x:f>IF(695&gt;$H$4,"",IF(INDEX('Fleet dates'!$B$9:$B$1008,$I703-8)="","",INDEX('Fleet dates'!$B$9:$B$1008,$I703-8)))</x:f>
      </x:c>
      <x:c r="C703" s="51" t="str">
        <x:f>IF(695&gt;$H$4,"",IF(INDEX('Fleet dates'!$C$9:$C$1008,$I703-8)="","",INDEX('Fleet dates'!$C$9:$C$1008,$I703-8)))</x:f>
      </x:c>
      <x:c r="D703" s="51" t="str">
        <x:f>IF(695&gt;$H$4,"",IF(INDEX('Fleet dates'!$D$9:$D$1008,$I703-8)="","",INDEX('Fleet dates'!$D$9:$D$1008,$I703-8)))</x:f>
      </x:c>
      <x:c r="E703" s="51" t="str">
        <x:f>IF(695&gt;$H$4,"",IF(INDEX('Fleet dates'!$E$9:$E$1008,$I703-8)="","",INDEX('Fleet dates'!$E$9:$E$1008,$I703-8)))</x:f>
      </x:c>
      <x:c r="F703" s="51" t="str">
        <x:f>IF(695&gt;$H$4,"",IF(INDEX('Fleet dates'!$F$9:$F$1008,$I703-8)="","",INDEX('Fleet dates'!$F$9:$F$1008,$I703-8)))</x:f>
      </x:c>
      <x:c r="G703" s="50" t="str">
        <x:f>IF(695&gt;$H$4,"",IF(INDEX('Fleet dates'!$G$9:$G$1008,$I703-8)="","",INDEX('Fleet dates'!$G$9:$G$1008,$I703-8)))</x:f>
      </x:c>
      <x:c r="H703" s="50" t="str">
        <x:f>IF(695&gt;$H$4,"",IF(INDEX('Fleet dates'!$I$9:$I$1008,$I703-8)="","",INDEX('Fleet dates'!$I$9:$I$1008,$I703-8)))</x:f>
      </x:c>
      <x:c r="I703" t="str">
        <x:f>IF(695&gt;$H$4,"",MATCH(695,'Fleet dates'!$N$9:$N$1008,0)+8)</x:f>
      </x:c>
    </x:row>
    <x:row r="704" ht="36" customHeight="1">
      <x:c r="A704" s="50" t="str">
        <x:f>IF(696&gt;$H$4,"",IF(INDEX('Fleet dates'!$A$9:$A$1008,$I704-8)="","",INDEX('Fleet dates'!$A$9:$A$1008,$I704-8)))</x:f>
      </x:c>
      <x:c r="B704" s="50" t="str">
        <x:f>IF(696&gt;$H$4,"",IF(INDEX('Fleet dates'!$B$9:$B$1008,$I704-8)="","",INDEX('Fleet dates'!$B$9:$B$1008,$I704-8)))</x:f>
      </x:c>
      <x:c r="C704" s="51" t="str">
        <x:f>IF(696&gt;$H$4,"",IF(INDEX('Fleet dates'!$C$9:$C$1008,$I704-8)="","",INDEX('Fleet dates'!$C$9:$C$1008,$I704-8)))</x:f>
      </x:c>
      <x:c r="D704" s="51" t="str">
        <x:f>IF(696&gt;$H$4,"",IF(INDEX('Fleet dates'!$D$9:$D$1008,$I704-8)="","",INDEX('Fleet dates'!$D$9:$D$1008,$I704-8)))</x:f>
      </x:c>
      <x:c r="E704" s="51" t="str">
        <x:f>IF(696&gt;$H$4,"",IF(INDEX('Fleet dates'!$E$9:$E$1008,$I704-8)="","",INDEX('Fleet dates'!$E$9:$E$1008,$I704-8)))</x:f>
      </x:c>
      <x:c r="F704" s="51" t="str">
        <x:f>IF(696&gt;$H$4,"",IF(INDEX('Fleet dates'!$F$9:$F$1008,$I704-8)="","",INDEX('Fleet dates'!$F$9:$F$1008,$I704-8)))</x:f>
      </x:c>
      <x:c r="G704" s="50" t="str">
        <x:f>IF(696&gt;$H$4,"",IF(INDEX('Fleet dates'!$G$9:$G$1008,$I704-8)="","",INDEX('Fleet dates'!$G$9:$G$1008,$I704-8)))</x:f>
      </x:c>
      <x:c r="H704" s="50" t="str">
        <x:f>IF(696&gt;$H$4,"",IF(INDEX('Fleet dates'!$I$9:$I$1008,$I704-8)="","",INDEX('Fleet dates'!$I$9:$I$1008,$I704-8)))</x:f>
      </x:c>
      <x:c r="I704" t="str">
        <x:f>IF(696&gt;$H$4,"",MATCH(696,'Fleet dates'!$N$9:$N$1008,0)+8)</x:f>
      </x:c>
    </x:row>
    <x:row r="705" ht="36" customHeight="1">
      <x:c r="A705" s="50" t="str">
        <x:f>IF(697&gt;$H$4,"",IF(INDEX('Fleet dates'!$A$9:$A$1008,$I705-8)="","",INDEX('Fleet dates'!$A$9:$A$1008,$I705-8)))</x:f>
      </x:c>
      <x:c r="B705" s="50" t="str">
        <x:f>IF(697&gt;$H$4,"",IF(INDEX('Fleet dates'!$B$9:$B$1008,$I705-8)="","",INDEX('Fleet dates'!$B$9:$B$1008,$I705-8)))</x:f>
      </x:c>
      <x:c r="C705" s="51" t="str">
        <x:f>IF(697&gt;$H$4,"",IF(INDEX('Fleet dates'!$C$9:$C$1008,$I705-8)="","",INDEX('Fleet dates'!$C$9:$C$1008,$I705-8)))</x:f>
      </x:c>
      <x:c r="D705" s="51" t="str">
        <x:f>IF(697&gt;$H$4,"",IF(INDEX('Fleet dates'!$D$9:$D$1008,$I705-8)="","",INDEX('Fleet dates'!$D$9:$D$1008,$I705-8)))</x:f>
      </x:c>
      <x:c r="E705" s="51" t="str">
        <x:f>IF(697&gt;$H$4,"",IF(INDEX('Fleet dates'!$E$9:$E$1008,$I705-8)="","",INDEX('Fleet dates'!$E$9:$E$1008,$I705-8)))</x:f>
      </x:c>
      <x:c r="F705" s="51" t="str">
        <x:f>IF(697&gt;$H$4,"",IF(INDEX('Fleet dates'!$F$9:$F$1008,$I705-8)="","",INDEX('Fleet dates'!$F$9:$F$1008,$I705-8)))</x:f>
      </x:c>
      <x:c r="G705" s="50" t="str">
        <x:f>IF(697&gt;$H$4,"",IF(INDEX('Fleet dates'!$G$9:$G$1008,$I705-8)="","",INDEX('Fleet dates'!$G$9:$G$1008,$I705-8)))</x:f>
      </x:c>
      <x:c r="H705" s="50" t="str">
        <x:f>IF(697&gt;$H$4,"",IF(INDEX('Fleet dates'!$I$9:$I$1008,$I705-8)="","",INDEX('Fleet dates'!$I$9:$I$1008,$I705-8)))</x:f>
      </x:c>
      <x:c r="I705" t="str">
        <x:f>IF(697&gt;$H$4,"",MATCH(697,'Fleet dates'!$N$9:$N$1008,0)+8)</x:f>
      </x:c>
    </x:row>
    <x:row r="706" ht="36" customHeight="1">
      <x:c r="A706" s="50" t="str">
        <x:f>IF(698&gt;$H$4,"",IF(INDEX('Fleet dates'!$A$9:$A$1008,$I706-8)="","",INDEX('Fleet dates'!$A$9:$A$1008,$I706-8)))</x:f>
      </x:c>
      <x:c r="B706" s="50" t="str">
        <x:f>IF(698&gt;$H$4,"",IF(INDEX('Fleet dates'!$B$9:$B$1008,$I706-8)="","",INDEX('Fleet dates'!$B$9:$B$1008,$I706-8)))</x:f>
      </x:c>
      <x:c r="C706" s="51" t="str">
        <x:f>IF(698&gt;$H$4,"",IF(INDEX('Fleet dates'!$C$9:$C$1008,$I706-8)="","",INDEX('Fleet dates'!$C$9:$C$1008,$I706-8)))</x:f>
      </x:c>
      <x:c r="D706" s="51" t="str">
        <x:f>IF(698&gt;$H$4,"",IF(INDEX('Fleet dates'!$D$9:$D$1008,$I706-8)="","",INDEX('Fleet dates'!$D$9:$D$1008,$I706-8)))</x:f>
      </x:c>
      <x:c r="E706" s="51" t="str">
        <x:f>IF(698&gt;$H$4,"",IF(INDEX('Fleet dates'!$E$9:$E$1008,$I706-8)="","",INDEX('Fleet dates'!$E$9:$E$1008,$I706-8)))</x:f>
      </x:c>
      <x:c r="F706" s="51" t="str">
        <x:f>IF(698&gt;$H$4,"",IF(INDEX('Fleet dates'!$F$9:$F$1008,$I706-8)="","",INDEX('Fleet dates'!$F$9:$F$1008,$I706-8)))</x:f>
      </x:c>
      <x:c r="G706" s="50" t="str">
        <x:f>IF(698&gt;$H$4,"",IF(INDEX('Fleet dates'!$G$9:$G$1008,$I706-8)="","",INDEX('Fleet dates'!$G$9:$G$1008,$I706-8)))</x:f>
      </x:c>
      <x:c r="H706" s="50" t="str">
        <x:f>IF(698&gt;$H$4,"",IF(INDEX('Fleet dates'!$I$9:$I$1008,$I706-8)="","",INDEX('Fleet dates'!$I$9:$I$1008,$I706-8)))</x:f>
      </x:c>
      <x:c r="I706" t="str">
        <x:f>IF(698&gt;$H$4,"",MATCH(698,'Fleet dates'!$N$9:$N$1008,0)+8)</x:f>
      </x:c>
    </x:row>
    <x:row r="707" ht="36" customHeight="1">
      <x:c r="A707" s="50" t="str">
        <x:f>IF(699&gt;$H$4,"",IF(INDEX('Fleet dates'!$A$9:$A$1008,$I707-8)="","",INDEX('Fleet dates'!$A$9:$A$1008,$I707-8)))</x:f>
      </x:c>
      <x:c r="B707" s="50" t="str">
        <x:f>IF(699&gt;$H$4,"",IF(INDEX('Fleet dates'!$B$9:$B$1008,$I707-8)="","",INDEX('Fleet dates'!$B$9:$B$1008,$I707-8)))</x:f>
      </x:c>
      <x:c r="C707" s="51" t="str">
        <x:f>IF(699&gt;$H$4,"",IF(INDEX('Fleet dates'!$C$9:$C$1008,$I707-8)="","",INDEX('Fleet dates'!$C$9:$C$1008,$I707-8)))</x:f>
      </x:c>
      <x:c r="D707" s="51" t="str">
        <x:f>IF(699&gt;$H$4,"",IF(INDEX('Fleet dates'!$D$9:$D$1008,$I707-8)="","",INDEX('Fleet dates'!$D$9:$D$1008,$I707-8)))</x:f>
      </x:c>
      <x:c r="E707" s="51" t="str">
        <x:f>IF(699&gt;$H$4,"",IF(INDEX('Fleet dates'!$E$9:$E$1008,$I707-8)="","",INDEX('Fleet dates'!$E$9:$E$1008,$I707-8)))</x:f>
      </x:c>
      <x:c r="F707" s="51" t="str">
        <x:f>IF(699&gt;$H$4,"",IF(INDEX('Fleet dates'!$F$9:$F$1008,$I707-8)="","",INDEX('Fleet dates'!$F$9:$F$1008,$I707-8)))</x:f>
      </x:c>
      <x:c r="G707" s="50" t="str">
        <x:f>IF(699&gt;$H$4,"",IF(INDEX('Fleet dates'!$G$9:$G$1008,$I707-8)="","",INDEX('Fleet dates'!$G$9:$G$1008,$I707-8)))</x:f>
      </x:c>
      <x:c r="H707" s="50" t="str">
        <x:f>IF(699&gt;$H$4,"",IF(INDEX('Fleet dates'!$I$9:$I$1008,$I707-8)="","",INDEX('Fleet dates'!$I$9:$I$1008,$I707-8)))</x:f>
      </x:c>
      <x:c r="I707" t="str">
        <x:f>IF(699&gt;$H$4,"",MATCH(699,'Fleet dates'!$N$9:$N$1008,0)+8)</x:f>
      </x:c>
    </x:row>
    <x:row r="708" ht="36" customHeight="1">
      <x:c r="A708" s="50" t="str">
        <x:f>IF(700&gt;$H$4,"",IF(INDEX('Fleet dates'!$A$9:$A$1008,$I708-8)="","",INDEX('Fleet dates'!$A$9:$A$1008,$I708-8)))</x:f>
      </x:c>
      <x:c r="B708" s="50" t="str">
        <x:f>IF(700&gt;$H$4,"",IF(INDEX('Fleet dates'!$B$9:$B$1008,$I708-8)="","",INDEX('Fleet dates'!$B$9:$B$1008,$I708-8)))</x:f>
      </x:c>
      <x:c r="C708" s="51" t="str">
        <x:f>IF(700&gt;$H$4,"",IF(INDEX('Fleet dates'!$C$9:$C$1008,$I708-8)="","",INDEX('Fleet dates'!$C$9:$C$1008,$I708-8)))</x:f>
      </x:c>
      <x:c r="D708" s="51" t="str">
        <x:f>IF(700&gt;$H$4,"",IF(INDEX('Fleet dates'!$D$9:$D$1008,$I708-8)="","",INDEX('Fleet dates'!$D$9:$D$1008,$I708-8)))</x:f>
      </x:c>
      <x:c r="E708" s="51" t="str">
        <x:f>IF(700&gt;$H$4,"",IF(INDEX('Fleet dates'!$E$9:$E$1008,$I708-8)="","",INDEX('Fleet dates'!$E$9:$E$1008,$I708-8)))</x:f>
      </x:c>
      <x:c r="F708" s="51" t="str">
        <x:f>IF(700&gt;$H$4,"",IF(INDEX('Fleet dates'!$F$9:$F$1008,$I708-8)="","",INDEX('Fleet dates'!$F$9:$F$1008,$I708-8)))</x:f>
      </x:c>
      <x:c r="G708" s="50" t="str">
        <x:f>IF(700&gt;$H$4,"",IF(INDEX('Fleet dates'!$G$9:$G$1008,$I708-8)="","",INDEX('Fleet dates'!$G$9:$G$1008,$I708-8)))</x:f>
      </x:c>
      <x:c r="H708" s="50" t="str">
        <x:f>IF(700&gt;$H$4,"",IF(INDEX('Fleet dates'!$I$9:$I$1008,$I708-8)="","",INDEX('Fleet dates'!$I$9:$I$1008,$I708-8)))</x:f>
      </x:c>
      <x:c r="I708" t="str">
        <x:f>IF(700&gt;$H$4,"",MATCH(700,'Fleet dates'!$N$9:$N$1008,0)+8)</x:f>
      </x:c>
    </x:row>
    <x:row r="709" ht="36" customHeight="1">
      <x:c r="A709" s="50" t="str">
        <x:f>IF(701&gt;$H$4,"",IF(INDEX('Fleet dates'!$A$9:$A$1008,$I709-8)="","",INDEX('Fleet dates'!$A$9:$A$1008,$I709-8)))</x:f>
      </x:c>
      <x:c r="B709" s="50" t="str">
        <x:f>IF(701&gt;$H$4,"",IF(INDEX('Fleet dates'!$B$9:$B$1008,$I709-8)="","",INDEX('Fleet dates'!$B$9:$B$1008,$I709-8)))</x:f>
      </x:c>
      <x:c r="C709" s="51" t="str">
        <x:f>IF(701&gt;$H$4,"",IF(INDEX('Fleet dates'!$C$9:$C$1008,$I709-8)="","",INDEX('Fleet dates'!$C$9:$C$1008,$I709-8)))</x:f>
      </x:c>
      <x:c r="D709" s="51" t="str">
        <x:f>IF(701&gt;$H$4,"",IF(INDEX('Fleet dates'!$D$9:$D$1008,$I709-8)="","",INDEX('Fleet dates'!$D$9:$D$1008,$I709-8)))</x:f>
      </x:c>
      <x:c r="E709" s="51" t="str">
        <x:f>IF(701&gt;$H$4,"",IF(INDEX('Fleet dates'!$E$9:$E$1008,$I709-8)="","",INDEX('Fleet dates'!$E$9:$E$1008,$I709-8)))</x:f>
      </x:c>
      <x:c r="F709" s="51" t="str">
        <x:f>IF(701&gt;$H$4,"",IF(INDEX('Fleet dates'!$F$9:$F$1008,$I709-8)="","",INDEX('Fleet dates'!$F$9:$F$1008,$I709-8)))</x:f>
      </x:c>
      <x:c r="G709" s="50" t="str">
        <x:f>IF(701&gt;$H$4,"",IF(INDEX('Fleet dates'!$G$9:$G$1008,$I709-8)="","",INDEX('Fleet dates'!$G$9:$G$1008,$I709-8)))</x:f>
      </x:c>
      <x:c r="H709" s="50" t="str">
        <x:f>IF(701&gt;$H$4,"",IF(INDEX('Fleet dates'!$I$9:$I$1008,$I709-8)="","",INDEX('Fleet dates'!$I$9:$I$1008,$I709-8)))</x:f>
      </x:c>
      <x:c r="I709" t="str">
        <x:f>IF(701&gt;$H$4,"",MATCH(701,'Fleet dates'!$N$9:$N$1008,0)+8)</x:f>
      </x:c>
    </x:row>
    <x:row r="710" ht="36" customHeight="1">
      <x:c r="A710" s="50" t="str">
        <x:f>IF(702&gt;$H$4,"",IF(INDEX('Fleet dates'!$A$9:$A$1008,$I710-8)="","",INDEX('Fleet dates'!$A$9:$A$1008,$I710-8)))</x:f>
      </x:c>
      <x:c r="B710" s="50" t="str">
        <x:f>IF(702&gt;$H$4,"",IF(INDEX('Fleet dates'!$B$9:$B$1008,$I710-8)="","",INDEX('Fleet dates'!$B$9:$B$1008,$I710-8)))</x:f>
      </x:c>
      <x:c r="C710" s="51" t="str">
        <x:f>IF(702&gt;$H$4,"",IF(INDEX('Fleet dates'!$C$9:$C$1008,$I710-8)="","",INDEX('Fleet dates'!$C$9:$C$1008,$I710-8)))</x:f>
      </x:c>
      <x:c r="D710" s="51" t="str">
        <x:f>IF(702&gt;$H$4,"",IF(INDEX('Fleet dates'!$D$9:$D$1008,$I710-8)="","",INDEX('Fleet dates'!$D$9:$D$1008,$I710-8)))</x:f>
      </x:c>
      <x:c r="E710" s="51" t="str">
        <x:f>IF(702&gt;$H$4,"",IF(INDEX('Fleet dates'!$E$9:$E$1008,$I710-8)="","",INDEX('Fleet dates'!$E$9:$E$1008,$I710-8)))</x:f>
      </x:c>
      <x:c r="F710" s="51" t="str">
        <x:f>IF(702&gt;$H$4,"",IF(INDEX('Fleet dates'!$F$9:$F$1008,$I710-8)="","",INDEX('Fleet dates'!$F$9:$F$1008,$I710-8)))</x:f>
      </x:c>
      <x:c r="G710" s="50" t="str">
        <x:f>IF(702&gt;$H$4,"",IF(INDEX('Fleet dates'!$G$9:$G$1008,$I710-8)="","",INDEX('Fleet dates'!$G$9:$G$1008,$I710-8)))</x:f>
      </x:c>
      <x:c r="H710" s="50" t="str">
        <x:f>IF(702&gt;$H$4,"",IF(INDEX('Fleet dates'!$I$9:$I$1008,$I710-8)="","",INDEX('Fleet dates'!$I$9:$I$1008,$I710-8)))</x:f>
      </x:c>
      <x:c r="I710" t="str">
        <x:f>IF(702&gt;$H$4,"",MATCH(702,'Fleet dates'!$N$9:$N$1008,0)+8)</x:f>
      </x:c>
    </x:row>
    <x:row r="711" ht="36" customHeight="1">
      <x:c r="A711" s="50" t="str">
        <x:f>IF(703&gt;$H$4,"",IF(INDEX('Fleet dates'!$A$9:$A$1008,$I711-8)="","",INDEX('Fleet dates'!$A$9:$A$1008,$I711-8)))</x:f>
      </x:c>
      <x:c r="B711" s="50" t="str">
        <x:f>IF(703&gt;$H$4,"",IF(INDEX('Fleet dates'!$B$9:$B$1008,$I711-8)="","",INDEX('Fleet dates'!$B$9:$B$1008,$I711-8)))</x:f>
      </x:c>
      <x:c r="C711" s="51" t="str">
        <x:f>IF(703&gt;$H$4,"",IF(INDEX('Fleet dates'!$C$9:$C$1008,$I711-8)="","",INDEX('Fleet dates'!$C$9:$C$1008,$I711-8)))</x:f>
      </x:c>
      <x:c r="D711" s="51" t="str">
        <x:f>IF(703&gt;$H$4,"",IF(INDEX('Fleet dates'!$D$9:$D$1008,$I711-8)="","",INDEX('Fleet dates'!$D$9:$D$1008,$I711-8)))</x:f>
      </x:c>
      <x:c r="E711" s="51" t="str">
        <x:f>IF(703&gt;$H$4,"",IF(INDEX('Fleet dates'!$E$9:$E$1008,$I711-8)="","",INDEX('Fleet dates'!$E$9:$E$1008,$I711-8)))</x:f>
      </x:c>
      <x:c r="F711" s="51" t="str">
        <x:f>IF(703&gt;$H$4,"",IF(INDEX('Fleet dates'!$F$9:$F$1008,$I711-8)="","",INDEX('Fleet dates'!$F$9:$F$1008,$I711-8)))</x:f>
      </x:c>
      <x:c r="G711" s="50" t="str">
        <x:f>IF(703&gt;$H$4,"",IF(INDEX('Fleet dates'!$G$9:$G$1008,$I711-8)="","",INDEX('Fleet dates'!$G$9:$G$1008,$I711-8)))</x:f>
      </x:c>
      <x:c r="H711" s="50" t="str">
        <x:f>IF(703&gt;$H$4,"",IF(INDEX('Fleet dates'!$I$9:$I$1008,$I711-8)="","",INDEX('Fleet dates'!$I$9:$I$1008,$I711-8)))</x:f>
      </x:c>
      <x:c r="I711" t="str">
        <x:f>IF(703&gt;$H$4,"",MATCH(703,'Fleet dates'!$N$9:$N$1008,0)+8)</x:f>
      </x:c>
    </x:row>
    <x:row r="712" ht="36" customHeight="1">
      <x:c r="A712" s="50" t="str">
        <x:f>IF(704&gt;$H$4,"",IF(INDEX('Fleet dates'!$A$9:$A$1008,$I712-8)="","",INDEX('Fleet dates'!$A$9:$A$1008,$I712-8)))</x:f>
      </x:c>
      <x:c r="B712" s="50" t="str">
        <x:f>IF(704&gt;$H$4,"",IF(INDEX('Fleet dates'!$B$9:$B$1008,$I712-8)="","",INDEX('Fleet dates'!$B$9:$B$1008,$I712-8)))</x:f>
      </x:c>
      <x:c r="C712" s="51" t="str">
        <x:f>IF(704&gt;$H$4,"",IF(INDEX('Fleet dates'!$C$9:$C$1008,$I712-8)="","",INDEX('Fleet dates'!$C$9:$C$1008,$I712-8)))</x:f>
      </x:c>
      <x:c r="D712" s="51" t="str">
        <x:f>IF(704&gt;$H$4,"",IF(INDEX('Fleet dates'!$D$9:$D$1008,$I712-8)="","",INDEX('Fleet dates'!$D$9:$D$1008,$I712-8)))</x:f>
      </x:c>
      <x:c r="E712" s="51" t="str">
        <x:f>IF(704&gt;$H$4,"",IF(INDEX('Fleet dates'!$E$9:$E$1008,$I712-8)="","",INDEX('Fleet dates'!$E$9:$E$1008,$I712-8)))</x:f>
      </x:c>
      <x:c r="F712" s="51" t="str">
        <x:f>IF(704&gt;$H$4,"",IF(INDEX('Fleet dates'!$F$9:$F$1008,$I712-8)="","",INDEX('Fleet dates'!$F$9:$F$1008,$I712-8)))</x:f>
      </x:c>
      <x:c r="G712" s="50" t="str">
        <x:f>IF(704&gt;$H$4,"",IF(INDEX('Fleet dates'!$G$9:$G$1008,$I712-8)="","",INDEX('Fleet dates'!$G$9:$G$1008,$I712-8)))</x:f>
      </x:c>
      <x:c r="H712" s="50" t="str">
        <x:f>IF(704&gt;$H$4,"",IF(INDEX('Fleet dates'!$I$9:$I$1008,$I712-8)="","",INDEX('Fleet dates'!$I$9:$I$1008,$I712-8)))</x:f>
      </x:c>
      <x:c r="I712" t="str">
        <x:f>IF(704&gt;$H$4,"",MATCH(704,'Fleet dates'!$N$9:$N$1008,0)+8)</x:f>
      </x:c>
    </x:row>
    <x:row r="713" ht="36" customHeight="1">
      <x:c r="A713" s="50" t="str">
        <x:f>IF(705&gt;$H$4,"",IF(INDEX('Fleet dates'!$A$9:$A$1008,$I713-8)="","",INDEX('Fleet dates'!$A$9:$A$1008,$I713-8)))</x:f>
      </x:c>
      <x:c r="B713" s="50" t="str">
        <x:f>IF(705&gt;$H$4,"",IF(INDEX('Fleet dates'!$B$9:$B$1008,$I713-8)="","",INDEX('Fleet dates'!$B$9:$B$1008,$I713-8)))</x:f>
      </x:c>
      <x:c r="C713" s="51" t="str">
        <x:f>IF(705&gt;$H$4,"",IF(INDEX('Fleet dates'!$C$9:$C$1008,$I713-8)="","",INDEX('Fleet dates'!$C$9:$C$1008,$I713-8)))</x:f>
      </x:c>
      <x:c r="D713" s="51" t="str">
        <x:f>IF(705&gt;$H$4,"",IF(INDEX('Fleet dates'!$D$9:$D$1008,$I713-8)="","",INDEX('Fleet dates'!$D$9:$D$1008,$I713-8)))</x:f>
      </x:c>
      <x:c r="E713" s="51" t="str">
        <x:f>IF(705&gt;$H$4,"",IF(INDEX('Fleet dates'!$E$9:$E$1008,$I713-8)="","",INDEX('Fleet dates'!$E$9:$E$1008,$I713-8)))</x:f>
      </x:c>
      <x:c r="F713" s="51" t="str">
        <x:f>IF(705&gt;$H$4,"",IF(INDEX('Fleet dates'!$F$9:$F$1008,$I713-8)="","",INDEX('Fleet dates'!$F$9:$F$1008,$I713-8)))</x:f>
      </x:c>
      <x:c r="G713" s="50" t="str">
        <x:f>IF(705&gt;$H$4,"",IF(INDEX('Fleet dates'!$G$9:$G$1008,$I713-8)="","",INDEX('Fleet dates'!$G$9:$G$1008,$I713-8)))</x:f>
      </x:c>
      <x:c r="H713" s="50" t="str">
        <x:f>IF(705&gt;$H$4,"",IF(INDEX('Fleet dates'!$I$9:$I$1008,$I713-8)="","",INDEX('Fleet dates'!$I$9:$I$1008,$I713-8)))</x:f>
      </x:c>
      <x:c r="I713" t="str">
        <x:f>IF(705&gt;$H$4,"",MATCH(705,'Fleet dates'!$N$9:$N$1008,0)+8)</x:f>
      </x:c>
    </x:row>
    <x:row r="714" ht="36" customHeight="1">
      <x:c r="A714" s="50" t="str">
        <x:f>IF(706&gt;$H$4,"",IF(INDEX('Fleet dates'!$A$9:$A$1008,$I714-8)="","",INDEX('Fleet dates'!$A$9:$A$1008,$I714-8)))</x:f>
      </x:c>
      <x:c r="B714" s="50" t="str">
        <x:f>IF(706&gt;$H$4,"",IF(INDEX('Fleet dates'!$B$9:$B$1008,$I714-8)="","",INDEX('Fleet dates'!$B$9:$B$1008,$I714-8)))</x:f>
      </x:c>
      <x:c r="C714" s="51" t="str">
        <x:f>IF(706&gt;$H$4,"",IF(INDEX('Fleet dates'!$C$9:$C$1008,$I714-8)="","",INDEX('Fleet dates'!$C$9:$C$1008,$I714-8)))</x:f>
      </x:c>
      <x:c r="D714" s="51" t="str">
        <x:f>IF(706&gt;$H$4,"",IF(INDEX('Fleet dates'!$D$9:$D$1008,$I714-8)="","",INDEX('Fleet dates'!$D$9:$D$1008,$I714-8)))</x:f>
      </x:c>
      <x:c r="E714" s="51" t="str">
        <x:f>IF(706&gt;$H$4,"",IF(INDEX('Fleet dates'!$E$9:$E$1008,$I714-8)="","",INDEX('Fleet dates'!$E$9:$E$1008,$I714-8)))</x:f>
      </x:c>
      <x:c r="F714" s="51" t="str">
        <x:f>IF(706&gt;$H$4,"",IF(INDEX('Fleet dates'!$F$9:$F$1008,$I714-8)="","",INDEX('Fleet dates'!$F$9:$F$1008,$I714-8)))</x:f>
      </x:c>
      <x:c r="G714" s="50" t="str">
        <x:f>IF(706&gt;$H$4,"",IF(INDEX('Fleet dates'!$G$9:$G$1008,$I714-8)="","",INDEX('Fleet dates'!$G$9:$G$1008,$I714-8)))</x:f>
      </x:c>
      <x:c r="H714" s="50" t="str">
        <x:f>IF(706&gt;$H$4,"",IF(INDEX('Fleet dates'!$I$9:$I$1008,$I714-8)="","",INDEX('Fleet dates'!$I$9:$I$1008,$I714-8)))</x:f>
      </x:c>
      <x:c r="I714" t="str">
        <x:f>IF(706&gt;$H$4,"",MATCH(706,'Fleet dates'!$N$9:$N$1008,0)+8)</x:f>
      </x:c>
    </x:row>
    <x:row r="715" ht="36" customHeight="1">
      <x:c r="A715" s="50" t="str">
        <x:f>IF(707&gt;$H$4,"",IF(INDEX('Fleet dates'!$A$9:$A$1008,$I715-8)="","",INDEX('Fleet dates'!$A$9:$A$1008,$I715-8)))</x:f>
      </x:c>
      <x:c r="B715" s="50" t="str">
        <x:f>IF(707&gt;$H$4,"",IF(INDEX('Fleet dates'!$B$9:$B$1008,$I715-8)="","",INDEX('Fleet dates'!$B$9:$B$1008,$I715-8)))</x:f>
      </x:c>
      <x:c r="C715" s="51" t="str">
        <x:f>IF(707&gt;$H$4,"",IF(INDEX('Fleet dates'!$C$9:$C$1008,$I715-8)="","",INDEX('Fleet dates'!$C$9:$C$1008,$I715-8)))</x:f>
      </x:c>
      <x:c r="D715" s="51" t="str">
        <x:f>IF(707&gt;$H$4,"",IF(INDEX('Fleet dates'!$D$9:$D$1008,$I715-8)="","",INDEX('Fleet dates'!$D$9:$D$1008,$I715-8)))</x:f>
      </x:c>
      <x:c r="E715" s="51" t="str">
        <x:f>IF(707&gt;$H$4,"",IF(INDEX('Fleet dates'!$E$9:$E$1008,$I715-8)="","",INDEX('Fleet dates'!$E$9:$E$1008,$I715-8)))</x:f>
      </x:c>
      <x:c r="F715" s="51" t="str">
        <x:f>IF(707&gt;$H$4,"",IF(INDEX('Fleet dates'!$F$9:$F$1008,$I715-8)="","",INDEX('Fleet dates'!$F$9:$F$1008,$I715-8)))</x:f>
      </x:c>
      <x:c r="G715" s="50" t="str">
        <x:f>IF(707&gt;$H$4,"",IF(INDEX('Fleet dates'!$G$9:$G$1008,$I715-8)="","",INDEX('Fleet dates'!$G$9:$G$1008,$I715-8)))</x:f>
      </x:c>
      <x:c r="H715" s="50" t="str">
        <x:f>IF(707&gt;$H$4,"",IF(INDEX('Fleet dates'!$I$9:$I$1008,$I715-8)="","",INDEX('Fleet dates'!$I$9:$I$1008,$I715-8)))</x:f>
      </x:c>
      <x:c r="I715" t="str">
        <x:f>IF(707&gt;$H$4,"",MATCH(707,'Fleet dates'!$N$9:$N$1008,0)+8)</x:f>
      </x:c>
    </x:row>
    <x:row r="716" ht="36" customHeight="1">
      <x:c r="A716" s="50" t="str">
        <x:f>IF(708&gt;$H$4,"",IF(INDEX('Fleet dates'!$A$9:$A$1008,$I716-8)="","",INDEX('Fleet dates'!$A$9:$A$1008,$I716-8)))</x:f>
      </x:c>
      <x:c r="B716" s="50" t="str">
        <x:f>IF(708&gt;$H$4,"",IF(INDEX('Fleet dates'!$B$9:$B$1008,$I716-8)="","",INDEX('Fleet dates'!$B$9:$B$1008,$I716-8)))</x:f>
      </x:c>
      <x:c r="C716" s="51" t="str">
        <x:f>IF(708&gt;$H$4,"",IF(INDEX('Fleet dates'!$C$9:$C$1008,$I716-8)="","",INDEX('Fleet dates'!$C$9:$C$1008,$I716-8)))</x:f>
      </x:c>
      <x:c r="D716" s="51" t="str">
        <x:f>IF(708&gt;$H$4,"",IF(INDEX('Fleet dates'!$D$9:$D$1008,$I716-8)="","",INDEX('Fleet dates'!$D$9:$D$1008,$I716-8)))</x:f>
      </x:c>
      <x:c r="E716" s="51" t="str">
        <x:f>IF(708&gt;$H$4,"",IF(INDEX('Fleet dates'!$E$9:$E$1008,$I716-8)="","",INDEX('Fleet dates'!$E$9:$E$1008,$I716-8)))</x:f>
      </x:c>
      <x:c r="F716" s="51" t="str">
        <x:f>IF(708&gt;$H$4,"",IF(INDEX('Fleet dates'!$F$9:$F$1008,$I716-8)="","",INDEX('Fleet dates'!$F$9:$F$1008,$I716-8)))</x:f>
      </x:c>
      <x:c r="G716" s="50" t="str">
        <x:f>IF(708&gt;$H$4,"",IF(INDEX('Fleet dates'!$G$9:$G$1008,$I716-8)="","",INDEX('Fleet dates'!$G$9:$G$1008,$I716-8)))</x:f>
      </x:c>
      <x:c r="H716" s="50" t="str">
        <x:f>IF(708&gt;$H$4,"",IF(INDEX('Fleet dates'!$I$9:$I$1008,$I716-8)="","",INDEX('Fleet dates'!$I$9:$I$1008,$I716-8)))</x:f>
      </x:c>
      <x:c r="I716" t="str">
        <x:f>IF(708&gt;$H$4,"",MATCH(708,'Fleet dates'!$N$9:$N$1008,0)+8)</x:f>
      </x:c>
    </x:row>
    <x:row r="717" ht="36" customHeight="1">
      <x:c r="A717" s="50" t="str">
        <x:f>IF(709&gt;$H$4,"",IF(INDEX('Fleet dates'!$A$9:$A$1008,$I717-8)="","",INDEX('Fleet dates'!$A$9:$A$1008,$I717-8)))</x:f>
      </x:c>
      <x:c r="B717" s="50" t="str">
        <x:f>IF(709&gt;$H$4,"",IF(INDEX('Fleet dates'!$B$9:$B$1008,$I717-8)="","",INDEX('Fleet dates'!$B$9:$B$1008,$I717-8)))</x:f>
      </x:c>
      <x:c r="C717" s="51" t="str">
        <x:f>IF(709&gt;$H$4,"",IF(INDEX('Fleet dates'!$C$9:$C$1008,$I717-8)="","",INDEX('Fleet dates'!$C$9:$C$1008,$I717-8)))</x:f>
      </x:c>
      <x:c r="D717" s="51" t="str">
        <x:f>IF(709&gt;$H$4,"",IF(INDEX('Fleet dates'!$D$9:$D$1008,$I717-8)="","",INDEX('Fleet dates'!$D$9:$D$1008,$I717-8)))</x:f>
      </x:c>
      <x:c r="E717" s="51" t="str">
        <x:f>IF(709&gt;$H$4,"",IF(INDEX('Fleet dates'!$E$9:$E$1008,$I717-8)="","",INDEX('Fleet dates'!$E$9:$E$1008,$I717-8)))</x:f>
      </x:c>
      <x:c r="F717" s="51" t="str">
        <x:f>IF(709&gt;$H$4,"",IF(INDEX('Fleet dates'!$F$9:$F$1008,$I717-8)="","",INDEX('Fleet dates'!$F$9:$F$1008,$I717-8)))</x:f>
      </x:c>
      <x:c r="G717" s="50" t="str">
        <x:f>IF(709&gt;$H$4,"",IF(INDEX('Fleet dates'!$G$9:$G$1008,$I717-8)="","",INDEX('Fleet dates'!$G$9:$G$1008,$I717-8)))</x:f>
      </x:c>
      <x:c r="H717" s="50" t="str">
        <x:f>IF(709&gt;$H$4,"",IF(INDEX('Fleet dates'!$I$9:$I$1008,$I717-8)="","",INDEX('Fleet dates'!$I$9:$I$1008,$I717-8)))</x:f>
      </x:c>
      <x:c r="I717" t="str">
        <x:f>IF(709&gt;$H$4,"",MATCH(709,'Fleet dates'!$N$9:$N$1008,0)+8)</x:f>
      </x:c>
    </x:row>
    <x:row r="718" ht="36" customHeight="1">
      <x:c r="A718" s="50" t="str">
        <x:f>IF(710&gt;$H$4,"",IF(INDEX('Fleet dates'!$A$9:$A$1008,$I718-8)="","",INDEX('Fleet dates'!$A$9:$A$1008,$I718-8)))</x:f>
      </x:c>
      <x:c r="B718" s="50" t="str">
        <x:f>IF(710&gt;$H$4,"",IF(INDEX('Fleet dates'!$B$9:$B$1008,$I718-8)="","",INDEX('Fleet dates'!$B$9:$B$1008,$I718-8)))</x:f>
      </x:c>
      <x:c r="C718" s="51" t="str">
        <x:f>IF(710&gt;$H$4,"",IF(INDEX('Fleet dates'!$C$9:$C$1008,$I718-8)="","",INDEX('Fleet dates'!$C$9:$C$1008,$I718-8)))</x:f>
      </x:c>
      <x:c r="D718" s="51" t="str">
        <x:f>IF(710&gt;$H$4,"",IF(INDEX('Fleet dates'!$D$9:$D$1008,$I718-8)="","",INDEX('Fleet dates'!$D$9:$D$1008,$I718-8)))</x:f>
      </x:c>
      <x:c r="E718" s="51" t="str">
        <x:f>IF(710&gt;$H$4,"",IF(INDEX('Fleet dates'!$E$9:$E$1008,$I718-8)="","",INDEX('Fleet dates'!$E$9:$E$1008,$I718-8)))</x:f>
      </x:c>
      <x:c r="F718" s="51" t="str">
        <x:f>IF(710&gt;$H$4,"",IF(INDEX('Fleet dates'!$F$9:$F$1008,$I718-8)="","",INDEX('Fleet dates'!$F$9:$F$1008,$I718-8)))</x:f>
      </x:c>
      <x:c r="G718" s="50" t="str">
        <x:f>IF(710&gt;$H$4,"",IF(INDEX('Fleet dates'!$G$9:$G$1008,$I718-8)="","",INDEX('Fleet dates'!$G$9:$G$1008,$I718-8)))</x:f>
      </x:c>
      <x:c r="H718" s="50" t="str">
        <x:f>IF(710&gt;$H$4,"",IF(INDEX('Fleet dates'!$I$9:$I$1008,$I718-8)="","",INDEX('Fleet dates'!$I$9:$I$1008,$I718-8)))</x:f>
      </x:c>
      <x:c r="I718" t="str">
        <x:f>IF(710&gt;$H$4,"",MATCH(710,'Fleet dates'!$N$9:$N$1008,0)+8)</x:f>
      </x:c>
    </x:row>
    <x:row r="719" ht="36" customHeight="1">
      <x:c r="A719" s="50" t="str">
        <x:f>IF(711&gt;$H$4,"",IF(INDEX('Fleet dates'!$A$9:$A$1008,$I719-8)="","",INDEX('Fleet dates'!$A$9:$A$1008,$I719-8)))</x:f>
      </x:c>
      <x:c r="B719" s="50" t="str">
        <x:f>IF(711&gt;$H$4,"",IF(INDEX('Fleet dates'!$B$9:$B$1008,$I719-8)="","",INDEX('Fleet dates'!$B$9:$B$1008,$I719-8)))</x:f>
      </x:c>
      <x:c r="C719" s="51" t="str">
        <x:f>IF(711&gt;$H$4,"",IF(INDEX('Fleet dates'!$C$9:$C$1008,$I719-8)="","",INDEX('Fleet dates'!$C$9:$C$1008,$I719-8)))</x:f>
      </x:c>
      <x:c r="D719" s="51" t="str">
        <x:f>IF(711&gt;$H$4,"",IF(INDEX('Fleet dates'!$D$9:$D$1008,$I719-8)="","",INDEX('Fleet dates'!$D$9:$D$1008,$I719-8)))</x:f>
      </x:c>
      <x:c r="E719" s="51" t="str">
        <x:f>IF(711&gt;$H$4,"",IF(INDEX('Fleet dates'!$E$9:$E$1008,$I719-8)="","",INDEX('Fleet dates'!$E$9:$E$1008,$I719-8)))</x:f>
      </x:c>
      <x:c r="F719" s="51" t="str">
        <x:f>IF(711&gt;$H$4,"",IF(INDEX('Fleet dates'!$F$9:$F$1008,$I719-8)="","",INDEX('Fleet dates'!$F$9:$F$1008,$I719-8)))</x:f>
      </x:c>
      <x:c r="G719" s="50" t="str">
        <x:f>IF(711&gt;$H$4,"",IF(INDEX('Fleet dates'!$G$9:$G$1008,$I719-8)="","",INDEX('Fleet dates'!$G$9:$G$1008,$I719-8)))</x:f>
      </x:c>
      <x:c r="H719" s="50" t="str">
        <x:f>IF(711&gt;$H$4,"",IF(INDEX('Fleet dates'!$I$9:$I$1008,$I719-8)="","",INDEX('Fleet dates'!$I$9:$I$1008,$I719-8)))</x:f>
      </x:c>
      <x:c r="I719" t="str">
        <x:f>IF(711&gt;$H$4,"",MATCH(711,'Fleet dates'!$N$9:$N$1008,0)+8)</x:f>
      </x:c>
    </x:row>
    <x:row r="720" ht="36" customHeight="1">
      <x:c r="A720" s="50" t="str">
        <x:f>IF(712&gt;$H$4,"",IF(INDEX('Fleet dates'!$A$9:$A$1008,$I720-8)="","",INDEX('Fleet dates'!$A$9:$A$1008,$I720-8)))</x:f>
      </x:c>
      <x:c r="B720" s="50" t="str">
        <x:f>IF(712&gt;$H$4,"",IF(INDEX('Fleet dates'!$B$9:$B$1008,$I720-8)="","",INDEX('Fleet dates'!$B$9:$B$1008,$I720-8)))</x:f>
      </x:c>
      <x:c r="C720" s="51" t="str">
        <x:f>IF(712&gt;$H$4,"",IF(INDEX('Fleet dates'!$C$9:$C$1008,$I720-8)="","",INDEX('Fleet dates'!$C$9:$C$1008,$I720-8)))</x:f>
      </x:c>
      <x:c r="D720" s="51" t="str">
        <x:f>IF(712&gt;$H$4,"",IF(INDEX('Fleet dates'!$D$9:$D$1008,$I720-8)="","",INDEX('Fleet dates'!$D$9:$D$1008,$I720-8)))</x:f>
      </x:c>
      <x:c r="E720" s="51" t="str">
        <x:f>IF(712&gt;$H$4,"",IF(INDEX('Fleet dates'!$E$9:$E$1008,$I720-8)="","",INDEX('Fleet dates'!$E$9:$E$1008,$I720-8)))</x:f>
      </x:c>
      <x:c r="F720" s="51" t="str">
        <x:f>IF(712&gt;$H$4,"",IF(INDEX('Fleet dates'!$F$9:$F$1008,$I720-8)="","",INDEX('Fleet dates'!$F$9:$F$1008,$I720-8)))</x:f>
      </x:c>
      <x:c r="G720" s="50" t="str">
        <x:f>IF(712&gt;$H$4,"",IF(INDEX('Fleet dates'!$G$9:$G$1008,$I720-8)="","",INDEX('Fleet dates'!$G$9:$G$1008,$I720-8)))</x:f>
      </x:c>
      <x:c r="H720" s="50" t="str">
        <x:f>IF(712&gt;$H$4,"",IF(INDEX('Fleet dates'!$I$9:$I$1008,$I720-8)="","",INDEX('Fleet dates'!$I$9:$I$1008,$I720-8)))</x:f>
      </x:c>
      <x:c r="I720" t="str">
        <x:f>IF(712&gt;$H$4,"",MATCH(712,'Fleet dates'!$N$9:$N$1008,0)+8)</x:f>
      </x:c>
    </x:row>
    <x:row r="721" ht="36" customHeight="1">
      <x:c r="A721" s="50" t="str">
        <x:f>IF(713&gt;$H$4,"",IF(INDEX('Fleet dates'!$A$9:$A$1008,$I721-8)="","",INDEX('Fleet dates'!$A$9:$A$1008,$I721-8)))</x:f>
      </x:c>
      <x:c r="B721" s="50" t="str">
        <x:f>IF(713&gt;$H$4,"",IF(INDEX('Fleet dates'!$B$9:$B$1008,$I721-8)="","",INDEX('Fleet dates'!$B$9:$B$1008,$I721-8)))</x:f>
      </x:c>
      <x:c r="C721" s="51" t="str">
        <x:f>IF(713&gt;$H$4,"",IF(INDEX('Fleet dates'!$C$9:$C$1008,$I721-8)="","",INDEX('Fleet dates'!$C$9:$C$1008,$I721-8)))</x:f>
      </x:c>
      <x:c r="D721" s="51" t="str">
        <x:f>IF(713&gt;$H$4,"",IF(INDEX('Fleet dates'!$D$9:$D$1008,$I721-8)="","",INDEX('Fleet dates'!$D$9:$D$1008,$I721-8)))</x:f>
      </x:c>
      <x:c r="E721" s="51" t="str">
        <x:f>IF(713&gt;$H$4,"",IF(INDEX('Fleet dates'!$E$9:$E$1008,$I721-8)="","",INDEX('Fleet dates'!$E$9:$E$1008,$I721-8)))</x:f>
      </x:c>
      <x:c r="F721" s="51" t="str">
        <x:f>IF(713&gt;$H$4,"",IF(INDEX('Fleet dates'!$F$9:$F$1008,$I721-8)="","",INDEX('Fleet dates'!$F$9:$F$1008,$I721-8)))</x:f>
      </x:c>
      <x:c r="G721" s="50" t="str">
        <x:f>IF(713&gt;$H$4,"",IF(INDEX('Fleet dates'!$G$9:$G$1008,$I721-8)="","",INDEX('Fleet dates'!$G$9:$G$1008,$I721-8)))</x:f>
      </x:c>
      <x:c r="H721" s="50" t="str">
        <x:f>IF(713&gt;$H$4,"",IF(INDEX('Fleet dates'!$I$9:$I$1008,$I721-8)="","",INDEX('Fleet dates'!$I$9:$I$1008,$I721-8)))</x:f>
      </x:c>
      <x:c r="I721" t="str">
        <x:f>IF(713&gt;$H$4,"",MATCH(713,'Fleet dates'!$N$9:$N$1008,0)+8)</x:f>
      </x:c>
    </x:row>
    <x:row r="722" ht="36" customHeight="1">
      <x:c r="A722" s="50" t="str">
        <x:f>IF(714&gt;$H$4,"",IF(INDEX('Fleet dates'!$A$9:$A$1008,$I722-8)="","",INDEX('Fleet dates'!$A$9:$A$1008,$I722-8)))</x:f>
      </x:c>
      <x:c r="B722" s="50" t="str">
        <x:f>IF(714&gt;$H$4,"",IF(INDEX('Fleet dates'!$B$9:$B$1008,$I722-8)="","",INDEX('Fleet dates'!$B$9:$B$1008,$I722-8)))</x:f>
      </x:c>
      <x:c r="C722" s="51" t="str">
        <x:f>IF(714&gt;$H$4,"",IF(INDEX('Fleet dates'!$C$9:$C$1008,$I722-8)="","",INDEX('Fleet dates'!$C$9:$C$1008,$I722-8)))</x:f>
      </x:c>
      <x:c r="D722" s="51" t="str">
        <x:f>IF(714&gt;$H$4,"",IF(INDEX('Fleet dates'!$D$9:$D$1008,$I722-8)="","",INDEX('Fleet dates'!$D$9:$D$1008,$I722-8)))</x:f>
      </x:c>
      <x:c r="E722" s="51" t="str">
        <x:f>IF(714&gt;$H$4,"",IF(INDEX('Fleet dates'!$E$9:$E$1008,$I722-8)="","",INDEX('Fleet dates'!$E$9:$E$1008,$I722-8)))</x:f>
      </x:c>
      <x:c r="F722" s="51" t="str">
        <x:f>IF(714&gt;$H$4,"",IF(INDEX('Fleet dates'!$F$9:$F$1008,$I722-8)="","",INDEX('Fleet dates'!$F$9:$F$1008,$I722-8)))</x:f>
      </x:c>
      <x:c r="G722" s="50" t="str">
        <x:f>IF(714&gt;$H$4,"",IF(INDEX('Fleet dates'!$G$9:$G$1008,$I722-8)="","",INDEX('Fleet dates'!$G$9:$G$1008,$I722-8)))</x:f>
      </x:c>
      <x:c r="H722" s="50" t="str">
        <x:f>IF(714&gt;$H$4,"",IF(INDEX('Fleet dates'!$I$9:$I$1008,$I722-8)="","",INDEX('Fleet dates'!$I$9:$I$1008,$I722-8)))</x:f>
      </x:c>
      <x:c r="I722" t="str">
        <x:f>IF(714&gt;$H$4,"",MATCH(714,'Fleet dates'!$N$9:$N$1008,0)+8)</x:f>
      </x:c>
    </x:row>
    <x:row r="723" ht="36" customHeight="1">
      <x:c r="A723" s="50" t="str">
        <x:f>IF(715&gt;$H$4,"",IF(INDEX('Fleet dates'!$A$9:$A$1008,$I723-8)="","",INDEX('Fleet dates'!$A$9:$A$1008,$I723-8)))</x:f>
      </x:c>
      <x:c r="B723" s="50" t="str">
        <x:f>IF(715&gt;$H$4,"",IF(INDEX('Fleet dates'!$B$9:$B$1008,$I723-8)="","",INDEX('Fleet dates'!$B$9:$B$1008,$I723-8)))</x:f>
      </x:c>
      <x:c r="C723" s="51" t="str">
        <x:f>IF(715&gt;$H$4,"",IF(INDEX('Fleet dates'!$C$9:$C$1008,$I723-8)="","",INDEX('Fleet dates'!$C$9:$C$1008,$I723-8)))</x:f>
      </x:c>
      <x:c r="D723" s="51" t="str">
        <x:f>IF(715&gt;$H$4,"",IF(INDEX('Fleet dates'!$D$9:$D$1008,$I723-8)="","",INDEX('Fleet dates'!$D$9:$D$1008,$I723-8)))</x:f>
      </x:c>
      <x:c r="E723" s="51" t="str">
        <x:f>IF(715&gt;$H$4,"",IF(INDEX('Fleet dates'!$E$9:$E$1008,$I723-8)="","",INDEX('Fleet dates'!$E$9:$E$1008,$I723-8)))</x:f>
      </x:c>
      <x:c r="F723" s="51" t="str">
        <x:f>IF(715&gt;$H$4,"",IF(INDEX('Fleet dates'!$F$9:$F$1008,$I723-8)="","",INDEX('Fleet dates'!$F$9:$F$1008,$I723-8)))</x:f>
      </x:c>
      <x:c r="G723" s="50" t="str">
        <x:f>IF(715&gt;$H$4,"",IF(INDEX('Fleet dates'!$G$9:$G$1008,$I723-8)="","",INDEX('Fleet dates'!$G$9:$G$1008,$I723-8)))</x:f>
      </x:c>
      <x:c r="H723" s="50" t="str">
        <x:f>IF(715&gt;$H$4,"",IF(INDEX('Fleet dates'!$I$9:$I$1008,$I723-8)="","",INDEX('Fleet dates'!$I$9:$I$1008,$I723-8)))</x:f>
      </x:c>
      <x:c r="I723" t="str">
        <x:f>IF(715&gt;$H$4,"",MATCH(715,'Fleet dates'!$N$9:$N$1008,0)+8)</x:f>
      </x:c>
    </x:row>
    <x:row r="724" ht="36" customHeight="1">
      <x:c r="A724" s="50" t="str">
        <x:f>IF(716&gt;$H$4,"",IF(INDEX('Fleet dates'!$A$9:$A$1008,$I724-8)="","",INDEX('Fleet dates'!$A$9:$A$1008,$I724-8)))</x:f>
      </x:c>
      <x:c r="B724" s="50" t="str">
        <x:f>IF(716&gt;$H$4,"",IF(INDEX('Fleet dates'!$B$9:$B$1008,$I724-8)="","",INDEX('Fleet dates'!$B$9:$B$1008,$I724-8)))</x:f>
      </x:c>
      <x:c r="C724" s="51" t="str">
        <x:f>IF(716&gt;$H$4,"",IF(INDEX('Fleet dates'!$C$9:$C$1008,$I724-8)="","",INDEX('Fleet dates'!$C$9:$C$1008,$I724-8)))</x:f>
      </x:c>
      <x:c r="D724" s="51" t="str">
        <x:f>IF(716&gt;$H$4,"",IF(INDEX('Fleet dates'!$D$9:$D$1008,$I724-8)="","",INDEX('Fleet dates'!$D$9:$D$1008,$I724-8)))</x:f>
      </x:c>
      <x:c r="E724" s="51" t="str">
        <x:f>IF(716&gt;$H$4,"",IF(INDEX('Fleet dates'!$E$9:$E$1008,$I724-8)="","",INDEX('Fleet dates'!$E$9:$E$1008,$I724-8)))</x:f>
      </x:c>
      <x:c r="F724" s="51" t="str">
        <x:f>IF(716&gt;$H$4,"",IF(INDEX('Fleet dates'!$F$9:$F$1008,$I724-8)="","",INDEX('Fleet dates'!$F$9:$F$1008,$I724-8)))</x:f>
      </x:c>
      <x:c r="G724" s="50" t="str">
        <x:f>IF(716&gt;$H$4,"",IF(INDEX('Fleet dates'!$G$9:$G$1008,$I724-8)="","",INDEX('Fleet dates'!$G$9:$G$1008,$I724-8)))</x:f>
      </x:c>
      <x:c r="H724" s="50" t="str">
        <x:f>IF(716&gt;$H$4,"",IF(INDEX('Fleet dates'!$I$9:$I$1008,$I724-8)="","",INDEX('Fleet dates'!$I$9:$I$1008,$I724-8)))</x:f>
      </x:c>
      <x:c r="I724" t="str">
        <x:f>IF(716&gt;$H$4,"",MATCH(716,'Fleet dates'!$N$9:$N$1008,0)+8)</x:f>
      </x:c>
    </x:row>
    <x:row r="725" ht="36" customHeight="1">
      <x:c r="A725" s="50" t="str">
        <x:f>IF(717&gt;$H$4,"",IF(INDEX('Fleet dates'!$A$9:$A$1008,$I725-8)="","",INDEX('Fleet dates'!$A$9:$A$1008,$I725-8)))</x:f>
      </x:c>
      <x:c r="B725" s="50" t="str">
        <x:f>IF(717&gt;$H$4,"",IF(INDEX('Fleet dates'!$B$9:$B$1008,$I725-8)="","",INDEX('Fleet dates'!$B$9:$B$1008,$I725-8)))</x:f>
      </x:c>
      <x:c r="C725" s="51" t="str">
        <x:f>IF(717&gt;$H$4,"",IF(INDEX('Fleet dates'!$C$9:$C$1008,$I725-8)="","",INDEX('Fleet dates'!$C$9:$C$1008,$I725-8)))</x:f>
      </x:c>
      <x:c r="D725" s="51" t="str">
        <x:f>IF(717&gt;$H$4,"",IF(INDEX('Fleet dates'!$D$9:$D$1008,$I725-8)="","",INDEX('Fleet dates'!$D$9:$D$1008,$I725-8)))</x:f>
      </x:c>
      <x:c r="E725" s="51" t="str">
        <x:f>IF(717&gt;$H$4,"",IF(INDEX('Fleet dates'!$E$9:$E$1008,$I725-8)="","",INDEX('Fleet dates'!$E$9:$E$1008,$I725-8)))</x:f>
      </x:c>
      <x:c r="F725" s="51" t="str">
        <x:f>IF(717&gt;$H$4,"",IF(INDEX('Fleet dates'!$F$9:$F$1008,$I725-8)="","",INDEX('Fleet dates'!$F$9:$F$1008,$I725-8)))</x:f>
      </x:c>
      <x:c r="G725" s="50" t="str">
        <x:f>IF(717&gt;$H$4,"",IF(INDEX('Fleet dates'!$G$9:$G$1008,$I725-8)="","",INDEX('Fleet dates'!$G$9:$G$1008,$I725-8)))</x:f>
      </x:c>
      <x:c r="H725" s="50" t="str">
        <x:f>IF(717&gt;$H$4,"",IF(INDEX('Fleet dates'!$I$9:$I$1008,$I725-8)="","",INDEX('Fleet dates'!$I$9:$I$1008,$I725-8)))</x:f>
      </x:c>
      <x:c r="I725" t="str">
        <x:f>IF(717&gt;$H$4,"",MATCH(717,'Fleet dates'!$N$9:$N$1008,0)+8)</x:f>
      </x:c>
    </x:row>
    <x:row r="726" ht="36" customHeight="1">
      <x:c r="A726" s="50" t="str">
        <x:f>IF(718&gt;$H$4,"",IF(INDEX('Fleet dates'!$A$9:$A$1008,$I726-8)="","",INDEX('Fleet dates'!$A$9:$A$1008,$I726-8)))</x:f>
      </x:c>
      <x:c r="B726" s="50" t="str">
        <x:f>IF(718&gt;$H$4,"",IF(INDEX('Fleet dates'!$B$9:$B$1008,$I726-8)="","",INDEX('Fleet dates'!$B$9:$B$1008,$I726-8)))</x:f>
      </x:c>
      <x:c r="C726" s="51" t="str">
        <x:f>IF(718&gt;$H$4,"",IF(INDEX('Fleet dates'!$C$9:$C$1008,$I726-8)="","",INDEX('Fleet dates'!$C$9:$C$1008,$I726-8)))</x:f>
      </x:c>
      <x:c r="D726" s="51" t="str">
        <x:f>IF(718&gt;$H$4,"",IF(INDEX('Fleet dates'!$D$9:$D$1008,$I726-8)="","",INDEX('Fleet dates'!$D$9:$D$1008,$I726-8)))</x:f>
      </x:c>
      <x:c r="E726" s="51" t="str">
        <x:f>IF(718&gt;$H$4,"",IF(INDEX('Fleet dates'!$E$9:$E$1008,$I726-8)="","",INDEX('Fleet dates'!$E$9:$E$1008,$I726-8)))</x:f>
      </x:c>
      <x:c r="F726" s="51" t="str">
        <x:f>IF(718&gt;$H$4,"",IF(INDEX('Fleet dates'!$F$9:$F$1008,$I726-8)="","",INDEX('Fleet dates'!$F$9:$F$1008,$I726-8)))</x:f>
      </x:c>
      <x:c r="G726" s="50" t="str">
        <x:f>IF(718&gt;$H$4,"",IF(INDEX('Fleet dates'!$G$9:$G$1008,$I726-8)="","",INDEX('Fleet dates'!$G$9:$G$1008,$I726-8)))</x:f>
      </x:c>
      <x:c r="H726" s="50" t="str">
        <x:f>IF(718&gt;$H$4,"",IF(INDEX('Fleet dates'!$I$9:$I$1008,$I726-8)="","",INDEX('Fleet dates'!$I$9:$I$1008,$I726-8)))</x:f>
      </x:c>
      <x:c r="I726" t="str">
        <x:f>IF(718&gt;$H$4,"",MATCH(718,'Fleet dates'!$N$9:$N$1008,0)+8)</x:f>
      </x:c>
    </x:row>
    <x:row r="727" ht="36" customHeight="1">
      <x:c r="A727" s="50" t="str">
        <x:f>IF(719&gt;$H$4,"",IF(INDEX('Fleet dates'!$A$9:$A$1008,$I727-8)="","",INDEX('Fleet dates'!$A$9:$A$1008,$I727-8)))</x:f>
      </x:c>
      <x:c r="B727" s="50" t="str">
        <x:f>IF(719&gt;$H$4,"",IF(INDEX('Fleet dates'!$B$9:$B$1008,$I727-8)="","",INDEX('Fleet dates'!$B$9:$B$1008,$I727-8)))</x:f>
      </x:c>
      <x:c r="C727" s="51" t="str">
        <x:f>IF(719&gt;$H$4,"",IF(INDEX('Fleet dates'!$C$9:$C$1008,$I727-8)="","",INDEX('Fleet dates'!$C$9:$C$1008,$I727-8)))</x:f>
      </x:c>
      <x:c r="D727" s="51" t="str">
        <x:f>IF(719&gt;$H$4,"",IF(INDEX('Fleet dates'!$D$9:$D$1008,$I727-8)="","",INDEX('Fleet dates'!$D$9:$D$1008,$I727-8)))</x:f>
      </x:c>
      <x:c r="E727" s="51" t="str">
        <x:f>IF(719&gt;$H$4,"",IF(INDEX('Fleet dates'!$E$9:$E$1008,$I727-8)="","",INDEX('Fleet dates'!$E$9:$E$1008,$I727-8)))</x:f>
      </x:c>
      <x:c r="F727" s="51" t="str">
        <x:f>IF(719&gt;$H$4,"",IF(INDEX('Fleet dates'!$F$9:$F$1008,$I727-8)="","",INDEX('Fleet dates'!$F$9:$F$1008,$I727-8)))</x:f>
      </x:c>
      <x:c r="G727" s="50" t="str">
        <x:f>IF(719&gt;$H$4,"",IF(INDEX('Fleet dates'!$G$9:$G$1008,$I727-8)="","",INDEX('Fleet dates'!$G$9:$G$1008,$I727-8)))</x:f>
      </x:c>
      <x:c r="H727" s="50" t="str">
        <x:f>IF(719&gt;$H$4,"",IF(INDEX('Fleet dates'!$I$9:$I$1008,$I727-8)="","",INDEX('Fleet dates'!$I$9:$I$1008,$I727-8)))</x:f>
      </x:c>
      <x:c r="I727" t="str">
        <x:f>IF(719&gt;$H$4,"",MATCH(719,'Fleet dates'!$N$9:$N$1008,0)+8)</x:f>
      </x:c>
    </x:row>
    <x:row r="728" ht="36" customHeight="1">
      <x:c r="A728" s="50" t="str">
        <x:f>IF(720&gt;$H$4,"",IF(INDEX('Fleet dates'!$A$9:$A$1008,$I728-8)="","",INDEX('Fleet dates'!$A$9:$A$1008,$I728-8)))</x:f>
      </x:c>
      <x:c r="B728" s="50" t="str">
        <x:f>IF(720&gt;$H$4,"",IF(INDEX('Fleet dates'!$B$9:$B$1008,$I728-8)="","",INDEX('Fleet dates'!$B$9:$B$1008,$I728-8)))</x:f>
      </x:c>
      <x:c r="C728" s="51" t="str">
        <x:f>IF(720&gt;$H$4,"",IF(INDEX('Fleet dates'!$C$9:$C$1008,$I728-8)="","",INDEX('Fleet dates'!$C$9:$C$1008,$I728-8)))</x:f>
      </x:c>
      <x:c r="D728" s="51" t="str">
        <x:f>IF(720&gt;$H$4,"",IF(INDEX('Fleet dates'!$D$9:$D$1008,$I728-8)="","",INDEX('Fleet dates'!$D$9:$D$1008,$I728-8)))</x:f>
      </x:c>
      <x:c r="E728" s="51" t="str">
        <x:f>IF(720&gt;$H$4,"",IF(INDEX('Fleet dates'!$E$9:$E$1008,$I728-8)="","",INDEX('Fleet dates'!$E$9:$E$1008,$I728-8)))</x:f>
      </x:c>
      <x:c r="F728" s="51" t="str">
        <x:f>IF(720&gt;$H$4,"",IF(INDEX('Fleet dates'!$F$9:$F$1008,$I728-8)="","",INDEX('Fleet dates'!$F$9:$F$1008,$I728-8)))</x:f>
      </x:c>
      <x:c r="G728" s="50" t="str">
        <x:f>IF(720&gt;$H$4,"",IF(INDEX('Fleet dates'!$G$9:$G$1008,$I728-8)="","",INDEX('Fleet dates'!$G$9:$G$1008,$I728-8)))</x:f>
      </x:c>
      <x:c r="H728" s="50" t="str">
        <x:f>IF(720&gt;$H$4,"",IF(INDEX('Fleet dates'!$I$9:$I$1008,$I728-8)="","",INDEX('Fleet dates'!$I$9:$I$1008,$I728-8)))</x:f>
      </x:c>
      <x:c r="I728" t="str">
        <x:f>IF(720&gt;$H$4,"",MATCH(720,'Fleet dates'!$N$9:$N$1008,0)+8)</x:f>
      </x:c>
    </x:row>
    <x:row r="729" ht="36" customHeight="1">
      <x:c r="A729" s="50" t="str">
        <x:f>IF(721&gt;$H$4,"",IF(INDEX('Fleet dates'!$A$9:$A$1008,$I729-8)="","",INDEX('Fleet dates'!$A$9:$A$1008,$I729-8)))</x:f>
      </x:c>
      <x:c r="B729" s="50" t="str">
        <x:f>IF(721&gt;$H$4,"",IF(INDEX('Fleet dates'!$B$9:$B$1008,$I729-8)="","",INDEX('Fleet dates'!$B$9:$B$1008,$I729-8)))</x:f>
      </x:c>
      <x:c r="C729" s="51" t="str">
        <x:f>IF(721&gt;$H$4,"",IF(INDEX('Fleet dates'!$C$9:$C$1008,$I729-8)="","",INDEX('Fleet dates'!$C$9:$C$1008,$I729-8)))</x:f>
      </x:c>
      <x:c r="D729" s="51" t="str">
        <x:f>IF(721&gt;$H$4,"",IF(INDEX('Fleet dates'!$D$9:$D$1008,$I729-8)="","",INDEX('Fleet dates'!$D$9:$D$1008,$I729-8)))</x:f>
      </x:c>
      <x:c r="E729" s="51" t="str">
        <x:f>IF(721&gt;$H$4,"",IF(INDEX('Fleet dates'!$E$9:$E$1008,$I729-8)="","",INDEX('Fleet dates'!$E$9:$E$1008,$I729-8)))</x:f>
      </x:c>
      <x:c r="F729" s="51" t="str">
        <x:f>IF(721&gt;$H$4,"",IF(INDEX('Fleet dates'!$F$9:$F$1008,$I729-8)="","",INDEX('Fleet dates'!$F$9:$F$1008,$I729-8)))</x:f>
      </x:c>
      <x:c r="G729" s="50" t="str">
        <x:f>IF(721&gt;$H$4,"",IF(INDEX('Fleet dates'!$G$9:$G$1008,$I729-8)="","",INDEX('Fleet dates'!$G$9:$G$1008,$I729-8)))</x:f>
      </x:c>
      <x:c r="H729" s="50" t="str">
        <x:f>IF(721&gt;$H$4,"",IF(INDEX('Fleet dates'!$I$9:$I$1008,$I729-8)="","",INDEX('Fleet dates'!$I$9:$I$1008,$I729-8)))</x:f>
      </x:c>
      <x:c r="I729" t="str">
        <x:f>IF(721&gt;$H$4,"",MATCH(721,'Fleet dates'!$N$9:$N$1008,0)+8)</x:f>
      </x:c>
    </x:row>
    <x:row r="730" ht="36" customHeight="1">
      <x:c r="A730" s="50" t="str">
        <x:f>IF(722&gt;$H$4,"",IF(INDEX('Fleet dates'!$A$9:$A$1008,$I730-8)="","",INDEX('Fleet dates'!$A$9:$A$1008,$I730-8)))</x:f>
      </x:c>
      <x:c r="B730" s="50" t="str">
        <x:f>IF(722&gt;$H$4,"",IF(INDEX('Fleet dates'!$B$9:$B$1008,$I730-8)="","",INDEX('Fleet dates'!$B$9:$B$1008,$I730-8)))</x:f>
      </x:c>
      <x:c r="C730" s="51" t="str">
        <x:f>IF(722&gt;$H$4,"",IF(INDEX('Fleet dates'!$C$9:$C$1008,$I730-8)="","",INDEX('Fleet dates'!$C$9:$C$1008,$I730-8)))</x:f>
      </x:c>
      <x:c r="D730" s="51" t="str">
        <x:f>IF(722&gt;$H$4,"",IF(INDEX('Fleet dates'!$D$9:$D$1008,$I730-8)="","",INDEX('Fleet dates'!$D$9:$D$1008,$I730-8)))</x:f>
      </x:c>
      <x:c r="E730" s="51" t="str">
        <x:f>IF(722&gt;$H$4,"",IF(INDEX('Fleet dates'!$E$9:$E$1008,$I730-8)="","",INDEX('Fleet dates'!$E$9:$E$1008,$I730-8)))</x:f>
      </x:c>
      <x:c r="F730" s="51" t="str">
        <x:f>IF(722&gt;$H$4,"",IF(INDEX('Fleet dates'!$F$9:$F$1008,$I730-8)="","",INDEX('Fleet dates'!$F$9:$F$1008,$I730-8)))</x:f>
      </x:c>
      <x:c r="G730" s="50" t="str">
        <x:f>IF(722&gt;$H$4,"",IF(INDEX('Fleet dates'!$G$9:$G$1008,$I730-8)="","",INDEX('Fleet dates'!$G$9:$G$1008,$I730-8)))</x:f>
      </x:c>
      <x:c r="H730" s="50" t="str">
        <x:f>IF(722&gt;$H$4,"",IF(INDEX('Fleet dates'!$I$9:$I$1008,$I730-8)="","",INDEX('Fleet dates'!$I$9:$I$1008,$I730-8)))</x:f>
      </x:c>
      <x:c r="I730" t="str">
        <x:f>IF(722&gt;$H$4,"",MATCH(722,'Fleet dates'!$N$9:$N$1008,0)+8)</x:f>
      </x:c>
    </x:row>
    <x:row r="731" ht="36" customHeight="1">
      <x:c r="A731" s="50" t="str">
        <x:f>IF(723&gt;$H$4,"",IF(INDEX('Fleet dates'!$A$9:$A$1008,$I731-8)="","",INDEX('Fleet dates'!$A$9:$A$1008,$I731-8)))</x:f>
      </x:c>
      <x:c r="B731" s="50" t="str">
        <x:f>IF(723&gt;$H$4,"",IF(INDEX('Fleet dates'!$B$9:$B$1008,$I731-8)="","",INDEX('Fleet dates'!$B$9:$B$1008,$I731-8)))</x:f>
      </x:c>
      <x:c r="C731" s="51" t="str">
        <x:f>IF(723&gt;$H$4,"",IF(INDEX('Fleet dates'!$C$9:$C$1008,$I731-8)="","",INDEX('Fleet dates'!$C$9:$C$1008,$I731-8)))</x:f>
      </x:c>
      <x:c r="D731" s="51" t="str">
        <x:f>IF(723&gt;$H$4,"",IF(INDEX('Fleet dates'!$D$9:$D$1008,$I731-8)="","",INDEX('Fleet dates'!$D$9:$D$1008,$I731-8)))</x:f>
      </x:c>
      <x:c r="E731" s="51" t="str">
        <x:f>IF(723&gt;$H$4,"",IF(INDEX('Fleet dates'!$E$9:$E$1008,$I731-8)="","",INDEX('Fleet dates'!$E$9:$E$1008,$I731-8)))</x:f>
      </x:c>
      <x:c r="F731" s="51" t="str">
        <x:f>IF(723&gt;$H$4,"",IF(INDEX('Fleet dates'!$F$9:$F$1008,$I731-8)="","",INDEX('Fleet dates'!$F$9:$F$1008,$I731-8)))</x:f>
      </x:c>
      <x:c r="G731" s="50" t="str">
        <x:f>IF(723&gt;$H$4,"",IF(INDEX('Fleet dates'!$G$9:$G$1008,$I731-8)="","",INDEX('Fleet dates'!$G$9:$G$1008,$I731-8)))</x:f>
      </x:c>
      <x:c r="H731" s="50" t="str">
        <x:f>IF(723&gt;$H$4,"",IF(INDEX('Fleet dates'!$I$9:$I$1008,$I731-8)="","",INDEX('Fleet dates'!$I$9:$I$1008,$I731-8)))</x:f>
      </x:c>
      <x:c r="I731" t="str">
        <x:f>IF(723&gt;$H$4,"",MATCH(723,'Fleet dates'!$N$9:$N$1008,0)+8)</x:f>
      </x:c>
    </x:row>
    <x:row r="732" ht="36" customHeight="1">
      <x:c r="A732" s="50" t="str">
        <x:f>IF(724&gt;$H$4,"",IF(INDEX('Fleet dates'!$A$9:$A$1008,$I732-8)="","",INDEX('Fleet dates'!$A$9:$A$1008,$I732-8)))</x:f>
      </x:c>
      <x:c r="B732" s="50" t="str">
        <x:f>IF(724&gt;$H$4,"",IF(INDEX('Fleet dates'!$B$9:$B$1008,$I732-8)="","",INDEX('Fleet dates'!$B$9:$B$1008,$I732-8)))</x:f>
      </x:c>
      <x:c r="C732" s="51" t="str">
        <x:f>IF(724&gt;$H$4,"",IF(INDEX('Fleet dates'!$C$9:$C$1008,$I732-8)="","",INDEX('Fleet dates'!$C$9:$C$1008,$I732-8)))</x:f>
      </x:c>
      <x:c r="D732" s="51" t="str">
        <x:f>IF(724&gt;$H$4,"",IF(INDEX('Fleet dates'!$D$9:$D$1008,$I732-8)="","",INDEX('Fleet dates'!$D$9:$D$1008,$I732-8)))</x:f>
      </x:c>
      <x:c r="E732" s="51" t="str">
        <x:f>IF(724&gt;$H$4,"",IF(INDEX('Fleet dates'!$E$9:$E$1008,$I732-8)="","",INDEX('Fleet dates'!$E$9:$E$1008,$I732-8)))</x:f>
      </x:c>
      <x:c r="F732" s="51" t="str">
        <x:f>IF(724&gt;$H$4,"",IF(INDEX('Fleet dates'!$F$9:$F$1008,$I732-8)="","",INDEX('Fleet dates'!$F$9:$F$1008,$I732-8)))</x:f>
      </x:c>
      <x:c r="G732" s="50" t="str">
        <x:f>IF(724&gt;$H$4,"",IF(INDEX('Fleet dates'!$G$9:$G$1008,$I732-8)="","",INDEX('Fleet dates'!$G$9:$G$1008,$I732-8)))</x:f>
      </x:c>
      <x:c r="H732" s="50" t="str">
        <x:f>IF(724&gt;$H$4,"",IF(INDEX('Fleet dates'!$I$9:$I$1008,$I732-8)="","",INDEX('Fleet dates'!$I$9:$I$1008,$I732-8)))</x:f>
      </x:c>
      <x:c r="I732" t="str">
        <x:f>IF(724&gt;$H$4,"",MATCH(724,'Fleet dates'!$N$9:$N$1008,0)+8)</x:f>
      </x:c>
    </x:row>
    <x:row r="733" ht="36" customHeight="1">
      <x:c r="A733" s="50" t="str">
        <x:f>IF(725&gt;$H$4,"",IF(INDEX('Fleet dates'!$A$9:$A$1008,$I733-8)="","",INDEX('Fleet dates'!$A$9:$A$1008,$I733-8)))</x:f>
      </x:c>
      <x:c r="B733" s="50" t="str">
        <x:f>IF(725&gt;$H$4,"",IF(INDEX('Fleet dates'!$B$9:$B$1008,$I733-8)="","",INDEX('Fleet dates'!$B$9:$B$1008,$I733-8)))</x:f>
      </x:c>
      <x:c r="C733" s="51" t="str">
        <x:f>IF(725&gt;$H$4,"",IF(INDEX('Fleet dates'!$C$9:$C$1008,$I733-8)="","",INDEX('Fleet dates'!$C$9:$C$1008,$I733-8)))</x:f>
      </x:c>
      <x:c r="D733" s="51" t="str">
        <x:f>IF(725&gt;$H$4,"",IF(INDEX('Fleet dates'!$D$9:$D$1008,$I733-8)="","",INDEX('Fleet dates'!$D$9:$D$1008,$I733-8)))</x:f>
      </x:c>
      <x:c r="E733" s="51" t="str">
        <x:f>IF(725&gt;$H$4,"",IF(INDEX('Fleet dates'!$E$9:$E$1008,$I733-8)="","",INDEX('Fleet dates'!$E$9:$E$1008,$I733-8)))</x:f>
      </x:c>
      <x:c r="F733" s="51" t="str">
        <x:f>IF(725&gt;$H$4,"",IF(INDEX('Fleet dates'!$F$9:$F$1008,$I733-8)="","",INDEX('Fleet dates'!$F$9:$F$1008,$I733-8)))</x:f>
      </x:c>
      <x:c r="G733" s="50" t="str">
        <x:f>IF(725&gt;$H$4,"",IF(INDEX('Fleet dates'!$G$9:$G$1008,$I733-8)="","",INDEX('Fleet dates'!$G$9:$G$1008,$I733-8)))</x:f>
      </x:c>
      <x:c r="H733" s="50" t="str">
        <x:f>IF(725&gt;$H$4,"",IF(INDEX('Fleet dates'!$I$9:$I$1008,$I733-8)="","",INDEX('Fleet dates'!$I$9:$I$1008,$I733-8)))</x:f>
      </x:c>
      <x:c r="I733" t="str">
        <x:f>IF(725&gt;$H$4,"",MATCH(725,'Fleet dates'!$N$9:$N$1008,0)+8)</x:f>
      </x:c>
    </x:row>
    <x:row r="734" ht="36" customHeight="1">
      <x:c r="A734" s="50" t="str">
        <x:f>IF(726&gt;$H$4,"",IF(INDEX('Fleet dates'!$A$9:$A$1008,$I734-8)="","",INDEX('Fleet dates'!$A$9:$A$1008,$I734-8)))</x:f>
      </x:c>
      <x:c r="B734" s="50" t="str">
        <x:f>IF(726&gt;$H$4,"",IF(INDEX('Fleet dates'!$B$9:$B$1008,$I734-8)="","",INDEX('Fleet dates'!$B$9:$B$1008,$I734-8)))</x:f>
      </x:c>
      <x:c r="C734" s="51" t="str">
        <x:f>IF(726&gt;$H$4,"",IF(INDEX('Fleet dates'!$C$9:$C$1008,$I734-8)="","",INDEX('Fleet dates'!$C$9:$C$1008,$I734-8)))</x:f>
      </x:c>
      <x:c r="D734" s="51" t="str">
        <x:f>IF(726&gt;$H$4,"",IF(INDEX('Fleet dates'!$D$9:$D$1008,$I734-8)="","",INDEX('Fleet dates'!$D$9:$D$1008,$I734-8)))</x:f>
      </x:c>
      <x:c r="E734" s="51" t="str">
        <x:f>IF(726&gt;$H$4,"",IF(INDEX('Fleet dates'!$E$9:$E$1008,$I734-8)="","",INDEX('Fleet dates'!$E$9:$E$1008,$I734-8)))</x:f>
      </x:c>
      <x:c r="F734" s="51" t="str">
        <x:f>IF(726&gt;$H$4,"",IF(INDEX('Fleet dates'!$F$9:$F$1008,$I734-8)="","",INDEX('Fleet dates'!$F$9:$F$1008,$I734-8)))</x:f>
      </x:c>
      <x:c r="G734" s="50" t="str">
        <x:f>IF(726&gt;$H$4,"",IF(INDEX('Fleet dates'!$G$9:$G$1008,$I734-8)="","",INDEX('Fleet dates'!$G$9:$G$1008,$I734-8)))</x:f>
      </x:c>
      <x:c r="H734" s="50" t="str">
        <x:f>IF(726&gt;$H$4,"",IF(INDEX('Fleet dates'!$I$9:$I$1008,$I734-8)="","",INDEX('Fleet dates'!$I$9:$I$1008,$I734-8)))</x:f>
      </x:c>
      <x:c r="I734" t="str">
        <x:f>IF(726&gt;$H$4,"",MATCH(726,'Fleet dates'!$N$9:$N$1008,0)+8)</x:f>
      </x:c>
    </x:row>
    <x:row r="735" ht="36" customHeight="1">
      <x:c r="A735" s="50" t="str">
        <x:f>IF(727&gt;$H$4,"",IF(INDEX('Fleet dates'!$A$9:$A$1008,$I735-8)="","",INDEX('Fleet dates'!$A$9:$A$1008,$I735-8)))</x:f>
      </x:c>
      <x:c r="B735" s="50" t="str">
        <x:f>IF(727&gt;$H$4,"",IF(INDEX('Fleet dates'!$B$9:$B$1008,$I735-8)="","",INDEX('Fleet dates'!$B$9:$B$1008,$I735-8)))</x:f>
      </x:c>
      <x:c r="C735" s="51" t="str">
        <x:f>IF(727&gt;$H$4,"",IF(INDEX('Fleet dates'!$C$9:$C$1008,$I735-8)="","",INDEX('Fleet dates'!$C$9:$C$1008,$I735-8)))</x:f>
      </x:c>
      <x:c r="D735" s="51" t="str">
        <x:f>IF(727&gt;$H$4,"",IF(INDEX('Fleet dates'!$D$9:$D$1008,$I735-8)="","",INDEX('Fleet dates'!$D$9:$D$1008,$I735-8)))</x:f>
      </x:c>
      <x:c r="E735" s="51" t="str">
        <x:f>IF(727&gt;$H$4,"",IF(INDEX('Fleet dates'!$E$9:$E$1008,$I735-8)="","",INDEX('Fleet dates'!$E$9:$E$1008,$I735-8)))</x:f>
      </x:c>
      <x:c r="F735" s="51" t="str">
        <x:f>IF(727&gt;$H$4,"",IF(INDEX('Fleet dates'!$F$9:$F$1008,$I735-8)="","",INDEX('Fleet dates'!$F$9:$F$1008,$I735-8)))</x:f>
      </x:c>
      <x:c r="G735" s="50" t="str">
        <x:f>IF(727&gt;$H$4,"",IF(INDEX('Fleet dates'!$G$9:$G$1008,$I735-8)="","",INDEX('Fleet dates'!$G$9:$G$1008,$I735-8)))</x:f>
      </x:c>
      <x:c r="H735" s="50" t="str">
        <x:f>IF(727&gt;$H$4,"",IF(INDEX('Fleet dates'!$I$9:$I$1008,$I735-8)="","",INDEX('Fleet dates'!$I$9:$I$1008,$I735-8)))</x:f>
      </x:c>
      <x:c r="I735" t="str">
        <x:f>IF(727&gt;$H$4,"",MATCH(727,'Fleet dates'!$N$9:$N$1008,0)+8)</x:f>
      </x:c>
    </x:row>
    <x:row r="736" ht="36" customHeight="1">
      <x:c r="A736" s="50" t="str">
        <x:f>IF(728&gt;$H$4,"",IF(INDEX('Fleet dates'!$A$9:$A$1008,$I736-8)="","",INDEX('Fleet dates'!$A$9:$A$1008,$I736-8)))</x:f>
      </x:c>
      <x:c r="B736" s="50" t="str">
        <x:f>IF(728&gt;$H$4,"",IF(INDEX('Fleet dates'!$B$9:$B$1008,$I736-8)="","",INDEX('Fleet dates'!$B$9:$B$1008,$I736-8)))</x:f>
      </x:c>
      <x:c r="C736" s="51" t="str">
        <x:f>IF(728&gt;$H$4,"",IF(INDEX('Fleet dates'!$C$9:$C$1008,$I736-8)="","",INDEX('Fleet dates'!$C$9:$C$1008,$I736-8)))</x:f>
      </x:c>
      <x:c r="D736" s="51" t="str">
        <x:f>IF(728&gt;$H$4,"",IF(INDEX('Fleet dates'!$D$9:$D$1008,$I736-8)="","",INDEX('Fleet dates'!$D$9:$D$1008,$I736-8)))</x:f>
      </x:c>
      <x:c r="E736" s="51" t="str">
        <x:f>IF(728&gt;$H$4,"",IF(INDEX('Fleet dates'!$E$9:$E$1008,$I736-8)="","",INDEX('Fleet dates'!$E$9:$E$1008,$I736-8)))</x:f>
      </x:c>
      <x:c r="F736" s="51" t="str">
        <x:f>IF(728&gt;$H$4,"",IF(INDEX('Fleet dates'!$F$9:$F$1008,$I736-8)="","",INDEX('Fleet dates'!$F$9:$F$1008,$I736-8)))</x:f>
      </x:c>
      <x:c r="G736" s="50" t="str">
        <x:f>IF(728&gt;$H$4,"",IF(INDEX('Fleet dates'!$G$9:$G$1008,$I736-8)="","",INDEX('Fleet dates'!$G$9:$G$1008,$I736-8)))</x:f>
      </x:c>
      <x:c r="H736" s="50" t="str">
        <x:f>IF(728&gt;$H$4,"",IF(INDEX('Fleet dates'!$I$9:$I$1008,$I736-8)="","",INDEX('Fleet dates'!$I$9:$I$1008,$I736-8)))</x:f>
      </x:c>
      <x:c r="I736" t="str">
        <x:f>IF(728&gt;$H$4,"",MATCH(728,'Fleet dates'!$N$9:$N$1008,0)+8)</x:f>
      </x:c>
    </x:row>
    <x:row r="737" ht="36" customHeight="1">
      <x:c r="A737" s="50" t="str">
        <x:f>IF(729&gt;$H$4,"",IF(INDEX('Fleet dates'!$A$9:$A$1008,$I737-8)="","",INDEX('Fleet dates'!$A$9:$A$1008,$I737-8)))</x:f>
      </x:c>
      <x:c r="B737" s="50" t="str">
        <x:f>IF(729&gt;$H$4,"",IF(INDEX('Fleet dates'!$B$9:$B$1008,$I737-8)="","",INDEX('Fleet dates'!$B$9:$B$1008,$I737-8)))</x:f>
      </x:c>
      <x:c r="C737" s="51" t="str">
        <x:f>IF(729&gt;$H$4,"",IF(INDEX('Fleet dates'!$C$9:$C$1008,$I737-8)="","",INDEX('Fleet dates'!$C$9:$C$1008,$I737-8)))</x:f>
      </x:c>
      <x:c r="D737" s="51" t="str">
        <x:f>IF(729&gt;$H$4,"",IF(INDEX('Fleet dates'!$D$9:$D$1008,$I737-8)="","",INDEX('Fleet dates'!$D$9:$D$1008,$I737-8)))</x:f>
      </x:c>
      <x:c r="E737" s="51" t="str">
        <x:f>IF(729&gt;$H$4,"",IF(INDEX('Fleet dates'!$E$9:$E$1008,$I737-8)="","",INDEX('Fleet dates'!$E$9:$E$1008,$I737-8)))</x:f>
      </x:c>
      <x:c r="F737" s="51" t="str">
        <x:f>IF(729&gt;$H$4,"",IF(INDEX('Fleet dates'!$F$9:$F$1008,$I737-8)="","",INDEX('Fleet dates'!$F$9:$F$1008,$I737-8)))</x:f>
      </x:c>
      <x:c r="G737" s="50" t="str">
        <x:f>IF(729&gt;$H$4,"",IF(INDEX('Fleet dates'!$G$9:$G$1008,$I737-8)="","",INDEX('Fleet dates'!$G$9:$G$1008,$I737-8)))</x:f>
      </x:c>
      <x:c r="H737" s="50" t="str">
        <x:f>IF(729&gt;$H$4,"",IF(INDEX('Fleet dates'!$I$9:$I$1008,$I737-8)="","",INDEX('Fleet dates'!$I$9:$I$1008,$I737-8)))</x:f>
      </x:c>
      <x:c r="I737" t="str">
        <x:f>IF(729&gt;$H$4,"",MATCH(729,'Fleet dates'!$N$9:$N$1008,0)+8)</x:f>
      </x:c>
    </x:row>
    <x:row r="738" ht="36" customHeight="1">
      <x:c r="A738" s="50" t="str">
        <x:f>IF(730&gt;$H$4,"",IF(INDEX('Fleet dates'!$A$9:$A$1008,$I738-8)="","",INDEX('Fleet dates'!$A$9:$A$1008,$I738-8)))</x:f>
      </x:c>
      <x:c r="B738" s="50" t="str">
        <x:f>IF(730&gt;$H$4,"",IF(INDEX('Fleet dates'!$B$9:$B$1008,$I738-8)="","",INDEX('Fleet dates'!$B$9:$B$1008,$I738-8)))</x:f>
      </x:c>
      <x:c r="C738" s="51" t="str">
        <x:f>IF(730&gt;$H$4,"",IF(INDEX('Fleet dates'!$C$9:$C$1008,$I738-8)="","",INDEX('Fleet dates'!$C$9:$C$1008,$I738-8)))</x:f>
      </x:c>
      <x:c r="D738" s="51" t="str">
        <x:f>IF(730&gt;$H$4,"",IF(INDEX('Fleet dates'!$D$9:$D$1008,$I738-8)="","",INDEX('Fleet dates'!$D$9:$D$1008,$I738-8)))</x:f>
      </x:c>
      <x:c r="E738" s="51" t="str">
        <x:f>IF(730&gt;$H$4,"",IF(INDEX('Fleet dates'!$E$9:$E$1008,$I738-8)="","",INDEX('Fleet dates'!$E$9:$E$1008,$I738-8)))</x:f>
      </x:c>
      <x:c r="F738" s="51" t="str">
        <x:f>IF(730&gt;$H$4,"",IF(INDEX('Fleet dates'!$F$9:$F$1008,$I738-8)="","",INDEX('Fleet dates'!$F$9:$F$1008,$I738-8)))</x:f>
      </x:c>
      <x:c r="G738" s="50" t="str">
        <x:f>IF(730&gt;$H$4,"",IF(INDEX('Fleet dates'!$G$9:$G$1008,$I738-8)="","",INDEX('Fleet dates'!$G$9:$G$1008,$I738-8)))</x:f>
      </x:c>
      <x:c r="H738" s="50" t="str">
        <x:f>IF(730&gt;$H$4,"",IF(INDEX('Fleet dates'!$I$9:$I$1008,$I738-8)="","",INDEX('Fleet dates'!$I$9:$I$1008,$I738-8)))</x:f>
      </x:c>
      <x:c r="I738" t="str">
        <x:f>IF(730&gt;$H$4,"",MATCH(730,'Fleet dates'!$N$9:$N$1008,0)+8)</x:f>
      </x:c>
    </x:row>
    <x:row r="739" ht="36" customHeight="1">
      <x:c r="A739" s="50" t="str">
        <x:f>IF(731&gt;$H$4,"",IF(INDEX('Fleet dates'!$A$9:$A$1008,$I739-8)="","",INDEX('Fleet dates'!$A$9:$A$1008,$I739-8)))</x:f>
      </x:c>
      <x:c r="B739" s="50" t="str">
        <x:f>IF(731&gt;$H$4,"",IF(INDEX('Fleet dates'!$B$9:$B$1008,$I739-8)="","",INDEX('Fleet dates'!$B$9:$B$1008,$I739-8)))</x:f>
      </x:c>
      <x:c r="C739" s="51" t="str">
        <x:f>IF(731&gt;$H$4,"",IF(INDEX('Fleet dates'!$C$9:$C$1008,$I739-8)="","",INDEX('Fleet dates'!$C$9:$C$1008,$I739-8)))</x:f>
      </x:c>
      <x:c r="D739" s="51" t="str">
        <x:f>IF(731&gt;$H$4,"",IF(INDEX('Fleet dates'!$D$9:$D$1008,$I739-8)="","",INDEX('Fleet dates'!$D$9:$D$1008,$I739-8)))</x:f>
      </x:c>
      <x:c r="E739" s="51" t="str">
        <x:f>IF(731&gt;$H$4,"",IF(INDEX('Fleet dates'!$E$9:$E$1008,$I739-8)="","",INDEX('Fleet dates'!$E$9:$E$1008,$I739-8)))</x:f>
      </x:c>
      <x:c r="F739" s="51" t="str">
        <x:f>IF(731&gt;$H$4,"",IF(INDEX('Fleet dates'!$F$9:$F$1008,$I739-8)="","",INDEX('Fleet dates'!$F$9:$F$1008,$I739-8)))</x:f>
      </x:c>
      <x:c r="G739" s="50" t="str">
        <x:f>IF(731&gt;$H$4,"",IF(INDEX('Fleet dates'!$G$9:$G$1008,$I739-8)="","",INDEX('Fleet dates'!$G$9:$G$1008,$I739-8)))</x:f>
      </x:c>
      <x:c r="H739" s="50" t="str">
        <x:f>IF(731&gt;$H$4,"",IF(INDEX('Fleet dates'!$I$9:$I$1008,$I739-8)="","",INDEX('Fleet dates'!$I$9:$I$1008,$I739-8)))</x:f>
      </x:c>
      <x:c r="I739" t="str">
        <x:f>IF(731&gt;$H$4,"",MATCH(731,'Fleet dates'!$N$9:$N$1008,0)+8)</x:f>
      </x:c>
    </x:row>
    <x:row r="740" ht="36" customHeight="1">
      <x:c r="A740" s="50" t="str">
        <x:f>IF(732&gt;$H$4,"",IF(INDEX('Fleet dates'!$A$9:$A$1008,$I740-8)="","",INDEX('Fleet dates'!$A$9:$A$1008,$I740-8)))</x:f>
      </x:c>
      <x:c r="B740" s="50" t="str">
        <x:f>IF(732&gt;$H$4,"",IF(INDEX('Fleet dates'!$B$9:$B$1008,$I740-8)="","",INDEX('Fleet dates'!$B$9:$B$1008,$I740-8)))</x:f>
      </x:c>
      <x:c r="C740" s="51" t="str">
        <x:f>IF(732&gt;$H$4,"",IF(INDEX('Fleet dates'!$C$9:$C$1008,$I740-8)="","",INDEX('Fleet dates'!$C$9:$C$1008,$I740-8)))</x:f>
      </x:c>
      <x:c r="D740" s="51" t="str">
        <x:f>IF(732&gt;$H$4,"",IF(INDEX('Fleet dates'!$D$9:$D$1008,$I740-8)="","",INDEX('Fleet dates'!$D$9:$D$1008,$I740-8)))</x:f>
      </x:c>
      <x:c r="E740" s="51" t="str">
        <x:f>IF(732&gt;$H$4,"",IF(INDEX('Fleet dates'!$E$9:$E$1008,$I740-8)="","",INDEX('Fleet dates'!$E$9:$E$1008,$I740-8)))</x:f>
      </x:c>
      <x:c r="F740" s="51" t="str">
        <x:f>IF(732&gt;$H$4,"",IF(INDEX('Fleet dates'!$F$9:$F$1008,$I740-8)="","",INDEX('Fleet dates'!$F$9:$F$1008,$I740-8)))</x:f>
      </x:c>
      <x:c r="G740" s="50" t="str">
        <x:f>IF(732&gt;$H$4,"",IF(INDEX('Fleet dates'!$G$9:$G$1008,$I740-8)="","",INDEX('Fleet dates'!$G$9:$G$1008,$I740-8)))</x:f>
      </x:c>
      <x:c r="H740" s="50" t="str">
        <x:f>IF(732&gt;$H$4,"",IF(INDEX('Fleet dates'!$I$9:$I$1008,$I740-8)="","",INDEX('Fleet dates'!$I$9:$I$1008,$I740-8)))</x:f>
      </x:c>
      <x:c r="I740" t="str">
        <x:f>IF(732&gt;$H$4,"",MATCH(732,'Fleet dates'!$N$9:$N$1008,0)+8)</x:f>
      </x:c>
    </x:row>
    <x:row r="741" ht="36" customHeight="1">
      <x:c r="A741" s="50" t="str">
        <x:f>IF(733&gt;$H$4,"",IF(INDEX('Fleet dates'!$A$9:$A$1008,$I741-8)="","",INDEX('Fleet dates'!$A$9:$A$1008,$I741-8)))</x:f>
      </x:c>
      <x:c r="B741" s="50" t="str">
        <x:f>IF(733&gt;$H$4,"",IF(INDEX('Fleet dates'!$B$9:$B$1008,$I741-8)="","",INDEX('Fleet dates'!$B$9:$B$1008,$I741-8)))</x:f>
      </x:c>
      <x:c r="C741" s="51" t="str">
        <x:f>IF(733&gt;$H$4,"",IF(INDEX('Fleet dates'!$C$9:$C$1008,$I741-8)="","",INDEX('Fleet dates'!$C$9:$C$1008,$I741-8)))</x:f>
      </x:c>
      <x:c r="D741" s="51" t="str">
        <x:f>IF(733&gt;$H$4,"",IF(INDEX('Fleet dates'!$D$9:$D$1008,$I741-8)="","",INDEX('Fleet dates'!$D$9:$D$1008,$I741-8)))</x:f>
      </x:c>
      <x:c r="E741" s="51" t="str">
        <x:f>IF(733&gt;$H$4,"",IF(INDEX('Fleet dates'!$E$9:$E$1008,$I741-8)="","",INDEX('Fleet dates'!$E$9:$E$1008,$I741-8)))</x:f>
      </x:c>
      <x:c r="F741" s="51" t="str">
        <x:f>IF(733&gt;$H$4,"",IF(INDEX('Fleet dates'!$F$9:$F$1008,$I741-8)="","",INDEX('Fleet dates'!$F$9:$F$1008,$I741-8)))</x:f>
      </x:c>
      <x:c r="G741" s="50" t="str">
        <x:f>IF(733&gt;$H$4,"",IF(INDEX('Fleet dates'!$G$9:$G$1008,$I741-8)="","",INDEX('Fleet dates'!$G$9:$G$1008,$I741-8)))</x:f>
      </x:c>
      <x:c r="H741" s="50" t="str">
        <x:f>IF(733&gt;$H$4,"",IF(INDEX('Fleet dates'!$I$9:$I$1008,$I741-8)="","",INDEX('Fleet dates'!$I$9:$I$1008,$I741-8)))</x:f>
      </x:c>
      <x:c r="I741" t="str">
        <x:f>IF(733&gt;$H$4,"",MATCH(733,'Fleet dates'!$N$9:$N$1008,0)+8)</x:f>
      </x:c>
    </x:row>
    <x:row r="742" ht="36" customHeight="1">
      <x:c r="A742" s="50" t="str">
        <x:f>IF(734&gt;$H$4,"",IF(INDEX('Fleet dates'!$A$9:$A$1008,$I742-8)="","",INDEX('Fleet dates'!$A$9:$A$1008,$I742-8)))</x:f>
      </x:c>
      <x:c r="B742" s="50" t="str">
        <x:f>IF(734&gt;$H$4,"",IF(INDEX('Fleet dates'!$B$9:$B$1008,$I742-8)="","",INDEX('Fleet dates'!$B$9:$B$1008,$I742-8)))</x:f>
      </x:c>
      <x:c r="C742" s="51" t="str">
        <x:f>IF(734&gt;$H$4,"",IF(INDEX('Fleet dates'!$C$9:$C$1008,$I742-8)="","",INDEX('Fleet dates'!$C$9:$C$1008,$I742-8)))</x:f>
      </x:c>
      <x:c r="D742" s="51" t="str">
        <x:f>IF(734&gt;$H$4,"",IF(INDEX('Fleet dates'!$D$9:$D$1008,$I742-8)="","",INDEX('Fleet dates'!$D$9:$D$1008,$I742-8)))</x:f>
      </x:c>
      <x:c r="E742" s="51" t="str">
        <x:f>IF(734&gt;$H$4,"",IF(INDEX('Fleet dates'!$E$9:$E$1008,$I742-8)="","",INDEX('Fleet dates'!$E$9:$E$1008,$I742-8)))</x:f>
      </x:c>
      <x:c r="F742" s="51" t="str">
        <x:f>IF(734&gt;$H$4,"",IF(INDEX('Fleet dates'!$F$9:$F$1008,$I742-8)="","",INDEX('Fleet dates'!$F$9:$F$1008,$I742-8)))</x:f>
      </x:c>
      <x:c r="G742" s="50" t="str">
        <x:f>IF(734&gt;$H$4,"",IF(INDEX('Fleet dates'!$G$9:$G$1008,$I742-8)="","",INDEX('Fleet dates'!$G$9:$G$1008,$I742-8)))</x:f>
      </x:c>
      <x:c r="H742" s="50" t="str">
        <x:f>IF(734&gt;$H$4,"",IF(INDEX('Fleet dates'!$I$9:$I$1008,$I742-8)="","",INDEX('Fleet dates'!$I$9:$I$1008,$I742-8)))</x:f>
      </x:c>
      <x:c r="I742" t="str">
        <x:f>IF(734&gt;$H$4,"",MATCH(734,'Fleet dates'!$N$9:$N$1008,0)+8)</x:f>
      </x:c>
    </x:row>
    <x:row r="743" ht="36" customHeight="1">
      <x:c r="A743" s="50" t="str">
        <x:f>IF(735&gt;$H$4,"",IF(INDEX('Fleet dates'!$A$9:$A$1008,$I743-8)="","",INDEX('Fleet dates'!$A$9:$A$1008,$I743-8)))</x:f>
      </x:c>
      <x:c r="B743" s="50" t="str">
        <x:f>IF(735&gt;$H$4,"",IF(INDEX('Fleet dates'!$B$9:$B$1008,$I743-8)="","",INDEX('Fleet dates'!$B$9:$B$1008,$I743-8)))</x:f>
      </x:c>
      <x:c r="C743" s="51" t="str">
        <x:f>IF(735&gt;$H$4,"",IF(INDEX('Fleet dates'!$C$9:$C$1008,$I743-8)="","",INDEX('Fleet dates'!$C$9:$C$1008,$I743-8)))</x:f>
      </x:c>
      <x:c r="D743" s="51" t="str">
        <x:f>IF(735&gt;$H$4,"",IF(INDEX('Fleet dates'!$D$9:$D$1008,$I743-8)="","",INDEX('Fleet dates'!$D$9:$D$1008,$I743-8)))</x:f>
      </x:c>
      <x:c r="E743" s="51" t="str">
        <x:f>IF(735&gt;$H$4,"",IF(INDEX('Fleet dates'!$E$9:$E$1008,$I743-8)="","",INDEX('Fleet dates'!$E$9:$E$1008,$I743-8)))</x:f>
      </x:c>
      <x:c r="F743" s="51" t="str">
        <x:f>IF(735&gt;$H$4,"",IF(INDEX('Fleet dates'!$F$9:$F$1008,$I743-8)="","",INDEX('Fleet dates'!$F$9:$F$1008,$I743-8)))</x:f>
      </x:c>
      <x:c r="G743" s="50" t="str">
        <x:f>IF(735&gt;$H$4,"",IF(INDEX('Fleet dates'!$G$9:$G$1008,$I743-8)="","",INDEX('Fleet dates'!$G$9:$G$1008,$I743-8)))</x:f>
      </x:c>
      <x:c r="H743" s="50" t="str">
        <x:f>IF(735&gt;$H$4,"",IF(INDEX('Fleet dates'!$I$9:$I$1008,$I743-8)="","",INDEX('Fleet dates'!$I$9:$I$1008,$I743-8)))</x:f>
      </x:c>
      <x:c r="I743" t="str">
        <x:f>IF(735&gt;$H$4,"",MATCH(735,'Fleet dates'!$N$9:$N$1008,0)+8)</x:f>
      </x:c>
    </x:row>
    <x:row r="744" ht="36" customHeight="1">
      <x:c r="A744" s="50" t="str">
        <x:f>IF(736&gt;$H$4,"",IF(INDEX('Fleet dates'!$A$9:$A$1008,$I744-8)="","",INDEX('Fleet dates'!$A$9:$A$1008,$I744-8)))</x:f>
      </x:c>
      <x:c r="B744" s="50" t="str">
        <x:f>IF(736&gt;$H$4,"",IF(INDEX('Fleet dates'!$B$9:$B$1008,$I744-8)="","",INDEX('Fleet dates'!$B$9:$B$1008,$I744-8)))</x:f>
      </x:c>
      <x:c r="C744" s="51" t="str">
        <x:f>IF(736&gt;$H$4,"",IF(INDEX('Fleet dates'!$C$9:$C$1008,$I744-8)="","",INDEX('Fleet dates'!$C$9:$C$1008,$I744-8)))</x:f>
      </x:c>
      <x:c r="D744" s="51" t="str">
        <x:f>IF(736&gt;$H$4,"",IF(INDEX('Fleet dates'!$D$9:$D$1008,$I744-8)="","",INDEX('Fleet dates'!$D$9:$D$1008,$I744-8)))</x:f>
      </x:c>
      <x:c r="E744" s="51" t="str">
        <x:f>IF(736&gt;$H$4,"",IF(INDEX('Fleet dates'!$E$9:$E$1008,$I744-8)="","",INDEX('Fleet dates'!$E$9:$E$1008,$I744-8)))</x:f>
      </x:c>
      <x:c r="F744" s="51" t="str">
        <x:f>IF(736&gt;$H$4,"",IF(INDEX('Fleet dates'!$F$9:$F$1008,$I744-8)="","",INDEX('Fleet dates'!$F$9:$F$1008,$I744-8)))</x:f>
      </x:c>
      <x:c r="G744" s="50" t="str">
        <x:f>IF(736&gt;$H$4,"",IF(INDEX('Fleet dates'!$G$9:$G$1008,$I744-8)="","",INDEX('Fleet dates'!$G$9:$G$1008,$I744-8)))</x:f>
      </x:c>
      <x:c r="H744" s="50" t="str">
        <x:f>IF(736&gt;$H$4,"",IF(INDEX('Fleet dates'!$I$9:$I$1008,$I744-8)="","",INDEX('Fleet dates'!$I$9:$I$1008,$I744-8)))</x:f>
      </x:c>
      <x:c r="I744" t="str">
        <x:f>IF(736&gt;$H$4,"",MATCH(736,'Fleet dates'!$N$9:$N$1008,0)+8)</x:f>
      </x:c>
    </x:row>
    <x:row r="745" ht="36" customHeight="1">
      <x:c r="A745" s="50" t="str">
        <x:f>IF(737&gt;$H$4,"",IF(INDEX('Fleet dates'!$A$9:$A$1008,$I745-8)="","",INDEX('Fleet dates'!$A$9:$A$1008,$I745-8)))</x:f>
      </x:c>
      <x:c r="B745" s="50" t="str">
        <x:f>IF(737&gt;$H$4,"",IF(INDEX('Fleet dates'!$B$9:$B$1008,$I745-8)="","",INDEX('Fleet dates'!$B$9:$B$1008,$I745-8)))</x:f>
      </x:c>
      <x:c r="C745" s="51" t="str">
        <x:f>IF(737&gt;$H$4,"",IF(INDEX('Fleet dates'!$C$9:$C$1008,$I745-8)="","",INDEX('Fleet dates'!$C$9:$C$1008,$I745-8)))</x:f>
      </x:c>
      <x:c r="D745" s="51" t="str">
        <x:f>IF(737&gt;$H$4,"",IF(INDEX('Fleet dates'!$D$9:$D$1008,$I745-8)="","",INDEX('Fleet dates'!$D$9:$D$1008,$I745-8)))</x:f>
      </x:c>
      <x:c r="E745" s="51" t="str">
        <x:f>IF(737&gt;$H$4,"",IF(INDEX('Fleet dates'!$E$9:$E$1008,$I745-8)="","",INDEX('Fleet dates'!$E$9:$E$1008,$I745-8)))</x:f>
      </x:c>
      <x:c r="F745" s="51" t="str">
        <x:f>IF(737&gt;$H$4,"",IF(INDEX('Fleet dates'!$F$9:$F$1008,$I745-8)="","",INDEX('Fleet dates'!$F$9:$F$1008,$I745-8)))</x:f>
      </x:c>
      <x:c r="G745" s="50" t="str">
        <x:f>IF(737&gt;$H$4,"",IF(INDEX('Fleet dates'!$G$9:$G$1008,$I745-8)="","",INDEX('Fleet dates'!$G$9:$G$1008,$I745-8)))</x:f>
      </x:c>
      <x:c r="H745" s="50" t="str">
        <x:f>IF(737&gt;$H$4,"",IF(INDEX('Fleet dates'!$I$9:$I$1008,$I745-8)="","",INDEX('Fleet dates'!$I$9:$I$1008,$I745-8)))</x:f>
      </x:c>
      <x:c r="I745" t="str">
        <x:f>IF(737&gt;$H$4,"",MATCH(737,'Fleet dates'!$N$9:$N$1008,0)+8)</x:f>
      </x:c>
    </x:row>
    <x:row r="746" ht="36" customHeight="1">
      <x:c r="A746" s="50" t="str">
        <x:f>IF(738&gt;$H$4,"",IF(INDEX('Fleet dates'!$A$9:$A$1008,$I746-8)="","",INDEX('Fleet dates'!$A$9:$A$1008,$I746-8)))</x:f>
      </x:c>
      <x:c r="B746" s="50" t="str">
        <x:f>IF(738&gt;$H$4,"",IF(INDEX('Fleet dates'!$B$9:$B$1008,$I746-8)="","",INDEX('Fleet dates'!$B$9:$B$1008,$I746-8)))</x:f>
      </x:c>
      <x:c r="C746" s="51" t="str">
        <x:f>IF(738&gt;$H$4,"",IF(INDEX('Fleet dates'!$C$9:$C$1008,$I746-8)="","",INDEX('Fleet dates'!$C$9:$C$1008,$I746-8)))</x:f>
      </x:c>
      <x:c r="D746" s="51" t="str">
        <x:f>IF(738&gt;$H$4,"",IF(INDEX('Fleet dates'!$D$9:$D$1008,$I746-8)="","",INDEX('Fleet dates'!$D$9:$D$1008,$I746-8)))</x:f>
      </x:c>
      <x:c r="E746" s="51" t="str">
        <x:f>IF(738&gt;$H$4,"",IF(INDEX('Fleet dates'!$E$9:$E$1008,$I746-8)="","",INDEX('Fleet dates'!$E$9:$E$1008,$I746-8)))</x:f>
      </x:c>
      <x:c r="F746" s="51" t="str">
        <x:f>IF(738&gt;$H$4,"",IF(INDEX('Fleet dates'!$F$9:$F$1008,$I746-8)="","",INDEX('Fleet dates'!$F$9:$F$1008,$I746-8)))</x:f>
      </x:c>
      <x:c r="G746" s="50" t="str">
        <x:f>IF(738&gt;$H$4,"",IF(INDEX('Fleet dates'!$G$9:$G$1008,$I746-8)="","",INDEX('Fleet dates'!$G$9:$G$1008,$I746-8)))</x:f>
      </x:c>
      <x:c r="H746" s="50" t="str">
        <x:f>IF(738&gt;$H$4,"",IF(INDEX('Fleet dates'!$I$9:$I$1008,$I746-8)="","",INDEX('Fleet dates'!$I$9:$I$1008,$I746-8)))</x:f>
      </x:c>
      <x:c r="I746" t="str">
        <x:f>IF(738&gt;$H$4,"",MATCH(738,'Fleet dates'!$N$9:$N$1008,0)+8)</x:f>
      </x:c>
    </x:row>
    <x:row r="747" ht="36" customHeight="1">
      <x:c r="A747" s="50" t="str">
        <x:f>IF(739&gt;$H$4,"",IF(INDEX('Fleet dates'!$A$9:$A$1008,$I747-8)="","",INDEX('Fleet dates'!$A$9:$A$1008,$I747-8)))</x:f>
      </x:c>
      <x:c r="B747" s="50" t="str">
        <x:f>IF(739&gt;$H$4,"",IF(INDEX('Fleet dates'!$B$9:$B$1008,$I747-8)="","",INDEX('Fleet dates'!$B$9:$B$1008,$I747-8)))</x:f>
      </x:c>
      <x:c r="C747" s="51" t="str">
        <x:f>IF(739&gt;$H$4,"",IF(INDEX('Fleet dates'!$C$9:$C$1008,$I747-8)="","",INDEX('Fleet dates'!$C$9:$C$1008,$I747-8)))</x:f>
      </x:c>
      <x:c r="D747" s="51" t="str">
        <x:f>IF(739&gt;$H$4,"",IF(INDEX('Fleet dates'!$D$9:$D$1008,$I747-8)="","",INDEX('Fleet dates'!$D$9:$D$1008,$I747-8)))</x:f>
      </x:c>
      <x:c r="E747" s="51" t="str">
        <x:f>IF(739&gt;$H$4,"",IF(INDEX('Fleet dates'!$E$9:$E$1008,$I747-8)="","",INDEX('Fleet dates'!$E$9:$E$1008,$I747-8)))</x:f>
      </x:c>
      <x:c r="F747" s="51" t="str">
        <x:f>IF(739&gt;$H$4,"",IF(INDEX('Fleet dates'!$F$9:$F$1008,$I747-8)="","",INDEX('Fleet dates'!$F$9:$F$1008,$I747-8)))</x:f>
      </x:c>
      <x:c r="G747" s="50" t="str">
        <x:f>IF(739&gt;$H$4,"",IF(INDEX('Fleet dates'!$G$9:$G$1008,$I747-8)="","",INDEX('Fleet dates'!$G$9:$G$1008,$I747-8)))</x:f>
      </x:c>
      <x:c r="H747" s="50" t="str">
        <x:f>IF(739&gt;$H$4,"",IF(INDEX('Fleet dates'!$I$9:$I$1008,$I747-8)="","",INDEX('Fleet dates'!$I$9:$I$1008,$I747-8)))</x:f>
      </x:c>
      <x:c r="I747" t="str">
        <x:f>IF(739&gt;$H$4,"",MATCH(739,'Fleet dates'!$N$9:$N$1008,0)+8)</x:f>
      </x:c>
    </x:row>
    <x:row r="748" ht="36" customHeight="1">
      <x:c r="A748" s="50" t="str">
        <x:f>IF(740&gt;$H$4,"",IF(INDEX('Fleet dates'!$A$9:$A$1008,$I748-8)="","",INDEX('Fleet dates'!$A$9:$A$1008,$I748-8)))</x:f>
      </x:c>
      <x:c r="B748" s="50" t="str">
        <x:f>IF(740&gt;$H$4,"",IF(INDEX('Fleet dates'!$B$9:$B$1008,$I748-8)="","",INDEX('Fleet dates'!$B$9:$B$1008,$I748-8)))</x:f>
      </x:c>
      <x:c r="C748" s="51" t="str">
        <x:f>IF(740&gt;$H$4,"",IF(INDEX('Fleet dates'!$C$9:$C$1008,$I748-8)="","",INDEX('Fleet dates'!$C$9:$C$1008,$I748-8)))</x:f>
      </x:c>
      <x:c r="D748" s="51" t="str">
        <x:f>IF(740&gt;$H$4,"",IF(INDEX('Fleet dates'!$D$9:$D$1008,$I748-8)="","",INDEX('Fleet dates'!$D$9:$D$1008,$I748-8)))</x:f>
      </x:c>
      <x:c r="E748" s="51" t="str">
        <x:f>IF(740&gt;$H$4,"",IF(INDEX('Fleet dates'!$E$9:$E$1008,$I748-8)="","",INDEX('Fleet dates'!$E$9:$E$1008,$I748-8)))</x:f>
      </x:c>
      <x:c r="F748" s="51" t="str">
        <x:f>IF(740&gt;$H$4,"",IF(INDEX('Fleet dates'!$F$9:$F$1008,$I748-8)="","",INDEX('Fleet dates'!$F$9:$F$1008,$I748-8)))</x:f>
      </x:c>
      <x:c r="G748" s="50" t="str">
        <x:f>IF(740&gt;$H$4,"",IF(INDEX('Fleet dates'!$G$9:$G$1008,$I748-8)="","",INDEX('Fleet dates'!$G$9:$G$1008,$I748-8)))</x:f>
      </x:c>
      <x:c r="H748" s="50" t="str">
        <x:f>IF(740&gt;$H$4,"",IF(INDEX('Fleet dates'!$I$9:$I$1008,$I748-8)="","",INDEX('Fleet dates'!$I$9:$I$1008,$I748-8)))</x:f>
      </x:c>
      <x:c r="I748" t="str">
        <x:f>IF(740&gt;$H$4,"",MATCH(740,'Fleet dates'!$N$9:$N$1008,0)+8)</x:f>
      </x:c>
    </x:row>
    <x:row r="749" ht="36" customHeight="1">
      <x:c r="A749" s="50" t="str">
        <x:f>IF(741&gt;$H$4,"",IF(INDEX('Fleet dates'!$A$9:$A$1008,$I749-8)="","",INDEX('Fleet dates'!$A$9:$A$1008,$I749-8)))</x:f>
      </x:c>
      <x:c r="B749" s="50" t="str">
        <x:f>IF(741&gt;$H$4,"",IF(INDEX('Fleet dates'!$B$9:$B$1008,$I749-8)="","",INDEX('Fleet dates'!$B$9:$B$1008,$I749-8)))</x:f>
      </x:c>
      <x:c r="C749" s="51" t="str">
        <x:f>IF(741&gt;$H$4,"",IF(INDEX('Fleet dates'!$C$9:$C$1008,$I749-8)="","",INDEX('Fleet dates'!$C$9:$C$1008,$I749-8)))</x:f>
      </x:c>
      <x:c r="D749" s="51" t="str">
        <x:f>IF(741&gt;$H$4,"",IF(INDEX('Fleet dates'!$D$9:$D$1008,$I749-8)="","",INDEX('Fleet dates'!$D$9:$D$1008,$I749-8)))</x:f>
      </x:c>
      <x:c r="E749" s="51" t="str">
        <x:f>IF(741&gt;$H$4,"",IF(INDEX('Fleet dates'!$E$9:$E$1008,$I749-8)="","",INDEX('Fleet dates'!$E$9:$E$1008,$I749-8)))</x:f>
      </x:c>
      <x:c r="F749" s="51" t="str">
        <x:f>IF(741&gt;$H$4,"",IF(INDEX('Fleet dates'!$F$9:$F$1008,$I749-8)="","",INDEX('Fleet dates'!$F$9:$F$1008,$I749-8)))</x:f>
      </x:c>
      <x:c r="G749" s="50" t="str">
        <x:f>IF(741&gt;$H$4,"",IF(INDEX('Fleet dates'!$G$9:$G$1008,$I749-8)="","",INDEX('Fleet dates'!$G$9:$G$1008,$I749-8)))</x:f>
      </x:c>
      <x:c r="H749" s="50" t="str">
        <x:f>IF(741&gt;$H$4,"",IF(INDEX('Fleet dates'!$I$9:$I$1008,$I749-8)="","",INDEX('Fleet dates'!$I$9:$I$1008,$I749-8)))</x:f>
      </x:c>
      <x:c r="I749" t="str">
        <x:f>IF(741&gt;$H$4,"",MATCH(741,'Fleet dates'!$N$9:$N$1008,0)+8)</x:f>
      </x:c>
    </x:row>
    <x:row r="750" ht="36" customHeight="1">
      <x:c r="A750" s="50" t="str">
        <x:f>IF(742&gt;$H$4,"",IF(INDEX('Fleet dates'!$A$9:$A$1008,$I750-8)="","",INDEX('Fleet dates'!$A$9:$A$1008,$I750-8)))</x:f>
      </x:c>
      <x:c r="B750" s="50" t="str">
        <x:f>IF(742&gt;$H$4,"",IF(INDEX('Fleet dates'!$B$9:$B$1008,$I750-8)="","",INDEX('Fleet dates'!$B$9:$B$1008,$I750-8)))</x:f>
      </x:c>
      <x:c r="C750" s="51" t="str">
        <x:f>IF(742&gt;$H$4,"",IF(INDEX('Fleet dates'!$C$9:$C$1008,$I750-8)="","",INDEX('Fleet dates'!$C$9:$C$1008,$I750-8)))</x:f>
      </x:c>
      <x:c r="D750" s="51" t="str">
        <x:f>IF(742&gt;$H$4,"",IF(INDEX('Fleet dates'!$D$9:$D$1008,$I750-8)="","",INDEX('Fleet dates'!$D$9:$D$1008,$I750-8)))</x:f>
      </x:c>
      <x:c r="E750" s="51" t="str">
        <x:f>IF(742&gt;$H$4,"",IF(INDEX('Fleet dates'!$E$9:$E$1008,$I750-8)="","",INDEX('Fleet dates'!$E$9:$E$1008,$I750-8)))</x:f>
      </x:c>
      <x:c r="F750" s="51" t="str">
        <x:f>IF(742&gt;$H$4,"",IF(INDEX('Fleet dates'!$F$9:$F$1008,$I750-8)="","",INDEX('Fleet dates'!$F$9:$F$1008,$I750-8)))</x:f>
      </x:c>
      <x:c r="G750" s="50" t="str">
        <x:f>IF(742&gt;$H$4,"",IF(INDEX('Fleet dates'!$G$9:$G$1008,$I750-8)="","",INDEX('Fleet dates'!$G$9:$G$1008,$I750-8)))</x:f>
      </x:c>
      <x:c r="H750" s="50" t="str">
        <x:f>IF(742&gt;$H$4,"",IF(INDEX('Fleet dates'!$I$9:$I$1008,$I750-8)="","",INDEX('Fleet dates'!$I$9:$I$1008,$I750-8)))</x:f>
      </x:c>
      <x:c r="I750" t="str">
        <x:f>IF(742&gt;$H$4,"",MATCH(742,'Fleet dates'!$N$9:$N$1008,0)+8)</x:f>
      </x:c>
    </x:row>
    <x:row r="751" ht="36" customHeight="1">
      <x:c r="A751" s="50" t="str">
        <x:f>IF(743&gt;$H$4,"",IF(INDEX('Fleet dates'!$A$9:$A$1008,$I751-8)="","",INDEX('Fleet dates'!$A$9:$A$1008,$I751-8)))</x:f>
      </x:c>
      <x:c r="B751" s="50" t="str">
        <x:f>IF(743&gt;$H$4,"",IF(INDEX('Fleet dates'!$B$9:$B$1008,$I751-8)="","",INDEX('Fleet dates'!$B$9:$B$1008,$I751-8)))</x:f>
      </x:c>
      <x:c r="C751" s="51" t="str">
        <x:f>IF(743&gt;$H$4,"",IF(INDEX('Fleet dates'!$C$9:$C$1008,$I751-8)="","",INDEX('Fleet dates'!$C$9:$C$1008,$I751-8)))</x:f>
      </x:c>
      <x:c r="D751" s="51" t="str">
        <x:f>IF(743&gt;$H$4,"",IF(INDEX('Fleet dates'!$D$9:$D$1008,$I751-8)="","",INDEX('Fleet dates'!$D$9:$D$1008,$I751-8)))</x:f>
      </x:c>
      <x:c r="E751" s="51" t="str">
        <x:f>IF(743&gt;$H$4,"",IF(INDEX('Fleet dates'!$E$9:$E$1008,$I751-8)="","",INDEX('Fleet dates'!$E$9:$E$1008,$I751-8)))</x:f>
      </x:c>
      <x:c r="F751" s="51" t="str">
        <x:f>IF(743&gt;$H$4,"",IF(INDEX('Fleet dates'!$F$9:$F$1008,$I751-8)="","",INDEX('Fleet dates'!$F$9:$F$1008,$I751-8)))</x:f>
      </x:c>
      <x:c r="G751" s="50" t="str">
        <x:f>IF(743&gt;$H$4,"",IF(INDEX('Fleet dates'!$G$9:$G$1008,$I751-8)="","",INDEX('Fleet dates'!$G$9:$G$1008,$I751-8)))</x:f>
      </x:c>
      <x:c r="H751" s="50" t="str">
        <x:f>IF(743&gt;$H$4,"",IF(INDEX('Fleet dates'!$I$9:$I$1008,$I751-8)="","",INDEX('Fleet dates'!$I$9:$I$1008,$I751-8)))</x:f>
      </x:c>
      <x:c r="I751" t="str">
        <x:f>IF(743&gt;$H$4,"",MATCH(743,'Fleet dates'!$N$9:$N$1008,0)+8)</x:f>
      </x:c>
    </x:row>
    <x:row r="752" ht="36" customHeight="1">
      <x:c r="A752" s="50" t="str">
        <x:f>IF(744&gt;$H$4,"",IF(INDEX('Fleet dates'!$A$9:$A$1008,$I752-8)="","",INDEX('Fleet dates'!$A$9:$A$1008,$I752-8)))</x:f>
      </x:c>
      <x:c r="B752" s="50" t="str">
        <x:f>IF(744&gt;$H$4,"",IF(INDEX('Fleet dates'!$B$9:$B$1008,$I752-8)="","",INDEX('Fleet dates'!$B$9:$B$1008,$I752-8)))</x:f>
      </x:c>
      <x:c r="C752" s="51" t="str">
        <x:f>IF(744&gt;$H$4,"",IF(INDEX('Fleet dates'!$C$9:$C$1008,$I752-8)="","",INDEX('Fleet dates'!$C$9:$C$1008,$I752-8)))</x:f>
      </x:c>
      <x:c r="D752" s="51" t="str">
        <x:f>IF(744&gt;$H$4,"",IF(INDEX('Fleet dates'!$D$9:$D$1008,$I752-8)="","",INDEX('Fleet dates'!$D$9:$D$1008,$I752-8)))</x:f>
      </x:c>
      <x:c r="E752" s="51" t="str">
        <x:f>IF(744&gt;$H$4,"",IF(INDEX('Fleet dates'!$E$9:$E$1008,$I752-8)="","",INDEX('Fleet dates'!$E$9:$E$1008,$I752-8)))</x:f>
      </x:c>
      <x:c r="F752" s="51" t="str">
        <x:f>IF(744&gt;$H$4,"",IF(INDEX('Fleet dates'!$F$9:$F$1008,$I752-8)="","",INDEX('Fleet dates'!$F$9:$F$1008,$I752-8)))</x:f>
      </x:c>
      <x:c r="G752" s="50" t="str">
        <x:f>IF(744&gt;$H$4,"",IF(INDEX('Fleet dates'!$G$9:$G$1008,$I752-8)="","",INDEX('Fleet dates'!$G$9:$G$1008,$I752-8)))</x:f>
      </x:c>
      <x:c r="H752" s="50" t="str">
        <x:f>IF(744&gt;$H$4,"",IF(INDEX('Fleet dates'!$I$9:$I$1008,$I752-8)="","",INDEX('Fleet dates'!$I$9:$I$1008,$I752-8)))</x:f>
      </x:c>
      <x:c r="I752" t="str">
        <x:f>IF(744&gt;$H$4,"",MATCH(744,'Fleet dates'!$N$9:$N$1008,0)+8)</x:f>
      </x:c>
    </x:row>
    <x:row r="753" ht="36" customHeight="1">
      <x:c r="A753" s="50" t="str">
        <x:f>IF(745&gt;$H$4,"",IF(INDEX('Fleet dates'!$A$9:$A$1008,$I753-8)="","",INDEX('Fleet dates'!$A$9:$A$1008,$I753-8)))</x:f>
      </x:c>
      <x:c r="B753" s="50" t="str">
        <x:f>IF(745&gt;$H$4,"",IF(INDEX('Fleet dates'!$B$9:$B$1008,$I753-8)="","",INDEX('Fleet dates'!$B$9:$B$1008,$I753-8)))</x:f>
      </x:c>
      <x:c r="C753" s="51" t="str">
        <x:f>IF(745&gt;$H$4,"",IF(INDEX('Fleet dates'!$C$9:$C$1008,$I753-8)="","",INDEX('Fleet dates'!$C$9:$C$1008,$I753-8)))</x:f>
      </x:c>
      <x:c r="D753" s="51" t="str">
        <x:f>IF(745&gt;$H$4,"",IF(INDEX('Fleet dates'!$D$9:$D$1008,$I753-8)="","",INDEX('Fleet dates'!$D$9:$D$1008,$I753-8)))</x:f>
      </x:c>
      <x:c r="E753" s="51" t="str">
        <x:f>IF(745&gt;$H$4,"",IF(INDEX('Fleet dates'!$E$9:$E$1008,$I753-8)="","",INDEX('Fleet dates'!$E$9:$E$1008,$I753-8)))</x:f>
      </x:c>
      <x:c r="F753" s="51" t="str">
        <x:f>IF(745&gt;$H$4,"",IF(INDEX('Fleet dates'!$F$9:$F$1008,$I753-8)="","",INDEX('Fleet dates'!$F$9:$F$1008,$I753-8)))</x:f>
      </x:c>
      <x:c r="G753" s="50" t="str">
        <x:f>IF(745&gt;$H$4,"",IF(INDEX('Fleet dates'!$G$9:$G$1008,$I753-8)="","",INDEX('Fleet dates'!$G$9:$G$1008,$I753-8)))</x:f>
      </x:c>
      <x:c r="H753" s="50" t="str">
        <x:f>IF(745&gt;$H$4,"",IF(INDEX('Fleet dates'!$I$9:$I$1008,$I753-8)="","",INDEX('Fleet dates'!$I$9:$I$1008,$I753-8)))</x:f>
      </x:c>
      <x:c r="I753" t="str">
        <x:f>IF(745&gt;$H$4,"",MATCH(745,'Fleet dates'!$N$9:$N$1008,0)+8)</x:f>
      </x:c>
    </x:row>
    <x:row r="754" ht="36" customHeight="1">
      <x:c r="A754" s="50" t="str">
        <x:f>IF(746&gt;$H$4,"",IF(INDEX('Fleet dates'!$A$9:$A$1008,$I754-8)="","",INDEX('Fleet dates'!$A$9:$A$1008,$I754-8)))</x:f>
      </x:c>
      <x:c r="B754" s="50" t="str">
        <x:f>IF(746&gt;$H$4,"",IF(INDEX('Fleet dates'!$B$9:$B$1008,$I754-8)="","",INDEX('Fleet dates'!$B$9:$B$1008,$I754-8)))</x:f>
      </x:c>
      <x:c r="C754" s="51" t="str">
        <x:f>IF(746&gt;$H$4,"",IF(INDEX('Fleet dates'!$C$9:$C$1008,$I754-8)="","",INDEX('Fleet dates'!$C$9:$C$1008,$I754-8)))</x:f>
      </x:c>
      <x:c r="D754" s="51" t="str">
        <x:f>IF(746&gt;$H$4,"",IF(INDEX('Fleet dates'!$D$9:$D$1008,$I754-8)="","",INDEX('Fleet dates'!$D$9:$D$1008,$I754-8)))</x:f>
      </x:c>
      <x:c r="E754" s="51" t="str">
        <x:f>IF(746&gt;$H$4,"",IF(INDEX('Fleet dates'!$E$9:$E$1008,$I754-8)="","",INDEX('Fleet dates'!$E$9:$E$1008,$I754-8)))</x:f>
      </x:c>
      <x:c r="F754" s="51" t="str">
        <x:f>IF(746&gt;$H$4,"",IF(INDEX('Fleet dates'!$F$9:$F$1008,$I754-8)="","",INDEX('Fleet dates'!$F$9:$F$1008,$I754-8)))</x:f>
      </x:c>
      <x:c r="G754" s="50" t="str">
        <x:f>IF(746&gt;$H$4,"",IF(INDEX('Fleet dates'!$G$9:$G$1008,$I754-8)="","",INDEX('Fleet dates'!$G$9:$G$1008,$I754-8)))</x:f>
      </x:c>
      <x:c r="H754" s="50" t="str">
        <x:f>IF(746&gt;$H$4,"",IF(INDEX('Fleet dates'!$I$9:$I$1008,$I754-8)="","",INDEX('Fleet dates'!$I$9:$I$1008,$I754-8)))</x:f>
      </x:c>
      <x:c r="I754" t="str">
        <x:f>IF(746&gt;$H$4,"",MATCH(746,'Fleet dates'!$N$9:$N$1008,0)+8)</x:f>
      </x:c>
    </x:row>
    <x:row r="755" ht="36" customHeight="1">
      <x:c r="A755" s="50" t="str">
        <x:f>IF(747&gt;$H$4,"",IF(INDEX('Fleet dates'!$A$9:$A$1008,$I755-8)="","",INDEX('Fleet dates'!$A$9:$A$1008,$I755-8)))</x:f>
      </x:c>
      <x:c r="B755" s="50" t="str">
        <x:f>IF(747&gt;$H$4,"",IF(INDEX('Fleet dates'!$B$9:$B$1008,$I755-8)="","",INDEX('Fleet dates'!$B$9:$B$1008,$I755-8)))</x:f>
      </x:c>
      <x:c r="C755" s="51" t="str">
        <x:f>IF(747&gt;$H$4,"",IF(INDEX('Fleet dates'!$C$9:$C$1008,$I755-8)="","",INDEX('Fleet dates'!$C$9:$C$1008,$I755-8)))</x:f>
      </x:c>
      <x:c r="D755" s="51" t="str">
        <x:f>IF(747&gt;$H$4,"",IF(INDEX('Fleet dates'!$D$9:$D$1008,$I755-8)="","",INDEX('Fleet dates'!$D$9:$D$1008,$I755-8)))</x:f>
      </x:c>
      <x:c r="E755" s="51" t="str">
        <x:f>IF(747&gt;$H$4,"",IF(INDEX('Fleet dates'!$E$9:$E$1008,$I755-8)="","",INDEX('Fleet dates'!$E$9:$E$1008,$I755-8)))</x:f>
      </x:c>
      <x:c r="F755" s="51" t="str">
        <x:f>IF(747&gt;$H$4,"",IF(INDEX('Fleet dates'!$F$9:$F$1008,$I755-8)="","",INDEX('Fleet dates'!$F$9:$F$1008,$I755-8)))</x:f>
      </x:c>
      <x:c r="G755" s="50" t="str">
        <x:f>IF(747&gt;$H$4,"",IF(INDEX('Fleet dates'!$G$9:$G$1008,$I755-8)="","",INDEX('Fleet dates'!$G$9:$G$1008,$I755-8)))</x:f>
      </x:c>
      <x:c r="H755" s="50" t="str">
        <x:f>IF(747&gt;$H$4,"",IF(INDEX('Fleet dates'!$I$9:$I$1008,$I755-8)="","",INDEX('Fleet dates'!$I$9:$I$1008,$I755-8)))</x:f>
      </x:c>
      <x:c r="I755" t="str">
        <x:f>IF(747&gt;$H$4,"",MATCH(747,'Fleet dates'!$N$9:$N$1008,0)+8)</x:f>
      </x:c>
    </x:row>
    <x:row r="756" ht="36" customHeight="1">
      <x:c r="A756" s="50" t="str">
        <x:f>IF(748&gt;$H$4,"",IF(INDEX('Fleet dates'!$A$9:$A$1008,$I756-8)="","",INDEX('Fleet dates'!$A$9:$A$1008,$I756-8)))</x:f>
      </x:c>
      <x:c r="B756" s="50" t="str">
        <x:f>IF(748&gt;$H$4,"",IF(INDEX('Fleet dates'!$B$9:$B$1008,$I756-8)="","",INDEX('Fleet dates'!$B$9:$B$1008,$I756-8)))</x:f>
      </x:c>
      <x:c r="C756" s="51" t="str">
        <x:f>IF(748&gt;$H$4,"",IF(INDEX('Fleet dates'!$C$9:$C$1008,$I756-8)="","",INDEX('Fleet dates'!$C$9:$C$1008,$I756-8)))</x:f>
      </x:c>
      <x:c r="D756" s="51" t="str">
        <x:f>IF(748&gt;$H$4,"",IF(INDEX('Fleet dates'!$D$9:$D$1008,$I756-8)="","",INDEX('Fleet dates'!$D$9:$D$1008,$I756-8)))</x:f>
      </x:c>
      <x:c r="E756" s="51" t="str">
        <x:f>IF(748&gt;$H$4,"",IF(INDEX('Fleet dates'!$E$9:$E$1008,$I756-8)="","",INDEX('Fleet dates'!$E$9:$E$1008,$I756-8)))</x:f>
      </x:c>
      <x:c r="F756" s="51" t="str">
        <x:f>IF(748&gt;$H$4,"",IF(INDEX('Fleet dates'!$F$9:$F$1008,$I756-8)="","",INDEX('Fleet dates'!$F$9:$F$1008,$I756-8)))</x:f>
      </x:c>
      <x:c r="G756" s="50" t="str">
        <x:f>IF(748&gt;$H$4,"",IF(INDEX('Fleet dates'!$G$9:$G$1008,$I756-8)="","",INDEX('Fleet dates'!$G$9:$G$1008,$I756-8)))</x:f>
      </x:c>
      <x:c r="H756" s="50" t="str">
        <x:f>IF(748&gt;$H$4,"",IF(INDEX('Fleet dates'!$I$9:$I$1008,$I756-8)="","",INDEX('Fleet dates'!$I$9:$I$1008,$I756-8)))</x:f>
      </x:c>
      <x:c r="I756" t="str">
        <x:f>IF(748&gt;$H$4,"",MATCH(748,'Fleet dates'!$N$9:$N$1008,0)+8)</x:f>
      </x:c>
    </x:row>
    <x:row r="757" ht="36" customHeight="1">
      <x:c r="A757" s="50" t="str">
        <x:f>IF(749&gt;$H$4,"",IF(INDEX('Fleet dates'!$A$9:$A$1008,$I757-8)="","",INDEX('Fleet dates'!$A$9:$A$1008,$I757-8)))</x:f>
      </x:c>
      <x:c r="B757" s="50" t="str">
        <x:f>IF(749&gt;$H$4,"",IF(INDEX('Fleet dates'!$B$9:$B$1008,$I757-8)="","",INDEX('Fleet dates'!$B$9:$B$1008,$I757-8)))</x:f>
      </x:c>
      <x:c r="C757" s="51" t="str">
        <x:f>IF(749&gt;$H$4,"",IF(INDEX('Fleet dates'!$C$9:$C$1008,$I757-8)="","",INDEX('Fleet dates'!$C$9:$C$1008,$I757-8)))</x:f>
      </x:c>
      <x:c r="D757" s="51" t="str">
        <x:f>IF(749&gt;$H$4,"",IF(INDEX('Fleet dates'!$D$9:$D$1008,$I757-8)="","",INDEX('Fleet dates'!$D$9:$D$1008,$I757-8)))</x:f>
      </x:c>
      <x:c r="E757" s="51" t="str">
        <x:f>IF(749&gt;$H$4,"",IF(INDEX('Fleet dates'!$E$9:$E$1008,$I757-8)="","",INDEX('Fleet dates'!$E$9:$E$1008,$I757-8)))</x:f>
      </x:c>
      <x:c r="F757" s="51" t="str">
        <x:f>IF(749&gt;$H$4,"",IF(INDEX('Fleet dates'!$F$9:$F$1008,$I757-8)="","",INDEX('Fleet dates'!$F$9:$F$1008,$I757-8)))</x:f>
      </x:c>
      <x:c r="G757" s="50" t="str">
        <x:f>IF(749&gt;$H$4,"",IF(INDEX('Fleet dates'!$G$9:$G$1008,$I757-8)="","",INDEX('Fleet dates'!$G$9:$G$1008,$I757-8)))</x:f>
      </x:c>
      <x:c r="H757" s="50" t="str">
        <x:f>IF(749&gt;$H$4,"",IF(INDEX('Fleet dates'!$I$9:$I$1008,$I757-8)="","",INDEX('Fleet dates'!$I$9:$I$1008,$I757-8)))</x:f>
      </x:c>
      <x:c r="I757" t="str">
        <x:f>IF(749&gt;$H$4,"",MATCH(749,'Fleet dates'!$N$9:$N$1008,0)+8)</x:f>
      </x:c>
    </x:row>
    <x:row r="758" ht="36" customHeight="1">
      <x:c r="A758" s="50" t="str">
        <x:f>IF(750&gt;$H$4,"",IF(INDEX('Fleet dates'!$A$9:$A$1008,$I758-8)="","",INDEX('Fleet dates'!$A$9:$A$1008,$I758-8)))</x:f>
      </x:c>
      <x:c r="B758" s="50" t="str">
        <x:f>IF(750&gt;$H$4,"",IF(INDEX('Fleet dates'!$B$9:$B$1008,$I758-8)="","",INDEX('Fleet dates'!$B$9:$B$1008,$I758-8)))</x:f>
      </x:c>
      <x:c r="C758" s="51" t="str">
        <x:f>IF(750&gt;$H$4,"",IF(INDEX('Fleet dates'!$C$9:$C$1008,$I758-8)="","",INDEX('Fleet dates'!$C$9:$C$1008,$I758-8)))</x:f>
      </x:c>
      <x:c r="D758" s="51" t="str">
        <x:f>IF(750&gt;$H$4,"",IF(INDEX('Fleet dates'!$D$9:$D$1008,$I758-8)="","",INDEX('Fleet dates'!$D$9:$D$1008,$I758-8)))</x:f>
      </x:c>
      <x:c r="E758" s="51" t="str">
        <x:f>IF(750&gt;$H$4,"",IF(INDEX('Fleet dates'!$E$9:$E$1008,$I758-8)="","",INDEX('Fleet dates'!$E$9:$E$1008,$I758-8)))</x:f>
      </x:c>
      <x:c r="F758" s="51" t="str">
        <x:f>IF(750&gt;$H$4,"",IF(INDEX('Fleet dates'!$F$9:$F$1008,$I758-8)="","",INDEX('Fleet dates'!$F$9:$F$1008,$I758-8)))</x:f>
      </x:c>
      <x:c r="G758" s="50" t="str">
        <x:f>IF(750&gt;$H$4,"",IF(INDEX('Fleet dates'!$G$9:$G$1008,$I758-8)="","",INDEX('Fleet dates'!$G$9:$G$1008,$I758-8)))</x:f>
      </x:c>
      <x:c r="H758" s="50" t="str">
        <x:f>IF(750&gt;$H$4,"",IF(INDEX('Fleet dates'!$I$9:$I$1008,$I758-8)="","",INDEX('Fleet dates'!$I$9:$I$1008,$I758-8)))</x:f>
      </x:c>
      <x:c r="I758" t="str">
        <x:f>IF(750&gt;$H$4,"",MATCH(750,'Fleet dates'!$N$9:$N$1008,0)+8)</x:f>
      </x:c>
    </x:row>
    <x:row r="759" ht="36" customHeight="1">
      <x:c r="A759" s="50" t="str">
        <x:f>IF(751&gt;$H$4,"",IF(INDEX('Fleet dates'!$A$9:$A$1008,$I759-8)="","",INDEX('Fleet dates'!$A$9:$A$1008,$I759-8)))</x:f>
      </x:c>
      <x:c r="B759" s="50" t="str">
        <x:f>IF(751&gt;$H$4,"",IF(INDEX('Fleet dates'!$B$9:$B$1008,$I759-8)="","",INDEX('Fleet dates'!$B$9:$B$1008,$I759-8)))</x:f>
      </x:c>
      <x:c r="C759" s="51" t="str">
        <x:f>IF(751&gt;$H$4,"",IF(INDEX('Fleet dates'!$C$9:$C$1008,$I759-8)="","",INDEX('Fleet dates'!$C$9:$C$1008,$I759-8)))</x:f>
      </x:c>
      <x:c r="D759" s="51" t="str">
        <x:f>IF(751&gt;$H$4,"",IF(INDEX('Fleet dates'!$D$9:$D$1008,$I759-8)="","",INDEX('Fleet dates'!$D$9:$D$1008,$I759-8)))</x:f>
      </x:c>
      <x:c r="E759" s="51" t="str">
        <x:f>IF(751&gt;$H$4,"",IF(INDEX('Fleet dates'!$E$9:$E$1008,$I759-8)="","",INDEX('Fleet dates'!$E$9:$E$1008,$I759-8)))</x:f>
      </x:c>
      <x:c r="F759" s="51" t="str">
        <x:f>IF(751&gt;$H$4,"",IF(INDEX('Fleet dates'!$F$9:$F$1008,$I759-8)="","",INDEX('Fleet dates'!$F$9:$F$1008,$I759-8)))</x:f>
      </x:c>
      <x:c r="G759" s="50" t="str">
        <x:f>IF(751&gt;$H$4,"",IF(INDEX('Fleet dates'!$G$9:$G$1008,$I759-8)="","",INDEX('Fleet dates'!$G$9:$G$1008,$I759-8)))</x:f>
      </x:c>
      <x:c r="H759" s="50" t="str">
        <x:f>IF(751&gt;$H$4,"",IF(INDEX('Fleet dates'!$I$9:$I$1008,$I759-8)="","",INDEX('Fleet dates'!$I$9:$I$1008,$I759-8)))</x:f>
      </x:c>
      <x:c r="I759" t="str">
        <x:f>IF(751&gt;$H$4,"",MATCH(751,'Fleet dates'!$N$9:$N$1008,0)+8)</x:f>
      </x:c>
    </x:row>
    <x:row r="760" ht="36" customHeight="1">
      <x:c r="A760" s="50" t="str">
        <x:f>IF(752&gt;$H$4,"",IF(INDEX('Fleet dates'!$A$9:$A$1008,$I760-8)="","",INDEX('Fleet dates'!$A$9:$A$1008,$I760-8)))</x:f>
      </x:c>
      <x:c r="B760" s="50" t="str">
        <x:f>IF(752&gt;$H$4,"",IF(INDEX('Fleet dates'!$B$9:$B$1008,$I760-8)="","",INDEX('Fleet dates'!$B$9:$B$1008,$I760-8)))</x:f>
      </x:c>
      <x:c r="C760" s="51" t="str">
        <x:f>IF(752&gt;$H$4,"",IF(INDEX('Fleet dates'!$C$9:$C$1008,$I760-8)="","",INDEX('Fleet dates'!$C$9:$C$1008,$I760-8)))</x:f>
      </x:c>
      <x:c r="D760" s="51" t="str">
        <x:f>IF(752&gt;$H$4,"",IF(INDEX('Fleet dates'!$D$9:$D$1008,$I760-8)="","",INDEX('Fleet dates'!$D$9:$D$1008,$I760-8)))</x:f>
      </x:c>
      <x:c r="E760" s="51" t="str">
        <x:f>IF(752&gt;$H$4,"",IF(INDEX('Fleet dates'!$E$9:$E$1008,$I760-8)="","",INDEX('Fleet dates'!$E$9:$E$1008,$I760-8)))</x:f>
      </x:c>
      <x:c r="F760" s="51" t="str">
        <x:f>IF(752&gt;$H$4,"",IF(INDEX('Fleet dates'!$F$9:$F$1008,$I760-8)="","",INDEX('Fleet dates'!$F$9:$F$1008,$I760-8)))</x:f>
      </x:c>
      <x:c r="G760" s="50" t="str">
        <x:f>IF(752&gt;$H$4,"",IF(INDEX('Fleet dates'!$G$9:$G$1008,$I760-8)="","",INDEX('Fleet dates'!$G$9:$G$1008,$I760-8)))</x:f>
      </x:c>
      <x:c r="H760" s="50" t="str">
        <x:f>IF(752&gt;$H$4,"",IF(INDEX('Fleet dates'!$I$9:$I$1008,$I760-8)="","",INDEX('Fleet dates'!$I$9:$I$1008,$I760-8)))</x:f>
      </x:c>
      <x:c r="I760" t="str">
        <x:f>IF(752&gt;$H$4,"",MATCH(752,'Fleet dates'!$N$9:$N$1008,0)+8)</x:f>
      </x:c>
    </x:row>
    <x:row r="761" ht="36" customHeight="1">
      <x:c r="A761" s="50" t="str">
        <x:f>IF(753&gt;$H$4,"",IF(INDEX('Fleet dates'!$A$9:$A$1008,$I761-8)="","",INDEX('Fleet dates'!$A$9:$A$1008,$I761-8)))</x:f>
      </x:c>
      <x:c r="B761" s="50" t="str">
        <x:f>IF(753&gt;$H$4,"",IF(INDEX('Fleet dates'!$B$9:$B$1008,$I761-8)="","",INDEX('Fleet dates'!$B$9:$B$1008,$I761-8)))</x:f>
      </x:c>
      <x:c r="C761" s="51" t="str">
        <x:f>IF(753&gt;$H$4,"",IF(INDEX('Fleet dates'!$C$9:$C$1008,$I761-8)="","",INDEX('Fleet dates'!$C$9:$C$1008,$I761-8)))</x:f>
      </x:c>
      <x:c r="D761" s="51" t="str">
        <x:f>IF(753&gt;$H$4,"",IF(INDEX('Fleet dates'!$D$9:$D$1008,$I761-8)="","",INDEX('Fleet dates'!$D$9:$D$1008,$I761-8)))</x:f>
      </x:c>
      <x:c r="E761" s="51" t="str">
        <x:f>IF(753&gt;$H$4,"",IF(INDEX('Fleet dates'!$E$9:$E$1008,$I761-8)="","",INDEX('Fleet dates'!$E$9:$E$1008,$I761-8)))</x:f>
      </x:c>
      <x:c r="F761" s="51" t="str">
        <x:f>IF(753&gt;$H$4,"",IF(INDEX('Fleet dates'!$F$9:$F$1008,$I761-8)="","",INDEX('Fleet dates'!$F$9:$F$1008,$I761-8)))</x:f>
      </x:c>
      <x:c r="G761" s="50" t="str">
        <x:f>IF(753&gt;$H$4,"",IF(INDEX('Fleet dates'!$G$9:$G$1008,$I761-8)="","",INDEX('Fleet dates'!$G$9:$G$1008,$I761-8)))</x:f>
      </x:c>
      <x:c r="H761" s="50" t="str">
        <x:f>IF(753&gt;$H$4,"",IF(INDEX('Fleet dates'!$I$9:$I$1008,$I761-8)="","",INDEX('Fleet dates'!$I$9:$I$1008,$I761-8)))</x:f>
      </x:c>
      <x:c r="I761" t="str">
        <x:f>IF(753&gt;$H$4,"",MATCH(753,'Fleet dates'!$N$9:$N$1008,0)+8)</x:f>
      </x:c>
    </x:row>
    <x:row r="762" ht="36" customHeight="1">
      <x:c r="A762" s="50" t="str">
        <x:f>IF(754&gt;$H$4,"",IF(INDEX('Fleet dates'!$A$9:$A$1008,$I762-8)="","",INDEX('Fleet dates'!$A$9:$A$1008,$I762-8)))</x:f>
      </x:c>
      <x:c r="B762" s="50" t="str">
        <x:f>IF(754&gt;$H$4,"",IF(INDEX('Fleet dates'!$B$9:$B$1008,$I762-8)="","",INDEX('Fleet dates'!$B$9:$B$1008,$I762-8)))</x:f>
      </x:c>
      <x:c r="C762" s="51" t="str">
        <x:f>IF(754&gt;$H$4,"",IF(INDEX('Fleet dates'!$C$9:$C$1008,$I762-8)="","",INDEX('Fleet dates'!$C$9:$C$1008,$I762-8)))</x:f>
      </x:c>
      <x:c r="D762" s="51" t="str">
        <x:f>IF(754&gt;$H$4,"",IF(INDEX('Fleet dates'!$D$9:$D$1008,$I762-8)="","",INDEX('Fleet dates'!$D$9:$D$1008,$I762-8)))</x:f>
      </x:c>
      <x:c r="E762" s="51" t="str">
        <x:f>IF(754&gt;$H$4,"",IF(INDEX('Fleet dates'!$E$9:$E$1008,$I762-8)="","",INDEX('Fleet dates'!$E$9:$E$1008,$I762-8)))</x:f>
      </x:c>
      <x:c r="F762" s="51" t="str">
        <x:f>IF(754&gt;$H$4,"",IF(INDEX('Fleet dates'!$F$9:$F$1008,$I762-8)="","",INDEX('Fleet dates'!$F$9:$F$1008,$I762-8)))</x:f>
      </x:c>
      <x:c r="G762" s="50" t="str">
        <x:f>IF(754&gt;$H$4,"",IF(INDEX('Fleet dates'!$G$9:$G$1008,$I762-8)="","",INDEX('Fleet dates'!$G$9:$G$1008,$I762-8)))</x:f>
      </x:c>
      <x:c r="H762" s="50" t="str">
        <x:f>IF(754&gt;$H$4,"",IF(INDEX('Fleet dates'!$I$9:$I$1008,$I762-8)="","",INDEX('Fleet dates'!$I$9:$I$1008,$I762-8)))</x:f>
      </x:c>
      <x:c r="I762" t="str">
        <x:f>IF(754&gt;$H$4,"",MATCH(754,'Fleet dates'!$N$9:$N$1008,0)+8)</x:f>
      </x:c>
    </x:row>
    <x:row r="763" ht="36" customHeight="1">
      <x:c r="A763" s="50" t="str">
        <x:f>IF(755&gt;$H$4,"",IF(INDEX('Fleet dates'!$A$9:$A$1008,$I763-8)="","",INDEX('Fleet dates'!$A$9:$A$1008,$I763-8)))</x:f>
      </x:c>
      <x:c r="B763" s="50" t="str">
        <x:f>IF(755&gt;$H$4,"",IF(INDEX('Fleet dates'!$B$9:$B$1008,$I763-8)="","",INDEX('Fleet dates'!$B$9:$B$1008,$I763-8)))</x:f>
      </x:c>
      <x:c r="C763" s="51" t="str">
        <x:f>IF(755&gt;$H$4,"",IF(INDEX('Fleet dates'!$C$9:$C$1008,$I763-8)="","",INDEX('Fleet dates'!$C$9:$C$1008,$I763-8)))</x:f>
      </x:c>
      <x:c r="D763" s="51" t="str">
        <x:f>IF(755&gt;$H$4,"",IF(INDEX('Fleet dates'!$D$9:$D$1008,$I763-8)="","",INDEX('Fleet dates'!$D$9:$D$1008,$I763-8)))</x:f>
      </x:c>
      <x:c r="E763" s="51" t="str">
        <x:f>IF(755&gt;$H$4,"",IF(INDEX('Fleet dates'!$E$9:$E$1008,$I763-8)="","",INDEX('Fleet dates'!$E$9:$E$1008,$I763-8)))</x:f>
      </x:c>
      <x:c r="F763" s="51" t="str">
        <x:f>IF(755&gt;$H$4,"",IF(INDEX('Fleet dates'!$F$9:$F$1008,$I763-8)="","",INDEX('Fleet dates'!$F$9:$F$1008,$I763-8)))</x:f>
      </x:c>
      <x:c r="G763" s="50" t="str">
        <x:f>IF(755&gt;$H$4,"",IF(INDEX('Fleet dates'!$G$9:$G$1008,$I763-8)="","",INDEX('Fleet dates'!$G$9:$G$1008,$I763-8)))</x:f>
      </x:c>
      <x:c r="H763" s="50" t="str">
        <x:f>IF(755&gt;$H$4,"",IF(INDEX('Fleet dates'!$I$9:$I$1008,$I763-8)="","",INDEX('Fleet dates'!$I$9:$I$1008,$I763-8)))</x:f>
      </x:c>
      <x:c r="I763" t="str">
        <x:f>IF(755&gt;$H$4,"",MATCH(755,'Fleet dates'!$N$9:$N$1008,0)+8)</x:f>
      </x:c>
    </x:row>
    <x:row r="764" ht="36" customHeight="1">
      <x:c r="A764" s="50" t="str">
        <x:f>IF(756&gt;$H$4,"",IF(INDEX('Fleet dates'!$A$9:$A$1008,$I764-8)="","",INDEX('Fleet dates'!$A$9:$A$1008,$I764-8)))</x:f>
      </x:c>
      <x:c r="B764" s="50" t="str">
        <x:f>IF(756&gt;$H$4,"",IF(INDEX('Fleet dates'!$B$9:$B$1008,$I764-8)="","",INDEX('Fleet dates'!$B$9:$B$1008,$I764-8)))</x:f>
      </x:c>
      <x:c r="C764" s="51" t="str">
        <x:f>IF(756&gt;$H$4,"",IF(INDEX('Fleet dates'!$C$9:$C$1008,$I764-8)="","",INDEX('Fleet dates'!$C$9:$C$1008,$I764-8)))</x:f>
      </x:c>
      <x:c r="D764" s="51" t="str">
        <x:f>IF(756&gt;$H$4,"",IF(INDEX('Fleet dates'!$D$9:$D$1008,$I764-8)="","",INDEX('Fleet dates'!$D$9:$D$1008,$I764-8)))</x:f>
      </x:c>
      <x:c r="E764" s="51" t="str">
        <x:f>IF(756&gt;$H$4,"",IF(INDEX('Fleet dates'!$E$9:$E$1008,$I764-8)="","",INDEX('Fleet dates'!$E$9:$E$1008,$I764-8)))</x:f>
      </x:c>
      <x:c r="F764" s="51" t="str">
        <x:f>IF(756&gt;$H$4,"",IF(INDEX('Fleet dates'!$F$9:$F$1008,$I764-8)="","",INDEX('Fleet dates'!$F$9:$F$1008,$I764-8)))</x:f>
      </x:c>
      <x:c r="G764" s="50" t="str">
        <x:f>IF(756&gt;$H$4,"",IF(INDEX('Fleet dates'!$G$9:$G$1008,$I764-8)="","",INDEX('Fleet dates'!$G$9:$G$1008,$I764-8)))</x:f>
      </x:c>
      <x:c r="H764" s="50" t="str">
        <x:f>IF(756&gt;$H$4,"",IF(INDEX('Fleet dates'!$I$9:$I$1008,$I764-8)="","",INDEX('Fleet dates'!$I$9:$I$1008,$I764-8)))</x:f>
      </x:c>
      <x:c r="I764" t="str">
        <x:f>IF(756&gt;$H$4,"",MATCH(756,'Fleet dates'!$N$9:$N$1008,0)+8)</x:f>
      </x:c>
    </x:row>
    <x:row r="765" ht="36" customHeight="1">
      <x:c r="A765" s="50" t="str">
        <x:f>IF(757&gt;$H$4,"",IF(INDEX('Fleet dates'!$A$9:$A$1008,$I765-8)="","",INDEX('Fleet dates'!$A$9:$A$1008,$I765-8)))</x:f>
      </x:c>
      <x:c r="B765" s="50" t="str">
        <x:f>IF(757&gt;$H$4,"",IF(INDEX('Fleet dates'!$B$9:$B$1008,$I765-8)="","",INDEX('Fleet dates'!$B$9:$B$1008,$I765-8)))</x:f>
      </x:c>
      <x:c r="C765" s="51" t="str">
        <x:f>IF(757&gt;$H$4,"",IF(INDEX('Fleet dates'!$C$9:$C$1008,$I765-8)="","",INDEX('Fleet dates'!$C$9:$C$1008,$I765-8)))</x:f>
      </x:c>
      <x:c r="D765" s="51" t="str">
        <x:f>IF(757&gt;$H$4,"",IF(INDEX('Fleet dates'!$D$9:$D$1008,$I765-8)="","",INDEX('Fleet dates'!$D$9:$D$1008,$I765-8)))</x:f>
      </x:c>
      <x:c r="E765" s="51" t="str">
        <x:f>IF(757&gt;$H$4,"",IF(INDEX('Fleet dates'!$E$9:$E$1008,$I765-8)="","",INDEX('Fleet dates'!$E$9:$E$1008,$I765-8)))</x:f>
      </x:c>
      <x:c r="F765" s="51" t="str">
        <x:f>IF(757&gt;$H$4,"",IF(INDEX('Fleet dates'!$F$9:$F$1008,$I765-8)="","",INDEX('Fleet dates'!$F$9:$F$1008,$I765-8)))</x:f>
      </x:c>
      <x:c r="G765" s="50" t="str">
        <x:f>IF(757&gt;$H$4,"",IF(INDEX('Fleet dates'!$G$9:$G$1008,$I765-8)="","",INDEX('Fleet dates'!$G$9:$G$1008,$I765-8)))</x:f>
      </x:c>
      <x:c r="H765" s="50" t="str">
        <x:f>IF(757&gt;$H$4,"",IF(INDEX('Fleet dates'!$I$9:$I$1008,$I765-8)="","",INDEX('Fleet dates'!$I$9:$I$1008,$I765-8)))</x:f>
      </x:c>
      <x:c r="I765" t="str">
        <x:f>IF(757&gt;$H$4,"",MATCH(757,'Fleet dates'!$N$9:$N$1008,0)+8)</x:f>
      </x:c>
    </x:row>
    <x:row r="766" ht="36" customHeight="1">
      <x:c r="A766" s="50" t="str">
        <x:f>IF(758&gt;$H$4,"",IF(INDEX('Fleet dates'!$A$9:$A$1008,$I766-8)="","",INDEX('Fleet dates'!$A$9:$A$1008,$I766-8)))</x:f>
      </x:c>
      <x:c r="B766" s="50" t="str">
        <x:f>IF(758&gt;$H$4,"",IF(INDEX('Fleet dates'!$B$9:$B$1008,$I766-8)="","",INDEX('Fleet dates'!$B$9:$B$1008,$I766-8)))</x:f>
      </x:c>
      <x:c r="C766" s="51" t="str">
        <x:f>IF(758&gt;$H$4,"",IF(INDEX('Fleet dates'!$C$9:$C$1008,$I766-8)="","",INDEX('Fleet dates'!$C$9:$C$1008,$I766-8)))</x:f>
      </x:c>
      <x:c r="D766" s="51" t="str">
        <x:f>IF(758&gt;$H$4,"",IF(INDEX('Fleet dates'!$D$9:$D$1008,$I766-8)="","",INDEX('Fleet dates'!$D$9:$D$1008,$I766-8)))</x:f>
      </x:c>
      <x:c r="E766" s="51" t="str">
        <x:f>IF(758&gt;$H$4,"",IF(INDEX('Fleet dates'!$E$9:$E$1008,$I766-8)="","",INDEX('Fleet dates'!$E$9:$E$1008,$I766-8)))</x:f>
      </x:c>
      <x:c r="F766" s="51" t="str">
        <x:f>IF(758&gt;$H$4,"",IF(INDEX('Fleet dates'!$F$9:$F$1008,$I766-8)="","",INDEX('Fleet dates'!$F$9:$F$1008,$I766-8)))</x:f>
      </x:c>
      <x:c r="G766" s="50" t="str">
        <x:f>IF(758&gt;$H$4,"",IF(INDEX('Fleet dates'!$G$9:$G$1008,$I766-8)="","",INDEX('Fleet dates'!$G$9:$G$1008,$I766-8)))</x:f>
      </x:c>
      <x:c r="H766" s="50" t="str">
        <x:f>IF(758&gt;$H$4,"",IF(INDEX('Fleet dates'!$I$9:$I$1008,$I766-8)="","",INDEX('Fleet dates'!$I$9:$I$1008,$I766-8)))</x:f>
      </x:c>
      <x:c r="I766" t="str">
        <x:f>IF(758&gt;$H$4,"",MATCH(758,'Fleet dates'!$N$9:$N$1008,0)+8)</x:f>
      </x:c>
    </x:row>
    <x:row r="767" ht="36" customHeight="1">
      <x:c r="A767" s="50" t="str">
        <x:f>IF(759&gt;$H$4,"",IF(INDEX('Fleet dates'!$A$9:$A$1008,$I767-8)="","",INDEX('Fleet dates'!$A$9:$A$1008,$I767-8)))</x:f>
      </x:c>
      <x:c r="B767" s="50" t="str">
        <x:f>IF(759&gt;$H$4,"",IF(INDEX('Fleet dates'!$B$9:$B$1008,$I767-8)="","",INDEX('Fleet dates'!$B$9:$B$1008,$I767-8)))</x:f>
      </x:c>
      <x:c r="C767" s="51" t="str">
        <x:f>IF(759&gt;$H$4,"",IF(INDEX('Fleet dates'!$C$9:$C$1008,$I767-8)="","",INDEX('Fleet dates'!$C$9:$C$1008,$I767-8)))</x:f>
      </x:c>
      <x:c r="D767" s="51" t="str">
        <x:f>IF(759&gt;$H$4,"",IF(INDEX('Fleet dates'!$D$9:$D$1008,$I767-8)="","",INDEX('Fleet dates'!$D$9:$D$1008,$I767-8)))</x:f>
      </x:c>
      <x:c r="E767" s="51" t="str">
        <x:f>IF(759&gt;$H$4,"",IF(INDEX('Fleet dates'!$E$9:$E$1008,$I767-8)="","",INDEX('Fleet dates'!$E$9:$E$1008,$I767-8)))</x:f>
      </x:c>
      <x:c r="F767" s="51" t="str">
        <x:f>IF(759&gt;$H$4,"",IF(INDEX('Fleet dates'!$F$9:$F$1008,$I767-8)="","",INDEX('Fleet dates'!$F$9:$F$1008,$I767-8)))</x:f>
      </x:c>
      <x:c r="G767" s="50" t="str">
        <x:f>IF(759&gt;$H$4,"",IF(INDEX('Fleet dates'!$G$9:$G$1008,$I767-8)="","",INDEX('Fleet dates'!$G$9:$G$1008,$I767-8)))</x:f>
      </x:c>
      <x:c r="H767" s="50" t="str">
        <x:f>IF(759&gt;$H$4,"",IF(INDEX('Fleet dates'!$I$9:$I$1008,$I767-8)="","",INDEX('Fleet dates'!$I$9:$I$1008,$I767-8)))</x:f>
      </x:c>
      <x:c r="I767" t="str">
        <x:f>IF(759&gt;$H$4,"",MATCH(759,'Fleet dates'!$N$9:$N$1008,0)+8)</x:f>
      </x:c>
    </x:row>
    <x:row r="768" ht="36" customHeight="1">
      <x:c r="A768" s="50" t="str">
        <x:f>IF(760&gt;$H$4,"",IF(INDEX('Fleet dates'!$A$9:$A$1008,$I768-8)="","",INDEX('Fleet dates'!$A$9:$A$1008,$I768-8)))</x:f>
      </x:c>
      <x:c r="B768" s="50" t="str">
        <x:f>IF(760&gt;$H$4,"",IF(INDEX('Fleet dates'!$B$9:$B$1008,$I768-8)="","",INDEX('Fleet dates'!$B$9:$B$1008,$I768-8)))</x:f>
      </x:c>
      <x:c r="C768" s="51" t="str">
        <x:f>IF(760&gt;$H$4,"",IF(INDEX('Fleet dates'!$C$9:$C$1008,$I768-8)="","",INDEX('Fleet dates'!$C$9:$C$1008,$I768-8)))</x:f>
      </x:c>
      <x:c r="D768" s="51" t="str">
        <x:f>IF(760&gt;$H$4,"",IF(INDEX('Fleet dates'!$D$9:$D$1008,$I768-8)="","",INDEX('Fleet dates'!$D$9:$D$1008,$I768-8)))</x:f>
      </x:c>
      <x:c r="E768" s="51" t="str">
        <x:f>IF(760&gt;$H$4,"",IF(INDEX('Fleet dates'!$E$9:$E$1008,$I768-8)="","",INDEX('Fleet dates'!$E$9:$E$1008,$I768-8)))</x:f>
      </x:c>
      <x:c r="F768" s="51" t="str">
        <x:f>IF(760&gt;$H$4,"",IF(INDEX('Fleet dates'!$F$9:$F$1008,$I768-8)="","",INDEX('Fleet dates'!$F$9:$F$1008,$I768-8)))</x:f>
      </x:c>
      <x:c r="G768" s="50" t="str">
        <x:f>IF(760&gt;$H$4,"",IF(INDEX('Fleet dates'!$G$9:$G$1008,$I768-8)="","",INDEX('Fleet dates'!$G$9:$G$1008,$I768-8)))</x:f>
      </x:c>
      <x:c r="H768" s="50" t="str">
        <x:f>IF(760&gt;$H$4,"",IF(INDEX('Fleet dates'!$I$9:$I$1008,$I768-8)="","",INDEX('Fleet dates'!$I$9:$I$1008,$I768-8)))</x:f>
      </x:c>
      <x:c r="I768" t="str">
        <x:f>IF(760&gt;$H$4,"",MATCH(760,'Fleet dates'!$N$9:$N$1008,0)+8)</x:f>
      </x:c>
    </x:row>
    <x:row r="769" ht="36" customHeight="1">
      <x:c r="A769" s="50" t="str">
        <x:f>IF(761&gt;$H$4,"",IF(INDEX('Fleet dates'!$A$9:$A$1008,$I769-8)="","",INDEX('Fleet dates'!$A$9:$A$1008,$I769-8)))</x:f>
      </x:c>
      <x:c r="B769" s="50" t="str">
        <x:f>IF(761&gt;$H$4,"",IF(INDEX('Fleet dates'!$B$9:$B$1008,$I769-8)="","",INDEX('Fleet dates'!$B$9:$B$1008,$I769-8)))</x:f>
      </x:c>
      <x:c r="C769" s="51" t="str">
        <x:f>IF(761&gt;$H$4,"",IF(INDEX('Fleet dates'!$C$9:$C$1008,$I769-8)="","",INDEX('Fleet dates'!$C$9:$C$1008,$I769-8)))</x:f>
      </x:c>
      <x:c r="D769" s="51" t="str">
        <x:f>IF(761&gt;$H$4,"",IF(INDEX('Fleet dates'!$D$9:$D$1008,$I769-8)="","",INDEX('Fleet dates'!$D$9:$D$1008,$I769-8)))</x:f>
      </x:c>
      <x:c r="E769" s="51" t="str">
        <x:f>IF(761&gt;$H$4,"",IF(INDEX('Fleet dates'!$E$9:$E$1008,$I769-8)="","",INDEX('Fleet dates'!$E$9:$E$1008,$I769-8)))</x:f>
      </x:c>
      <x:c r="F769" s="51" t="str">
        <x:f>IF(761&gt;$H$4,"",IF(INDEX('Fleet dates'!$F$9:$F$1008,$I769-8)="","",INDEX('Fleet dates'!$F$9:$F$1008,$I769-8)))</x:f>
      </x:c>
      <x:c r="G769" s="50" t="str">
        <x:f>IF(761&gt;$H$4,"",IF(INDEX('Fleet dates'!$G$9:$G$1008,$I769-8)="","",INDEX('Fleet dates'!$G$9:$G$1008,$I769-8)))</x:f>
      </x:c>
      <x:c r="H769" s="50" t="str">
        <x:f>IF(761&gt;$H$4,"",IF(INDEX('Fleet dates'!$I$9:$I$1008,$I769-8)="","",INDEX('Fleet dates'!$I$9:$I$1008,$I769-8)))</x:f>
      </x:c>
      <x:c r="I769" t="str">
        <x:f>IF(761&gt;$H$4,"",MATCH(761,'Fleet dates'!$N$9:$N$1008,0)+8)</x:f>
      </x:c>
    </x:row>
    <x:row r="770" ht="36" customHeight="1">
      <x:c r="A770" s="50" t="str">
        <x:f>IF(762&gt;$H$4,"",IF(INDEX('Fleet dates'!$A$9:$A$1008,$I770-8)="","",INDEX('Fleet dates'!$A$9:$A$1008,$I770-8)))</x:f>
      </x:c>
      <x:c r="B770" s="50" t="str">
        <x:f>IF(762&gt;$H$4,"",IF(INDEX('Fleet dates'!$B$9:$B$1008,$I770-8)="","",INDEX('Fleet dates'!$B$9:$B$1008,$I770-8)))</x:f>
      </x:c>
      <x:c r="C770" s="51" t="str">
        <x:f>IF(762&gt;$H$4,"",IF(INDEX('Fleet dates'!$C$9:$C$1008,$I770-8)="","",INDEX('Fleet dates'!$C$9:$C$1008,$I770-8)))</x:f>
      </x:c>
      <x:c r="D770" s="51" t="str">
        <x:f>IF(762&gt;$H$4,"",IF(INDEX('Fleet dates'!$D$9:$D$1008,$I770-8)="","",INDEX('Fleet dates'!$D$9:$D$1008,$I770-8)))</x:f>
      </x:c>
      <x:c r="E770" s="51" t="str">
        <x:f>IF(762&gt;$H$4,"",IF(INDEX('Fleet dates'!$E$9:$E$1008,$I770-8)="","",INDEX('Fleet dates'!$E$9:$E$1008,$I770-8)))</x:f>
      </x:c>
      <x:c r="F770" s="51" t="str">
        <x:f>IF(762&gt;$H$4,"",IF(INDEX('Fleet dates'!$F$9:$F$1008,$I770-8)="","",INDEX('Fleet dates'!$F$9:$F$1008,$I770-8)))</x:f>
      </x:c>
      <x:c r="G770" s="50" t="str">
        <x:f>IF(762&gt;$H$4,"",IF(INDEX('Fleet dates'!$G$9:$G$1008,$I770-8)="","",INDEX('Fleet dates'!$G$9:$G$1008,$I770-8)))</x:f>
      </x:c>
      <x:c r="H770" s="50" t="str">
        <x:f>IF(762&gt;$H$4,"",IF(INDEX('Fleet dates'!$I$9:$I$1008,$I770-8)="","",INDEX('Fleet dates'!$I$9:$I$1008,$I770-8)))</x:f>
      </x:c>
      <x:c r="I770" t="str">
        <x:f>IF(762&gt;$H$4,"",MATCH(762,'Fleet dates'!$N$9:$N$1008,0)+8)</x:f>
      </x:c>
    </x:row>
    <x:row r="771" ht="36" customHeight="1">
      <x:c r="A771" s="50" t="str">
        <x:f>IF(763&gt;$H$4,"",IF(INDEX('Fleet dates'!$A$9:$A$1008,$I771-8)="","",INDEX('Fleet dates'!$A$9:$A$1008,$I771-8)))</x:f>
      </x:c>
      <x:c r="B771" s="50" t="str">
        <x:f>IF(763&gt;$H$4,"",IF(INDEX('Fleet dates'!$B$9:$B$1008,$I771-8)="","",INDEX('Fleet dates'!$B$9:$B$1008,$I771-8)))</x:f>
      </x:c>
      <x:c r="C771" s="51" t="str">
        <x:f>IF(763&gt;$H$4,"",IF(INDEX('Fleet dates'!$C$9:$C$1008,$I771-8)="","",INDEX('Fleet dates'!$C$9:$C$1008,$I771-8)))</x:f>
      </x:c>
      <x:c r="D771" s="51" t="str">
        <x:f>IF(763&gt;$H$4,"",IF(INDEX('Fleet dates'!$D$9:$D$1008,$I771-8)="","",INDEX('Fleet dates'!$D$9:$D$1008,$I771-8)))</x:f>
      </x:c>
      <x:c r="E771" s="51" t="str">
        <x:f>IF(763&gt;$H$4,"",IF(INDEX('Fleet dates'!$E$9:$E$1008,$I771-8)="","",INDEX('Fleet dates'!$E$9:$E$1008,$I771-8)))</x:f>
      </x:c>
      <x:c r="F771" s="51" t="str">
        <x:f>IF(763&gt;$H$4,"",IF(INDEX('Fleet dates'!$F$9:$F$1008,$I771-8)="","",INDEX('Fleet dates'!$F$9:$F$1008,$I771-8)))</x:f>
      </x:c>
      <x:c r="G771" s="50" t="str">
        <x:f>IF(763&gt;$H$4,"",IF(INDEX('Fleet dates'!$G$9:$G$1008,$I771-8)="","",INDEX('Fleet dates'!$G$9:$G$1008,$I771-8)))</x:f>
      </x:c>
      <x:c r="H771" s="50" t="str">
        <x:f>IF(763&gt;$H$4,"",IF(INDEX('Fleet dates'!$I$9:$I$1008,$I771-8)="","",INDEX('Fleet dates'!$I$9:$I$1008,$I771-8)))</x:f>
      </x:c>
      <x:c r="I771" t="str">
        <x:f>IF(763&gt;$H$4,"",MATCH(763,'Fleet dates'!$N$9:$N$1008,0)+8)</x:f>
      </x:c>
    </x:row>
    <x:row r="772" ht="36" customHeight="1">
      <x:c r="A772" s="50" t="str">
        <x:f>IF(764&gt;$H$4,"",IF(INDEX('Fleet dates'!$A$9:$A$1008,$I772-8)="","",INDEX('Fleet dates'!$A$9:$A$1008,$I772-8)))</x:f>
      </x:c>
      <x:c r="B772" s="50" t="str">
        <x:f>IF(764&gt;$H$4,"",IF(INDEX('Fleet dates'!$B$9:$B$1008,$I772-8)="","",INDEX('Fleet dates'!$B$9:$B$1008,$I772-8)))</x:f>
      </x:c>
      <x:c r="C772" s="51" t="str">
        <x:f>IF(764&gt;$H$4,"",IF(INDEX('Fleet dates'!$C$9:$C$1008,$I772-8)="","",INDEX('Fleet dates'!$C$9:$C$1008,$I772-8)))</x:f>
      </x:c>
      <x:c r="D772" s="51" t="str">
        <x:f>IF(764&gt;$H$4,"",IF(INDEX('Fleet dates'!$D$9:$D$1008,$I772-8)="","",INDEX('Fleet dates'!$D$9:$D$1008,$I772-8)))</x:f>
      </x:c>
      <x:c r="E772" s="51" t="str">
        <x:f>IF(764&gt;$H$4,"",IF(INDEX('Fleet dates'!$E$9:$E$1008,$I772-8)="","",INDEX('Fleet dates'!$E$9:$E$1008,$I772-8)))</x:f>
      </x:c>
      <x:c r="F772" s="51" t="str">
        <x:f>IF(764&gt;$H$4,"",IF(INDEX('Fleet dates'!$F$9:$F$1008,$I772-8)="","",INDEX('Fleet dates'!$F$9:$F$1008,$I772-8)))</x:f>
      </x:c>
      <x:c r="G772" s="50" t="str">
        <x:f>IF(764&gt;$H$4,"",IF(INDEX('Fleet dates'!$G$9:$G$1008,$I772-8)="","",INDEX('Fleet dates'!$G$9:$G$1008,$I772-8)))</x:f>
      </x:c>
      <x:c r="H772" s="50" t="str">
        <x:f>IF(764&gt;$H$4,"",IF(INDEX('Fleet dates'!$I$9:$I$1008,$I772-8)="","",INDEX('Fleet dates'!$I$9:$I$1008,$I772-8)))</x:f>
      </x:c>
      <x:c r="I772" t="str">
        <x:f>IF(764&gt;$H$4,"",MATCH(764,'Fleet dates'!$N$9:$N$1008,0)+8)</x:f>
      </x:c>
    </x:row>
    <x:row r="773" ht="36" customHeight="1">
      <x:c r="A773" s="50" t="str">
        <x:f>IF(765&gt;$H$4,"",IF(INDEX('Fleet dates'!$A$9:$A$1008,$I773-8)="","",INDEX('Fleet dates'!$A$9:$A$1008,$I773-8)))</x:f>
      </x:c>
      <x:c r="B773" s="50" t="str">
        <x:f>IF(765&gt;$H$4,"",IF(INDEX('Fleet dates'!$B$9:$B$1008,$I773-8)="","",INDEX('Fleet dates'!$B$9:$B$1008,$I773-8)))</x:f>
      </x:c>
      <x:c r="C773" s="51" t="str">
        <x:f>IF(765&gt;$H$4,"",IF(INDEX('Fleet dates'!$C$9:$C$1008,$I773-8)="","",INDEX('Fleet dates'!$C$9:$C$1008,$I773-8)))</x:f>
      </x:c>
      <x:c r="D773" s="51" t="str">
        <x:f>IF(765&gt;$H$4,"",IF(INDEX('Fleet dates'!$D$9:$D$1008,$I773-8)="","",INDEX('Fleet dates'!$D$9:$D$1008,$I773-8)))</x:f>
      </x:c>
      <x:c r="E773" s="51" t="str">
        <x:f>IF(765&gt;$H$4,"",IF(INDEX('Fleet dates'!$E$9:$E$1008,$I773-8)="","",INDEX('Fleet dates'!$E$9:$E$1008,$I773-8)))</x:f>
      </x:c>
      <x:c r="F773" s="51" t="str">
        <x:f>IF(765&gt;$H$4,"",IF(INDEX('Fleet dates'!$F$9:$F$1008,$I773-8)="","",INDEX('Fleet dates'!$F$9:$F$1008,$I773-8)))</x:f>
      </x:c>
      <x:c r="G773" s="50" t="str">
        <x:f>IF(765&gt;$H$4,"",IF(INDEX('Fleet dates'!$G$9:$G$1008,$I773-8)="","",INDEX('Fleet dates'!$G$9:$G$1008,$I773-8)))</x:f>
      </x:c>
      <x:c r="H773" s="50" t="str">
        <x:f>IF(765&gt;$H$4,"",IF(INDEX('Fleet dates'!$I$9:$I$1008,$I773-8)="","",INDEX('Fleet dates'!$I$9:$I$1008,$I773-8)))</x:f>
      </x:c>
      <x:c r="I773" t="str">
        <x:f>IF(765&gt;$H$4,"",MATCH(765,'Fleet dates'!$N$9:$N$1008,0)+8)</x:f>
      </x:c>
    </x:row>
    <x:row r="774" ht="36" customHeight="1">
      <x:c r="A774" s="50" t="str">
        <x:f>IF(766&gt;$H$4,"",IF(INDEX('Fleet dates'!$A$9:$A$1008,$I774-8)="","",INDEX('Fleet dates'!$A$9:$A$1008,$I774-8)))</x:f>
      </x:c>
      <x:c r="B774" s="50" t="str">
        <x:f>IF(766&gt;$H$4,"",IF(INDEX('Fleet dates'!$B$9:$B$1008,$I774-8)="","",INDEX('Fleet dates'!$B$9:$B$1008,$I774-8)))</x:f>
      </x:c>
      <x:c r="C774" s="51" t="str">
        <x:f>IF(766&gt;$H$4,"",IF(INDEX('Fleet dates'!$C$9:$C$1008,$I774-8)="","",INDEX('Fleet dates'!$C$9:$C$1008,$I774-8)))</x:f>
      </x:c>
      <x:c r="D774" s="51" t="str">
        <x:f>IF(766&gt;$H$4,"",IF(INDEX('Fleet dates'!$D$9:$D$1008,$I774-8)="","",INDEX('Fleet dates'!$D$9:$D$1008,$I774-8)))</x:f>
      </x:c>
      <x:c r="E774" s="51" t="str">
        <x:f>IF(766&gt;$H$4,"",IF(INDEX('Fleet dates'!$E$9:$E$1008,$I774-8)="","",INDEX('Fleet dates'!$E$9:$E$1008,$I774-8)))</x:f>
      </x:c>
      <x:c r="F774" s="51" t="str">
        <x:f>IF(766&gt;$H$4,"",IF(INDEX('Fleet dates'!$F$9:$F$1008,$I774-8)="","",INDEX('Fleet dates'!$F$9:$F$1008,$I774-8)))</x:f>
      </x:c>
      <x:c r="G774" s="50" t="str">
        <x:f>IF(766&gt;$H$4,"",IF(INDEX('Fleet dates'!$G$9:$G$1008,$I774-8)="","",INDEX('Fleet dates'!$G$9:$G$1008,$I774-8)))</x:f>
      </x:c>
      <x:c r="H774" s="50" t="str">
        <x:f>IF(766&gt;$H$4,"",IF(INDEX('Fleet dates'!$I$9:$I$1008,$I774-8)="","",INDEX('Fleet dates'!$I$9:$I$1008,$I774-8)))</x:f>
      </x:c>
      <x:c r="I774" t="str">
        <x:f>IF(766&gt;$H$4,"",MATCH(766,'Fleet dates'!$N$9:$N$1008,0)+8)</x:f>
      </x:c>
    </x:row>
    <x:row r="775" ht="36" customHeight="1">
      <x:c r="A775" s="50" t="str">
        <x:f>IF(767&gt;$H$4,"",IF(INDEX('Fleet dates'!$A$9:$A$1008,$I775-8)="","",INDEX('Fleet dates'!$A$9:$A$1008,$I775-8)))</x:f>
      </x:c>
      <x:c r="B775" s="50" t="str">
        <x:f>IF(767&gt;$H$4,"",IF(INDEX('Fleet dates'!$B$9:$B$1008,$I775-8)="","",INDEX('Fleet dates'!$B$9:$B$1008,$I775-8)))</x:f>
      </x:c>
      <x:c r="C775" s="51" t="str">
        <x:f>IF(767&gt;$H$4,"",IF(INDEX('Fleet dates'!$C$9:$C$1008,$I775-8)="","",INDEX('Fleet dates'!$C$9:$C$1008,$I775-8)))</x:f>
      </x:c>
      <x:c r="D775" s="51" t="str">
        <x:f>IF(767&gt;$H$4,"",IF(INDEX('Fleet dates'!$D$9:$D$1008,$I775-8)="","",INDEX('Fleet dates'!$D$9:$D$1008,$I775-8)))</x:f>
      </x:c>
      <x:c r="E775" s="51" t="str">
        <x:f>IF(767&gt;$H$4,"",IF(INDEX('Fleet dates'!$E$9:$E$1008,$I775-8)="","",INDEX('Fleet dates'!$E$9:$E$1008,$I775-8)))</x:f>
      </x:c>
      <x:c r="F775" s="51" t="str">
        <x:f>IF(767&gt;$H$4,"",IF(INDEX('Fleet dates'!$F$9:$F$1008,$I775-8)="","",INDEX('Fleet dates'!$F$9:$F$1008,$I775-8)))</x:f>
      </x:c>
      <x:c r="G775" s="50" t="str">
        <x:f>IF(767&gt;$H$4,"",IF(INDEX('Fleet dates'!$G$9:$G$1008,$I775-8)="","",INDEX('Fleet dates'!$G$9:$G$1008,$I775-8)))</x:f>
      </x:c>
      <x:c r="H775" s="50" t="str">
        <x:f>IF(767&gt;$H$4,"",IF(INDEX('Fleet dates'!$I$9:$I$1008,$I775-8)="","",INDEX('Fleet dates'!$I$9:$I$1008,$I775-8)))</x:f>
      </x:c>
      <x:c r="I775" t="str">
        <x:f>IF(767&gt;$H$4,"",MATCH(767,'Fleet dates'!$N$9:$N$1008,0)+8)</x:f>
      </x:c>
    </x:row>
    <x:row r="776" ht="36" customHeight="1">
      <x:c r="A776" s="50" t="str">
        <x:f>IF(768&gt;$H$4,"",IF(INDEX('Fleet dates'!$A$9:$A$1008,$I776-8)="","",INDEX('Fleet dates'!$A$9:$A$1008,$I776-8)))</x:f>
      </x:c>
      <x:c r="B776" s="50" t="str">
        <x:f>IF(768&gt;$H$4,"",IF(INDEX('Fleet dates'!$B$9:$B$1008,$I776-8)="","",INDEX('Fleet dates'!$B$9:$B$1008,$I776-8)))</x:f>
      </x:c>
      <x:c r="C776" s="51" t="str">
        <x:f>IF(768&gt;$H$4,"",IF(INDEX('Fleet dates'!$C$9:$C$1008,$I776-8)="","",INDEX('Fleet dates'!$C$9:$C$1008,$I776-8)))</x:f>
      </x:c>
      <x:c r="D776" s="51" t="str">
        <x:f>IF(768&gt;$H$4,"",IF(INDEX('Fleet dates'!$D$9:$D$1008,$I776-8)="","",INDEX('Fleet dates'!$D$9:$D$1008,$I776-8)))</x:f>
      </x:c>
      <x:c r="E776" s="51" t="str">
        <x:f>IF(768&gt;$H$4,"",IF(INDEX('Fleet dates'!$E$9:$E$1008,$I776-8)="","",INDEX('Fleet dates'!$E$9:$E$1008,$I776-8)))</x:f>
      </x:c>
      <x:c r="F776" s="51" t="str">
        <x:f>IF(768&gt;$H$4,"",IF(INDEX('Fleet dates'!$F$9:$F$1008,$I776-8)="","",INDEX('Fleet dates'!$F$9:$F$1008,$I776-8)))</x:f>
      </x:c>
      <x:c r="G776" s="50" t="str">
        <x:f>IF(768&gt;$H$4,"",IF(INDEX('Fleet dates'!$G$9:$G$1008,$I776-8)="","",INDEX('Fleet dates'!$G$9:$G$1008,$I776-8)))</x:f>
      </x:c>
      <x:c r="H776" s="50" t="str">
        <x:f>IF(768&gt;$H$4,"",IF(INDEX('Fleet dates'!$I$9:$I$1008,$I776-8)="","",INDEX('Fleet dates'!$I$9:$I$1008,$I776-8)))</x:f>
      </x:c>
      <x:c r="I776" t="str">
        <x:f>IF(768&gt;$H$4,"",MATCH(768,'Fleet dates'!$N$9:$N$1008,0)+8)</x:f>
      </x:c>
    </x:row>
    <x:row r="777" ht="36" customHeight="1">
      <x:c r="A777" s="50" t="str">
        <x:f>IF(769&gt;$H$4,"",IF(INDEX('Fleet dates'!$A$9:$A$1008,$I777-8)="","",INDEX('Fleet dates'!$A$9:$A$1008,$I777-8)))</x:f>
      </x:c>
      <x:c r="B777" s="50" t="str">
        <x:f>IF(769&gt;$H$4,"",IF(INDEX('Fleet dates'!$B$9:$B$1008,$I777-8)="","",INDEX('Fleet dates'!$B$9:$B$1008,$I777-8)))</x:f>
      </x:c>
      <x:c r="C777" s="51" t="str">
        <x:f>IF(769&gt;$H$4,"",IF(INDEX('Fleet dates'!$C$9:$C$1008,$I777-8)="","",INDEX('Fleet dates'!$C$9:$C$1008,$I777-8)))</x:f>
      </x:c>
      <x:c r="D777" s="51" t="str">
        <x:f>IF(769&gt;$H$4,"",IF(INDEX('Fleet dates'!$D$9:$D$1008,$I777-8)="","",INDEX('Fleet dates'!$D$9:$D$1008,$I777-8)))</x:f>
      </x:c>
      <x:c r="E777" s="51" t="str">
        <x:f>IF(769&gt;$H$4,"",IF(INDEX('Fleet dates'!$E$9:$E$1008,$I777-8)="","",INDEX('Fleet dates'!$E$9:$E$1008,$I777-8)))</x:f>
      </x:c>
      <x:c r="F777" s="51" t="str">
        <x:f>IF(769&gt;$H$4,"",IF(INDEX('Fleet dates'!$F$9:$F$1008,$I777-8)="","",INDEX('Fleet dates'!$F$9:$F$1008,$I777-8)))</x:f>
      </x:c>
      <x:c r="G777" s="50" t="str">
        <x:f>IF(769&gt;$H$4,"",IF(INDEX('Fleet dates'!$G$9:$G$1008,$I777-8)="","",INDEX('Fleet dates'!$G$9:$G$1008,$I777-8)))</x:f>
      </x:c>
      <x:c r="H777" s="50" t="str">
        <x:f>IF(769&gt;$H$4,"",IF(INDEX('Fleet dates'!$I$9:$I$1008,$I777-8)="","",INDEX('Fleet dates'!$I$9:$I$1008,$I777-8)))</x:f>
      </x:c>
      <x:c r="I777" t="str">
        <x:f>IF(769&gt;$H$4,"",MATCH(769,'Fleet dates'!$N$9:$N$1008,0)+8)</x:f>
      </x:c>
    </x:row>
    <x:row r="778" ht="36" customHeight="1">
      <x:c r="A778" s="50" t="str">
        <x:f>IF(770&gt;$H$4,"",IF(INDEX('Fleet dates'!$A$9:$A$1008,$I778-8)="","",INDEX('Fleet dates'!$A$9:$A$1008,$I778-8)))</x:f>
      </x:c>
      <x:c r="B778" s="50" t="str">
        <x:f>IF(770&gt;$H$4,"",IF(INDEX('Fleet dates'!$B$9:$B$1008,$I778-8)="","",INDEX('Fleet dates'!$B$9:$B$1008,$I778-8)))</x:f>
      </x:c>
      <x:c r="C778" s="51" t="str">
        <x:f>IF(770&gt;$H$4,"",IF(INDEX('Fleet dates'!$C$9:$C$1008,$I778-8)="","",INDEX('Fleet dates'!$C$9:$C$1008,$I778-8)))</x:f>
      </x:c>
      <x:c r="D778" s="51" t="str">
        <x:f>IF(770&gt;$H$4,"",IF(INDEX('Fleet dates'!$D$9:$D$1008,$I778-8)="","",INDEX('Fleet dates'!$D$9:$D$1008,$I778-8)))</x:f>
      </x:c>
      <x:c r="E778" s="51" t="str">
        <x:f>IF(770&gt;$H$4,"",IF(INDEX('Fleet dates'!$E$9:$E$1008,$I778-8)="","",INDEX('Fleet dates'!$E$9:$E$1008,$I778-8)))</x:f>
      </x:c>
      <x:c r="F778" s="51" t="str">
        <x:f>IF(770&gt;$H$4,"",IF(INDEX('Fleet dates'!$F$9:$F$1008,$I778-8)="","",INDEX('Fleet dates'!$F$9:$F$1008,$I778-8)))</x:f>
      </x:c>
      <x:c r="G778" s="50" t="str">
        <x:f>IF(770&gt;$H$4,"",IF(INDEX('Fleet dates'!$G$9:$G$1008,$I778-8)="","",INDEX('Fleet dates'!$G$9:$G$1008,$I778-8)))</x:f>
      </x:c>
      <x:c r="H778" s="50" t="str">
        <x:f>IF(770&gt;$H$4,"",IF(INDEX('Fleet dates'!$I$9:$I$1008,$I778-8)="","",INDEX('Fleet dates'!$I$9:$I$1008,$I778-8)))</x:f>
      </x:c>
      <x:c r="I778" t="str">
        <x:f>IF(770&gt;$H$4,"",MATCH(770,'Fleet dates'!$N$9:$N$1008,0)+8)</x:f>
      </x:c>
    </x:row>
    <x:row r="779" ht="36" customHeight="1">
      <x:c r="A779" s="50" t="str">
        <x:f>IF(771&gt;$H$4,"",IF(INDEX('Fleet dates'!$A$9:$A$1008,$I779-8)="","",INDEX('Fleet dates'!$A$9:$A$1008,$I779-8)))</x:f>
      </x:c>
      <x:c r="B779" s="50" t="str">
        <x:f>IF(771&gt;$H$4,"",IF(INDEX('Fleet dates'!$B$9:$B$1008,$I779-8)="","",INDEX('Fleet dates'!$B$9:$B$1008,$I779-8)))</x:f>
      </x:c>
      <x:c r="C779" s="51" t="str">
        <x:f>IF(771&gt;$H$4,"",IF(INDEX('Fleet dates'!$C$9:$C$1008,$I779-8)="","",INDEX('Fleet dates'!$C$9:$C$1008,$I779-8)))</x:f>
      </x:c>
      <x:c r="D779" s="51" t="str">
        <x:f>IF(771&gt;$H$4,"",IF(INDEX('Fleet dates'!$D$9:$D$1008,$I779-8)="","",INDEX('Fleet dates'!$D$9:$D$1008,$I779-8)))</x:f>
      </x:c>
      <x:c r="E779" s="51" t="str">
        <x:f>IF(771&gt;$H$4,"",IF(INDEX('Fleet dates'!$E$9:$E$1008,$I779-8)="","",INDEX('Fleet dates'!$E$9:$E$1008,$I779-8)))</x:f>
      </x:c>
      <x:c r="F779" s="51" t="str">
        <x:f>IF(771&gt;$H$4,"",IF(INDEX('Fleet dates'!$F$9:$F$1008,$I779-8)="","",INDEX('Fleet dates'!$F$9:$F$1008,$I779-8)))</x:f>
      </x:c>
      <x:c r="G779" s="50" t="str">
        <x:f>IF(771&gt;$H$4,"",IF(INDEX('Fleet dates'!$G$9:$G$1008,$I779-8)="","",INDEX('Fleet dates'!$G$9:$G$1008,$I779-8)))</x:f>
      </x:c>
      <x:c r="H779" s="50" t="str">
        <x:f>IF(771&gt;$H$4,"",IF(INDEX('Fleet dates'!$I$9:$I$1008,$I779-8)="","",INDEX('Fleet dates'!$I$9:$I$1008,$I779-8)))</x:f>
      </x:c>
      <x:c r="I779" t="str">
        <x:f>IF(771&gt;$H$4,"",MATCH(771,'Fleet dates'!$N$9:$N$1008,0)+8)</x:f>
      </x:c>
    </x:row>
    <x:row r="780" ht="36" customHeight="1">
      <x:c r="A780" s="50" t="str">
        <x:f>IF(772&gt;$H$4,"",IF(INDEX('Fleet dates'!$A$9:$A$1008,$I780-8)="","",INDEX('Fleet dates'!$A$9:$A$1008,$I780-8)))</x:f>
      </x:c>
      <x:c r="B780" s="50" t="str">
        <x:f>IF(772&gt;$H$4,"",IF(INDEX('Fleet dates'!$B$9:$B$1008,$I780-8)="","",INDEX('Fleet dates'!$B$9:$B$1008,$I780-8)))</x:f>
      </x:c>
      <x:c r="C780" s="51" t="str">
        <x:f>IF(772&gt;$H$4,"",IF(INDEX('Fleet dates'!$C$9:$C$1008,$I780-8)="","",INDEX('Fleet dates'!$C$9:$C$1008,$I780-8)))</x:f>
      </x:c>
      <x:c r="D780" s="51" t="str">
        <x:f>IF(772&gt;$H$4,"",IF(INDEX('Fleet dates'!$D$9:$D$1008,$I780-8)="","",INDEX('Fleet dates'!$D$9:$D$1008,$I780-8)))</x:f>
      </x:c>
      <x:c r="E780" s="51" t="str">
        <x:f>IF(772&gt;$H$4,"",IF(INDEX('Fleet dates'!$E$9:$E$1008,$I780-8)="","",INDEX('Fleet dates'!$E$9:$E$1008,$I780-8)))</x:f>
      </x:c>
      <x:c r="F780" s="51" t="str">
        <x:f>IF(772&gt;$H$4,"",IF(INDEX('Fleet dates'!$F$9:$F$1008,$I780-8)="","",INDEX('Fleet dates'!$F$9:$F$1008,$I780-8)))</x:f>
      </x:c>
      <x:c r="G780" s="50" t="str">
        <x:f>IF(772&gt;$H$4,"",IF(INDEX('Fleet dates'!$G$9:$G$1008,$I780-8)="","",INDEX('Fleet dates'!$G$9:$G$1008,$I780-8)))</x:f>
      </x:c>
      <x:c r="H780" s="50" t="str">
        <x:f>IF(772&gt;$H$4,"",IF(INDEX('Fleet dates'!$I$9:$I$1008,$I780-8)="","",INDEX('Fleet dates'!$I$9:$I$1008,$I780-8)))</x:f>
      </x:c>
      <x:c r="I780" t="str">
        <x:f>IF(772&gt;$H$4,"",MATCH(772,'Fleet dates'!$N$9:$N$1008,0)+8)</x:f>
      </x:c>
    </x:row>
    <x:row r="781" ht="36" customHeight="1">
      <x:c r="A781" s="50" t="str">
        <x:f>IF(773&gt;$H$4,"",IF(INDEX('Fleet dates'!$A$9:$A$1008,$I781-8)="","",INDEX('Fleet dates'!$A$9:$A$1008,$I781-8)))</x:f>
      </x:c>
      <x:c r="B781" s="50" t="str">
        <x:f>IF(773&gt;$H$4,"",IF(INDEX('Fleet dates'!$B$9:$B$1008,$I781-8)="","",INDEX('Fleet dates'!$B$9:$B$1008,$I781-8)))</x:f>
      </x:c>
      <x:c r="C781" s="51" t="str">
        <x:f>IF(773&gt;$H$4,"",IF(INDEX('Fleet dates'!$C$9:$C$1008,$I781-8)="","",INDEX('Fleet dates'!$C$9:$C$1008,$I781-8)))</x:f>
      </x:c>
      <x:c r="D781" s="51" t="str">
        <x:f>IF(773&gt;$H$4,"",IF(INDEX('Fleet dates'!$D$9:$D$1008,$I781-8)="","",INDEX('Fleet dates'!$D$9:$D$1008,$I781-8)))</x:f>
      </x:c>
      <x:c r="E781" s="51" t="str">
        <x:f>IF(773&gt;$H$4,"",IF(INDEX('Fleet dates'!$E$9:$E$1008,$I781-8)="","",INDEX('Fleet dates'!$E$9:$E$1008,$I781-8)))</x:f>
      </x:c>
      <x:c r="F781" s="51" t="str">
        <x:f>IF(773&gt;$H$4,"",IF(INDEX('Fleet dates'!$F$9:$F$1008,$I781-8)="","",INDEX('Fleet dates'!$F$9:$F$1008,$I781-8)))</x:f>
      </x:c>
      <x:c r="G781" s="50" t="str">
        <x:f>IF(773&gt;$H$4,"",IF(INDEX('Fleet dates'!$G$9:$G$1008,$I781-8)="","",INDEX('Fleet dates'!$G$9:$G$1008,$I781-8)))</x:f>
      </x:c>
      <x:c r="H781" s="50" t="str">
        <x:f>IF(773&gt;$H$4,"",IF(INDEX('Fleet dates'!$I$9:$I$1008,$I781-8)="","",INDEX('Fleet dates'!$I$9:$I$1008,$I781-8)))</x:f>
      </x:c>
      <x:c r="I781" t="str">
        <x:f>IF(773&gt;$H$4,"",MATCH(773,'Fleet dates'!$N$9:$N$1008,0)+8)</x:f>
      </x:c>
    </x:row>
    <x:row r="782" ht="36" customHeight="1">
      <x:c r="A782" s="50" t="str">
        <x:f>IF(774&gt;$H$4,"",IF(INDEX('Fleet dates'!$A$9:$A$1008,$I782-8)="","",INDEX('Fleet dates'!$A$9:$A$1008,$I782-8)))</x:f>
      </x:c>
      <x:c r="B782" s="50" t="str">
        <x:f>IF(774&gt;$H$4,"",IF(INDEX('Fleet dates'!$B$9:$B$1008,$I782-8)="","",INDEX('Fleet dates'!$B$9:$B$1008,$I782-8)))</x:f>
      </x:c>
      <x:c r="C782" s="51" t="str">
        <x:f>IF(774&gt;$H$4,"",IF(INDEX('Fleet dates'!$C$9:$C$1008,$I782-8)="","",INDEX('Fleet dates'!$C$9:$C$1008,$I782-8)))</x:f>
      </x:c>
      <x:c r="D782" s="51" t="str">
        <x:f>IF(774&gt;$H$4,"",IF(INDEX('Fleet dates'!$D$9:$D$1008,$I782-8)="","",INDEX('Fleet dates'!$D$9:$D$1008,$I782-8)))</x:f>
      </x:c>
      <x:c r="E782" s="51" t="str">
        <x:f>IF(774&gt;$H$4,"",IF(INDEX('Fleet dates'!$E$9:$E$1008,$I782-8)="","",INDEX('Fleet dates'!$E$9:$E$1008,$I782-8)))</x:f>
      </x:c>
      <x:c r="F782" s="51" t="str">
        <x:f>IF(774&gt;$H$4,"",IF(INDEX('Fleet dates'!$F$9:$F$1008,$I782-8)="","",INDEX('Fleet dates'!$F$9:$F$1008,$I782-8)))</x:f>
      </x:c>
      <x:c r="G782" s="50" t="str">
        <x:f>IF(774&gt;$H$4,"",IF(INDEX('Fleet dates'!$G$9:$G$1008,$I782-8)="","",INDEX('Fleet dates'!$G$9:$G$1008,$I782-8)))</x:f>
      </x:c>
      <x:c r="H782" s="50" t="str">
        <x:f>IF(774&gt;$H$4,"",IF(INDEX('Fleet dates'!$I$9:$I$1008,$I782-8)="","",INDEX('Fleet dates'!$I$9:$I$1008,$I782-8)))</x:f>
      </x:c>
      <x:c r="I782" t="str">
        <x:f>IF(774&gt;$H$4,"",MATCH(774,'Fleet dates'!$N$9:$N$1008,0)+8)</x:f>
      </x:c>
    </x:row>
    <x:row r="783" ht="36" customHeight="1">
      <x:c r="A783" s="50" t="str">
        <x:f>IF(775&gt;$H$4,"",IF(INDEX('Fleet dates'!$A$9:$A$1008,$I783-8)="","",INDEX('Fleet dates'!$A$9:$A$1008,$I783-8)))</x:f>
      </x:c>
      <x:c r="B783" s="50" t="str">
        <x:f>IF(775&gt;$H$4,"",IF(INDEX('Fleet dates'!$B$9:$B$1008,$I783-8)="","",INDEX('Fleet dates'!$B$9:$B$1008,$I783-8)))</x:f>
      </x:c>
      <x:c r="C783" s="51" t="str">
        <x:f>IF(775&gt;$H$4,"",IF(INDEX('Fleet dates'!$C$9:$C$1008,$I783-8)="","",INDEX('Fleet dates'!$C$9:$C$1008,$I783-8)))</x:f>
      </x:c>
      <x:c r="D783" s="51" t="str">
        <x:f>IF(775&gt;$H$4,"",IF(INDEX('Fleet dates'!$D$9:$D$1008,$I783-8)="","",INDEX('Fleet dates'!$D$9:$D$1008,$I783-8)))</x:f>
      </x:c>
      <x:c r="E783" s="51" t="str">
        <x:f>IF(775&gt;$H$4,"",IF(INDEX('Fleet dates'!$E$9:$E$1008,$I783-8)="","",INDEX('Fleet dates'!$E$9:$E$1008,$I783-8)))</x:f>
      </x:c>
      <x:c r="F783" s="51" t="str">
        <x:f>IF(775&gt;$H$4,"",IF(INDEX('Fleet dates'!$F$9:$F$1008,$I783-8)="","",INDEX('Fleet dates'!$F$9:$F$1008,$I783-8)))</x:f>
      </x:c>
      <x:c r="G783" s="50" t="str">
        <x:f>IF(775&gt;$H$4,"",IF(INDEX('Fleet dates'!$G$9:$G$1008,$I783-8)="","",INDEX('Fleet dates'!$G$9:$G$1008,$I783-8)))</x:f>
      </x:c>
      <x:c r="H783" s="50" t="str">
        <x:f>IF(775&gt;$H$4,"",IF(INDEX('Fleet dates'!$I$9:$I$1008,$I783-8)="","",INDEX('Fleet dates'!$I$9:$I$1008,$I783-8)))</x:f>
      </x:c>
      <x:c r="I783" t="str">
        <x:f>IF(775&gt;$H$4,"",MATCH(775,'Fleet dates'!$N$9:$N$1008,0)+8)</x:f>
      </x:c>
    </x:row>
    <x:row r="784" ht="36" customHeight="1">
      <x:c r="A784" s="50" t="str">
        <x:f>IF(776&gt;$H$4,"",IF(INDEX('Fleet dates'!$A$9:$A$1008,$I784-8)="","",INDEX('Fleet dates'!$A$9:$A$1008,$I784-8)))</x:f>
      </x:c>
      <x:c r="B784" s="50" t="str">
        <x:f>IF(776&gt;$H$4,"",IF(INDEX('Fleet dates'!$B$9:$B$1008,$I784-8)="","",INDEX('Fleet dates'!$B$9:$B$1008,$I784-8)))</x:f>
      </x:c>
      <x:c r="C784" s="51" t="str">
        <x:f>IF(776&gt;$H$4,"",IF(INDEX('Fleet dates'!$C$9:$C$1008,$I784-8)="","",INDEX('Fleet dates'!$C$9:$C$1008,$I784-8)))</x:f>
      </x:c>
      <x:c r="D784" s="51" t="str">
        <x:f>IF(776&gt;$H$4,"",IF(INDEX('Fleet dates'!$D$9:$D$1008,$I784-8)="","",INDEX('Fleet dates'!$D$9:$D$1008,$I784-8)))</x:f>
      </x:c>
      <x:c r="E784" s="51" t="str">
        <x:f>IF(776&gt;$H$4,"",IF(INDEX('Fleet dates'!$E$9:$E$1008,$I784-8)="","",INDEX('Fleet dates'!$E$9:$E$1008,$I784-8)))</x:f>
      </x:c>
      <x:c r="F784" s="51" t="str">
        <x:f>IF(776&gt;$H$4,"",IF(INDEX('Fleet dates'!$F$9:$F$1008,$I784-8)="","",INDEX('Fleet dates'!$F$9:$F$1008,$I784-8)))</x:f>
      </x:c>
      <x:c r="G784" s="50" t="str">
        <x:f>IF(776&gt;$H$4,"",IF(INDEX('Fleet dates'!$G$9:$G$1008,$I784-8)="","",INDEX('Fleet dates'!$G$9:$G$1008,$I784-8)))</x:f>
      </x:c>
      <x:c r="H784" s="50" t="str">
        <x:f>IF(776&gt;$H$4,"",IF(INDEX('Fleet dates'!$I$9:$I$1008,$I784-8)="","",INDEX('Fleet dates'!$I$9:$I$1008,$I784-8)))</x:f>
      </x:c>
      <x:c r="I784" t="str">
        <x:f>IF(776&gt;$H$4,"",MATCH(776,'Fleet dates'!$N$9:$N$1008,0)+8)</x:f>
      </x:c>
    </x:row>
    <x:row r="785" ht="36" customHeight="1">
      <x:c r="A785" s="50" t="str">
        <x:f>IF(777&gt;$H$4,"",IF(INDEX('Fleet dates'!$A$9:$A$1008,$I785-8)="","",INDEX('Fleet dates'!$A$9:$A$1008,$I785-8)))</x:f>
      </x:c>
      <x:c r="B785" s="50" t="str">
        <x:f>IF(777&gt;$H$4,"",IF(INDEX('Fleet dates'!$B$9:$B$1008,$I785-8)="","",INDEX('Fleet dates'!$B$9:$B$1008,$I785-8)))</x:f>
      </x:c>
      <x:c r="C785" s="51" t="str">
        <x:f>IF(777&gt;$H$4,"",IF(INDEX('Fleet dates'!$C$9:$C$1008,$I785-8)="","",INDEX('Fleet dates'!$C$9:$C$1008,$I785-8)))</x:f>
      </x:c>
      <x:c r="D785" s="51" t="str">
        <x:f>IF(777&gt;$H$4,"",IF(INDEX('Fleet dates'!$D$9:$D$1008,$I785-8)="","",INDEX('Fleet dates'!$D$9:$D$1008,$I785-8)))</x:f>
      </x:c>
      <x:c r="E785" s="51" t="str">
        <x:f>IF(777&gt;$H$4,"",IF(INDEX('Fleet dates'!$E$9:$E$1008,$I785-8)="","",INDEX('Fleet dates'!$E$9:$E$1008,$I785-8)))</x:f>
      </x:c>
      <x:c r="F785" s="51" t="str">
        <x:f>IF(777&gt;$H$4,"",IF(INDEX('Fleet dates'!$F$9:$F$1008,$I785-8)="","",INDEX('Fleet dates'!$F$9:$F$1008,$I785-8)))</x:f>
      </x:c>
      <x:c r="G785" s="50" t="str">
        <x:f>IF(777&gt;$H$4,"",IF(INDEX('Fleet dates'!$G$9:$G$1008,$I785-8)="","",INDEX('Fleet dates'!$G$9:$G$1008,$I785-8)))</x:f>
      </x:c>
      <x:c r="H785" s="50" t="str">
        <x:f>IF(777&gt;$H$4,"",IF(INDEX('Fleet dates'!$I$9:$I$1008,$I785-8)="","",INDEX('Fleet dates'!$I$9:$I$1008,$I785-8)))</x:f>
      </x:c>
      <x:c r="I785" t="str">
        <x:f>IF(777&gt;$H$4,"",MATCH(777,'Fleet dates'!$N$9:$N$1008,0)+8)</x:f>
      </x:c>
    </x:row>
    <x:row r="786" ht="36" customHeight="1">
      <x:c r="A786" s="50" t="str">
        <x:f>IF(778&gt;$H$4,"",IF(INDEX('Fleet dates'!$A$9:$A$1008,$I786-8)="","",INDEX('Fleet dates'!$A$9:$A$1008,$I786-8)))</x:f>
      </x:c>
      <x:c r="B786" s="50" t="str">
        <x:f>IF(778&gt;$H$4,"",IF(INDEX('Fleet dates'!$B$9:$B$1008,$I786-8)="","",INDEX('Fleet dates'!$B$9:$B$1008,$I786-8)))</x:f>
      </x:c>
      <x:c r="C786" s="51" t="str">
        <x:f>IF(778&gt;$H$4,"",IF(INDEX('Fleet dates'!$C$9:$C$1008,$I786-8)="","",INDEX('Fleet dates'!$C$9:$C$1008,$I786-8)))</x:f>
      </x:c>
      <x:c r="D786" s="51" t="str">
        <x:f>IF(778&gt;$H$4,"",IF(INDEX('Fleet dates'!$D$9:$D$1008,$I786-8)="","",INDEX('Fleet dates'!$D$9:$D$1008,$I786-8)))</x:f>
      </x:c>
      <x:c r="E786" s="51" t="str">
        <x:f>IF(778&gt;$H$4,"",IF(INDEX('Fleet dates'!$E$9:$E$1008,$I786-8)="","",INDEX('Fleet dates'!$E$9:$E$1008,$I786-8)))</x:f>
      </x:c>
      <x:c r="F786" s="51" t="str">
        <x:f>IF(778&gt;$H$4,"",IF(INDEX('Fleet dates'!$F$9:$F$1008,$I786-8)="","",INDEX('Fleet dates'!$F$9:$F$1008,$I786-8)))</x:f>
      </x:c>
      <x:c r="G786" s="50" t="str">
        <x:f>IF(778&gt;$H$4,"",IF(INDEX('Fleet dates'!$G$9:$G$1008,$I786-8)="","",INDEX('Fleet dates'!$G$9:$G$1008,$I786-8)))</x:f>
      </x:c>
      <x:c r="H786" s="50" t="str">
        <x:f>IF(778&gt;$H$4,"",IF(INDEX('Fleet dates'!$I$9:$I$1008,$I786-8)="","",INDEX('Fleet dates'!$I$9:$I$1008,$I786-8)))</x:f>
      </x:c>
      <x:c r="I786" t="str">
        <x:f>IF(778&gt;$H$4,"",MATCH(778,'Fleet dates'!$N$9:$N$1008,0)+8)</x:f>
      </x:c>
    </x:row>
    <x:row r="787" ht="36" customHeight="1">
      <x:c r="A787" s="50" t="str">
        <x:f>IF(779&gt;$H$4,"",IF(INDEX('Fleet dates'!$A$9:$A$1008,$I787-8)="","",INDEX('Fleet dates'!$A$9:$A$1008,$I787-8)))</x:f>
      </x:c>
      <x:c r="B787" s="50" t="str">
        <x:f>IF(779&gt;$H$4,"",IF(INDEX('Fleet dates'!$B$9:$B$1008,$I787-8)="","",INDEX('Fleet dates'!$B$9:$B$1008,$I787-8)))</x:f>
      </x:c>
      <x:c r="C787" s="51" t="str">
        <x:f>IF(779&gt;$H$4,"",IF(INDEX('Fleet dates'!$C$9:$C$1008,$I787-8)="","",INDEX('Fleet dates'!$C$9:$C$1008,$I787-8)))</x:f>
      </x:c>
      <x:c r="D787" s="51" t="str">
        <x:f>IF(779&gt;$H$4,"",IF(INDEX('Fleet dates'!$D$9:$D$1008,$I787-8)="","",INDEX('Fleet dates'!$D$9:$D$1008,$I787-8)))</x:f>
      </x:c>
      <x:c r="E787" s="51" t="str">
        <x:f>IF(779&gt;$H$4,"",IF(INDEX('Fleet dates'!$E$9:$E$1008,$I787-8)="","",INDEX('Fleet dates'!$E$9:$E$1008,$I787-8)))</x:f>
      </x:c>
      <x:c r="F787" s="51" t="str">
        <x:f>IF(779&gt;$H$4,"",IF(INDEX('Fleet dates'!$F$9:$F$1008,$I787-8)="","",INDEX('Fleet dates'!$F$9:$F$1008,$I787-8)))</x:f>
      </x:c>
      <x:c r="G787" s="50" t="str">
        <x:f>IF(779&gt;$H$4,"",IF(INDEX('Fleet dates'!$G$9:$G$1008,$I787-8)="","",INDEX('Fleet dates'!$G$9:$G$1008,$I787-8)))</x:f>
      </x:c>
      <x:c r="H787" s="50" t="str">
        <x:f>IF(779&gt;$H$4,"",IF(INDEX('Fleet dates'!$I$9:$I$1008,$I787-8)="","",INDEX('Fleet dates'!$I$9:$I$1008,$I787-8)))</x:f>
      </x:c>
      <x:c r="I787" t="str">
        <x:f>IF(779&gt;$H$4,"",MATCH(779,'Fleet dates'!$N$9:$N$1008,0)+8)</x:f>
      </x:c>
    </x:row>
    <x:row r="788" ht="36" customHeight="1">
      <x:c r="A788" s="50" t="str">
        <x:f>IF(780&gt;$H$4,"",IF(INDEX('Fleet dates'!$A$9:$A$1008,$I788-8)="","",INDEX('Fleet dates'!$A$9:$A$1008,$I788-8)))</x:f>
      </x:c>
      <x:c r="B788" s="50" t="str">
        <x:f>IF(780&gt;$H$4,"",IF(INDEX('Fleet dates'!$B$9:$B$1008,$I788-8)="","",INDEX('Fleet dates'!$B$9:$B$1008,$I788-8)))</x:f>
      </x:c>
      <x:c r="C788" s="51" t="str">
        <x:f>IF(780&gt;$H$4,"",IF(INDEX('Fleet dates'!$C$9:$C$1008,$I788-8)="","",INDEX('Fleet dates'!$C$9:$C$1008,$I788-8)))</x:f>
      </x:c>
      <x:c r="D788" s="51" t="str">
        <x:f>IF(780&gt;$H$4,"",IF(INDEX('Fleet dates'!$D$9:$D$1008,$I788-8)="","",INDEX('Fleet dates'!$D$9:$D$1008,$I788-8)))</x:f>
      </x:c>
      <x:c r="E788" s="51" t="str">
        <x:f>IF(780&gt;$H$4,"",IF(INDEX('Fleet dates'!$E$9:$E$1008,$I788-8)="","",INDEX('Fleet dates'!$E$9:$E$1008,$I788-8)))</x:f>
      </x:c>
      <x:c r="F788" s="51" t="str">
        <x:f>IF(780&gt;$H$4,"",IF(INDEX('Fleet dates'!$F$9:$F$1008,$I788-8)="","",INDEX('Fleet dates'!$F$9:$F$1008,$I788-8)))</x:f>
      </x:c>
      <x:c r="G788" s="50" t="str">
        <x:f>IF(780&gt;$H$4,"",IF(INDEX('Fleet dates'!$G$9:$G$1008,$I788-8)="","",INDEX('Fleet dates'!$G$9:$G$1008,$I788-8)))</x:f>
      </x:c>
      <x:c r="H788" s="50" t="str">
        <x:f>IF(780&gt;$H$4,"",IF(INDEX('Fleet dates'!$I$9:$I$1008,$I788-8)="","",INDEX('Fleet dates'!$I$9:$I$1008,$I788-8)))</x:f>
      </x:c>
      <x:c r="I788" t="str">
        <x:f>IF(780&gt;$H$4,"",MATCH(780,'Fleet dates'!$N$9:$N$1008,0)+8)</x:f>
      </x:c>
    </x:row>
    <x:row r="789" ht="36" customHeight="1">
      <x:c r="A789" s="50" t="str">
        <x:f>IF(781&gt;$H$4,"",IF(INDEX('Fleet dates'!$A$9:$A$1008,$I789-8)="","",INDEX('Fleet dates'!$A$9:$A$1008,$I789-8)))</x:f>
      </x:c>
      <x:c r="B789" s="50" t="str">
        <x:f>IF(781&gt;$H$4,"",IF(INDEX('Fleet dates'!$B$9:$B$1008,$I789-8)="","",INDEX('Fleet dates'!$B$9:$B$1008,$I789-8)))</x:f>
      </x:c>
      <x:c r="C789" s="51" t="str">
        <x:f>IF(781&gt;$H$4,"",IF(INDEX('Fleet dates'!$C$9:$C$1008,$I789-8)="","",INDEX('Fleet dates'!$C$9:$C$1008,$I789-8)))</x:f>
      </x:c>
      <x:c r="D789" s="51" t="str">
        <x:f>IF(781&gt;$H$4,"",IF(INDEX('Fleet dates'!$D$9:$D$1008,$I789-8)="","",INDEX('Fleet dates'!$D$9:$D$1008,$I789-8)))</x:f>
      </x:c>
      <x:c r="E789" s="51" t="str">
        <x:f>IF(781&gt;$H$4,"",IF(INDEX('Fleet dates'!$E$9:$E$1008,$I789-8)="","",INDEX('Fleet dates'!$E$9:$E$1008,$I789-8)))</x:f>
      </x:c>
      <x:c r="F789" s="51" t="str">
        <x:f>IF(781&gt;$H$4,"",IF(INDEX('Fleet dates'!$F$9:$F$1008,$I789-8)="","",INDEX('Fleet dates'!$F$9:$F$1008,$I789-8)))</x:f>
      </x:c>
      <x:c r="G789" s="50" t="str">
        <x:f>IF(781&gt;$H$4,"",IF(INDEX('Fleet dates'!$G$9:$G$1008,$I789-8)="","",INDEX('Fleet dates'!$G$9:$G$1008,$I789-8)))</x:f>
      </x:c>
      <x:c r="H789" s="50" t="str">
        <x:f>IF(781&gt;$H$4,"",IF(INDEX('Fleet dates'!$I$9:$I$1008,$I789-8)="","",INDEX('Fleet dates'!$I$9:$I$1008,$I789-8)))</x:f>
      </x:c>
      <x:c r="I789" t="str">
        <x:f>IF(781&gt;$H$4,"",MATCH(781,'Fleet dates'!$N$9:$N$1008,0)+8)</x:f>
      </x:c>
    </x:row>
    <x:row r="790" ht="36" customHeight="1">
      <x:c r="A790" s="50" t="str">
        <x:f>IF(782&gt;$H$4,"",IF(INDEX('Fleet dates'!$A$9:$A$1008,$I790-8)="","",INDEX('Fleet dates'!$A$9:$A$1008,$I790-8)))</x:f>
      </x:c>
      <x:c r="B790" s="50" t="str">
        <x:f>IF(782&gt;$H$4,"",IF(INDEX('Fleet dates'!$B$9:$B$1008,$I790-8)="","",INDEX('Fleet dates'!$B$9:$B$1008,$I790-8)))</x:f>
      </x:c>
      <x:c r="C790" s="51" t="str">
        <x:f>IF(782&gt;$H$4,"",IF(INDEX('Fleet dates'!$C$9:$C$1008,$I790-8)="","",INDEX('Fleet dates'!$C$9:$C$1008,$I790-8)))</x:f>
      </x:c>
      <x:c r="D790" s="51" t="str">
        <x:f>IF(782&gt;$H$4,"",IF(INDEX('Fleet dates'!$D$9:$D$1008,$I790-8)="","",INDEX('Fleet dates'!$D$9:$D$1008,$I790-8)))</x:f>
      </x:c>
      <x:c r="E790" s="51" t="str">
        <x:f>IF(782&gt;$H$4,"",IF(INDEX('Fleet dates'!$E$9:$E$1008,$I790-8)="","",INDEX('Fleet dates'!$E$9:$E$1008,$I790-8)))</x:f>
      </x:c>
      <x:c r="F790" s="51" t="str">
        <x:f>IF(782&gt;$H$4,"",IF(INDEX('Fleet dates'!$F$9:$F$1008,$I790-8)="","",INDEX('Fleet dates'!$F$9:$F$1008,$I790-8)))</x:f>
      </x:c>
      <x:c r="G790" s="50" t="str">
        <x:f>IF(782&gt;$H$4,"",IF(INDEX('Fleet dates'!$G$9:$G$1008,$I790-8)="","",INDEX('Fleet dates'!$G$9:$G$1008,$I790-8)))</x:f>
      </x:c>
      <x:c r="H790" s="50" t="str">
        <x:f>IF(782&gt;$H$4,"",IF(INDEX('Fleet dates'!$I$9:$I$1008,$I790-8)="","",INDEX('Fleet dates'!$I$9:$I$1008,$I790-8)))</x:f>
      </x:c>
      <x:c r="I790" t="str">
        <x:f>IF(782&gt;$H$4,"",MATCH(782,'Fleet dates'!$N$9:$N$1008,0)+8)</x:f>
      </x:c>
    </x:row>
    <x:row r="791" ht="36" customHeight="1">
      <x:c r="A791" s="50" t="str">
        <x:f>IF(783&gt;$H$4,"",IF(INDEX('Fleet dates'!$A$9:$A$1008,$I791-8)="","",INDEX('Fleet dates'!$A$9:$A$1008,$I791-8)))</x:f>
      </x:c>
      <x:c r="B791" s="50" t="str">
        <x:f>IF(783&gt;$H$4,"",IF(INDEX('Fleet dates'!$B$9:$B$1008,$I791-8)="","",INDEX('Fleet dates'!$B$9:$B$1008,$I791-8)))</x:f>
      </x:c>
      <x:c r="C791" s="51" t="str">
        <x:f>IF(783&gt;$H$4,"",IF(INDEX('Fleet dates'!$C$9:$C$1008,$I791-8)="","",INDEX('Fleet dates'!$C$9:$C$1008,$I791-8)))</x:f>
      </x:c>
      <x:c r="D791" s="51" t="str">
        <x:f>IF(783&gt;$H$4,"",IF(INDEX('Fleet dates'!$D$9:$D$1008,$I791-8)="","",INDEX('Fleet dates'!$D$9:$D$1008,$I791-8)))</x:f>
      </x:c>
      <x:c r="E791" s="51" t="str">
        <x:f>IF(783&gt;$H$4,"",IF(INDEX('Fleet dates'!$E$9:$E$1008,$I791-8)="","",INDEX('Fleet dates'!$E$9:$E$1008,$I791-8)))</x:f>
      </x:c>
      <x:c r="F791" s="51" t="str">
        <x:f>IF(783&gt;$H$4,"",IF(INDEX('Fleet dates'!$F$9:$F$1008,$I791-8)="","",INDEX('Fleet dates'!$F$9:$F$1008,$I791-8)))</x:f>
      </x:c>
      <x:c r="G791" s="50" t="str">
        <x:f>IF(783&gt;$H$4,"",IF(INDEX('Fleet dates'!$G$9:$G$1008,$I791-8)="","",INDEX('Fleet dates'!$G$9:$G$1008,$I791-8)))</x:f>
      </x:c>
      <x:c r="H791" s="50" t="str">
        <x:f>IF(783&gt;$H$4,"",IF(INDEX('Fleet dates'!$I$9:$I$1008,$I791-8)="","",INDEX('Fleet dates'!$I$9:$I$1008,$I791-8)))</x:f>
      </x:c>
      <x:c r="I791" t="str">
        <x:f>IF(783&gt;$H$4,"",MATCH(783,'Fleet dates'!$N$9:$N$1008,0)+8)</x:f>
      </x:c>
    </x:row>
    <x:row r="792" ht="36" customHeight="1">
      <x:c r="A792" s="50" t="str">
        <x:f>IF(784&gt;$H$4,"",IF(INDEX('Fleet dates'!$A$9:$A$1008,$I792-8)="","",INDEX('Fleet dates'!$A$9:$A$1008,$I792-8)))</x:f>
      </x:c>
      <x:c r="B792" s="50" t="str">
        <x:f>IF(784&gt;$H$4,"",IF(INDEX('Fleet dates'!$B$9:$B$1008,$I792-8)="","",INDEX('Fleet dates'!$B$9:$B$1008,$I792-8)))</x:f>
      </x:c>
      <x:c r="C792" s="51" t="str">
        <x:f>IF(784&gt;$H$4,"",IF(INDEX('Fleet dates'!$C$9:$C$1008,$I792-8)="","",INDEX('Fleet dates'!$C$9:$C$1008,$I792-8)))</x:f>
      </x:c>
      <x:c r="D792" s="51" t="str">
        <x:f>IF(784&gt;$H$4,"",IF(INDEX('Fleet dates'!$D$9:$D$1008,$I792-8)="","",INDEX('Fleet dates'!$D$9:$D$1008,$I792-8)))</x:f>
      </x:c>
      <x:c r="E792" s="51" t="str">
        <x:f>IF(784&gt;$H$4,"",IF(INDEX('Fleet dates'!$E$9:$E$1008,$I792-8)="","",INDEX('Fleet dates'!$E$9:$E$1008,$I792-8)))</x:f>
      </x:c>
      <x:c r="F792" s="51" t="str">
        <x:f>IF(784&gt;$H$4,"",IF(INDEX('Fleet dates'!$F$9:$F$1008,$I792-8)="","",INDEX('Fleet dates'!$F$9:$F$1008,$I792-8)))</x:f>
      </x:c>
      <x:c r="G792" s="50" t="str">
        <x:f>IF(784&gt;$H$4,"",IF(INDEX('Fleet dates'!$G$9:$G$1008,$I792-8)="","",INDEX('Fleet dates'!$G$9:$G$1008,$I792-8)))</x:f>
      </x:c>
      <x:c r="H792" s="50" t="str">
        <x:f>IF(784&gt;$H$4,"",IF(INDEX('Fleet dates'!$I$9:$I$1008,$I792-8)="","",INDEX('Fleet dates'!$I$9:$I$1008,$I792-8)))</x:f>
      </x:c>
      <x:c r="I792" t="str">
        <x:f>IF(784&gt;$H$4,"",MATCH(784,'Fleet dates'!$N$9:$N$1008,0)+8)</x:f>
      </x:c>
    </x:row>
    <x:row r="793" ht="36" customHeight="1">
      <x:c r="A793" s="50" t="str">
        <x:f>IF(785&gt;$H$4,"",IF(INDEX('Fleet dates'!$A$9:$A$1008,$I793-8)="","",INDEX('Fleet dates'!$A$9:$A$1008,$I793-8)))</x:f>
      </x:c>
      <x:c r="B793" s="50" t="str">
        <x:f>IF(785&gt;$H$4,"",IF(INDEX('Fleet dates'!$B$9:$B$1008,$I793-8)="","",INDEX('Fleet dates'!$B$9:$B$1008,$I793-8)))</x:f>
      </x:c>
      <x:c r="C793" s="51" t="str">
        <x:f>IF(785&gt;$H$4,"",IF(INDEX('Fleet dates'!$C$9:$C$1008,$I793-8)="","",INDEX('Fleet dates'!$C$9:$C$1008,$I793-8)))</x:f>
      </x:c>
      <x:c r="D793" s="51" t="str">
        <x:f>IF(785&gt;$H$4,"",IF(INDEX('Fleet dates'!$D$9:$D$1008,$I793-8)="","",INDEX('Fleet dates'!$D$9:$D$1008,$I793-8)))</x:f>
      </x:c>
      <x:c r="E793" s="51" t="str">
        <x:f>IF(785&gt;$H$4,"",IF(INDEX('Fleet dates'!$E$9:$E$1008,$I793-8)="","",INDEX('Fleet dates'!$E$9:$E$1008,$I793-8)))</x:f>
      </x:c>
      <x:c r="F793" s="51" t="str">
        <x:f>IF(785&gt;$H$4,"",IF(INDEX('Fleet dates'!$F$9:$F$1008,$I793-8)="","",INDEX('Fleet dates'!$F$9:$F$1008,$I793-8)))</x:f>
      </x:c>
      <x:c r="G793" s="50" t="str">
        <x:f>IF(785&gt;$H$4,"",IF(INDEX('Fleet dates'!$G$9:$G$1008,$I793-8)="","",INDEX('Fleet dates'!$G$9:$G$1008,$I793-8)))</x:f>
      </x:c>
      <x:c r="H793" s="50" t="str">
        <x:f>IF(785&gt;$H$4,"",IF(INDEX('Fleet dates'!$I$9:$I$1008,$I793-8)="","",INDEX('Fleet dates'!$I$9:$I$1008,$I793-8)))</x:f>
      </x:c>
      <x:c r="I793" t="str">
        <x:f>IF(785&gt;$H$4,"",MATCH(785,'Fleet dates'!$N$9:$N$1008,0)+8)</x:f>
      </x:c>
    </x:row>
    <x:row r="794" ht="36" customHeight="1">
      <x:c r="A794" s="50" t="str">
        <x:f>IF(786&gt;$H$4,"",IF(INDEX('Fleet dates'!$A$9:$A$1008,$I794-8)="","",INDEX('Fleet dates'!$A$9:$A$1008,$I794-8)))</x:f>
      </x:c>
      <x:c r="B794" s="50" t="str">
        <x:f>IF(786&gt;$H$4,"",IF(INDEX('Fleet dates'!$B$9:$B$1008,$I794-8)="","",INDEX('Fleet dates'!$B$9:$B$1008,$I794-8)))</x:f>
      </x:c>
      <x:c r="C794" s="51" t="str">
        <x:f>IF(786&gt;$H$4,"",IF(INDEX('Fleet dates'!$C$9:$C$1008,$I794-8)="","",INDEX('Fleet dates'!$C$9:$C$1008,$I794-8)))</x:f>
      </x:c>
      <x:c r="D794" s="51" t="str">
        <x:f>IF(786&gt;$H$4,"",IF(INDEX('Fleet dates'!$D$9:$D$1008,$I794-8)="","",INDEX('Fleet dates'!$D$9:$D$1008,$I794-8)))</x:f>
      </x:c>
      <x:c r="E794" s="51" t="str">
        <x:f>IF(786&gt;$H$4,"",IF(INDEX('Fleet dates'!$E$9:$E$1008,$I794-8)="","",INDEX('Fleet dates'!$E$9:$E$1008,$I794-8)))</x:f>
      </x:c>
      <x:c r="F794" s="51" t="str">
        <x:f>IF(786&gt;$H$4,"",IF(INDEX('Fleet dates'!$F$9:$F$1008,$I794-8)="","",INDEX('Fleet dates'!$F$9:$F$1008,$I794-8)))</x:f>
      </x:c>
      <x:c r="G794" s="50" t="str">
        <x:f>IF(786&gt;$H$4,"",IF(INDEX('Fleet dates'!$G$9:$G$1008,$I794-8)="","",INDEX('Fleet dates'!$G$9:$G$1008,$I794-8)))</x:f>
      </x:c>
      <x:c r="H794" s="50" t="str">
        <x:f>IF(786&gt;$H$4,"",IF(INDEX('Fleet dates'!$I$9:$I$1008,$I794-8)="","",INDEX('Fleet dates'!$I$9:$I$1008,$I794-8)))</x:f>
      </x:c>
      <x:c r="I794" t="str">
        <x:f>IF(786&gt;$H$4,"",MATCH(786,'Fleet dates'!$N$9:$N$1008,0)+8)</x:f>
      </x:c>
    </x:row>
    <x:row r="795" ht="36" customHeight="1">
      <x:c r="A795" s="50" t="str">
        <x:f>IF(787&gt;$H$4,"",IF(INDEX('Fleet dates'!$A$9:$A$1008,$I795-8)="","",INDEX('Fleet dates'!$A$9:$A$1008,$I795-8)))</x:f>
      </x:c>
      <x:c r="B795" s="50" t="str">
        <x:f>IF(787&gt;$H$4,"",IF(INDEX('Fleet dates'!$B$9:$B$1008,$I795-8)="","",INDEX('Fleet dates'!$B$9:$B$1008,$I795-8)))</x:f>
      </x:c>
      <x:c r="C795" s="51" t="str">
        <x:f>IF(787&gt;$H$4,"",IF(INDEX('Fleet dates'!$C$9:$C$1008,$I795-8)="","",INDEX('Fleet dates'!$C$9:$C$1008,$I795-8)))</x:f>
      </x:c>
      <x:c r="D795" s="51" t="str">
        <x:f>IF(787&gt;$H$4,"",IF(INDEX('Fleet dates'!$D$9:$D$1008,$I795-8)="","",INDEX('Fleet dates'!$D$9:$D$1008,$I795-8)))</x:f>
      </x:c>
      <x:c r="E795" s="51" t="str">
        <x:f>IF(787&gt;$H$4,"",IF(INDEX('Fleet dates'!$E$9:$E$1008,$I795-8)="","",INDEX('Fleet dates'!$E$9:$E$1008,$I795-8)))</x:f>
      </x:c>
      <x:c r="F795" s="51" t="str">
        <x:f>IF(787&gt;$H$4,"",IF(INDEX('Fleet dates'!$F$9:$F$1008,$I795-8)="","",INDEX('Fleet dates'!$F$9:$F$1008,$I795-8)))</x:f>
      </x:c>
      <x:c r="G795" s="50" t="str">
        <x:f>IF(787&gt;$H$4,"",IF(INDEX('Fleet dates'!$G$9:$G$1008,$I795-8)="","",INDEX('Fleet dates'!$G$9:$G$1008,$I795-8)))</x:f>
      </x:c>
      <x:c r="H795" s="50" t="str">
        <x:f>IF(787&gt;$H$4,"",IF(INDEX('Fleet dates'!$I$9:$I$1008,$I795-8)="","",INDEX('Fleet dates'!$I$9:$I$1008,$I795-8)))</x:f>
      </x:c>
      <x:c r="I795" t="str">
        <x:f>IF(787&gt;$H$4,"",MATCH(787,'Fleet dates'!$N$9:$N$1008,0)+8)</x:f>
      </x:c>
    </x:row>
    <x:row r="796" ht="36" customHeight="1">
      <x:c r="A796" s="50" t="str">
        <x:f>IF(788&gt;$H$4,"",IF(INDEX('Fleet dates'!$A$9:$A$1008,$I796-8)="","",INDEX('Fleet dates'!$A$9:$A$1008,$I796-8)))</x:f>
      </x:c>
      <x:c r="B796" s="50" t="str">
        <x:f>IF(788&gt;$H$4,"",IF(INDEX('Fleet dates'!$B$9:$B$1008,$I796-8)="","",INDEX('Fleet dates'!$B$9:$B$1008,$I796-8)))</x:f>
      </x:c>
      <x:c r="C796" s="51" t="str">
        <x:f>IF(788&gt;$H$4,"",IF(INDEX('Fleet dates'!$C$9:$C$1008,$I796-8)="","",INDEX('Fleet dates'!$C$9:$C$1008,$I796-8)))</x:f>
      </x:c>
      <x:c r="D796" s="51" t="str">
        <x:f>IF(788&gt;$H$4,"",IF(INDEX('Fleet dates'!$D$9:$D$1008,$I796-8)="","",INDEX('Fleet dates'!$D$9:$D$1008,$I796-8)))</x:f>
      </x:c>
      <x:c r="E796" s="51" t="str">
        <x:f>IF(788&gt;$H$4,"",IF(INDEX('Fleet dates'!$E$9:$E$1008,$I796-8)="","",INDEX('Fleet dates'!$E$9:$E$1008,$I796-8)))</x:f>
      </x:c>
      <x:c r="F796" s="51" t="str">
        <x:f>IF(788&gt;$H$4,"",IF(INDEX('Fleet dates'!$F$9:$F$1008,$I796-8)="","",INDEX('Fleet dates'!$F$9:$F$1008,$I796-8)))</x:f>
      </x:c>
      <x:c r="G796" s="50" t="str">
        <x:f>IF(788&gt;$H$4,"",IF(INDEX('Fleet dates'!$G$9:$G$1008,$I796-8)="","",INDEX('Fleet dates'!$G$9:$G$1008,$I796-8)))</x:f>
      </x:c>
      <x:c r="H796" s="50" t="str">
        <x:f>IF(788&gt;$H$4,"",IF(INDEX('Fleet dates'!$I$9:$I$1008,$I796-8)="","",INDEX('Fleet dates'!$I$9:$I$1008,$I796-8)))</x:f>
      </x:c>
      <x:c r="I796" t="str">
        <x:f>IF(788&gt;$H$4,"",MATCH(788,'Fleet dates'!$N$9:$N$1008,0)+8)</x:f>
      </x:c>
    </x:row>
    <x:row r="797" ht="36" customHeight="1">
      <x:c r="A797" s="50" t="str">
        <x:f>IF(789&gt;$H$4,"",IF(INDEX('Fleet dates'!$A$9:$A$1008,$I797-8)="","",INDEX('Fleet dates'!$A$9:$A$1008,$I797-8)))</x:f>
      </x:c>
      <x:c r="B797" s="50" t="str">
        <x:f>IF(789&gt;$H$4,"",IF(INDEX('Fleet dates'!$B$9:$B$1008,$I797-8)="","",INDEX('Fleet dates'!$B$9:$B$1008,$I797-8)))</x:f>
      </x:c>
      <x:c r="C797" s="51" t="str">
        <x:f>IF(789&gt;$H$4,"",IF(INDEX('Fleet dates'!$C$9:$C$1008,$I797-8)="","",INDEX('Fleet dates'!$C$9:$C$1008,$I797-8)))</x:f>
      </x:c>
      <x:c r="D797" s="51" t="str">
        <x:f>IF(789&gt;$H$4,"",IF(INDEX('Fleet dates'!$D$9:$D$1008,$I797-8)="","",INDEX('Fleet dates'!$D$9:$D$1008,$I797-8)))</x:f>
      </x:c>
      <x:c r="E797" s="51" t="str">
        <x:f>IF(789&gt;$H$4,"",IF(INDEX('Fleet dates'!$E$9:$E$1008,$I797-8)="","",INDEX('Fleet dates'!$E$9:$E$1008,$I797-8)))</x:f>
      </x:c>
      <x:c r="F797" s="51" t="str">
        <x:f>IF(789&gt;$H$4,"",IF(INDEX('Fleet dates'!$F$9:$F$1008,$I797-8)="","",INDEX('Fleet dates'!$F$9:$F$1008,$I797-8)))</x:f>
      </x:c>
      <x:c r="G797" s="50" t="str">
        <x:f>IF(789&gt;$H$4,"",IF(INDEX('Fleet dates'!$G$9:$G$1008,$I797-8)="","",INDEX('Fleet dates'!$G$9:$G$1008,$I797-8)))</x:f>
      </x:c>
      <x:c r="H797" s="50" t="str">
        <x:f>IF(789&gt;$H$4,"",IF(INDEX('Fleet dates'!$I$9:$I$1008,$I797-8)="","",INDEX('Fleet dates'!$I$9:$I$1008,$I797-8)))</x:f>
      </x:c>
      <x:c r="I797" t="str">
        <x:f>IF(789&gt;$H$4,"",MATCH(789,'Fleet dates'!$N$9:$N$1008,0)+8)</x:f>
      </x:c>
    </x:row>
    <x:row r="798" ht="36" customHeight="1">
      <x:c r="A798" s="50" t="str">
        <x:f>IF(790&gt;$H$4,"",IF(INDEX('Fleet dates'!$A$9:$A$1008,$I798-8)="","",INDEX('Fleet dates'!$A$9:$A$1008,$I798-8)))</x:f>
      </x:c>
      <x:c r="B798" s="50" t="str">
        <x:f>IF(790&gt;$H$4,"",IF(INDEX('Fleet dates'!$B$9:$B$1008,$I798-8)="","",INDEX('Fleet dates'!$B$9:$B$1008,$I798-8)))</x:f>
      </x:c>
      <x:c r="C798" s="51" t="str">
        <x:f>IF(790&gt;$H$4,"",IF(INDEX('Fleet dates'!$C$9:$C$1008,$I798-8)="","",INDEX('Fleet dates'!$C$9:$C$1008,$I798-8)))</x:f>
      </x:c>
      <x:c r="D798" s="51" t="str">
        <x:f>IF(790&gt;$H$4,"",IF(INDEX('Fleet dates'!$D$9:$D$1008,$I798-8)="","",INDEX('Fleet dates'!$D$9:$D$1008,$I798-8)))</x:f>
      </x:c>
      <x:c r="E798" s="51" t="str">
        <x:f>IF(790&gt;$H$4,"",IF(INDEX('Fleet dates'!$E$9:$E$1008,$I798-8)="","",INDEX('Fleet dates'!$E$9:$E$1008,$I798-8)))</x:f>
      </x:c>
      <x:c r="F798" s="51" t="str">
        <x:f>IF(790&gt;$H$4,"",IF(INDEX('Fleet dates'!$F$9:$F$1008,$I798-8)="","",INDEX('Fleet dates'!$F$9:$F$1008,$I798-8)))</x:f>
      </x:c>
      <x:c r="G798" s="50" t="str">
        <x:f>IF(790&gt;$H$4,"",IF(INDEX('Fleet dates'!$G$9:$G$1008,$I798-8)="","",INDEX('Fleet dates'!$G$9:$G$1008,$I798-8)))</x:f>
      </x:c>
      <x:c r="H798" s="50" t="str">
        <x:f>IF(790&gt;$H$4,"",IF(INDEX('Fleet dates'!$I$9:$I$1008,$I798-8)="","",INDEX('Fleet dates'!$I$9:$I$1008,$I798-8)))</x:f>
      </x:c>
      <x:c r="I798" t="str">
        <x:f>IF(790&gt;$H$4,"",MATCH(790,'Fleet dates'!$N$9:$N$1008,0)+8)</x:f>
      </x:c>
    </x:row>
    <x:row r="799" ht="36" customHeight="1">
      <x:c r="A799" s="50" t="str">
        <x:f>IF(791&gt;$H$4,"",IF(INDEX('Fleet dates'!$A$9:$A$1008,$I799-8)="","",INDEX('Fleet dates'!$A$9:$A$1008,$I799-8)))</x:f>
      </x:c>
      <x:c r="B799" s="50" t="str">
        <x:f>IF(791&gt;$H$4,"",IF(INDEX('Fleet dates'!$B$9:$B$1008,$I799-8)="","",INDEX('Fleet dates'!$B$9:$B$1008,$I799-8)))</x:f>
      </x:c>
      <x:c r="C799" s="51" t="str">
        <x:f>IF(791&gt;$H$4,"",IF(INDEX('Fleet dates'!$C$9:$C$1008,$I799-8)="","",INDEX('Fleet dates'!$C$9:$C$1008,$I799-8)))</x:f>
      </x:c>
      <x:c r="D799" s="51" t="str">
        <x:f>IF(791&gt;$H$4,"",IF(INDEX('Fleet dates'!$D$9:$D$1008,$I799-8)="","",INDEX('Fleet dates'!$D$9:$D$1008,$I799-8)))</x:f>
      </x:c>
      <x:c r="E799" s="51" t="str">
        <x:f>IF(791&gt;$H$4,"",IF(INDEX('Fleet dates'!$E$9:$E$1008,$I799-8)="","",INDEX('Fleet dates'!$E$9:$E$1008,$I799-8)))</x:f>
      </x:c>
      <x:c r="F799" s="51" t="str">
        <x:f>IF(791&gt;$H$4,"",IF(INDEX('Fleet dates'!$F$9:$F$1008,$I799-8)="","",INDEX('Fleet dates'!$F$9:$F$1008,$I799-8)))</x:f>
      </x:c>
      <x:c r="G799" s="50" t="str">
        <x:f>IF(791&gt;$H$4,"",IF(INDEX('Fleet dates'!$G$9:$G$1008,$I799-8)="","",INDEX('Fleet dates'!$G$9:$G$1008,$I799-8)))</x:f>
      </x:c>
      <x:c r="H799" s="50" t="str">
        <x:f>IF(791&gt;$H$4,"",IF(INDEX('Fleet dates'!$I$9:$I$1008,$I799-8)="","",INDEX('Fleet dates'!$I$9:$I$1008,$I799-8)))</x:f>
      </x:c>
      <x:c r="I799" t="str">
        <x:f>IF(791&gt;$H$4,"",MATCH(791,'Fleet dates'!$N$9:$N$1008,0)+8)</x:f>
      </x:c>
    </x:row>
    <x:row r="800" ht="36" customHeight="1">
      <x:c r="A800" s="50" t="str">
        <x:f>IF(792&gt;$H$4,"",IF(INDEX('Fleet dates'!$A$9:$A$1008,$I800-8)="","",INDEX('Fleet dates'!$A$9:$A$1008,$I800-8)))</x:f>
      </x:c>
      <x:c r="B800" s="50" t="str">
        <x:f>IF(792&gt;$H$4,"",IF(INDEX('Fleet dates'!$B$9:$B$1008,$I800-8)="","",INDEX('Fleet dates'!$B$9:$B$1008,$I800-8)))</x:f>
      </x:c>
      <x:c r="C800" s="51" t="str">
        <x:f>IF(792&gt;$H$4,"",IF(INDEX('Fleet dates'!$C$9:$C$1008,$I800-8)="","",INDEX('Fleet dates'!$C$9:$C$1008,$I800-8)))</x:f>
      </x:c>
      <x:c r="D800" s="51" t="str">
        <x:f>IF(792&gt;$H$4,"",IF(INDEX('Fleet dates'!$D$9:$D$1008,$I800-8)="","",INDEX('Fleet dates'!$D$9:$D$1008,$I800-8)))</x:f>
      </x:c>
      <x:c r="E800" s="51" t="str">
        <x:f>IF(792&gt;$H$4,"",IF(INDEX('Fleet dates'!$E$9:$E$1008,$I800-8)="","",INDEX('Fleet dates'!$E$9:$E$1008,$I800-8)))</x:f>
      </x:c>
      <x:c r="F800" s="51" t="str">
        <x:f>IF(792&gt;$H$4,"",IF(INDEX('Fleet dates'!$F$9:$F$1008,$I800-8)="","",INDEX('Fleet dates'!$F$9:$F$1008,$I800-8)))</x:f>
      </x:c>
      <x:c r="G800" s="50" t="str">
        <x:f>IF(792&gt;$H$4,"",IF(INDEX('Fleet dates'!$G$9:$G$1008,$I800-8)="","",INDEX('Fleet dates'!$G$9:$G$1008,$I800-8)))</x:f>
      </x:c>
      <x:c r="H800" s="50" t="str">
        <x:f>IF(792&gt;$H$4,"",IF(INDEX('Fleet dates'!$I$9:$I$1008,$I800-8)="","",INDEX('Fleet dates'!$I$9:$I$1008,$I800-8)))</x:f>
      </x:c>
      <x:c r="I800" t="str">
        <x:f>IF(792&gt;$H$4,"",MATCH(792,'Fleet dates'!$N$9:$N$1008,0)+8)</x:f>
      </x:c>
    </x:row>
    <x:row r="801" ht="36" customHeight="1">
      <x:c r="A801" s="50" t="str">
        <x:f>IF(793&gt;$H$4,"",IF(INDEX('Fleet dates'!$A$9:$A$1008,$I801-8)="","",INDEX('Fleet dates'!$A$9:$A$1008,$I801-8)))</x:f>
      </x:c>
      <x:c r="B801" s="50" t="str">
        <x:f>IF(793&gt;$H$4,"",IF(INDEX('Fleet dates'!$B$9:$B$1008,$I801-8)="","",INDEX('Fleet dates'!$B$9:$B$1008,$I801-8)))</x:f>
      </x:c>
      <x:c r="C801" s="51" t="str">
        <x:f>IF(793&gt;$H$4,"",IF(INDEX('Fleet dates'!$C$9:$C$1008,$I801-8)="","",INDEX('Fleet dates'!$C$9:$C$1008,$I801-8)))</x:f>
      </x:c>
      <x:c r="D801" s="51" t="str">
        <x:f>IF(793&gt;$H$4,"",IF(INDEX('Fleet dates'!$D$9:$D$1008,$I801-8)="","",INDEX('Fleet dates'!$D$9:$D$1008,$I801-8)))</x:f>
      </x:c>
      <x:c r="E801" s="51" t="str">
        <x:f>IF(793&gt;$H$4,"",IF(INDEX('Fleet dates'!$E$9:$E$1008,$I801-8)="","",INDEX('Fleet dates'!$E$9:$E$1008,$I801-8)))</x:f>
      </x:c>
      <x:c r="F801" s="51" t="str">
        <x:f>IF(793&gt;$H$4,"",IF(INDEX('Fleet dates'!$F$9:$F$1008,$I801-8)="","",INDEX('Fleet dates'!$F$9:$F$1008,$I801-8)))</x:f>
      </x:c>
      <x:c r="G801" s="50" t="str">
        <x:f>IF(793&gt;$H$4,"",IF(INDEX('Fleet dates'!$G$9:$G$1008,$I801-8)="","",INDEX('Fleet dates'!$G$9:$G$1008,$I801-8)))</x:f>
      </x:c>
      <x:c r="H801" s="50" t="str">
        <x:f>IF(793&gt;$H$4,"",IF(INDEX('Fleet dates'!$I$9:$I$1008,$I801-8)="","",INDEX('Fleet dates'!$I$9:$I$1008,$I801-8)))</x:f>
      </x:c>
      <x:c r="I801" t="str">
        <x:f>IF(793&gt;$H$4,"",MATCH(793,'Fleet dates'!$N$9:$N$1008,0)+8)</x:f>
      </x:c>
    </x:row>
    <x:row r="802" ht="36" customHeight="1">
      <x:c r="A802" s="50" t="str">
        <x:f>IF(794&gt;$H$4,"",IF(INDEX('Fleet dates'!$A$9:$A$1008,$I802-8)="","",INDEX('Fleet dates'!$A$9:$A$1008,$I802-8)))</x:f>
      </x:c>
      <x:c r="B802" s="50" t="str">
        <x:f>IF(794&gt;$H$4,"",IF(INDEX('Fleet dates'!$B$9:$B$1008,$I802-8)="","",INDEX('Fleet dates'!$B$9:$B$1008,$I802-8)))</x:f>
      </x:c>
      <x:c r="C802" s="51" t="str">
        <x:f>IF(794&gt;$H$4,"",IF(INDEX('Fleet dates'!$C$9:$C$1008,$I802-8)="","",INDEX('Fleet dates'!$C$9:$C$1008,$I802-8)))</x:f>
      </x:c>
      <x:c r="D802" s="51" t="str">
        <x:f>IF(794&gt;$H$4,"",IF(INDEX('Fleet dates'!$D$9:$D$1008,$I802-8)="","",INDEX('Fleet dates'!$D$9:$D$1008,$I802-8)))</x:f>
      </x:c>
      <x:c r="E802" s="51" t="str">
        <x:f>IF(794&gt;$H$4,"",IF(INDEX('Fleet dates'!$E$9:$E$1008,$I802-8)="","",INDEX('Fleet dates'!$E$9:$E$1008,$I802-8)))</x:f>
      </x:c>
      <x:c r="F802" s="51" t="str">
        <x:f>IF(794&gt;$H$4,"",IF(INDEX('Fleet dates'!$F$9:$F$1008,$I802-8)="","",INDEX('Fleet dates'!$F$9:$F$1008,$I802-8)))</x:f>
      </x:c>
      <x:c r="G802" s="50" t="str">
        <x:f>IF(794&gt;$H$4,"",IF(INDEX('Fleet dates'!$G$9:$G$1008,$I802-8)="","",INDEX('Fleet dates'!$G$9:$G$1008,$I802-8)))</x:f>
      </x:c>
      <x:c r="H802" s="50" t="str">
        <x:f>IF(794&gt;$H$4,"",IF(INDEX('Fleet dates'!$I$9:$I$1008,$I802-8)="","",INDEX('Fleet dates'!$I$9:$I$1008,$I802-8)))</x:f>
      </x:c>
      <x:c r="I802" t="str">
        <x:f>IF(794&gt;$H$4,"",MATCH(794,'Fleet dates'!$N$9:$N$1008,0)+8)</x:f>
      </x:c>
    </x:row>
    <x:row r="803" ht="36" customHeight="1">
      <x:c r="A803" s="50" t="str">
        <x:f>IF(795&gt;$H$4,"",IF(INDEX('Fleet dates'!$A$9:$A$1008,$I803-8)="","",INDEX('Fleet dates'!$A$9:$A$1008,$I803-8)))</x:f>
      </x:c>
      <x:c r="B803" s="50" t="str">
        <x:f>IF(795&gt;$H$4,"",IF(INDEX('Fleet dates'!$B$9:$B$1008,$I803-8)="","",INDEX('Fleet dates'!$B$9:$B$1008,$I803-8)))</x:f>
      </x:c>
      <x:c r="C803" s="51" t="str">
        <x:f>IF(795&gt;$H$4,"",IF(INDEX('Fleet dates'!$C$9:$C$1008,$I803-8)="","",INDEX('Fleet dates'!$C$9:$C$1008,$I803-8)))</x:f>
      </x:c>
      <x:c r="D803" s="51" t="str">
        <x:f>IF(795&gt;$H$4,"",IF(INDEX('Fleet dates'!$D$9:$D$1008,$I803-8)="","",INDEX('Fleet dates'!$D$9:$D$1008,$I803-8)))</x:f>
      </x:c>
      <x:c r="E803" s="51" t="str">
        <x:f>IF(795&gt;$H$4,"",IF(INDEX('Fleet dates'!$E$9:$E$1008,$I803-8)="","",INDEX('Fleet dates'!$E$9:$E$1008,$I803-8)))</x:f>
      </x:c>
      <x:c r="F803" s="51" t="str">
        <x:f>IF(795&gt;$H$4,"",IF(INDEX('Fleet dates'!$F$9:$F$1008,$I803-8)="","",INDEX('Fleet dates'!$F$9:$F$1008,$I803-8)))</x:f>
      </x:c>
      <x:c r="G803" s="50" t="str">
        <x:f>IF(795&gt;$H$4,"",IF(INDEX('Fleet dates'!$G$9:$G$1008,$I803-8)="","",INDEX('Fleet dates'!$G$9:$G$1008,$I803-8)))</x:f>
      </x:c>
      <x:c r="H803" s="50" t="str">
        <x:f>IF(795&gt;$H$4,"",IF(INDEX('Fleet dates'!$I$9:$I$1008,$I803-8)="","",INDEX('Fleet dates'!$I$9:$I$1008,$I803-8)))</x:f>
      </x:c>
      <x:c r="I803" t="str">
        <x:f>IF(795&gt;$H$4,"",MATCH(795,'Fleet dates'!$N$9:$N$1008,0)+8)</x:f>
      </x:c>
    </x:row>
    <x:row r="804" ht="36" customHeight="1">
      <x:c r="A804" s="50" t="str">
        <x:f>IF(796&gt;$H$4,"",IF(INDEX('Fleet dates'!$A$9:$A$1008,$I804-8)="","",INDEX('Fleet dates'!$A$9:$A$1008,$I804-8)))</x:f>
      </x:c>
      <x:c r="B804" s="50" t="str">
        <x:f>IF(796&gt;$H$4,"",IF(INDEX('Fleet dates'!$B$9:$B$1008,$I804-8)="","",INDEX('Fleet dates'!$B$9:$B$1008,$I804-8)))</x:f>
      </x:c>
      <x:c r="C804" s="51" t="str">
        <x:f>IF(796&gt;$H$4,"",IF(INDEX('Fleet dates'!$C$9:$C$1008,$I804-8)="","",INDEX('Fleet dates'!$C$9:$C$1008,$I804-8)))</x:f>
      </x:c>
      <x:c r="D804" s="51" t="str">
        <x:f>IF(796&gt;$H$4,"",IF(INDEX('Fleet dates'!$D$9:$D$1008,$I804-8)="","",INDEX('Fleet dates'!$D$9:$D$1008,$I804-8)))</x:f>
      </x:c>
      <x:c r="E804" s="51" t="str">
        <x:f>IF(796&gt;$H$4,"",IF(INDEX('Fleet dates'!$E$9:$E$1008,$I804-8)="","",INDEX('Fleet dates'!$E$9:$E$1008,$I804-8)))</x:f>
      </x:c>
      <x:c r="F804" s="51" t="str">
        <x:f>IF(796&gt;$H$4,"",IF(INDEX('Fleet dates'!$F$9:$F$1008,$I804-8)="","",INDEX('Fleet dates'!$F$9:$F$1008,$I804-8)))</x:f>
      </x:c>
      <x:c r="G804" s="50" t="str">
        <x:f>IF(796&gt;$H$4,"",IF(INDEX('Fleet dates'!$G$9:$G$1008,$I804-8)="","",INDEX('Fleet dates'!$G$9:$G$1008,$I804-8)))</x:f>
      </x:c>
      <x:c r="H804" s="50" t="str">
        <x:f>IF(796&gt;$H$4,"",IF(INDEX('Fleet dates'!$I$9:$I$1008,$I804-8)="","",INDEX('Fleet dates'!$I$9:$I$1008,$I804-8)))</x:f>
      </x:c>
      <x:c r="I804" t="str">
        <x:f>IF(796&gt;$H$4,"",MATCH(796,'Fleet dates'!$N$9:$N$1008,0)+8)</x:f>
      </x:c>
    </x:row>
    <x:row r="805" ht="36" customHeight="1">
      <x:c r="A805" s="50" t="str">
        <x:f>IF(797&gt;$H$4,"",IF(INDEX('Fleet dates'!$A$9:$A$1008,$I805-8)="","",INDEX('Fleet dates'!$A$9:$A$1008,$I805-8)))</x:f>
      </x:c>
      <x:c r="B805" s="50" t="str">
        <x:f>IF(797&gt;$H$4,"",IF(INDEX('Fleet dates'!$B$9:$B$1008,$I805-8)="","",INDEX('Fleet dates'!$B$9:$B$1008,$I805-8)))</x:f>
      </x:c>
      <x:c r="C805" s="51" t="str">
        <x:f>IF(797&gt;$H$4,"",IF(INDEX('Fleet dates'!$C$9:$C$1008,$I805-8)="","",INDEX('Fleet dates'!$C$9:$C$1008,$I805-8)))</x:f>
      </x:c>
      <x:c r="D805" s="51" t="str">
        <x:f>IF(797&gt;$H$4,"",IF(INDEX('Fleet dates'!$D$9:$D$1008,$I805-8)="","",INDEX('Fleet dates'!$D$9:$D$1008,$I805-8)))</x:f>
      </x:c>
      <x:c r="E805" s="51" t="str">
        <x:f>IF(797&gt;$H$4,"",IF(INDEX('Fleet dates'!$E$9:$E$1008,$I805-8)="","",INDEX('Fleet dates'!$E$9:$E$1008,$I805-8)))</x:f>
      </x:c>
      <x:c r="F805" s="51" t="str">
        <x:f>IF(797&gt;$H$4,"",IF(INDEX('Fleet dates'!$F$9:$F$1008,$I805-8)="","",INDEX('Fleet dates'!$F$9:$F$1008,$I805-8)))</x:f>
      </x:c>
      <x:c r="G805" s="50" t="str">
        <x:f>IF(797&gt;$H$4,"",IF(INDEX('Fleet dates'!$G$9:$G$1008,$I805-8)="","",INDEX('Fleet dates'!$G$9:$G$1008,$I805-8)))</x:f>
      </x:c>
      <x:c r="H805" s="50" t="str">
        <x:f>IF(797&gt;$H$4,"",IF(INDEX('Fleet dates'!$I$9:$I$1008,$I805-8)="","",INDEX('Fleet dates'!$I$9:$I$1008,$I805-8)))</x:f>
      </x:c>
      <x:c r="I805" t="str">
        <x:f>IF(797&gt;$H$4,"",MATCH(797,'Fleet dates'!$N$9:$N$1008,0)+8)</x:f>
      </x:c>
    </x:row>
    <x:row r="806" ht="36" customHeight="1">
      <x:c r="A806" s="50" t="str">
        <x:f>IF(798&gt;$H$4,"",IF(INDEX('Fleet dates'!$A$9:$A$1008,$I806-8)="","",INDEX('Fleet dates'!$A$9:$A$1008,$I806-8)))</x:f>
      </x:c>
      <x:c r="B806" s="50" t="str">
        <x:f>IF(798&gt;$H$4,"",IF(INDEX('Fleet dates'!$B$9:$B$1008,$I806-8)="","",INDEX('Fleet dates'!$B$9:$B$1008,$I806-8)))</x:f>
      </x:c>
      <x:c r="C806" s="51" t="str">
        <x:f>IF(798&gt;$H$4,"",IF(INDEX('Fleet dates'!$C$9:$C$1008,$I806-8)="","",INDEX('Fleet dates'!$C$9:$C$1008,$I806-8)))</x:f>
      </x:c>
      <x:c r="D806" s="51" t="str">
        <x:f>IF(798&gt;$H$4,"",IF(INDEX('Fleet dates'!$D$9:$D$1008,$I806-8)="","",INDEX('Fleet dates'!$D$9:$D$1008,$I806-8)))</x:f>
      </x:c>
      <x:c r="E806" s="51" t="str">
        <x:f>IF(798&gt;$H$4,"",IF(INDEX('Fleet dates'!$E$9:$E$1008,$I806-8)="","",INDEX('Fleet dates'!$E$9:$E$1008,$I806-8)))</x:f>
      </x:c>
      <x:c r="F806" s="51" t="str">
        <x:f>IF(798&gt;$H$4,"",IF(INDEX('Fleet dates'!$F$9:$F$1008,$I806-8)="","",INDEX('Fleet dates'!$F$9:$F$1008,$I806-8)))</x:f>
      </x:c>
      <x:c r="G806" s="50" t="str">
        <x:f>IF(798&gt;$H$4,"",IF(INDEX('Fleet dates'!$G$9:$G$1008,$I806-8)="","",INDEX('Fleet dates'!$G$9:$G$1008,$I806-8)))</x:f>
      </x:c>
      <x:c r="H806" s="50" t="str">
        <x:f>IF(798&gt;$H$4,"",IF(INDEX('Fleet dates'!$I$9:$I$1008,$I806-8)="","",INDEX('Fleet dates'!$I$9:$I$1008,$I806-8)))</x:f>
      </x:c>
      <x:c r="I806" t="str">
        <x:f>IF(798&gt;$H$4,"",MATCH(798,'Fleet dates'!$N$9:$N$1008,0)+8)</x:f>
      </x:c>
    </x:row>
    <x:row r="807" ht="36" customHeight="1">
      <x:c r="A807" s="50" t="str">
        <x:f>IF(799&gt;$H$4,"",IF(INDEX('Fleet dates'!$A$9:$A$1008,$I807-8)="","",INDEX('Fleet dates'!$A$9:$A$1008,$I807-8)))</x:f>
      </x:c>
      <x:c r="B807" s="50" t="str">
        <x:f>IF(799&gt;$H$4,"",IF(INDEX('Fleet dates'!$B$9:$B$1008,$I807-8)="","",INDEX('Fleet dates'!$B$9:$B$1008,$I807-8)))</x:f>
      </x:c>
      <x:c r="C807" s="51" t="str">
        <x:f>IF(799&gt;$H$4,"",IF(INDEX('Fleet dates'!$C$9:$C$1008,$I807-8)="","",INDEX('Fleet dates'!$C$9:$C$1008,$I807-8)))</x:f>
      </x:c>
      <x:c r="D807" s="51" t="str">
        <x:f>IF(799&gt;$H$4,"",IF(INDEX('Fleet dates'!$D$9:$D$1008,$I807-8)="","",INDEX('Fleet dates'!$D$9:$D$1008,$I807-8)))</x:f>
      </x:c>
      <x:c r="E807" s="51" t="str">
        <x:f>IF(799&gt;$H$4,"",IF(INDEX('Fleet dates'!$E$9:$E$1008,$I807-8)="","",INDEX('Fleet dates'!$E$9:$E$1008,$I807-8)))</x:f>
      </x:c>
      <x:c r="F807" s="51" t="str">
        <x:f>IF(799&gt;$H$4,"",IF(INDEX('Fleet dates'!$F$9:$F$1008,$I807-8)="","",INDEX('Fleet dates'!$F$9:$F$1008,$I807-8)))</x:f>
      </x:c>
      <x:c r="G807" s="50" t="str">
        <x:f>IF(799&gt;$H$4,"",IF(INDEX('Fleet dates'!$G$9:$G$1008,$I807-8)="","",INDEX('Fleet dates'!$G$9:$G$1008,$I807-8)))</x:f>
      </x:c>
      <x:c r="H807" s="50" t="str">
        <x:f>IF(799&gt;$H$4,"",IF(INDEX('Fleet dates'!$I$9:$I$1008,$I807-8)="","",INDEX('Fleet dates'!$I$9:$I$1008,$I807-8)))</x:f>
      </x:c>
      <x:c r="I807" t="str">
        <x:f>IF(799&gt;$H$4,"",MATCH(799,'Fleet dates'!$N$9:$N$1008,0)+8)</x:f>
      </x:c>
    </x:row>
    <x:row r="808" ht="36" customHeight="1">
      <x:c r="A808" s="50" t="str">
        <x:f>IF(800&gt;$H$4,"",IF(INDEX('Fleet dates'!$A$9:$A$1008,$I808-8)="","",INDEX('Fleet dates'!$A$9:$A$1008,$I808-8)))</x:f>
      </x:c>
      <x:c r="B808" s="50" t="str">
        <x:f>IF(800&gt;$H$4,"",IF(INDEX('Fleet dates'!$B$9:$B$1008,$I808-8)="","",INDEX('Fleet dates'!$B$9:$B$1008,$I808-8)))</x:f>
      </x:c>
      <x:c r="C808" s="51" t="str">
        <x:f>IF(800&gt;$H$4,"",IF(INDEX('Fleet dates'!$C$9:$C$1008,$I808-8)="","",INDEX('Fleet dates'!$C$9:$C$1008,$I808-8)))</x:f>
      </x:c>
      <x:c r="D808" s="51" t="str">
        <x:f>IF(800&gt;$H$4,"",IF(INDEX('Fleet dates'!$D$9:$D$1008,$I808-8)="","",INDEX('Fleet dates'!$D$9:$D$1008,$I808-8)))</x:f>
      </x:c>
      <x:c r="E808" s="51" t="str">
        <x:f>IF(800&gt;$H$4,"",IF(INDEX('Fleet dates'!$E$9:$E$1008,$I808-8)="","",INDEX('Fleet dates'!$E$9:$E$1008,$I808-8)))</x:f>
      </x:c>
      <x:c r="F808" s="51" t="str">
        <x:f>IF(800&gt;$H$4,"",IF(INDEX('Fleet dates'!$F$9:$F$1008,$I808-8)="","",INDEX('Fleet dates'!$F$9:$F$1008,$I808-8)))</x:f>
      </x:c>
      <x:c r="G808" s="50" t="str">
        <x:f>IF(800&gt;$H$4,"",IF(INDEX('Fleet dates'!$G$9:$G$1008,$I808-8)="","",INDEX('Fleet dates'!$G$9:$G$1008,$I808-8)))</x:f>
      </x:c>
      <x:c r="H808" s="50" t="str">
        <x:f>IF(800&gt;$H$4,"",IF(INDEX('Fleet dates'!$I$9:$I$1008,$I808-8)="","",INDEX('Fleet dates'!$I$9:$I$1008,$I808-8)))</x:f>
      </x:c>
      <x:c r="I808" t="str">
        <x:f>IF(800&gt;$H$4,"",MATCH(800,'Fleet dates'!$N$9:$N$1008,0)+8)</x:f>
      </x:c>
    </x:row>
    <x:row r="809" ht="36" customHeight="1">
      <x:c r="A809" s="50" t="str">
        <x:f>IF(801&gt;$H$4,"",IF(INDEX('Fleet dates'!$A$9:$A$1008,$I809-8)="","",INDEX('Fleet dates'!$A$9:$A$1008,$I809-8)))</x:f>
      </x:c>
      <x:c r="B809" s="50" t="str">
        <x:f>IF(801&gt;$H$4,"",IF(INDEX('Fleet dates'!$B$9:$B$1008,$I809-8)="","",INDEX('Fleet dates'!$B$9:$B$1008,$I809-8)))</x:f>
      </x:c>
      <x:c r="C809" s="51" t="str">
        <x:f>IF(801&gt;$H$4,"",IF(INDEX('Fleet dates'!$C$9:$C$1008,$I809-8)="","",INDEX('Fleet dates'!$C$9:$C$1008,$I809-8)))</x:f>
      </x:c>
      <x:c r="D809" s="51" t="str">
        <x:f>IF(801&gt;$H$4,"",IF(INDEX('Fleet dates'!$D$9:$D$1008,$I809-8)="","",INDEX('Fleet dates'!$D$9:$D$1008,$I809-8)))</x:f>
      </x:c>
      <x:c r="E809" s="51" t="str">
        <x:f>IF(801&gt;$H$4,"",IF(INDEX('Fleet dates'!$E$9:$E$1008,$I809-8)="","",INDEX('Fleet dates'!$E$9:$E$1008,$I809-8)))</x:f>
      </x:c>
      <x:c r="F809" s="51" t="str">
        <x:f>IF(801&gt;$H$4,"",IF(INDEX('Fleet dates'!$F$9:$F$1008,$I809-8)="","",INDEX('Fleet dates'!$F$9:$F$1008,$I809-8)))</x:f>
      </x:c>
      <x:c r="G809" s="50" t="str">
        <x:f>IF(801&gt;$H$4,"",IF(INDEX('Fleet dates'!$G$9:$G$1008,$I809-8)="","",INDEX('Fleet dates'!$G$9:$G$1008,$I809-8)))</x:f>
      </x:c>
      <x:c r="H809" s="50" t="str">
        <x:f>IF(801&gt;$H$4,"",IF(INDEX('Fleet dates'!$I$9:$I$1008,$I809-8)="","",INDEX('Fleet dates'!$I$9:$I$1008,$I809-8)))</x:f>
      </x:c>
      <x:c r="I809" t="str">
        <x:f>IF(801&gt;$H$4,"",MATCH(801,'Fleet dates'!$N$9:$N$1008,0)+8)</x:f>
      </x:c>
    </x:row>
    <x:row r="810" ht="36" customHeight="1">
      <x:c r="A810" s="50" t="str">
        <x:f>IF(802&gt;$H$4,"",IF(INDEX('Fleet dates'!$A$9:$A$1008,$I810-8)="","",INDEX('Fleet dates'!$A$9:$A$1008,$I810-8)))</x:f>
      </x:c>
      <x:c r="B810" s="50" t="str">
        <x:f>IF(802&gt;$H$4,"",IF(INDEX('Fleet dates'!$B$9:$B$1008,$I810-8)="","",INDEX('Fleet dates'!$B$9:$B$1008,$I810-8)))</x:f>
      </x:c>
      <x:c r="C810" s="51" t="str">
        <x:f>IF(802&gt;$H$4,"",IF(INDEX('Fleet dates'!$C$9:$C$1008,$I810-8)="","",INDEX('Fleet dates'!$C$9:$C$1008,$I810-8)))</x:f>
      </x:c>
      <x:c r="D810" s="51" t="str">
        <x:f>IF(802&gt;$H$4,"",IF(INDEX('Fleet dates'!$D$9:$D$1008,$I810-8)="","",INDEX('Fleet dates'!$D$9:$D$1008,$I810-8)))</x:f>
      </x:c>
      <x:c r="E810" s="51" t="str">
        <x:f>IF(802&gt;$H$4,"",IF(INDEX('Fleet dates'!$E$9:$E$1008,$I810-8)="","",INDEX('Fleet dates'!$E$9:$E$1008,$I810-8)))</x:f>
      </x:c>
      <x:c r="F810" s="51" t="str">
        <x:f>IF(802&gt;$H$4,"",IF(INDEX('Fleet dates'!$F$9:$F$1008,$I810-8)="","",INDEX('Fleet dates'!$F$9:$F$1008,$I810-8)))</x:f>
      </x:c>
      <x:c r="G810" s="50" t="str">
        <x:f>IF(802&gt;$H$4,"",IF(INDEX('Fleet dates'!$G$9:$G$1008,$I810-8)="","",INDEX('Fleet dates'!$G$9:$G$1008,$I810-8)))</x:f>
      </x:c>
      <x:c r="H810" s="50" t="str">
        <x:f>IF(802&gt;$H$4,"",IF(INDEX('Fleet dates'!$I$9:$I$1008,$I810-8)="","",INDEX('Fleet dates'!$I$9:$I$1008,$I810-8)))</x:f>
      </x:c>
      <x:c r="I810" t="str">
        <x:f>IF(802&gt;$H$4,"",MATCH(802,'Fleet dates'!$N$9:$N$1008,0)+8)</x:f>
      </x:c>
    </x:row>
    <x:row r="811" ht="36" customHeight="1">
      <x:c r="A811" s="50" t="str">
        <x:f>IF(803&gt;$H$4,"",IF(INDEX('Fleet dates'!$A$9:$A$1008,$I811-8)="","",INDEX('Fleet dates'!$A$9:$A$1008,$I811-8)))</x:f>
      </x:c>
      <x:c r="B811" s="50" t="str">
        <x:f>IF(803&gt;$H$4,"",IF(INDEX('Fleet dates'!$B$9:$B$1008,$I811-8)="","",INDEX('Fleet dates'!$B$9:$B$1008,$I811-8)))</x:f>
      </x:c>
      <x:c r="C811" s="51" t="str">
        <x:f>IF(803&gt;$H$4,"",IF(INDEX('Fleet dates'!$C$9:$C$1008,$I811-8)="","",INDEX('Fleet dates'!$C$9:$C$1008,$I811-8)))</x:f>
      </x:c>
      <x:c r="D811" s="51" t="str">
        <x:f>IF(803&gt;$H$4,"",IF(INDEX('Fleet dates'!$D$9:$D$1008,$I811-8)="","",INDEX('Fleet dates'!$D$9:$D$1008,$I811-8)))</x:f>
      </x:c>
      <x:c r="E811" s="51" t="str">
        <x:f>IF(803&gt;$H$4,"",IF(INDEX('Fleet dates'!$E$9:$E$1008,$I811-8)="","",INDEX('Fleet dates'!$E$9:$E$1008,$I811-8)))</x:f>
      </x:c>
      <x:c r="F811" s="51" t="str">
        <x:f>IF(803&gt;$H$4,"",IF(INDEX('Fleet dates'!$F$9:$F$1008,$I811-8)="","",INDEX('Fleet dates'!$F$9:$F$1008,$I811-8)))</x:f>
      </x:c>
      <x:c r="G811" s="50" t="str">
        <x:f>IF(803&gt;$H$4,"",IF(INDEX('Fleet dates'!$G$9:$G$1008,$I811-8)="","",INDEX('Fleet dates'!$G$9:$G$1008,$I811-8)))</x:f>
      </x:c>
      <x:c r="H811" s="50" t="str">
        <x:f>IF(803&gt;$H$4,"",IF(INDEX('Fleet dates'!$I$9:$I$1008,$I811-8)="","",INDEX('Fleet dates'!$I$9:$I$1008,$I811-8)))</x:f>
      </x:c>
      <x:c r="I811" t="str">
        <x:f>IF(803&gt;$H$4,"",MATCH(803,'Fleet dates'!$N$9:$N$1008,0)+8)</x:f>
      </x:c>
    </x:row>
    <x:row r="812" ht="36" customHeight="1">
      <x:c r="A812" s="50" t="str">
        <x:f>IF(804&gt;$H$4,"",IF(INDEX('Fleet dates'!$A$9:$A$1008,$I812-8)="","",INDEX('Fleet dates'!$A$9:$A$1008,$I812-8)))</x:f>
      </x:c>
      <x:c r="B812" s="50" t="str">
        <x:f>IF(804&gt;$H$4,"",IF(INDEX('Fleet dates'!$B$9:$B$1008,$I812-8)="","",INDEX('Fleet dates'!$B$9:$B$1008,$I812-8)))</x:f>
      </x:c>
      <x:c r="C812" s="51" t="str">
        <x:f>IF(804&gt;$H$4,"",IF(INDEX('Fleet dates'!$C$9:$C$1008,$I812-8)="","",INDEX('Fleet dates'!$C$9:$C$1008,$I812-8)))</x:f>
      </x:c>
      <x:c r="D812" s="51" t="str">
        <x:f>IF(804&gt;$H$4,"",IF(INDEX('Fleet dates'!$D$9:$D$1008,$I812-8)="","",INDEX('Fleet dates'!$D$9:$D$1008,$I812-8)))</x:f>
      </x:c>
      <x:c r="E812" s="51" t="str">
        <x:f>IF(804&gt;$H$4,"",IF(INDEX('Fleet dates'!$E$9:$E$1008,$I812-8)="","",INDEX('Fleet dates'!$E$9:$E$1008,$I812-8)))</x:f>
      </x:c>
      <x:c r="F812" s="51" t="str">
        <x:f>IF(804&gt;$H$4,"",IF(INDEX('Fleet dates'!$F$9:$F$1008,$I812-8)="","",INDEX('Fleet dates'!$F$9:$F$1008,$I812-8)))</x:f>
      </x:c>
      <x:c r="G812" s="50" t="str">
        <x:f>IF(804&gt;$H$4,"",IF(INDEX('Fleet dates'!$G$9:$G$1008,$I812-8)="","",INDEX('Fleet dates'!$G$9:$G$1008,$I812-8)))</x:f>
      </x:c>
      <x:c r="H812" s="50" t="str">
        <x:f>IF(804&gt;$H$4,"",IF(INDEX('Fleet dates'!$I$9:$I$1008,$I812-8)="","",INDEX('Fleet dates'!$I$9:$I$1008,$I812-8)))</x:f>
      </x:c>
      <x:c r="I812" t="str">
        <x:f>IF(804&gt;$H$4,"",MATCH(804,'Fleet dates'!$N$9:$N$1008,0)+8)</x:f>
      </x:c>
    </x:row>
    <x:row r="813" ht="36" customHeight="1">
      <x:c r="A813" s="50" t="str">
        <x:f>IF(805&gt;$H$4,"",IF(INDEX('Fleet dates'!$A$9:$A$1008,$I813-8)="","",INDEX('Fleet dates'!$A$9:$A$1008,$I813-8)))</x:f>
      </x:c>
      <x:c r="B813" s="50" t="str">
        <x:f>IF(805&gt;$H$4,"",IF(INDEX('Fleet dates'!$B$9:$B$1008,$I813-8)="","",INDEX('Fleet dates'!$B$9:$B$1008,$I813-8)))</x:f>
      </x:c>
      <x:c r="C813" s="51" t="str">
        <x:f>IF(805&gt;$H$4,"",IF(INDEX('Fleet dates'!$C$9:$C$1008,$I813-8)="","",INDEX('Fleet dates'!$C$9:$C$1008,$I813-8)))</x:f>
      </x:c>
      <x:c r="D813" s="51" t="str">
        <x:f>IF(805&gt;$H$4,"",IF(INDEX('Fleet dates'!$D$9:$D$1008,$I813-8)="","",INDEX('Fleet dates'!$D$9:$D$1008,$I813-8)))</x:f>
      </x:c>
      <x:c r="E813" s="51" t="str">
        <x:f>IF(805&gt;$H$4,"",IF(INDEX('Fleet dates'!$E$9:$E$1008,$I813-8)="","",INDEX('Fleet dates'!$E$9:$E$1008,$I813-8)))</x:f>
      </x:c>
      <x:c r="F813" s="51" t="str">
        <x:f>IF(805&gt;$H$4,"",IF(INDEX('Fleet dates'!$F$9:$F$1008,$I813-8)="","",INDEX('Fleet dates'!$F$9:$F$1008,$I813-8)))</x:f>
      </x:c>
      <x:c r="G813" s="50" t="str">
        <x:f>IF(805&gt;$H$4,"",IF(INDEX('Fleet dates'!$G$9:$G$1008,$I813-8)="","",INDEX('Fleet dates'!$G$9:$G$1008,$I813-8)))</x:f>
      </x:c>
      <x:c r="H813" s="50" t="str">
        <x:f>IF(805&gt;$H$4,"",IF(INDEX('Fleet dates'!$I$9:$I$1008,$I813-8)="","",INDEX('Fleet dates'!$I$9:$I$1008,$I813-8)))</x:f>
      </x:c>
      <x:c r="I813" t="str">
        <x:f>IF(805&gt;$H$4,"",MATCH(805,'Fleet dates'!$N$9:$N$1008,0)+8)</x:f>
      </x:c>
    </x:row>
    <x:row r="814" ht="36" customHeight="1">
      <x:c r="A814" s="50" t="str">
        <x:f>IF(806&gt;$H$4,"",IF(INDEX('Fleet dates'!$A$9:$A$1008,$I814-8)="","",INDEX('Fleet dates'!$A$9:$A$1008,$I814-8)))</x:f>
      </x:c>
      <x:c r="B814" s="50" t="str">
        <x:f>IF(806&gt;$H$4,"",IF(INDEX('Fleet dates'!$B$9:$B$1008,$I814-8)="","",INDEX('Fleet dates'!$B$9:$B$1008,$I814-8)))</x:f>
      </x:c>
      <x:c r="C814" s="51" t="str">
        <x:f>IF(806&gt;$H$4,"",IF(INDEX('Fleet dates'!$C$9:$C$1008,$I814-8)="","",INDEX('Fleet dates'!$C$9:$C$1008,$I814-8)))</x:f>
      </x:c>
      <x:c r="D814" s="51" t="str">
        <x:f>IF(806&gt;$H$4,"",IF(INDEX('Fleet dates'!$D$9:$D$1008,$I814-8)="","",INDEX('Fleet dates'!$D$9:$D$1008,$I814-8)))</x:f>
      </x:c>
      <x:c r="E814" s="51" t="str">
        <x:f>IF(806&gt;$H$4,"",IF(INDEX('Fleet dates'!$E$9:$E$1008,$I814-8)="","",INDEX('Fleet dates'!$E$9:$E$1008,$I814-8)))</x:f>
      </x:c>
      <x:c r="F814" s="51" t="str">
        <x:f>IF(806&gt;$H$4,"",IF(INDEX('Fleet dates'!$F$9:$F$1008,$I814-8)="","",INDEX('Fleet dates'!$F$9:$F$1008,$I814-8)))</x:f>
      </x:c>
      <x:c r="G814" s="50" t="str">
        <x:f>IF(806&gt;$H$4,"",IF(INDEX('Fleet dates'!$G$9:$G$1008,$I814-8)="","",INDEX('Fleet dates'!$G$9:$G$1008,$I814-8)))</x:f>
      </x:c>
      <x:c r="H814" s="50" t="str">
        <x:f>IF(806&gt;$H$4,"",IF(INDEX('Fleet dates'!$I$9:$I$1008,$I814-8)="","",INDEX('Fleet dates'!$I$9:$I$1008,$I814-8)))</x:f>
      </x:c>
      <x:c r="I814" t="str">
        <x:f>IF(806&gt;$H$4,"",MATCH(806,'Fleet dates'!$N$9:$N$1008,0)+8)</x:f>
      </x:c>
    </x:row>
    <x:row r="815" ht="36" customHeight="1">
      <x:c r="A815" s="50" t="str">
        <x:f>IF(807&gt;$H$4,"",IF(INDEX('Fleet dates'!$A$9:$A$1008,$I815-8)="","",INDEX('Fleet dates'!$A$9:$A$1008,$I815-8)))</x:f>
      </x:c>
      <x:c r="B815" s="50" t="str">
        <x:f>IF(807&gt;$H$4,"",IF(INDEX('Fleet dates'!$B$9:$B$1008,$I815-8)="","",INDEX('Fleet dates'!$B$9:$B$1008,$I815-8)))</x:f>
      </x:c>
      <x:c r="C815" s="51" t="str">
        <x:f>IF(807&gt;$H$4,"",IF(INDEX('Fleet dates'!$C$9:$C$1008,$I815-8)="","",INDEX('Fleet dates'!$C$9:$C$1008,$I815-8)))</x:f>
      </x:c>
      <x:c r="D815" s="51" t="str">
        <x:f>IF(807&gt;$H$4,"",IF(INDEX('Fleet dates'!$D$9:$D$1008,$I815-8)="","",INDEX('Fleet dates'!$D$9:$D$1008,$I815-8)))</x:f>
      </x:c>
      <x:c r="E815" s="51" t="str">
        <x:f>IF(807&gt;$H$4,"",IF(INDEX('Fleet dates'!$E$9:$E$1008,$I815-8)="","",INDEX('Fleet dates'!$E$9:$E$1008,$I815-8)))</x:f>
      </x:c>
      <x:c r="F815" s="51" t="str">
        <x:f>IF(807&gt;$H$4,"",IF(INDEX('Fleet dates'!$F$9:$F$1008,$I815-8)="","",INDEX('Fleet dates'!$F$9:$F$1008,$I815-8)))</x:f>
      </x:c>
      <x:c r="G815" s="50" t="str">
        <x:f>IF(807&gt;$H$4,"",IF(INDEX('Fleet dates'!$G$9:$G$1008,$I815-8)="","",INDEX('Fleet dates'!$G$9:$G$1008,$I815-8)))</x:f>
      </x:c>
      <x:c r="H815" s="50" t="str">
        <x:f>IF(807&gt;$H$4,"",IF(INDEX('Fleet dates'!$I$9:$I$1008,$I815-8)="","",INDEX('Fleet dates'!$I$9:$I$1008,$I815-8)))</x:f>
      </x:c>
      <x:c r="I815" t="str">
        <x:f>IF(807&gt;$H$4,"",MATCH(807,'Fleet dates'!$N$9:$N$1008,0)+8)</x:f>
      </x:c>
    </x:row>
    <x:row r="816" ht="36" customHeight="1">
      <x:c r="A816" s="50" t="str">
        <x:f>IF(808&gt;$H$4,"",IF(INDEX('Fleet dates'!$A$9:$A$1008,$I816-8)="","",INDEX('Fleet dates'!$A$9:$A$1008,$I816-8)))</x:f>
      </x:c>
      <x:c r="B816" s="50" t="str">
        <x:f>IF(808&gt;$H$4,"",IF(INDEX('Fleet dates'!$B$9:$B$1008,$I816-8)="","",INDEX('Fleet dates'!$B$9:$B$1008,$I816-8)))</x:f>
      </x:c>
      <x:c r="C816" s="51" t="str">
        <x:f>IF(808&gt;$H$4,"",IF(INDEX('Fleet dates'!$C$9:$C$1008,$I816-8)="","",INDEX('Fleet dates'!$C$9:$C$1008,$I816-8)))</x:f>
      </x:c>
      <x:c r="D816" s="51" t="str">
        <x:f>IF(808&gt;$H$4,"",IF(INDEX('Fleet dates'!$D$9:$D$1008,$I816-8)="","",INDEX('Fleet dates'!$D$9:$D$1008,$I816-8)))</x:f>
      </x:c>
      <x:c r="E816" s="51" t="str">
        <x:f>IF(808&gt;$H$4,"",IF(INDEX('Fleet dates'!$E$9:$E$1008,$I816-8)="","",INDEX('Fleet dates'!$E$9:$E$1008,$I816-8)))</x:f>
      </x:c>
      <x:c r="F816" s="51" t="str">
        <x:f>IF(808&gt;$H$4,"",IF(INDEX('Fleet dates'!$F$9:$F$1008,$I816-8)="","",INDEX('Fleet dates'!$F$9:$F$1008,$I816-8)))</x:f>
      </x:c>
      <x:c r="G816" s="50" t="str">
        <x:f>IF(808&gt;$H$4,"",IF(INDEX('Fleet dates'!$G$9:$G$1008,$I816-8)="","",INDEX('Fleet dates'!$G$9:$G$1008,$I816-8)))</x:f>
      </x:c>
      <x:c r="H816" s="50" t="str">
        <x:f>IF(808&gt;$H$4,"",IF(INDEX('Fleet dates'!$I$9:$I$1008,$I816-8)="","",INDEX('Fleet dates'!$I$9:$I$1008,$I816-8)))</x:f>
      </x:c>
      <x:c r="I816" t="str">
        <x:f>IF(808&gt;$H$4,"",MATCH(808,'Fleet dates'!$N$9:$N$1008,0)+8)</x:f>
      </x:c>
    </x:row>
    <x:row r="817" ht="36" customHeight="1">
      <x:c r="A817" s="50" t="str">
        <x:f>IF(809&gt;$H$4,"",IF(INDEX('Fleet dates'!$A$9:$A$1008,$I817-8)="","",INDEX('Fleet dates'!$A$9:$A$1008,$I817-8)))</x:f>
      </x:c>
      <x:c r="B817" s="50" t="str">
        <x:f>IF(809&gt;$H$4,"",IF(INDEX('Fleet dates'!$B$9:$B$1008,$I817-8)="","",INDEX('Fleet dates'!$B$9:$B$1008,$I817-8)))</x:f>
      </x:c>
      <x:c r="C817" s="51" t="str">
        <x:f>IF(809&gt;$H$4,"",IF(INDEX('Fleet dates'!$C$9:$C$1008,$I817-8)="","",INDEX('Fleet dates'!$C$9:$C$1008,$I817-8)))</x:f>
      </x:c>
      <x:c r="D817" s="51" t="str">
        <x:f>IF(809&gt;$H$4,"",IF(INDEX('Fleet dates'!$D$9:$D$1008,$I817-8)="","",INDEX('Fleet dates'!$D$9:$D$1008,$I817-8)))</x:f>
      </x:c>
      <x:c r="E817" s="51" t="str">
        <x:f>IF(809&gt;$H$4,"",IF(INDEX('Fleet dates'!$E$9:$E$1008,$I817-8)="","",INDEX('Fleet dates'!$E$9:$E$1008,$I817-8)))</x:f>
      </x:c>
      <x:c r="F817" s="51" t="str">
        <x:f>IF(809&gt;$H$4,"",IF(INDEX('Fleet dates'!$F$9:$F$1008,$I817-8)="","",INDEX('Fleet dates'!$F$9:$F$1008,$I817-8)))</x:f>
      </x:c>
      <x:c r="G817" s="50" t="str">
        <x:f>IF(809&gt;$H$4,"",IF(INDEX('Fleet dates'!$G$9:$G$1008,$I817-8)="","",INDEX('Fleet dates'!$G$9:$G$1008,$I817-8)))</x:f>
      </x:c>
      <x:c r="H817" s="50" t="str">
        <x:f>IF(809&gt;$H$4,"",IF(INDEX('Fleet dates'!$I$9:$I$1008,$I817-8)="","",INDEX('Fleet dates'!$I$9:$I$1008,$I817-8)))</x:f>
      </x:c>
      <x:c r="I817" t="str">
        <x:f>IF(809&gt;$H$4,"",MATCH(809,'Fleet dates'!$N$9:$N$1008,0)+8)</x:f>
      </x:c>
    </x:row>
    <x:row r="818" ht="36" customHeight="1">
      <x:c r="A818" s="50" t="str">
        <x:f>IF(810&gt;$H$4,"",IF(INDEX('Fleet dates'!$A$9:$A$1008,$I818-8)="","",INDEX('Fleet dates'!$A$9:$A$1008,$I818-8)))</x:f>
      </x:c>
      <x:c r="B818" s="50" t="str">
        <x:f>IF(810&gt;$H$4,"",IF(INDEX('Fleet dates'!$B$9:$B$1008,$I818-8)="","",INDEX('Fleet dates'!$B$9:$B$1008,$I818-8)))</x:f>
      </x:c>
      <x:c r="C818" s="51" t="str">
        <x:f>IF(810&gt;$H$4,"",IF(INDEX('Fleet dates'!$C$9:$C$1008,$I818-8)="","",INDEX('Fleet dates'!$C$9:$C$1008,$I818-8)))</x:f>
      </x:c>
      <x:c r="D818" s="51" t="str">
        <x:f>IF(810&gt;$H$4,"",IF(INDEX('Fleet dates'!$D$9:$D$1008,$I818-8)="","",INDEX('Fleet dates'!$D$9:$D$1008,$I818-8)))</x:f>
      </x:c>
      <x:c r="E818" s="51" t="str">
        <x:f>IF(810&gt;$H$4,"",IF(INDEX('Fleet dates'!$E$9:$E$1008,$I818-8)="","",INDEX('Fleet dates'!$E$9:$E$1008,$I818-8)))</x:f>
      </x:c>
      <x:c r="F818" s="51" t="str">
        <x:f>IF(810&gt;$H$4,"",IF(INDEX('Fleet dates'!$F$9:$F$1008,$I818-8)="","",INDEX('Fleet dates'!$F$9:$F$1008,$I818-8)))</x:f>
      </x:c>
      <x:c r="G818" s="50" t="str">
        <x:f>IF(810&gt;$H$4,"",IF(INDEX('Fleet dates'!$G$9:$G$1008,$I818-8)="","",INDEX('Fleet dates'!$G$9:$G$1008,$I818-8)))</x:f>
      </x:c>
      <x:c r="H818" s="50" t="str">
        <x:f>IF(810&gt;$H$4,"",IF(INDEX('Fleet dates'!$I$9:$I$1008,$I818-8)="","",INDEX('Fleet dates'!$I$9:$I$1008,$I818-8)))</x:f>
      </x:c>
      <x:c r="I818" t="str">
        <x:f>IF(810&gt;$H$4,"",MATCH(810,'Fleet dates'!$N$9:$N$1008,0)+8)</x:f>
      </x:c>
    </x:row>
    <x:row r="819" ht="36" customHeight="1">
      <x:c r="A819" s="50" t="str">
        <x:f>IF(811&gt;$H$4,"",IF(INDEX('Fleet dates'!$A$9:$A$1008,$I819-8)="","",INDEX('Fleet dates'!$A$9:$A$1008,$I819-8)))</x:f>
      </x:c>
      <x:c r="B819" s="50" t="str">
        <x:f>IF(811&gt;$H$4,"",IF(INDEX('Fleet dates'!$B$9:$B$1008,$I819-8)="","",INDEX('Fleet dates'!$B$9:$B$1008,$I819-8)))</x:f>
      </x:c>
      <x:c r="C819" s="51" t="str">
        <x:f>IF(811&gt;$H$4,"",IF(INDEX('Fleet dates'!$C$9:$C$1008,$I819-8)="","",INDEX('Fleet dates'!$C$9:$C$1008,$I819-8)))</x:f>
      </x:c>
      <x:c r="D819" s="51" t="str">
        <x:f>IF(811&gt;$H$4,"",IF(INDEX('Fleet dates'!$D$9:$D$1008,$I819-8)="","",INDEX('Fleet dates'!$D$9:$D$1008,$I819-8)))</x:f>
      </x:c>
      <x:c r="E819" s="51" t="str">
        <x:f>IF(811&gt;$H$4,"",IF(INDEX('Fleet dates'!$E$9:$E$1008,$I819-8)="","",INDEX('Fleet dates'!$E$9:$E$1008,$I819-8)))</x:f>
      </x:c>
      <x:c r="F819" s="51" t="str">
        <x:f>IF(811&gt;$H$4,"",IF(INDEX('Fleet dates'!$F$9:$F$1008,$I819-8)="","",INDEX('Fleet dates'!$F$9:$F$1008,$I819-8)))</x:f>
      </x:c>
      <x:c r="G819" s="50" t="str">
        <x:f>IF(811&gt;$H$4,"",IF(INDEX('Fleet dates'!$G$9:$G$1008,$I819-8)="","",INDEX('Fleet dates'!$G$9:$G$1008,$I819-8)))</x:f>
      </x:c>
      <x:c r="H819" s="50" t="str">
        <x:f>IF(811&gt;$H$4,"",IF(INDEX('Fleet dates'!$I$9:$I$1008,$I819-8)="","",INDEX('Fleet dates'!$I$9:$I$1008,$I819-8)))</x:f>
      </x:c>
      <x:c r="I819" t="str">
        <x:f>IF(811&gt;$H$4,"",MATCH(811,'Fleet dates'!$N$9:$N$1008,0)+8)</x:f>
      </x:c>
    </x:row>
    <x:row r="820" ht="36" customHeight="1">
      <x:c r="A820" s="50" t="str">
        <x:f>IF(812&gt;$H$4,"",IF(INDEX('Fleet dates'!$A$9:$A$1008,$I820-8)="","",INDEX('Fleet dates'!$A$9:$A$1008,$I820-8)))</x:f>
      </x:c>
      <x:c r="B820" s="50" t="str">
        <x:f>IF(812&gt;$H$4,"",IF(INDEX('Fleet dates'!$B$9:$B$1008,$I820-8)="","",INDEX('Fleet dates'!$B$9:$B$1008,$I820-8)))</x:f>
      </x:c>
      <x:c r="C820" s="51" t="str">
        <x:f>IF(812&gt;$H$4,"",IF(INDEX('Fleet dates'!$C$9:$C$1008,$I820-8)="","",INDEX('Fleet dates'!$C$9:$C$1008,$I820-8)))</x:f>
      </x:c>
      <x:c r="D820" s="51" t="str">
        <x:f>IF(812&gt;$H$4,"",IF(INDEX('Fleet dates'!$D$9:$D$1008,$I820-8)="","",INDEX('Fleet dates'!$D$9:$D$1008,$I820-8)))</x:f>
      </x:c>
      <x:c r="E820" s="51" t="str">
        <x:f>IF(812&gt;$H$4,"",IF(INDEX('Fleet dates'!$E$9:$E$1008,$I820-8)="","",INDEX('Fleet dates'!$E$9:$E$1008,$I820-8)))</x:f>
      </x:c>
      <x:c r="F820" s="51" t="str">
        <x:f>IF(812&gt;$H$4,"",IF(INDEX('Fleet dates'!$F$9:$F$1008,$I820-8)="","",INDEX('Fleet dates'!$F$9:$F$1008,$I820-8)))</x:f>
      </x:c>
      <x:c r="G820" s="50" t="str">
        <x:f>IF(812&gt;$H$4,"",IF(INDEX('Fleet dates'!$G$9:$G$1008,$I820-8)="","",INDEX('Fleet dates'!$G$9:$G$1008,$I820-8)))</x:f>
      </x:c>
      <x:c r="H820" s="50" t="str">
        <x:f>IF(812&gt;$H$4,"",IF(INDEX('Fleet dates'!$I$9:$I$1008,$I820-8)="","",INDEX('Fleet dates'!$I$9:$I$1008,$I820-8)))</x:f>
      </x:c>
      <x:c r="I820" t="str">
        <x:f>IF(812&gt;$H$4,"",MATCH(812,'Fleet dates'!$N$9:$N$1008,0)+8)</x:f>
      </x:c>
    </x:row>
    <x:row r="821" ht="36" customHeight="1">
      <x:c r="A821" s="50" t="str">
        <x:f>IF(813&gt;$H$4,"",IF(INDEX('Fleet dates'!$A$9:$A$1008,$I821-8)="","",INDEX('Fleet dates'!$A$9:$A$1008,$I821-8)))</x:f>
      </x:c>
      <x:c r="B821" s="50" t="str">
        <x:f>IF(813&gt;$H$4,"",IF(INDEX('Fleet dates'!$B$9:$B$1008,$I821-8)="","",INDEX('Fleet dates'!$B$9:$B$1008,$I821-8)))</x:f>
      </x:c>
      <x:c r="C821" s="51" t="str">
        <x:f>IF(813&gt;$H$4,"",IF(INDEX('Fleet dates'!$C$9:$C$1008,$I821-8)="","",INDEX('Fleet dates'!$C$9:$C$1008,$I821-8)))</x:f>
      </x:c>
      <x:c r="D821" s="51" t="str">
        <x:f>IF(813&gt;$H$4,"",IF(INDEX('Fleet dates'!$D$9:$D$1008,$I821-8)="","",INDEX('Fleet dates'!$D$9:$D$1008,$I821-8)))</x:f>
      </x:c>
      <x:c r="E821" s="51" t="str">
        <x:f>IF(813&gt;$H$4,"",IF(INDEX('Fleet dates'!$E$9:$E$1008,$I821-8)="","",INDEX('Fleet dates'!$E$9:$E$1008,$I821-8)))</x:f>
      </x:c>
      <x:c r="F821" s="51" t="str">
        <x:f>IF(813&gt;$H$4,"",IF(INDEX('Fleet dates'!$F$9:$F$1008,$I821-8)="","",INDEX('Fleet dates'!$F$9:$F$1008,$I821-8)))</x:f>
      </x:c>
      <x:c r="G821" s="50" t="str">
        <x:f>IF(813&gt;$H$4,"",IF(INDEX('Fleet dates'!$G$9:$G$1008,$I821-8)="","",INDEX('Fleet dates'!$G$9:$G$1008,$I821-8)))</x:f>
      </x:c>
      <x:c r="H821" s="50" t="str">
        <x:f>IF(813&gt;$H$4,"",IF(INDEX('Fleet dates'!$I$9:$I$1008,$I821-8)="","",INDEX('Fleet dates'!$I$9:$I$1008,$I821-8)))</x:f>
      </x:c>
      <x:c r="I821" t="str">
        <x:f>IF(813&gt;$H$4,"",MATCH(813,'Fleet dates'!$N$9:$N$1008,0)+8)</x:f>
      </x:c>
    </x:row>
    <x:row r="822" ht="36" customHeight="1">
      <x:c r="A822" s="50" t="str">
        <x:f>IF(814&gt;$H$4,"",IF(INDEX('Fleet dates'!$A$9:$A$1008,$I822-8)="","",INDEX('Fleet dates'!$A$9:$A$1008,$I822-8)))</x:f>
      </x:c>
      <x:c r="B822" s="50" t="str">
        <x:f>IF(814&gt;$H$4,"",IF(INDEX('Fleet dates'!$B$9:$B$1008,$I822-8)="","",INDEX('Fleet dates'!$B$9:$B$1008,$I822-8)))</x:f>
      </x:c>
      <x:c r="C822" s="51" t="str">
        <x:f>IF(814&gt;$H$4,"",IF(INDEX('Fleet dates'!$C$9:$C$1008,$I822-8)="","",INDEX('Fleet dates'!$C$9:$C$1008,$I822-8)))</x:f>
      </x:c>
      <x:c r="D822" s="51" t="str">
        <x:f>IF(814&gt;$H$4,"",IF(INDEX('Fleet dates'!$D$9:$D$1008,$I822-8)="","",INDEX('Fleet dates'!$D$9:$D$1008,$I822-8)))</x:f>
      </x:c>
      <x:c r="E822" s="51" t="str">
        <x:f>IF(814&gt;$H$4,"",IF(INDEX('Fleet dates'!$E$9:$E$1008,$I822-8)="","",INDEX('Fleet dates'!$E$9:$E$1008,$I822-8)))</x:f>
      </x:c>
      <x:c r="F822" s="51" t="str">
        <x:f>IF(814&gt;$H$4,"",IF(INDEX('Fleet dates'!$F$9:$F$1008,$I822-8)="","",INDEX('Fleet dates'!$F$9:$F$1008,$I822-8)))</x:f>
      </x:c>
      <x:c r="G822" s="50" t="str">
        <x:f>IF(814&gt;$H$4,"",IF(INDEX('Fleet dates'!$G$9:$G$1008,$I822-8)="","",INDEX('Fleet dates'!$G$9:$G$1008,$I822-8)))</x:f>
      </x:c>
      <x:c r="H822" s="50" t="str">
        <x:f>IF(814&gt;$H$4,"",IF(INDEX('Fleet dates'!$I$9:$I$1008,$I822-8)="","",INDEX('Fleet dates'!$I$9:$I$1008,$I822-8)))</x:f>
      </x:c>
      <x:c r="I822" t="str">
        <x:f>IF(814&gt;$H$4,"",MATCH(814,'Fleet dates'!$N$9:$N$1008,0)+8)</x:f>
      </x:c>
    </x:row>
    <x:row r="823" ht="36" customHeight="1">
      <x:c r="A823" s="50" t="str">
        <x:f>IF(815&gt;$H$4,"",IF(INDEX('Fleet dates'!$A$9:$A$1008,$I823-8)="","",INDEX('Fleet dates'!$A$9:$A$1008,$I823-8)))</x:f>
      </x:c>
      <x:c r="B823" s="50" t="str">
        <x:f>IF(815&gt;$H$4,"",IF(INDEX('Fleet dates'!$B$9:$B$1008,$I823-8)="","",INDEX('Fleet dates'!$B$9:$B$1008,$I823-8)))</x:f>
      </x:c>
      <x:c r="C823" s="51" t="str">
        <x:f>IF(815&gt;$H$4,"",IF(INDEX('Fleet dates'!$C$9:$C$1008,$I823-8)="","",INDEX('Fleet dates'!$C$9:$C$1008,$I823-8)))</x:f>
      </x:c>
      <x:c r="D823" s="51" t="str">
        <x:f>IF(815&gt;$H$4,"",IF(INDEX('Fleet dates'!$D$9:$D$1008,$I823-8)="","",INDEX('Fleet dates'!$D$9:$D$1008,$I823-8)))</x:f>
      </x:c>
      <x:c r="E823" s="51" t="str">
        <x:f>IF(815&gt;$H$4,"",IF(INDEX('Fleet dates'!$E$9:$E$1008,$I823-8)="","",INDEX('Fleet dates'!$E$9:$E$1008,$I823-8)))</x:f>
      </x:c>
      <x:c r="F823" s="51" t="str">
        <x:f>IF(815&gt;$H$4,"",IF(INDEX('Fleet dates'!$F$9:$F$1008,$I823-8)="","",INDEX('Fleet dates'!$F$9:$F$1008,$I823-8)))</x:f>
      </x:c>
      <x:c r="G823" s="50" t="str">
        <x:f>IF(815&gt;$H$4,"",IF(INDEX('Fleet dates'!$G$9:$G$1008,$I823-8)="","",INDEX('Fleet dates'!$G$9:$G$1008,$I823-8)))</x:f>
      </x:c>
      <x:c r="H823" s="50" t="str">
        <x:f>IF(815&gt;$H$4,"",IF(INDEX('Fleet dates'!$I$9:$I$1008,$I823-8)="","",INDEX('Fleet dates'!$I$9:$I$1008,$I823-8)))</x:f>
      </x:c>
      <x:c r="I823" t="str">
        <x:f>IF(815&gt;$H$4,"",MATCH(815,'Fleet dates'!$N$9:$N$1008,0)+8)</x:f>
      </x:c>
    </x:row>
    <x:row r="824" ht="36" customHeight="1">
      <x:c r="A824" s="50" t="str">
        <x:f>IF(816&gt;$H$4,"",IF(INDEX('Fleet dates'!$A$9:$A$1008,$I824-8)="","",INDEX('Fleet dates'!$A$9:$A$1008,$I824-8)))</x:f>
      </x:c>
      <x:c r="B824" s="50" t="str">
        <x:f>IF(816&gt;$H$4,"",IF(INDEX('Fleet dates'!$B$9:$B$1008,$I824-8)="","",INDEX('Fleet dates'!$B$9:$B$1008,$I824-8)))</x:f>
      </x:c>
      <x:c r="C824" s="51" t="str">
        <x:f>IF(816&gt;$H$4,"",IF(INDEX('Fleet dates'!$C$9:$C$1008,$I824-8)="","",INDEX('Fleet dates'!$C$9:$C$1008,$I824-8)))</x:f>
      </x:c>
      <x:c r="D824" s="51" t="str">
        <x:f>IF(816&gt;$H$4,"",IF(INDEX('Fleet dates'!$D$9:$D$1008,$I824-8)="","",INDEX('Fleet dates'!$D$9:$D$1008,$I824-8)))</x:f>
      </x:c>
      <x:c r="E824" s="51" t="str">
        <x:f>IF(816&gt;$H$4,"",IF(INDEX('Fleet dates'!$E$9:$E$1008,$I824-8)="","",INDEX('Fleet dates'!$E$9:$E$1008,$I824-8)))</x:f>
      </x:c>
      <x:c r="F824" s="51" t="str">
        <x:f>IF(816&gt;$H$4,"",IF(INDEX('Fleet dates'!$F$9:$F$1008,$I824-8)="","",INDEX('Fleet dates'!$F$9:$F$1008,$I824-8)))</x:f>
      </x:c>
      <x:c r="G824" s="50" t="str">
        <x:f>IF(816&gt;$H$4,"",IF(INDEX('Fleet dates'!$G$9:$G$1008,$I824-8)="","",INDEX('Fleet dates'!$G$9:$G$1008,$I824-8)))</x:f>
      </x:c>
      <x:c r="H824" s="50" t="str">
        <x:f>IF(816&gt;$H$4,"",IF(INDEX('Fleet dates'!$I$9:$I$1008,$I824-8)="","",INDEX('Fleet dates'!$I$9:$I$1008,$I824-8)))</x:f>
      </x:c>
      <x:c r="I824" t="str">
        <x:f>IF(816&gt;$H$4,"",MATCH(816,'Fleet dates'!$N$9:$N$1008,0)+8)</x:f>
      </x:c>
    </x:row>
    <x:row r="825" ht="36" customHeight="1">
      <x:c r="A825" s="50" t="str">
        <x:f>IF(817&gt;$H$4,"",IF(INDEX('Fleet dates'!$A$9:$A$1008,$I825-8)="","",INDEX('Fleet dates'!$A$9:$A$1008,$I825-8)))</x:f>
      </x:c>
      <x:c r="B825" s="50" t="str">
        <x:f>IF(817&gt;$H$4,"",IF(INDEX('Fleet dates'!$B$9:$B$1008,$I825-8)="","",INDEX('Fleet dates'!$B$9:$B$1008,$I825-8)))</x:f>
      </x:c>
      <x:c r="C825" s="51" t="str">
        <x:f>IF(817&gt;$H$4,"",IF(INDEX('Fleet dates'!$C$9:$C$1008,$I825-8)="","",INDEX('Fleet dates'!$C$9:$C$1008,$I825-8)))</x:f>
      </x:c>
      <x:c r="D825" s="51" t="str">
        <x:f>IF(817&gt;$H$4,"",IF(INDEX('Fleet dates'!$D$9:$D$1008,$I825-8)="","",INDEX('Fleet dates'!$D$9:$D$1008,$I825-8)))</x:f>
      </x:c>
      <x:c r="E825" s="51" t="str">
        <x:f>IF(817&gt;$H$4,"",IF(INDEX('Fleet dates'!$E$9:$E$1008,$I825-8)="","",INDEX('Fleet dates'!$E$9:$E$1008,$I825-8)))</x:f>
      </x:c>
      <x:c r="F825" s="51" t="str">
        <x:f>IF(817&gt;$H$4,"",IF(INDEX('Fleet dates'!$F$9:$F$1008,$I825-8)="","",INDEX('Fleet dates'!$F$9:$F$1008,$I825-8)))</x:f>
      </x:c>
      <x:c r="G825" s="50" t="str">
        <x:f>IF(817&gt;$H$4,"",IF(INDEX('Fleet dates'!$G$9:$G$1008,$I825-8)="","",INDEX('Fleet dates'!$G$9:$G$1008,$I825-8)))</x:f>
      </x:c>
      <x:c r="H825" s="50" t="str">
        <x:f>IF(817&gt;$H$4,"",IF(INDEX('Fleet dates'!$I$9:$I$1008,$I825-8)="","",INDEX('Fleet dates'!$I$9:$I$1008,$I825-8)))</x:f>
      </x:c>
      <x:c r="I825" t="str">
        <x:f>IF(817&gt;$H$4,"",MATCH(817,'Fleet dates'!$N$9:$N$1008,0)+8)</x:f>
      </x:c>
    </x:row>
    <x:row r="826" ht="36" customHeight="1">
      <x:c r="A826" s="50" t="str">
        <x:f>IF(818&gt;$H$4,"",IF(INDEX('Fleet dates'!$A$9:$A$1008,$I826-8)="","",INDEX('Fleet dates'!$A$9:$A$1008,$I826-8)))</x:f>
      </x:c>
      <x:c r="B826" s="50" t="str">
        <x:f>IF(818&gt;$H$4,"",IF(INDEX('Fleet dates'!$B$9:$B$1008,$I826-8)="","",INDEX('Fleet dates'!$B$9:$B$1008,$I826-8)))</x:f>
      </x:c>
      <x:c r="C826" s="51" t="str">
        <x:f>IF(818&gt;$H$4,"",IF(INDEX('Fleet dates'!$C$9:$C$1008,$I826-8)="","",INDEX('Fleet dates'!$C$9:$C$1008,$I826-8)))</x:f>
      </x:c>
      <x:c r="D826" s="51" t="str">
        <x:f>IF(818&gt;$H$4,"",IF(INDEX('Fleet dates'!$D$9:$D$1008,$I826-8)="","",INDEX('Fleet dates'!$D$9:$D$1008,$I826-8)))</x:f>
      </x:c>
      <x:c r="E826" s="51" t="str">
        <x:f>IF(818&gt;$H$4,"",IF(INDEX('Fleet dates'!$E$9:$E$1008,$I826-8)="","",INDEX('Fleet dates'!$E$9:$E$1008,$I826-8)))</x:f>
      </x:c>
      <x:c r="F826" s="51" t="str">
        <x:f>IF(818&gt;$H$4,"",IF(INDEX('Fleet dates'!$F$9:$F$1008,$I826-8)="","",INDEX('Fleet dates'!$F$9:$F$1008,$I826-8)))</x:f>
      </x:c>
      <x:c r="G826" s="50" t="str">
        <x:f>IF(818&gt;$H$4,"",IF(INDEX('Fleet dates'!$G$9:$G$1008,$I826-8)="","",INDEX('Fleet dates'!$G$9:$G$1008,$I826-8)))</x:f>
      </x:c>
      <x:c r="H826" s="50" t="str">
        <x:f>IF(818&gt;$H$4,"",IF(INDEX('Fleet dates'!$I$9:$I$1008,$I826-8)="","",INDEX('Fleet dates'!$I$9:$I$1008,$I826-8)))</x:f>
      </x:c>
      <x:c r="I826" t="str">
        <x:f>IF(818&gt;$H$4,"",MATCH(818,'Fleet dates'!$N$9:$N$1008,0)+8)</x:f>
      </x:c>
    </x:row>
    <x:row r="827" ht="36" customHeight="1">
      <x:c r="A827" s="50" t="str">
        <x:f>IF(819&gt;$H$4,"",IF(INDEX('Fleet dates'!$A$9:$A$1008,$I827-8)="","",INDEX('Fleet dates'!$A$9:$A$1008,$I827-8)))</x:f>
      </x:c>
      <x:c r="B827" s="50" t="str">
        <x:f>IF(819&gt;$H$4,"",IF(INDEX('Fleet dates'!$B$9:$B$1008,$I827-8)="","",INDEX('Fleet dates'!$B$9:$B$1008,$I827-8)))</x:f>
      </x:c>
      <x:c r="C827" s="51" t="str">
        <x:f>IF(819&gt;$H$4,"",IF(INDEX('Fleet dates'!$C$9:$C$1008,$I827-8)="","",INDEX('Fleet dates'!$C$9:$C$1008,$I827-8)))</x:f>
      </x:c>
      <x:c r="D827" s="51" t="str">
        <x:f>IF(819&gt;$H$4,"",IF(INDEX('Fleet dates'!$D$9:$D$1008,$I827-8)="","",INDEX('Fleet dates'!$D$9:$D$1008,$I827-8)))</x:f>
      </x:c>
      <x:c r="E827" s="51" t="str">
        <x:f>IF(819&gt;$H$4,"",IF(INDEX('Fleet dates'!$E$9:$E$1008,$I827-8)="","",INDEX('Fleet dates'!$E$9:$E$1008,$I827-8)))</x:f>
      </x:c>
      <x:c r="F827" s="51" t="str">
        <x:f>IF(819&gt;$H$4,"",IF(INDEX('Fleet dates'!$F$9:$F$1008,$I827-8)="","",INDEX('Fleet dates'!$F$9:$F$1008,$I827-8)))</x:f>
      </x:c>
      <x:c r="G827" s="50" t="str">
        <x:f>IF(819&gt;$H$4,"",IF(INDEX('Fleet dates'!$G$9:$G$1008,$I827-8)="","",INDEX('Fleet dates'!$G$9:$G$1008,$I827-8)))</x:f>
      </x:c>
      <x:c r="H827" s="50" t="str">
        <x:f>IF(819&gt;$H$4,"",IF(INDEX('Fleet dates'!$I$9:$I$1008,$I827-8)="","",INDEX('Fleet dates'!$I$9:$I$1008,$I827-8)))</x:f>
      </x:c>
      <x:c r="I827" t="str">
        <x:f>IF(819&gt;$H$4,"",MATCH(819,'Fleet dates'!$N$9:$N$1008,0)+8)</x:f>
      </x:c>
    </x:row>
    <x:row r="828" ht="36" customHeight="1">
      <x:c r="A828" s="50" t="str">
        <x:f>IF(820&gt;$H$4,"",IF(INDEX('Fleet dates'!$A$9:$A$1008,$I828-8)="","",INDEX('Fleet dates'!$A$9:$A$1008,$I828-8)))</x:f>
      </x:c>
      <x:c r="B828" s="50" t="str">
        <x:f>IF(820&gt;$H$4,"",IF(INDEX('Fleet dates'!$B$9:$B$1008,$I828-8)="","",INDEX('Fleet dates'!$B$9:$B$1008,$I828-8)))</x:f>
      </x:c>
      <x:c r="C828" s="51" t="str">
        <x:f>IF(820&gt;$H$4,"",IF(INDEX('Fleet dates'!$C$9:$C$1008,$I828-8)="","",INDEX('Fleet dates'!$C$9:$C$1008,$I828-8)))</x:f>
      </x:c>
      <x:c r="D828" s="51" t="str">
        <x:f>IF(820&gt;$H$4,"",IF(INDEX('Fleet dates'!$D$9:$D$1008,$I828-8)="","",INDEX('Fleet dates'!$D$9:$D$1008,$I828-8)))</x:f>
      </x:c>
      <x:c r="E828" s="51" t="str">
        <x:f>IF(820&gt;$H$4,"",IF(INDEX('Fleet dates'!$E$9:$E$1008,$I828-8)="","",INDEX('Fleet dates'!$E$9:$E$1008,$I828-8)))</x:f>
      </x:c>
      <x:c r="F828" s="51" t="str">
        <x:f>IF(820&gt;$H$4,"",IF(INDEX('Fleet dates'!$F$9:$F$1008,$I828-8)="","",INDEX('Fleet dates'!$F$9:$F$1008,$I828-8)))</x:f>
      </x:c>
      <x:c r="G828" s="50" t="str">
        <x:f>IF(820&gt;$H$4,"",IF(INDEX('Fleet dates'!$G$9:$G$1008,$I828-8)="","",INDEX('Fleet dates'!$G$9:$G$1008,$I828-8)))</x:f>
      </x:c>
      <x:c r="H828" s="50" t="str">
        <x:f>IF(820&gt;$H$4,"",IF(INDEX('Fleet dates'!$I$9:$I$1008,$I828-8)="","",INDEX('Fleet dates'!$I$9:$I$1008,$I828-8)))</x:f>
      </x:c>
      <x:c r="I828" t="str">
        <x:f>IF(820&gt;$H$4,"",MATCH(820,'Fleet dates'!$N$9:$N$1008,0)+8)</x:f>
      </x:c>
    </x:row>
    <x:row r="829" ht="36" customHeight="1">
      <x:c r="A829" s="50" t="str">
        <x:f>IF(821&gt;$H$4,"",IF(INDEX('Fleet dates'!$A$9:$A$1008,$I829-8)="","",INDEX('Fleet dates'!$A$9:$A$1008,$I829-8)))</x:f>
      </x:c>
      <x:c r="B829" s="50" t="str">
        <x:f>IF(821&gt;$H$4,"",IF(INDEX('Fleet dates'!$B$9:$B$1008,$I829-8)="","",INDEX('Fleet dates'!$B$9:$B$1008,$I829-8)))</x:f>
      </x:c>
      <x:c r="C829" s="51" t="str">
        <x:f>IF(821&gt;$H$4,"",IF(INDEX('Fleet dates'!$C$9:$C$1008,$I829-8)="","",INDEX('Fleet dates'!$C$9:$C$1008,$I829-8)))</x:f>
      </x:c>
      <x:c r="D829" s="51" t="str">
        <x:f>IF(821&gt;$H$4,"",IF(INDEX('Fleet dates'!$D$9:$D$1008,$I829-8)="","",INDEX('Fleet dates'!$D$9:$D$1008,$I829-8)))</x:f>
      </x:c>
      <x:c r="E829" s="51" t="str">
        <x:f>IF(821&gt;$H$4,"",IF(INDEX('Fleet dates'!$E$9:$E$1008,$I829-8)="","",INDEX('Fleet dates'!$E$9:$E$1008,$I829-8)))</x:f>
      </x:c>
      <x:c r="F829" s="51" t="str">
        <x:f>IF(821&gt;$H$4,"",IF(INDEX('Fleet dates'!$F$9:$F$1008,$I829-8)="","",INDEX('Fleet dates'!$F$9:$F$1008,$I829-8)))</x:f>
      </x:c>
      <x:c r="G829" s="50" t="str">
        <x:f>IF(821&gt;$H$4,"",IF(INDEX('Fleet dates'!$G$9:$G$1008,$I829-8)="","",INDEX('Fleet dates'!$G$9:$G$1008,$I829-8)))</x:f>
      </x:c>
      <x:c r="H829" s="50" t="str">
        <x:f>IF(821&gt;$H$4,"",IF(INDEX('Fleet dates'!$I$9:$I$1008,$I829-8)="","",INDEX('Fleet dates'!$I$9:$I$1008,$I829-8)))</x:f>
      </x:c>
      <x:c r="I829" t="str">
        <x:f>IF(821&gt;$H$4,"",MATCH(821,'Fleet dates'!$N$9:$N$1008,0)+8)</x:f>
      </x:c>
    </x:row>
    <x:row r="830" ht="36" customHeight="1">
      <x:c r="A830" s="50" t="str">
        <x:f>IF(822&gt;$H$4,"",IF(INDEX('Fleet dates'!$A$9:$A$1008,$I830-8)="","",INDEX('Fleet dates'!$A$9:$A$1008,$I830-8)))</x:f>
      </x:c>
      <x:c r="B830" s="50" t="str">
        <x:f>IF(822&gt;$H$4,"",IF(INDEX('Fleet dates'!$B$9:$B$1008,$I830-8)="","",INDEX('Fleet dates'!$B$9:$B$1008,$I830-8)))</x:f>
      </x:c>
      <x:c r="C830" s="51" t="str">
        <x:f>IF(822&gt;$H$4,"",IF(INDEX('Fleet dates'!$C$9:$C$1008,$I830-8)="","",INDEX('Fleet dates'!$C$9:$C$1008,$I830-8)))</x:f>
      </x:c>
      <x:c r="D830" s="51" t="str">
        <x:f>IF(822&gt;$H$4,"",IF(INDEX('Fleet dates'!$D$9:$D$1008,$I830-8)="","",INDEX('Fleet dates'!$D$9:$D$1008,$I830-8)))</x:f>
      </x:c>
      <x:c r="E830" s="51" t="str">
        <x:f>IF(822&gt;$H$4,"",IF(INDEX('Fleet dates'!$E$9:$E$1008,$I830-8)="","",INDEX('Fleet dates'!$E$9:$E$1008,$I830-8)))</x:f>
      </x:c>
      <x:c r="F830" s="51" t="str">
        <x:f>IF(822&gt;$H$4,"",IF(INDEX('Fleet dates'!$F$9:$F$1008,$I830-8)="","",INDEX('Fleet dates'!$F$9:$F$1008,$I830-8)))</x:f>
      </x:c>
      <x:c r="G830" s="50" t="str">
        <x:f>IF(822&gt;$H$4,"",IF(INDEX('Fleet dates'!$G$9:$G$1008,$I830-8)="","",INDEX('Fleet dates'!$G$9:$G$1008,$I830-8)))</x:f>
      </x:c>
      <x:c r="H830" s="50" t="str">
        <x:f>IF(822&gt;$H$4,"",IF(INDEX('Fleet dates'!$I$9:$I$1008,$I830-8)="","",INDEX('Fleet dates'!$I$9:$I$1008,$I830-8)))</x:f>
      </x:c>
      <x:c r="I830" t="str">
        <x:f>IF(822&gt;$H$4,"",MATCH(822,'Fleet dates'!$N$9:$N$1008,0)+8)</x:f>
      </x:c>
    </x:row>
    <x:row r="831" ht="36" customHeight="1">
      <x:c r="A831" s="50" t="str">
        <x:f>IF(823&gt;$H$4,"",IF(INDEX('Fleet dates'!$A$9:$A$1008,$I831-8)="","",INDEX('Fleet dates'!$A$9:$A$1008,$I831-8)))</x:f>
      </x:c>
      <x:c r="B831" s="50" t="str">
        <x:f>IF(823&gt;$H$4,"",IF(INDEX('Fleet dates'!$B$9:$B$1008,$I831-8)="","",INDEX('Fleet dates'!$B$9:$B$1008,$I831-8)))</x:f>
      </x:c>
      <x:c r="C831" s="51" t="str">
        <x:f>IF(823&gt;$H$4,"",IF(INDEX('Fleet dates'!$C$9:$C$1008,$I831-8)="","",INDEX('Fleet dates'!$C$9:$C$1008,$I831-8)))</x:f>
      </x:c>
      <x:c r="D831" s="51" t="str">
        <x:f>IF(823&gt;$H$4,"",IF(INDEX('Fleet dates'!$D$9:$D$1008,$I831-8)="","",INDEX('Fleet dates'!$D$9:$D$1008,$I831-8)))</x:f>
      </x:c>
      <x:c r="E831" s="51" t="str">
        <x:f>IF(823&gt;$H$4,"",IF(INDEX('Fleet dates'!$E$9:$E$1008,$I831-8)="","",INDEX('Fleet dates'!$E$9:$E$1008,$I831-8)))</x:f>
      </x:c>
      <x:c r="F831" s="51" t="str">
        <x:f>IF(823&gt;$H$4,"",IF(INDEX('Fleet dates'!$F$9:$F$1008,$I831-8)="","",INDEX('Fleet dates'!$F$9:$F$1008,$I831-8)))</x:f>
      </x:c>
      <x:c r="G831" s="50" t="str">
        <x:f>IF(823&gt;$H$4,"",IF(INDEX('Fleet dates'!$G$9:$G$1008,$I831-8)="","",INDEX('Fleet dates'!$G$9:$G$1008,$I831-8)))</x:f>
      </x:c>
      <x:c r="H831" s="50" t="str">
        <x:f>IF(823&gt;$H$4,"",IF(INDEX('Fleet dates'!$I$9:$I$1008,$I831-8)="","",INDEX('Fleet dates'!$I$9:$I$1008,$I831-8)))</x:f>
      </x:c>
      <x:c r="I831" t="str">
        <x:f>IF(823&gt;$H$4,"",MATCH(823,'Fleet dates'!$N$9:$N$1008,0)+8)</x:f>
      </x:c>
    </x:row>
    <x:row r="832" ht="36" customHeight="1">
      <x:c r="A832" s="50" t="str">
        <x:f>IF(824&gt;$H$4,"",IF(INDEX('Fleet dates'!$A$9:$A$1008,$I832-8)="","",INDEX('Fleet dates'!$A$9:$A$1008,$I832-8)))</x:f>
      </x:c>
      <x:c r="B832" s="50" t="str">
        <x:f>IF(824&gt;$H$4,"",IF(INDEX('Fleet dates'!$B$9:$B$1008,$I832-8)="","",INDEX('Fleet dates'!$B$9:$B$1008,$I832-8)))</x:f>
      </x:c>
      <x:c r="C832" s="51" t="str">
        <x:f>IF(824&gt;$H$4,"",IF(INDEX('Fleet dates'!$C$9:$C$1008,$I832-8)="","",INDEX('Fleet dates'!$C$9:$C$1008,$I832-8)))</x:f>
      </x:c>
      <x:c r="D832" s="51" t="str">
        <x:f>IF(824&gt;$H$4,"",IF(INDEX('Fleet dates'!$D$9:$D$1008,$I832-8)="","",INDEX('Fleet dates'!$D$9:$D$1008,$I832-8)))</x:f>
      </x:c>
      <x:c r="E832" s="51" t="str">
        <x:f>IF(824&gt;$H$4,"",IF(INDEX('Fleet dates'!$E$9:$E$1008,$I832-8)="","",INDEX('Fleet dates'!$E$9:$E$1008,$I832-8)))</x:f>
      </x:c>
      <x:c r="F832" s="51" t="str">
        <x:f>IF(824&gt;$H$4,"",IF(INDEX('Fleet dates'!$F$9:$F$1008,$I832-8)="","",INDEX('Fleet dates'!$F$9:$F$1008,$I832-8)))</x:f>
      </x:c>
      <x:c r="G832" s="50" t="str">
        <x:f>IF(824&gt;$H$4,"",IF(INDEX('Fleet dates'!$G$9:$G$1008,$I832-8)="","",INDEX('Fleet dates'!$G$9:$G$1008,$I832-8)))</x:f>
      </x:c>
      <x:c r="H832" s="50" t="str">
        <x:f>IF(824&gt;$H$4,"",IF(INDEX('Fleet dates'!$I$9:$I$1008,$I832-8)="","",INDEX('Fleet dates'!$I$9:$I$1008,$I832-8)))</x:f>
      </x:c>
      <x:c r="I832" t="str">
        <x:f>IF(824&gt;$H$4,"",MATCH(824,'Fleet dates'!$N$9:$N$1008,0)+8)</x:f>
      </x:c>
    </x:row>
    <x:row r="833" ht="36" customHeight="1">
      <x:c r="A833" s="50" t="str">
        <x:f>IF(825&gt;$H$4,"",IF(INDEX('Fleet dates'!$A$9:$A$1008,$I833-8)="","",INDEX('Fleet dates'!$A$9:$A$1008,$I833-8)))</x:f>
      </x:c>
      <x:c r="B833" s="50" t="str">
        <x:f>IF(825&gt;$H$4,"",IF(INDEX('Fleet dates'!$B$9:$B$1008,$I833-8)="","",INDEX('Fleet dates'!$B$9:$B$1008,$I833-8)))</x:f>
      </x:c>
      <x:c r="C833" s="51" t="str">
        <x:f>IF(825&gt;$H$4,"",IF(INDEX('Fleet dates'!$C$9:$C$1008,$I833-8)="","",INDEX('Fleet dates'!$C$9:$C$1008,$I833-8)))</x:f>
      </x:c>
      <x:c r="D833" s="51" t="str">
        <x:f>IF(825&gt;$H$4,"",IF(INDEX('Fleet dates'!$D$9:$D$1008,$I833-8)="","",INDEX('Fleet dates'!$D$9:$D$1008,$I833-8)))</x:f>
      </x:c>
      <x:c r="E833" s="51" t="str">
        <x:f>IF(825&gt;$H$4,"",IF(INDEX('Fleet dates'!$E$9:$E$1008,$I833-8)="","",INDEX('Fleet dates'!$E$9:$E$1008,$I833-8)))</x:f>
      </x:c>
      <x:c r="F833" s="51" t="str">
        <x:f>IF(825&gt;$H$4,"",IF(INDEX('Fleet dates'!$F$9:$F$1008,$I833-8)="","",INDEX('Fleet dates'!$F$9:$F$1008,$I833-8)))</x:f>
      </x:c>
      <x:c r="G833" s="50" t="str">
        <x:f>IF(825&gt;$H$4,"",IF(INDEX('Fleet dates'!$G$9:$G$1008,$I833-8)="","",INDEX('Fleet dates'!$G$9:$G$1008,$I833-8)))</x:f>
      </x:c>
      <x:c r="H833" s="50" t="str">
        <x:f>IF(825&gt;$H$4,"",IF(INDEX('Fleet dates'!$I$9:$I$1008,$I833-8)="","",INDEX('Fleet dates'!$I$9:$I$1008,$I833-8)))</x:f>
      </x:c>
      <x:c r="I833" t="str">
        <x:f>IF(825&gt;$H$4,"",MATCH(825,'Fleet dates'!$N$9:$N$1008,0)+8)</x:f>
      </x:c>
    </x:row>
    <x:row r="834" ht="36" customHeight="1">
      <x:c r="A834" s="50" t="str">
        <x:f>IF(826&gt;$H$4,"",IF(INDEX('Fleet dates'!$A$9:$A$1008,$I834-8)="","",INDEX('Fleet dates'!$A$9:$A$1008,$I834-8)))</x:f>
      </x:c>
      <x:c r="B834" s="50" t="str">
        <x:f>IF(826&gt;$H$4,"",IF(INDEX('Fleet dates'!$B$9:$B$1008,$I834-8)="","",INDEX('Fleet dates'!$B$9:$B$1008,$I834-8)))</x:f>
      </x:c>
      <x:c r="C834" s="51" t="str">
        <x:f>IF(826&gt;$H$4,"",IF(INDEX('Fleet dates'!$C$9:$C$1008,$I834-8)="","",INDEX('Fleet dates'!$C$9:$C$1008,$I834-8)))</x:f>
      </x:c>
      <x:c r="D834" s="51" t="str">
        <x:f>IF(826&gt;$H$4,"",IF(INDEX('Fleet dates'!$D$9:$D$1008,$I834-8)="","",INDEX('Fleet dates'!$D$9:$D$1008,$I834-8)))</x:f>
      </x:c>
      <x:c r="E834" s="51" t="str">
        <x:f>IF(826&gt;$H$4,"",IF(INDEX('Fleet dates'!$E$9:$E$1008,$I834-8)="","",INDEX('Fleet dates'!$E$9:$E$1008,$I834-8)))</x:f>
      </x:c>
      <x:c r="F834" s="51" t="str">
        <x:f>IF(826&gt;$H$4,"",IF(INDEX('Fleet dates'!$F$9:$F$1008,$I834-8)="","",INDEX('Fleet dates'!$F$9:$F$1008,$I834-8)))</x:f>
      </x:c>
      <x:c r="G834" s="50" t="str">
        <x:f>IF(826&gt;$H$4,"",IF(INDEX('Fleet dates'!$G$9:$G$1008,$I834-8)="","",INDEX('Fleet dates'!$G$9:$G$1008,$I834-8)))</x:f>
      </x:c>
      <x:c r="H834" s="50" t="str">
        <x:f>IF(826&gt;$H$4,"",IF(INDEX('Fleet dates'!$I$9:$I$1008,$I834-8)="","",INDEX('Fleet dates'!$I$9:$I$1008,$I834-8)))</x:f>
      </x:c>
      <x:c r="I834" t="str">
        <x:f>IF(826&gt;$H$4,"",MATCH(826,'Fleet dates'!$N$9:$N$1008,0)+8)</x:f>
      </x:c>
    </x:row>
    <x:row r="835" ht="36" customHeight="1">
      <x:c r="A835" s="50" t="str">
        <x:f>IF(827&gt;$H$4,"",IF(INDEX('Fleet dates'!$A$9:$A$1008,$I835-8)="","",INDEX('Fleet dates'!$A$9:$A$1008,$I835-8)))</x:f>
      </x:c>
      <x:c r="B835" s="50" t="str">
        <x:f>IF(827&gt;$H$4,"",IF(INDEX('Fleet dates'!$B$9:$B$1008,$I835-8)="","",INDEX('Fleet dates'!$B$9:$B$1008,$I835-8)))</x:f>
      </x:c>
      <x:c r="C835" s="51" t="str">
        <x:f>IF(827&gt;$H$4,"",IF(INDEX('Fleet dates'!$C$9:$C$1008,$I835-8)="","",INDEX('Fleet dates'!$C$9:$C$1008,$I835-8)))</x:f>
      </x:c>
      <x:c r="D835" s="51" t="str">
        <x:f>IF(827&gt;$H$4,"",IF(INDEX('Fleet dates'!$D$9:$D$1008,$I835-8)="","",INDEX('Fleet dates'!$D$9:$D$1008,$I835-8)))</x:f>
      </x:c>
      <x:c r="E835" s="51" t="str">
        <x:f>IF(827&gt;$H$4,"",IF(INDEX('Fleet dates'!$E$9:$E$1008,$I835-8)="","",INDEX('Fleet dates'!$E$9:$E$1008,$I835-8)))</x:f>
      </x:c>
      <x:c r="F835" s="51" t="str">
        <x:f>IF(827&gt;$H$4,"",IF(INDEX('Fleet dates'!$F$9:$F$1008,$I835-8)="","",INDEX('Fleet dates'!$F$9:$F$1008,$I835-8)))</x:f>
      </x:c>
      <x:c r="G835" s="50" t="str">
        <x:f>IF(827&gt;$H$4,"",IF(INDEX('Fleet dates'!$G$9:$G$1008,$I835-8)="","",INDEX('Fleet dates'!$G$9:$G$1008,$I835-8)))</x:f>
      </x:c>
      <x:c r="H835" s="50" t="str">
        <x:f>IF(827&gt;$H$4,"",IF(INDEX('Fleet dates'!$I$9:$I$1008,$I835-8)="","",INDEX('Fleet dates'!$I$9:$I$1008,$I835-8)))</x:f>
      </x:c>
      <x:c r="I835" t="str">
        <x:f>IF(827&gt;$H$4,"",MATCH(827,'Fleet dates'!$N$9:$N$1008,0)+8)</x:f>
      </x:c>
    </x:row>
    <x:row r="836" ht="36" customHeight="1">
      <x:c r="A836" s="50" t="str">
        <x:f>IF(828&gt;$H$4,"",IF(INDEX('Fleet dates'!$A$9:$A$1008,$I836-8)="","",INDEX('Fleet dates'!$A$9:$A$1008,$I836-8)))</x:f>
      </x:c>
      <x:c r="B836" s="50" t="str">
        <x:f>IF(828&gt;$H$4,"",IF(INDEX('Fleet dates'!$B$9:$B$1008,$I836-8)="","",INDEX('Fleet dates'!$B$9:$B$1008,$I836-8)))</x:f>
      </x:c>
      <x:c r="C836" s="51" t="str">
        <x:f>IF(828&gt;$H$4,"",IF(INDEX('Fleet dates'!$C$9:$C$1008,$I836-8)="","",INDEX('Fleet dates'!$C$9:$C$1008,$I836-8)))</x:f>
      </x:c>
      <x:c r="D836" s="51" t="str">
        <x:f>IF(828&gt;$H$4,"",IF(INDEX('Fleet dates'!$D$9:$D$1008,$I836-8)="","",INDEX('Fleet dates'!$D$9:$D$1008,$I836-8)))</x:f>
      </x:c>
      <x:c r="E836" s="51" t="str">
        <x:f>IF(828&gt;$H$4,"",IF(INDEX('Fleet dates'!$E$9:$E$1008,$I836-8)="","",INDEX('Fleet dates'!$E$9:$E$1008,$I836-8)))</x:f>
      </x:c>
      <x:c r="F836" s="51" t="str">
        <x:f>IF(828&gt;$H$4,"",IF(INDEX('Fleet dates'!$F$9:$F$1008,$I836-8)="","",INDEX('Fleet dates'!$F$9:$F$1008,$I836-8)))</x:f>
      </x:c>
      <x:c r="G836" s="50" t="str">
        <x:f>IF(828&gt;$H$4,"",IF(INDEX('Fleet dates'!$G$9:$G$1008,$I836-8)="","",INDEX('Fleet dates'!$G$9:$G$1008,$I836-8)))</x:f>
      </x:c>
      <x:c r="H836" s="50" t="str">
        <x:f>IF(828&gt;$H$4,"",IF(INDEX('Fleet dates'!$I$9:$I$1008,$I836-8)="","",INDEX('Fleet dates'!$I$9:$I$1008,$I836-8)))</x:f>
      </x:c>
      <x:c r="I836" t="str">
        <x:f>IF(828&gt;$H$4,"",MATCH(828,'Fleet dates'!$N$9:$N$1008,0)+8)</x:f>
      </x:c>
    </x:row>
    <x:row r="837" ht="36" customHeight="1">
      <x:c r="A837" s="50" t="str">
        <x:f>IF(829&gt;$H$4,"",IF(INDEX('Fleet dates'!$A$9:$A$1008,$I837-8)="","",INDEX('Fleet dates'!$A$9:$A$1008,$I837-8)))</x:f>
      </x:c>
      <x:c r="B837" s="50" t="str">
        <x:f>IF(829&gt;$H$4,"",IF(INDEX('Fleet dates'!$B$9:$B$1008,$I837-8)="","",INDEX('Fleet dates'!$B$9:$B$1008,$I837-8)))</x:f>
      </x:c>
      <x:c r="C837" s="51" t="str">
        <x:f>IF(829&gt;$H$4,"",IF(INDEX('Fleet dates'!$C$9:$C$1008,$I837-8)="","",INDEX('Fleet dates'!$C$9:$C$1008,$I837-8)))</x:f>
      </x:c>
      <x:c r="D837" s="51" t="str">
        <x:f>IF(829&gt;$H$4,"",IF(INDEX('Fleet dates'!$D$9:$D$1008,$I837-8)="","",INDEX('Fleet dates'!$D$9:$D$1008,$I837-8)))</x:f>
      </x:c>
      <x:c r="E837" s="51" t="str">
        <x:f>IF(829&gt;$H$4,"",IF(INDEX('Fleet dates'!$E$9:$E$1008,$I837-8)="","",INDEX('Fleet dates'!$E$9:$E$1008,$I837-8)))</x:f>
      </x:c>
      <x:c r="F837" s="51" t="str">
        <x:f>IF(829&gt;$H$4,"",IF(INDEX('Fleet dates'!$F$9:$F$1008,$I837-8)="","",INDEX('Fleet dates'!$F$9:$F$1008,$I837-8)))</x:f>
      </x:c>
      <x:c r="G837" s="50" t="str">
        <x:f>IF(829&gt;$H$4,"",IF(INDEX('Fleet dates'!$G$9:$G$1008,$I837-8)="","",INDEX('Fleet dates'!$G$9:$G$1008,$I837-8)))</x:f>
      </x:c>
      <x:c r="H837" s="50" t="str">
        <x:f>IF(829&gt;$H$4,"",IF(INDEX('Fleet dates'!$I$9:$I$1008,$I837-8)="","",INDEX('Fleet dates'!$I$9:$I$1008,$I837-8)))</x:f>
      </x:c>
      <x:c r="I837" t="str">
        <x:f>IF(829&gt;$H$4,"",MATCH(829,'Fleet dates'!$N$9:$N$1008,0)+8)</x:f>
      </x:c>
    </x:row>
    <x:row r="838" ht="36" customHeight="1">
      <x:c r="A838" s="50" t="str">
        <x:f>IF(830&gt;$H$4,"",IF(INDEX('Fleet dates'!$A$9:$A$1008,$I838-8)="","",INDEX('Fleet dates'!$A$9:$A$1008,$I838-8)))</x:f>
      </x:c>
      <x:c r="B838" s="50" t="str">
        <x:f>IF(830&gt;$H$4,"",IF(INDEX('Fleet dates'!$B$9:$B$1008,$I838-8)="","",INDEX('Fleet dates'!$B$9:$B$1008,$I838-8)))</x:f>
      </x:c>
      <x:c r="C838" s="51" t="str">
        <x:f>IF(830&gt;$H$4,"",IF(INDEX('Fleet dates'!$C$9:$C$1008,$I838-8)="","",INDEX('Fleet dates'!$C$9:$C$1008,$I838-8)))</x:f>
      </x:c>
      <x:c r="D838" s="51" t="str">
        <x:f>IF(830&gt;$H$4,"",IF(INDEX('Fleet dates'!$D$9:$D$1008,$I838-8)="","",INDEX('Fleet dates'!$D$9:$D$1008,$I838-8)))</x:f>
      </x:c>
      <x:c r="E838" s="51" t="str">
        <x:f>IF(830&gt;$H$4,"",IF(INDEX('Fleet dates'!$E$9:$E$1008,$I838-8)="","",INDEX('Fleet dates'!$E$9:$E$1008,$I838-8)))</x:f>
      </x:c>
      <x:c r="F838" s="51" t="str">
        <x:f>IF(830&gt;$H$4,"",IF(INDEX('Fleet dates'!$F$9:$F$1008,$I838-8)="","",INDEX('Fleet dates'!$F$9:$F$1008,$I838-8)))</x:f>
      </x:c>
      <x:c r="G838" s="50" t="str">
        <x:f>IF(830&gt;$H$4,"",IF(INDEX('Fleet dates'!$G$9:$G$1008,$I838-8)="","",INDEX('Fleet dates'!$G$9:$G$1008,$I838-8)))</x:f>
      </x:c>
      <x:c r="H838" s="50" t="str">
        <x:f>IF(830&gt;$H$4,"",IF(INDEX('Fleet dates'!$I$9:$I$1008,$I838-8)="","",INDEX('Fleet dates'!$I$9:$I$1008,$I838-8)))</x:f>
      </x:c>
      <x:c r="I838" t="str">
        <x:f>IF(830&gt;$H$4,"",MATCH(830,'Fleet dates'!$N$9:$N$1008,0)+8)</x:f>
      </x:c>
    </x:row>
    <x:row r="839" ht="36" customHeight="1">
      <x:c r="A839" s="50" t="str">
        <x:f>IF(831&gt;$H$4,"",IF(INDEX('Fleet dates'!$A$9:$A$1008,$I839-8)="","",INDEX('Fleet dates'!$A$9:$A$1008,$I839-8)))</x:f>
      </x:c>
      <x:c r="B839" s="50" t="str">
        <x:f>IF(831&gt;$H$4,"",IF(INDEX('Fleet dates'!$B$9:$B$1008,$I839-8)="","",INDEX('Fleet dates'!$B$9:$B$1008,$I839-8)))</x:f>
      </x:c>
      <x:c r="C839" s="51" t="str">
        <x:f>IF(831&gt;$H$4,"",IF(INDEX('Fleet dates'!$C$9:$C$1008,$I839-8)="","",INDEX('Fleet dates'!$C$9:$C$1008,$I839-8)))</x:f>
      </x:c>
      <x:c r="D839" s="51" t="str">
        <x:f>IF(831&gt;$H$4,"",IF(INDEX('Fleet dates'!$D$9:$D$1008,$I839-8)="","",INDEX('Fleet dates'!$D$9:$D$1008,$I839-8)))</x:f>
      </x:c>
      <x:c r="E839" s="51" t="str">
        <x:f>IF(831&gt;$H$4,"",IF(INDEX('Fleet dates'!$E$9:$E$1008,$I839-8)="","",INDEX('Fleet dates'!$E$9:$E$1008,$I839-8)))</x:f>
      </x:c>
      <x:c r="F839" s="51" t="str">
        <x:f>IF(831&gt;$H$4,"",IF(INDEX('Fleet dates'!$F$9:$F$1008,$I839-8)="","",INDEX('Fleet dates'!$F$9:$F$1008,$I839-8)))</x:f>
      </x:c>
      <x:c r="G839" s="50" t="str">
        <x:f>IF(831&gt;$H$4,"",IF(INDEX('Fleet dates'!$G$9:$G$1008,$I839-8)="","",INDEX('Fleet dates'!$G$9:$G$1008,$I839-8)))</x:f>
      </x:c>
      <x:c r="H839" s="50" t="str">
        <x:f>IF(831&gt;$H$4,"",IF(INDEX('Fleet dates'!$I$9:$I$1008,$I839-8)="","",INDEX('Fleet dates'!$I$9:$I$1008,$I839-8)))</x:f>
      </x:c>
      <x:c r="I839" t="str">
        <x:f>IF(831&gt;$H$4,"",MATCH(831,'Fleet dates'!$N$9:$N$1008,0)+8)</x:f>
      </x:c>
    </x:row>
    <x:row r="840" ht="36" customHeight="1">
      <x:c r="A840" s="50" t="str">
        <x:f>IF(832&gt;$H$4,"",IF(INDEX('Fleet dates'!$A$9:$A$1008,$I840-8)="","",INDEX('Fleet dates'!$A$9:$A$1008,$I840-8)))</x:f>
      </x:c>
      <x:c r="B840" s="50" t="str">
        <x:f>IF(832&gt;$H$4,"",IF(INDEX('Fleet dates'!$B$9:$B$1008,$I840-8)="","",INDEX('Fleet dates'!$B$9:$B$1008,$I840-8)))</x:f>
      </x:c>
      <x:c r="C840" s="51" t="str">
        <x:f>IF(832&gt;$H$4,"",IF(INDEX('Fleet dates'!$C$9:$C$1008,$I840-8)="","",INDEX('Fleet dates'!$C$9:$C$1008,$I840-8)))</x:f>
      </x:c>
      <x:c r="D840" s="51" t="str">
        <x:f>IF(832&gt;$H$4,"",IF(INDEX('Fleet dates'!$D$9:$D$1008,$I840-8)="","",INDEX('Fleet dates'!$D$9:$D$1008,$I840-8)))</x:f>
      </x:c>
      <x:c r="E840" s="51" t="str">
        <x:f>IF(832&gt;$H$4,"",IF(INDEX('Fleet dates'!$E$9:$E$1008,$I840-8)="","",INDEX('Fleet dates'!$E$9:$E$1008,$I840-8)))</x:f>
      </x:c>
      <x:c r="F840" s="51" t="str">
        <x:f>IF(832&gt;$H$4,"",IF(INDEX('Fleet dates'!$F$9:$F$1008,$I840-8)="","",INDEX('Fleet dates'!$F$9:$F$1008,$I840-8)))</x:f>
      </x:c>
      <x:c r="G840" s="50" t="str">
        <x:f>IF(832&gt;$H$4,"",IF(INDEX('Fleet dates'!$G$9:$G$1008,$I840-8)="","",INDEX('Fleet dates'!$G$9:$G$1008,$I840-8)))</x:f>
      </x:c>
      <x:c r="H840" s="50" t="str">
        <x:f>IF(832&gt;$H$4,"",IF(INDEX('Fleet dates'!$I$9:$I$1008,$I840-8)="","",INDEX('Fleet dates'!$I$9:$I$1008,$I840-8)))</x:f>
      </x:c>
      <x:c r="I840" t="str">
        <x:f>IF(832&gt;$H$4,"",MATCH(832,'Fleet dates'!$N$9:$N$1008,0)+8)</x:f>
      </x:c>
    </x:row>
    <x:row r="841" ht="36" customHeight="1">
      <x:c r="A841" s="50" t="str">
        <x:f>IF(833&gt;$H$4,"",IF(INDEX('Fleet dates'!$A$9:$A$1008,$I841-8)="","",INDEX('Fleet dates'!$A$9:$A$1008,$I841-8)))</x:f>
      </x:c>
      <x:c r="B841" s="50" t="str">
        <x:f>IF(833&gt;$H$4,"",IF(INDEX('Fleet dates'!$B$9:$B$1008,$I841-8)="","",INDEX('Fleet dates'!$B$9:$B$1008,$I841-8)))</x:f>
      </x:c>
      <x:c r="C841" s="51" t="str">
        <x:f>IF(833&gt;$H$4,"",IF(INDEX('Fleet dates'!$C$9:$C$1008,$I841-8)="","",INDEX('Fleet dates'!$C$9:$C$1008,$I841-8)))</x:f>
      </x:c>
      <x:c r="D841" s="51" t="str">
        <x:f>IF(833&gt;$H$4,"",IF(INDEX('Fleet dates'!$D$9:$D$1008,$I841-8)="","",INDEX('Fleet dates'!$D$9:$D$1008,$I841-8)))</x:f>
      </x:c>
      <x:c r="E841" s="51" t="str">
        <x:f>IF(833&gt;$H$4,"",IF(INDEX('Fleet dates'!$E$9:$E$1008,$I841-8)="","",INDEX('Fleet dates'!$E$9:$E$1008,$I841-8)))</x:f>
      </x:c>
      <x:c r="F841" s="51" t="str">
        <x:f>IF(833&gt;$H$4,"",IF(INDEX('Fleet dates'!$F$9:$F$1008,$I841-8)="","",INDEX('Fleet dates'!$F$9:$F$1008,$I841-8)))</x:f>
      </x:c>
      <x:c r="G841" s="50" t="str">
        <x:f>IF(833&gt;$H$4,"",IF(INDEX('Fleet dates'!$G$9:$G$1008,$I841-8)="","",INDEX('Fleet dates'!$G$9:$G$1008,$I841-8)))</x:f>
      </x:c>
      <x:c r="H841" s="50" t="str">
        <x:f>IF(833&gt;$H$4,"",IF(INDEX('Fleet dates'!$I$9:$I$1008,$I841-8)="","",INDEX('Fleet dates'!$I$9:$I$1008,$I841-8)))</x:f>
      </x:c>
      <x:c r="I841" t="str">
        <x:f>IF(833&gt;$H$4,"",MATCH(833,'Fleet dates'!$N$9:$N$1008,0)+8)</x:f>
      </x:c>
    </x:row>
    <x:row r="842" ht="36" customHeight="1">
      <x:c r="A842" s="50" t="str">
        <x:f>IF(834&gt;$H$4,"",IF(INDEX('Fleet dates'!$A$9:$A$1008,$I842-8)="","",INDEX('Fleet dates'!$A$9:$A$1008,$I842-8)))</x:f>
      </x:c>
      <x:c r="B842" s="50" t="str">
        <x:f>IF(834&gt;$H$4,"",IF(INDEX('Fleet dates'!$B$9:$B$1008,$I842-8)="","",INDEX('Fleet dates'!$B$9:$B$1008,$I842-8)))</x:f>
      </x:c>
      <x:c r="C842" s="51" t="str">
        <x:f>IF(834&gt;$H$4,"",IF(INDEX('Fleet dates'!$C$9:$C$1008,$I842-8)="","",INDEX('Fleet dates'!$C$9:$C$1008,$I842-8)))</x:f>
      </x:c>
      <x:c r="D842" s="51" t="str">
        <x:f>IF(834&gt;$H$4,"",IF(INDEX('Fleet dates'!$D$9:$D$1008,$I842-8)="","",INDEX('Fleet dates'!$D$9:$D$1008,$I842-8)))</x:f>
      </x:c>
      <x:c r="E842" s="51" t="str">
        <x:f>IF(834&gt;$H$4,"",IF(INDEX('Fleet dates'!$E$9:$E$1008,$I842-8)="","",INDEX('Fleet dates'!$E$9:$E$1008,$I842-8)))</x:f>
      </x:c>
      <x:c r="F842" s="51" t="str">
        <x:f>IF(834&gt;$H$4,"",IF(INDEX('Fleet dates'!$F$9:$F$1008,$I842-8)="","",INDEX('Fleet dates'!$F$9:$F$1008,$I842-8)))</x:f>
      </x:c>
      <x:c r="G842" s="50" t="str">
        <x:f>IF(834&gt;$H$4,"",IF(INDEX('Fleet dates'!$G$9:$G$1008,$I842-8)="","",INDEX('Fleet dates'!$G$9:$G$1008,$I842-8)))</x:f>
      </x:c>
      <x:c r="H842" s="50" t="str">
        <x:f>IF(834&gt;$H$4,"",IF(INDEX('Fleet dates'!$I$9:$I$1008,$I842-8)="","",INDEX('Fleet dates'!$I$9:$I$1008,$I842-8)))</x:f>
      </x:c>
      <x:c r="I842" t="str">
        <x:f>IF(834&gt;$H$4,"",MATCH(834,'Fleet dates'!$N$9:$N$1008,0)+8)</x:f>
      </x:c>
    </x:row>
    <x:row r="843" ht="36" customHeight="1">
      <x:c r="A843" s="50" t="str">
        <x:f>IF(835&gt;$H$4,"",IF(INDEX('Fleet dates'!$A$9:$A$1008,$I843-8)="","",INDEX('Fleet dates'!$A$9:$A$1008,$I843-8)))</x:f>
      </x:c>
      <x:c r="B843" s="50" t="str">
        <x:f>IF(835&gt;$H$4,"",IF(INDEX('Fleet dates'!$B$9:$B$1008,$I843-8)="","",INDEX('Fleet dates'!$B$9:$B$1008,$I843-8)))</x:f>
      </x:c>
      <x:c r="C843" s="51" t="str">
        <x:f>IF(835&gt;$H$4,"",IF(INDEX('Fleet dates'!$C$9:$C$1008,$I843-8)="","",INDEX('Fleet dates'!$C$9:$C$1008,$I843-8)))</x:f>
      </x:c>
      <x:c r="D843" s="51" t="str">
        <x:f>IF(835&gt;$H$4,"",IF(INDEX('Fleet dates'!$D$9:$D$1008,$I843-8)="","",INDEX('Fleet dates'!$D$9:$D$1008,$I843-8)))</x:f>
      </x:c>
      <x:c r="E843" s="51" t="str">
        <x:f>IF(835&gt;$H$4,"",IF(INDEX('Fleet dates'!$E$9:$E$1008,$I843-8)="","",INDEX('Fleet dates'!$E$9:$E$1008,$I843-8)))</x:f>
      </x:c>
      <x:c r="F843" s="51" t="str">
        <x:f>IF(835&gt;$H$4,"",IF(INDEX('Fleet dates'!$F$9:$F$1008,$I843-8)="","",INDEX('Fleet dates'!$F$9:$F$1008,$I843-8)))</x:f>
      </x:c>
      <x:c r="G843" s="50" t="str">
        <x:f>IF(835&gt;$H$4,"",IF(INDEX('Fleet dates'!$G$9:$G$1008,$I843-8)="","",INDEX('Fleet dates'!$G$9:$G$1008,$I843-8)))</x:f>
      </x:c>
      <x:c r="H843" s="50" t="str">
        <x:f>IF(835&gt;$H$4,"",IF(INDEX('Fleet dates'!$I$9:$I$1008,$I843-8)="","",INDEX('Fleet dates'!$I$9:$I$1008,$I843-8)))</x:f>
      </x:c>
      <x:c r="I843" t="str">
        <x:f>IF(835&gt;$H$4,"",MATCH(835,'Fleet dates'!$N$9:$N$1008,0)+8)</x:f>
      </x:c>
    </x:row>
    <x:row r="844" ht="36" customHeight="1">
      <x:c r="A844" s="50" t="str">
        <x:f>IF(836&gt;$H$4,"",IF(INDEX('Fleet dates'!$A$9:$A$1008,$I844-8)="","",INDEX('Fleet dates'!$A$9:$A$1008,$I844-8)))</x:f>
      </x:c>
      <x:c r="B844" s="50" t="str">
        <x:f>IF(836&gt;$H$4,"",IF(INDEX('Fleet dates'!$B$9:$B$1008,$I844-8)="","",INDEX('Fleet dates'!$B$9:$B$1008,$I844-8)))</x:f>
      </x:c>
      <x:c r="C844" s="51" t="str">
        <x:f>IF(836&gt;$H$4,"",IF(INDEX('Fleet dates'!$C$9:$C$1008,$I844-8)="","",INDEX('Fleet dates'!$C$9:$C$1008,$I844-8)))</x:f>
      </x:c>
      <x:c r="D844" s="51" t="str">
        <x:f>IF(836&gt;$H$4,"",IF(INDEX('Fleet dates'!$D$9:$D$1008,$I844-8)="","",INDEX('Fleet dates'!$D$9:$D$1008,$I844-8)))</x:f>
      </x:c>
      <x:c r="E844" s="51" t="str">
        <x:f>IF(836&gt;$H$4,"",IF(INDEX('Fleet dates'!$E$9:$E$1008,$I844-8)="","",INDEX('Fleet dates'!$E$9:$E$1008,$I844-8)))</x:f>
      </x:c>
      <x:c r="F844" s="51" t="str">
        <x:f>IF(836&gt;$H$4,"",IF(INDEX('Fleet dates'!$F$9:$F$1008,$I844-8)="","",INDEX('Fleet dates'!$F$9:$F$1008,$I844-8)))</x:f>
      </x:c>
      <x:c r="G844" s="50" t="str">
        <x:f>IF(836&gt;$H$4,"",IF(INDEX('Fleet dates'!$G$9:$G$1008,$I844-8)="","",INDEX('Fleet dates'!$G$9:$G$1008,$I844-8)))</x:f>
      </x:c>
      <x:c r="H844" s="50" t="str">
        <x:f>IF(836&gt;$H$4,"",IF(INDEX('Fleet dates'!$I$9:$I$1008,$I844-8)="","",INDEX('Fleet dates'!$I$9:$I$1008,$I844-8)))</x:f>
      </x:c>
      <x:c r="I844" t="str">
        <x:f>IF(836&gt;$H$4,"",MATCH(836,'Fleet dates'!$N$9:$N$1008,0)+8)</x:f>
      </x:c>
    </x:row>
    <x:row r="845" ht="36" customHeight="1">
      <x:c r="A845" s="50" t="str">
        <x:f>IF(837&gt;$H$4,"",IF(INDEX('Fleet dates'!$A$9:$A$1008,$I845-8)="","",INDEX('Fleet dates'!$A$9:$A$1008,$I845-8)))</x:f>
      </x:c>
      <x:c r="B845" s="50" t="str">
        <x:f>IF(837&gt;$H$4,"",IF(INDEX('Fleet dates'!$B$9:$B$1008,$I845-8)="","",INDEX('Fleet dates'!$B$9:$B$1008,$I845-8)))</x:f>
      </x:c>
      <x:c r="C845" s="51" t="str">
        <x:f>IF(837&gt;$H$4,"",IF(INDEX('Fleet dates'!$C$9:$C$1008,$I845-8)="","",INDEX('Fleet dates'!$C$9:$C$1008,$I845-8)))</x:f>
      </x:c>
      <x:c r="D845" s="51" t="str">
        <x:f>IF(837&gt;$H$4,"",IF(INDEX('Fleet dates'!$D$9:$D$1008,$I845-8)="","",INDEX('Fleet dates'!$D$9:$D$1008,$I845-8)))</x:f>
      </x:c>
      <x:c r="E845" s="51" t="str">
        <x:f>IF(837&gt;$H$4,"",IF(INDEX('Fleet dates'!$E$9:$E$1008,$I845-8)="","",INDEX('Fleet dates'!$E$9:$E$1008,$I845-8)))</x:f>
      </x:c>
      <x:c r="F845" s="51" t="str">
        <x:f>IF(837&gt;$H$4,"",IF(INDEX('Fleet dates'!$F$9:$F$1008,$I845-8)="","",INDEX('Fleet dates'!$F$9:$F$1008,$I845-8)))</x:f>
      </x:c>
      <x:c r="G845" s="50" t="str">
        <x:f>IF(837&gt;$H$4,"",IF(INDEX('Fleet dates'!$G$9:$G$1008,$I845-8)="","",INDEX('Fleet dates'!$G$9:$G$1008,$I845-8)))</x:f>
      </x:c>
      <x:c r="H845" s="50" t="str">
        <x:f>IF(837&gt;$H$4,"",IF(INDEX('Fleet dates'!$I$9:$I$1008,$I845-8)="","",INDEX('Fleet dates'!$I$9:$I$1008,$I845-8)))</x:f>
      </x:c>
      <x:c r="I845" t="str">
        <x:f>IF(837&gt;$H$4,"",MATCH(837,'Fleet dates'!$N$9:$N$1008,0)+8)</x:f>
      </x:c>
    </x:row>
    <x:row r="846" ht="36" customHeight="1">
      <x:c r="A846" s="50" t="str">
        <x:f>IF(838&gt;$H$4,"",IF(INDEX('Fleet dates'!$A$9:$A$1008,$I846-8)="","",INDEX('Fleet dates'!$A$9:$A$1008,$I846-8)))</x:f>
      </x:c>
      <x:c r="B846" s="50" t="str">
        <x:f>IF(838&gt;$H$4,"",IF(INDEX('Fleet dates'!$B$9:$B$1008,$I846-8)="","",INDEX('Fleet dates'!$B$9:$B$1008,$I846-8)))</x:f>
      </x:c>
      <x:c r="C846" s="51" t="str">
        <x:f>IF(838&gt;$H$4,"",IF(INDEX('Fleet dates'!$C$9:$C$1008,$I846-8)="","",INDEX('Fleet dates'!$C$9:$C$1008,$I846-8)))</x:f>
      </x:c>
      <x:c r="D846" s="51" t="str">
        <x:f>IF(838&gt;$H$4,"",IF(INDEX('Fleet dates'!$D$9:$D$1008,$I846-8)="","",INDEX('Fleet dates'!$D$9:$D$1008,$I846-8)))</x:f>
      </x:c>
      <x:c r="E846" s="51" t="str">
        <x:f>IF(838&gt;$H$4,"",IF(INDEX('Fleet dates'!$E$9:$E$1008,$I846-8)="","",INDEX('Fleet dates'!$E$9:$E$1008,$I846-8)))</x:f>
      </x:c>
      <x:c r="F846" s="51" t="str">
        <x:f>IF(838&gt;$H$4,"",IF(INDEX('Fleet dates'!$F$9:$F$1008,$I846-8)="","",INDEX('Fleet dates'!$F$9:$F$1008,$I846-8)))</x:f>
      </x:c>
      <x:c r="G846" s="50" t="str">
        <x:f>IF(838&gt;$H$4,"",IF(INDEX('Fleet dates'!$G$9:$G$1008,$I846-8)="","",INDEX('Fleet dates'!$G$9:$G$1008,$I846-8)))</x:f>
      </x:c>
      <x:c r="H846" s="50" t="str">
        <x:f>IF(838&gt;$H$4,"",IF(INDEX('Fleet dates'!$I$9:$I$1008,$I846-8)="","",INDEX('Fleet dates'!$I$9:$I$1008,$I846-8)))</x:f>
      </x:c>
      <x:c r="I846" t="str">
        <x:f>IF(838&gt;$H$4,"",MATCH(838,'Fleet dates'!$N$9:$N$1008,0)+8)</x:f>
      </x:c>
    </x:row>
    <x:row r="847" ht="36" customHeight="1">
      <x:c r="A847" s="50" t="str">
        <x:f>IF(839&gt;$H$4,"",IF(INDEX('Fleet dates'!$A$9:$A$1008,$I847-8)="","",INDEX('Fleet dates'!$A$9:$A$1008,$I847-8)))</x:f>
      </x:c>
      <x:c r="B847" s="50" t="str">
        <x:f>IF(839&gt;$H$4,"",IF(INDEX('Fleet dates'!$B$9:$B$1008,$I847-8)="","",INDEX('Fleet dates'!$B$9:$B$1008,$I847-8)))</x:f>
      </x:c>
      <x:c r="C847" s="51" t="str">
        <x:f>IF(839&gt;$H$4,"",IF(INDEX('Fleet dates'!$C$9:$C$1008,$I847-8)="","",INDEX('Fleet dates'!$C$9:$C$1008,$I847-8)))</x:f>
      </x:c>
      <x:c r="D847" s="51" t="str">
        <x:f>IF(839&gt;$H$4,"",IF(INDEX('Fleet dates'!$D$9:$D$1008,$I847-8)="","",INDEX('Fleet dates'!$D$9:$D$1008,$I847-8)))</x:f>
      </x:c>
      <x:c r="E847" s="51" t="str">
        <x:f>IF(839&gt;$H$4,"",IF(INDEX('Fleet dates'!$E$9:$E$1008,$I847-8)="","",INDEX('Fleet dates'!$E$9:$E$1008,$I847-8)))</x:f>
      </x:c>
      <x:c r="F847" s="51" t="str">
        <x:f>IF(839&gt;$H$4,"",IF(INDEX('Fleet dates'!$F$9:$F$1008,$I847-8)="","",INDEX('Fleet dates'!$F$9:$F$1008,$I847-8)))</x:f>
      </x:c>
      <x:c r="G847" s="50" t="str">
        <x:f>IF(839&gt;$H$4,"",IF(INDEX('Fleet dates'!$G$9:$G$1008,$I847-8)="","",INDEX('Fleet dates'!$G$9:$G$1008,$I847-8)))</x:f>
      </x:c>
      <x:c r="H847" s="50" t="str">
        <x:f>IF(839&gt;$H$4,"",IF(INDEX('Fleet dates'!$I$9:$I$1008,$I847-8)="","",INDEX('Fleet dates'!$I$9:$I$1008,$I847-8)))</x:f>
      </x:c>
      <x:c r="I847" t="str">
        <x:f>IF(839&gt;$H$4,"",MATCH(839,'Fleet dates'!$N$9:$N$1008,0)+8)</x:f>
      </x:c>
    </x:row>
    <x:row r="848" ht="36" customHeight="1">
      <x:c r="A848" s="50" t="str">
        <x:f>IF(840&gt;$H$4,"",IF(INDEX('Fleet dates'!$A$9:$A$1008,$I848-8)="","",INDEX('Fleet dates'!$A$9:$A$1008,$I848-8)))</x:f>
      </x:c>
      <x:c r="B848" s="50" t="str">
        <x:f>IF(840&gt;$H$4,"",IF(INDEX('Fleet dates'!$B$9:$B$1008,$I848-8)="","",INDEX('Fleet dates'!$B$9:$B$1008,$I848-8)))</x:f>
      </x:c>
      <x:c r="C848" s="51" t="str">
        <x:f>IF(840&gt;$H$4,"",IF(INDEX('Fleet dates'!$C$9:$C$1008,$I848-8)="","",INDEX('Fleet dates'!$C$9:$C$1008,$I848-8)))</x:f>
      </x:c>
      <x:c r="D848" s="51" t="str">
        <x:f>IF(840&gt;$H$4,"",IF(INDEX('Fleet dates'!$D$9:$D$1008,$I848-8)="","",INDEX('Fleet dates'!$D$9:$D$1008,$I848-8)))</x:f>
      </x:c>
      <x:c r="E848" s="51" t="str">
        <x:f>IF(840&gt;$H$4,"",IF(INDEX('Fleet dates'!$E$9:$E$1008,$I848-8)="","",INDEX('Fleet dates'!$E$9:$E$1008,$I848-8)))</x:f>
      </x:c>
      <x:c r="F848" s="51" t="str">
        <x:f>IF(840&gt;$H$4,"",IF(INDEX('Fleet dates'!$F$9:$F$1008,$I848-8)="","",INDEX('Fleet dates'!$F$9:$F$1008,$I848-8)))</x:f>
      </x:c>
      <x:c r="G848" s="50" t="str">
        <x:f>IF(840&gt;$H$4,"",IF(INDEX('Fleet dates'!$G$9:$G$1008,$I848-8)="","",INDEX('Fleet dates'!$G$9:$G$1008,$I848-8)))</x:f>
      </x:c>
      <x:c r="H848" s="50" t="str">
        <x:f>IF(840&gt;$H$4,"",IF(INDEX('Fleet dates'!$I$9:$I$1008,$I848-8)="","",INDEX('Fleet dates'!$I$9:$I$1008,$I848-8)))</x:f>
      </x:c>
      <x:c r="I848" t="str">
        <x:f>IF(840&gt;$H$4,"",MATCH(840,'Fleet dates'!$N$9:$N$1008,0)+8)</x:f>
      </x:c>
    </x:row>
    <x:row r="849" ht="36" customHeight="1">
      <x:c r="A849" s="50" t="str">
        <x:f>IF(841&gt;$H$4,"",IF(INDEX('Fleet dates'!$A$9:$A$1008,$I849-8)="","",INDEX('Fleet dates'!$A$9:$A$1008,$I849-8)))</x:f>
      </x:c>
      <x:c r="B849" s="50" t="str">
        <x:f>IF(841&gt;$H$4,"",IF(INDEX('Fleet dates'!$B$9:$B$1008,$I849-8)="","",INDEX('Fleet dates'!$B$9:$B$1008,$I849-8)))</x:f>
      </x:c>
      <x:c r="C849" s="51" t="str">
        <x:f>IF(841&gt;$H$4,"",IF(INDEX('Fleet dates'!$C$9:$C$1008,$I849-8)="","",INDEX('Fleet dates'!$C$9:$C$1008,$I849-8)))</x:f>
      </x:c>
      <x:c r="D849" s="51" t="str">
        <x:f>IF(841&gt;$H$4,"",IF(INDEX('Fleet dates'!$D$9:$D$1008,$I849-8)="","",INDEX('Fleet dates'!$D$9:$D$1008,$I849-8)))</x:f>
      </x:c>
      <x:c r="E849" s="51" t="str">
        <x:f>IF(841&gt;$H$4,"",IF(INDEX('Fleet dates'!$E$9:$E$1008,$I849-8)="","",INDEX('Fleet dates'!$E$9:$E$1008,$I849-8)))</x:f>
      </x:c>
      <x:c r="F849" s="51" t="str">
        <x:f>IF(841&gt;$H$4,"",IF(INDEX('Fleet dates'!$F$9:$F$1008,$I849-8)="","",INDEX('Fleet dates'!$F$9:$F$1008,$I849-8)))</x:f>
      </x:c>
      <x:c r="G849" s="50" t="str">
        <x:f>IF(841&gt;$H$4,"",IF(INDEX('Fleet dates'!$G$9:$G$1008,$I849-8)="","",INDEX('Fleet dates'!$G$9:$G$1008,$I849-8)))</x:f>
      </x:c>
      <x:c r="H849" s="50" t="str">
        <x:f>IF(841&gt;$H$4,"",IF(INDEX('Fleet dates'!$I$9:$I$1008,$I849-8)="","",INDEX('Fleet dates'!$I$9:$I$1008,$I849-8)))</x:f>
      </x:c>
      <x:c r="I849" t="str">
        <x:f>IF(841&gt;$H$4,"",MATCH(841,'Fleet dates'!$N$9:$N$1008,0)+8)</x:f>
      </x:c>
    </x:row>
    <x:row r="850" ht="36" customHeight="1">
      <x:c r="A850" s="50" t="str">
        <x:f>IF(842&gt;$H$4,"",IF(INDEX('Fleet dates'!$A$9:$A$1008,$I850-8)="","",INDEX('Fleet dates'!$A$9:$A$1008,$I850-8)))</x:f>
      </x:c>
      <x:c r="B850" s="50" t="str">
        <x:f>IF(842&gt;$H$4,"",IF(INDEX('Fleet dates'!$B$9:$B$1008,$I850-8)="","",INDEX('Fleet dates'!$B$9:$B$1008,$I850-8)))</x:f>
      </x:c>
      <x:c r="C850" s="51" t="str">
        <x:f>IF(842&gt;$H$4,"",IF(INDEX('Fleet dates'!$C$9:$C$1008,$I850-8)="","",INDEX('Fleet dates'!$C$9:$C$1008,$I850-8)))</x:f>
      </x:c>
      <x:c r="D850" s="51" t="str">
        <x:f>IF(842&gt;$H$4,"",IF(INDEX('Fleet dates'!$D$9:$D$1008,$I850-8)="","",INDEX('Fleet dates'!$D$9:$D$1008,$I850-8)))</x:f>
      </x:c>
      <x:c r="E850" s="51" t="str">
        <x:f>IF(842&gt;$H$4,"",IF(INDEX('Fleet dates'!$E$9:$E$1008,$I850-8)="","",INDEX('Fleet dates'!$E$9:$E$1008,$I850-8)))</x:f>
      </x:c>
      <x:c r="F850" s="51" t="str">
        <x:f>IF(842&gt;$H$4,"",IF(INDEX('Fleet dates'!$F$9:$F$1008,$I850-8)="","",INDEX('Fleet dates'!$F$9:$F$1008,$I850-8)))</x:f>
      </x:c>
      <x:c r="G850" s="50" t="str">
        <x:f>IF(842&gt;$H$4,"",IF(INDEX('Fleet dates'!$G$9:$G$1008,$I850-8)="","",INDEX('Fleet dates'!$G$9:$G$1008,$I850-8)))</x:f>
      </x:c>
      <x:c r="H850" s="50" t="str">
        <x:f>IF(842&gt;$H$4,"",IF(INDEX('Fleet dates'!$I$9:$I$1008,$I850-8)="","",INDEX('Fleet dates'!$I$9:$I$1008,$I850-8)))</x:f>
      </x:c>
      <x:c r="I850" t="str">
        <x:f>IF(842&gt;$H$4,"",MATCH(842,'Fleet dates'!$N$9:$N$1008,0)+8)</x:f>
      </x:c>
    </x:row>
    <x:row r="851" ht="36" customHeight="1">
      <x:c r="A851" s="50" t="str">
        <x:f>IF(843&gt;$H$4,"",IF(INDEX('Fleet dates'!$A$9:$A$1008,$I851-8)="","",INDEX('Fleet dates'!$A$9:$A$1008,$I851-8)))</x:f>
      </x:c>
      <x:c r="B851" s="50" t="str">
        <x:f>IF(843&gt;$H$4,"",IF(INDEX('Fleet dates'!$B$9:$B$1008,$I851-8)="","",INDEX('Fleet dates'!$B$9:$B$1008,$I851-8)))</x:f>
      </x:c>
      <x:c r="C851" s="51" t="str">
        <x:f>IF(843&gt;$H$4,"",IF(INDEX('Fleet dates'!$C$9:$C$1008,$I851-8)="","",INDEX('Fleet dates'!$C$9:$C$1008,$I851-8)))</x:f>
      </x:c>
      <x:c r="D851" s="51" t="str">
        <x:f>IF(843&gt;$H$4,"",IF(INDEX('Fleet dates'!$D$9:$D$1008,$I851-8)="","",INDEX('Fleet dates'!$D$9:$D$1008,$I851-8)))</x:f>
      </x:c>
      <x:c r="E851" s="51" t="str">
        <x:f>IF(843&gt;$H$4,"",IF(INDEX('Fleet dates'!$E$9:$E$1008,$I851-8)="","",INDEX('Fleet dates'!$E$9:$E$1008,$I851-8)))</x:f>
      </x:c>
      <x:c r="F851" s="51" t="str">
        <x:f>IF(843&gt;$H$4,"",IF(INDEX('Fleet dates'!$F$9:$F$1008,$I851-8)="","",INDEX('Fleet dates'!$F$9:$F$1008,$I851-8)))</x:f>
      </x:c>
      <x:c r="G851" s="50" t="str">
        <x:f>IF(843&gt;$H$4,"",IF(INDEX('Fleet dates'!$G$9:$G$1008,$I851-8)="","",INDEX('Fleet dates'!$G$9:$G$1008,$I851-8)))</x:f>
      </x:c>
      <x:c r="H851" s="50" t="str">
        <x:f>IF(843&gt;$H$4,"",IF(INDEX('Fleet dates'!$I$9:$I$1008,$I851-8)="","",INDEX('Fleet dates'!$I$9:$I$1008,$I851-8)))</x:f>
      </x:c>
      <x:c r="I851" t="str">
        <x:f>IF(843&gt;$H$4,"",MATCH(843,'Fleet dates'!$N$9:$N$1008,0)+8)</x:f>
      </x:c>
    </x:row>
    <x:row r="852" ht="36" customHeight="1">
      <x:c r="A852" s="50" t="str">
        <x:f>IF(844&gt;$H$4,"",IF(INDEX('Fleet dates'!$A$9:$A$1008,$I852-8)="","",INDEX('Fleet dates'!$A$9:$A$1008,$I852-8)))</x:f>
      </x:c>
      <x:c r="B852" s="50" t="str">
        <x:f>IF(844&gt;$H$4,"",IF(INDEX('Fleet dates'!$B$9:$B$1008,$I852-8)="","",INDEX('Fleet dates'!$B$9:$B$1008,$I852-8)))</x:f>
      </x:c>
      <x:c r="C852" s="51" t="str">
        <x:f>IF(844&gt;$H$4,"",IF(INDEX('Fleet dates'!$C$9:$C$1008,$I852-8)="","",INDEX('Fleet dates'!$C$9:$C$1008,$I852-8)))</x:f>
      </x:c>
      <x:c r="D852" s="51" t="str">
        <x:f>IF(844&gt;$H$4,"",IF(INDEX('Fleet dates'!$D$9:$D$1008,$I852-8)="","",INDEX('Fleet dates'!$D$9:$D$1008,$I852-8)))</x:f>
      </x:c>
      <x:c r="E852" s="51" t="str">
        <x:f>IF(844&gt;$H$4,"",IF(INDEX('Fleet dates'!$E$9:$E$1008,$I852-8)="","",INDEX('Fleet dates'!$E$9:$E$1008,$I852-8)))</x:f>
      </x:c>
      <x:c r="F852" s="51" t="str">
        <x:f>IF(844&gt;$H$4,"",IF(INDEX('Fleet dates'!$F$9:$F$1008,$I852-8)="","",INDEX('Fleet dates'!$F$9:$F$1008,$I852-8)))</x:f>
      </x:c>
      <x:c r="G852" s="50" t="str">
        <x:f>IF(844&gt;$H$4,"",IF(INDEX('Fleet dates'!$G$9:$G$1008,$I852-8)="","",INDEX('Fleet dates'!$G$9:$G$1008,$I852-8)))</x:f>
      </x:c>
      <x:c r="H852" s="50" t="str">
        <x:f>IF(844&gt;$H$4,"",IF(INDEX('Fleet dates'!$I$9:$I$1008,$I852-8)="","",INDEX('Fleet dates'!$I$9:$I$1008,$I852-8)))</x:f>
      </x:c>
      <x:c r="I852" t="str">
        <x:f>IF(844&gt;$H$4,"",MATCH(844,'Fleet dates'!$N$9:$N$1008,0)+8)</x:f>
      </x:c>
    </x:row>
    <x:row r="853" ht="36" customHeight="1">
      <x:c r="A853" s="50" t="str">
        <x:f>IF(845&gt;$H$4,"",IF(INDEX('Fleet dates'!$A$9:$A$1008,$I853-8)="","",INDEX('Fleet dates'!$A$9:$A$1008,$I853-8)))</x:f>
      </x:c>
      <x:c r="B853" s="50" t="str">
        <x:f>IF(845&gt;$H$4,"",IF(INDEX('Fleet dates'!$B$9:$B$1008,$I853-8)="","",INDEX('Fleet dates'!$B$9:$B$1008,$I853-8)))</x:f>
      </x:c>
      <x:c r="C853" s="51" t="str">
        <x:f>IF(845&gt;$H$4,"",IF(INDEX('Fleet dates'!$C$9:$C$1008,$I853-8)="","",INDEX('Fleet dates'!$C$9:$C$1008,$I853-8)))</x:f>
      </x:c>
      <x:c r="D853" s="51" t="str">
        <x:f>IF(845&gt;$H$4,"",IF(INDEX('Fleet dates'!$D$9:$D$1008,$I853-8)="","",INDEX('Fleet dates'!$D$9:$D$1008,$I853-8)))</x:f>
      </x:c>
      <x:c r="E853" s="51" t="str">
        <x:f>IF(845&gt;$H$4,"",IF(INDEX('Fleet dates'!$E$9:$E$1008,$I853-8)="","",INDEX('Fleet dates'!$E$9:$E$1008,$I853-8)))</x:f>
      </x:c>
      <x:c r="F853" s="51" t="str">
        <x:f>IF(845&gt;$H$4,"",IF(INDEX('Fleet dates'!$F$9:$F$1008,$I853-8)="","",INDEX('Fleet dates'!$F$9:$F$1008,$I853-8)))</x:f>
      </x:c>
      <x:c r="G853" s="50" t="str">
        <x:f>IF(845&gt;$H$4,"",IF(INDEX('Fleet dates'!$G$9:$G$1008,$I853-8)="","",INDEX('Fleet dates'!$G$9:$G$1008,$I853-8)))</x:f>
      </x:c>
      <x:c r="H853" s="50" t="str">
        <x:f>IF(845&gt;$H$4,"",IF(INDEX('Fleet dates'!$I$9:$I$1008,$I853-8)="","",INDEX('Fleet dates'!$I$9:$I$1008,$I853-8)))</x:f>
      </x:c>
      <x:c r="I853" t="str">
        <x:f>IF(845&gt;$H$4,"",MATCH(845,'Fleet dates'!$N$9:$N$1008,0)+8)</x:f>
      </x:c>
    </x:row>
    <x:row r="854" ht="36" customHeight="1">
      <x:c r="A854" s="50" t="str">
        <x:f>IF(846&gt;$H$4,"",IF(INDEX('Fleet dates'!$A$9:$A$1008,$I854-8)="","",INDEX('Fleet dates'!$A$9:$A$1008,$I854-8)))</x:f>
      </x:c>
      <x:c r="B854" s="50" t="str">
        <x:f>IF(846&gt;$H$4,"",IF(INDEX('Fleet dates'!$B$9:$B$1008,$I854-8)="","",INDEX('Fleet dates'!$B$9:$B$1008,$I854-8)))</x:f>
      </x:c>
      <x:c r="C854" s="51" t="str">
        <x:f>IF(846&gt;$H$4,"",IF(INDEX('Fleet dates'!$C$9:$C$1008,$I854-8)="","",INDEX('Fleet dates'!$C$9:$C$1008,$I854-8)))</x:f>
      </x:c>
      <x:c r="D854" s="51" t="str">
        <x:f>IF(846&gt;$H$4,"",IF(INDEX('Fleet dates'!$D$9:$D$1008,$I854-8)="","",INDEX('Fleet dates'!$D$9:$D$1008,$I854-8)))</x:f>
      </x:c>
      <x:c r="E854" s="51" t="str">
        <x:f>IF(846&gt;$H$4,"",IF(INDEX('Fleet dates'!$E$9:$E$1008,$I854-8)="","",INDEX('Fleet dates'!$E$9:$E$1008,$I854-8)))</x:f>
      </x:c>
      <x:c r="F854" s="51" t="str">
        <x:f>IF(846&gt;$H$4,"",IF(INDEX('Fleet dates'!$F$9:$F$1008,$I854-8)="","",INDEX('Fleet dates'!$F$9:$F$1008,$I854-8)))</x:f>
      </x:c>
      <x:c r="G854" s="50" t="str">
        <x:f>IF(846&gt;$H$4,"",IF(INDEX('Fleet dates'!$G$9:$G$1008,$I854-8)="","",INDEX('Fleet dates'!$G$9:$G$1008,$I854-8)))</x:f>
      </x:c>
      <x:c r="H854" s="50" t="str">
        <x:f>IF(846&gt;$H$4,"",IF(INDEX('Fleet dates'!$I$9:$I$1008,$I854-8)="","",INDEX('Fleet dates'!$I$9:$I$1008,$I854-8)))</x:f>
      </x:c>
      <x:c r="I854" t="str">
        <x:f>IF(846&gt;$H$4,"",MATCH(846,'Fleet dates'!$N$9:$N$1008,0)+8)</x:f>
      </x:c>
    </x:row>
    <x:row r="855" ht="36" customHeight="1">
      <x:c r="A855" s="50" t="str">
        <x:f>IF(847&gt;$H$4,"",IF(INDEX('Fleet dates'!$A$9:$A$1008,$I855-8)="","",INDEX('Fleet dates'!$A$9:$A$1008,$I855-8)))</x:f>
      </x:c>
      <x:c r="B855" s="50" t="str">
        <x:f>IF(847&gt;$H$4,"",IF(INDEX('Fleet dates'!$B$9:$B$1008,$I855-8)="","",INDEX('Fleet dates'!$B$9:$B$1008,$I855-8)))</x:f>
      </x:c>
      <x:c r="C855" s="51" t="str">
        <x:f>IF(847&gt;$H$4,"",IF(INDEX('Fleet dates'!$C$9:$C$1008,$I855-8)="","",INDEX('Fleet dates'!$C$9:$C$1008,$I855-8)))</x:f>
      </x:c>
      <x:c r="D855" s="51" t="str">
        <x:f>IF(847&gt;$H$4,"",IF(INDEX('Fleet dates'!$D$9:$D$1008,$I855-8)="","",INDEX('Fleet dates'!$D$9:$D$1008,$I855-8)))</x:f>
      </x:c>
      <x:c r="E855" s="51" t="str">
        <x:f>IF(847&gt;$H$4,"",IF(INDEX('Fleet dates'!$E$9:$E$1008,$I855-8)="","",INDEX('Fleet dates'!$E$9:$E$1008,$I855-8)))</x:f>
      </x:c>
      <x:c r="F855" s="51" t="str">
        <x:f>IF(847&gt;$H$4,"",IF(INDEX('Fleet dates'!$F$9:$F$1008,$I855-8)="","",INDEX('Fleet dates'!$F$9:$F$1008,$I855-8)))</x:f>
      </x:c>
      <x:c r="G855" s="50" t="str">
        <x:f>IF(847&gt;$H$4,"",IF(INDEX('Fleet dates'!$G$9:$G$1008,$I855-8)="","",INDEX('Fleet dates'!$G$9:$G$1008,$I855-8)))</x:f>
      </x:c>
      <x:c r="H855" s="50" t="str">
        <x:f>IF(847&gt;$H$4,"",IF(INDEX('Fleet dates'!$I$9:$I$1008,$I855-8)="","",INDEX('Fleet dates'!$I$9:$I$1008,$I855-8)))</x:f>
      </x:c>
      <x:c r="I855" t="str">
        <x:f>IF(847&gt;$H$4,"",MATCH(847,'Fleet dates'!$N$9:$N$1008,0)+8)</x:f>
      </x:c>
    </x:row>
    <x:row r="856" ht="36" customHeight="1">
      <x:c r="A856" s="50" t="str">
        <x:f>IF(848&gt;$H$4,"",IF(INDEX('Fleet dates'!$A$9:$A$1008,$I856-8)="","",INDEX('Fleet dates'!$A$9:$A$1008,$I856-8)))</x:f>
      </x:c>
      <x:c r="B856" s="50" t="str">
        <x:f>IF(848&gt;$H$4,"",IF(INDEX('Fleet dates'!$B$9:$B$1008,$I856-8)="","",INDEX('Fleet dates'!$B$9:$B$1008,$I856-8)))</x:f>
      </x:c>
      <x:c r="C856" s="51" t="str">
        <x:f>IF(848&gt;$H$4,"",IF(INDEX('Fleet dates'!$C$9:$C$1008,$I856-8)="","",INDEX('Fleet dates'!$C$9:$C$1008,$I856-8)))</x:f>
      </x:c>
      <x:c r="D856" s="51" t="str">
        <x:f>IF(848&gt;$H$4,"",IF(INDEX('Fleet dates'!$D$9:$D$1008,$I856-8)="","",INDEX('Fleet dates'!$D$9:$D$1008,$I856-8)))</x:f>
      </x:c>
      <x:c r="E856" s="51" t="str">
        <x:f>IF(848&gt;$H$4,"",IF(INDEX('Fleet dates'!$E$9:$E$1008,$I856-8)="","",INDEX('Fleet dates'!$E$9:$E$1008,$I856-8)))</x:f>
      </x:c>
      <x:c r="F856" s="51" t="str">
        <x:f>IF(848&gt;$H$4,"",IF(INDEX('Fleet dates'!$F$9:$F$1008,$I856-8)="","",INDEX('Fleet dates'!$F$9:$F$1008,$I856-8)))</x:f>
      </x:c>
      <x:c r="G856" s="50" t="str">
        <x:f>IF(848&gt;$H$4,"",IF(INDEX('Fleet dates'!$G$9:$G$1008,$I856-8)="","",INDEX('Fleet dates'!$G$9:$G$1008,$I856-8)))</x:f>
      </x:c>
      <x:c r="H856" s="50" t="str">
        <x:f>IF(848&gt;$H$4,"",IF(INDEX('Fleet dates'!$I$9:$I$1008,$I856-8)="","",INDEX('Fleet dates'!$I$9:$I$1008,$I856-8)))</x:f>
      </x:c>
      <x:c r="I856" t="str">
        <x:f>IF(848&gt;$H$4,"",MATCH(848,'Fleet dates'!$N$9:$N$1008,0)+8)</x:f>
      </x:c>
    </x:row>
    <x:row r="857" ht="36" customHeight="1">
      <x:c r="A857" s="50" t="str">
        <x:f>IF(849&gt;$H$4,"",IF(INDEX('Fleet dates'!$A$9:$A$1008,$I857-8)="","",INDEX('Fleet dates'!$A$9:$A$1008,$I857-8)))</x:f>
      </x:c>
      <x:c r="B857" s="50" t="str">
        <x:f>IF(849&gt;$H$4,"",IF(INDEX('Fleet dates'!$B$9:$B$1008,$I857-8)="","",INDEX('Fleet dates'!$B$9:$B$1008,$I857-8)))</x:f>
      </x:c>
      <x:c r="C857" s="51" t="str">
        <x:f>IF(849&gt;$H$4,"",IF(INDEX('Fleet dates'!$C$9:$C$1008,$I857-8)="","",INDEX('Fleet dates'!$C$9:$C$1008,$I857-8)))</x:f>
      </x:c>
      <x:c r="D857" s="51" t="str">
        <x:f>IF(849&gt;$H$4,"",IF(INDEX('Fleet dates'!$D$9:$D$1008,$I857-8)="","",INDEX('Fleet dates'!$D$9:$D$1008,$I857-8)))</x:f>
      </x:c>
      <x:c r="E857" s="51" t="str">
        <x:f>IF(849&gt;$H$4,"",IF(INDEX('Fleet dates'!$E$9:$E$1008,$I857-8)="","",INDEX('Fleet dates'!$E$9:$E$1008,$I857-8)))</x:f>
      </x:c>
      <x:c r="F857" s="51" t="str">
        <x:f>IF(849&gt;$H$4,"",IF(INDEX('Fleet dates'!$F$9:$F$1008,$I857-8)="","",INDEX('Fleet dates'!$F$9:$F$1008,$I857-8)))</x:f>
      </x:c>
      <x:c r="G857" s="50" t="str">
        <x:f>IF(849&gt;$H$4,"",IF(INDEX('Fleet dates'!$G$9:$G$1008,$I857-8)="","",INDEX('Fleet dates'!$G$9:$G$1008,$I857-8)))</x:f>
      </x:c>
      <x:c r="H857" s="50" t="str">
        <x:f>IF(849&gt;$H$4,"",IF(INDEX('Fleet dates'!$I$9:$I$1008,$I857-8)="","",INDEX('Fleet dates'!$I$9:$I$1008,$I857-8)))</x:f>
      </x:c>
      <x:c r="I857" t="str">
        <x:f>IF(849&gt;$H$4,"",MATCH(849,'Fleet dates'!$N$9:$N$1008,0)+8)</x:f>
      </x:c>
    </x:row>
    <x:row r="858" ht="36" customHeight="1">
      <x:c r="A858" s="50" t="str">
        <x:f>IF(850&gt;$H$4,"",IF(INDEX('Fleet dates'!$A$9:$A$1008,$I858-8)="","",INDEX('Fleet dates'!$A$9:$A$1008,$I858-8)))</x:f>
      </x:c>
      <x:c r="B858" s="50" t="str">
        <x:f>IF(850&gt;$H$4,"",IF(INDEX('Fleet dates'!$B$9:$B$1008,$I858-8)="","",INDEX('Fleet dates'!$B$9:$B$1008,$I858-8)))</x:f>
      </x:c>
      <x:c r="C858" s="51" t="str">
        <x:f>IF(850&gt;$H$4,"",IF(INDEX('Fleet dates'!$C$9:$C$1008,$I858-8)="","",INDEX('Fleet dates'!$C$9:$C$1008,$I858-8)))</x:f>
      </x:c>
      <x:c r="D858" s="51" t="str">
        <x:f>IF(850&gt;$H$4,"",IF(INDEX('Fleet dates'!$D$9:$D$1008,$I858-8)="","",INDEX('Fleet dates'!$D$9:$D$1008,$I858-8)))</x:f>
      </x:c>
      <x:c r="E858" s="51" t="str">
        <x:f>IF(850&gt;$H$4,"",IF(INDEX('Fleet dates'!$E$9:$E$1008,$I858-8)="","",INDEX('Fleet dates'!$E$9:$E$1008,$I858-8)))</x:f>
      </x:c>
      <x:c r="F858" s="51" t="str">
        <x:f>IF(850&gt;$H$4,"",IF(INDEX('Fleet dates'!$F$9:$F$1008,$I858-8)="","",INDEX('Fleet dates'!$F$9:$F$1008,$I858-8)))</x:f>
      </x:c>
      <x:c r="G858" s="50" t="str">
        <x:f>IF(850&gt;$H$4,"",IF(INDEX('Fleet dates'!$G$9:$G$1008,$I858-8)="","",INDEX('Fleet dates'!$G$9:$G$1008,$I858-8)))</x:f>
      </x:c>
      <x:c r="H858" s="50" t="str">
        <x:f>IF(850&gt;$H$4,"",IF(INDEX('Fleet dates'!$I$9:$I$1008,$I858-8)="","",INDEX('Fleet dates'!$I$9:$I$1008,$I858-8)))</x:f>
      </x:c>
      <x:c r="I858" t="str">
        <x:f>IF(850&gt;$H$4,"",MATCH(850,'Fleet dates'!$N$9:$N$1008,0)+8)</x:f>
      </x:c>
    </x:row>
    <x:row r="859" ht="36" customHeight="1">
      <x:c r="A859" s="50" t="str">
        <x:f>IF(851&gt;$H$4,"",IF(INDEX('Fleet dates'!$A$9:$A$1008,$I859-8)="","",INDEX('Fleet dates'!$A$9:$A$1008,$I859-8)))</x:f>
      </x:c>
      <x:c r="B859" s="50" t="str">
        <x:f>IF(851&gt;$H$4,"",IF(INDEX('Fleet dates'!$B$9:$B$1008,$I859-8)="","",INDEX('Fleet dates'!$B$9:$B$1008,$I859-8)))</x:f>
      </x:c>
      <x:c r="C859" s="51" t="str">
        <x:f>IF(851&gt;$H$4,"",IF(INDEX('Fleet dates'!$C$9:$C$1008,$I859-8)="","",INDEX('Fleet dates'!$C$9:$C$1008,$I859-8)))</x:f>
      </x:c>
      <x:c r="D859" s="51" t="str">
        <x:f>IF(851&gt;$H$4,"",IF(INDEX('Fleet dates'!$D$9:$D$1008,$I859-8)="","",INDEX('Fleet dates'!$D$9:$D$1008,$I859-8)))</x:f>
      </x:c>
      <x:c r="E859" s="51" t="str">
        <x:f>IF(851&gt;$H$4,"",IF(INDEX('Fleet dates'!$E$9:$E$1008,$I859-8)="","",INDEX('Fleet dates'!$E$9:$E$1008,$I859-8)))</x:f>
      </x:c>
      <x:c r="F859" s="51" t="str">
        <x:f>IF(851&gt;$H$4,"",IF(INDEX('Fleet dates'!$F$9:$F$1008,$I859-8)="","",INDEX('Fleet dates'!$F$9:$F$1008,$I859-8)))</x:f>
      </x:c>
      <x:c r="G859" s="50" t="str">
        <x:f>IF(851&gt;$H$4,"",IF(INDEX('Fleet dates'!$G$9:$G$1008,$I859-8)="","",INDEX('Fleet dates'!$G$9:$G$1008,$I859-8)))</x:f>
      </x:c>
      <x:c r="H859" s="50" t="str">
        <x:f>IF(851&gt;$H$4,"",IF(INDEX('Fleet dates'!$I$9:$I$1008,$I859-8)="","",INDEX('Fleet dates'!$I$9:$I$1008,$I859-8)))</x:f>
      </x:c>
      <x:c r="I859" t="str">
        <x:f>IF(851&gt;$H$4,"",MATCH(851,'Fleet dates'!$N$9:$N$1008,0)+8)</x:f>
      </x:c>
    </x:row>
    <x:row r="860" ht="36" customHeight="1">
      <x:c r="A860" s="50" t="str">
        <x:f>IF(852&gt;$H$4,"",IF(INDEX('Fleet dates'!$A$9:$A$1008,$I860-8)="","",INDEX('Fleet dates'!$A$9:$A$1008,$I860-8)))</x:f>
      </x:c>
      <x:c r="B860" s="50" t="str">
        <x:f>IF(852&gt;$H$4,"",IF(INDEX('Fleet dates'!$B$9:$B$1008,$I860-8)="","",INDEX('Fleet dates'!$B$9:$B$1008,$I860-8)))</x:f>
      </x:c>
      <x:c r="C860" s="51" t="str">
        <x:f>IF(852&gt;$H$4,"",IF(INDEX('Fleet dates'!$C$9:$C$1008,$I860-8)="","",INDEX('Fleet dates'!$C$9:$C$1008,$I860-8)))</x:f>
      </x:c>
      <x:c r="D860" s="51" t="str">
        <x:f>IF(852&gt;$H$4,"",IF(INDEX('Fleet dates'!$D$9:$D$1008,$I860-8)="","",INDEX('Fleet dates'!$D$9:$D$1008,$I860-8)))</x:f>
      </x:c>
      <x:c r="E860" s="51" t="str">
        <x:f>IF(852&gt;$H$4,"",IF(INDEX('Fleet dates'!$E$9:$E$1008,$I860-8)="","",INDEX('Fleet dates'!$E$9:$E$1008,$I860-8)))</x:f>
      </x:c>
      <x:c r="F860" s="51" t="str">
        <x:f>IF(852&gt;$H$4,"",IF(INDEX('Fleet dates'!$F$9:$F$1008,$I860-8)="","",INDEX('Fleet dates'!$F$9:$F$1008,$I860-8)))</x:f>
      </x:c>
      <x:c r="G860" s="50" t="str">
        <x:f>IF(852&gt;$H$4,"",IF(INDEX('Fleet dates'!$G$9:$G$1008,$I860-8)="","",INDEX('Fleet dates'!$G$9:$G$1008,$I860-8)))</x:f>
      </x:c>
      <x:c r="H860" s="50" t="str">
        <x:f>IF(852&gt;$H$4,"",IF(INDEX('Fleet dates'!$I$9:$I$1008,$I860-8)="","",INDEX('Fleet dates'!$I$9:$I$1008,$I860-8)))</x:f>
      </x:c>
      <x:c r="I860" t="str">
        <x:f>IF(852&gt;$H$4,"",MATCH(852,'Fleet dates'!$N$9:$N$1008,0)+8)</x:f>
      </x:c>
    </x:row>
    <x:row r="861" ht="36" customHeight="1">
      <x:c r="A861" s="50" t="str">
        <x:f>IF(853&gt;$H$4,"",IF(INDEX('Fleet dates'!$A$9:$A$1008,$I861-8)="","",INDEX('Fleet dates'!$A$9:$A$1008,$I861-8)))</x:f>
      </x:c>
      <x:c r="B861" s="50" t="str">
        <x:f>IF(853&gt;$H$4,"",IF(INDEX('Fleet dates'!$B$9:$B$1008,$I861-8)="","",INDEX('Fleet dates'!$B$9:$B$1008,$I861-8)))</x:f>
      </x:c>
      <x:c r="C861" s="51" t="str">
        <x:f>IF(853&gt;$H$4,"",IF(INDEX('Fleet dates'!$C$9:$C$1008,$I861-8)="","",INDEX('Fleet dates'!$C$9:$C$1008,$I861-8)))</x:f>
      </x:c>
      <x:c r="D861" s="51" t="str">
        <x:f>IF(853&gt;$H$4,"",IF(INDEX('Fleet dates'!$D$9:$D$1008,$I861-8)="","",INDEX('Fleet dates'!$D$9:$D$1008,$I861-8)))</x:f>
      </x:c>
      <x:c r="E861" s="51" t="str">
        <x:f>IF(853&gt;$H$4,"",IF(INDEX('Fleet dates'!$E$9:$E$1008,$I861-8)="","",INDEX('Fleet dates'!$E$9:$E$1008,$I861-8)))</x:f>
      </x:c>
      <x:c r="F861" s="51" t="str">
        <x:f>IF(853&gt;$H$4,"",IF(INDEX('Fleet dates'!$F$9:$F$1008,$I861-8)="","",INDEX('Fleet dates'!$F$9:$F$1008,$I861-8)))</x:f>
      </x:c>
      <x:c r="G861" s="50" t="str">
        <x:f>IF(853&gt;$H$4,"",IF(INDEX('Fleet dates'!$G$9:$G$1008,$I861-8)="","",INDEX('Fleet dates'!$G$9:$G$1008,$I861-8)))</x:f>
      </x:c>
      <x:c r="H861" s="50" t="str">
        <x:f>IF(853&gt;$H$4,"",IF(INDEX('Fleet dates'!$I$9:$I$1008,$I861-8)="","",INDEX('Fleet dates'!$I$9:$I$1008,$I861-8)))</x:f>
      </x:c>
      <x:c r="I861" t="str">
        <x:f>IF(853&gt;$H$4,"",MATCH(853,'Fleet dates'!$N$9:$N$1008,0)+8)</x:f>
      </x:c>
    </x:row>
    <x:row r="862" ht="36" customHeight="1">
      <x:c r="A862" s="50" t="str">
        <x:f>IF(854&gt;$H$4,"",IF(INDEX('Fleet dates'!$A$9:$A$1008,$I862-8)="","",INDEX('Fleet dates'!$A$9:$A$1008,$I862-8)))</x:f>
      </x:c>
      <x:c r="B862" s="50" t="str">
        <x:f>IF(854&gt;$H$4,"",IF(INDEX('Fleet dates'!$B$9:$B$1008,$I862-8)="","",INDEX('Fleet dates'!$B$9:$B$1008,$I862-8)))</x:f>
      </x:c>
      <x:c r="C862" s="51" t="str">
        <x:f>IF(854&gt;$H$4,"",IF(INDEX('Fleet dates'!$C$9:$C$1008,$I862-8)="","",INDEX('Fleet dates'!$C$9:$C$1008,$I862-8)))</x:f>
      </x:c>
      <x:c r="D862" s="51" t="str">
        <x:f>IF(854&gt;$H$4,"",IF(INDEX('Fleet dates'!$D$9:$D$1008,$I862-8)="","",INDEX('Fleet dates'!$D$9:$D$1008,$I862-8)))</x:f>
      </x:c>
      <x:c r="E862" s="51" t="str">
        <x:f>IF(854&gt;$H$4,"",IF(INDEX('Fleet dates'!$E$9:$E$1008,$I862-8)="","",INDEX('Fleet dates'!$E$9:$E$1008,$I862-8)))</x:f>
      </x:c>
      <x:c r="F862" s="51" t="str">
        <x:f>IF(854&gt;$H$4,"",IF(INDEX('Fleet dates'!$F$9:$F$1008,$I862-8)="","",INDEX('Fleet dates'!$F$9:$F$1008,$I862-8)))</x:f>
      </x:c>
      <x:c r="G862" s="50" t="str">
        <x:f>IF(854&gt;$H$4,"",IF(INDEX('Fleet dates'!$G$9:$G$1008,$I862-8)="","",INDEX('Fleet dates'!$G$9:$G$1008,$I862-8)))</x:f>
      </x:c>
      <x:c r="H862" s="50" t="str">
        <x:f>IF(854&gt;$H$4,"",IF(INDEX('Fleet dates'!$I$9:$I$1008,$I862-8)="","",INDEX('Fleet dates'!$I$9:$I$1008,$I862-8)))</x:f>
      </x:c>
      <x:c r="I862" t="str">
        <x:f>IF(854&gt;$H$4,"",MATCH(854,'Fleet dates'!$N$9:$N$1008,0)+8)</x:f>
      </x:c>
    </x:row>
    <x:row r="863" ht="36" customHeight="1">
      <x:c r="A863" s="50" t="str">
        <x:f>IF(855&gt;$H$4,"",IF(INDEX('Fleet dates'!$A$9:$A$1008,$I863-8)="","",INDEX('Fleet dates'!$A$9:$A$1008,$I863-8)))</x:f>
      </x:c>
      <x:c r="B863" s="50" t="str">
        <x:f>IF(855&gt;$H$4,"",IF(INDEX('Fleet dates'!$B$9:$B$1008,$I863-8)="","",INDEX('Fleet dates'!$B$9:$B$1008,$I863-8)))</x:f>
      </x:c>
      <x:c r="C863" s="51" t="str">
        <x:f>IF(855&gt;$H$4,"",IF(INDEX('Fleet dates'!$C$9:$C$1008,$I863-8)="","",INDEX('Fleet dates'!$C$9:$C$1008,$I863-8)))</x:f>
      </x:c>
      <x:c r="D863" s="51" t="str">
        <x:f>IF(855&gt;$H$4,"",IF(INDEX('Fleet dates'!$D$9:$D$1008,$I863-8)="","",INDEX('Fleet dates'!$D$9:$D$1008,$I863-8)))</x:f>
      </x:c>
      <x:c r="E863" s="51" t="str">
        <x:f>IF(855&gt;$H$4,"",IF(INDEX('Fleet dates'!$E$9:$E$1008,$I863-8)="","",INDEX('Fleet dates'!$E$9:$E$1008,$I863-8)))</x:f>
      </x:c>
      <x:c r="F863" s="51" t="str">
        <x:f>IF(855&gt;$H$4,"",IF(INDEX('Fleet dates'!$F$9:$F$1008,$I863-8)="","",INDEX('Fleet dates'!$F$9:$F$1008,$I863-8)))</x:f>
      </x:c>
      <x:c r="G863" s="50" t="str">
        <x:f>IF(855&gt;$H$4,"",IF(INDEX('Fleet dates'!$G$9:$G$1008,$I863-8)="","",INDEX('Fleet dates'!$G$9:$G$1008,$I863-8)))</x:f>
      </x:c>
      <x:c r="H863" s="50" t="str">
        <x:f>IF(855&gt;$H$4,"",IF(INDEX('Fleet dates'!$I$9:$I$1008,$I863-8)="","",INDEX('Fleet dates'!$I$9:$I$1008,$I863-8)))</x:f>
      </x:c>
      <x:c r="I863" t="str">
        <x:f>IF(855&gt;$H$4,"",MATCH(855,'Fleet dates'!$N$9:$N$1008,0)+8)</x:f>
      </x:c>
    </x:row>
    <x:row r="864" ht="36" customHeight="1">
      <x:c r="A864" s="50" t="str">
        <x:f>IF(856&gt;$H$4,"",IF(INDEX('Fleet dates'!$A$9:$A$1008,$I864-8)="","",INDEX('Fleet dates'!$A$9:$A$1008,$I864-8)))</x:f>
      </x:c>
      <x:c r="B864" s="50" t="str">
        <x:f>IF(856&gt;$H$4,"",IF(INDEX('Fleet dates'!$B$9:$B$1008,$I864-8)="","",INDEX('Fleet dates'!$B$9:$B$1008,$I864-8)))</x:f>
      </x:c>
      <x:c r="C864" s="51" t="str">
        <x:f>IF(856&gt;$H$4,"",IF(INDEX('Fleet dates'!$C$9:$C$1008,$I864-8)="","",INDEX('Fleet dates'!$C$9:$C$1008,$I864-8)))</x:f>
      </x:c>
      <x:c r="D864" s="51" t="str">
        <x:f>IF(856&gt;$H$4,"",IF(INDEX('Fleet dates'!$D$9:$D$1008,$I864-8)="","",INDEX('Fleet dates'!$D$9:$D$1008,$I864-8)))</x:f>
      </x:c>
      <x:c r="E864" s="51" t="str">
        <x:f>IF(856&gt;$H$4,"",IF(INDEX('Fleet dates'!$E$9:$E$1008,$I864-8)="","",INDEX('Fleet dates'!$E$9:$E$1008,$I864-8)))</x:f>
      </x:c>
      <x:c r="F864" s="51" t="str">
        <x:f>IF(856&gt;$H$4,"",IF(INDEX('Fleet dates'!$F$9:$F$1008,$I864-8)="","",INDEX('Fleet dates'!$F$9:$F$1008,$I864-8)))</x:f>
      </x:c>
      <x:c r="G864" s="50" t="str">
        <x:f>IF(856&gt;$H$4,"",IF(INDEX('Fleet dates'!$G$9:$G$1008,$I864-8)="","",INDEX('Fleet dates'!$G$9:$G$1008,$I864-8)))</x:f>
      </x:c>
      <x:c r="H864" s="50" t="str">
        <x:f>IF(856&gt;$H$4,"",IF(INDEX('Fleet dates'!$I$9:$I$1008,$I864-8)="","",INDEX('Fleet dates'!$I$9:$I$1008,$I864-8)))</x:f>
      </x:c>
      <x:c r="I864" t="str">
        <x:f>IF(856&gt;$H$4,"",MATCH(856,'Fleet dates'!$N$9:$N$1008,0)+8)</x:f>
      </x:c>
    </x:row>
    <x:row r="865" ht="36" customHeight="1">
      <x:c r="A865" s="50" t="str">
        <x:f>IF(857&gt;$H$4,"",IF(INDEX('Fleet dates'!$A$9:$A$1008,$I865-8)="","",INDEX('Fleet dates'!$A$9:$A$1008,$I865-8)))</x:f>
      </x:c>
      <x:c r="B865" s="50" t="str">
        <x:f>IF(857&gt;$H$4,"",IF(INDEX('Fleet dates'!$B$9:$B$1008,$I865-8)="","",INDEX('Fleet dates'!$B$9:$B$1008,$I865-8)))</x:f>
      </x:c>
      <x:c r="C865" s="51" t="str">
        <x:f>IF(857&gt;$H$4,"",IF(INDEX('Fleet dates'!$C$9:$C$1008,$I865-8)="","",INDEX('Fleet dates'!$C$9:$C$1008,$I865-8)))</x:f>
      </x:c>
      <x:c r="D865" s="51" t="str">
        <x:f>IF(857&gt;$H$4,"",IF(INDEX('Fleet dates'!$D$9:$D$1008,$I865-8)="","",INDEX('Fleet dates'!$D$9:$D$1008,$I865-8)))</x:f>
      </x:c>
      <x:c r="E865" s="51" t="str">
        <x:f>IF(857&gt;$H$4,"",IF(INDEX('Fleet dates'!$E$9:$E$1008,$I865-8)="","",INDEX('Fleet dates'!$E$9:$E$1008,$I865-8)))</x:f>
      </x:c>
      <x:c r="F865" s="51" t="str">
        <x:f>IF(857&gt;$H$4,"",IF(INDEX('Fleet dates'!$F$9:$F$1008,$I865-8)="","",INDEX('Fleet dates'!$F$9:$F$1008,$I865-8)))</x:f>
      </x:c>
      <x:c r="G865" s="50" t="str">
        <x:f>IF(857&gt;$H$4,"",IF(INDEX('Fleet dates'!$G$9:$G$1008,$I865-8)="","",INDEX('Fleet dates'!$G$9:$G$1008,$I865-8)))</x:f>
      </x:c>
      <x:c r="H865" s="50" t="str">
        <x:f>IF(857&gt;$H$4,"",IF(INDEX('Fleet dates'!$I$9:$I$1008,$I865-8)="","",INDEX('Fleet dates'!$I$9:$I$1008,$I865-8)))</x:f>
      </x:c>
      <x:c r="I865" t="str">
        <x:f>IF(857&gt;$H$4,"",MATCH(857,'Fleet dates'!$N$9:$N$1008,0)+8)</x:f>
      </x:c>
    </x:row>
    <x:row r="866" ht="36" customHeight="1">
      <x:c r="A866" s="50" t="str">
        <x:f>IF(858&gt;$H$4,"",IF(INDEX('Fleet dates'!$A$9:$A$1008,$I866-8)="","",INDEX('Fleet dates'!$A$9:$A$1008,$I866-8)))</x:f>
      </x:c>
      <x:c r="B866" s="50" t="str">
        <x:f>IF(858&gt;$H$4,"",IF(INDEX('Fleet dates'!$B$9:$B$1008,$I866-8)="","",INDEX('Fleet dates'!$B$9:$B$1008,$I866-8)))</x:f>
      </x:c>
      <x:c r="C866" s="51" t="str">
        <x:f>IF(858&gt;$H$4,"",IF(INDEX('Fleet dates'!$C$9:$C$1008,$I866-8)="","",INDEX('Fleet dates'!$C$9:$C$1008,$I866-8)))</x:f>
      </x:c>
      <x:c r="D866" s="51" t="str">
        <x:f>IF(858&gt;$H$4,"",IF(INDEX('Fleet dates'!$D$9:$D$1008,$I866-8)="","",INDEX('Fleet dates'!$D$9:$D$1008,$I866-8)))</x:f>
      </x:c>
      <x:c r="E866" s="51" t="str">
        <x:f>IF(858&gt;$H$4,"",IF(INDEX('Fleet dates'!$E$9:$E$1008,$I866-8)="","",INDEX('Fleet dates'!$E$9:$E$1008,$I866-8)))</x:f>
      </x:c>
      <x:c r="F866" s="51" t="str">
        <x:f>IF(858&gt;$H$4,"",IF(INDEX('Fleet dates'!$F$9:$F$1008,$I866-8)="","",INDEX('Fleet dates'!$F$9:$F$1008,$I866-8)))</x:f>
      </x:c>
      <x:c r="G866" s="50" t="str">
        <x:f>IF(858&gt;$H$4,"",IF(INDEX('Fleet dates'!$G$9:$G$1008,$I866-8)="","",INDEX('Fleet dates'!$G$9:$G$1008,$I866-8)))</x:f>
      </x:c>
      <x:c r="H866" s="50" t="str">
        <x:f>IF(858&gt;$H$4,"",IF(INDEX('Fleet dates'!$I$9:$I$1008,$I866-8)="","",INDEX('Fleet dates'!$I$9:$I$1008,$I866-8)))</x:f>
      </x:c>
      <x:c r="I866" t="str">
        <x:f>IF(858&gt;$H$4,"",MATCH(858,'Fleet dates'!$N$9:$N$1008,0)+8)</x:f>
      </x:c>
    </x:row>
    <x:row r="867" ht="36" customHeight="1">
      <x:c r="A867" s="50" t="str">
        <x:f>IF(859&gt;$H$4,"",IF(INDEX('Fleet dates'!$A$9:$A$1008,$I867-8)="","",INDEX('Fleet dates'!$A$9:$A$1008,$I867-8)))</x:f>
      </x:c>
      <x:c r="B867" s="50" t="str">
        <x:f>IF(859&gt;$H$4,"",IF(INDEX('Fleet dates'!$B$9:$B$1008,$I867-8)="","",INDEX('Fleet dates'!$B$9:$B$1008,$I867-8)))</x:f>
      </x:c>
      <x:c r="C867" s="51" t="str">
        <x:f>IF(859&gt;$H$4,"",IF(INDEX('Fleet dates'!$C$9:$C$1008,$I867-8)="","",INDEX('Fleet dates'!$C$9:$C$1008,$I867-8)))</x:f>
      </x:c>
      <x:c r="D867" s="51" t="str">
        <x:f>IF(859&gt;$H$4,"",IF(INDEX('Fleet dates'!$D$9:$D$1008,$I867-8)="","",INDEX('Fleet dates'!$D$9:$D$1008,$I867-8)))</x:f>
      </x:c>
      <x:c r="E867" s="51" t="str">
        <x:f>IF(859&gt;$H$4,"",IF(INDEX('Fleet dates'!$E$9:$E$1008,$I867-8)="","",INDEX('Fleet dates'!$E$9:$E$1008,$I867-8)))</x:f>
      </x:c>
      <x:c r="F867" s="51" t="str">
        <x:f>IF(859&gt;$H$4,"",IF(INDEX('Fleet dates'!$F$9:$F$1008,$I867-8)="","",INDEX('Fleet dates'!$F$9:$F$1008,$I867-8)))</x:f>
      </x:c>
      <x:c r="G867" s="50" t="str">
        <x:f>IF(859&gt;$H$4,"",IF(INDEX('Fleet dates'!$G$9:$G$1008,$I867-8)="","",INDEX('Fleet dates'!$G$9:$G$1008,$I867-8)))</x:f>
      </x:c>
      <x:c r="H867" s="50" t="str">
        <x:f>IF(859&gt;$H$4,"",IF(INDEX('Fleet dates'!$I$9:$I$1008,$I867-8)="","",INDEX('Fleet dates'!$I$9:$I$1008,$I867-8)))</x:f>
      </x:c>
      <x:c r="I867" t="str">
        <x:f>IF(859&gt;$H$4,"",MATCH(859,'Fleet dates'!$N$9:$N$1008,0)+8)</x:f>
      </x:c>
    </x:row>
    <x:row r="868" ht="36" customHeight="1">
      <x:c r="A868" s="50" t="str">
        <x:f>IF(860&gt;$H$4,"",IF(INDEX('Fleet dates'!$A$9:$A$1008,$I868-8)="","",INDEX('Fleet dates'!$A$9:$A$1008,$I868-8)))</x:f>
      </x:c>
      <x:c r="B868" s="50" t="str">
        <x:f>IF(860&gt;$H$4,"",IF(INDEX('Fleet dates'!$B$9:$B$1008,$I868-8)="","",INDEX('Fleet dates'!$B$9:$B$1008,$I868-8)))</x:f>
      </x:c>
      <x:c r="C868" s="51" t="str">
        <x:f>IF(860&gt;$H$4,"",IF(INDEX('Fleet dates'!$C$9:$C$1008,$I868-8)="","",INDEX('Fleet dates'!$C$9:$C$1008,$I868-8)))</x:f>
      </x:c>
      <x:c r="D868" s="51" t="str">
        <x:f>IF(860&gt;$H$4,"",IF(INDEX('Fleet dates'!$D$9:$D$1008,$I868-8)="","",INDEX('Fleet dates'!$D$9:$D$1008,$I868-8)))</x:f>
      </x:c>
      <x:c r="E868" s="51" t="str">
        <x:f>IF(860&gt;$H$4,"",IF(INDEX('Fleet dates'!$E$9:$E$1008,$I868-8)="","",INDEX('Fleet dates'!$E$9:$E$1008,$I868-8)))</x:f>
      </x:c>
      <x:c r="F868" s="51" t="str">
        <x:f>IF(860&gt;$H$4,"",IF(INDEX('Fleet dates'!$F$9:$F$1008,$I868-8)="","",INDEX('Fleet dates'!$F$9:$F$1008,$I868-8)))</x:f>
      </x:c>
      <x:c r="G868" s="50" t="str">
        <x:f>IF(860&gt;$H$4,"",IF(INDEX('Fleet dates'!$G$9:$G$1008,$I868-8)="","",INDEX('Fleet dates'!$G$9:$G$1008,$I868-8)))</x:f>
      </x:c>
      <x:c r="H868" s="50" t="str">
        <x:f>IF(860&gt;$H$4,"",IF(INDEX('Fleet dates'!$I$9:$I$1008,$I868-8)="","",INDEX('Fleet dates'!$I$9:$I$1008,$I868-8)))</x:f>
      </x:c>
      <x:c r="I868" t="str">
        <x:f>IF(860&gt;$H$4,"",MATCH(860,'Fleet dates'!$N$9:$N$1008,0)+8)</x:f>
      </x:c>
    </x:row>
    <x:row r="869" ht="36" customHeight="1">
      <x:c r="A869" s="50" t="str">
        <x:f>IF(861&gt;$H$4,"",IF(INDEX('Fleet dates'!$A$9:$A$1008,$I869-8)="","",INDEX('Fleet dates'!$A$9:$A$1008,$I869-8)))</x:f>
      </x:c>
      <x:c r="B869" s="50" t="str">
        <x:f>IF(861&gt;$H$4,"",IF(INDEX('Fleet dates'!$B$9:$B$1008,$I869-8)="","",INDEX('Fleet dates'!$B$9:$B$1008,$I869-8)))</x:f>
      </x:c>
      <x:c r="C869" s="51" t="str">
        <x:f>IF(861&gt;$H$4,"",IF(INDEX('Fleet dates'!$C$9:$C$1008,$I869-8)="","",INDEX('Fleet dates'!$C$9:$C$1008,$I869-8)))</x:f>
      </x:c>
      <x:c r="D869" s="51" t="str">
        <x:f>IF(861&gt;$H$4,"",IF(INDEX('Fleet dates'!$D$9:$D$1008,$I869-8)="","",INDEX('Fleet dates'!$D$9:$D$1008,$I869-8)))</x:f>
      </x:c>
      <x:c r="E869" s="51" t="str">
        <x:f>IF(861&gt;$H$4,"",IF(INDEX('Fleet dates'!$E$9:$E$1008,$I869-8)="","",INDEX('Fleet dates'!$E$9:$E$1008,$I869-8)))</x:f>
      </x:c>
      <x:c r="F869" s="51" t="str">
        <x:f>IF(861&gt;$H$4,"",IF(INDEX('Fleet dates'!$F$9:$F$1008,$I869-8)="","",INDEX('Fleet dates'!$F$9:$F$1008,$I869-8)))</x:f>
      </x:c>
      <x:c r="G869" s="50" t="str">
        <x:f>IF(861&gt;$H$4,"",IF(INDEX('Fleet dates'!$G$9:$G$1008,$I869-8)="","",INDEX('Fleet dates'!$G$9:$G$1008,$I869-8)))</x:f>
      </x:c>
      <x:c r="H869" s="50" t="str">
        <x:f>IF(861&gt;$H$4,"",IF(INDEX('Fleet dates'!$I$9:$I$1008,$I869-8)="","",INDEX('Fleet dates'!$I$9:$I$1008,$I869-8)))</x:f>
      </x:c>
      <x:c r="I869" t="str">
        <x:f>IF(861&gt;$H$4,"",MATCH(861,'Fleet dates'!$N$9:$N$1008,0)+8)</x:f>
      </x:c>
    </x:row>
    <x:row r="870" ht="36" customHeight="1">
      <x:c r="A870" s="50" t="str">
        <x:f>IF(862&gt;$H$4,"",IF(INDEX('Fleet dates'!$A$9:$A$1008,$I870-8)="","",INDEX('Fleet dates'!$A$9:$A$1008,$I870-8)))</x:f>
      </x:c>
      <x:c r="B870" s="50" t="str">
        <x:f>IF(862&gt;$H$4,"",IF(INDEX('Fleet dates'!$B$9:$B$1008,$I870-8)="","",INDEX('Fleet dates'!$B$9:$B$1008,$I870-8)))</x:f>
      </x:c>
      <x:c r="C870" s="51" t="str">
        <x:f>IF(862&gt;$H$4,"",IF(INDEX('Fleet dates'!$C$9:$C$1008,$I870-8)="","",INDEX('Fleet dates'!$C$9:$C$1008,$I870-8)))</x:f>
      </x:c>
      <x:c r="D870" s="51" t="str">
        <x:f>IF(862&gt;$H$4,"",IF(INDEX('Fleet dates'!$D$9:$D$1008,$I870-8)="","",INDEX('Fleet dates'!$D$9:$D$1008,$I870-8)))</x:f>
      </x:c>
      <x:c r="E870" s="51" t="str">
        <x:f>IF(862&gt;$H$4,"",IF(INDEX('Fleet dates'!$E$9:$E$1008,$I870-8)="","",INDEX('Fleet dates'!$E$9:$E$1008,$I870-8)))</x:f>
      </x:c>
      <x:c r="F870" s="51" t="str">
        <x:f>IF(862&gt;$H$4,"",IF(INDEX('Fleet dates'!$F$9:$F$1008,$I870-8)="","",INDEX('Fleet dates'!$F$9:$F$1008,$I870-8)))</x:f>
      </x:c>
      <x:c r="G870" s="50" t="str">
        <x:f>IF(862&gt;$H$4,"",IF(INDEX('Fleet dates'!$G$9:$G$1008,$I870-8)="","",INDEX('Fleet dates'!$G$9:$G$1008,$I870-8)))</x:f>
      </x:c>
      <x:c r="H870" s="50" t="str">
        <x:f>IF(862&gt;$H$4,"",IF(INDEX('Fleet dates'!$I$9:$I$1008,$I870-8)="","",INDEX('Fleet dates'!$I$9:$I$1008,$I870-8)))</x:f>
      </x:c>
      <x:c r="I870" t="str">
        <x:f>IF(862&gt;$H$4,"",MATCH(862,'Fleet dates'!$N$9:$N$1008,0)+8)</x:f>
      </x:c>
    </x:row>
    <x:row r="871" ht="36" customHeight="1">
      <x:c r="A871" s="50" t="str">
        <x:f>IF(863&gt;$H$4,"",IF(INDEX('Fleet dates'!$A$9:$A$1008,$I871-8)="","",INDEX('Fleet dates'!$A$9:$A$1008,$I871-8)))</x:f>
      </x:c>
      <x:c r="B871" s="50" t="str">
        <x:f>IF(863&gt;$H$4,"",IF(INDEX('Fleet dates'!$B$9:$B$1008,$I871-8)="","",INDEX('Fleet dates'!$B$9:$B$1008,$I871-8)))</x:f>
      </x:c>
      <x:c r="C871" s="51" t="str">
        <x:f>IF(863&gt;$H$4,"",IF(INDEX('Fleet dates'!$C$9:$C$1008,$I871-8)="","",INDEX('Fleet dates'!$C$9:$C$1008,$I871-8)))</x:f>
      </x:c>
      <x:c r="D871" s="51" t="str">
        <x:f>IF(863&gt;$H$4,"",IF(INDEX('Fleet dates'!$D$9:$D$1008,$I871-8)="","",INDEX('Fleet dates'!$D$9:$D$1008,$I871-8)))</x:f>
      </x:c>
      <x:c r="E871" s="51" t="str">
        <x:f>IF(863&gt;$H$4,"",IF(INDEX('Fleet dates'!$E$9:$E$1008,$I871-8)="","",INDEX('Fleet dates'!$E$9:$E$1008,$I871-8)))</x:f>
      </x:c>
      <x:c r="F871" s="51" t="str">
        <x:f>IF(863&gt;$H$4,"",IF(INDEX('Fleet dates'!$F$9:$F$1008,$I871-8)="","",INDEX('Fleet dates'!$F$9:$F$1008,$I871-8)))</x:f>
      </x:c>
      <x:c r="G871" s="50" t="str">
        <x:f>IF(863&gt;$H$4,"",IF(INDEX('Fleet dates'!$G$9:$G$1008,$I871-8)="","",INDEX('Fleet dates'!$G$9:$G$1008,$I871-8)))</x:f>
      </x:c>
      <x:c r="H871" s="50" t="str">
        <x:f>IF(863&gt;$H$4,"",IF(INDEX('Fleet dates'!$I$9:$I$1008,$I871-8)="","",INDEX('Fleet dates'!$I$9:$I$1008,$I871-8)))</x:f>
      </x:c>
      <x:c r="I871" t="str">
        <x:f>IF(863&gt;$H$4,"",MATCH(863,'Fleet dates'!$N$9:$N$1008,0)+8)</x:f>
      </x:c>
    </x:row>
    <x:row r="872" ht="36" customHeight="1">
      <x:c r="A872" s="50" t="str">
        <x:f>IF(864&gt;$H$4,"",IF(INDEX('Fleet dates'!$A$9:$A$1008,$I872-8)="","",INDEX('Fleet dates'!$A$9:$A$1008,$I872-8)))</x:f>
      </x:c>
      <x:c r="B872" s="50" t="str">
        <x:f>IF(864&gt;$H$4,"",IF(INDEX('Fleet dates'!$B$9:$B$1008,$I872-8)="","",INDEX('Fleet dates'!$B$9:$B$1008,$I872-8)))</x:f>
      </x:c>
      <x:c r="C872" s="51" t="str">
        <x:f>IF(864&gt;$H$4,"",IF(INDEX('Fleet dates'!$C$9:$C$1008,$I872-8)="","",INDEX('Fleet dates'!$C$9:$C$1008,$I872-8)))</x:f>
      </x:c>
      <x:c r="D872" s="51" t="str">
        <x:f>IF(864&gt;$H$4,"",IF(INDEX('Fleet dates'!$D$9:$D$1008,$I872-8)="","",INDEX('Fleet dates'!$D$9:$D$1008,$I872-8)))</x:f>
      </x:c>
      <x:c r="E872" s="51" t="str">
        <x:f>IF(864&gt;$H$4,"",IF(INDEX('Fleet dates'!$E$9:$E$1008,$I872-8)="","",INDEX('Fleet dates'!$E$9:$E$1008,$I872-8)))</x:f>
      </x:c>
      <x:c r="F872" s="51" t="str">
        <x:f>IF(864&gt;$H$4,"",IF(INDEX('Fleet dates'!$F$9:$F$1008,$I872-8)="","",INDEX('Fleet dates'!$F$9:$F$1008,$I872-8)))</x:f>
      </x:c>
      <x:c r="G872" s="50" t="str">
        <x:f>IF(864&gt;$H$4,"",IF(INDEX('Fleet dates'!$G$9:$G$1008,$I872-8)="","",INDEX('Fleet dates'!$G$9:$G$1008,$I872-8)))</x:f>
      </x:c>
      <x:c r="H872" s="50" t="str">
        <x:f>IF(864&gt;$H$4,"",IF(INDEX('Fleet dates'!$I$9:$I$1008,$I872-8)="","",INDEX('Fleet dates'!$I$9:$I$1008,$I872-8)))</x:f>
      </x:c>
      <x:c r="I872" t="str">
        <x:f>IF(864&gt;$H$4,"",MATCH(864,'Fleet dates'!$N$9:$N$1008,0)+8)</x:f>
      </x:c>
    </x:row>
    <x:row r="873" ht="36" customHeight="1">
      <x:c r="A873" s="50" t="str">
        <x:f>IF(865&gt;$H$4,"",IF(INDEX('Fleet dates'!$A$9:$A$1008,$I873-8)="","",INDEX('Fleet dates'!$A$9:$A$1008,$I873-8)))</x:f>
      </x:c>
      <x:c r="B873" s="50" t="str">
        <x:f>IF(865&gt;$H$4,"",IF(INDEX('Fleet dates'!$B$9:$B$1008,$I873-8)="","",INDEX('Fleet dates'!$B$9:$B$1008,$I873-8)))</x:f>
      </x:c>
      <x:c r="C873" s="51" t="str">
        <x:f>IF(865&gt;$H$4,"",IF(INDEX('Fleet dates'!$C$9:$C$1008,$I873-8)="","",INDEX('Fleet dates'!$C$9:$C$1008,$I873-8)))</x:f>
      </x:c>
      <x:c r="D873" s="51" t="str">
        <x:f>IF(865&gt;$H$4,"",IF(INDEX('Fleet dates'!$D$9:$D$1008,$I873-8)="","",INDEX('Fleet dates'!$D$9:$D$1008,$I873-8)))</x:f>
      </x:c>
      <x:c r="E873" s="51" t="str">
        <x:f>IF(865&gt;$H$4,"",IF(INDEX('Fleet dates'!$E$9:$E$1008,$I873-8)="","",INDEX('Fleet dates'!$E$9:$E$1008,$I873-8)))</x:f>
      </x:c>
      <x:c r="F873" s="51" t="str">
        <x:f>IF(865&gt;$H$4,"",IF(INDEX('Fleet dates'!$F$9:$F$1008,$I873-8)="","",INDEX('Fleet dates'!$F$9:$F$1008,$I873-8)))</x:f>
      </x:c>
      <x:c r="G873" s="50" t="str">
        <x:f>IF(865&gt;$H$4,"",IF(INDEX('Fleet dates'!$G$9:$G$1008,$I873-8)="","",INDEX('Fleet dates'!$G$9:$G$1008,$I873-8)))</x:f>
      </x:c>
      <x:c r="H873" s="50" t="str">
        <x:f>IF(865&gt;$H$4,"",IF(INDEX('Fleet dates'!$I$9:$I$1008,$I873-8)="","",INDEX('Fleet dates'!$I$9:$I$1008,$I873-8)))</x:f>
      </x:c>
      <x:c r="I873" t="str">
        <x:f>IF(865&gt;$H$4,"",MATCH(865,'Fleet dates'!$N$9:$N$1008,0)+8)</x:f>
      </x:c>
    </x:row>
    <x:row r="874" ht="36" customHeight="1">
      <x:c r="A874" s="50" t="str">
        <x:f>IF(866&gt;$H$4,"",IF(INDEX('Fleet dates'!$A$9:$A$1008,$I874-8)="","",INDEX('Fleet dates'!$A$9:$A$1008,$I874-8)))</x:f>
      </x:c>
      <x:c r="B874" s="50" t="str">
        <x:f>IF(866&gt;$H$4,"",IF(INDEX('Fleet dates'!$B$9:$B$1008,$I874-8)="","",INDEX('Fleet dates'!$B$9:$B$1008,$I874-8)))</x:f>
      </x:c>
      <x:c r="C874" s="51" t="str">
        <x:f>IF(866&gt;$H$4,"",IF(INDEX('Fleet dates'!$C$9:$C$1008,$I874-8)="","",INDEX('Fleet dates'!$C$9:$C$1008,$I874-8)))</x:f>
      </x:c>
      <x:c r="D874" s="51" t="str">
        <x:f>IF(866&gt;$H$4,"",IF(INDEX('Fleet dates'!$D$9:$D$1008,$I874-8)="","",INDEX('Fleet dates'!$D$9:$D$1008,$I874-8)))</x:f>
      </x:c>
      <x:c r="E874" s="51" t="str">
        <x:f>IF(866&gt;$H$4,"",IF(INDEX('Fleet dates'!$E$9:$E$1008,$I874-8)="","",INDEX('Fleet dates'!$E$9:$E$1008,$I874-8)))</x:f>
      </x:c>
      <x:c r="F874" s="51" t="str">
        <x:f>IF(866&gt;$H$4,"",IF(INDEX('Fleet dates'!$F$9:$F$1008,$I874-8)="","",INDEX('Fleet dates'!$F$9:$F$1008,$I874-8)))</x:f>
      </x:c>
      <x:c r="G874" s="50" t="str">
        <x:f>IF(866&gt;$H$4,"",IF(INDEX('Fleet dates'!$G$9:$G$1008,$I874-8)="","",INDEX('Fleet dates'!$G$9:$G$1008,$I874-8)))</x:f>
      </x:c>
      <x:c r="H874" s="50" t="str">
        <x:f>IF(866&gt;$H$4,"",IF(INDEX('Fleet dates'!$I$9:$I$1008,$I874-8)="","",INDEX('Fleet dates'!$I$9:$I$1008,$I874-8)))</x:f>
      </x:c>
      <x:c r="I874" t="str">
        <x:f>IF(866&gt;$H$4,"",MATCH(866,'Fleet dates'!$N$9:$N$1008,0)+8)</x:f>
      </x:c>
    </x:row>
    <x:row r="875" ht="36" customHeight="1">
      <x:c r="A875" s="50" t="str">
        <x:f>IF(867&gt;$H$4,"",IF(INDEX('Fleet dates'!$A$9:$A$1008,$I875-8)="","",INDEX('Fleet dates'!$A$9:$A$1008,$I875-8)))</x:f>
      </x:c>
      <x:c r="B875" s="50" t="str">
        <x:f>IF(867&gt;$H$4,"",IF(INDEX('Fleet dates'!$B$9:$B$1008,$I875-8)="","",INDEX('Fleet dates'!$B$9:$B$1008,$I875-8)))</x:f>
      </x:c>
      <x:c r="C875" s="51" t="str">
        <x:f>IF(867&gt;$H$4,"",IF(INDEX('Fleet dates'!$C$9:$C$1008,$I875-8)="","",INDEX('Fleet dates'!$C$9:$C$1008,$I875-8)))</x:f>
      </x:c>
      <x:c r="D875" s="51" t="str">
        <x:f>IF(867&gt;$H$4,"",IF(INDEX('Fleet dates'!$D$9:$D$1008,$I875-8)="","",INDEX('Fleet dates'!$D$9:$D$1008,$I875-8)))</x:f>
      </x:c>
      <x:c r="E875" s="51" t="str">
        <x:f>IF(867&gt;$H$4,"",IF(INDEX('Fleet dates'!$E$9:$E$1008,$I875-8)="","",INDEX('Fleet dates'!$E$9:$E$1008,$I875-8)))</x:f>
      </x:c>
      <x:c r="F875" s="51" t="str">
        <x:f>IF(867&gt;$H$4,"",IF(INDEX('Fleet dates'!$F$9:$F$1008,$I875-8)="","",INDEX('Fleet dates'!$F$9:$F$1008,$I875-8)))</x:f>
      </x:c>
      <x:c r="G875" s="50" t="str">
        <x:f>IF(867&gt;$H$4,"",IF(INDEX('Fleet dates'!$G$9:$G$1008,$I875-8)="","",INDEX('Fleet dates'!$G$9:$G$1008,$I875-8)))</x:f>
      </x:c>
      <x:c r="H875" s="50" t="str">
        <x:f>IF(867&gt;$H$4,"",IF(INDEX('Fleet dates'!$I$9:$I$1008,$I875-8)="","",INDEX('Fleet dates'!$I$9:$I$1008,$I875-8)))</x:f>
      </x:c>
      <x:c r="I875" t="str">
        <x:f>IF(867&gt;$H$4,"",MATCH(867,'Fleet dates'!$N$9:$N$1008,0)+8)</x:f>
      </x:c>
    </x:row>
    <x:row r="876" ht="36" customHeight="1">
      <x:c r="A876" s="50" t="str">
        <x:f>IF(868&gt;$H$4,"",IF(INDEX('Fleet dates'!$A$9:$A$1008,$I876-8)="","",INDEX('Fleet dates'!$A$9:$A$1008,$I876-8)))</x:f>
      </x:c>
      <x:c r="B876" s="50" t="str">
        <x:f>IF(868&gt;$H$4,"",IF(INDEX('Fleet dates'!$B$9:$B$1008,$I876-8)="","",INDEX('Fleet dates'!$B$9:$B$1008,$I876-8)))</x:f>
      </x:c>
      <x:c r="C876" s="51" t="str">
        <x:f>IF(868&gt;$H$4,"",IF(INDEX('Fleet dates'!$C$9:$C$1008,$I876-8)="","",INDEX('Fleet dates'!$C$9:$C$1008,$I876-8)))</x:f>
      </x:c>
      <x:c r="D876" s="51" t="str">
        <x:f>IF(868&gt;$H$4,"",IF(INDEX('Fleet dates'!$D$9:$D$1008,$I876-8)="","",INDEX('Fleet dates'!$D$9:$D$1008,$I876-8)))</x:f>
      </x:c>
      <x:c r="E876" s="51" t="str">
        <x:f>IF(868&gt;$H$4,"",IF(INDEX('Fleet dates'!$E$9:$E$1008,$I876-8)="","",INDEX('Fleet dates'!$E$9:$E$1008,$I876-8)))</x:f>
      </x:c>
      <x:c r="F876" s="51" t="str">
        <x:f>IF(868&gt;$H$4,"",IF(INDEX('Fleet dates'!$F$9:$F$1008,$I876-8)="","",INDEX('Fleet dates'!$F$9:$F$1008,$I876-8)))</x:f>
      </x:c>
      <x:c r="G876" s="50" t="str">
        <x:f>IF(868&gt;$H$4,"",IF(INDEX('Fleet dates'!$G$9:$G$1008,$I876-8)="","",INDEX('Fleet dates'!$G$9:$G$1008,$I876-8)))</x:f>
      </x:c>
      <x:c r="H876" s="50" t="str">
        <x:f>IF(868&gt;$H$4,"",IF(INDEX('Fleet dates'!$I$9:$I$1008,$I876-8)="","",INDEX('Fleet dates'!$I$9:$I$1008,$I876-8)))</x:f>
      </x:c>
      <x:c r="I876" t="str">
        <x:f>IF(868&gt;$H$4,"",MATCH(868,'Fleet dates'!$N$9:$N$1008,0)+8)</x:f>
      </x:c>
    </x:row>
    <x:row r="877" ht="36" customHeight="1">
      <x:c r="A877" s="50" t="str">
        <x:f>IF(869&gt;$H$4,"",IF(INDEX('Fleet dates'!$A$9:$A$1008,$I877-8)="","",INDEX('Fleet dates'!$A$9:$A$1008,$I877-8)))</x:f>
      </x:c>
      <x:c r="B877" s="50" t="str">
        <x:f>IF(869&gt;$H$4,"",IF(INDEX('Fleet dates'!$B$9:$B$1008,$I877-8)="","",INDEX('Fleet dates'!$B$9:$B$1008,$I877-8)))</x:f>
      </x:c>
      <x:c r="C877" s="51" t="str">
        <x:f>IF(869&gt;$H$4,"",IF(INDEX('Fleet dates'!$C$9:$C$1008,$I877-8)="","",INDEX('Fleet dates'!$C$9:$C$1008,$I877-8)))</x:f>
      </x:c>
      <x:c r="D877" s="51" t="str">
        <x:f>IF(869&gt;$H$4,"",IF(INDEX('Fleet dates'!$D$9:$D$1008,$I877-8)="","",INDEX('Fleet dates'!$D$9:$D$1008,$I877-8)))</x:f>
      </x:c>
      <x:c r="E877" s="51" t="str">
        <x:f>IF(869&gt;$H$4,"",IF(INDEX('Fleet dates'!$E$9:$E$1008,$I877-8)="","",INDEX('Fleet dates'!$E$9:$E$1008,$I877-8)))</x:f>
      </x:c>
      <x:c r="F877" s="51" t="str">
        <x:f>IF(869&gt;$H$4,"",IF(INDEX('Fleet dates'!$F$9:$F$1008,$I877-8)="","",INDEX('Fleet dates'!$F$9:$F$1008,$I877-8)))</x:f>
      </x:c>
      <x:c r="G877" s="50" t="str">
        <x:f>IF(869&gt;$H$4,"",IF(INDEX('Fleet dates'!$G$9:$G$1008,$I877-8)="","",INDEX('Fleet dates'!$G$9:$G$1008,$I877-8)))</x:f>
      </x:c>
      <x:c r="H877" s="50" t="str">
        <x:f>IF(869&gt;$H$4,"",IF(INDEX('Fleet dates'!$I$9:$I$1008,$I877-8)="","",INDEX('Fleet dates'!$I$9:$I$1008,$I877-8)))</x:f>
      </x:c>
      <x:c r="I877" t="str">
        <x:f>IF(869&gt;$H$4,"",MATCH(869,'Fleet dates'!$N$9:$N$1008,0)+8)</x:f>
      </x:c>
    </x:row>
    <x:row r="878" ht="36" customHeight="1">
      <x:c r="A878" s="50" t="str">
        <x:f>IF(870&gt;$H$4,"",IF(INDEX('Fleet dates'!$A$9:$A$1008,$I878-8)="","",INDEX('Fleet dates'!$A$9:$A$1008,$I878-8)))</x:f>
      </x:c>
      <x:c r="B878" s="50" t="str">
        <x:f>IF(870&gt;$H$4,"",IF(INDEX('Fleet dates'!$B$9:$B$1008,$I878-8)="","",INDEX('Fleet dates'!$B$9:$B$1008,$I878-8)))</x:f>
      </x:c>
      <x:c r="C878" s="51" t="str">
        <x:f>IF(870&gt;$H$4,"",IF(INDEX('Fleet dates'!$C$9:$C$1008,$I878-8)="","",INDEX('Fleet dates'!$C$9:$C$1008,$I878-8)))</x:f>
      </x:c>
      <x:c r="D878" s="51" t="str">
        <x:f>IF(870&gt;$H$4,"",IF(INDEX('Fleet dates'!$D$9:$D$1008,$I878-8)="","",INDEX('Fleet dates'!$D$9:$D$1008,$I878-8)))</x:f>
      </x:c>
      <x:c r="E878" s="51" t="str">
        <x:f>IF(870&gt;$H$4,"",IF(INDEX('Fleet dates'!$E$9:$E$1008,$I878-8)="","",INDEX('Fleet dates'!$E$9:$E$1008,$I878-8)))</x:f>
      </x:c>
      <x:c r="F878" s="51" t="str">
        <x:f>IF(870&gt;$H$4,"",IF(INDEX('Fleet dates'!$F$9:$F$1008,$I878-8)="","",INDEX('Fleet dates'!$F$9:$F$1008,$I878-8)))</x:f>
      </x:c>
      <x:c r="G878" s="50" t="str">
        <x:f>IF(870&gt;$H$4,"",IF(INDEX('Fleet dates'!$G$9:$G$1008,$I878-8)="","",INDEX('Fleet dates'!$G$9:$G$1008,$I878-8)))</x:f>
      </x:c>
      <x:c r="H878" s="50" t="str">
        <x:f>IF(870&gt;$H$4,"",IF(INDEX('Fleet dates'!$I$9:$I$1008,$I878-8)="","",INDEX('Fleet dates'!$I$9:$I$1008,$I878-8)))</x:f>
      </x:c>
      <x:c r="I878" t="str">
        <x:f>IF(870&gt;$H$4,"",MATCH(870,'Fleet dates'!$N$9:$N$1008,0)+8)</x:f>
      </x:c>
    </x:row>
    <x:row r="879" ht="36" customHeight="1">
      <x:c r="A879" s="50" t="str">
        <x:f>IF(871&gt;$H$4,"",IF(INDEX('Fleet dates'!$A$9:$A$1008,$I879-8)="","",INDEX('Fleet dates'!$A$9:$A$1008,$I879-8)))</x:f>
      </x:c>
      <x:c r="B879" s="50" t="str">
        <x:f>IF(871&gt;$H$4,"",IF(INDEX('Fleet dates'!$B$9:$B$1008,$I879-8)="","",INDEX('Fleet dates'!$B$9:$B$1008,$I879-8)))</x:f>
      </x:c>
      <x:c r="C879" s="51" t="str">
        <x:f>IF(871&gt;$H$4,"",IF(INDEX('Fleet dates'!$C$9:$C$1008,$I879-8)="","",INDEX('Fleet dates'!$C$9:$C$1008,$I879-8)))</x:f>
      </x:c>
      <x:c r="D879" s="51" t="str">
        <x:f>IF(871&gt;$H$4,"",IF(INDEX('Fleet dates'!$D$9:$D$1008,$I879-8)="","",INDEX('Fleet dates'!$D$9:$D$1008,$I879-8)))</x:f>
      </x:c>
      <x:c r="E879" s="51" t="str">
        <x:f>IF(871&gt;$H$4,"",IF(INDEX('Fleet dates'!$E$9:$E$1008,$I879-8)="","",INDEX('Fleet dates'!$E$9:$E$1008,$I879-8)))</x:f>
      </x:c>
      <x:c r="F879" s="51" t="str">
        <x:f>IF(871&gt;$H$4,"",IF(INDEX('Fleet dates'!$F$9:$F$1008,$I879-8)="","",INDEX('Fleet dates'!$F$9:$F$1008,$I879-8)))</x:f>
      </x:c>
      <x:c r="G879" s="50" t="str">
        <x:f>IF(871&gt;$H$4,"",IF(INDEX('Fleet dates'!$G$9:$G$1008,$I879-8)="","",INDEX('Fleet dates'!$G$9:$G$1008,$I879-8)))</x:f>
      </x:c>
      <x:c r="H879" s="50" t="str">
        <x:f>IF(871&gt;$H$4,"",IF(INDEX('Fleet dates'!$I$9:$I$1008,$I879-8)="","",INDEX('Fleet dates'!$I$9:$I$1008,$I879-8)))</x:f>
      </x:c>
      <x:c r="I879" t="str">
        <x:f>IF(871&gt;$H$4,"",MATCH(871,'Fleet dates'!$N$9:$N$1008,0)+8)</x:f>
      </x:c>
    </x:row>
    <x:row r="880" ht="36" customHeight="1">
      <x:c r="A880" s="50" t="str">
        <x:f>IF(872&gt;$H$4,"",IF(INDEX('Fleet dates'!$A$9:$A$1008,$I880-8)="","",INDEX('Fleet dates'!$A$9:$A$1008,$I880-8)))</x:f>
      </x:c>
      <x:c r="B880" s="50" t="str">
        <x:f>IF(872&gt;$H$4,"",IF(INDEX('Fleet dates'!$B$9:$B$1008,$I880-8)="","",INDEX('Fleet dates'!$B$9:$B$1008,$I880-8)))</x:f>
      </x:c>
      <x:c r="C880" s="51" t="str">
        <x:f>IF(872&gt;$H$4,"",IF(INDEX('Fleet dates'!$C$9:$C$1008,$I880-8)="","",INDEX('Fleet dates'!$C$9:$C$1008,$I880-8)))</x:f>
      </x:c>
      <x:c r="D880" s="51" t="str">
        <x:f>IF(872&gt;$H$4,"",IF(INDEX('Fleet dates'!$D$9:$D$1008,$I880-8)="","",INDEX('Fleet dates'!$D$9:$D$1008,$I880-8)))</x:f>
      </x:c>
      <x:c r="E880" s="51" t="str">
        <x:f>IF(872&gt;$H$4,"",IF(INDEX('Fleet dates'!$E$9:$E$1008,$I880-8)="","",INDEX('Fleet dates'!$E$9:$E$1008,$I880-8)))</x:f>
      </x:c>
      <x:c r="F880" s="51" t="str">
        <x:f>IF(872&gt;$H$4,"",IF(INDEX('Fleet dates'!$F$9:$F$1008,$I880-8)="","",INDEX('Fleet dates'!$F$9:$F$1008,$I880-8)))</x:f>
      </x:c>
      <x:c r="G880" s="50" t="str">
        <x:f>IF(872&gt;$H$4,"",IF(INDEX('Fleet dates'!$G$9:$G$1008,$I880-8)="","",INDEX('Fleet dates'!$G$9:$G$1008,$I880-8)))</x:f>
      </x:c>
      <x:c r="H880" s="50" t="str">
        <x:f>IF(872&gt;$H$4,"",IF(INDEX('Fleet dates'!$I$9:$I$1008,$I880-8)="","",INDEX('Fleet dates'!$I$9:$I$1008,$I880-8)))</x:f>
      </x:c>
      <x:c r="I880" t="str">
        <x:f>IF(872&gt;$H$4,"",MATCH(872,'Fleet dates'!$N$9:$N$1008,0)+8)</x:f>
      </x:c>
    </x:row>
    <x:row r="881" ht="36" customHeight="1">
      <x:c r="A881" s="50" t="str">
        <x:f>IF(873&gt;$H$4,"",IF(INDEX('Fleet dates'!$A$9:$A$1008,$I881-8)="","",INDEX('Fleet dates'!$A$9:$A$1008,$I881-8)))</x:f>
      </x:c>
      <x:c r="B881" s="50" t="str">
        <x:f>IF(873&gt;$H$4,"",IF(INDEX('Fleet dates'!$B$9:$B$1008,$I881-8)="","",INDEX('Fleet dates'!$B$9:$B$1008,$I881-8)))</x:f>
      </x:c>
      <x:c r="C881" s="51" t="str">
        <x:f>IF(873&gt;$H$4,"",IF(INDEX('Fleet dates'!$C$9:$C$1008,$I881-8)="","",INDEX('Fleet dates'!$C$9:$C$1008,$I881-8)))</x:f>
      </x:c>
      <x:c r="D881" s="51" t="str">
        <x:f>IF(873&gt;$H$4,"",IF(INDEX('Fleet dates'!$D$9:$D$1008,$I881-8)="","",INDEX('Fleet dates'!$D$9:$D$1008,$I881-8)))</x:f>
      </x:c>
      <x:c r="E881" s="51" t="str">
        <x:f>IF(873&gt;$H$4,"",IF(INDEX('Fleet dates'!$E$9:$E$1008,$I881-8)="","",INDEX('Fleet dates'!$E$9:$E$1008,$I881-8)))</x:f>
      </x:c>
      <x:c r="F881" s="51" t="str">
        <x:f>IF(873&gt;$H$4,"",IF(INDEX('Fleet dates'!$F$9:$F$1008,$I881-8)="","",INDEX('Fleet dates'!$F$9:$F$1008,$I881-8)))</x:f>
      </x:c>
      <x:c r="G881" s="50" t="str">
        <x:f>IF(873&gt;$H$4,"",IF(INDEX('Fleet dates'!$G$9:$G$1008,$I881-8)="","",INDEX('Fleet dates'!$G$9:$G$1008,$I881-8)))</x:f>
      </x:c>
      <x:c r="H881" s="50" t="str">
        <x:f>IF(873&gt;$H$4,"",IF(INDEX('Fleet dates'!$I$9:$I$1008,$I881-8)="","",INDEX('Fleet dates'!$I$9:$I$1008,$I881-8)))</x:f>
      </x:c>
      <x:c r="I881" t="str">
        <x:f>IF(873&gt;$H$4,"",MATCH(873,'Fleet dates'!$N$9:$N$1008,0)+8)</x:f>
      </x:c>
    </x:row>
    <x:row r="882" ht="36" customHeight="1">
      <x:c r="A882" s="50" t="str">
        <x:f>IF(874&gt;$H$4,"",IF(INDEX('Fleet dates'!$A$9:$A$1008,$I882-8)="","",INDEX('Fleet dates'!$A$9:$A$1008,$I882-8)))</x:f>
      </x:c>
      <x:c r="B882" s="50" t="str">
        <x:f>IF(874&gt;$H$4,"",IF(INDEX('Fleet dates'!$B$9:$B$1008,$I882-8)="","",INDEX('Fleet dates'!$B$9:$B$1008,$I882-8)))</x:f>
      </x:c>
      <x:c r="C882" s="51" t="str">
        <x:f>IF(874&gt;$H$4,"",IF(INDEX('Fleet dates'!$C$9:$C$1008,$I882-8)="","",INDEX('Fleet dates'!$C$9:$C$1008,$I882-8)))</x:f>
      </x:c>
      <x:c r="D882" s="51" t="str">
        <x:f>IF(874&gt;$H$4,"",IF(INDEX('Fleet dates'!$D$9:$D$1008,$I882-8)="","",INDEX('Fleet dates'!$D$9:$D$1008,$I882-8)))</x:f>
      </x:c>
      <x:c r="E882" s="51" t="str">
        <x:f>IF(874&gt;$H$4,"",IF(INDEX('Fleet dates'!$E$9:$E$1008,$I882-8)="","",INDEX('Fleet dates'!$E$9:$E$1008,$I882-8)))</x:f>
      </x:c>
      <x:c r="F882" s="51" t="str">
        <x:f>IF(874&gt;$H$4,"",IF(INDEX('Fleet dates'!$F$9:$F$1008,$I882-8)="","",INDEX('Fleet dates'!$F$9:$F$1008,$I882-8)))</x:f>
      </x:c>
      <x:c r="G882" s="50" t="str">
        <x:f>IF(874&gt;$H$4,"",IF(INDEX('Fleet dates'!$G$9:$G$1008,$I882-8)="","",INDEX('Fleet dates'!$G$9:$G$1008,$I882-8)))</x:f>
      </x:c>
      <x:c r="H882" s="50" t="str">
        <x:f>IF(874&gt;$H$4,"",IF(INDEX('Fleet dates'!$I$9:$I$1008,$I882-8)="","",INDEX('Fleet dates'!$I$9:$I$1008,$I882-8)))</x:f>
      </x:c>
      <x:c r="I882" t="str">
        <x:f>IF(874&gt;$H$4,"",MATCH(874,'Fleet dates'!$N$9:$N$1008,0)+8)</x:f>
      </x:c>
    </x:row>
    <x:row r="883" ht="36" customHeight="1">
      <x:c r="A883" s="50" t="str">
        <x:f>IF(875&gt;$H$4,"",IF(INDEX('Fleet dates'!$A$9:$A$1008,$I883-8)="","",INDEX('Fleet dates'!$A$9:$A$1008,$I883-8)))</x:f>
      </x:c>
      <x:c r="B883" s="50" t="str">
        <x:f>IF(875&gt;$H$4,"",IF(INDEX('Fleet dates'!$B$9:$B$1008,$I883-8)="","",INDEX('Fleet dates'!$B$9:$B$1008,$I883-8)))</x:f>
      </x:c>
      <x:c r="C883" s="51" t="str">
        <x:f>IF(875&gt;$H$4,"",IF(INDEX('Fleet dates'!$C$9:$C$1008,$I883-8)="","",INDEX('Fleet dates'!$C$9:$C$1008,$I883-8)))</x:f>
      </x:c>
      <x:c r="D883" s="51" t="str">
        <x:f>IF(875&gt;$H$4,"",IF(INDEX('Fleet dates'!$D$9:$D$1008,$I883-8)="","",INDEX('Fleet dates'!$D$9:$D$1008,$I883-8)))</x:f>
      </x:c>
      <x:c r="E883" s="51" t="str">
        <x:f>IF(875&gt;$H$4,"",IF(INDEX('Fleet dates'!$E$9:$E$1008,$I883-8)="","",INDEX('Fleet dates'!$E$9:$E$1008,$I883-8)))</x:f>
      </x:c>
      <x:c r="F883" s="51" t="str">
        <x:f>IF(875&gt;$H$4,"",IF(INDEX('Fleet dates'!$F$9:$F$1008,$I883-8)="","",INDEX('Fleet dates'!$F$9:$F$1008,$I883-8)))</x:f>
      </x:c>
      <x:c r="G883" s="50" t="str">
        <x:f>IF(875&gt;$H$4,"",IF(INDEX('Fleet dates'!$G$9:$G$1008,$I883-8)="","",INDEX('Fleet dates'!$G$9:$G$1008,$I883-8)))</x:f>
      </x:c>
      <x:c r="H883" s="50" t="str">
        <x:f>IF(875&gt;$H$4,"",IF(INDEX('Fleet dates'!$I$9:$I$1008,$I883-8)="","",INDEX('Fleet dates'!$I$9:$I$1008,$I883-8)))</x:f>
      </x:c>
      <x:c r="I883" t="str">
        <x:f>IF(875&gt;$H$4,"",MATCH(875,'Fleet dates'!$N$9:$N$1008,0)+8)</x:f>
      </x:c>
    </x:row>
    <x:row r="884" ht="36" customHeight="1">
      <x:c r="A884" s="50" t="str">
        <x:f>IF(876&gt;$H$4,"",IF(INDEX('Fleet dates'!$A$9:$A$1008,$I884-8)="","",INDEX('Fleet dates'!$A$9:$A$1008,$I884-8)))</x:f>
      </x:c>
      <x:c r="B884" s="50" t="str">
        <x:f>IF(876&gt;$H$4,"",IF(INDEX('Fleet dates'!$B$9:$B$1008,$I884-8)="","",INDEX('Fleet dates'!$B$9:$B$1008,$I884-8)))</x:f>
      </x:c>
      <x:c r="C884" s="51" t="str">
        <x:f>IF(876&gt;$H$4,"",IF(INDEX('Fleet dates'!$C$9:$C$1008,$I884-8)="","",INDEX('Fleet dates'!$C$9:$C$1008,$I884-8)))</x:f>
      </x:c>
      <x:c r="D884" s="51" t="str">
        <x:f>IF(876&gt;$H$4,"",IF(INDEX('Fleet dates'!$D$9:$D$1008,$I884-8)="","",INDEX('Fleet dates'!$D$9:$D$1008,$I884-8)))</x:f>
      </x:c>
      <x:c r="E884" s="51" t="str">
        <x:f>IF(876&gt;$H$4,"",IF(INDEX('Fleet dates'!$E$9:$E$1008,$I884-8)="","",INDEX('Fleet dates'!$E$9:$E$1008,$I884-8)))</x:f>
      </x:c>
      <x:c r="F884" s="51" t="str">
        <x:f>IF(876&gt;$H$4,"",IF(INDEX('Fleet dates'!$F$9:$F$1008,$I884-8)="","",INDEX('Fleet dates'!$F$9:$F$1008,$I884-8)))</x:f>
      </x:c>
      <x:c r="G884" s="50" t="str">
        <x:f>IF(876&gt;$H$4,"",IF(INDEX('Fleet dates'!$G$9:$G$1008,$I884-8)="","",INDEX('Fleet dates'!$G$9:$G$1008,$I884-8)))</x:f>
      </x:c>
      <x:c r="H884" s="50" t="str">
        <x:f>IF(876&gt;$H$4,"",IF(INDEX('Fleet dates'!$I$9:$I$1008,$I884-8)="","",INDEX('Fleet dates'!$I$9:$I$1008,$I884-8)))</x:f>
      </x:c>
      <x:c r="I884" t="str">
        <x:f>IF(876&gt;$H$4,"",MATCH(876,'Fleet dates'!$N$9:$N$1008,0)+8)</x:f>
      </x:c>
    </x:row>
    <x:row r="885" ht="36" customHeight="1">
      <x:c r="A885" s="50" t="str">
        <x:f>IF(877&gt;$H$4,"",IF(INDEX('Fleet dates'!$A$9:$A$1008,$I885-8)="","",INDEX('Fleet dates'!$A$9:$A$1008,$I885-8)))</x:f>
      </x:c>
      <x:c r="B885" s="50" t="str">
        <x:f>IF(877&gt;$H$4,"",IF(INDEX('Fleet dates'!$B$9:$B$1008,$I885-8)="","",INDEX('Fleet dates'!$B$9:$B$1008,$I885-8)))</x:f>
      </x:c>
      <x:c r="C885" s="51" t="str">
        <x:f>IF(877&gt;$H$4,"",IF(INDEX('Fleet dates'!$C$9:$C$1008,$I885-8)="","",INDEX('Fleet dates'!$C$9:$C$1008,$I885-8)))</x:f>
      </x:c>
      <x:c r="D885" s="51" t="str">
        <x:f>IF(877&gt;$H$4,"",IF(INDEX('Fleet dates'!$D$9:$D$1008,$I885-8)="","",INDEX('Fleet dates'!$D$9:$D$1008,$I885-8)))</x:f>
      </x:c>
      <x:c r="E885" s="51" t="str">
        <x:f>IF(877&gt;$H$4,"",IF(INDEX('Fleet dates'!$E$9:$E$1008,$I885-8)="","",INDEX('Fleet dates'!$E$9:$E$1008,$I885-8)))</x:f>
      </x:c>
      <x:c r="F885" s="51" t="str">
        <x:f>IF(877&gt;$H$4,"",IF(INDEX('Fleet dates'!$F$9:$F$1008,$I885-8)="","",INDEX('Fleet dates'!$F$9:$F$1008,$I885-8)))</x:f>
      </x:c>
      <x:c r="G885" s="50" t="str">
        <x:f>IF(877&gt;$H$4,"",IF(INDEX('Fleet dates'!$G$9:$G$1008,$I885-8)="","",INDEX('Fleet dates'!$G$9:$G$1008,$I885-8)))</x:f>
      </x:c>
      <x:c r="H885" s="50" t="str">
        <x:f>IF(877&gt;$H$4,"",IF(INDEX('Fleet dates'!$I$9:$I$1008,$I885-8)="","",INDEX('Fleet dates'!$I$9:$I$1008,$I885-8)))</x:f>
      </x:c>
      <x:c r="I885" t="str">
        <x:f>IF(877&gt;$H$4,"",MATCH(877,'Fleet dates'!$N$9:$N$1008,0)+8)</x:f>
      </x:c>
    </x:row>
    <x:row r="886" ht="36" customHeight="1">
      <x:c r="A886" s="50" t="str">
        <x:f>IF(878&gt;$H$4,"",IF(INDEX('Fleet dates'!$A$9:$A$1008,$I886-8)="","",INDEX('Fleet dates'!$A$9:$A$1008,$I886-8)))</x:f>
      </x:c>
      <x:c r="B886" s="50" t="str">
        <x:f>IF(878&gt;$H$4,"",IF(INDEX('Fleet dates'!$B$9:$B$1008,$I886-8)="","",INDEX('Fleet dates'!$B$9:$B$1008,$I886-8)))</x:f>
      </x:c>
      <x:c r="C886" s="51" t="str">
        <x:f>IF(878&gt;$H$4,"",IF(INDEX('Fleet dates'!$C$9:$C$1008,$I886-8)="","",INDEX('Fleet dates'!$C$9:$C$1008,$I886-8)))</x:f>
      </x:c>
      <x:c r="D886" s="51" t="str">
        <x:f>IF(878&gt;$H$4,"",IF(INDEX('Fleet dates'!$D$9:$D$1008,$I886-8)="","",INDEX('Fleet dates'!$D$9:$D$1008,$I886-8)))</x:f>
      </x:c>
      <x:c r="E886" s="51" t="str">
        <x:f>IF(878&gt;$H$4,"",IF(INDEX('Fleet dates'!$E$9:$E$1008,$I886-8)="","",INDEX('Fleet dates'!$E$9:$E$1008,$I886-8)))</x:f>
      </x:c>
      <x:c r="F886" s="51" t="str">
        <x:f>IF(878&gt;$H$4,"",IF(INDEX('Fleet dates'!$F$9:$F$1008,$I886-8)="","",INDEX('Fleet dates'!$F$9:$F$1008,$I886-8)))</x:f>
      </x:c>
      <x:c r="G886" s="50" t="str">
        <x:f>IF(878&gt;$H$4,"",IF(INDEX('Fleet dates'!$G$9:$G$1008,$I886-8)="","",INDEX('Fleet dates'!$G$9:$G$1008,$I886-8)))</x:f>
      </x:c>
      <x:c r="H886" s="50" t="str">
        <x:f>IF(878&gt;$H$4,"",IF(INDEX('Fleet dates'!$I$9:$I$1008,$I886-8)="","",INDEX('Fleet dates'!$I$9:$I$1008,$I886-8)))</x:f>
      </x:c>
      <x:c r="I886" t="str">
        <x:f>IF(878&gt;$H$4,"",MATCH(878,'Fleet dates'!$N$9:$N$1008,0)+8)</x:f>
      </x:c>
    </x:row>
    <x:row r="887" ht="36" customHeight="1">
      <x:c r="A887" s="50" t="str">
        <x:f>IF(879&gt;$H$4,"",IF(INDEX('Fleet dates'!$A$9:$A$1008,$I887-8)="","",INDEX('Fleet dates'!$A$9:$A$1008,$I887-8)))</x:f>
      </x:c>
      <x:c r="B887" s="50" t="str">
        <x:f>IF(879&gt;$H$4,"",IF(INDEX('Fleet dates'!$B$9:$B$1008,$I887-8)="","",INDEX('Fleet dates'!$B$9:$B$1008,$I887-8)))</x:f>
      </x:c>
      <x:c r="C887" s="51" t="str">
        <x:f>IF(879&gt;$H$4,"",IF(INDEX('Fleet dates'!$C$9:$C$1008,$I887-8)="","",INDEX('Fleet dates'!$C$9:$C$1008,$I887-8)))</x:f>
      </x:c>
      <x:c r="D887" s="51" t="str">
        <x:f>IF(879&gt;$H$4,"",IF(INDEX('Fleet dates'!$D$9:$D$1008,$I887-8)="","",INDEX('Fleet dates'!$D$9:$D$1008,$I887-8)))</x:f>
      </x:c>
      <x:c r="E887" s="51" t="str">
        <x:f>IF(879&gt;$H$4,"",IF(INDEX('Fleet dates'!$E$9:$E$1008,$I887-8)="","",INDEX('Fleet dates'!$E$9:$E$1008,$I887-8)))</x:f>
      </x:c>
      <x:c r="F887" s="51" t="str">
        <x:f>IF(879&gt;$H$4,"",IF(INDEX('Fleet dates'!$F$9:$F$1008,$I887-8)="","",INDEX('Fleet dates'!$F$9:$F$1008,$I887-8)))</x:f>
      </x:c>
      <x:c r="G887" s="50" t="str">
        <x:f>IF(879&gt;$H$4,"",IF(INDEX('Fleet dates'!$G$9:$G$1008,$I887-8)="","",INDEX('Fleet dates'!$G$9:$G$1008,$I887-8)))</x:f>
      </x:c>
      <x:c r="H887" s="50" t="str">
        <x:f>IF(879&gt;$H$4,"",IF(INDEX('Fleet dates'!$I$9:$I$1008,$I887-8)="","",INDEX('Fleet dates'!$I$9:$I$1008,$I887-8)))</x:f>
      </x:c>
      <x:c r="I887" t="str">
        <x:f>IF(879&gt;$H$4,"",MATCH(879,'Fleet dates'!$N$9:$N$1008,0)+8)</x:f>
      </x:c>
    </x:row>
    <x:row r="888" ht="36" customHeight="1">
      <x:c r="A888" s="50" t="str">
        <x:f>IF(880&gt;$H$4,"",IF(INDEX('Fleet dates'!$A$9:$A$1008,$I888-8)="","",INDEX('Fleet dates'!$A$9:$A$1008,$I888-8)))</x:f>
      </x:c>
      <x:c r="B888" s="50" t="str">
        <x:f>IF(880&gt;$H$4,"",IF(INDEX('Fleet dates'!$B$9:$B$1008,$I888-8)="","",INDEX('Fleet dates'!$B$9:$B$1008,$I888-8)))</x:f>
      </x:c>
      <x:c r="C888" s="51" t="str">
        <x:f>IF(880&gt;$H$4,"",IF(INDEX('Fleet dates'!$C$9:$C$1008,$I888-8)="","",INDEX('Fleet dates'!$C$9:$C$1008,$I888-8)))</x:f>
      </x:c>
      <x:c r="D888" s="51" t="str">
        <x:f>IF(880&gt;$H$4,"",IF(INDEX('Fleet dates'!$D$9:$D$1008,$I888-8)="","",INDEX('Fleet dates'!$D$9:$D$1008,$I888-8)))</x:f>
      </x:c>
      <x:c r="E888" s="51" t="str">
        <x:f>IF(880&gt;$H$4,"",IF(INDEX('Fleet dates'!$E$9:$E$1008,$I888-8)="","",INDEX('Fleet dates'!$E$9:$E$1008,$I888-8)))</x:f>
      </x:c>
      <x:c r="F888" s="51" t="str">
        <x:f>IF(880&gt;$H$4,"",IF(INDEX('Fleet dates'!$F$9:$F$1008,$I888-8)="","",INDEX('Fleet dates'!$F$9:$F$1008,$I888-8)))</x:f>
      </x:c>
      <x:c r="G888" s="50" t="str">
        <x:f>IF(880&gt;$H$4,"",IF(INDEX('Fleet dates'!$G$9:$G$1008,$I888-8)="","",INDEX('Fleet dates'!$G$9:$G$1008,$I888-8)))</x:f>
      </x:c>
      <x:c r="H888" s="50" t="str">
        <x:f>IF(880&gt;$H$4,"",IF(INDEX('Fleet dates'!$I$9:$I$1008,$I888-8)="","",INDEX('Fleet dates'!$I$9:$I$1008,$I888-8)))</x:f>
      </x:c>
      <x:c r="I888" t="str">
        <x:f>IF(880&gt;$H$4,"",MATCH(880,'Fleet dates'!$N$9:$N$1008,0)+8)</x:f>
      </x:c>
    </x:row>
    <x:row r="889" ht="36" customHeight="1">
      <x:c r="A889" s="50" t="str">
        <x:f>IF(881&gt;$H$4,"",IF(INDEX('Fleet dates'!$A$9:$A$1008,$I889-8)="","",INDEX('Fleet dates'!$A$9:$A$1008,$I889-8)))</x:f>
      </x:c>
      <x:c r="B889" s="50" t="str">
        <x:f>IF(881&gt;$H$4,"",IF(INDEX('Fleet dates'!$B$9:$B$1008,$I889-8)="","",INDEX('Fleet dates'!$B$9:$B$1008,$I889-8)))</x:f>
      </x:c>
      <x:c r="C889" s="51" t="str">
        <x:f>IF(881&gt;$H$4,"",IF(INDEX('Fleet dates'!$C$9:$C$1008,$I889-8)="","",INDEX('Fleet dates'!$C$9:$C$1008,$I889-8)))</x:f>
      </x:c>
      <x:c r="D889" s="51" t="str">
        <x:f>IF(881&gt;$H$4,"",IF(INDEX('Fleet dates'!$D$9:$D$1008,$I889-8)="","",INDEX('Fleet dates'!$D$9:$D$1008,$I889-8)))</x:f>
      </x:c>
      <x:c r="E889" s="51" t="str">
        <x:f>IF(881&gt;$H$4,"",IF(INDEX('Fleet dates'!$E$9:$E$1008,$I889-8)="","",INDEX('Fleet dates'!$E$9:$E$1008,$I889-8)))</x:f>
      </x:c>
      <x:c r="F889" s="51" t="str">
        <x:f>IF(881&gt;$H$4,"",IF(INDEX('Fleet dates'!$F$9:$F$1008,$I889-8)="","",INDEX('Fleet dates'!$F$9:$F$1008,$I889-8)))</x:f>
      </x:c>
      <x:c r="G889" s="50" t="str">
        <x:f>IF(881&gt;$H$4,"",IF(INDEX('Fleet dates'!$G$9:$G$1008,$I889-8)="","",INDEX('Fleet dates'!$G$9:$G$1008,$I889-8)))</x:f>
      </x:c>
      <x:c r="H889" s="50" t="str">
        <x:f>IF(881&gt;$H$4,"",IF(INDEX('Fleet dates'!$I$9:$I$1008,$I889-8)="","",INDEX('Fleet dates'!$I$9:$I$1008,$I889-8)))</x:f>
      </x:c>
      <x:c r="I889" t="str">
        <x:f>IF(881&gt;$H$4,"",MATCH(881,'Fleet dates'!$N$9:$N$1008,0)+8)</x:f>
      </x:c>
    </x:row>
    <x:row r="890" ht="36" customHeight="1">
      <x:c r="A890" s="50" t="str">
        <x:f>IF(882&gt;$H$4,"",IF(INDEX('Fleet dates'!$A$9:$A$1008,$I890-8)="","",INDEX('Fleet dates'!$A$9:$A$1008,$I890-8)))</x:f>
      </x:c>
      <x:c r="B890" s="50" t="str">
        <x:f>IF(882&gt;$H$4,"",IF(INDEX('Fleet dates'!$B$9:$B$1008,$I890-8)="","",INDEX('Fleet dates'!$B$9:$B$1008,$I890-8)))</x:f>
      </x:c>
      <x:c r="C890" s="51" t="str">
        <x:f>IF(882&gt;$H$4,"",IF(INDEX('Fleet dates'!$C$9:$C$1008,$I890-8)="","",INDEX('Fleet dates'!$C$9:$C$1008,$I890-8)))</x:f>
      </x:c>
      <x:c r="D890" s="51" t="str">
        <x:f>IF(882&gt;$H$4,"",IF(INDEX('Fleet dates'!$D$9:$D$1008,$I890-8)="","",INDEX('Fleet dates'!$D$9:$D$1008,$I890-8)))</x:f>
      </x:c>
      <x:c r="E890" s="51" t="str">
        <x:f>IF(882&gt;$H$4,"",IF(INDEX('Fleet dates'!$E$9:$E$1008,$I890-8)="","",INDEX('Fleet dates'!$E$9:$E$1008,$I890-8)))</x:f>
      </x:c>
      <x:c r="F890" s="51" t="str">
        <x:f>IF(882&gt;$H$4,"",IF(INDEX('Fleet dates'!$F$9:$F$1008,$I890-8)="","",INDEX('Fleet dates'!$F$9:$F$1008,$I890-8)))</x:f>
      </x:c>
      <x:c r="G890" s="50" t="str">
        <x:f>IF(882&gt;$H$4,"",IF(INDEX('Fleet dates'!$G$9:$G$1008,$I890-8)="","",INDEX('Fleet dates'!$G$9:$G$1008,$I890-8)))</x:f>
      </x:c>
      <x:c r="H890" s="50" t="str">
        <x:f>IF(882&gt;$H$4,"",IF(INDEX('Fleet dates'!$I$9:$I$1008,$I890-8)="","",INDEX('Fleet dates'!$I$9:$I$1008,$I890-8)))</x:f>
      </x:c>
      <x:c r="I890" t="str">
        <x:f>IF(882&gt;$H$4,"",MATCH(882,'Fleet dates'!$N$9:$N$1008,0)+8)</x:f>
      </x:c>
    </x:row>
    <x:row r="891" ht="36" customHeight="1">
      <x:c r="A891" s="50" t="str">
        <x:f>IF(883&gt;$H$4,"",IF(INDEX('Fleet dates'!$A$9:$A$1008,$I891-8)="","",INDEX('Fleet dates'!$A$9:$A$1008,$I891-8)))</x:f>
      </x:c>
      <x:c r="B891" s="50" t="str">
        <x:f>IF(883&gt;$H$4,"",IF(INDEX('Fleet dates'!$B$9:$B$1008,$I891-8)="","",INDEX('Fleet dates'!$B$9:$B$1008,$I891-8)))</x:f>
      </x:c>
      <x:c r="C891" s="51" t="str">
        <x:f>IF(883&gt;$H$4,"",IF(INDEX('Fleet dates'!$C$9:$C$1008,$I891-8)="","",INDEX('Fleet dates'!$C$9:$C$1008,$I891-8)))</x:f>
      </x:c>
      <x:c r="D891" s="51" t="str">
        <x:f>IF(883&gt;$H$4,"",IF(INDEX('Fleet dates'!$D$9:$D$1008,$I891-8)="","",INDEX('Fleet dates'!$D$9:$D$1008,$I891-8)))</x:f>
      </x:c>
      <x:c r="E891" s="51" t="str">
        <x:f>IF(883&gt;$H$4,"",IF(INDEX('Fleet dates'!$E$9:$E$1008,$I891-8)="","",INDEX('Fleet dates'!$E$9:$E$1008,$I891-8)))</x:f>
      </x:c>
      <x:c r="F891" s="51" t="str">
        <x:f>IF(883&gt;$H$4,"",IF(INDEX('Fleet dates'!$F$9:$F$1008,$I891-8)="","",INDEX('Fleet dates'!$F$9:$F$1008,$I891-8)))</x:f>
      </x:c>
      <x:c r="G891" s="50" t="str">
        <x:f>IF(883&gt;$H$4,"",IF(INDEX('Fleet dates'!$G$9:$G$1008,$I891-8)="","",INDEX('Fleet dates'!$G$9:$G$1008,$I891-8)))</x:f>
      </x:c>
      <x:c r="H891" s="50" t="str">
        <x:f>IF(883&gt;$H$4,"",IF(INDEX('Fleet dates'!$I$9:$I$1008,$I891-8)="","",INDEX('Fleet dates'!$I$9:$I$1008,$I891-8)))</x:f>
      </x:c>
      <x:c r="I891" t="str">
        <x:f>IF(883&gt;$H$4,"",MATCH(883,'Fleet dates'!$N$9:$N$1008,0)+8)</x:f>
      </x:c>
    </x:row>
    <x:row r="892" ht="36" customHeight="1">
      <x:c r="A892" s="50" t="str">
        <x:f>IF(884&gt;$H$4,"",IF(INDEX('Fleet dates'!$A$9:$A$1008,$I892-8)="","",INDEX('Fleet dates'!$A$9:$A$1008,$I892-8)))</x:f>
      </x:c>
      <x:c r="B892" s="50" t="str">
        <x:f>IF(884&gt;$H$4,"",IF(INDEX('Fleet dates'!$B$9:$B$1008,$I892-8)="","",INDEX('Fleet dates'!$B$9:$B$1008,$I892-8)))</x:f>
      </x:c>
      <x:c r="C892" s="51" t="str">
        <x:f>IF(884&gt;$H$4,"",IF(INDEX('Fleet dates'!$C$9:$C$1008,$I892-8)="","",INDEX('Fleet dates'!$C$9:$C$1008,$I892-8)))</x:f>
      </x:c>
      <x:c r="D892" s="51" t="str">
        <x:f>IF(884&gt;$H$4,"",IF(INDEX('Fleet dates'!$D$9:$D$1008,$I892-8)="","",INDEX('Fleet dates'!$D$9:$D$1008,$I892-8)))</x:f>
      </x:c>
      <x:c r="E892" s="51" t="str">
        <x:f>IF(884&gt;$H$4,"",IF(INDEX('Fleet dates'!$E$9:$E$1008,$I892-8)="","",INDEX('Fleet dates'!$E$9:$E$1008,$I892-8)))</x:f>
      </x:c>
      <x:c r="F892" s="51" t="str">
        <x:f>IF(884&gt;$H$4,"",IF(INDEX('Fleet dates'!$F$9:$F$1008,$I892-8)="","",INDEX('Fleet dates'!$F$9:$F$1008,$I892-8)))</x:f>
      </x:c>
      <x:c r="G892" s="50" t="str">
        <x:f>IF(884&gt;$H$4,"",IF(INDEX('Fleet dates'!$G$9:$G$1008,$I892-8)="","",INDEX('Fleet dates'!$G$9:$G$1008,$I892-8)))</x:f>
      </x:c>
      <x:c r="H892" s="50" t="str">
        <x:f>IF(884&gt;$H$4,"",IF(INDEX('Fleet dates'!$I$9:$I$1008,$I892-8)="","",INDEX('Fleet dates'!$I$9:$I$1008,$I892-8)))</x:f>
      </x:c>
      <x:c r="I892" t="str">
        <x:f>IF(884&gt;$H$4,"",MATCH(884,'Fleet dates'!$N$9:$N$1008,0)+8)</x:f>
      </x:c>
    </x:row>
    <x:row r="893" ht="36" customHeight="1">
      <x:c r="A893" s="50" t="str">
        <x:f>IF(885&gt;$H$4,"",IF(INDEX('Fleet dates'!$A$9:$A$1008,$I893-8)="","",INDEX('Fleet dates'!$A$9:$A$1008,$I893-8)))</x:f>
      </x:c>
      <x:c r="B893" s="50" t="str">
        <x:f>IF(885&gt;$H$4,"",IF(INDEX('Fleet dates'!$B$9:$B$1008,$I893-8)="","",INDEX('Fleet dates'!$B$9:$B$1008,$I893-8)))</x:f>
      </x:c>
      <x:c r="C893" s="51" t="str">
        <x:f>IF(885&gt;$H$4,"",IF(INDEX('Fleet dates'!$C$9:$C$1008,$I893-8)="","",INDEX('Fleet dates'!$C$9:$C$1008,$I893-8)))</x:f>
      </x:c>
      <x:c r="D893" s="51" t="str">
        <x:f>IF(885&gt;$H$4,"",IF(INDEX('Fleet dates'!$D$9:$D$1008,$I893-8)="","",INDEX('Fleet dates'!$D$9:$D$1008,$I893-8)))</x:f>
      </x:c>
      <x:c r="E893" s="51" t="str">
        <x:f>IF(885&gt;$H$4,"",IF(INDEX('Fleet dates'!$E$9:$E$1008,$I893-8)="","",INDEX('Fleet dates'!$E$9:$E$1008,$I893-8)))</x:f>
      </x:c>
      <x:c r="F893" s="51" t="str">
        <x:f>IF(885&gt;$H$4,"",IF(INDEX('Fleet dates'!$F$9:$F$1008,$I893-8)="","",INDEX('Fleet dates'!$F$9:$F$1008,$I893-8)))</x:f>
      </x:c>
      <x:c r="G893" s="50" t="str">
        <x:f>IF(885&gt;$H$4,"",IF(INDEX('Fleet dates'!$G$9:$G$1008,$I893-8)="","",INDEX('Fleet dates'!$G$9:$G$1008,$I893-8)))</x:f>
      </x:c>
      <x:c r="H893" s="50" t="str">
        <x:f>IF(885&gt;$H$4,"",IF(INDEX('Fleet dates'!$I$9:$I$1008,$I893-8)="","",INDEX('Fleet dates'!$I$9:$I$1008,$I893-8)))</x:f>
      </x:c>
      <x:c r="I893" t="str">
        <x:f>IF(885&gt;$H$4,"",MATCH(885,'Fleet dates'!$N$9:$N$1008,0)+8)</x:f>
      </x:c>
    </x:row>
    <x:row r="894" ht="36" customHeight="1">
      <x:c r="A894" s="50" t="str">
        <x:f>IF(886&gt;$H$4,"",IF(INDEX('Fleet dates'!$A$9:$A$1008,$I894-8)="","",INDEX('Fleet dates'!$A$9:$A$1008,$I894-8)))</x:f>
      </x:c>
      <x:c r="B894" s="50" t="str">
        <x:f>IF(886&gt;$H$4,"",IF(INDEX('Fleet dates'!$B$9:$B$1008,$I894-8)="","",INDEX('Fleet dates'!$B$9:$B$1008,$I894-8)))</x:f>
      </x:c>
      <x:c r="C894" s="51" t="str">
        <x:f>IF(886&gt;$H$4,"",IF(INDEX('Fleet dates'!$C$9:$C$1008,$I894-8)="","",INDEX('Fleet dates'!$C$9:$C$1008,$I894-8)))</x:f>
      </x:c>
      <x:c r="D894" s="51" t="str">
        <x:f>IF(886&gt;$H$4,"",IF(INDEX('Fleet dates'!$D$9:$D$1008,$I894-8)="","",INDEX('Fleet dates'!$D$9:$D$1008,$I894-8)))</x:f>
      </x:c>
      <x:c r="E894" s="51" t="str">
        <x:f>IF(886&gt;$H$4,"",IF(INDEX('Fleet dates'!$E$9:$E$1008,$I894-8)="","",INDEX('Fleet dates'!$E$9:$E$1008,$I894-8)))</x:f>
      </x:c>
      <x:c r="F894" s="51" t="str">
        <x:f>IF(886&gt;$H$4,"",IF(INDEX('Fleet dates'!$F$9:$F$1008,$I894-8)="","",INDEX('Fleet dates'!$F$9:$F$1008,$I894-8)))</x:f>
      </x:c>
      <x:c r="G894" s="50" t="str">
        <x:f>IF(886&gt;$H$4,"",IF(INDEX('Fleet dates'!$G$9:$G$1008,$I894-8)="","",INDEX('Fleet dates'!$G$9:$G$1008,$I894-8)))</x:f>
      </x:c>
      <x:c r="H894" s="50" t="str">
        <x:f>IF(886&gt;$H$4,"",IF(INDEX('Fleet dates'!$I$9:$I$1008,$I894-8)="","",INDEX('Fleet dates'!$I$9:$I$1008,$I894-8)))</x:f>
      </x:c>
      <x:c r="I894" t="str">
        <x:f>IF(886&gt;$H$4,"",MATCH(886,'Fleet dates'!$N$9:$N$1008,0)+8)</x:f>
      </x:c>
    </x:row>
    <x:row r="895" ht="36" customHeight="1">
      <x:c r="A895" s="50" t="str">
        <x:f>IF(887&gt;$H$4,"",IF(INDEX('Fleet dates'!$A$9:$A$1008,$I895-8)="","",INDEX('Fleet dates'!$A$9:$A$1008,$I895-8)))</x:f>
      </x:c>
      <x:c r="B895" s="50" t="str">
        <x:f>IF(887&gt;$H$4,"",IF(INDEX('Fleet dates'!$B$9:$B$1008,$I895-8)="","",INDEX('Fleet dates'!$B$9:$B$1008,$I895-8)))</x:f>
      </x:c>
      <x:c r="C895" s="51" t="str">
        <x:f>IF(887&gt;$H$4,"",IF(INDEX('Fleet dates'!$C$9:$C$1008,$I895-8)="","",INDEX('Fleet dates'!$C$9:$C$1008,$I895-8)))</x:f>
      </x:c>
      <x:c r="D895" s="51" t="str">
        <x:f>IF(887&gt;$H$4,"",IF(INDEX('Fleet dates'!$D$9:$D$1008,$I895-8)="","",INDEX('Fleet dates'!$D$9:$D$1008,$I895-8)))</x:f>
      </x:c>
      <x:c r="E895" s="51" t="str">
        <x:f>IF(887&gt;$H$4,"",IF(INDEX('Fleet dates'!$E$9:$E$1008,$I895-8)="","",INDEX('Fleet dates'!$E$9:$E$1008,$I895-8)))</x:f>
      </x:c>
      <x:c r="F895" s="51" t="str">
        <x:f>IF(887&gt;$H$4,"",IF(INDEX('Fleet dates'!$F$9:$F$1008,$I895-8)="","",INDEX('Fleet dates'!$F$9:$F$1008,$I895-8)))</x:f>
      </x:c>
      <x:c r="G895" s="50" t="str">
        <x:f>IF(887&gt;$H$4,"",IF(INDEX('Fleet dates'!$G$9:$G$1008,$I895-8)="","",INDEX('Fleet dates'!$G$9:$G$1008,$I895-8)))</x:f>
      </x:c>
      <x:c r="H895" s="50" t="str">
        <x:f>IF(887&gt;$H$4,"",IF(INDEX('Fleet dates'!$I$9:$I$1008,$I895-8)="","",INDEX('Fleet dates'!$I$9:$I$1008,$I895-8)))</x:f>
      </x:c>
      <x:c r="I895" t="str">
        <x:f>IF(887&gt;$H$4,"",MATCH(887,'Fleet dates'!$N$9:$N$1008,0)+8)</x:f>
      </x:c>
    </x:row>
    <x:row r="896" ht="36" customHeight="1">
      <x:c r="A896" s="50" t="str">
        <x:f>IF(888&gt;$H$4,"",IF(INDEX('Fleet dates'!$A$9:$A$1008,$I896-8)="","",INDEX('Fleet dates'!$A$9:$A$1008,$I896-8)))</x:f>
      </x:c>
      <x:c r="B896" s="50" t="str">
        <x:f>IF(888&gt;$H$4,"",IF(INDEX('Fleet dates'!$B$9:$B$1008,$I896-8)="","",INDEX('Fleet dates'!$B$9:$B$1008,$I896-8)))</x:f>
      </x:c>
      <x:c r="C896" s="51" t="str">
        <x:f>IF(888&gt;$H$4,"",IF(INDEX('Fleet dates'!$C$9:$C$1008,$I896-8)="","",INDEX('Fleet dates'!$C$9:$C$1008,$I896-8)))</x:f>
      </x:c>
      <x:c r="D896" s="51" t="str">
        <x:f>IF(888&gt;$H$4,"",IF(INDEX('Fleet dates'!$D$9:$D$1008,$I896-8)="","",INDEX('Fleet dates'!$D$9:$D$1008,$I896-8)))</x:f>
      </x:c>
      <x:c r="E896" s="51" t="str">
        <x:f>IF(888&gt;$H$4,"",IF(INDEX('Fleet dates'!$E$9:$E$1008,$I896-8)="","",INDEX('Fleet dates'!$E$9:$E$1008,$I896-8)))</x:f>
      </x:c>
      <x:c r="F896" s="51" t="str">
        <x:f>IF(888&gt;$H$4,"",IF(INDEX('Fleet dates'!$F$9:$F$1008,$I896-8)="","",INDEX('Fleet dates'!$F$9:$F$1008,$I896-8)))</x:f>
      </x:c>
      <x:c r="G896" s="50" t="str">
        <x:f>IF(888&gt;$H$4,"",IF(INDEX('Fleet dates'!$G$9:$G$1008,$I896-8)="","",INDEX('Fleet dates'!$G$9:$G$1008,$I896-8)))</x:f>
      </x:c>
      <x:c r="H896" s="50" t="str">
        <x:f>IF(888&gt;$H$4,"",IF(INDEX('Fleet dates'!$I$9:$I$1008,$I896-8)="","",INDEX('Fleet dates'!$I$9:$I$1008,$I896-8)))</x:f>
      </x:c>
      <x:c r="I896" t="str">
        <x:f>IF(888&gt;$H$4,"",MATCH(888,'Fleet dates'!$N$9:$N$1008,0)+8)</x:f>
      </x:c>
    </x:row>
    <x:row r="897" ht="36" customHeight="1">
      <x:c r="A897" s="50" t="str">
        <x:f>IF(889&gt;$H$4,"",IF(INDEX('Fleet dates'!$A$9:$A$1008,$I897-8)="","",INDEX('Fleet dates'!$A$9:$A$1008,$I897-8)))</x:f>
      </x:c>
      <x:c r="B897" s="50" t="str">
        <x:f>IF(889&gt;$H$4,"",IF(INDEX('Fleet dates'!$B$9:$B$1008,$I897-8)="","",INDEX('Fleet dates'!$B$9:$B$1008,$I897-8)))</x:f>
      </x:c>
      <x:c r="C897" s="51" t="str">
        <x:f>IF(889&gt;$H$4,"",IF(INDEX('Fleet dates'!$C$9:$C$1008,$I897-8)="","",INDEX('Fleet dates'!$C$9:$C$1008,$I897-8)))</x:f>
      </x:c>
      <x:c r="D897" s="51" t="str">
        <x:f>IF(889&gt;$H$4,"",IF(INDEX('Fleet dates'!$D$9:$D$1008,$I897-8)="","",INDEX('Fleet dates'!$D$9:$D$1008,$I897-8)))</x:f>
      </x:c>
      <x:c r="E897" s="51" t="str">
        <x:f>IF(889&gt;$H$4,"",IF(INDEX('Fleet dates'!$E$9:$E$1008,$I897-8)="","",INDEX('Fleet dates'!$E$9:$E$1008,$I897-8)))</x:f>
      </x:c>
      <x:c r="F897" s="51" t="str">
        <x:f>IF(889&gt;$H$4,"",IF(INDEX('Fleet dates'!$F$9:$F$1008,$I897-8)="","",INDEX('Fleet dates'!$F$9:$F$1008,$I897-8)))</x:f>
      </x:c>
      <x:c r="G897" s="50" t="str">
        <x:f>IF(889&gt;$H$4,"",IF(INDEX('Fleet dates'!$G$9:$G$1008,$I897-8)="","",INDEX('Fleet dates'!$G$9:$G$1008,$I897-8)))</x:f>
      </x:c>
      <x:c r="H897" s="50" t="str">
        <x:f>IF(889&gt;$H$4,"",IF(INDEX('Fleet dates'!$I$9:$I$1008,$I897-8)="","",INDEX('Fleet dates'!$I$9:$I$1008,$I897-8)))</x:f>
      </x:c>
      <x:c r="I897" t="str">
        <x:f>IF(889&gt;$H$4,"",MATCH(889,'Fleet dates'!$N$9:$N$1008,0)+8)</x:f>
      </x:c>
    </x:row>
    <x:row r="898" ht="36" customHeight="1">
      <x:c r="A898" s="50" t="str">
        <x:f>IF(890&gt;$H$4,"",IF(INDEX('Fleet dates'!$A$9:$A$1008,$I898-8)="","",INDEX('Fleet dates'!$A$9:$A$1008,$I898-8)))</x:f>
      </x:c>
      <x:c r="B898" s="50" t="str">
        <x:f>IF(890&gt;$H$4,"",IF(INDEX('Fleet dates'!$B$9:$B$1008,$I898-8)="","",INDEX('Fleet dates'!$B$9:$B$1008,$I898-8)))</x:f>
      </x:c>
      <x:c r="C898" s="51" t="str">
        <x:f>IF(890&gt;$H$4,"",IF(INDEX('Fleet dates'!$C$9:$C$1008,$I898-8)="","",INDEX('Fleet dates'!$C$9:$C$1008,$I898-8)))</x:f>
      </x:c>
      <x:c r="D898" s="51" t="str">
        <x:f>IF(890&gt;$H$4,"",IF(INDEX('Fleet dates'!$D$9:$D$1008,$I898-8)="","",INDEX('Fleet dates'!$D$9:$D$1008,$I898-8)))</x:f>
      </x:c>
      <x:c r="E898" s="51" t="str">
        <x:f>IF(890&gt;$H$4,"",IF(INDEX('Fleet dates'!$E$9:$E$1008,$I898-8)="","",INDEX('Fleet dates'!$E$9:$E$1008,$I898-8)))</x:f>
      </x:c>
      <x:c r="F898" s="51" t="str">
        <x:f>IF(890&gt;$H$4,"",IF(INDEX('Fleet dates'!$F$9:$F$1008,$I898-8)="","",INDEX('Fleet dates'!$F$9:$F$1008,$I898-8)))</x:f>
      </x:c>
      <x:c r="G898" s="50" t="str">
        <x:f>IF(890&gt;$H$4,"",IF(INDEX('Fleet dates'!$G$9:$G$1008,$I898-8)="","",INDEX('Fleet dates'!$G$9:$G$1008,$I898-8)))</x:f>
      </x:c>
      <x:c r="H898" s="50" t="str">
        <x:f>IF(890&gt;$H$4,"",IF(INDEX('Fleet dates'!$I$9:$I$1008,$I898-8)="","",INDEX('Fleet dates'!$I$9:$I$1008,$I898-8)))</x:f>
      </x:c>
      <x:c r="I898" t="str">
        <x:f>IF(890&gt;$H$4,"",MATCH(890,'Fleet dates'!$N$9:$N$1008,0)+8)</x:f>
      </x:c>
    </x:row>
    <x:row r="899" ht="36" customHeight="1">
      <x:c r="A899" s="50" t="str">
        <x:f>IF(891&gt;$H$4,"",IF(INDEX('Fleet dates'!$A$9:$A$1008,$I899-8)="","",INDEX('Fleet dates'!$A$9:$A$1008,$I899-8)))</x:f>
      </x:c>
      <x:c r="B899" s="50" t="str">
        <x:f>IF(891&gt;$H$4,"",IF(INDEX('Fleet dates'!$B$9:$B$1008,$I899-8)="","",INDEX('Fleet dates'!$B$9:$B$1008,$I899-8)))</x:f>
      </x:c>
      <x:c r="C899" s="51" t="str">
        <x:f>IF(891&gt;$H$4,"",IF(INDEX('Fleet dates'!$C$9:$C$1008,$I899-8)="","",INDEX('Fleet dates'!$C$9:$C$1008,$I899-8)))</x:f>
      </x:c>
      <x:c r="D899" s="51" t="str">
        <x:f>IF(891&gt;$H$4,"",IF(INDEX('Fleet dates'!$D$9:$D$1008,$I899-8)="","",INDEX('Fleet dates'!$D$9:$D$1008,$I899-8)))</x:f>
      </x:c>
      <x:c r="E899" s="51" t="str">
        <x:f>IF(891&gt;$H$4,"",IF(INDEX('Fleet dates'!$E$9:$E$1008,$I899-8)="","",INDEX('Fleet dates'!$E$9:$E$1008,$I899-8)))</x:f>
      </x:c>
      <x:c r="F899" s="51" t="str">
        <x:f>IF(891&gt;$H$4,"",IF(INDEX('Fleet dates'!$F$9:$F$1008,$I899-8)="","",INDEX('Fleet dates'!$F$9:$F$1008,$I899-8)))</x:f>
      </x:c>
      <x:c r="G899" s="50" t="str">
        <x:f>IF(891&gt;$H$4,"",IF(INDEX('Fleet dates'!$G$9:$G$1008,$I899-8)="","",INDEX('Fleet dates'!$G$9:$G$1008,$I899-8)))</x:f>
      </x:c>
      <x:c r="H899" s="50" t="str">
        <x:f>IF(891&gt;$H$4,"",IF(INDEX('Fleet dates'!$I$9:$I$1008,$I899-8)="","",INDEX('Fleet dates'!$I$9:$I$1008,$I899-8)))</x:f>
      </x:c>
      <x:c r="I899" t="str">
        <x:f>IF(891&gt;$H$4,"",MATCH(891,'Fleet dates'!$N$9:$N$1008,0)+8)</x:f>
      </x:c>
    </x:row>
    <x:row r="900" ht="36" customHeight="1">
      <x:c r="A900" s="50" t="str">
        <x:f>IF(892&gt;$H$4,"",IF(INDEX('Fleet dates'!$A$9:$A$1008,$I900-8)="","",INDEX('Fleet dates'!$A$9:$A$1008,$I900-8)))</x:f>
      </x:c>
      <x:c r="B900" s="50" t="str">
        <x:f>IF(892&gt;$H$4,"",IF(INDEX('Fleet dates'!$B$9:$B$1008,$I900-8)="","",INDEX('Fleet dates'!$B$9:$B$1008,$I900-8)))</x:f>
      </x:c>
      <x:c r="C900" s="51" t="str">
        <x:f>IF(892&gt;$H$4,"",IF(INDEX('Fleet dates'!$C$9:$C$1008,$I900-8)="","",INDEX('Fleet dates'!$C$9:$C$1008,$I900-8)))</x:f>
      </x:c>
      <x:c r="D900" s="51" t="str">
        <x:f>IF(892&gt;$H$4,"",IF(INDEX('Fleet dates'!$D$9:$D$1008,$I900-8)="","",INDEX('Fleet dates'!$D$9:$D$1008,$I900-8)))</x:f>
      </x:c>
      <x:c r="E900" s="51" t="str">
        <x:f>IF(892&gt;$H$4,"",IF(INDEX('Fleet dates'!$E$9:$E$1008,$I900-8)="","",INDEX('Fleet dates'!$E$9:$E$1008,$I900-8)))</x:f>
      </x:c>
      <x:c r="F900" s="51" t="str">
        <x:f>IF(892&gt;$H$4,"",IF(INDEX('Fleet dates'!$F$9:$F$1008,$I900-8)="","",INDEX('Fleet dates'!$F$9:$F$1008,$I900-8)))</x:f>
      </x:c>
      <x:c r="G900" s="50" t="str">
        <x:f>IF(892&gt;$H$4,"",IF(INDEX('Fleet dates'!$G$9:$G$1008,$I900-8)="","",INDEX('Fleet dates'!$G$9:$G$1008,$I900-8)))</x:f>
      </x:c>
      <x:c r="H900" s="50" t="str">
        <x:f>IF(892&gt;$H$4,"",IF(INDEX('Fleet dates'!$I$9:$I$1008,$I900-8)="","",INDEX('Fleet dates'!$I$9:$I$1008,$I900-8)))</x:f>
      </x:c>
      <x:c r="I900" t="str">
        <x:f>IF(892&gt;$H$4,"",MATCH(892,'Fleet dates'!$N$9:$N$1008,0)+8)</x:f>
      </x:c>
    </x:row>
    <x:row r="901" ht="36" customHeight="1">
      <x:c r="A901" s="50" t="str">
        <x:f>IF(893&gt;$H$4,"",IF(INDEX('Fleet dates'!$A$9:$A$1008,$I901-8)="","",INDEX('Fleet dates'!$A$9:$A$1008,$I901-8)))</x:f>
      </x:c>
      <x:c r="B901" s="50" t="str">
        <x:f>IF(893&gt;$H$4,"",IF(INDEX('Fleet dates'!$B$9:$B$1008,$I901-8)="","",INDEX('Fleet dates'!$B$9:$B$1008,$I901-8)))</x:f>
      </x:c>
      <x:c r="C901" s="51" t="str">
        <x:f>IF(893&gt;$H$4,"",IF(INDEX('Fleet dates'!$C$9:$C$1008,$I901-8)="","",INDEX('Fleet dates'!$C$9:$C$1008,$I901-8)))</x:f>
      </x:c>
      <x:c r="D901" s="51" t="str">
        <x:f>IF(893&gt;$H$4,"",IF(INDEX('Fleet dates'!$D$9:$D$1008,$I901-8)="","",INDEX('Fleet dates'!$D$9:$D$1008,$I901-8)))</x:f>
      </x:c>
      <x:c r="E901" s="51" t="str">
        <x:f>IF(893&gt;$H$4,"",IF(INDEX('Fleet dates'!$E$9:$E$1008,$I901-8)="","",INDEX('Fleet dates'!$E$9:$E$1008,$I901-8)))</x:f>
      </x:c>
      <x:c r="F901" s="51" t="str">
        <x:f>IF(893&gt;$H$4,"",IF(INDEX('Fleet dates'!$F$9:$F$1008,$I901-8)="","",INDEX('Fleet dates'!$F$9:$F$1008,$I901-8)))</x:f>
      </x:c>
      <x:c r="G901" s="50" t="str">
        <x:f>IF(893&gt;$H$4,"",IF(INDEX('Fleet dates'!$G$9:$G$1008,$I901-8)="","",INDEX('Fleet dates'!$G$9:$G$1008,$I901-8)))</x:f>
      </x:c>
      <x:c r="H901" s="50" t="str">
        <x:f>IF(893&gt;$H$4,"",IF(INDEX('Fleet dates'!$I$9:$I$1008,$I901-8)="","",INDEX('Fleet dates'!$I$9:$I$1008,$I901-8)))</x:f>
      </x:c>
      <x:c r="I901" t="str">
        <x:f>IF(893&gt;$H$4,"",MATCH(893,'Fleet dates'!$N$9:$N$1008,0)+8)</x:f>
      </x:c>
    </x:row>
    <x:row r="902" ht="36" customHeight="1">
      <x:c r="A902" s="50" t="str">
        <x:f>IF(894&gt;$H$4,"",IF(INDEX('Fleet dates'!$A$9:$A$1008,$I902-8)="","",INDEX('Fleet dates'!$A$9:$A$1008,$I902-8)))</x:f>
      </x:c>
      <x:c r="B902" s="50" t="str">
        <x:f>IF(894&gt;$H$4,"",IF(INDEX('Fleet dates'!$B$9:$B$1008,$I902-8)="","",INDEX('Fleet dates'!$B$9:$B$1008,$I902-8)))</x:f>
      </x:c>
      <x:c r="C902" s="51" t="str">
        <x:f>IF(894&gt;$H$4,"",IF(INDEX('Fleet dates'!$C$9:$C$1008,$I902-8)="","",INDEX('Fleet dates'!$C$9:$C$1008,$I902-8)))</x:f>
      </x:c>
      <x:c r="D902" s="51" t="str">
        <x:f>IF(894&gt;$H$4,"",IF(INDEX('Fleet dates'!$D$9:$D$1008,$I902-8)="","",INDEX('Fleet dates'!$D$9:$D$1008,$I902-8)))</x:f>
      </x:c>
      <x:c r="E902" s="51" t="str">
        <x:f>IF(894&gt;$H$4,"",IF(INDEX('Fleet dates'!$E$9:$E$1008,$I902-8)="","",INDEX('Fleet dates'!$E$9:$E$1008,$I902-8)))</x:f>
      </x:c>
      <x:c r="F902" s="51" t="str">
        <x:f>IF(894&gt;$H$4,"",IF(INDEX('Fleet dates'!$F$9:$F$1008,$I902-8)="","",INDEX('Fleet dates'!$F$9:$F$1008,$I902-8)))</x:f>
      </x:c>
      <x:c r="G902" s="50" t="str">
        <x:f>IF(894&gt;$H$4,"",IF(INDEX('Fleet dates'!$G$9:$G$1008,$I902-8)="","",INDEX('Fleet dates'!$G$9:$G$1008,$I902-8)))</x:f>
      </x:c>
      <x:c r="H902" s="50" t="str">
        <x:f>IF(894&gt;$H$4,"",IF(INDEX('Fleet dates'!$I$9:$I$1008,$I902-8)="","",INDEX('Fleet dates'!$I$9:$I$1008,$I902-8)))</x:f>
      </x:c>
      <x:c r="I902" t="str">
        <x:f>IF(894&gt;$H$4,"",MATCH(894,'Fleet dates'!$N$9:$N$1008,0)+8)</x:f>
      </x:c>
    </x:row>
    <x:row r="903" ht="36" customHeight="1">
      <x:c r="A903" s="50" t="str">
        <x:f>IF(895&gt;$H$4,"",IF(INDEX('Fleet dates'!$A$9:$A$1008,$I903-8)="","",INDEX('Fleet dates'!$A$9:$A$1008,$I903-8)))</x:f>
      </x:c>
      <x:c r="B903" s="50" t="str">
        <x:f>IF(895&gt;$H$4,"",IF(INDEX('Fleet dates'!$B$9:$B$1008,$I903-8)="","",INDEX('Fleet dates'!$B$9:$B$1008,$I903-8)))</x:f>
      </x:c>
      <x:c r="C903" s="51" t="str">
        <x:f>IF(895&gt;$H$4,"",IF(INDEX('Fleet dates'!$C$9:$C$1008,$I903-8)="","",INDEX('Fleet dates'!$C$9:$C$1008,$I903-8)))</x:f>
      </x:c>
      <x:c r="D903" s="51" t="str">
        <x:f>IF(895&gt;$H$4,"",IF(INDEX('Fleet dates'!$D$9:$D$1008,$I903-8)="","",INDEX('Fleet dates'!$D$9:$D$1008,$I903-8)))</x:f>
      </x:c>
      <x:c r="E903" s="51" t="str">
        <x:f>IF(895&gt;$H$4,"",IF(INDEX('Fleet dates'!$E$9:$E$1008,$I903-8)="","",INDEX('Fleet dates'!$E$9:$E$1008,$I903-8)))</x:f>
      </x:c>
      <x:c r="F903" s="51" t="str">
        <x:f>IF(895&gt;$H$4,"",IF(INDEX('Fleet dates'!$F$9:$F$1008,$I903-8)="","",INDEX('Fleet dates'!$F$9:$F$1008,$I903-8)))</x:f>
      </x:c>
      <x:c r="G903" s="50" t="str">
        <x:f>IF(895&gt;$H$4,"",IF(INDEX('Fleet dates'!$G$9:$G$1008,$I903-8)="","",INDEX('Fleet dates'!$G$9:$G$1008,$I903-8)))</x:f>
      </x:c>
      <x:c r="H903" s="50" t="str">
        <x:f>IF(895&gt;$H$4,"",IF(INDEX('Fleet dates'!$I$9:$I$1008,$I903-8)="","",INDEX('Fleet dates'!$I$9:$I$1008,$I903-8)))</x:f>
      </x:c>
      <x:c r="I903" t="str">
        <x:f>IF(895&gt;$H$4,"",MATCH(895,'Fleet dates'!$N$9:$N$1008,0)+8)</x:f>
      </x:c>
    </x:row>
    <x:row r="904" ht="36" customHeight="1">
      <x:c r="A904" s="50" t="str">
        <x:f>IF(896&gt;$H$4,"",IF(INDEX('Fleet dates'!$A$9:$A$1008,$I904-8)="","",INDEX('Fleet dates'!$A$9:$A$1008,$I904-8)))</x:f>
      </x:c>
      <x:c r="B904" s="50" t="str">
        <x:f>IF(896&gt;$H$4,"",IF(INDEX('Fleet dates'!$B$9:$B$1008,$I904-8)="","",INDEX('Fleet dates'!$B$9:$B$1008,$I904-8)))</x:f>
      </x:c>
      <x:c r="C904" s="51" t="str">
        <x:f>IF(896&gt;$H$4,"",IF(INDEX('Fleet dates'!$C$9:$C$1008,$I904-8)="","",INDEX('Fleet dates'!$C$9:$C$1008,$I904-8)))</x:f>
      </x:c>
      <x:c r="D904" s="51" t="str">
        <x:f>IF(896&gt;$H$4,"",IF(INDEX('Fleet dates'!$D$9:$D$1008,$I904-8)="","",INDEX('Fleet dates'!$D$9:$D$1008,$I904-8)))</x:f>
      </x:c>
      <x:c r="E904" s="51" t="str">
        <x:f>IF(896&gt;$H$4,"",IF(INDEX('Fleet dates'!$E$9:$E$1008,$I904-8)="","",INDEX('Fleet dates'!$E$9:$E$1008,$I904-8)))</x:f>
      </x:c>
      <x:c r="F904" s="51" t="str">
        <x:f>IF(896&gt;$H$4,"",IF(INDEX('Fleet dates'!$F$9:$F$1008,$I904-8)="","",INDEX('Fleet dates'!$F$9:$F$1008,$I904-8)))</x:f>
      </x:c>
      <x:c r="G904" s="50" t="str">
        <x:f>IF(896&gt;$H$4,"",IF(INDEX('Fleet dates'!$G$9:$G$1008,$I904-8)="","",INDEX('Fleet dates'!$G$9:$G$1008,$I904-8)))</x:f>
      </x:c>
      <x:c r="H904" s="50" t="str">
        <x:f>IF(896&gt;$H$4,"",IF(INDEX('Fleet dates'!$I$9:$I$1008,$I904-8)="","",INDEX('Fleet dates'!$I$9:$I$1008,$I904-8)))</x:f>
      </x:c>
      <x:c r="I904" t="str">
        <x:f>IF(896&gt;$H$4,"",MATCH(896,'Fleet dates'!$N$9:$N$1008,0)+8)</x:f>
      </x:c>
    </x:row>
    <x:row r="905" ht="36" customHeight="1">
      <x:c r="A905" s="50" t="str">
        <x:f>IF(897&gt;$H$4,"",IF(INDEX('Fleet dates'!$A$9:$A$1008,$I905-8)="","",INDEX('Fleet dates'!$A$9:$A$1008,$I905-8)))</x:f>
      </x:c>
      <x:c r="B905" s="50" t="str">
        <x:f>IF(897&gt;$H$4,"",IF(INDEX('Fleet dates'!$B$9:$B$1008,$I905-8)="","",INDEX('Fleet dates'!$B$9:$B$1008,$I905-8)))</x:f>
      </x:c>
      <x:c r="C905" s="51" t="str">
        <x:f>IF(897&gt;$H$4,"",IF(INDEX('Fleet dates'!$C$9:$C$1008,$I905-8)="","",INDEX('Fleet dates'!$C$9:$C$1008,$I905-8)))</x:f>
      </x:c>
      <x:c r="D905" s="51" t="str">
        <x:f>IF(897&gt;$H$4,"",IF(INDEX('Fleet dates'!$D$9:$D$1008,$I905-8)="","",INDEX('Fleet dates'!$D$9:$D$1008,$I905-8)))</x:f>
      </x:c>
      <x:c r="E905" s="51" t="str">
        <x:f>IF(897&gt;$H$4,"",IF(INDEX('Fleet dates'!$E$9:$E$1008,$I905-8)="","",INDEX('Fleet dates'!$E$9:$E$1008,$I905-8)))</x:f>
      </x:c>
      <x:c r="F905" s="51" t="str">
        <x:f>IF(897&gt;$H$4,"",IF(INDEX('Fleet dates'!$F$9:$F$1008,$I905-8)="","",INDEX('Fleet dates'!$F$9:$F$1008,$I905-8)))</x:f>
      </x:c>
      <x:c r="G905" s="50" t="str">
        <x:f>IF(897&gt;$H$4,"",IF(INDEX('Fleet dates'!$G$9:$G$1008,$I905-8)="","",INDEX('Fleet dates'!$G$9:$G$1008,$I905-8)))</x:f>
      </x:c>
      <x:c r="H905" s="50" t="str">
        <x:f>IF(897&gt;$H$4,"",IF(INDEX('Fleet dates'!$I$9:$I$1008,$I905-8)="","",INDEX('Fleet dates'!$I$9:$I$1008,$I905-8)))</x:f>
      </x:c>
      <x:c r="I905" t="str">
        <x:f>IF(897&gt;$H$4,"",MATCH(897,'Fleet dates'!$N$9:$N$1008,0)+8)</x:f>
      </x:c>
    </x:row>
    <x:row r="906" ht="36" customHeight="1">
      <x:c r="A906" s="50" t="str">
        <x:f>IF(898&gt;$H$4,"",IF(INDEX('Fleet dates'!$A$9:$A$1008,$I906-8)="","",INDEX('Fleet dates'!$A$9:$A$1008,$I906-8)))</x:f>
      </x:c>
      <x:c r="B906" s="50" t="str">
        <x:f>IF(898&gt;$H$4,"",IF(INDEX('Fleet dates'!$B$9:$B$1008,$I906-8)="","",INDEX('Fleet dates'!$B$9:$B$1008,$I906-8)))</x:f>
      </x:c>
      <x:c r="C906" s="51" t="str">
        <x:f>IF(898&gt;$H$4,"",IF(INDEX('Fleet dates'!$C$9:$C$1008,$I906-8)="","",INDEX('Fleet dates'!$C$9:$C$1008,$I906-8)))</x:f>
      </x:c>
      <x:c r="D906" s="51" t="str">
        <x:f>IF(898&gt;$H$4,"",IF(INDEX('Fleet dates'!$D$9:$D$1008,$I906-8)="","",INDEX('Fleet dates'!$D$9:$D$1008,$I906-8)))</x:f>
      </x:c>
      <x:c r="E906" s="51" t="str">
        <x:f>IF(898&gt;$H$4,"",IF(INDEX('Fleet dates'!$E$9:$E$1008,$I906-8)="","",INDEX('Fleet dates'!$E$9:$E$1008,$I906-8)))</x:f>
      </x:c>
      <x:c r="F906" s="51" t="str">
        <x:f>IF(898&gt;$H$4,"",IF(INDEX('Fleet dates'!$F$9:$F$1008,$I906-8)="","",INDEX('Fleet dates'!$F$9:$F$1008,$I906-8)))</x:f>
      </x:c>
      <x:c r="G906" s="50" t="str">
        <x:f>IF(898&gt;$H$4,"",IF(INDEX('Fleet dates'!$G$9:$G$1008,$I906-8)="","",INDEX('Fleet dates'!$G$9:$G$1008,$I906-8)))</x:f>
      </x:c>
      <x:c r="H906" s="50" t="str">
        <x:f>IF(898&gt;$H$4,"",IF(INDEX('Fleet dates'!$I$9:$I$1008,$I906-8)="","",INDEX('Fleet dates'!$I$9:$I$1008,$I906-8)))</x:f>
      </x:c>
      <x:c r="I906" t="str">
        <x:f>IF(898&gt;$H$4,"",MATCH(898,'Fleet dates'!$N$9:$N$1008,0)+8)</x:f>
      </x:c>
    </x:row>
    <x:row r="907" ht="36" customHeight="1">
      <x:c r="A907" s="50" t="str">
        <x:f>IF(899&gt;$H$4,"",IF(INDEX('Fleet dates'!$A$9:$A$1008,$I907-8)="","",INDEX('Fleet dates'!$A$9:$A$1008,$I907-8)))</x:f>
      </x:c>
      <x:c r="B907" s="50" t="str">
        <x:f>IF(899&gt;$H$4,"",IF(INDEX('Fleet dates'!$B$9:$B$1008,$I907-8)="","",INDEX('Fleet dates'!$B$9:$B$1008,$I907-8)))</x:f>
      </x:c>
      <x:c r="C907" s="51" t="str">
        <x:f>IF(899&gt;$H$4,"",IF(INDEX('Fleet dates'!$C$9:$C$1008,$I907-8)="","",INDEX('Fleet dates'!$C$9:$C$1008,$I907-8)))</x:f>
      </x:c>
      <x:c r="D907" s="51" t="str">
        <x:f>IF(899&gt;$H$4,"",IF(INDEX('Fleet dates'!$D$9:$D$1008,$I907-8)="","",INDEX('Fleet dates'!$D$9:$D$1008,$I907-8)))</x:f>
      </x:c>
      <x:c r="E907" s="51" t="str">
        <x:f>IF(899&gt;$H$4,"",IF(INDEX('Fleet dates'!$E$9:$E$1008,$I907-8)="","",INDEX('Fleet dates'!$E$9:$E$1008,$I907-8)))</x:f>
      </x:c>
      <x:c r="F907" s="51" t="str">
        <x:f>IF(899&gt;$H$4,"",IF(INDEX('Fleet dates'!$F$9:$F$1008,$I907-8)="","",INDEX('Fleet dates'!$F$9:$F$1008,$I907-8)))</x:f>
      </x:c>
      <x:c r="G907" s="50" t="str">
        <x:f>IF(899&gt;$H$4,"",IF(INDEX('Fleet dates'!$G$9:$G$1008,$I907-8)="","",INDEX('Fleet dates'!$G$9:$G$1008,$I907-8)))</x:f>
      </x:c>
      <x:c r="H907" s="50" t="str">
        <x:f>IF(899&gt;$H$4,"",IF(INDEX('Fleet dates'!$I$9:$I$1008,$I907-8)="","",INDEX('Fleet dates'!$I$9:$I$1008,$I907-8)))</x:f>
      </x:c>
      <x:c r="I907" t="str">
        <x:f>IF(899&gt;$H$4,"",MATCH(899,'Fleet dates'!$N$9:$N$1008,0)+8)</x:f>
      </x:c>
    </x:row>
    <x:row r="908" ht="36" customHeight="1">
      <x:c r="A908" s="50" t="str">
        <x:f>IF(900&gt;$H$4,"",IF(INDEX('Fleet dates'!$A$9:$A$1008,$I908-8)="","",INDEX('Fleet dates'!$A$9:$A$1008,$I908-8)))</x:f>
      </x:c>
      <x:c r="B908" s="50" t="str">
        <x:f>IF(900&gt;$H$4,"",IF(INDEX('Fleet dates'!$B$9:$B$1008,$I908-8)="","",INDEX('Fleet dates'!$B$9:$B$1008,$I908-8)))</x:f>
      </x:c>
      <x:c r="C908" s="51" t="str">
        <x:f>IF(900&gt;$H$4,"",IF(INDEX('Fleet dates'!$C$9:$C$1008,$I908-8)="","",INDEX('Fleet dates'!$C$9:$C$1008,$I908-8)))</x:f>
      </x:c>
      <x:c r="D908" s="51" t="str">
        <x:f>IF(900&gt;$H$4,"",IF(INDEX('Fleet dates'!$D$9:$D$1008,$I908-8)="","",INDEX('Fleet dates'!$D$9:$D$1008,$I908-8)))</x:f>
      </x:c>
      <x:c r="E908" s="51" t="str">
        <x:f>IF(900&gt;$H$4,"",IF(INDEX('Fleet dates'!$E$9:$E$1008,$I908-8)="","",INDEX('Fleet dates'!$E$9:$E$1008,$I908-8)))</x:f>
      </x:c>
      <x:c r="F908" s="51" t="str">
        <x:f>IF(900&gt;$H$4,"",IF(INDEX('Fleet dates'!$F$9:$F$1008,$I908-8)="","",INDEX('Fleet dates'!$F$9:$F$1008,$I908-8)))</x:f>
      </x:c>
      <x:c r="G908" s="50" t="str">
        <x:f>IF(900&gt;$H$4,"",IF(INDEX('Fleet dates'!$G$9:$G$1008,$I908-8)="","",INDEX('Fleet dates'!$G$9:$G$1008,$I908-8)))</x:f>
      </x:c>
      <x:c r="H908" s="50" t="str">
        <x:f>IF(900&gt;$H$4,"",IF(INDEX('Fleet dates'!$I$9:$I$1008,$I908-8)="","",INDEX('Fleet dates'!$I$9:$I$1008,$I908-8)))</x:f>
      </x:c>
      <x:c r="I908" t="str">
        <x:f>IF(900&gt;$H$4,"",MATCH(900,'Fleet dates'!$N$9:$N$1008,0)+8)</x:f>
      </x:c>
    </x:row>
    <x:row r="909" ht="36" customHeight="1">
      <x:c r="A909" s="50" t="str">
        <x:f>IF(901&gt;$H$4,"",IF(INDEX('Fleet dates'!$A$9:$A$1008,$I909-8)="","",INDEX('Fleet dates'!$A$9:$A$1008,$I909-8)))</x:f>
      </x:c>
      <x:c r="B909" s="50" t="str">
        <x:f>IF(901&gt;$H$4,"",IF(INDEX('Fleet dates'!$B$9:$B$1008,$I909-8)="","",INDEX('Fleet dates'!$B$9:$B$1008,$I909-8)))</x:f>
      </x:c>
      <x:c r="C909" s="51" t="str">
        <x:f>IF(901&gt;$H$4,"",IF(INDEX('Fleet dates'!$C$9:$C$1008,$I909-8)="","",INDEX('Fleet dates'!$C$9:$C$1008,$I909-8)))</x:f>
      </x:c>
      <x:c r="D909" s="51" t="str">
        <x:f>IF(901&gt;$H$4,"",IF(INDEX('Fleet dates'!$D$9:$D$1008,$I909-8)="","",INDEX('Fleet dates'!$D$9:$D$1008,$I909-8)))</x:f>
      </x:c>
      <x:c r="E909" s="51" t="str">
        <x:f>IF(901&gt;$H$4,"",IF(INDEX('Fleet dates'!$E$9:$E$1008,$I909-8)="","",INDEX('Fleet dates'!$E$9:$E$1008,$I909-8)))</x:f>
      </x:c>
      <x:c r="F909" s="51" t="str">
        <x:f>IF(901&gt;$H$4,"",IF(INDEX('Fleet dates'!$F$9:$F$1008,$I909-8)="","",INDEX('Fleet dates'!$F$9:$F$1008,$I909-8)))</x:f>
      </x:c>
      <x:c r="G909" s="50" t="str">
        <x:f>IF(901&gt;$H$4,"",IF(INDEX('Fleet dates'!$G$9:$G$1008,$I909-8)="","",INDEX('Fleet dates'!$G$9:$G$1008,$I909-8)))</x:f>
      </x:c>
      <x:c r="H909" s="50" t="str">
        <x:f>IF(901&gt;$H$4,"",IF(INDEX('Fleet dates'!$I$9:$I$1008,$I909-8)="","",INDEX('Fleet dates'!$I$9:$I$1008,$I909-8)))</x:f>
      </x:c>
      <x:c r="I909" t="str">
        <x:f>IF(901&gt;$H$4,"",MATCH(901,'Fleet dates'!$N$9:$N$1008,0)+8)</x:f>
      </x:c>
    </x:row>
    <x:row r="910" ht="36" customHeight="1">
      <x:c r="A910" s="50" t="str">
        <x:f>IF(902&gt;$H$4,"",IF(INDEX('Fleet dates'!$A$9:$A$1008,$I910-8)="","",INDEX('Fleet dates'!$A$9:$A$1008,$I910-8)))</x:f>
      </x:c>
      <x:c r="B910" s="50" t="str">
        <x:f>IF(902&gt;$H$4,"",IF(INDEX('Fleet dates'!$B$9:$B$1008,$I910-8)="","",INDEX('Fleet dates'!$B$9:$B$1008,$I910-8)))</x:f>
      </x:c>
      <x:c r="C910" s="51" t="str">
        <x:f>IF(902&gt;$H$4,"",IF(INDEX('Fleet dates'!$C$9:$C$1008,$I910-8)="","",INDEX('Fleet dates'!$C$9:$C$1008,$I910-8)))</x:f>
      </x:c>
      <x:c r="D910" s="51" t="str">
        <x:f>IF(902&gt;$H$4,"",IF(INDEX('Fleet dates'!$D$9:$D$1008,$I910-8)="","",INDEX('Fleet dates'!$D$9:$D$1008,$I910-8)))</x:f>
      </x:c>
      <x:c r="E910" s="51" t="str">
        <x:f>IF(902&gt;$H$4,"",IF(INDEX('Fleet dates'!$E$9:$E$1008,$I910-8)="","",INDEX('Fleet dates'!$E$9:$E$1008,$I910-8)))</x:f>
      </x:c>
      <x:c r="F910" s="51" t="str">
        <x:f>IF(902&gt;$H$4,"",IF(INDEX('Fleet dates'!$F$9:$F$1008,$I910-8)="","",INDEX('Fleet dates'!$F$9:$F$1008,$I910-8)))</x:f>
      </x:c>
      <x:c r="G910" s="50" t="str">
        <x:f>IF(902&gt;$H$4,"",IF(INDEX('Fleet dates'!$G$9:$G$1008,$I910-8)="","",INDEX('Fleet dates'!$G$9:$G$1008,$I910-8)))</x:f>
      </x:c>
      <x:c r="H910" s="50" t="str">
        <x:f>IF(902&gt;$H$4,"",IF(INDEX('Fleet dates'!$I$9:$I$1008,$I910-8)="","",INDEX('Fleet dates'!$I$9:$I$1008,$I910-8)))</x:f>
      </x:c>
      <x:c r="I910" t="str">
        <x:f>IF(902&gt;$H$4,"",MATCH(902,'Fleet dates'!$N$9:$N$1008,0)+8)</x:f>
      </x:c>
    </x:row>
    <x:row r="911" ht="36" customHeight="1">
      <x:c r="A911" s="50" t="str">
        <x:f>IF(903&gt;$H$4,"",IF(INDEX('Fleet dates'!$A$9:$A$1008,$I911-8)="","",INDEX('Fleet dates'!$A$9:$A$1008,$I911-8)))</x:f>
      </x:c>
      <x:c r="B911" s="50" t="str">
        <x:f>IF(903&gt;$H$4,"",IF(INDEX('Fleet dates'!$B$9:$B$1008,$I911-8)="","",INDEX('Fleet dates'!$B$9:$B$1008,$I911-8)))</x:f>
      </x:c>
      <x:c r="C911" s="51" t="str">
        <x:f>IF(903&gt;$H$4,"",IF(INDEX('Fleet dates'!$C$9:$C$1008,$I911-8)="","",INDEX('Fleet dates'!$C$9:$C$1008,$I911-8)))</x:f>
      </x:c>
      <x:c r="D911" s="51" t="str">
        <x:f>IF(903&gt;$H$4,"",IF(INDEX('Fleet dates'!$D$9:$D$1008,$I911-8)="","",INDEX('Fleet dates'!$D$9:$D$1008,$I911-8)))</x:f>
      </x:c>
      <x:c r="E911" s="51" t="str">
        <x:f>IF(903&gt;$H$4,"",IF(INDEX('Fleet dates'!$E$9:$E$1008,$I911-8)="","",INDEX('Fleet dates'!$E$9:$E$1008,$I911-8)))</x:f>
      </x:c>
      <x:c r="F911" s="51" t="str">
        <x:f>IF(903&gt;$H$4,"",IF(INDEX('Fleet dates'!$F$9:$F$1008,$I911-8)="","",INDEX('Fleet dates'!$F$9:$F$1008,$I911-8)))</x:f>
      </x:c>
      <x:c r="G911" s="50" t="str">
        <x:f>IF(903&gt;$H$4,"",IF(INDEX('Fleet dates'!$G$9:$G$1008,$I911-8)="","",INDEX('Fleet dates'!$G$9:$G$1008,$I911-8)))</x:f>
      </x:c>
      <x:c r="H911" s="50" t="str">
        <x:f>IF(903&gt;$H$4,"",IF(INDEX('Fleet dates'!$I$9:$I$1008,$I911-8)="","",INDEX('Fleet dates'!$I$9:$I$1008,$I911-8)))</x:f>
      </x:c>
      <x:c r="I911" t="str">
        <x:f>IF(903&gt;$H$4,"",MATCH(903,'Fleet dates'!$N$9:$N$1008,0)+8)</x:f>
      </x:c>
    </x:row>
    <x:row r="912" ht="36" customHeight="1">
      <x:c r="A912" s="50" t="str">
        <x:f>IF(904&gt;$H$4,"",IF(INDEX('Fleet dates'!$A$9:$A$1008,$I912-8)="","",INDEX('Fleet dates'!$A$9:$A$1008,$I912-8)))</x:f>
      </x:c>
      <x:c r="B912" s="50" t="str">
        <x:f>IF(904&gt;$H$4,"",IF(INDEX('Fleet dates'!$B$9:$B$1008,$I912-8)="","",INDEX('Fleet dates'!$B$9:$B$1008,$I912-8)))</x:f>
      </x:c>
      <x:c r="C912" s="51" t="str">
        <x:f>IF(904&gt;$H$4,"",IF(INDEX('Fleet dates'!$C$9:$C$1008,$I912-8)="","",INDEX('Fleet dates'!$C$9:$C$1008,$I912-8)))</x:f>
      </x:c>
      <x:c r="D912" s="51" t="str">
        <x:f>IF(904&gt;$H$4,"",IF(INDEX('Fleet dates'!$D$9:$D$1008,$I912-8)="","",INDEX('Fleet dates'!$D$9:$D$1008,$I912-8)))</x:f>
      </x:c>
      <x:c r="E912" s="51" t="str">
        <x:f>IF(904&gt;$H$4,"",IF(INDEX('Fleet dates'!$E$9:$E$1008,$I912-8)="","",INDEX('Fleet dates'!$E$9:$E$1008,$I912-8)))</x:f>
      </x:c>
      <x:c r="F912" s="51" t="str">
        <x:f>IF(904&gt;$H$4,"",IF(INDEX('Fleet dates'!$F$9:$F$1008,$I912-8)="","",INDEX('Fleet dates'!$F$9:$F$1008,$I912-8)))</x:f>
      </x:c>
      <x:c r="G912" s="50" t="str">
        <x:f>IF(904&gt;$H$4,"",IF(INDEX('Fleet dates'!$G$9:$G$1008,$I912-8)="","",INDEX('Fleet dates'!$G$9:$G$1008,$I912-8)))</x:f>
      </x:c>
      <x:c r="H912" s="50" t="str">
        <x:f>IF(904&gt;$H$4,"",IF(INDEX('Fleet dates'!$I$9:$I$1008,$I912-8)="","",INDEX('Fleet dates'!$I$9:$I$1008,$I912-8)))</x:f>
      </x:c>
      <x:c r="I912" t="str">
        <x:f>IF(904&gt;$H$4,"",MATCH(904,'Fleet dates'!$N$9:$N$1008,0)+8)</x:f>
      </x:c>
    </x:row>
    <x:row r="913" ht="36" customHeight="1">
      <x:c r="A913" s="50" t="str">
        <x:f>IF(905&gt;$H$4,"",IF(INDEX('Fleet dates'!$A$9:$A$1008,$I913-8)="","",INDEX('Fleet dates'!$A$9:$A$1008,$I913-8)))</x:f>
      </x:c>
      <x:c r="B913" s="50" t="str">
        <x:f>IF(905&gt;$H$4,"",IF(INDEX('Fleet dates'!$B$9:$B$1008,$I913-8)="","",INDEX('Fleet dates'!$B$9:$B$1008,$I913-8)))</x:f>
      </x:c>
      <x:c r="C913" s="51" t="str">
        <x:f>IF(905&gt;$H$4,"",IF(INDEX('Fleet dates'!$C$9:$C$1008,$I913-8)="","",INDEX('Fleet dates'!$C$9:$C$1008,$I913-8)))</x:f>
      </x:c>
      <x:c r="D913" s="51" t="str">
        <x:f>IF(905&gt;$H$4,"",IF(INDEX('Fleet dates'!$D$9:$D$1008,$I913-8)="","",INDEX('Fleet dates'!$D$9:$D$1008,$I913-8)))</x:f>
      </x:c>
      <x:c r="E913" s="51" t="str">
        <x:f>IF(905&gt;$H$4,"",IF(INDEX('Fleet dates'!$E$9:$E$1008,$I913-8)="","",INDEX('Fleet dates'!$E$9:$E$1008,$I913-8)))</x:f>
      </x:c>
      <x:c r="F913" s="51" t="str">
        <x:f>IF(905&gt;$H$4,"",IF(INDEX('Fleet dates'!$F$9:$F$1008,$I913-8)="","",INDEX('Fleet dates'!$F$9:$F$1008,$I913-8)))</x:f>
      </x:c>
      <x:c r="G913" s="50" t="str">
        <x:f>IF(905&gt;$H$4,"",IF(INDEX('Fleet dates'!$G$9:$G$1008,$I913-8)="","",INDEX('Fleet dates'!$G$9:$G$1008,$I913-8)))</x:f>
      </x:c>
      <x:c r="H913" s="50" t="str">
        <x:f>IF(905&gt;$H$4,"",IF(INDEX('Fleet dates'!$I$9:$I$1008,$I913-8)="","",INDEX('Fleet dates'!$I$9:$I$1008,$I913-8)))</x:f>
      </x:c>
      <x:c r="I913" t="str">
        <x:f>IF(905&gt;$H$4,"",MATCH(905,'Fleet dates'!$N$9:$N$1008,0)+8)</x:f>
      </x:c>
    </x:row>
    <x:row r="914" ht="36" customHeight="1">
      <x:c r="A914" s="50" t="str">
        <x:f>IF(906&gt;$H$4,"",IF(INDEX('Fleet dates'!$A$9:$A$1008,$I914-8)="","",INDEX('Fleet dates'!$A$9:$A$1008,$I914-8)))</x:f>
      </x:c>
      <x:c r="B914" s="50" t="str">
        <x:f>IF(906&gt;$H$4,"",IF(INDEX('Fleet dates'!$B$9:$B$1008,$I914-8)="","",INDEX('Fleet dates'!$B$9:$B$1008,$I914-8)))</x:f>
      </x:c>
      <x:c r="C914" s="51" t="str">
        <x:f>IF(906&gt;$H$4,"",IF(INDEX('Fleet dates'!$C$9:$C$1008,$I914-8)="","",INDEX('Fleet dates'!$C$9:$C$1008,$I914-8)))</x:f>
      </x:c>
      <x:c r="D914" s="51" t="str">
        <x:f>IF(906&gt;$H$4,"",IF(INDEX('Fleet dates'!$D$9:$D$1008,$I914-8)="","",INDEX('Fleet dates'!$D$9:$D$1008,$I914-8)))</x:f>
      </x:c>
      <x:c r="E914" s="51" t="str">
        <x:f>IF(906&gt;$H$4,"",IF(INDEX('Fleet dates'!$E$9:$E$1008,$I914-8)="","",INDEX('Fleet dates'!$E$9:$E$1008,$I914-8)))</x:f>
      </x:c>
      <x:c r="F914" s="51" t="str">
        <x:f>IF(906&gt;$H$4,"",IF(INDEX('Fleet dates'!$F$9:$F$1008,$I914-8)="","",INDEX('Fleet dates'!$F$9:$F$1008,$I914-8)))</x:f>
      </x:c>
      <x:c r="G914" s="50" t="str">
        <x:f>IF(906&gt;$H$4,"",IF(INDEX('Fleet dates'!$G$9:$G$1008,$I914-8)="","",INDEX('Fleet dates'!$G$9:$G$1008,$I914-8)))</x:f>
      </x:c>
      <x:c r="H914" s="50" t="str">
        <x:f>IF(906&gt;$H$4,"",IF(INDEX('Fleet dates'!$I$9:$I$1008,$I914-8)="","",INDEX('Fleet dates'!$I$9:$I$1008,$I914-8)))</x:f>
      </x:c>
      <x:c r="I914" t="str">
        <x:f>IF(906&gt;$H$4,"",MATCH(906,'Fleet dates'!$N$9:$N$1008,0)+8)</x:f>
      </x:c>
    </x:row>
    <x:row r="915" ht="36" customHeight="1">
      <x:c r="A915" s="50" t="str">
        <x:f>IF(907&gt;$H$4,"",IF(INDEX('Fleet dates'!$A$9:$A$1008,$I915-8)="","",INDEX('Fleet dates'!$A$9:$A$1008,$I915-8)))</x:f>
      </x:c>
      <x:c r="B915" s="50" t="str">
        <x:f>IF(907&gt;$H$4,"",IF(INDEX('Fleet dates'!$B$9:$B$1008,$I915-8)="","",INDEX('Fleet dates'!$B$9:$B$1008,$I915-8)))</x:f>
      </x:c>
      <x:c r="C915" s="51" t="str">
        <x:f>IF(907&gt;$H$4,"",IF(INDEX('Fleet dates'!$C$9:$C$1008,$I915-8)="","",INDEX('Fleet dates'!$C$9:$C$1008,$I915-8)))</x:f>
      </x:c>
      <x:c r="D915" s="51" t="str">
        <x:f>IF(907&gt;$H$4,"",IF(INDEX('Fleet dates'!$D$9:$D$1008,$I915-8)="","",INDEX('Fleet dates'!$D$9:$D$1008,$I915-8)))</x:f>
      </x:c>
      <x:c r="E915" s="51" t="str">
        <x:f>IF(907&gt;$H$4,"",IF(INDEX('Fleet dates'!$E$9:$E$1008,$I915-8)="","",INDEX('Fleet dates'!$E$9:$E$1008,$I915-8)))</x:f>
      </x:c>
      <x:c r="F915" s="51" t="str">
        <x:f>IF(907&gt;$H$4,"",IF(INDEX('Fleet dates'!$F$9:$F$1008,$I915-8)="","",INDEX('Fleet dates'!$F$9:$F$1008,$I915-8)))</x:f>
      </x:c>
      <x:c r="G915" s="50" t="str">
        <x:f>IF(907&gt;$H$4,"",IF(INDEX('Fleet dates'!$G$9:$G$1008,$I915-8)="","",INDEX('Fleet dates'!$G$9:$G$1008,$I915-8)))</x:f>
      </x:c>
      <x:c r="H915" s="50" t="str">
        <x:f>IF(907&gt;$H$4,"",IF(INDEX('Fleet dates'!$I$9:$I$1008,$I915-8)="","",INDEX('Fleet dates'!$I$9:$I$1008,$I915-8)))</x:f>
      </x:c>
      <x:c r="I915" t="str">
        <x:f>IF(907&gt;$H$4,"",MATCH(907,'Fleet dates'!$N$9:$N$1008,0)+8)</x:f>
      </x:c>
    </x:row>
    <x:row r="916" ht="36" customHeight="1">
      <x:c r="A916" s="50" t="str">
        <x:f>IF(908&gt;$H$4,"",IF(INDEX('Fleet dates'!$A$9:$A$1008,$I916-8)="","",INDEX('Fleet dates'!$A$9:$A$1008,$I916-8)))</x:f>
      </x:c>
      <x:c r="B916" s="50" t="str">
        <x:f>IF(908&gt;$H$4,"",IF(INDEX('Fleet dates'!$B$9:$B$1008,$I916-8)="","",INDEX('Fleet dates'!$B$9:$B$1008,$I916-8)))</x:f>
      </x:c>
      <x:c r="C916" s="51" t="str">
        <x:f>IF(908&gt;$H$4,"",IF(INDEX('Fleet dates'!$C$9:$C$1008,$I916-8)="","",INDEX('Fleet dates'!$C$9:$C$1008,$I916-8)))</x:f>
      </x:c>
      <x:c r="D916" s="51" t="str">
        <x:f>IF(908&gt;$H$4,"",IF(INDEX('Fleet dates'!$D$9:$D$1008,$I916-8)="","",INDEX('Fleet dates'!$D$9:$D$1008,$I916-8)))</x:f>
      </x:c>
      <x:c r="E916" s="51" t="str">
        <x:f>IF(908&gt;$H$4,"",IF(INDEX('Fleet dates'!$E$9:$E$1008,$I916-8)="","",INDEX('Fleet dates'!$E$9:$E$1008,$I916-8)))</x:f>
      </x:c>
      <x:c r="F916" s="51" t="str">
        <x:f>IF(908&gt;$H$4,"",IF(INDEX('Fleet dates'!$F$9:$F$1008,$I916-8)="","",INDEX('Fleet dates'!$F$9:$F$1008,$I916-8)))</x:f>
      </x:c>
      <x:c r="G916" s="50" t="str">
        <x:f>IF(908&gt;$H$4,"",IF(INDEX('Fleet dates'!$G$9:$G$1008,$I916-8)="","",INDEX('Fleet dates'!$G$9:$G$1008,$I916-8)))</x:f>
      </x:c>
      <x:c r="H916" s="50" t="str">
        <x:f>IF(908&gt;$H$4,"",IF(INDEX('Fleet dates'!$I$9:$I$1008,$I916-8)="","",INDEX('Fleet dates'!$I$9:$I$1008,$I916-8)))</x:f>
      </x:c>
      <x:c r="I916" t="str">
        <x:f>IF(908&gt;$H$4,"",MATCH(908,'Fleet dates'!$N$9:$N$1008,0)+8)</x:f>
      </x:c>
    </x:row>
    <x:row r="917" ht="36" customHeight="1">
      <x:c r="A917" s="50" t="str">
        <x:f>IF(909&gt;$H$4,"",IF(INDEX('Fleet dates'!$A$9:$A$1008,$I917-8)="","",INDEX('Fleet dates'!$A$9:$A$1008,$I917-8)))</x:f>
      </x:c>
      <x:c r="B917" s="50" t="str">
        <x:f>IF(909&gt;$H$4,"",IF(INDEX('Fleet dates'!$B$9:$B$1008,$I917-8)="","",INDEX('Fleet dates'!$B$9:$B$1008,$I917-8)))</x:f>
      </x:c>
      <x:c r="C917" s="51" t="str">
        <x:f>IF(909&gt;$H$4,"",IF(INDEX('Fleet dates'!$C$9:$C$1008,$I917-8)="","",INDEX('Fleet dates'!$C$9:$C$1008,$I917-8)))</x:f>
      </x:c>
      <x:c r="D917" s="51" t="str">
        <x:f>IF(909&gt;$H$4,"",IF(INDEX('Fleet dates'!$D$9:$D$1008,$I917-8)="","",INDEX('Fleet dates'!$D$9:$D$1008,$I917-8)))</x:f>
      </x:c>
      <x:c r="E917" s="51" t="str">
        <x:f>IF(909&gt;$H$4,"",IF(INDEX('Fleet dates'!$E$9:$E$1008,$I917-8)="","",INDEX('Fleet dates'!$E$9:$E$1008,$I917-8)))</x:f>
      </x:c>
      <x:c r="F917" s="51" t="str">
        <x:f>IF(909&gt;$H$4,"",IF(INDEX('Fleet dates'!$F$9:$F$1008,$I917-8)="","",INDEX('Fleet dates'!$F$9:$F$1008,$I917-8)))</x:f>
      </x:c>
      <x:c r="G917" s="50" t="str">
        <x:f>IF(909&gt;$H$4,"",IF(INDEX('Fleet dates'!$G$9:$G$1008,$I917-8)="","",INDEX('Fleet dates'!$G$9:$G$1008,$I917-8)))</x:f>
      </x:c>
      <x:c r="H917" s="50" t="str">
        <x:f>IF(909&gt;$H$4,"",IF(INDEX('Fleet dates'!$I$9:$I$1008,$I917-8)="","",INDEX('Fleet dates'!$I$9:$I$1008,$I917-8)))</x:f>
      </x:c>
      <x:c r="I917" t="str">
        <x:f>IF(909&gt;$H$4,"",MATCH(909,'Fleet dates'!$N$9:$N$1008,0)+8)</x:f>
      </x:c>
    </x:row>
    <x:row r="918" ht="36" customHeight="1">
      <x:c r="A918" s="50" t="str">
        <x:f>IF(910&gt;$H$4,"",IF(INDEX('Fleet dates'!$A$9:$A$1008,$I918-8)="","",INDEX('Fleet dates'!$A$9:$A$1008,$I918-8)))</x:f>
      </x:c>
      <x:c r="B918" s="50" t="str">
        <x:f>IF(910&gt;$H$4,"",IF(INDEX('Fleet dates'!$B$9:$B$1008,$I918-8)="","",INDEX('Fleet dates'!$B$9:$B$1008,$I918-8)))</x:f>
      </x:c>
      <x:c r="C918" s="51" t="str">
        <x:f>IF(910&gt;$H$4,"",IF(INDEX('Fleet dates'!$C$9:$C$1008,$I918-8)="","",INDEX('Fleet dates'!$C$9:$C$1008,$I918-8)))</x:f>
      </x:c>
      <x:c r="D918" s="51" t="str">
        <x:f>IF(910&gt;$H$4,"",IF(INDEX('Fleet dates'!$D$9:$D$1008,$I918-8)="","",INDEX('Fleet dates'!$D$9:$D$1008,$I918-8)))</x:f>
      </x:c>
      <x:c r="E918" s="51" t="str">
        <x:f>IF(910&gt;$H$4,"",IF(INDEX('Fleet dates'!$E$9:$E$1008,$I918-8)="","",INDEX('Fleet dates'!$E$9:$E$1008,$I918-8)))</x:f>
      </x:c>
      <x:c r="F918" s="51" t="str">
        <x:f>IF(910&gt;$H$4,"",IF(INDEX('Fleet dates'!$F$9:$F$1008,$I918-8)="","",INDEX('Fleet dates'!$F$9:$F$1008,$I918-8)))</x:f>
      </x:c>
      <x:c r="G918" s="50" t="str">
        <x:f>IF(910&gt;$H$4,"",IF(INDEX('Fleet dates'!$G$9:$G$1008,$I918-8)="","",INDEX('Fleet dates'!$G$9:$G$1008,$I918-8)))</x:f>
      </x:c>
      <x:c r="H918" s="50" t="str">
        <x:f>IF(910&gt;$H$4,"",IF(INDEX('Fleet dates'!$I$9:$I$1008,$I918-8)="","",INDEX('Fleet dates'!$I$9:$I$1008,$I918-8)))</x:f>
      </x:c>
      <x:c r="I918" t="str">
        <x:f>IF(910&gt;$H$4,"",MATCH(910,'Fleet dates'!$N$9:$N$1008,0)+8)</x:f>
      </x:c>
    </x:row>
    <x:row r="919" ht="36" customHeight="1">
      <x:c r="A919" s="50" t="str">
        <x:f>IF(911&gt;$H$4,"",IF(INDEX('Fleet dates'!$A$9:$A$1008,$I919-8)="","",INDEX('Fleet dates'!$A$9:$A$1008,$I919-8)))</x:f>
      </x:c>
      <x:c r="B919" s="50" t="str">
        <x:f>IF(911&gt;$H$4,"",IF(INDEX('Fleet dates'!$B$9:$B$1008,$I919-8)="","",INDEX('Fleet dates'!$B$9:$B$1008,$I919-8)))</x:f>
      </x:c>
      <x:c r="C919" s="51" t="str">
        <x:f>IF(911&gt;$H$4,"",IF(INDEX('Fleet dates'!$C$9:$C$1008,$I919-8)="","",INDEX('Fleet dates'!$C$9:$C$1008,$I919-8)))</x:f>
      </x:c>
      <x:c r="D919" s="51" t="str">
        <x:f>IF(911&gt;$H$4,"",IF(INDEX('Fleet dates'!$D$9:$D$1008,$I919-8)="","",INDEX('Fleet dates'!$D$9:$D$1008,$I919-8)))</x:f>
      </x:c>
      <x:c r="E919" s="51" t="str">
        <x:f>IF(911&gt;$H$4,"",IF(INDEX('Fleet dates'!$E$9:$E$1008,$I919-8)="","",INDEX('Fleet dates'!$E$9:$E$1008,$I919-8)))</x:f>
      </x:c>
      <x:c r="F919" s="51" t="str">
        <x:f>IF(911&gt;$H$4,"",IF(INDEX('Fleet dates'!$F$9:$F$1008,$I919-8)="","",INDEX('Fleet dates'!$F$9:$F$1008,$I919-8)))</x:f>
      </x:c>
      <x:c r="G919" s="50" t="str">
        <x:f>IF(911&gt;$H$4,"",IF(INDEX('Fleet dates'!$G$9:$G$1008,$I919-8)="","",INDEX('Fleet dates'!$G$9:$G$1008,$I919-8)))</x:f>
      </x:c>
      <x:c r="H919" s="50" t="str">
        <x:f>IF(911&gt;$H$4,"",IF(INDEX('Fleet dates'!$I$9:$I$1008,$I919-8)="","",INDEX('Fleet dates'!$I$9:$I$1008,$I919-8)))</x:f>
      </x:c>
      <x:c r="I919" t="str">
        <x:f>IF(911&gt;$H$4,"",MATCH(911,'Fleet dates'!$N$9:$N$1008,0)+8)</x:f>
      </x:c>
    </x:row>
    <x:row r="920" ht="36" customHeight="1">
      <x:c r="A920" s="50" t="str">
        <x:f>IF(912&gt;$H$4,"",IF(INDEX('Fleet dates'!$A$9:$A$1008,$I920-8)="","",INDEX('Fleet dates'!$A$9:$A$1008,$I920-8)))</x:f>
      </x:c>
      <x:c r="B920" s="50" t="str">
        <x:f>IF(912&gt;$H$4,"",IF(INDEX('Fleet dates'!$B$9:$B$1008,$I920-8)="","",INDEX('Fleet dates'!$B$9:$B$1008,$I920-8)))</x:f>
      </x:c>
      <x:c r="C920" s="51" t="str">
        <x:f>IF(912&gt;$H$4,"",IF(INDEX('Fleet dates'!$C$9:$C$1008,$I920-8)="","",INDEX('Fleet dates'!$C$9:$C$1008,$I920-8)))</x:f>
      </x:c>
      <x:c r="D920" s="51" t="str">
        <x:f>IF(912&gt;$H$4,"",IF(INDEX('Fleet dates'!$D$9:$D$1008,$I920-8)="","",INDEX('Fleet dates'!$D$9:$D$1008,$I920-8)))</x:f>
      </x:c>
      <x:c r="E920" s="51" t="str">
        <x:f>IF(912&gt;$H$4,"",IF(INDEX('Fleet dates'!$E$9:$E$1008,$I920-8)="","",INDEX('Fleet dates'!$E$9:$E$1008,$I920-8)))</x:f>
      </x:c>
      <x:c r="F920" s="51" t="str">
        <x:f>IF(912&gt;$H$4,"",IF(INDEX('Fleet dates'!$F$9:$F$1008,$I920-8)="","",INDEX('Fleet dates'!$F$9:$F$1008,$I920-8)))</x:f>
      </x:c>
      <x:c r="G920" s="50" t="str">
        <x:f>IF(912&gt;$H$4,"",IF(INDEX('Fleet dates'!$G$9:$G$1008,$I920-8)="","",INDEX('Fleet dates'!$G$9:$G$1008,$I920-8)))</x:f>
      </x:c>
      <x:c r="H920" s="50" t="str">
        <x:f>IF(912&gt;$H$4,"",IF(INDEX('Fleet dates'!$I$9:$I$1008,$I920-8)="","",INDEX('Fleet dates'!$I$9:$I$1008,$I920-8)))</x:f>
      </x:c>
      <x:c r="I920" t="str">
        <x:f>IF(912&gt;$H$4,"",MATCH(912,'Fleet dates'!$N$9:$N$1008,0)+8)</x:f>
      </x:c>
    </x:row>
    <x:row r="921" ht="36" customHeight="1">
      <x:c r="A921" s="50" t="str">
        <x:f>IF(913&gt;$H$4,"",IF(INDEX('Fleet dates'!$A$9:$A$1008,$I921-8)="","",INDEX('Fleet dates'!$A$9:$A$1008,$I921-8)))</x:f>
      </x:c>
      <x:c r="B921" s="50" t="str">
        <x:f>IF(913&gt;$H$4,"",IF(INDEX('Fleet dates'!$B$9:$B$1008,$I921-8)="","",INDEX('Fleet dates'!$B$9:$B$1008,$I921-8)))</x:f>
      </x:c>
      <x:c r="C921" s="51" t="str">
        <x:f>IF(913&gt;$H$4,"",IF(INDEX('Fleet dates'!$C$9:$C$1008,$I921-8)="","",INDEX('Fleet dates'!$C$9:$C$1008,$I921-8)))</x:f>
      </x:c>
      <x:c r="D921" s="51" t="str">
        <x:f>IF(913&gt;$H$4,"",IF(INDEX('Fleet dates'!$D$9:$D$1008,$I921-8)="","",INDEX('Fleet dates'!$D$9:$D$1008,$I921-8)))</x:f>
      </x:c>
      <x:c r="E921" s="51" t="str">
        <x:f>IF(913&gt;$H$4,"",IF(INDEX('Fleet dates'!$E$9:$E$1008,$I921-8)="","",INDEX('Fleet dates'!$E$9:$E$1008,$I921-8)))</x:f>
      </x:c>
      <x:c r="F921" s="51" t="str">
        <x:f>IF(913&gt;$H$4,"",IF(INDEX('Fleet dates'!$F$9:$F$1008,$I921-8)="","",INDEX('Fleet dates'!$F$9:$F$1008,$I921-8)))</x:f>
      </x:c>
      <x:c r="G921" s="50" t="str">
        <x:f>IF(913&gt;$H$4,"",IF(INDEX('Fleet dates'!$G$9:$G$1008,$I921-8)="","",INDEX('Fleet dates'!$G$9:$G$1008,$I921-8)))</x:f>
      </x:c>
      <x:c r="H921" s="50" t="str">
        <x:f>IF(913&gt;$H$4,"",IF(INDEX('Fleet dates'!$I$9:$I$1008,$I921-8)="","",INDEX('Fleet dates'!$I$9:$I$1008,$I921-8)))</x:f>
      </x:c>
      <x:c r="I921" t="str">
        <x:f>IF(913&gt;$H$4,"",MATCH(913,'Fleet dates'!$N$9:$N$1008,0)+8)</x:f>
      </x:c>
    </x:row>
    <x:row r="922" ht="36" customHeight="1">
      <x:c r="A922" s="50" t="str">
        <x:f>IF(914&gt;$H$4,"",IF(INDEX('Fleet dates'!$A$9:$A$1008,$I922-8)="","",INDEX('Fleet dates'!$A$9:$A$1008,$I922-8)))</x:f>
      </x:c>
      <x:c r="B922" s="50" t="str">
        <x:f>IF(914&gt;$H$4,"",IF(INDEX('Fleet dates'!$B$9:$B$1008,$I922-8)="","",INDEX('Fleet dates'!$B$9:$B$1008,$I922-8)))</x:f>
      </x:c>
      <x:c r="C922" s="51" t="str">
        <x:f>IF(914&gt;$H$4,"",IF(INDEX('Fleet dates'!$C$9:$C$1008,$I922-8)="","",INDEX('Fleet dates'!$C$9:$C$1008,$I922-8)))</x:f>
      </x:c>
      <x:c r="D922" s="51" t="str">
        <x:f>IF(914&gt;$H$4,"",IF(INDEX('Fleet dates'!$D$9:$D$1008,$I922-8)="","",INDEX('Fleet dates'!$D$9:$D$1008,$I922-8)))</x:f>
      </x:c>
      <x:c r="E922" s="51" t="str">
        <x:f>IF(914&gt;$H$4,"",IF(INDEX('Fleet dates'!$E$9:$E$1008,$I922-8)="","",INDEX('Fleet dates'!$E$9:$E$1008,$I922-8)))</x:f>
      </x:c>
      <x:c r="F922" s="51" t="str">
        <x:f>IF(914&gt;$H$4,"",IF(INDEX('Fleet dates'!$F$9:$F$1008,$I922-8)="","",INDEX('Fleet dates'!$F$9:$F$1008,$I922-8)))</x:f>
      </x:c>
      <x:c r="G922" s="50" t="str">
        <x:f>IF(914&gt;$H$4,"",IF(INDEX('Fleet dates'!$G$9:$G$1008,$I922-8)="","",INDEX('Fleet dates'!$G$9:$G$1008,$I922-8)))</x:f>
      </x:c>
      <x:c r="H922" s="50" t="str">
        <x:f>IF(914&gt;$H$4,"",IF(INDEX('Fleet dates'!$I$9:$I$1008,$I922-8)="","",INDEX('Fleet dates'!$I$9:$I$1008,$I922-8)))</x:f>
      </x:c>
      <x:c r="I922" t="str">
        <x:f>IF(914&gt;$H$4,"",MATCH(914,'Fleet dates'!$N$9:$N$1008,0)+8)</x:f>
      </x:c>
    </x:row>
    <x:row r="923" ht="36" customHeight="1">
      <x:c r="A923" s="50" t="str">
        <x:f>IF(915&gt;$H$4,"",IF(INDEX('Fleet dates'!$A$9:$A$1008,$I923-8)="","",INDEX('Fleet dates'!$A$9:$A$1008,$I923-8)))</x:f>
      </x:c>
      <x:c r="B923" s="50" t="str">
        <x:f>IF(915&gt;$H$4,"",IF(INDEX('Fleet dates'!$B$9:$B$1008,$I923-8)="","",INDEX('Fleet dates'!$B$9:$B$1008,$I923-8)))</x:f>
      </x:c>
      <x:c r="C923" s="51" t="str">
        <x:f>IF(915&gt;$H$4,"",IF(INDEX('Fleet dates'!$C$9:$C$1008,$I923-8)="","",INDEX('Fleet dates'!$C$9:$C$1008,$I923-8)))</x:f>
      </x:c>
      <x:c r="D923" s="51" t="str">
        <x:f>IF(915&gt;$H$4,"",IF(INDEX('Fleet dates'!$D$9:$D$1008,$I923-8)="","",INDEX('Fleet dates'!$D$9:$D$1008,$I923-8)))</x:f>
      </x:c>
      <x:c r="E923" s="51" t="str">
        <x:f>IF(915&gt;$H$4,"",IF(INDEX('Fleet dates'!$E$9:$E$1008,$I923-8)="","",INDEX('Fleet dates'!$E$9:$E$1008,$I923-8)))</x:f>
      </x:c>
      <x:c r="F923" s="51" t="str">
        <x:f>IF(915&gt;$H$4,"",IF(INDEX('Fleet dates'!$F$9:$F$1008,$I923-8)="","",INDEX('Fleet dates'!$F$9:$F$1008,$I923-8)))</x:f>
      </x:c>
      <x:c r="G923" s="50" t="str">
        <x:f>IF(915&gt;$H$4,"",IF(INDEX('Fleet dates'!$G$9:$G$1008,$I923-8)="","",INDEX('Fleet dates'!$G$9:$G$1008,$I923-8)))</x:f>
      </x:c>
      <x:c r="H923" s="50" t="str">
        <x:f>IF(915&gt;$H$4,"",IF(INDEX('Fleet dates'!$I$9:$I$1008,$I923-8)="","",INDEX('Fleet dates'!$I$9:$I$1008,$I923-8)))</x:f>
      </x:c>
      <x:c r="I923" t="str">
        <x:f>IF(915&gt;$H$4,"",MATCH(915,'Fleet dates'!$N$9:$N$1008,0)+8)</x:f>
      </x:c>
    </x:row>
    <x:row r="924" ht="36" customHeight="1">
      <x:c r="A924" s="50" t="str">
        <x:f>IF(916&gt;$H$4,"",IF(INDEX('Fleet dates'!$A$9:$A$1008,$I924-8)="","",INDEX('Fleet dates'!$A$9:$A$1008,$I924-8)))</x:f>
      </x:c>
      <x:c r="B924" s="50" t="str">
        <x:f>IF(916&gt;$H$4,"",IF(INDEX('Fleet dates'!$B$9:$B$1008,$I924-8)="","",INDEX('Fleet dates'!$B$9:$B$1008,$I924-8)))</x:f>
      </x:c>
      <x:c r="C924" s="51" t="str">
        <x:f>IF(916&gt;$H$4,"",IF(INDEX('Fleet dates'!$C$9:$C$1008,$I924-8)="","",INDEX('Fleet dates'!$C$9:$C$1008,$I924-8)))</x:f>
      </x:c>
      <x:c r="D924" s="51" t="str">
        <x:f>IF(916&gt;$H$4,"",IF(INDEX('Fleet dates'!$D$9:$D$1008,$I924-8)="","",INDEX('Fleet dates'!$D$9:$D$1008,$I924-8)))</x:f>
      </x:c>
      <x:c r="E924" s="51" t="str">
        <x:f>IF(916&gt;$H$4,"",IF(INDEX('Fleet dates'!$E$9:$E$1008,$I924-8)="","",INDEX('Fleet dates'!$E$9:$E$1008,$I924-8)))</x:f>
      </x:c>
      <x:c r="F924" s="51" t="str">
        <x:f>IF(916&gt;$H$4,"",IF(INDEX('Fleet dates'!$F$9:$F$1008,$I924-8)="","",INDEX('Fleet dates'!$F$9:$F$1008,$I924-8)))</x:f>
      </x:c>
      <x:c r="G924" s="50" t="str">
        <x:f>IF(916&gt;$H$4,"",IF(INDEX('Fleet dates'!$G$9:$G$1008,$I924-8)="","",INDEX('Fleet dates'!$G$9:$G$1008,$I924-8)))</x:f>
      </x:c>
      <x:c r="H924" s="50" t="str">
        <x:f>IF(916&gt;$H$4,"",IF(INDEX('Fleet dates'!$I$9:$I$1008,$I924-8)="","",INDEX('Fleet dates'!$I$9:$I$1008,$I924-8)))</x:f>
      </x:c>
      <x:c r="I924" t="str">
        <x:f>IF(916&gt;$H$4,"",MATCH(916,'Fleet dates'!$N$9:$N$1008,0)+8)</x:f>
      </x:c>
    </x:row>
    <x:row r="925" ht="36" customHeight="1">
      <x:c r="A925" s="50" t="str">
        <x:f>IF(917&gt;$H$4,"",IF(INDEX('Fleet dates'!$A$9:$A$1008,$I925-8)="","",INDEX('Fleet dates'!$A$9:$A$1008,$I925-8)))</x:f>
      </x:c>
      <x:c r="B925" s="50" t="str">
        <x:f>IF(917&gt;$H$4,"",IF(INDEX('Fleet dates'!$B$9:$B$1008,$I925-8)="","",INDEX('Fleet dates'!$B$9:$B$1008,$I925-8)))</x:f>
      </x:c>
      <x:c r="C925" s="51" t="str">
        <x:f>IF(917&gt;$H$4,"",IF(INDEX('Fleet dates'!$C$9:$C$1008,$I925-8)="","",INDEX('Fleet dates'!$C$9:$C$1008,$I925-8)))</x:f>
      </x:c>
      <x:c r="D925" s="51" t="str">
        <x:f>IF(917&gt;$H$4,"",IF(INDEX('Fleet dates'!$D$9:$D$1008,$I925-8)="","",INDEX('Fleet dates'!$D$9:$D$1008,$I925-8)))</x:f>
      </x:c>
      <x:c r="E925" s="51" t="str">
        <x:f>IF(917&gt;$H$4,"",IF(INDEX('Fleet dates'!$E$9:$E$1008,$I925-8)="","",INDEX('Fleet dates'!$E$9:$E$1008,$I925-8)))</x:f>
      </x:c>
      <x:c r="F925" s="51" t="str">
        <x:f>IF(917&gt;$H$4,"",IF(INDEX('Fleet dates'!$F$9:$F$1008,$I925-8)="","",INDEX('Fleet dates'!$F$9:$F$1008,$I925-8)))</x:f>
      </x:c>
      <x:c r="G925" s="50" t="str">
        <x:f>IF(917&gt;$H$4,"",IF(INDEX('Fleet dates'!$G$9:$G$1008,$I925-8)="","",INDEX('Fleet dates'!$G$9:$G$1008,$I925-8)))</x:f>
      </x:c>
      <x:c r="H925" s="50" t="str">
        <x:f>IF(917&gt;$H$4,"",IF(INDEX('Fleet dates'!$I$9:$I$1008,$I925-8)="","",INDEX('Fleet dates'!$I$9:$I$1008,$I925-8)))</x:f>
      </x:c>
      <x:c r="I925" t="str">
        <x:f>IF(917&gt;$H$4,"",MATCH(917,'Fleet dates'!$N$9:$N$1008,0)+8)</x:f>
      </x:c>
    </x:row>
    <x:row r="926" ht="36" customHeight="1">
      <x:c r="A926" s="50" t="str">
        <x:f>IF(918&gt;$H$4,"",IF(INDEX('Fleet dates'!$A$9:$A$1008,$I926-8)="","",INDEX('Fleet dates'!$A$9:$A$1008,$I926-8)))</x:f>
      </x:c>
      <x:c r="B926" s="50" t="str">
        <x:f>IF(918&gt;$H$4,"",IF(INDEX('Fleet dates'!$B$9:$B$1008,$I926-8)="","",INDEX('Fleet dates'!$B$9:$B$1008,$I926-8)))</x:f>
      </x:c>
      <x:c r="C926" s="51" t="str">
        <x:f>IF(918&gt;$H$4,"",IF(INDEX('Fleet dates'!$C$9:$C$1008,$I926-8)="","",INDEX('Fleet dates'!$C$9:$C$1008,$I926-8)))</x:f>
      </x:c>
      <x:c r="D926" s="51" t="str">
        <x:f>IF(918&gt;$H$4,"",IF(INDEX('Fleet dates'!$D$9:$D$1008,$I926-8)="","",INDEX('Fleet dates'!$D$9:$D$1008,$I926-8)))</x:f>
      </x:c>
      <x:c r="E926" s="51" t="str">
        <x:f>IF(918&gt;$H$4,"",IF(INDEX('Fleet dates'!$E$9:$E$1008,$I926-8)="","",INDEX('Fleet dates'!$E$9:$E$1008,$I926-8)))</x:f>
      </x:c>
      <x:c r="F926" s="51" t="str">
        <x:f>IF(918&gt;$H$4,"",IF(INDEX('Fleet dates'!$F$9:$F$1008,$I926-8)="","",INDEX('Fleet dates'!$F$9:$F$1008,$I926-8)))</x:f>
      </x:c>
      <x:c r="G926" s="50" t="str">
        <x:f>IF(918&gt;$H$4,"",IF(INDEX('Fleet dates'!$G$9:$G$1008,$I926-8)="","",INDEX('Fleet dates'!$G$9:$G$1008,$I926-8)))</x:f>
      </x:c>
      <x:c r="H926" s="50" t="str">
        <x:f>IF(918&gt;$H$4,"",IF(INDEX('Fleet dates'!$I$9:$I$1008,$I926-8)="","",INDEX('Fleet dates'!$I$9:$I$1008,$I926-8)))</x:f>
      </x:c>
      <x:c r="I926" t="str">
        <x:f>IF(918&gt;$H$4,"",MATCH(918,'Fleet dates'!$N$9:$N$1008,0)+8)</x:f>
      </x:c>
    </x:row>
    <x:row r="927" ht="36" customHeight="1">
      <x:c r="A927" s="50" t="str">
        <x:f>IF(919&gt;$H$4,"",IF(INDEX('Fleet dates'!$A$9:$A$1008,$I927-8)="","",INDEX('Fleet dates'!$A$9:$A$1008,$I927-8)))</x:f>
      </x:c>
      <x:c r="B927" s="50" t="str">
        <x:f>IF(919&gt;$H$4,"",IF(INDEX('Fleet dates'!$B$9:$B$1008,$I927-8)="","",INDEX('Fleet dates'!$B$9:$B$1008,$I927-8)))</x:f>
      </x:c>
      <x:c r="C927" s="51" t="str">
        <x:f>IF(919&gt;$H$4,"",IF(INDEX('Fleet dates'!$C$9:$C$1008,$I927-8)="","",INDEX('Fleet dates'!$C$9:$C$1008,$I927-8)))</x:f>
      </x:c>
      <x:c r="D927" s="51" t="str">
        <x:f>IF(919&gt;$H$4,"",IF(INDEX('Fleet dates'!$D$9:$D$1008,$I927-8)="","",INDEX('Fleet dates'!$D$9:$D$1008,$I927-8)))</x:f>
      </x:c>
      <x:c r="E927" s="51" t="str">
        <x:f>IF(919&gt;$H$4,"",IF(INDEX('Fleet dates'!$E$9:$E$1008,$I927-8)="","",INDEX('Fleet dates'!$E$9:$E$1008,$I927-8)))</x:f>
      </x:c>
      <x:c r="F927" s="51" t="str">
        <x:f>IF(919&gt;$H$4,"",IF(INDEX('Fleet dates'!$F$9:$F$1008,$I927-8)="","",INDEX('Fleet dates'!$F$9:$F$1008,$I927-8)))</x:f>
      </x:c>
      <x:c r="G927" s="50" t="str">
        <x:f>IF(919&gt;$H$4,"",IF(INDEX('Fleet dates'!$G$9:$G$1008,$I927-8)="","",INDEX('Fleet dates'!$G$9:$G$1008,$I927-8)))</x:f>
      </x:c>
      <x:c r="H927" s="50" t="str">
        <x:f>IF(919&gt;$H$4,"",IF(INDEX('Fleet dates'!$I$9:$I$1008,$I927-8)="","",INDEX('Fleet dates'!$I$9:$I$1008,$I927-8)))</x:f>
      </x:c>
      <x:c r="I927" t="str">
        <x:f>IF(919&gt;$H$4,"",MATCH(919,'Fleet dates'!$N$9:$N$1008,0)+8)</x:f>
      </x:c>
    </x:row>
    <x:row r="928" ht="36" customHeight="1">
      <x:c r="A928" s="50" t="str">
        <x:f>IF(920&gt;$H$4,"",IF(INDEX('Fleet dates'!$A$9:$A$1008,$I928-8)="","",INDEX('Fleet dates'!$A$9:$A$1008,$I928-8)))</x:f>
      </x:c>
      <x:c r="B928" s="50" t="str">
        <x:f>IF(920&gt;$H$4,"",IF(INDEX('Fleet dates'!$B$9:$B$1008,$I928-8)="","",INDEX('Fleet dates'!$B$9:$B$1008,$I928-8)))</x:f>
      </x:c>
      <x:c r="C928" s="51" t="str">
        <x:f>IF(920&gt;$H$4,"",IF(INDEX('Fleet dates'!$C$9:$C$1008,$I928-8)="","",INDEX('Fleet dates'!$C$9:$C$1008,$I928-8)))</x:f>
      </x:c>
      <x:c r="D928" s="51" t="str">
        <x:f>IF(920&gt;$H$4,"",IF(INDEX('Fleet dates'!$D$9:$D$1008,$I928-8)="","",INDEX('Fleet dates'!$D$9:$D$1008,$I928-8)))</x:f>
      </x:c>
      <x:c r="E928" s="51" t="str">
        <x:f>IF(920&gt;$H$4,"",IF(INDEX('Fleet dates'!$E$9:$E$1008,$I928-8)="","",INDEX('Fleet dates'!$E$9:$E$1008,$I928-8)))</x:f>
      </x:c>
      <x:c r="F928" s="51" t="str">
        <x:f>IF(920&gt;$H$4,"",IF(INDEX('Fleet dates'!$F$9:$F$1008,$I928-8)="","",INDEX('Fleet dates'!$F$9:$F$1008,$I928-8)))</x:f>
      </x:c>
      <x:c r="G928" s="50" t="str">
        <x:f>IF(920&gt;$H$4,"",IF(INDEX('Fleet dates'!$G$9:$G$1008,$I928-8)="","",INDEX('Fleet dates'!$G$9:$G$1008,$I928-8)))</x:f>
      </x:c>
      <x:c r="H928" s="50" t="str">
        <x:f>IF(920&gt;$H$4,"",IF(INDEX('Fleet dates'!$I$9:$I$1008,$I928-8)="","",INDEX('Fleet dates'!$I$9:$I$1008,$I928-8)))</x:f>
      </x:c>
      <x:c r="I928" t="str">
        <x:f>IF(920&gt;$H$4,"",MATCH(920,'Fleet dates'!$N$9:$N$1008,0)+8)</x:f>
      </x:c>
    </x:row>
    <x:row r="929" ht="36" customHeight="1">
      <x:c r="A929" s="50" t="str">
        <x:f>IF(921&gt;$H$4,"",IF(INDEX('Fleet dates'!$A$9:$A$1008,$I929-8)="","",INDEX('Fleet dates'!$A$9:$A$1008,$I929-8)))</x:f>
      </x:c>
      <x:c r="B929" s="50" t="str">
        <x:f>IF(921&gt;$H$4,"",IF(INDEX('Fleet dates'!$B$9:$B$1008,$I929-8)="","",INDEX('Fleet dates'!$B$9:$B$1008,$I929-8)))</x:f>
      </x:c>
      <x:c r="C929" s="51" t="str">
        <x:f>IF(921&gt;$H$4,"",IF(INDEX('Fleet dates'!$C$9:$C$1008,$I929-8)="","",INDEX('Fleet dates'!$C$9:$C$1008,$I929-8)))</x:f>
      </x:c>
      <x:c r="D929" s="51" t="str">
        <x:f>IF(921&gt;$H$4,"",IF(INDEX('Fleet dates'!$D$9:$D$1008,$I929-8)="","",INDEX('Fleet dates'!$D$9:$D$1008,$I929-8)))</x:f>
      </x:c>
      <x:c r="E929" s="51" t="str">
        <x:f>IF(921&gt;$H$4,"",IF(INDEX('Fleet dates'!$E$9:$E$1008,$I929-8)="","",INDEX('Fleet dates'!$E$9:$E$1008,$I929-8)))</x:f>
      </x:c>
      <x:c r="F929" s="51" t="str">
        <x:f>IF(921&gt;$H$4,"",IF(INDEX('Fleet dates'!$F$9:$F$1008,$I929-8)="","",INDEX('Fleet dates'!$F$9:$F$1008,$I929-8)))</x:f>
      </x:c>
      <x:c r="G929" s="50" t="str">
        <x:f>IF(921&gt;$H$4,"",IF(INDEX('Fleet dates'!$G$9:$G$1008,$I929-8)="","",INDEX('Fleet dates'!$G$9:$G$1008,$I929-8)))</x:f>
      </x:c>
      <x:c r="H929" s="50" t="str">
        <x:f>IF(921&gt;$H$4,"",IF(INDEX('Fleet dates'!$I$9:$I$1008,$I929-8)="","",INDEX('Fleet dates'!$I$9:$I$1008,$I929-8)))</x:f>
      </x:c>
      <x:c r="I929" t="str">
        <x:f>IF(921&gt;$H$4,"",MATCH(921,'Fleet dates'!$N$9:$N$1008,0)+8)</x:f>
      </x:c>
    </x:row>
    <x:row r="930" ht="36" customHeight="1">
      <x:c r="A930" s="50" t="str">
        <x:f>IF(922&gt;$H$4,"",IF(INDEX('Fleet dates'!$A$9:$A$1008,$I930-8)="","",INDEX('Fleet dates'!$A$9:$A$1008,$I930-8)))</x:f>
      </x:c>
      <x:c r="B930" s="50" t="str">
        <x:f>IF(922&gt;$H$4,"",IF(INDEX('Fleet dates'!$B$9:$B$1008,$I930-8)="","",INDEX('Fleet dates'!$B$9:$B$1008,$I930-8)))</x:f>
      </x:c>
      <x:c r="C930" s="51" t="str">
        <x:f>IF(922&gt;$H$4,"",IF(INDEX('Fleet dates'!$C$9:$C$1008,$I930-8)="","",INDEX('Fleet dates'!$C$9:$C$1008,$I930-8)))</x:f>
      </x:c>
      <x:c r="D930" s="51" t="str">
        <x:f>IF(922&gt;$H$4,"",IF(INDEX('Fleet dates'!$D$9:$D$1008,$I930-8)="","",INDEX('Fleet dates'!$D$9:$D$1008,$I930-8)))</x:f>
      </x:c>
      <x:c r="E930" s="51" t="str">
        <x:f>IF(922&gt;$H$4,"",IF(INDEX('Fleet dates'!$E$9:$E$1008,$I930-8)="","",INDEX('Fleet dates'!$E$9:$E$1008,$I930-8)))</x:f>
      </x:c>
      <x:c r="F930" s="51" t="str">
        <x:f>IF(922&gt;$H$4,"",IF(INDEX('Fleet dates'!$F$9:$F$1008,$I930-8)="","",INDEX('Fleet dates'!$F$9:$F$1008,$I930-8)))</x:f>
      </x:c>
      <x:c r="G930" s="50" t="str">
        <x:f>IF(922&gt;$H$4,"",IF(INDEX('Fleet dates'!$G$9:$G$1008,$I930-8)="","",INDEX('Fleet dates'!$G$9:$G$1008,$I930-8)))</x:f>
      </x:c>
      <x:c r="H930" s="50" t="str">
        <x:f>IF(922&gt;$H$4,"",IF(INDEX('Fleet dates'!$I$9:$I$1008,$I930-8)="","",INDEX('Fleet dates'!$I$9:$I$1008,$I930-8)))</x:f>
      </x:c>
      <x:c r="I930" t="str">
        <x:f>IF(922&gt;$H$4,"",MATCH(922,'Fleet dates'!$N$9:$N$1008,0)+8)</x:f>
      </x:c>
    </x:row>
    <x:row r="931" ht="36" customHeight="1">
      <x:c r="A931" s="50" t="str">
        <x:f>IF(923&gt;$H$4,"",IF(INDEX('Fleet dates'!$A$9:$A$1008,$I931-8)="","",INDEX('Fleet dates'!$A$9:$A$1008,$I931-8)))</x:f>
      </x:c>
      <x:c r="B931" s="50" t="str">
        <x:f>IF(923&gt;$H$4,"",IF(INDEX('Fleet dates'!$B$9:$B$1008,$I931-8)="","",INDEX('Fleet dates'!$B$9:$B$1008,$I931-8)))</x:f>
      </x:c>
      <x:c r="C931" s="51" t="str">
        <x:f>IF(923&gt;$H$4,"",IF(INDEX('Fleet dates'!$C$9:$C$1008,$I931-8)="","",INDEX('Fleet dates'!$C$9:$C$1008,$I931-8)))</x:f>
      </x:c>
      <x:c r="D931" s="51" t="str">
        <x:f>IF(923&gt;$H$4,"",IF(INDEX('Fleet dates'!$D$9:$D$1008,$I931-8)="","",INDEX('Fleet dates'!$D$9:$D$1008,$I931-8)))</x:f>
      </x:c>
      <x:c r="E931" s="51" t="str">
        <x:f>IF(923&gt;$H$4,"",IF(INDEX('Fleet dates'!$E$9:$E$1008,$I931-8)="","",INDEX('Fleet dates'!$E$9:$E$1008,$I931-8)))</x:f>
      </x:c>
      <x:c r="F931" s="51" t="str">
        <x:f>IF(923&gt;$H$4,"",IF(INDEX('Fleet dates'!$F$9:$F$1008,$I931-8)="","",INDEX('Fleet dates'!$F$9:$F$1008,$I931-8)))</x:f>
      </x:c>
      <x:c r="G931" s="50" t="str">
        <x:f>IF(923&gt;$H$4,"",IF(INDEX('Fleet dates'!$G$9:$G$1008,$I931-8)="","",INDEX('Fleet dates'!$G$9:$G$1008,$I931-8)))</x:f>
      </x:c>
      <x:c r="H931" s="50" t="str">
        <x:f>IF(923&gt;$H$4,"",IF(INDEX('Fleet dates'!$I$9:$I$1008,$I931-8)="","",INDEX('Fleet dates'!$I$9:$I$1008,$I931-8)))</x:f>
      </x:c>
      <x:c r="I931" t="str">
        <x:f>IF(923&gt;$H$4,"",MATCH(923,'Fleet dates'!$N$9:$N$1008,0)+8)</x:f>
      </x:c>
    </x:row>
    <x:row r="932" ht="36" customHeight="1">
      <x:c r="A932" s="50" t="str">
        <x:f>IF(924&gt;$H$4,"",IF(INDEX('Fleet dates'!$A$9:$A$1008,$I932-8)="","",INDEX('Fleet dates'!$A$9:$A$1008,$I932-8)))</x:f>
      </x:c>
      <x:c r="B932" s="50" t="str">
        <x:f>IF(924&gt;$H$4,"",IF(INDEX('Fleet dates'!$B$9:$B$1008,$I932-8)="","",INDEX('Fleet dates'!$B$9:$B$1008,$I932-8)))</x:f>
      </x:c>
      <x:c r="C932" s="51" t="str">
        <x:f>IF(924&gt;$H$4,"",IF(INDEX('Fleet dates'!$C$9:$C$1008,$I932-8)="","",INDEX('Fleet dates'!$C$9:$C$1008,$I932-8)))</x:f>
      </x:c>
      <x:c r="D932" s="51" t="str">
        <x:f>IF(924&gt;$H$4,"",IF(INDEX('Fleet dates'!$D$9:$D$1008,$I932-8)="","",INDEX('Fleet dates'!$D$9:$D$1008,$I932-8)))</x:f>
      </x:c>
      <x:c r="E932" s="51" t="str">
        <x:f>IF(924&gt;$H$4,"",IF(INDEX('Fleet dates'!$E$9:$E$1008,$I932-8)="","",INDEX('Fleet dates'!$E$9:$E$1008,$I932-8)))</x:f>
      </x:c>
      <x:c r="F932" s="51" t="str">
        <x:f>IF(924&gt;$H$4,"",IF(INDEX('Fleet dates'!$F$9:$F$1008,$I932-8)="","",INDEX('Fleet dates'!$F$9:$F$1008,$I932-8)))</x:f>
      </x:c>
      <x:c r="G932" s="50" t="str">
        <x:f>IF(924&gt;$H$4,"",IF(INDEX('Fleet dates'!$G$9:$G$1008,$I932-8)="","",INDEX('Fleet dates'!$G$9:$G$1008,$I932-8)))</x:f>
      </x:c>
      <x:c r="H932" s="50" t="str">
        <x:f>IF(924&gt;$H$4,"",IF(INDEX('Fleet dates'!$I$9:$I$1008,$I932-8)="","",INDEX('Fleet dates'!$I$9:$I$1008,$I932-8)))</x:f>
      </x:c>
      <x:c r="I932" t="str">
        <x:f>IF(924&gt;$H$4,"",MATCH(924,'Fleet dates'!$N$9:$N$1008,0)+8)</x:f>
      </x:c>
    </x:row>
    <x:row r="933" ht="36" customHeight="1">
      <x:c r="A933" s="50" t="str">
        <x:f>IF(925&gt;$H$4,"",IF(INDEX('Fleet dates'!$A$9:$A$1008,$I933-8)="","",INDEX('Fleet dates'!$A$9:$A$1008,$I933-8)))</x:f>
      </x:c>
      <x:c r="B933" s="50" t="str">
        <x:f>IF(925&gt;$H$4,"",IF(INDEX('Fleet dates'!$B$9:$B$1008,$I933-8)="","",INDEX('Fleet dates'!$B$9:$B$1008,$I933-8)))</x:f>
      </x:c>
      <x:c r="C933" s="51" t="str">
        <x:f>IF(925&gt;$H$4,"",IF(INDEX('Fleet dates'!$C$9:$C$1008,$I933-8)="","",INDEX('Fleet dates'!$C$9:$C$1008,$I933-8)))</x:f>
      </x:c>
      <x:c r="D933" s="51" t="str">
        <x:f>IF(925&gt;$H$4,"",IF(INDEX('Fleet dates'!$D$9:$D$1008,$I933-8)="","",INDEX('Fleet dates'!$D$9:$D$1008,$I933-8)))</x:f>
      </x:c>
      <x:c r="E933" s="51" t="str">
        <x:f>IF(925&gt;$H$4,"",IF(INDEX('Fleet dates'!$E$9:$E$1008,$I933-8)="","",INDEX('Fleet dates'!$E$9:$E$1008,$I933-8)))</x:f>
      </x:c>
      <x:c r="F933" s="51" t="str">
        <x:f>IF(925&gt;$H$4,"",IF(INDEX('Fleet dates'!$F$9:$F$1008,$I933-8)="","",INDEX('Fleet dates'!$F$9:$F$1008,$I933-8)))</x:f>
      </x:c>
      <x:c r="G933" s="50" t="str">
        <x:f>IF(925&gt;$H$4,"",IF(INDEX('Fleet dates'!$G$9:$G$1008,$I933-8)="","",INDEX('Fleet dates'!$G$9:$G$1008,$I933-8)))</x:f>
      </x:c>
      <x:c r="H933" s="50" t="str">
        <x:f>IF(925&gt;$H$4,"",IF(INDEX('Fleet dates'!$I$9:$I$1008,$I933-8)="","",INDEX('Fleet dates'!$I$9:$I$1008,$I933-8)))</x:f>
      </x:c>
      <x:c r="I933" t="str">
        <x:f>IF(925&gt;$H$4,"",MATCH(925,'Fleet dates'!$N$9:$N$1008,0)+8)</x:f>
      </x:c>
    </x:row>
    <x:row r="934" ht="36" customHeight="1">
      <x:c r="A934" s="50" t="str">
        <x:f>IF(926&gt;$H$4,"",IF(INDEX('Fleet dates'!$A$9:$A$1008,$I934-8)="","",INDEX('Fleet dates'!$A$9:$A$1008,$I934-8)))</x:f>
      </x:c>
      <x:c r="B934" s="50" t="str">
        <x:f>IF(926&gt;$H$4,"",IF(INDEX('Fleet dates'!$B$9:$B$1008,$I934-8)="","",INDEX('Fleet dates'!$B$9:$B$1008,$I934-8)))</x:f>
      </x:c>
      <x:c r="C934" s="51" t="str">
        <x:f>IF(926&gt;$H$4,"",IF(INDEX('Fleet dates'!$C$9:$C$1008,$I934-8)="","",INDEX('Fleet dates'!$C$9:$C$1008,$I934-8)))</x:f>
      </x:c>
      <x:c r="D934" s="51" t="str">
        <x:f>IF(926&gt;$H$4,"",IF(INDEX('Fleet dates'!$D$9:$D$1008,$I934-8)="","",INDEX('Fleet dates'!$D$9:$D$1008,$I934-8)))</x:f>
      </x:c>
      <x:c r="E934" s="51" t="str">
        <x:f>IF(926&gt;$H$4,"",IF(INDEX('Fleet dates'!$E$9:$E$1008,$I934-8)="","",INDEX('Fleet dates'!$E$9:$E$1008,$I934-8)))</x:f>
      </x:c>
      <x:c r="F934" s="51" t="str">
        <x:f>IF(926&gt;$H$4,"",IF(INDEX('Fleet dates'!$F$9:$F$1008,$I934-8)="","",INDEX('Fleet dates'!$F$9:$F$1008,$I934-8)))</x:f>
      </x:c>
      <x:c r="G934" s="50" t="str">
        <x:f>IF(926&gt;$H$4,"",IF(INDEX('Fleet dates'!$G$9:$G$1008,$I934-8)="","",INDEX('Fleet dates'!$G$9:$G$1008,$I934-8)))</x:f>
      </x:c>
      <x:c r="H934" s="50" t="str">
        <x:f>IF(926&gt;$H$4,"",IF(INDEX('Fleet dates'!$I$9:$I$1008,$I934-8)="","",INDEX('Fleet dates'!$I$9:$I$1008,$I934-8)))</x:f>
      </x:c>
      <x:c r="I934" t="str">
        <x:f>IF(926&gt;$H$4,"",MATCH(926,'Fleet dates'!$N$9:$N$1008,0)+8)</x:f>
      </x:c>
    </x:row>
    <x:row r="935" ht="36" customHeight="1">
      <x:c r="A935" s="50" t="str">
        <x:f>IF(927&gt;$H$4,"",IF(INDEX('Fleet dates'!$A$9:$A$1008,$I935-8)="","",INDEX('Fleet dates'!$A$9:$A$1008,$I935-8)))</x:f>
      </x:c>
      <x:c r="B935" s="50" t="str">
        <x:f>IF(927&gt;$H$4,"",IF(INDEX('Fleet dates'!$B$9:$B$1008,$I935-8)="","",INDEX('Fleet dates'!$B$9:$B$1008,$I935-8)))</x:f>
      </x:c>
      <x:c r="C935" s="51" t="str">
        <x:f>IF(927&gt;$H$4,"",IF(INDEX('Fleet dates'!$C$9:$C$1008,$I935-8)="","",INDEX('Fleet dates'!$C$9:$C$1008,$I935-8)))</x:f>
      </x:c>
      <x:c r="D935" s="51" t="str">
        <x:f>IF(927&gt;$H$4,"",IF(INDEX('Fleet dates'!$D$9:$D$1008,$I935-8)="","",INDEX('Fleet dates'!$D$9:$D$1008,$I935-8)))</x:f>
      </x:c>
      <x:c r="E935" s="51" t="str">
        <x:f>IF(927&gt;$H$4,"",IF(INDEX('Fleet dates'!$E$9:$E$1008,$I935-8)="","",INDEX('Fleet dates'!$E$9:$E$1008,$I935-8)))</x:f>
      </x:c>
      <x:c r="F935" s="51" t="str">
        <x:f>IF(927&gt;$H$4,"",IF(INDEX('Fleet dates'!$F$9:$F$1008,$I935-8)="","",INDEX('Fleet dates'!$F$9:$F$1008,$I935-8)))</x:f>
      </x:c>
      <x:c r="G935" s="50" t="str">
        <x:f>IF(927&gt;$H$4,"",IF(INDEX('Fleet dates'!$G$9:$G$1008,$I935-8)="","",INDEX('Fleet dates'!$G$9:$G$1008,$I935-8)))</x:f>
      </x:c>
      <x:c r="H935" s="50" t="str">
        <x:f>IF(927&gt;$H$4,"",IF(INDEX('Fleet dates'!$I$9:$I$1008,$I935-8)="","",INDEX('Fleet dates'!$I$9:$I$1008,$I935-8)))</x:f>
      </x:c>
      <x:c r="I935" t="str">
        <x:f>IF(927&gt;$H$4,"",MATCH(927,'Fleet dates'!$N$9:$N$1008,0)+8)</x:f>
      </x:c>
    </x:row>
    <x:row r="936" ht="36" customHeight="1">
      <x:c r="A936" s="50" t="str">
        <x:f>IF(928&gt;$H$4,"",IF(INDEX('Fleet dates'!$A$9:$A$1008,$I936-8)="","",INDEX('Fleet dates'!$A$9:$A$1008,$I936-8)))</x:f>
      </x:c>
      <x:c r="B936" s="50" t="str">
        <x:f>IF(928&gt;$H$4,"",IF(INDEX('Fleet dates'!$B$9:$B$1008,$I936-8)="","",INDEX('Fleet dates'!$B$9:$B$1008,$I936-8)))</x:f>
      </x:c>
      <x:c r="C936" s="51" t="str">
        <x:f>IF(928&gt;$H$4,"",IF(INDEX('Fleet dates'!$C$9:$C$1008,$I936-8)="","",INDEX('Fleet dates'!$C$9:$C$1008,$I936-8)))</x:f>
      </x:c>
      <x:c r="D936" s="51" t="str">
        <x:f>IF(928&gt;$H$4,"",IF(INDEX('Fleet dates'!$D$9:$D$1008,$I936-8)="","",INDEX('Fleet dates'!$D$9:$D$1008,$I936-8)))</x:f>
      </x:c>
      <x:c r="E936" s="51" t="str">
        <x:f>IF(928&gt;$H$4,"",IF(INDEX('Fleet dates'!$E$9:$E$1008,$I936-8)="","",INDEX('Fleet dates'!$E$9:$E$1008,$I936-8)))</x:f>
      </x:c>
      <x:c r="F936" s="51" t="str">
        <x:f>IF(928&gt;$H$4,"",IF(INDEX('Fleet dates'!$F$9:$F$1008,$I936-8)="","",INDEX('Fleet dates'!$F$9:$F$1008,$I936-8)))</x:f>
      </x:c>
      <x:c r="G936" s="50" t="str">
        <x:f>IF(928&gt;$H$4,"",IF(INDEX('Fleet dates'!$G$9:$G$1008,$I936-8)="","",INDEX('Fleet dates'!$G$9:$G$1008,$I936-8)))</x:f>
      </x:c>
      <x:c r="H936" s="50" t="str">
        <x:f>IF(928&gt;$H$4,"",IF(INDEX('Fleet dates'!$I$9:$I$1008,$I936-8)="","",INDEX('Fleet dates'!$I$9:$I$1008,$I936-8)))</x:f>
      </x:c>
      <x:c r="I936" t="str">
        <x:f>IF(928&gt;$H$4,"",MATCH(928,'Fleet dates'!$N$9:$N$1008,0)+8)</x:f>
      </x:c>
    </x:row>
    <x:row r="937" ht="36" customHeight="1">
      <x:c r="A937" s="50" t="str">
        <x:f>IF(929&gt;$H$4,"",IF(INDEX('Fleet dates'!$A$9:$A$1008,$I937-8)="","",INDEX('Fleet dates'!$A$9:$A$1008,$I937-8)))</x:f>
      </x:c>
      <x:c r="B937" s="50" t="str">
        <x:f>IF(929&gt;$H$4,"",IF(INDEX('Fleet dates'!$B$9:$B$1008,$I937-8)="","",INDEX('Fleet dates'!$B$9:$B$1008,$I937-8)))</x:f>
      </x:c>
      <x:c r="C937" s="51" t="str">
        <x:f>IF(929&gt;$H$4,"",IF(INDEX('Fleet dates'!$C$9:$C$1008,$I937-8)="","",INDEX('Fleet dates'!$C$9:$C$1008,$I937-8)))</x:f>
      </x:c>
      <x:c r="D937" s="51" t="str">
        <x:f>IF(929&gt;$H$4,"",IF(INDEX('Fleet dates'!$D$9:$D$1008,$I937-8)="","",INDEX('Fleet dates'!$D$9:$D$1008,$I937-8)))</x:f>
      </x:c>
      <x:c r="E937" s="51" t="str">
        <x:f>IF(929&gt;$H$4,"",IF(INDEX('Fleet dates'!$E$9:$E$1008,$I937-8)="","",INDEX('Fleet dates'!$E$9:$E$1008,$I937-8)))</x:f>
      </x:c>
      <x:c r="F937" s="51" t="str">
        <x:f>IF(929&gt;$H$4,"",IF(INDEX('Fleet dates'!$F$9:$F$1008,$I937-8)="","",INDEX('Fleet dates'!$F$9:$F$1008,$I937-8)))</x:f>
      </x:c>
      <x:c r="G937" s="50" t="str">
        <x:f>IF(929&gt;$H$4,"",IF(INDEX('Fleet dates'!$G$9:$G$1008,$I937-8)="","",INDEX('Fleet dates'!$G$9:$G$1008,$I937-8)))</x:f>
      </x:c>
      <x:c r="H937" s="50" t="str">
        <x:f>IF(929&gt;$H$4,"",IF(INDEX('Fleet dates'!$I$9:$I$1008,$I937-8)="","",INDEX('Fleet dates'!$I$9:$I$1008,$I937-8)))</x:f>
      </x:c>
      <x:c r="I937" t="str">
        <x:f>IF(929&gt;$H$4,"",MATCH(929,'Fleet dates'!$N$9:$N$1008,0)+8)</x:f>
      </x:c>
    </x:row>
    <x:row r="938" ht="36" customHeight="1">
      <x:c r="A938" s="50" t="str">
        <x:f>IF(930&gt;$H$4,"",IF(INDEX('Fleet dates'!$A$9:$A$1008,$I938-8)="","",INDEX('Fleet dates'!$A$9:$A$1008,$I938-8)))</x:f>
      </x:c>
      <x:c r="B938" s="50" t="str">
        <x:f>IF(930&gt;$H$4,"",IF(INDEX('Fleet dates'!$B$9:$B$1008,$I938-8)="","",INDEX('Fleet dates'!$B$9:$B$1008,$I938-8)))</x:f>
      </x:c>
      <x:c r="C938" s="51" t="str">
        <x:f>IF(930&gt;$H$4,"",IF(INDEX('Fleet dates'!$C$9:$C$1008,$I938-8)="","",INDEX('Fleet dates'!$C$9:$C$1008,$I938-8)))</x:f>
      </x:c>
      <x:c r="D938" s="51" t="str">
        <x:f>IF(930&gt;$H$4,"",IF(INDEX('Fleet dates'!$D$9:$D$1008,$I938-8)="","",INDEX('Fleet dates'!$D$9:$D$1008,$I938-8)))</x:f>
      </x:c>
      <x:c r="E938" s="51" t="str">
        <x:f>IF(930&gt;$H$4,"",IF(INDEX('Fleet dates'!$E$9:$E$1008,$I938-8)="","",INDEX('Fleet dates'!$E$9:$E$1008,$I938-8)))</x:f>
      </x:c>
      <x:c r="F938" s="51" t="str">
        <x:f>IF(930&gt;$H$4,"",IF(INDEX('Fleet dates'!$F$9:$F$1008,$I938-8)="","",INDEX('Fleet dates'!$F$9:$F$1008,$I938-8)))</x:f>
      </x:c>
      <x:c r="G938" s="50" t="str">
        <x:f>IF(930&gt;$H$4,"",IF(INDEX('Fleet dates'!$G$9:$G$1008,$I938-8)="","",INDEX('Fleet dates'!$G$9:$G$1008,$I938-8)))</x:f>
      </x:c>
      <x:c r="H938" s="50" t="str">
        <x:f>IF(930&gt;$H$4,"",IF(INDEX('Fleet dates'!$I$9:$I$1008,$I938-8)="","",INDEX('Fleet dates'!$I$9:$I$1008,$I938-8)))</x:f>
      </x:c>
      <x:c r="I938" t="str">
        <x:f>IF(930&gt;$H$4,"",MATCH(930,'Fleet dates'!$N$9:$N$1008,0)+8)</x:f>
      </x:c>
    </x:row>
    <x:row r="939" ht="36" customHeight="1">
      <x:c r="A939" s="50" t="str">
        <x:f>IF(931&gt;$H$4,"",IF(INDEX('Fleet dates'!$A$9:$A$1008,$I939-8)="","",INDEX('Fleet dates'!$A$9:$A$1008,$I939-8)))</x:f>
      </x:c>
      <x:c r="B939" s="50" t="str">
        <x:f>IF(931&gt;$H$4,"",IF(INDEX('Fleet dates'!$B$9:$B$1008,$I939-8)="","",INDEX('Fleet dates'!$B$9:$B$1008,$I939-8)))</x:f>
      </x:c>
      <x:c r="C939" s="51" t="str">
        <x:f>IF(931&gt;$H$4,"",IF(INDEX('Fleet dates'!$C$9:$C$1008,$I939-8)="","",INDEX('Fleet dates'!$C$9:$C$1008,$I939-8)))</x:f>
      </x:c>
      <x:c r="D939" s="51" t="str">
        <x:f>IF(931&gt;$H$4,"",IF(INDEX('Fleet dates'!$D$9:$D$1008,$I939-8)="","",INDEX('Fleet dates'!$D$9:$D$1008,$I939-8)))</x:f>
      </x:c>
      <x:c r="E939" s="51" t="str">
        <x:f>IF(931&gt;$H$4,"",IF(INDEX('Fleet dates'!$E$9:$E$1008,$I939-8)="","",INDEX('Fleet dates'!$E$9:$E$1008,$I939-8)))</x:f>
      </x:c>
      <x:c r="F939" s="51" t="str">
        <x:f>IF(931&gt;$H$4,"",IF(INDEX('Fleet dates'!$F$9:$F$1008,$I939-8)="","",INDEX('Fleet dates'!$F$9:$F$1008,$I939-8)))</x:f>
      </x:c>
      <x:c r="G939" s="50" t="str">
        <x:f>IF(931&gt;$H$4,"",IF(INDEX('Fleet dates'!$G$9:$G$1008,$I939-8)="","",INDEX('Fleet dates'!$G$9:$G$1008,$I939-8)))</x:f>
      </x:c>
      <x:c r="H939" s="50" t="str">
        <x:f>IF(931&gt;$H$4,"",IF(INDEX('Fleet dates'!$I$9:$I$1008,$I939-8)="","",INDEX('Fleet dates'!$I$9:$I$1008,$I939-8)))</x:f>
      </x:c>
      <x:c r="I939" t="str">
        <x:f>IF(931&gt;$H$4,"",MATCH(931,'Fleet dates'!$N$9:$N$1008,0)+8)</x:f>
      </x:c>
    </x:row>
    <x:row r="940" ht="36" customHeight="1">
      <x:c r="A940" s="50" t="str">
        <x:f>IF(932&gt;$H$4,"",IF(INDEX('Fleet dates'!$A$9:$A$1008,$I940-8)="","",INDEX('Fleet dates'!$A$9:$A$1008,$I940-8)))</x:f>
      </x:c>
      <x:c r="B940" s="50" t="str">
        <x:f>IF(932&gt;$H$4,"",IF(INDEX('Fleet dates'!$B$9:$B$1008,$I940-8)="","",INDEX('Fleet dates'!$B$9:$B$1008,$I940-8)))</x:f>
      </x:c>
      <x:c r="C940" s="51" t="str">
        <x:f>IF(932&gt;$H$4,"",IF(INDEX('Fleet dates'!$C$9:$C$1008,$I940-8)="","",INDEX('Fleet dates'!$C$9:$C$1008,$I940-8)))</x:f>
      </x:c>
      <x:c r="D940" s="51" t="str">
        <x:f>IF(932&gt;$H$4,"",IF(INDEX('Fleet dates'!$D$9:$D$1008,$I940-8)="","",INDEX('Fleet dates'!$D$9:$D$1008,$I940-8)))</x:f>
      </x:c>
      <x:c r="E940" s="51" t="str">
        <x:f>IF(932&gt;$H$4,"",IF(INDEX('Fleet dates'!$E$9:$E$1008,$I940-8)="","",INDEX('Fleet dates'!$E$9:$E$1008,$I940-8)))</x:f>
      </x:c>
      <x:c r="F940" s="51" t="str">
        <x:f>IF(932&gt;$H$4,"",IF(INDEX('Fleet dates'!$F$9:$F$1008,$I940-8)="","",INDEX('Fleet dates'!$F$9:$F$1008,$I940-8)))</x:f>
      </x:c>
      <x:c r="G940" s="50" t="str">
        <x:f>IF(932&gt;$H$4,"",IF(INDEX('Fleet dates'!$G$9:$G$1008,$I940-8)="","",INDEX('Fleet dates'!$G$9:$G$1008,$I940-8)))</x:f>
      </x:c>
      <x:c r="H940" s="50" t="str">
        <x:f>IF(932&gt;$H$4,"",IF(INDEX('Fleet dates'!$I$9:$I$1008,$I940-8)="","",INDEX('Fleet dates'!$I$9:$I$1008,$I940-8)))</x:f>
      </x:c>
      <x:c r="I940" t="str">
        <x:f>IF(932&gt;$H$4,"",MATCH(932,'Fleet dates'!$N$9:$N$1008,0)+8)</x:f>
      </x:c>
    </x:row>
    <x:row r="941" ht="36" customHeight="1">
      <x:c r="A941" s="50" t="str">
        <x:f>IF(933&gt;$H$4,"",IF(INDEX('Fleet dates'!$A$9:$A$1008,$I941-8)="","",INDEX('Fleet dates'!$A$9:$A$1008,$I941-8)))</x:f>
      </x:c>
      <x:c r="B941" s="50" t="str">
        <x:f>IF(933&gt;$H$4,"",IF(INDEX('Fleet dates'!$B$9:$B$1008,$I941-8)="","",INDEX('Fleet dates'!$B$9:$B$1008,$I941-8)))</x:f>
      </x:c>
      <x:c r="C941" s="51" t="str">
        <x:f>IF(933&gt;$H$4,"",IF(INDEX('Fleet dates'!$C$9:$C$1008,$I941-8)="","",INDEX('Fleet dates'!$C$9:$C$1008,$I941-8)))</x:f>
      </x:c>
      <x:c r="D941" s="51" t="str">
        <x:f>IF(933&gt;$H$4,"",IF(INDEX('Fleet dates'!$D$9:$D$1008,$I941-8)="","",INDEX('Fleet dates'!$D$9:$D$1008,$I941-8)))</x:f>
      </x:c>
      <x:c r="E941" s="51" t="str">
        <x:f>IF(933&gt;$H$4,"",IF(INDEX('Fleet dates'!$E$9:$E$1008,$I941-8)="","",INDEX('Fleet dates'!$E$9:$E$1008,$I941-8)))</x:f>
      </x:c>
      <x:c r="F941" s="51" t="str">
        <x:f>IF(933&gt;$H$4,"",IF(INDEX('Fleet dates'!$F$9:$F$1008,$I941-8)="","",INDEX('Fleet dates'!$F$9:$F$1008,$I941-8)))</x:f>
      </x:c>
      <x:c r="G941" s="50" t="str">
        <x:f>IF(933&gt;$H$4,"",IF(INDEX('Fleet dates'!$G$9:$G$1008,$I941-8)="","",INDEX('Fleet dates'!$G$9:$G$1008,$I941-8)))</x:f>
      </x:c>
      <x:c r="H941" s="50" t="str">
        <x:f>IF(933&gt;$H$4,"",IF(INDEX('Fleet dates'!$I$9:$I$1008,$I941-8)="","",INDEX('Fleet dates'!$I$9:$I$1008,$I941-8)))</x:f>
      </x:c>
      <x:c r="I941" t="str">
        <x:f>IF(933&gt;$H$4,"",MATCH(933,'Fleet dates'!$N$9:$N$1008,0)+8)</x:f>
      </x:c>
    </x:row>
    <x:row r="942" ht="36" customHeight="1">
      <x:c r="A942" s="50" t="str">
        <x:f>IF(934&gt;$H$4,"",IF(INDEX('Fleet dates'!$A$9:$A$1008,$I942-8)="","",INDEX('Fleet dates'!$A$9:$A$1008,$I942-8)))</x:f>
      </x:c>
      <x:c r="B942" s="50" t="str">
        <x:f>IF(934&gt;$H$4,"",IF(INDEX('Fleet dates'!$B$9:$B$1008,$I942-8)="","",INDEX('Fleet dates'!$B$9:$B$1008,$I942-8)))</x:f>
      </x:c>
      <x:c r="C942" s="51" t="str">
        <x:f>IF(934&gt;$H$4,"",IF(INDEX('Fleet dates'!$C$9:$C$1008,$I942-8)="","",INDEX('Fleet dates'!$C$9:$C$1008,$I942-8)))</x:f>
      </x:c>
      <x:c r="D942" s="51" t="str">
        <x:f>IF(934&gt;$H$4,"",IF(INDEX('Fleet dates'!$D$9:$D$1008,$I942-8)="","",INDEX('Fleet dates'!$D$9:$D$1008,$I942-8)))</x:f>
      </x:c>
      <x:c r="E942" s="51" t="str">
        <x:f>IF(934&gt;$H$4,"",IF(INDEX('Fleet dates'!$E$9:$E$1008,$I942-8)="","",INDEX('Fleet dates'!$E$9:$E$1008,$I942-8)))</x:f>
      </x:c>
      <x:c r="F942" s="51" t="str">
        <x:f>IF(934&gt;$H$4,"",IF(INDEX('Fleet dates'!$F$9:$F$1008,$I942-8)="","",INDEX('Fleet dates'!$F$9:$F$1008,$I942-8)))</x:f>
      </x:c>
      <x:c r="G942" s="50" t="str">
        <x:f>IF(934&gt;$H$4,"",IF(INDEX('Fleet dates'!$G$9:$G$1008,$I942-8)="","",INDEX('Fleet dates'!$G$9:$G$1008,$I942-8)))</x:f>
      </x:c>
      <x:c r="H942" s="50" t="str">
        <x:f>IF(934&gt;$H$4,"",IF(INDEX('Fleet dates'!$I$9:$I$1008,$I942-8)="","",INDEX('Fleet dates'!$I$9:$I$1008,$I942-8)))</x:f>
      </x:c>
      <x:c r="I942" t="str">
        <x:f>IF(934&gt;$H$4,"",MATCH(934,'Fleet dates'!$N$9:$N$1008,0)+8)</x:f>
      </x:c>
    </x:row>
    <x:row r="943" ht="36" customHeight="1">
      <x:c r="A943" s="50" t="str">
        <x:f>IF(935&gt;$H$4,"",IF(INDEX('Fleet dates'!$A$9:$A$1008,$I943-8)="","",INDEX('Fleet dates'!$A$9:$A$1008,$I943-8)))</x:f>
      </x:c>
      <x:c r="B943" s="50" t="str">
        <x:f>IF(935&gt;$H$4,"",IF(INDEX('Fleet dates'!$B$9:$B$1008,$I943-8)="","",INDEX('Fleet dates'!$B$9:$B$1008,$I943-8)))</x:f>
      </x:c>
      <x:c r="C943" s="51" t="str">
        <x:f>IF(935&gt;$H$4,"",IF(INDEX('Fleet dates'!$C$9:$C$1008,$I943-8)="","",INDEX('Fleet dates'!$C$9:$C$1008,$I943-8)))</x:f>
      </x:c>
      <x:c r="D943" s="51" t="str">
        <x:f>IF(935&gt;$H$4,"",IF(INDEX('Fleet dates'!$D$9:$D$1008,$I943-8)="","",INDEX('Fleet dates'!$D$9:$D$1008,$I943-8)))</x:f>
      </x:c>
      <x:c r="E943" s="51" t="str">
        <x:f>IF(935&gt;$H$4,"",IF(INDEX('Fleet dates'!$E$9:$E$1008,$I943-8)="","",INDEX('Fleet dates'!$E$9:$E$1008,$I943-8)))</x:f>
      </x:c>
      <x:c r="F943" s="51" t="str">
        <x:f>IF(935&gt;$H$4,"",IF(INDEX('Fleet dates'!$F$9:$F$1008,$I943-8)="","",INDEX('Fleet dates'!$F$9:$F$1008,$I943-8)))</x:f>
      </x:c>
      <x:c r="G943" s="50" t="str">
        <x:f>IF(935&gt;$H$4,"",IF(INDEX('Fleet dates'!$G$9:$G$1008,$I943-8)="","",INDEX('Fleet dates'!$G$9:$G$1008,$I943-8)))</x:f>
      </x:c>
      <x:c r="H943" s="50" t="str">
        <x:f>IF(935&gt;$H$4,"",IF(INDEX('Fleet dates'!$I$9:$I$1008,$I943-8)="","",INDEX('Fleet dates'!$I$9:$I$1008,$I943-8)))</x:f>
      </x:c>
      <x:c r="I943" t="str">
        <x:f>IF(935&gt;$H$4,"",MATCH(935,'Fleet dates'!$N$9:$N$1008,0)+8)</x:f>
      </x:c>
    </x:row>
    <x:row r="944" ht="36" customHeight="1">
      <x:c r="A944" s="50" t="str">
        <x:f>IF(936&gt;$H$4,"",IF(INDEX('Fleet dates'!$A$9:$A$1008,$I944-8)="","",INDEX('Fleet dates'!$A$9:$A$1008,$I944-8)))</x:f>
      </x:c>
      <x:c r="B944" s="50" t="str">
        <x:f>IF(936&gt;$H$4,"",IF(INDEX('Fleet dates'!$B$9:$B$1008,$I944-8)="","",INDEX('Fleet dates'!$B$9:$B$1008,$I944-8)))</x:f>
      </x:c>
      <x:c r="C944" s="51" t="str">
        <x:f>IF(936&gt;$H$4,"",IF(INDEX('Fleet dates'!$C$9:$C$1008,$I944-8)="","",INDEX('Fleet dates'!$C$9:$C$1008,$I944-8)))</x:f>
      </x:c>
      <x:c r="D944" s="51" t="str">
        <x:f>IF(936&gt;$H$4,"",IF(INDEX('Fleet dates'!$D$9:$D$1008,$I944-8)="","",INDEX('Fleet dates'!$D$9:$D$1008,$I944-8)))</x:f>
      </x:c>
      <x:c r="E944" s="51" t="str">
        <x:f>IF(936&gt;$H$4,"",IF(INDEX('Fleet dates'!$E$9:$E$1008,$I944-8)="","",INDEX('Fleet dates'!$E$9:$E$1008,$I944-8)))</x:f>
      </x:c>
      <x:c r="F944" s="51" t="str">
        <x:f>IF(936&gt;$H$4,"",IF(INDEX('Fleet dates'!$F$9:$F$1008,$I944-8)="","",INDEX('Fleet dates'!$F$9:$F$1008,$I944-8)))</x:f>
      </x:c>
      <x:c r="G944" s="50" t="str">
        <x:f>IF(936&gt;$H$4,"",IF(INDEX('Fleet dates'!$G$9:$G$1008,$I944-8)="","",INDEX('Fleet dates'!$G$9:$G$1008,$I944-8)))</x:f>
      </x:c>
      <x:c r="H944" s="50" t="str">
        <x:f>IF(936&gt;$H$4,"",IF(INDEX('Fleet dates'!$I$9:$I$1008,$I944-8)="","",INDEX('Fleet dates'!$I$9:$I$1008,$I944-8)))</x:f>
      </x:c>
      <x:c r="I944" t="str">
        <x:f>IF(936&gt;$H$4,"",MATCH(936,'Fleet dates'!$N$9:$N$1008,0)+8)</x:f>
      </x:c>
    </x:row>
    <x:row r="945" ht="36" customHeight="1">
      <x:c r="A945" s="50" t="str">
        <x:f>IF(937&gt;$H$4,"",IF(INDEX('Fleet dates'!$A$9:$A$1008,$I945-8)="","",INDEX('Fleet dates'!$A$9:$A$1008,$I945-8)))</x:f>
      </x:c>
      <x:c r="B945" s="50" t="str">
        <x:f>IF(937&gt;$H$4,"",IF(INDEX('Fleet dates'!$B$9:$B$1008,$I945-8)="","",INDEX('Fleet dates'!$B$9:$B$1008,$I945-8)))</x:f>
      </x:c>
      <x:c r="C945" s="51" t="str">
        <x:f>IF(937&gt;$H$4,"",IF(INDEX('Fleet dates'!$C$9:$C$1008,$I945-8)="","",INDEX('Fleet dates'!$C$9:$C$1008,$I945-8)))</x:f>
      </x:c>
      <x:c r="D945" s="51" t="str">
        <x:f>IF(937&gt;$H$4,"",IF(INDEX('Fleet dates'!$D$9:$D$1008,$I945-8)="","",INDEX('Fleet dates'!$D$9:$D$1008,$I945-8)))</x:f>
      </x:c>
      <x:c r="E945" s="51" t="str">
        <x:f>IF(937&gt;$H$4,"",IF(INDEX('Fleet dates'!$E$9:$E$1008,$I945-8)="","",INDEX('Fleet dates'!$E$9:$E$1008,$I945-8)))</x:f>
      </x:c>
      <x:c r="F945" s="51" t="str">
        <x:f>IF(937&gt;$H$4,"",IF(INDEX('Fleet dates'!$F$9:$F$1008,$I945-8)="","",INDEX('Fleet dates'!$F$9:$F$1008,$I945-8)))</x:f>
      </x:c>
      <x:c r="G945" s="50" t="str">
        <x:f>IF(937&gt;$H$4,"",IF(INDEX('Fleet dates'!$G$9:$G$1008,$I945-8)="","",INDEX('Fleet dates'!$G$9:$G$1008,$I945-8)))</x:f>
      </x:c>
      <x:c r="H945" s="50" t="str">
        <x:f>IF(937&gt;$H$4,"",IF(INDEX('Fleet dates'!$I$9:$I$1008,$I945-8)="","",INDEX('Fleet dates'!$I$9:$I$1008,$I945-8)))</x:f>
      </x:c>
      <x:c r="I945" t="str">
        <x:f>IF(937&gt;$H$4,"",MATCH(937,'Fleet dates'!$N$9:$N$1008,0)+8)</x:f>
      </x:c>
    </x:row>
    <x:row r="946" ht="36" customHeight="1">
      <x:c r="A946" s="50" t="str">
        <x:f>IF(938&gt;$H$4,"",IF(INDEX('Fleet dates'!$A$9:$A$1008,$I946-8)="","",INDEX('Fleet dates'!$A$9:$A$1008,$I946-8)))</x:f>
      </x:c>
      <x:c r="B946" s="50" t="str">
        <x:f>IF(938&gt;$H$4,"",IF(INDEX('Fleet dates'!$B$9:$B$1008,$I946-8)="","",INDEX('Fleet dates'!$B$9:$B$1008,$I946-8)))</x:f>
      </x:c>
      <x:c r="C946" s="51" t="str">
        <x:f>IF(938&gt;$H$4,"",IF(INDEX('Fleet dates'!$C$9:$C$1008,$I946-8)="","",INDEX('Fleet dates'!$C$9:$C$1008,$I946-8)))</x:f>
      </x:c>
      <x:c r="D946" s="51" t="str">
        <x:f>IF(938&gt;$H$4,"",IF(INDEX('Fleet dates'!$D$9:$D$1008,$I946-8)="","",INDEX('Fleet dates'!$D$9:$D$1008,$I946-8)))</x:f>
      </x:c>
      <x:c r="E946" s="51" t="str">
        <x:f>IF(938&gt;$H$4,"",IF(INDEX('Fleet dates'!$E$9:$E$1008,$I946-8)="","",INDEX('Fleet dates'!$E$9:$E$1008,$I946-8)))</x:f>
      </x:c>
      <x:c r="F946" s="51" t="str">
        <x:f>IF(938&gt;$H$4,"",IF(INDEX('Fleet dates'!$F$9:$F$1008,$I946-8)="","",INDEX('Fleet dates'!$F$9:$F$1008,$I946-8)))</x:f>
      </x:c>
      <x:c r="G946" s="50" t="str">
        <x:f>IF(938&gt;$H$4,"",IF(INDEX('Fleet dates'!$G$9:$G$1008,$I946-8)="","",INDEX('Fleet dates'!$G$9:$G$1008,$I946-8)))</x:f>
      </x:c>
      <x:c r="H946" s="50" t="str">
        <x:f>IF(938&gt;$H$4,"",IF(INDEX('Fleet dates'!$I$9:$I$1008,$I946-8)="","",INDEX('Fleet dates'!$I$9:$I$1008,$I946-8)))</x:f>
      </x:c>
      <x:c r="I946" t="str">
        <x:f>IF(938&gt;$H$4,"",MATCH(938,'Fleet dates'!$N$9:$N$1008,0)+8)</x:f>
      </x:c>
    </x:row>
    <x:row r="947" ht="36" customHeight="1">
      <x:c r="A947" s="50" t="str">
        <x:f>IF(939&gt;$H$4,"",IF(INDEX('Fleet dates'!$A$9:$A$1008,$I947-8)="","",INDEX('Fleet dates'!$A$9:$A$1008,$I947-8)))</x:f>
      </x:c>
      <x:c r="B947" s="50" t="str">
        <x:f>IF(939&gt;$H$4,"",IF(INDEX('Fleet dates'!$B$9:$B$1008,$I947-8)="","",INDEX('Fleet dates'!$B$9:$B$1008,$I947-8)))</x:f>
      </x:c>
      <x:c r="C947" s="51" t="str">
        <x:f>IF(939&gt;$H$4,"",IF(INDEX('Fleet dates'!$C$9:$C$1008,$I947-8)="","",INDEX('Fleet dates'!$C$9:$C$1008,$I947-8)))</x:f>
      </x:c>
      <x:c r="D947" s="51" t="str">
        <x:f>IF(939&gt;$H$4,"",IF(INDEX('Fleet dates'!$D$9:$D$1008,$I947-8)="","",INDEX('Fleet dates'!$D$9:$D$1008,$I947-8)))</x:f>
      </x:c>
      <x:c r="E947" s="51" t="str">
        <x:f>IF(939&gt;$H$4,"",IF(INDEX('Fleet dates'!$E$9:$E$1008,$I947-8)="","",INDEX('Fleet dates'!$E$9:$E$1008,$I947-8)))</x:f>
      </x:c>
      <x:c r="F947" s="51" t="str">
        <x:f>IF(939&gt;$H$4,"",IF(INDEX('Fleet dates'!$F$9:$F$1008,$I947-8)="","",INDEX('Fleet dates'!$F$9:$F$1008,$I947-8)))</x:f>
      </x:c>
      <x:c r="G947" s="50" t="str">
        <x:f>IF(939&gt;$H$4,"",IF(INDEX('Fleet dates'!$G$9:$G$1008,$I947-8)="","",INDEX('Fleet dates'!$G$9:$G$1008,$I947-8)))</x:f>
      </x:c>
      <x:c r="H947" s="50" t="str">
        <x:f>IF(939&gt;$H$4,"",IF(INDEX('Fleet dates'!$I$9:$I$1008,$I947-8)="","",INDEX('Fleet dates'!$I$9:$I$1008,$I947-8)))</x:f>
      </x:c>
      <x:c r="I947" t="str">
        <x:f>IF(939&gt;$H$4,"",MATCH(939,'Fleet dates'!$N$9:$N$1008,0)+8)</x:f>
      </x:c>
    </x:row>
    <x:row r="948" ht="36" customHeight="1">
      <x:c r="A948" s="50" t="str">
        <x:f>IF(940&gt;$H$4,"",IF(INDEX('Fleet dates'!$A$9:$A$1008,$I948-8)="","",INDEX('Fleet dates'!$A$9:$A$1008,$I948-8)))</x:f>
      </x:c>
      <x:c r="B948" s="50" t="str">
        <x:f>IF(940&gt;$H$4,"",IF(INDEX('Fleet dates'!$B$9:$B$1008,$I948-8)="","",INDEX('Fleet dates'!$B$9:$B$1008,$I948-8)))</x:f>
      </x:c>
      <x:c r="C948" s="51" t="str">
        <x:f>IF(940&gt;$H$4,"",IF(INDEX('Fleet dates'!$C$9:$C$1008,$I948-8)="","",INDEX('Fleet dates'!$C$9:$C$1008,$I948-8)))</x:f>
      </x:c>
      <x:c r="D948" s="51" t="str">
        <x:f>IF(940&gt;$H$4,"",IF(INDEX('Fleet dates'!$D$9:$D$1008,$I948-8)="","",INDEX('Fleet dates'!$D$9:$D$1008,$I948-8)))</x:f>
      </x:c>
      <x:c r="E948" s="51" t="str">
        <x:f>IF(940&gt;$H$4,"",IF(INDEX('Fleet dates'!$E$9:$E$1008,$I948-8)="","",INDEX('Fleet dates'!$E$9:$E$1008,$I948-8)))</x:f>
      </x:c>
      <x:c r="F948" s="51" t="str">
        <x:f>IF(940&gt;$H$4,"",IF(INDEX('Fleet dates'!$F$9:$F$1008,$I948-8)="","",INDEX('Fleet dates'!$F$9:$F$1008,$I948-8)))</x:f>
      </x:c>
      <x:c r="G948" s="50" t="str">
        <x:f>IF(940&gt;$H$4,"",IF(INDEX('Fleet dates'!$G$9:$G$1008,$I948-8)="","",INDEX('Fleet dates'!$G$9:$G$1008,$I948-8)))</x:f>
      </x:c>
      <x:c r="H948" s="50" t="str">
        <x:f>IF(940&gt;$H$4,"",IF(INDEX('Fleet dates'!$I$9:$I$1008,$I948-8)="","",INDEX('Fleet dates'!$I$9:$I$1008,$I948-8)))</x:f>
      </x:c>
      <x:c r="I948" t="str">
        <x:f>IF(940&gt;$H$4,"",MATCH(940,'Fleet dates'!$N$9:$N$1008,0)+8)</x:f>
      </x:c>
    </x:row>
    <x:row r="949" ht="36" customHeight="1">
      <x:c r="A949" s="50" t="str">
        <x:f>IF(941&gt;$H$4,"",IF(INDEX('Fleet dates'!$A$9:$A$1008,$I949-8)="","",INDEX('Fleet dates'!$A$9:$A$1008,$I949-8)))</x:f>
      </x:c>
      <x:c r="B949" s="50" t="str">
        <x:f>IF(941&gt;$H$4,"",IF(INDEX('Fleet dates'!$B$9:$B$1008,$I949-8)="","",INDEX('Fleet dates'!$B$9:$B$1008,$I949-8)))</x:f>
      </x:c>
      <x:c r="C949" s="51" t="str">
        <x:f>IF(941&gt;$H$4,"",IF(INDEX('Fleet dates'!$C$9:$C$1008,$I949-8)="","",INDEX('Fleet dates'!$C$9:$C$1008,$I949-8)))</x:f>
      </x:c>
      <x:c r="D949" s="51" t="str">
        <x:f>IF(941&gt;$H$4,"",IF(INDEX('Fleet dates'!$D$9:$D$1008,$I949-8)="","",INDEX('Fleet dates'!$D$9:$D$1008,$I949-8)))</x:f>
      </x:c>
      <x:c r="E949" s="51" t="str">
        <x:f>IF(941&gt;$H$4,"",IF(INDEX('Fleet dates'!$E$9:$E$1008,$I949-8)="","",INDEX('Fleet dates'!$E$9:$E$1008,$I949-8)))</x:f>
      </x:c>
      <x:c r="F949" s="51" t="str">
        <x:f>IF(941&gt;$H$4,"",IF(INDEX('Fleet dates'!$F$9:$F$1008,$I949-8)="","",INDEX('Fleet dates'!$F$9:$F$1008,$I949-8)))</x:f>
      </x:c>
      <x:c r="G949" s="50" t="str">
        <x:f>IF(941&gt;$H$4,"",IF(INDEX('Fleet dates'!$G$9:$G$1008,$I949-8)="","",INDEX('Fleet dates'!$G$9:$G$1008,$I949-8)))</x:f>
      </x:c>
      <x:c r="H949" s="50" t="str">
        <x:f>IF(941&gt;$H$4,"",IF(INDEX('Fleet dates'!$I$9:$I$1008,$I949-8)="","",INDEX('Fleet dates'!$I$9:$I$1008,$I949-8)))</x:f>
      </x:c>
      <x:c r="I949" t="str">
        <x:f>IF(941&gt;$H$4,"",MATCH(941,'Fleet dates'!$N$9:$N$1008,0)+8)</x:f>
      </x:c>
    </x:row>
    <x:row r="950" ht="36" customHeight="1">
      <x:c r="A950" s="50" t="str">
        <x:f>IF(942&gt;$H$4,"",IF(INDEX('Fleet dates'!$A$9:$A$1008,$I950-8)="","",INDEX('Fleet dates'!$A$9:$A$1008,$I950-8)))</x:f>
      </x:c>
      <x:c r="B950" s="50" t="str">
        <x:f>IF(942&gt;$H$4,"",IF(INDEX('Fleet dates'!$B$9:$B$1008,$I950-8)="","",INDEX('Fleet dates'!$B$9:$B$1008,$I950-8)))</x:f>
      </x:c>
      <x:c r="C950" s="51" t="str">
        <x:f>IF(942&gt;$H$4,"",IF(INDEX('Fleet dates'!$C$9:$C$1008,$I950-8)="","",INDEX('Fleet dates'!$C$9:$C$1008,$I950-8)))</x:f>
      </x:c>
      <x:c r="D950" s="51" t="str">
        <x:f>IF(942&gt;$H$4,"",IF(INDEX('Fleet dates'!$D$9:$D$1008,$I950-8)="","",INDEX('Fleet dates'!$D$9:$D$1008,$I950-8)))</x:f>
      </x:c>
      <x:c r="E950" s="51" t="str">
        <x:f>IF(942&gt;$H$4,"",IF(INDEX('Fleet dates'!$E$9:$E$1008,$I950-8)="","",INDEX('Fleet dates'!$E$9:$E$1008,$I950-8)))</x:f>
      </x:c>
      <x:c r="F950" s="51" t="str">
        <x:f>IF(942&gt;$H$4,"",IF(INDEX('Fleet dates'!$F$9:$F$1008,$I950-8)="","",INDEX('Fleet dates'!$F$9:$F$1008,$I950-8)))</x:f>
      </x:c>
      <x:c r="G950" s="50" t="str">
        <x:f>IF(942&gt;$H$4,"",IF(INDEX('Fleet dates'!$G$9:$G$1008,$I950-8)="","",INDEX('Fleet dates'!$G$9:$G$1008,$I950-8)))</x:f>
      </x:c>
      <x:c r="H950" s="50" t="str">
        <x:f>IF(942&gt;$H$4,"",IF(INDEX('Fleet dates'!$I$9:$I$1008,$I950-8)="","",INDEX('Fleet dates'!$I$9:$I$1008,$I950-8)))</x:f>
      </x:c>
      <x:c r="I950" t="str">
        <x:f>IF(942&gt;$H$4,"",MATCH(942,'Fleet dates'!$N$9:$N$1008,0)+8)</x:f>
      </x:c>
    </x:row>
    <x:row r="951" ht="36" customHeight="1">
      <x:c r="A951" s="50" t="str">
        <x:f>IF(943&gt;$H$4,"",IF(INDEX('Fleet dates'!$A$9:$A$1008,$I951-8)="","",INDEX('Fleet dates'!$A$9:$A$1008,$I951-8)))</x:f>
      </x:c>
      <x:c r="B951" s="50" t="str">
        <x:f>IF(943&gt;$H$4,"",IF(INDEX('Fleet dates'!$B$9:$B$1008,$I951-8)="","",INDEX('Fleet dates'!$B$9:$B$1008,$I951-8)))</x:f>
      </x:c>
      <x:c r="C951" s="51" t="str">
        <x:f>IF(943&gt;$H$4,"",IF(INDEX('Fleet dates'!$C$9:$C$1008,$I951-8)="","",INDEX('Fleet dates'!$C$9:$C$1008,$I951-8)))</x:f>
      </x:c>
      <x:c r="D951" s="51" t="str">
        <x:f>IF(943&gt;$H$4,"",IF(INDEX('Fleet dates'!$D$9:$D$1008,$I951-8)="","",INDEX('Fleet dates'!$D$9:$D$1008,$I951-8)))</x:f>
      </x:c>
      <x:c r="E951" s="51" t="str">
        <x:f>IF(943&gt;$H$4,"",IF(INDEX('Fleet dates'!$E$9:$E$1008,$I951-8)="","",INDEX('Fleet dates'!$E$9:$E$1008,$I951-8)))</x:f>
      </x:c>
      <x:c r="F951" s="51" t="str">
        <x:f>IF(943&gt;$H$4,"",IF(INDEX('Fleet dates'!$F$9:$F$1008,$I951-8)="","",INDEX('Fleet dates'!$F$9:$F$1008,$I951-8)))</x:f>
      </x:c>
      <x:c r="G951" s="50" t="str">
        <x:f>IF(943&gt;$H$4,"",IF(INDEX('Fleet dates'!$G$9:$G$1008,$I951-8)="","",INDEX('Fleet dates'!$G$9:$G$1008,$I951-8)))</x:f>
      </x:c>
      <x:c r="H951" s="50" t="str">
        <x:f>IF(943&gt;$H$4,"",IF(INDEX('Fleet dates'!$I$9:$I$1008,$I951-8)="","",INDEX('Fleet dates'!$I$9:$I$1008,$I951-8)))</x:f>
      </x:c>
      <x:c r="I951" t="str">
        <x:f>IF(943&gt;$H$4,"",MATCH(943,'Fleet dates'!$N$9:$N$1008,0)+8)</x:f>
      </x:c>
    </x:row>
    <x:row r="952" ht="36" customHeight="1">
      <x:c r="A952" s="50" t="str">
        <x:f>IF(944&gt;$H$4,"",IF(INDEX('Fleet dates'!$A$9:$A$1008,$I952-8)="","",INDEX('Fleet dates'!$A$9:$A$1008,$I952-8)))</x:f>
      </x:c>
      <x:c r="B952" s="50" t="str">
        <x:f>IF(944&gt;$H$4,"",IF(INDEX('Fleet dates'!$B$9:$B$1008,$I952-8)="","",INDEX('Fleet dates'!$B$9:$B$1008,$I952-8)))</x:f>
      </x:c>
      <x:c r="C952" s="51" t="str">
        <x:f>IF(944&gt;$H$4,"",IF(INDEX('Fleet dates'!$C$9:$C$1008,$I952-8)="","",INDEX('Fleet dates'!$C$9:$C$1008,$I952-8)))</x:f>
      </x:c>
      <x:c r="D952" s="51" t="str">
        <x:f>IF(944&gt;$H$4,"",IF(INDEX('Fleet dates'!$D$9:$D$1008,$I952-8)="","",INDEX('Fleet dates'!$D$9:$D$1008,$I952-8)))</x:f>
      </x:c>
      <x:c r="E952" s="51" t="str">
        <x:f>IF(944&gt;$H$4,"",IF(INDEX('Fleet dates'!$E$9:$E$1008,$I952-8)="","",INDEX('Fleet dates'!$E$9:$E$1008,$I952-8)))</x:f>
      </x:c>
      <x:c r="F952" s="51" t="str">
        <x:f>IF(944&gt;$H$4,"",IF(INDEX('Fleet dates'!$F$9:$F$1008,$I952-8)="","",INDEX('Fleet dates'!$F$9:$F$1008,$I952-8)))</x:f>
      </x:c>
      <x:c r="G952" s="50" t="str">
        <x:f>IF(944&gt;$H$4,"",IF(INDEX('Fleet dates'!$G$9:$G$1008,$I952-8)="","",INDEX('Fleet dates'!$G$9:$G$1008,$I952-8)))</x:f>
      </x:c>
      <x:c r="H952" s="50" t="str">
        <x:f>IF(944&gt;$H$4,"",IF(INDEX('Fleet dates'!$I$9:$I$1008,$I952-8)="","",INDEX('Fleet dates'!$I$9:$I$1008,$I952-8)))</x:f>
      </x:c>
      <x:c r="I952" t="str">
        <x:f>IF(944&gt;$H$4,"",MATCH(944,'Fleet dates'!$N$9:$N$1008,0)+8)</x:f>
      </x:c>
    </x:row>
    <x:row r="953" ht="36" customHeight="1">
      <x:c r="A953" s="50" t="str">
        <x:f>IF(945&gt;$H$4,"",IF(INDEX('Fleet dates'!$A$9:$A$1008,$I953-8)="","",INDEX('Fleet dates'!$A$9:$A$1008,$I953-8)))</x:f>
      </x:c>
      <x:c r="B953" s="50" t="str">
        <x:f>IF(945&gt;$H$4,"",IF(INDEX('Fleet dates'!$B$9:$B$1008,$I953-8)="","",INDEX('Fleet dates'!$B$9:$B$1008,$I953-8)))</x:f>
      </x:c>
      <x:c r="C953" s="51" t="str">
        <x:f>IF(945&gt;$H$4,"",IF(INDEX('Fleet dates'!$C$9:$C$1008,$I953-8)="","",INDEX('Fleet dates'!$C$9:$C$1008,$I953-8)))</x:f>
      </x:c>
      <x:c r="D953" s="51" t="str">
        <x:f>IF(945&gt;$H$4,"",IF(INDEX('Fleet dates'!$D$9:$D$1008,$I953-8)="","",INDEX('Fleet dates'!$D$9:$D$1008,$I953-8)))</x:f>
      </x:c>
      <x:c r="E953" s="51" t="str">
        <x:f>IF(945&gt;$H$4,"",IF(INDEX('Fleet dates'!$E$9:$E$1008,$I953-8)="","",INDEX('Fleet dates'!$E$9:$E$1008,$I953-8)))</x:f>
      </x:c>
      <x:c r="F953" s="51" t="str">
        <x:f>IF(945&gt;$H$4,"",IF(INDEX('Fleet dates'!$F$9:$F$1008,$I953-8)="","",INDEX('Fleet dates'!$F$9:$F$1008,$I953-8)))</x:f>
      </x:c>
      <x:c r="G953" s="50" t="str">
        <x:f>IF(945&gt;$H$4,"",IF(INDEX('Fleet dates'!$G$9:$G$1008,$I953-8)="","",INDEX('Fleet dates'!$G$9:$G$1008,$I953-8)))</x:f>
      </x:c>
      <x:c r="H953" s="50" t="str">
        <x:f>IF(945&gt;$H$4,"",IF(INDEX('Fleet dates'!$I$9:$I$1008,$I953-8)="","",INDEX('Fleet dates'!$I$9:$I$1008,$I953-8)))</x:f>
      </x:c>
      <x:c r="I953" t="str">
        <x:f>IF(945&gt;$H$4,"",MATCH(945,'Fleet dates'!$N$9:$N$1008,0)+8)</x:f>
      </x:c>
    </x:row>
    <x:row r="954" ht="36" customHeight="1">
      <x:c r="A954" s="50" t="str">
        <x:f>IF(946&gt;$H$4,"",IF(INDEX('Fleet dates'!$A$9:$A$1008,$I954-8)="","",INDEX('Fleet dates'!$A$9:$A$1008,$I954-8)))</x:f>
      </x:c>
      <x:c r="B954" s="50" t="str">
        <x:f>IF(946&gt;$H$4,"",IF(INDEX('Fleet dates'!$B$9:$B$1008,$I954-8)="","",INDEX('Fleet dates'!$B$9:$B$1008,$I954-8)))</x:f>
      </x:c>
      <x:c r="C954" s="51" t="str">
        <x:f>IF(946&gt;$H$4,"",IF(INDEX('Fleet dates'!$C$9:$C$1008,$I954-8)="","",INDEX('Fleet dates'!$C$9:$C$1008,$I954-8)))</x:f>
      </x:c>
      <x:c r="D954" s="51" t="str">
        <x:f>IF(946&gt;$H$4,"",IF(INDEX('Fleet dates'!$D$9:$D$1008,$I954-8)="","",INDEX('Fleet dates'!$D$9:$D$1008,$I954-8)))</x:f>
      </x:c>
      <x:c r="E954" s="51" t="str">
        <x:f>IF(946&gt;$H$4,"",IF(INDEX('Fleet dates'!$E$9:$E$1008,$I954-8)="","",INDEX('Fleet dates'!$E$9:$E$1008,$I954-8)))</x:f>
      </x:c>
      <x:c r="F954" s="51" t="str">
        <x:f>IF(946&gt;$H$4,"",IF(INDEX('Fleet dates'!$F$9:$F$1008,$I954-8)="","",INDEX('Fleet dates'!$F$9:$F$1008,$I954-8)))</x:f>
      </x:c>
      <x:c r="G954" s="50" t="str">
        <x:f>IF(946&gt;$H$4,"",IF(INDEX('Fleet dates'!$G$9:$G$1008,$I954-8)="","",INDEX('Fleet dates'!$G$9:$G$1008,$I954-8)))</x:f>
      </x:c>
      <x:c r="H954" s="50" t="str">
        <x:f>IF(946&gt;$H$4,"",IF(INDEX('Fleet dates'!$I$9:$I$1008,$I954-8)="","",INDEX('Fleet dates'!$I$9:$I$1008,$I954-8)))</x:f>
      </x:c>
      <x:c r="I954" t="str">
        <x:f>IF(946&gt;$H$4,"",MATCH(946,'Fleet dates'!$N$9:$N$1008,0)+8)</x:f>
      </x:c>
    </x:row>
    <x:row r="955" ht="36" customHeight="1">
      <x:c r="A955" s="50" t="str">
        <x:f>IF(947&gt;$H$4,"",IF(INDEX('Fleet dates'!$A$9:$A$1008,$I955-8)="","",INDEX('Fleet dates'!$A$9:$A$1008,$I955-8)))</x:f>
      </x:c>
      <x:c r="B955" s="50" t="str">
        <x:f>IF(947&gt;$H$4,"",IF(INDEX('Fleet dates'!$B$9:$B$1008,$I955-8)="","",INDEX('Fleet dates'!$B$9:$B$1008,$I955-8)))</x:f>
      </x:c>
      <x:c r="C955" s="51" t="str">
        <x:f>IF(947&gt;$H$4,"",IF(INDEX('Fleet dates'!$C$9:$C$1008,$I955-8)="","",INDEX('Fleet dates'!$C$9:$C$1008,$I955-8)))</x:f>
      </x:c>
      <x:c r="D955" s="51" t="str">
        <x:f>IF(947&gt;$H$4,"",IF(INDEX('Fleet dates'!$D$9:$D$1008,$I955-8)="","",INDEX('Fleet dates'!$D$9:$D$1008,$I955-8)))</x:f>
      </x:c>
      <x:c r="E955" s="51" t="str">
        <x:f>IF(947&gt;$H$4,"",IF(INDEX('Fleet dates'!$E$9:$E$1008,$I955-8)="","",INDEX('Fleet dates'!$E$9:$E$1008,$I955-8)))</x:f>
      </x:c>
      <x:c r="F955" s="51" t="str">
        <x:f>IF(947&gt;$H$4,"",IF(INDEX('Fleet dates'!$F$9:$F$1008,$I955-8)="","",INDEX('Fleet dates'!$F$9:$F$1008,$I955-8)))</x:f>
      </x:c>
      <x:c r="G955" s="50" t="str">
        <x:f>IF(947&gt;$H$4,"",IF(INDEX('Fleet dates'!$G$9:$G$1008,$I955-8)="","",INDEX('Fleet dates'!$G$9:$G$1008,$I955-8)))</x:f>
      </x:c>
      <x:c r="H955" s="50" t="str">
        <x:f>IF(947&gt;$H$4,"",IF(INDEX('Fleet dates'!$I$9:$I$1008,$I955-8)="","",INDEX('Fleet dates'!$I$9:$I$1008,$I955-8)))</x:f>
      </x:c>
      <x:c r="I955" t="str">
        <x:f>IF(947&gt;$H$4,"",MATCH(947,'Fleet dates'!$N$9:$N$1008,0)+8)</x:f>
      </x:c>
    </x:row>
    <x:row r="956" ht="36" customHeight="1">
      <x:c r="A956" s="50" t="str">
        <x:f>IF(948&gt;$H$4,"",IF(INDEX('Fleet dates'!$A$9:$A$1008,$I956-8)="","",INDEX('Fleet dates'!$A$9:$A$1008,$I956-8)))</x:f>
      </x:c>
      <x:c r="B956" s="50" t="str">
        <x:f>IF(948&gt;$H$4,"",IF(INDEX('Fleet dates'!$B$9:$B$1008,$I956-8)="","",INDEX('Fleet dates'!$B$9:$B$1008,$I956-8)))</x:f>
      </x:c>
      <x:c r="C956" s="51" t="str">
        <x:f>IF(948&gt;$H$4,"",IF(INDEX('Fleet dates'!$C$9:$C$1008,$I956-8)="","",INDEX('Fleet dates'!$C$9:$C$1008,$I956-8)))</x:f>
      </x:c>
      <x:c r="D956" s="51" t="str">
        <x:f>IF(948&gt;$H$4,"",IF(INDEX('Fleet dates'!$D$9:$D$1008,$I956-8)="","",INDEX('Fleet dates'!$D$9:$D$1008,$I956-8)))</x:f>
      </x:c>
      <x:c r="E956" s="51" t="str">
        <x:f>IF(948&gt;$H$4,"",IF(INDEX('Fleet dates'!$E$9:$E$1008,$I956-8)="","",INDEX('Fleet dates'!$E$9:$E$1008,$I956-8)))</x:f>
      </x:c>
      <x:c r="F956" s="51" t="str">
        <x:f>IF(948&gt;$H$4,"",IF(INDEX('Fleet dates'!$F$9:$F$1008,$I956-8)="","",INDEX('Fleet dates'!$F$9:$F$1008,$I956-8)))</x:f>
      </x:c>
      <x:c r="G956" s="50" t="str">
        <x:f>IF(948&gt;$H$4,"",IF(INDEX('Fleet dates'!$G$9:$G$1008,$I956-8)="","",INDEX('Fleet dates'!$G$9:$G$1008,$I956-8)))</x:f>
      </x:c>
      <x:c r="H956" s="50" t="str">
        <x:f>IF(948&gt;$H$4,"",IF(INDEX('Fleet dates'!$I$9:$I$1008,$I956-8)="","",INDEX('Fleet dates'!$I$9:$I$1008,$I956-8)))</x:f>
      </x:c>
      <x:c r="I956" t="str">
        <x:f>IF(948&gt;$H$4,"",MATCH(948,'Fleet dates'!$N$9:$N$1008,0)+8)</x:f>
      </x:c>
    </x:row>
    <x:row r="957" ht="36" customHeight="1">
      <x:c r="A957" s="50" t="str">
        <x:f>IF(949&gt;$H$4,"",IF(INDEX('Fleet dates'!$A$9:$A$1008,$I957-8)="","",INDEX('Fleet dates'!$A$9:$A$1008,$I957-8)))</x:f>
      </x:c>
      <x:c r="B957" s="50" t="str">
        <x:f>IF(949&gt;$H$4,"",IF(INDEX('Fleet dates'!$B$9:$B$1008,$I957-8)="","",INDEX('Fleet dates'!$B$9:$B$1008,$I957-8)))</x:f>
      </x:c>
      <x:c r="C957" s="51" t="str">
        <x:f>IF(949&gt;$H$4,"",IF(INDEX('Fleet dates'!$C$9:$C$1008,$I957-8)="","",INDEX('Fleet dates'!$C$9:$C$1008,$I957-8)))</x:f>
      </x:c>
      <x:c r="D957" s="51" t="str">
        <x:f>IF(949&gt;$H$4,"",IF(INDEX('Fleet dates'!$D$9:$D$1008,$I957-8)="","",INDEX('Fleet dates'!$D$9:$D$1008,$I957-8)))</x:f>
      </x:c>
      <x:c r="E957" s="51" t="str">
        <x:f>IF(949&gt;$H$4,"",IF(INDEX('Fleet dates'!$E$9:$E$1008,$I957-8)="","",INDEX('Fleet dates'!$E$9:$E$1008,$I957-8)))</x:f>
      </x:c>
      <x:c r="F957" s="51" t="str">
        <x:f>IF(949&gt;$H$4,"",IF(INDEX('Fleet dates'!$F$9:$F$1008,$I957-8)="","",INDEX('Fleet dates'!$F$9:$F$1008,$I957-8)))</x:f>
      </x:c>
      <x:c r="G957" s="50" t="str">
        <x:f>IF(949&gt;$H$4,"",IF(INDEX('Fleet dates'!$G$9:$G$1008,$I957-8)="","",INDEX('Fleet dates'!$G$9:$G$1008,$I957-8)))</x:f>
      </x:c>
      <x:c r="H957" s="50" t="str">
        <x:f>IF(949&gt;$H$4,"",IF(INDEX('Fleet dates'!$I$9:$I$1008,$I957-8)="","",INDEX('Fleet dates'!$I$9:$I$1008,$I957-8)))</x:f>
      </x:c>
      <x:c r="I957" t="str">
        <x:f>IF(949&gt;$H$4,"",MATCH(949,'Fleet dates'!$N$9:$N$1008,0)+8)</x:f>
      </x:c>
    </x:row>
    <x:row r="958" ht="36" customHeight="1">
      <x:c r="A958" s="50" t="str">
        <x:f>IF(950&gt;$H$4,"",IF(INDEX('Fleet dates'!$A$9:$A$1008,$I958-8)="","",INDEX('Fleet dates'!$A$9:$A$1008,$I958-8)))</x:f>
      </x:c>
      <x:c r="B958" s="50" t="str">
        <x:f>IF(950&gt;$H$4,"",IF(INDEX('Fleet dates'!$B$9:$B$1008,$I958-8)="","",INDEX('Fleet dates'!$B$9:$B$1008,$I958-8)))</x:f>
      </x:c>
      <x:c r="C958" s="51" t="str">
        <x:f>IF(950&gt;$H$4,"",IF(INDEX('Fleet dates'!$C$9:$C$1008,$I958-8)="","",INDEX('Fleet dates'!$C$9:$C$1008,$I958-8)))</x:f>
      </x:c>
      <x:c r="D958" s="51" t="str">
        <x:f>IF(950&gt;$H$4,"",IF(INDEX('Fleet dates'!$D$9:$D$1008,$I958-8)="","",INDEX('Fleet dates'!$D$9:$D$1008,$I958-8)))</x:f>
      </x:c>
      <x:c r="E958" s="51" t="str">
        <x:f>IF(950&gt;$H$4,"",IF(INDEX('Fleet dates'!$E$9:$E$1008,$I958-8)="","",INDEX('Fleet dates'!$E$9:$E$1008,$I958-8)))</x:f>
      </x:c>
      <x:c r="F958" s="51" t="str">
        <x:f>IF(950&gt;$H$4,"",IF(INDEX('Fleet dates'!$F$9:$F$1008,$I958-8)="","",INDEX('Fleet dates'!$F$9:$F$1008,$I958-8)))</x:f>
      </x:c>
      <x:c r="G958" s="50" t="str">
        <x:f>IF(950&gt;$H$4,"",IF(INDEX('Fleet dates'!$G$9:$G$1008,$I958-8)="","",INDEX('Fleet dates'!$G$9:$G$1008,$I958-8)))</x:f>
      </x:c>
      <x:c r="H958" s="50" t="str">
        <x:f>IF(950&gt;$H$4,"",IF(INDEX('Fleet dates'!$I$9:$I$1008,$I958-8)="","",INDEX('Fleet dates'!$I$9:$I$1008,$I958-8)))</x:f>
      </x:c>
      <x:c r="I958" t="str">
        <x:f>IF(950&gt;$H$4,"",MATCH(950,'Fleet dates'!$N$9:$N$1008,0)+8)</x:f>
      </x:c>
    </x:row>
    <x:row r="959" ht="36" customHeight="1">
      <x:c r="A959" s="50" t="str">
        <x:f>IF(951&gt;$H$4,"",IF(INDEX('Fleet dates'!$A$9:$A$1008,$I959-8)="","",INDEX('Fleet dates'!$A$9:$A$1008,$I959-8)))</x:f>
      </x:c>
      <x:c r="B959" s="50" t="str">
        <x:f>IF(951&gt;$H$4,"",IF(INDEX('Fleet dates'!$B$9:$B$1008,$I959-8)="","",INDEX('Fleet dates'!$B$9:$B$1008,$I959-8)))</x:f>
      </x:c>
      <x:c r="C959" s="51" t="str">
        <x:f>IF(951&gt;$H$4,"",IF(INDEX('Fleet dates'!$C$9:$C$1008,$I959-8)="","",INDEX('Fleet dates'!$C$9:$C$1008,$I959-8)))</x:f>
      </x:c>
      <x:c r="D959" s="51" t="str">
        <x:f>IF(951&gt;$H$4,"",IF(INDEX('Fleet dates'!$D$9:$D$1008,$I959-8)="","",INDEX('Fleet dates'!$D$9:$D$1008,$I959-8)))</x:f>
      </x:c>
      <x:c r="E959" s="51" t="str">
        <x:f>IF(951&gt;$H$4,"",IF(INDEX('Fleet dates'!$E$9:$E$1008,$I959-8)="","",INDEX('Fleet dates'!$E$9:$E$1008,$I959-8)))</x:f>
      </x:c>
      <x:c r="F959" s="51" t="str">
        <x:f>IF(951&gt;$H$4,"",IF(INDEX('Fleet dates'!$F$9:$F$1008,$I959-8)="","",INDEX('Fleet dates'!$F$9:$F$1008,$I959-8)))</x:f>
      </x:c>
      <x:c r="G959" s="50" t="str">
        <x:f>IF(951&gt;$H$4,"",IF(INDEX('Fleet dates'!$G$9:$G$1008,$I959-8)="","",INDEX('Fleet dates'!$G$9:$G$1008,$I959-8)))</x:f>
      </x:c>
      <x:c r="H959" s="50" t="str">
        <x:f>IF(951&gt;$H$4,"",IF(INDEX('Fleet dates'!$I$9:$I$1008,$I959-8)="","",INDEX('Fleet dates'!$I$9:$I$1008,$I959-8)))</x:f>
      </x:c>
      <x:c r="I959" t="str">
        <x:f>IF(951&gt;$H$4,"",MATCH(951,'Fleet dates'!$N$9:$N$1008,0)+8)</x:f>
      </x:c>
    </x:row>
    <x:row r="960" ht="36" customHeight="1">
      <x:c r="A960" s="50" t="str">
        <x:f>IF(952&gt;$H$4,"",IF(INDEX('Fleet dates'!$A$9:$A$1008,$I960-8)="","",INDEX('Fleet dates'!$A$9:$A$1008,$I960-8)))</x:f>
      </x:c>
      <x:c r="B960" s="50" t="str">
        <x:f>IF(952&gt;$H$4,"",IF(INDEX('Fleet dates'!$B$9:$B$1008,$I960-8)="","",INDEX('Fleet dates'!$B$9:$B$1008,$I960-8)))</x:f>
      </x:c>
      <x:c r="C960" s="51" t="str">
        <x:f>IF(952&gt;$H$4,"",IF(INDEX('Fleet dates'!$C$9:$C$1008,$I960-8)="","",INDEX('Fleet dates'!$C$9:$C$1008,$I960-8)))</x:f>
      </x:c>
      <x:c r="D960" s="51" t="str">
        <x:f>IF(952&gt;$H$4,"",IF(INDEX('Fleet dates'!$D$9:$D$1008,$I960-8)="","",INDEX('Fleet dates'!$D$9:$D$1008,$I960-8)))</x:f>
      </x:c>
      <x:c r="E960" s="51" t="str">
        <x:f>IF(952&gt;$H$4,"",IF(INDEX('Fleet dates'!$E$9:$E$1008,$I960-8)="","",INDEX('Fleet dates'!$E$9:$E$1008,$I960-8)))</x:f>
      </x:c>
      <x:c r="F960" s="51" t="str">
        <x:f>IF(952&gt;$H$4,"",IF(INDEX('Fleet dates'!$F$9:$F$1008,$I960-8)="","",INDEX('Fleet dates'!$F$9:$F$1008,$I960-8)))</x:f>
      </x:c>
      <x:c r="G960" s="50" t="str">
        <x:f>IF(952&gt;$H$4,"",IF(INDEX('Fleet dates'!$G$9:$G$1008,$I960-8)="","",INDEX('Fleet dates'!$G$9:$G$1008,$I960-8)))</x:f>
      </x:c>
      <x:c r="H960" s="50" t="str">
        <x:f>IF(952&gt;$H$4,"",IF(INDEX('Fleet dates'!$I$9:$I$1008,$I960-8)="","",INDEX('Fleet dates'!$I$9:$I$1008,$I960-8)))</x:f>
      </x:c>
      <x:c r="I960" t="str">
        <x:f>IF(952&gt;$H$4,"",MATCH(952,'Fleet dates'!$N$9:$N$1008,0)+8)</x:f>
      </x:c>
    </x:row>
    <x:row r="961" ht="36" customHeight="1">
      <x:c r="A961" s="50" t="str">
        <x:f>IF(953&gt;$H$4,"",IF(INDEX('Fleet dates'!$A$9:$A$1008,$I961-8)="","",INDEX('Fleet dates'!$A$9:$A$1008,$I961-8)))</x:f>
      </x:c>
      <x:c r="B961" s="50" t="str">
        <x:f>IF(953&gt;$H$4,"",IF(INDEX('Fleet dates'!$B$9:$B$1008,$I961-8)="","",INDEX('Fleet dates'!$B$9:$B$1008,$I961-8)))</x:f>
      </x:c>
      <x:c r="C961" s="51" t="str">
        <x:f>IF(953&gt;$H$4,"",IF(INDEX('Fleet dates'!$C$9:$C$1008,$I961-8)="","",INDEX('Fleet dates'!$C$9:$C$1008,$I961-8)))</x:f>
      </x:c>
      <x:c r="D961" s="51" t="str">
        <x:f>IF(953&gt;$H$4,"",IF(INDEX('Fleet dates'!$D$9:$D$1008,$I961-8)="","",INDEX('Fleet dates'!$D$9:$D$1008,$I961-8)))</x:f>
      </x:c>
      <x:c r="E961" s="51" t="str">
        <x:f>IF(953&gt;$H$4,"",IF(INDEX('Fleet dates'!$E$9:$E$1008,$I961-8)="","",INDEX('Fleet dates'!$E$9:$E$1008,$I961-8)))</x:f>
      </x:c>
      <x:c r="F961" s="51" t="str">
        <x:f>IF(953&gt;$H$4,"",IF(INDEX('Fleet dates'!$F$9:$F$1008,$I961-8)="","",INDEX('Fleet dates'!$F$9:$F$1008,$I961-8)))</x:f>
      </x:c>
      <x:c r="G961" s="50" t="str">
        <x:f>IF(953&gt;$H$4,"",IF(INDEX('Fleet dates'!$G$9:$G$1008,$I961-8)="","",INDEX('Fleet dates'!$G$9:$G$1008,$I961-8)))</x:f>
      </x:c>
      <x:c r="H961" s="50" t="str">
        <x:f>IF(953&gt;$H$4,"",IF(INDEX('Fleet dates'!$I$9:$I$1008,$I961-8)="","",INDEX('Fleet dates'!$I$9:$I$1008,$I961-8)))</x:f>
      </x:c>
      <x:c r="I961" t="str">
        <x:f>IF(953&gt;$H$4,"",MATCH(953,'Fleet dates'!$N$9:$N$1008,0)+8)</x:f>
      </x:c>
    </x:row>
    <x:row r="962" ht="36" customHeight="1">
      <x:c r="A962" s="50" t="str">
        <x:f>IF(954&gt;$H$4,"",IF(INDEX('Fleet dates'!$A$9:$A$1008,$I962-8)="","",INDEX('Fleet dates'!$A$9:$A$1008,$I962-8)))</x:f>
      </x:c>
      <x:c r="B962" s="50" t="str">
        <x:f>IF(954&gt;$H$4,"",IF(INDEX('Fleet dates'!$B$9:$B$1008,$I962-8)="","",INDEX('Fleet dates'!$B$9:$B$1008,$I962-8)))</x:f>
      </x:c>
      <x:c r="C962" s="51" t="str">
        <x:f>IF(954&gt;$H$4,"",IF(INDEX('Fleet dates'!$C$9:$C$1008,$I962-8)="","",INDEX('Fleet dates'!$C$9:$C$1008,$I962-8)))</x:f>
      </x:c>
      <x:c r="D962" s="51" t="str">
        <x:f>IF(954&gt;$H$4,"",IF(INDEX('Fleet dates'!$D$9:$D$1008,$I962-8)="","",INDEX('Fleet dates'!$D$9:$D$1008,$I962-8)))</x:f>
      </x:c>
      <x:c r="E962" s="51" t="str">
        <x:f>IF(954&gt;$H$4,"",IF(INDEX('Fleet dates'!$E$9:$E$1008,$I962-8)="","",INDEX('Fleet dates'!$E$9:$E$1008,$I962-8)))</x:f>
      </x:c>
      <x:c r="F962" s="51" t="str">
        <x:f>IF(954&gt;$H$4,"",IF(INDEX('Fleet dates'!$F$9:$F$1008,$I962-8)="","",INDEX('Fleet dates'!$F$9:$F$1008,$I962-8)))</x:f>
      </x:c>
      <x:c r="G962" s="50" t="str">
        <x:f>IF(954&gt;$H$4,"",IF(INDEX('Fleet dates'!$G$9:$G$1008,$I962-8)="","",INDEX('Fleet dates'!$G$9:$G$1008,$I962-8)))</x:f>
      </x:c>
      <x:c r="H962" s="50" t="str">
        <x:f>IF(954&gt;$H$4,"",IF(INDEX('Fleet dates'!$I$9:$I$1008,$I962-8)="","",INDEX('Fleet dates'!$I$9:$I$1008,$I962-8)))</x:f>
      </x:c>
      <x:c r="I962" t="str">
        <x:f>IF(954&gt;$H$4,"",MATCH(954,'Fleet dates'!$N$9:$N$1008,0)+8)</x:f>
      </x:c>
    </x:row>
    <x:row r="963" ht="36" customHeight="1">
      <x:c r="A963" s="50" t="str">
        <x:f>IF(955&gt;$H$4,"",IF(INDEX('Fleet dates'!$A$9:$A$1008,$I963-8)="","",INDEX('Fleet dates'!$A$9:$A$1008,$I963-8)))</x:f>
      </x:c>
      <x:c r="B963" s="50" t="str">
        <x:f>IF(955&gt;$H$4,"",IF(INDEX('Fleet dates'!$B$9:$B$1008,$I963-8)="","",INDEX('Fleet dates'!$B$9:$B$1008,$I963-8)))</x:f>
      </x:c>
      <x:c r="C963" s="51" t="str">
        <x:f>IF(955&gt;$H$4,"",IF(INDEX('Fleet dates'!$C$9:$C$1008,$I963-8)="","",INDEX('Fleet dates'!$C$9:$C$1008,$I963-8)))</x:f>
      </x:c>
      <x:c r="D963" s="51" t="str">
        <x:f>IF(955&gt;$H$4,"",IF(INDEX('Fleet dates'!$D$9:$D$1008,$I963-8)="","",INDEX('Fleet dates'!$D$9:$D$1008,$I963-8)))</x:f>
      </x:c>
      <x:c r="E963" s="51" t="str">
        <x:f>IF(955&gt;$H$4,"",IF(INDEX('Fleet dates'!$E$9:$E$1008,$I963-8)="","",INDEX('Fleet dates'!$E$9:$E$1008,$I963-8)))</x:f>
      </x:c>
      <x:c r="F963" s="51" t="str">
        <x:f>IF(955&gt;$H$4,"",IF(INDEX('Fleet dates'!$F$9:$F$1008,$I963-8)="","",INDEX('Fleet dates'!$F$9:$F$1008,$I963-8)))</x:f>
      </x:c>
      <x:c r="G963" s="50" t="str">
        <x:f>IF(955&gt;$H$4,"",IF(INDEX('Fleet dates'!$G$9:$G$1008,$I963-8)="","",INDEX('Fleet dates'!$G$9:$G$1008,$I963-8)))</x:f>
      </x:c>
      <x:c r="H963" s="50" t="str">
        <x:f>IF(955&gt;$H$4,"",IF(INDEX('Fleet dates'!$I$9:$I$1008,$I963-8)="","",INDEX('Fleet dates'!$I$9:$I$1008,$I963-8)))</x:f>
      </x:c>
      <x:c r="I963" t="str">
        <x:f>IF(955&gt;$H$4,"",MATCH(955,'Fleet dates'!$N$9:$N$1008,0)+8)</x:f>
      </x:c>
    </x:row>
    <x:row r="964" ht="36" customHeight="1">
      <x:c r="A964" s="50" t="str">
        <x:f>IF(956&gt;$H$4,"",IF(INDEX('Fleet dates'!$A$9:$A$1008,$I964-8)="","",INDEX('Fleet dates'!$A$9:$A$1008,$I964-8)))</x:f>
      </x:c>
      <x:c r="B964" s="50" t="str">
        <x:f>IF(956&gt;$H$4,"",IF(INDEX('Fleet dates'!$B$9:$B$1008,$I964-8)="","",INDEX('Fleet dates'!$B$9:$B$1008,$I964-8)))</x:f>
      </x:c>
      <x:c r="C964" s="51" t="str">
        <x:f>IF(956&gt;$H$4,"",IF(INDEX('Fleet dates'!$C$9:$C$1008,$I964-8)="","",INDEX('Fleet dates'!$C$9:$C$1008,$I964-8)))</x:f>
      </x:c>
      <x:c r="D964" s="51" t="str">
        <x:f>IF(956&gt;$H$4,"",IF(INDEX('Fleet dates'!$D$9:$D$1008,$I964-8)="","",INDEX('Fleet dates'!$D$9:$D$1008,$I964-8)))</x:f>
      </x:c>
      <x:c r="E964" s="51" t="str">
        <x:f>IF(956&gt;$H$4,"",IF(INDEX('Fleet dates'!$E$9:$E$1008,$I964-8)="","",INDEX('Fleet dates'!$E$9:$E$1008,$I964-8)))</x:f>
      </x:c>
      <x:c r="F964" s="51" t="str">
        <x:f>IF(956&gt;$H$4,"",IF(INDEX('Fleet dates'!$F$9:$F$1008,$I964-8)="","",INDEX('Fleet dates'!$F$9:$F$1008,$I964-8)))</x:f>
      </x:c>
      <x:c r="G964" s="50" t="str">
        <x:f>IF(956&gt;$H$4,"",IF(INDEX('Fleet dates'!$G$9:$G$1008,$I964-8)="","",INDEX('Fleet dates'!$G$9:$G$1008,$I964-8)))</x:f>
      </x:c>
      <x:c r="H964" s="50" t="str">
        <x:f>IF(956&gt;$H$4,"",IF(INDEX('Fleet dates'!$I$9:$I$1008,$I964-8)="","",INDEX('Fleet dates'!$I$9:$I$1008,$I964-8)))</x:f>
      </x:c>
      <x:c r="I964" t="str">
        <x:f>IF(956&gt;$H$4,"",MATCH(956,'Fleet dates'!$N$9:$N$1008,0)+8)</x:f>
      </x:c>
    </x:row>
    <x:row r="965" ht="36" customHeight="1">
      <x:c r="A965" s="50" t="str">
        <x:f>IF(957&gt;$H$4,"",IF(INDEX('Fleet dates'!$A$9:$A$1008,$I965-8)="","",INDEX('Fleet dates'!$A$9:$A$1008,$I965-8)))</x:f>
      </x:c>
      <x:c r="B965" s="50" t="str">
        <x:f>IF(957&gt;$H$4,"",IF(INDEX('Fleet dates'!$B$9:$B$1008,$I965-8)="","",INDEX('Fleet dates'!$B$9:$B$1008,$I965-8)))</x:f>
      </x:c>
      <x:c r="C965" s="51" t="str">
        <x:f>IF(957&gt;$H$4,"",IF(INDEX('Fleet dates'!$C$9:$C$1008,$I965-8)="","",INDEX('Fleet dates'!$C$9:$C$1008,$I965-8)))</x:f>
      </x:c>
      <x:c r="D965" s="51" t="str">
        <x:f>IF(957&gt;$H$4,"",IF(INDEX('Fleet dates'!$D$9:$D$1008,$I965-8)="","",INDEX('Fleet dates'!$D$9:$D$1008,$I965-8)))</x:f>
      </x:c>
      <x:c r="E965" s="51" t="str">
        <x:f>IF(957&gt;$H$4,"",IF(INDEX('Fleet dates'!$E$9:$E$1008,$I965-8)="","",INDEX('Fleet dates'!$E$9:$E$1008,$I965-8)))</x:f>
      </x:c>
      <x:c r="F965" s="51" t="str">
        <x:f>IF(957&gt;$H$4,"",IF(INDEX('Fleet dates'!$F$9:$F$1008,$I965-8)="","",INDEX('Fleet dates'!$F$9:$F$1008,$I965-8)))</x:f>
      </x:c>
      <x:c r="G965" s="50" t="str">
        <x:f>IF(957&gt;$H$4,"",IF(INDEX('Fleet dates'!$G$9:$G$1008,$I965-8)="","",INDEX('Fleet dates'!$G$9:$G$1008,$I965-8)))</x:f>
      </x:c>
      <x:c r="H965" s="50" t="str">
        <x:f>IF(957&gt;$H$4,"",IF(INDEX('Fleet dates'!$I$9:$I$1008,$I965-8)="","",INDEX('Fleet dates'!$I$9:$I$1008,$I965-8)))</x:f>
      </x:c>
      <x:c r="I965" t="str">
        <x:f>IF(957&gt;$H$4,"",MATCH(957,'Fleet dates'!$N$9:$N$1008,0)+8)</x:f>
      </x:c>
    </x:row>
    <x:row r="966" ht="36" customHeight="1">
      <x:c r="A966" s="50" t="str">
        <x:f>IF(958&gt;$H$4,"",IF(INDEX('Fleet dates'!$A$9:$A$1008,$I966-8)="","",INDEX('Fleet dates'!$A$9:$A$1008,$I966-8)))</x:f>
      </x:c>
      <x:c r="B966" s="50" t="str">
        <x:f>IF(958&gt;$H$4,"",IF(INDEX('Fleet dates'!$B$9:$B$1008,$I966-8)="","",INDEX('Fleet dates'!$B$9:$B$1008,$I966-8)))</x:f>
      </x:c>
      <x:c r="C966" s="51" t="str">
        <x:f>IF(958&gt;$H$4,"",IF(INDEX('Fleet dates'!$C$9:$C$1008,$I966-8)="","",INDEX('Fleet dates'!$C$9:$C$1008,$I966-8)))</x:f>
      </x:c>
      <x:c r="D966" s="51" t="str">
        <x:f>IF(958&gt;$H$4,"",IF(INDEX('Fleet dates'!$D$9:$D$1008,$I966-8)="","",INDEX('Fleet dates'!$D$9:$D$1008,$I966-8)))</x:f>
      </x:c>
      <x:c r="E966" s="51" t="str">
        <x:f>IF(958&gt;$H$4,"",IF(INDEX('Fleet dates'!$E$9:$E$1008,$I966-8)="","",INDEX('Fleet dates'!$E$9:$E$1008,$I966-8)))</x:f>
      </x:c>
      <x:c r="F966" s="51" t="str">
        <x:f>IF(958&gt;$H$4,"",IF(INDEX('Fleet dates'!$F$9:$F$1008,$I966-8)="","",INDEX('Fleet dates'!$F$9:$F$1008,$I966-8)))</x:f>
      </x:c>
      <x:c r="G966" s="50" t="str">
        <x:f>IF(958&gt;$H$4,"",IF(INDEX('Fleet dates'!$G$9:$G$1008,$I966-8)="","",INDEX('Fleet dates'!$G$9:$G$1008,$I966-8)))</x:f>
      </x:c>
      <x:c r="H966" s="50" t="str">
        <x:f>IF(958&gt;$H$4,"",IF(INDEX('Fleet dates'!$I$9:$I$1008,$I966-8)="","",INDEX('Fleet dates'!$I$9:$I$1008,$I966-8)))</x:f>
      </x:c>
      <x:c r="I966" t="str">
        <x:f>IF(958&gt;$H$4,"",MATCH(958,'Fleet dates'!$N$9:$N$1008,0)+8)</x:f>
      </x:c>
    </x:row>
    <x:row r="967" ht="36" customHeight="1">
      <x:c r="A967" s="50" t="str">
        <x:f>IF(959&gt;$H$4,"",IF(INDEX('Fleet dates'!$A$9:$A$1008,$I967-8)="","",INDEX('Fleet dates'!$A$9:$A$1008,$I967-8)))</x:f>
      </x:c>
      <x:c r="B967" s="50" t="str">
        <x:f>IF(959&gt;$H$4,"",IF(INDEX('Fleet dates'!$B$9:$B$1008,$I967-8)="","",INDEX('Fleet dates'!$B$9:$B$1008,$I967-8)))</x:f>
      </x:c>
      <x:c r="C967" s="51" t="str">
        <x:f>IF(959&gt;$H$4,"",IF(INDEX('Fleet dates'!$C$9:$C$1008,$I967-8)="","",INDEX('Fleet dates'!$C$9:$C$1008,$I967-8)))</x:f>
      </x:c>
      <x:c r="D967" s="51" t="str">
        <x:f>IF(959&gt;$H$4,"",IF(INDEX('Fleet dates'!$D$9:$D$1008,$I967-8)="","",INDEX('Fleet dates'!$D$9:$D$1008,$I967-8)))</x:f>
      </x:c>
      <x:c r="E967" s="51" t="str">
        <x:f>IF(959&gt;$H$4,"",IF(INDEX('Fleet dates'!$E$9:$E$1008,$I967-8)="","",INDEX('Fleet dates'!$E$9:$E$1008,$I967-8)))</x:f>
      </x:c>
      <x:c r="F967" s="51" t="str">
        <x:f>IF(959&gt;$H$4,"",IF(INDEX('Fleet dates'!$F$9:$F$1008,$I967-8)="","",INDEX('Fleet dates'!$F$9:$F$1008,$I967-8)))</x:f>
      </x:c>
      <x:c r="G967" s="50" t="str">
        <x:f>IF(959&gt;$H$4,"",IF(INDEX('Fleet dates'!$G$9:$G$1008,$I967-8)="","",INDEX('Fleet dates'!$G$9:$G$1008,$I967-8)))</x:f>
      </x:c>
      <x:c r="H967" s="50" t="str">
        <x:f>IF(959&gt;$H$4,"",IF(INDEX('Fleet dates'!$I$9:$I$1008,$I967-8)="","",INDEX('Fleet dates'!$I$9:$I$1008,$I967-8)))</x:f>
      </x:c>
      <x:c r="I967" t="str">
        <x:f>IF(959&gt;$H$4,"",MATCH(959,'Fleet dates'!$N$9:$N$1008,0)+8)</x:f>
      </x:c>
    </x:row>
    <x:row r="968" ht="36" customHeight="1">
      <x:c r="A968" s="50" t="str">
        <x:f>IF(960&gt;$H$4,"",IF(INDEX('Fleet dates'!$A$9:$A$1008,$I968-8)="","",INDEX('Fleet dates'!$A$9:$A$1008,$I968-8)))</x:f>
      </x:c>
      <x:c r="B968" s="50" t="str">
        <x:f>IF(960&gt;$H$4,"",IF(INDEX('Fleet dates'!$B$9:$B$1008,$I968-8)="","",INDEX('Fleet dates'!$B$9:$B$1008,$I968-8)))</x:f>
      </x:c>
      <x:c r="C968" s="51" t="str">
        <x:f>IF(960&gt;$H$4,"",IF(INDEX('Fleet dates'!$C$9:$C$1008,$I968-8)="","",INDEX('Fleet dates'!$C$9:$C$1008,$I968-8)))</x:f>
      </x:c>
      <x:c r="D968" s="51" t="str">
        <x:f>IF(960&gt;$H$4,"",IF(INDEX('Fleet dates'!$D$9:$D$1008,$I968-8)="","",INDEX('Fleet dates'!$D$9:$D$1008,$I968-8)))</x:f>
      </x:c>
      <x:c r="E968" s="51" t="str">
        <x:f>IF(960&gt;$H$4,"",IF(INDEX('Fleet dates'!$E$9:$E$1008,$I968-8)="","",INDEX('Fleet dates'!$E$9:$E$1008,$I968-8)))</x:f>
      </x:c>
      <x:c r="F968" s="51" t="str">
        <x:f>IF(960&gt;$H$4,"",IF(INDEX('Fleet dates'!$F$9:$F$1008,$I968-8)="","",INDEX('Fleet dates'!$F$9:$F$1008,$I968-8)))</x:f>
      </x:c>
      <x:c r="G968" s="50" t="str">
        <x:f>IF(960&gt;$H$4,"",IF(INDEX('Fleet dates'!$G$9:$G$1008,$I968-8)="","",INDEX('Fleet dates'!$G$9:$G$1008,$I968-8)))</x:f>
      </x:c>
      <x:c r="H968" s="50" t="str">
        <x:f>IF(960&gt;$H$4,"",IF(INDEX('Fleet dates'!$I$9:$I$1008,$I968-8)="","",INDEX('Fleet dates'!$I$9:$I$1008,$I968-8)))</x:f>
      </x:c>
      <x:c r="I968" t="str">
        <x:f>IF(960&gt;$H$4,"",MATCH(960,'Fleet dates'!$N$9:$N$1008,0)+8)</x:f>
      </x:c>
    </x:row>
    <x:row r="969" ht="36" customHeight="1">
      <x:c r="A969" s="50" t="str">
        <x:f>IF(961&gt;$H$4,"",IF(INDEX('Fleet dates'!$A$9:$A$1008,$I969-8)="","",INDEX('Fleet dates'!$A$9:$A$1008,$I969-8)))</x:f>
      </x:c>
      <x:c r="B969" s="50" t="str">
        <x:f>IF(961&gt;$H$4,"",IF(INDEX('Fleet dates'!$B$9:$B$1008,$I969-8)="","",INDEX('Fleet dates'!$B$9:$B$1008,$I969-8)))</x:f>
      </x:c>
      <x:c r="C969" s="51" t="str">
        <x:f>IF(961&gt;$H$4,"",IF(INDEX('Fleet dates'!$C$9:$C$1008,$I969-8)="","",INDEX('Fleet dates'!$C$9:$C$1008,$I969-8)))</x:f>
      </x:c>
      <x:c r="D969" s="51" t="str">
        <x:f>IF(961&gt;$H$4,"",IF(INDEX('Fleet dates'!$D$9:$D$1008,$I969-8)="","",INDEX('Fleet dates'!$D$9:$D$1008,$I969-8)))</x:f>
      </x:c>
      <x:c r="E969" s="51" t="str">
        <x:f>IF(961&gt;$H$4,"",IF(INDEX('Fleet dates'!$E$9:$E$1008,$I969-8)="","",INDEX('Fleet dates'!$E$9:$E$1008,$I969-8)))</x:f>
      </x:c>
      <x:c r="F969" s="51" t="str">
        <x:f>IF(961&gt;$H$4,"",IF(INDEX('Fleet dates'!$F$9:$F$1008,$I969-8)="","",INDEX('Fleet dates'!$F$9:$F$1008,$I969-8)))</x:f>
      </x:c>
      <x:c r="G969" s="50" t="str">
        <x:f>IF(961&gt;$H$4,"",IF(INDEX('Fleet dates'!$G$9:$G$1008,$I969-8)="","",INDEX('Fleet dates'!$G$9:$G$1008,$I969-8)))</x:f>
      </x:c>
      <x:c r="H969" s="50" t="str">
        <x:f>IF(961&gt;$H$4,"",IF(INDEX('Fleet dates'!$I$9:$I$1008,$I969-8)="","",INDEX('Fleet dates'!$I$9:$I$1008,$I969-8)))</x:f>
      </x:c>
      <x:c r="I969" t="str">
        <x:f>IF(961&gt;$H$4,"",MATCH(961,'Fleet dates'!$N$9:$N$1008,0)+8)</x:f>
      </x:c>
    </x:row>
    <x:row r="970" ht="36" customHeight="1">
      <x:c r="A970" s="50" t="str">
        <x:f>IF(962&gt;$H$4,"",IF(INDEX('Fleet dates'!$A$9:$A$1008,$I970-8)="","",INDEX('Fleet dates'!$A$9:$A$1008,$I970-8)))</x:f>
      </x:c>
      <x:c r="B970" s="50" t="str">
        <x:f>IF(962&gt;$H$4,"",IF(INDEX('Fleet dates'!$B$9:$B$1008,$I970-8)="","",INDEX('Fleet dates'!$B$9:$B$1008,$I970-8)))</x:f>
      </x:c>
      <x:c r="C970" s="51" t="str">
        <x:f>IF(962&gt;$H$4,"",IF(INDEX('Fleet dates'!$C$9:$C$1008,$I970-8)="","",INDEX('Fleet dates'!$C$9:$C$1008,$I970-8)))</x:f>
      </x:c>
      <x:c r="D970" s="51" t="str">
        <x:f>IF(962&gt;$H$4,"",IF(INDEX('Fleet dates'!$D$9:$D$1008,$I970-8)="","",INDEX('Fleet dates'!$D$9:$D$1008,$I970-8)))</x:f>
      </x:c>
      <x:c r="E970" s="51" t="str">
        <x:f>IF(962&gt;$H$4,"",IF(INDEX('Fleet dates'!$E$9:$E$1008,$I970-8)="","",INDEX('Fleet dates'!$E$9:$E$1008,$I970-8)))</x:f>
      </x:c>
      <x:c r="F970" s="51" t="str">
        <x:f>IF(962&gt;$H$4,"",IF(INDEX('Fleet dates'!$F$9:$F$1008,$I970-8)="","",INDEX('Fleet dates'!$F$9:$F$1008,$I970-8)))</x:f>
      </x:c>
      <x:c r="G970" s="50" t="str">
        <x:f>IF(962&gt;$H$4,"",IF(INDEX('Fleet dates'!$G$9:$G$1008,$I970-8)="","",INDEX('Fleet dates'!$G$9:$G$1008,$I970-8)))</x:f>
      </x:c>
      <x:c r="H970" s="50" t="str">
        <x:f>IF(962&gt;$H$4,"",IF(INDEX('Fleet dates'!$I$9:$I$1008,$I970-8)="","",INDEX('Fleet dates'!$I$9:$I$1008,$I970-8)))</x:f>
      </x:c>
      <x:c r="I970" t="str">
        <x:f>IF(962&gt;$H$4,"",MATCH(962,'Fleet dates'!$N$9:$N$1008,0)+8)</x:f>
      </x:c>
    </x:row>
    <x:row r="971" ht="36" customHeight="1">
      <x:c r="A971" s="50" t="str">
        <x:f>IF(963&gt;$H$4,"",IF(INDEX('Fleet dates'!$A$9:$A$1008,$I971-8)="","",INDEX('Fleet dates'!$A$9:$A$1008,$I971-8)))</x:f>
      </x:c>
      <x:c r="B971" s="50" t="str">
        <x:f>IF(963&gt;$H$4,"",IF(INDEX('Fleet dates'!$B$9:$B$1008,$I971-8)="","",INDEX('Fleet dates'!$B$9:$B$1008,$I971-8)))</x:f>
      </x:c>
      <x:c r="C971" s="51" t="str">
        <x:f>IF(963&gt;$H$4,"",IF(INDEX('Fleet dates'!$C$9:$C$1008,$I971-8)="","",INDEX('Fleet dates'!$C$9:$C$1008,$I971-8)))</x:f>
      </x:c>
      <x:c r="D971" s="51" t="str">
        <x:f>IF(963&gt;$H$4,"",IF(INDEX('Fleet dates'!$D$9:$D$1008,$I971-8)="","",INDEX('Fleet dates'!$D$9:$D$1008,$I971-8)))</x:f>
      </x:c>
      <x:c r="E971" s="51" t="str">
        <x:f>IF(963&gt;$H$4,"",IF(INDEX('Fleet dates'!$E$9:$E$1008,$I971-8)="","",INDEX('Fleet dates'!$E$9:$E$1008,$I971-8)))</x:f>
      </x:c>
      <x:c r="F971" s="51" t="str">
        <x:f>IF(963&gt;$H$4,"",IF(INDEX('Fleet dates'!$F$9:$F$1008,$I971-8)="","",INDEX('Fleet dates'!$F$9:$F$1008,$I971-8)))</x:f>
      </x:c>
      <x:c r="G971" s="50" t="str">
        <x:f>IF(963&gt;$H$4,"",IF(INDEX('Fleet dates'!$G$9:$G$1008,$I971-8)="","",INDEX('Fleet dates'!$G$9:$G$1008,$I971-8)))</x:f>
      </x:c>
      <x:c r="H971" s="50" t="str">
        <x:f>IF(963&gt;$H$4,"",IF(INDEX('Fleet dates'!$I$9:$I$1008,$I971-8)="","",INDEX('Fleet dates'!$I$9:$I$1008,$I971-8)))</x:f>
      </x:c>
      <x:c r="I971" t="str">
        <x:f>IF(963&gt;$H$4,"",MATCH(963,'Fleet dates'!$N$9:$N$1008,0)+8)</x:f>
      </x:c>
    </x:row>
    <x:row r="972" ht="36" customHeight="1">
      <x:c r="A972" s="50" t="str">
        <x:f>IF(964&gt;$H$4,"",IF(INDEX('Fleet dates'!$A$9:$A$1008,$I972-8)="","",INDEX('Fleet dates'!$A$9:$A$1008,$I972-8)))</x:f>
      </x:c>
      <x:c r="B972" s="50" t="str">
        <x:f>IF(964&gt;$H$4,"",IF(INDEX('Fleet dates'!$B$9:$B$1008,$I972-8)="","",INDEX('Fleet dates'!$B$9:$B$1008,$I972-8)))</x:f>
      </x:c>
      <x:c r="C972" s="51" t="str">
        <x:f>IF(964&gt;$H$4,"",IF(INDEX('Fleet dates'!$C$9:$C$1008,$I972-8)="","",INDEX('Fleet dates'!$C$9:$C$1008,$I972-8)))</x:f>
      </x:c>
      <x:c r="D972" s="51" t="str">
        <x:f>IF(964&gt;$H$4,"",IF(INDEX('Fleet dates'!$D$9:$D$1008,$I972-8)="","",INDEX('Fleet dates'!$D$9:$D$1008,$I972-8)))</x:f>
      </x:c>
      <x:c r="E972" s="51" t="str">
        <x:f>IF(964&gt;$H$4,"",IF(INDEX('Fleet dates'!$E$9:$E$1008,$I972-8)="","",INDEX('Fleet dates'!$E$9:$E$1008,$I972-8)))</x:f>
      </x:c>
      <x:c r="F972" s="51" t="str">
        <x:f>IF(964&gt;$H$4,"",IF(INDEX('Fleet dates'!$F$9:$F$1008,$I972-8)="","",INDEX('Fleet dates'!$F$9:$F$1008,$I972-8)))</x:f>
      </x:c>
      <x:c r="G972" s="50" t="str">
        <x:f>IF(964&gt;$H$4,"",IF(INDEX('Fleet dates'!$G$9:$G$1008,$I972-8)="","",INDEX('Fleet dates'!$G$9:$G$1008,$I972-8)))</x:f>
      </x:c>
      <x:c r="H972" s="50" t="str">
        <x:f>IF(964&gt;$H$4,"",IF(INDEX('Fleet dates'!$I$9:$I$1008,$I972-8)="","",INDEX('Fleet dates'!$I$9:$I$1008,$I972-8)))</x:f>
      </x:c>
      <x:c r="I972" t="str">
        <x:f>IF(964&gt;$H$4,"",MATCH(964,'Fleet dates'!$N$9:$N$1008,0)+8)</x:f>
      </x:c>
    </x:row>
    <x:row r="973" ht="36" customHeight="1">
      <x:c r="A973" s="50" t="str">
        <x:f>IF(965&gt;$H$4,"",IF(INDEX('Fleet dates'!$A$9:$A$1008,$I973-8)="","",INDEX('Fleet dates'!$A$9:$A$1008,$I973-8)))</x:f>
      </x:c>
      <x:c r="B973" s="50" t="str">
        <x:f>IF(965&gt;$H$4,"",IF(INDEX('Fleet dates'!$B$9:$B$1008,$I973-8)="","",INDEX('Fleet dates'!$B$9:$B$1008,$I973-8)))</x:f>
      </x:c>
      <x:c r="C973" s="51" t="str">
        <x:f>IF(965&gt;$H$4,"",IF(INDEX('Fleet dates'!$C$9:$C$1008,$I973-8)="","",INDEX('Fleet dates'!$C$9:$C$1008,$I973-8)))</x:f>
      </x:c>
      <x:c r="D973" s="51" t="str">
        <x:f>IF(965&gt;$H$4,"",IF(INDEX('Fleet dates'!$D$9:$D$1008,$I973-8)="","",INDEX('Fleet dates'!$D$9:$D$1008,$I973-8)))</x:f>
      </x:c>
      <x:c r="E973" s="51" t="str">
        <x:f>IF(965&gt;$H$4,"",IF(INDEX('Fleet dates'!$E$9:$E$1008,$I973-8)="","",INDEX('Fleet dates'!$E$9:$E$1008,$I973-8)))</x:f>
      </x:c>
      <x:c r="F973" s="51" t="str">
        <x:f>IF(965&gt;$H$4,"",IF(INDEX('Fleet dates'!$F$9:$F$1008,$I973-8)="","",INDEX('Fleet dates'!$F$9:$F$1008,$I973-8)))</x:f>
      </x:c>
      <x:c r="G973" s="50" t="str">
        <x:f>IF(965&gt;$H$4,"",IF(INDEX('Fleet dates'!$G$9:$G$1008,$I973-8)="","",INDEX('Fleet dates'!$G$9:$G$1008,$I973-8)))</x:f>
      </x:c>
      <x:c r="H973" s="50" t="str">
        <x:f>IF(965&gt;$H$4,"",IF(INDEX('Fleet dates'!$I$9:$I$1008,$I973-8)="","",INDEX('Fleet dates'!$I$9:$I$1008,$I973-8)))</x:f>
      </x:c>
      <x:c r="I973" t="str">
        <x:f>IF(965&gt;$H$4,"",MATCH(965,'Fleet dates'!$N$9:$N$1008,0)+8)</x:f>
      </x:c>
    </x:row>
    <x:row r="974" ht="36" customHeight="1">
      <x:c r="A974" s="50" t="str">
        <x:f>IF(966&gt;$H$4,"",IF(INDEX('Fleet dates'!$A$9:$A$1008,$I974-8)="","",INDEX('Fleet dates'!$A$9:$A$1008,$I974-8)))</x:f>
      </x:c>
      <x:c r="B974" s="50" t="str">
        <x:f>IF(966&gt;$H$4,"",IF(INDEX('Fleet dates'!$B$9:$B$1008,$I974-8)="","",INDEX('Fleet dates'!$B$9:$B$1008,$I974-8)))</x:f>
      </x:c>
      <x:c r="C974" s="51" t="str">
        <x:f>IF(966&gt;$H$4,"",IF(INDEX('Fleet dates'!$C$9:$C$1008,$I974-8)="","",INDEX('Fleet dates'!$C$9:$C$1008,$I974-8)))</x:f>
      </x:c>
      <x:c r="D974" s="51" t="str">
        <x:f>IF(966&gt;$H$4,"",IF(INDEX('Fleet dates'!$D$9:$D$1008,$I974-8)="","",INDEX('Fleet dates'!$D$9:$D$1008,$I974-8)))</x:f>
      </x:c>
      <x:c r="E974" s="51" t="str">
        <x:f>IF(966&gt;$H$4,"",IF(INDEX('Fleet dates'!$E$9:$E$1008,$I974-8)="","",INDEX('Fleet dates'!$E$9:$E$1008,$I974-8)))</x:f>
      </x:c>
      <x:c r="F974" s="51" t="str">
        <x:f>IF(966&gt;$H$4,"",IF(INDEX('Fleet dates'!$F$9:$F$1008,$I974-8)="","",INDEX('Fleet dates'!$F$9:$F$1008,$I974-8)))</x:f>
      </x:c>
      <x:c r="G974" s="50" t="str">
        <x:f>IF(966&gt;$H$4,"",IF(INDEX('Fleet dates'!$G$9:$G$1008,$I974-8)="","",INDEX('Fleet dates'!$G$9:$G$1008,$I974-8)))</x:f>
      </x:c>
      <x:c r="H974" s="50" t="str">
        <x:f>IF(966&gt;$H$4,"",IF(INDEX('Fleet dates'!$I$9:$I$1008,$I974-8)="","",INDEX('Fleet dates'!$I$9:$I$1008,$I974-8)))</x:f>
      </x:c>
      <x:c r="I974" t="str">
        <x:f>IF(966&gt;$H$4,"",MATCH(966,'Fleet dates'!$N$9:$N$1008,0)+8)</x:f>
      </x:c>
    </x:row>
    <x:row r="975" ht="36" customHeight="1">
      <x:c r="A975" s="50" t="str">
        <x:f>IF(967&gt;$H$4,"",IF(INDEX('Fleet dates'!$A$9:$A$1008,$I975-8)="","",INDEX('Fleet dates'!$A$9:$A$1008,$I975-8)))</x:f>
      </x:c>
      <x:c r="B975" s="50" t="str">
        <x:f>IF(967&gt;$H$4,"",IF(INDEX('Fleet dates'!$B$9:$B$1008,$I975-8)="","",INDEX('Fleet dates'!$B$9:$B$1008,$I975-8)))</x:f>
      </x:c>
      <x:c r="C975" s="51" t="str">
        <x:f>IF(967&gt;$H$4,"",IF(INDEX('Fleet dates'!$C$9:$C$1008,$I975-8)="","",INDEX('Fleet dates'!$C$9:$C$1008,$I975-8)))</x:f>
      </x:c>
      <x:c r="D975" s="51" t="str">
        <x:f>IF(967&gt;$H$4,"",IF(INDEX('Fleet dates'!$D$9:$D$1008,$I975-8)="","",INDEX('Fleet dates'!$D$9:$D$1008,$I975-8)))</x:f>
      </x:c>
      <x:c r="E975" s="51" t="str">
        <x:f>IF(967&gt;$H$4,"",IF(INDEX('Fleet dates'!$E$9:$E$1008,$I975-8)="","",INDEX('Fleet dates'!$E$9:$E$1008,$I975-8)))</x:f>
      </x:c>
      <x:c r="F975" s="51" t="str">
        <x:f>IF(967&gt;$H$4,"",IF(INDEX('Fleet dates'!$F$9:$F$1008,$I975-8)="","",INDEX('Fleet dates'!$F$9:$F$1008,$I975-8)))</x:f>
      </x:c>
      <x:c r="G975" s="50" t="str">
        <x:f>IF(967&gt;$H$4,"",IF(INDEX('Fleet dates'!$G$9:$G$1008,$I975-8)="","",INDEX('Fleet dates'!$G$9:$G$1008,$I975-8)))</x:f>
      </x:c>
      <x:c r="H975" s="50" t="str">
        <x:f>IF(967&gt;$H$4,"",IF(INDEX('Fleet dates'!$I$9:$I$1008,$I975-8)="","",INDEX('Fleet dates'!$I$9:$I$1008,$I975-8)))</x:f>
      </x:c>
      <x:c r="I975" t="str">
        <x:f>IF(967&gt;$H$4,"",MATCH(967,'Fleet dates'!$N$9:$N$1008,0)+8)</x:f>
      </x:c>
    </x:row>
    <x:row r="976" ht="36" customHeight="1">
      <x:c r="A976" s="50" t="str">
        <x:f>IF(968&gt;$H$4,"",IF(INDEX('Fleet dates'!$A$9:$A$1008,$I976-8)="","",INDEX('Fleet dates'!$A$9:$A$1008,$I976-8)))</x:f>
      </x:c>
      <x:c r="B976" s="50" t="str">
        <x:f>IF(968&gt;$H$4,"",IF(INDEX('Fleet dates'!$B$9:$B$1008,$I976-8)="","",INDEX('Fleet dates'!$B$9:$B$1008,$I976-8)))</x:f>
      </x:c>
      <x:c r="C976" s="51" t="str">
        <x:f>IF(968&gt;$H$4,"",IF(INDEX('Fleet dates'!$C$9:$C$1008,$I976-8)="","",INDEX('Fleet dates'!$C$9:$C$1008,$I976-8)))</x:f>
      </x:c>
      <x:c r="D976" s="51" t="str">
        <x:f>IF(968&gt;$H$4,"",IF(INDEX('Fleet dates'!$D$9:$D$1008,$I976-8)="","",INDEX('Fleet dates'!$D$9:$D$1008,$I976-8)))</x:f>
      </x:c>
      <x:c r="E976" s="51" t="str">
        <x:f>IF(968&gt;$H$4,"",IF(INDEX('Fleet dates'!$E$9:$E$1008,$I976-8)="","",INDEX('Fleet dates'!$E$9:$E$1008,$I976-8)))</x:f>
      </x:c>
      <x:c r="F976" s="51" t="str">
        <x:f>IF(968&gt;$H$4,"",IF(INDEX('Fleet dates'!$F$9:$F$1008,$I976-8)="","",INDEX('Fleet dates'!$F$9:$F$1008,$I976-8)))</x:f>
      </x:c>
      <x:c r="G976" s="50" t="str">
        <x:f>IF(968&gt;$H$4,"",IF(INDEX('Fleet dates'!$G$9:$G$1008,$I976-8)="","",INDEX('Fleet dates'!$G$9:$G$1008,$I976-8)))</x:f>
      </x:c>
      <x:c r="H976" s="50" t="str">
        <x:f>IF(968&gt;$H$4,"",IF(INDEX('Fleet dates'!$I$9:$I$1008,$I976-8)="","",INDEX('Fleet dates'!$I$9:$I$1008,$I976-8)))</x:f>
      </x:c>
      <x:c r="I976" t="str">
        <x:f>IF(968&gt;$H$4,"",MATCH(968,'Fleet dates'!$N$9:$N$1008,0)+8)</x:f>
      </x:c>
    </x:row>
    <x:row r="977" ht="36" customHeight="1">
      <x:c r="A977" s="50" t="str">
        <x:f>IF(969&gt;$H$4,"",IF(INDEX('Fleet dates'!$A$9:$A$1008,$I977-8)="","",INDEX('Fleet dates'!$A$9:$A$1008,$I977-8)))</x:f>
      </x:c>
      <x:c r="B977" s="50" t="str">
        <x:f>IF(969&gt;$H$4,"",IF(INDEX('Fleet dates'!$B$9:$B$1008,$I977-8)="","",INDEX('Fleet dates'!$B$9:$B$1008,$I977-8)))</x:f>
      </x:c>
      <x:c r="C977" s="51" t="str">
        <x:f>IF(969&gt;$H$4,"",IF(INDEX('Fleet dates'!$C$9:$C$1008,$I977-8)="","",INDEX('Fleet dates'!$C$9:$C$1008,$I977-8)))</x:f>
      </x:c>
      <x:c r="D977" s="51" t="str">
        <x:f>IF(969&gt;$H$4,"",IF(INDEX('Fleet dates'!$D$9:$D$1008,$I977-8)="","",INDEX('Fleet dates'!$D$9:$D$1008,$I977-8)))</x:f>
      </x:c>
      <x:c r="E977" s="51" t="str">
        <x:f>IF(969&gt;$H$4,"",IF(INDEX('Fleet dates'!$E$9:$E$1008,$I977-8)="","",INDEX('Fleet dates'!$E$9:$E$1008,$I977-8)))</x:f>
      </x:c>
      <x:c r="F977" s="51" t="str">
        <x:f>IF(969&gt;$H$4,"",IF(INDEX('Fleet dates'!$F$9:$F$1008,$I977-8)="","",INDEX('Fleet dates'!$F$9:$F$1008,$I977-8)))</x:f>
      </x:c>
      <x:c r="G977" s="50" t="str">
        <x:f>IF(969&gt;$H$4,"",IF(INDEX('Fleet dates'!$G$9:$G$1008,$I977-8)="","",INDEX('Fleet dates'!$G$9:$G$1008,$I977-8)))</x:f>
      </x:c>
      <x:c r="H977" s="50" t="str">
        <x:f>IF(969&gt;$H$4,"",IF(INDEX('Fleet dates'!$I$9:$I$1008,$I977-8)="","",INDEX('Fleet dates'!$I$9:$I$1008,$I977-8)))</x:f>
      </x:c>
      <x:c r="I977" t="str">
        <x:f>IF(969&gt;$H$4,"",MATCH(969,'Fleet dates'!$N$9:$N$1008,0)+8)</x:f>
      </x:c>
    </x:row>
    <x:row r="978" ht="36" customHeight="1">
      <x:c r="A978" s="50" t="str">
        <x:f>IF(970&gt;$H$4,"",IF(INDEX('Fleet dates'!$A$9:$A$1008,$I978-8)="","",INDEX('Fleet dates'!$A$9:$A$1008,$I978-8)))</x:f>
      </x:c>
      <x:c r="B978" s="50" t="str">
        <x:f>IF(970&gt;$H$4,"",IF(INDEX('Fleet dates'!$B$9:$B$1008,$I978-8)="","",INDEX('Fleet dates'!$B$9:$B$1008,$I978-8)))</x:f>
      </x:c>
      <x:c r="C978" s="51" t="str">
        <x:f>IF(970&gt;$H$4,"",IF(INDEX('Fleet dates'!$C$9:$C$1008,$I978-8)="","",INDEX('Fleet dates'!$C$9:$C$1008,$I978-8)))</x:f>
      </x:c>
      <x:c r="D978" s="51" t="str">
        <x:f>IF(970&gt;$H$4,"",IF(INDEX('Fleet dates'!$D$9:$D$1008,$I978-8)="","",INDEX('Fleet dates'!$D$9:$D$1008,$I978-8)))</x:f>
      </x:c>
      <x:c r="E978" s="51" t="str">
        <x:f>IF(970&gt;$H$4,"",IF(INDEX('Fleet dates'!$E$9:$E$1008,$I978-8)="","",INDEX('Fleet dates'!$E$9:$E$1008,$I978-8)))</x:f>
      </x:c>
      <x:c r="F978" s="51" t="str">
        <x:f>IF(970&gt;$H$4,"",IF(INDEX('Fleet dates'!$F$9:$F$1008,$I978-8)="","",INDEX('Fleet dates'!$F$9:$F$1008,$I978-8)))</x:f>
      </x:c>
      <x:c r="G978" s="50" t="str">
        <x:f>IF(970&gt;$H$4,"",IF(INDEX('Fleet dates'!$G$9:$G$1008,$I978-8)="","",INDEX('Fleet dates'!$G$9:$G$1008,$I978-8)))</x:f>
      </x:c>
      <x:c r="H978" s="50" t="str">
        <x:f>IF(970&gt;$H$4,"",IF(INDEX('Fleet dates'!$I$9:$I$1008,$I978-8)="","",INDEX('Fleet dates'!$I$9:$I$1008,$I978-8)))</x:f>
      </x:c>
      <x:c r="I978" t="str">
        <x:f>IF(970&gt;$H$4,"",MATCH(970,'Fleet dates'!$N$9:$N$1008,0)+8)</x:f>
      </x:c>
    </x:row>
    <x:row r="979" ht="36" customHeight="1">
      <x:c r="A979" s="50" t="str">
        <x:f>IF(971&gt;$H$4,"",IF(INDEX('Fleet dates'!$A$9:$A$1008,$I979-8)="","",INDEX('Fleet dates'!$A$9:$A$1008,$I979-8)))</x:f>
      </x:c>
      <x:c r="B979" s="50" t="str">
        <x:f>IF(971&gt;$H$4,"",IF(INDEX('Fleet dates'!$B$9:$B$1008,$I979-8)="","",INDEX('Fleet dates'!$B$9:$B$1008,$I979-8)))</x:f>
      </x:c>
      <x:c r="C979" s="51" t="str">
        <x:f>IF(971&gt;$H$4,"",IF(INDEX('Fleet dates'!$C$9:$C$1008,$I979-8)="","",INDEX('Fleet dates'!$C$9:$C$1008,$I979-8)))</x:f>
      </x:c>
      <x:c r="D979" s="51" t="str">
        <x:f>IF(971&gt;$H$4,"",IF(INDEX('Fleet dates'!$D$9:$D$1008,$I979-8)="","",INDEX('Fleet dates'!$D$9:$D$1008,$I979-8)))</x:f>
      </x:c>
      <x:c r="E979" s="51" t="str">
        <x:f>IF(971&gt;$H$4,"",IF(INDEX('Fleet dates'!$E$9:$E$1008,$I979-8)="","",INDEX('Fleet dates'!$E$9:$E$1008,$I979-8)))</x:f>
      </x:c>
      <x:c r="F979" s="51" t="str">
        <x:f>IF(971&gt;$H$4,"",IF(INDEX('Fleet dates'!$F$9:$F$1008,$I979-8)="","",INDEX('Fleet dates'!$F$9:$F$1008,$I979-8)))</x:f>
      </x:c>
      <x:c r="G979" s="50" t="str">
        <x:f>IF(971&gt;$H$4,"",IF(INDEX('Fleet dates'!$G$9:$G$1008,$I979-8)="","",INDEX('Fleet dates'!$G$9:$G$1008,$I979-8)))</x:f>
      </x:c>
      <x:c r="H979" s="50" t="str">
        <x:f>IF(971&gt;$H$4,"",IF(INDEX('Fleet dates'!$I$9:$I$1008,$I979-8)="","",INDEX('Fleet dates'!$I$9:$I$1008,$I979-8)))</x:f>
      </x:c>
      <x:c r="I979" t="str">
        <x:f>IF(971&gt;$H$4,"",MATCH(971,'Fleet dates'!$N$9:$N$1008,0)+8)</x:f>
      </x:c>
    </x:row>
    <x:row r="980" ht="36" customHeight="1">
      <x:c r="A980" s="50" t="str">
        <x:f>IF(972&gt;$H$4,"",IF(INDEX('Fleet dates'!$A$9:$A$1008,$I980-8)="","",INDEX('Fleet dates'!$A$9:$A$1008,$I980-8)))</x:f>
      </x:c>
      <x:c r="B980" s="50" t="str">
        <x:f>IF(972&gt;$H$4,"",IF(INDEX('Fleet dates'!$B$9:$B$1008,$I980-8)="","",INDEX('Fleet dates'!$B$9:$B$1008,$I980-8)))</x:f>
      </x:c>
      <x:c r="C980" s="51" t="str">
        <x:f>IF(972&gt;$H$4,"",IF(INDEX('Fleet dates'!$C$9:$C$1008,$I980-8)="","",INDEX('Fleet dates'!$C$9:$C$1008,$I980-8)))</x:f>
      </x:c>
      <x:c r="D980" s="51" t="str">
        <x:f>IF(972&gt;$H$4,"",IF(INDEX('Fleet dates'!$D$9:$D$1008,$I980-8)="","",INDEX('Fleet dates'!$D$9:$D$1008,$I980-8)))</x:f>
      </x:c>
      <x:c r="E980" s="51" t="str">
        <x:f>IF(972&gt;$H$4,"",IF(INDEX('Fleet dates'!$E$9:$E$1008,$I980-8)="","",INDEX('Fleet dates'!$E$9:$E$1008,$I980-8)))</x:f>
      </x:c>
      <x:c r="F980" s="51" t="str">
        <x:f>IF(972&gt;$H$4,"",IF(INDEX('Fleet dates'!$F$9:$F$1008,$I980-8)="","",INDEX('Fleet dates'!$F$9:$F$1008,$I980-8)))</x:f>
      </x:c>
      <x:c r="G980" s="50" t="str">
        <x:f>IF(972&gt;$H$4,"",IF(INDEX('Fleet dates'!$G$9:$G$1008,$I980-8)="","",INDEX('Fleet dates'!$G$9:$G$1008,$I980-8)))</x:f>
      </x:c>
      <x:c r="H980" s="50" t="str">
        <x:f>IF(972&gt;$H$4,"",IF(INDEX('Fleet dates'!$I$9:$I$1008,$I980-8)="","",INDEX('Fleet dates'!$I$9:$I$1008,$I980-8)))</x:f>
      </x:c>
      <x:c r="I980" t="str">
        <x:f>IF(972&gt;$H$4,"",MATCH(972,'Fleet dates'!$N$9:$N$1008,0)+8)</x:f>
      </x:c>
    </x:row>
    <x:row r="981" ht="36" customHeight="1">
      <x:c r="A981" s="50" t="str">
        <x:f>IF(973&gt;$H$4,"",IF(INDEX('Fleet dates'!$A$9:$A$1008,$I981-8)="","",INDEX('Fleet dates'!$A$9:$A$1008,$I981-8)))</x:f>
      </x:c>
      <x:c r="B981" s="50" t="str">
        <x:f>IF(973&gt;$H$4,"",IF(INDEX('Fleet dates'!$B$9:$B$1008,$I981-8)="","",INDEX('Fleet dates'!$B$9:$B$1008,$I981-8)))</x:f>
      </x:c>
      <x:c r="C981" s="51" t="str">
        <x:f>IF(973&gt;$H$4,"",IF(INDEX('Fleet dates'!$C$9:$C$1008,$I981-8)="","",INDEX('Fleet dates'!$C$9:$C$1008,$I981-8)))</x:f>
      </x:c>
      <x:c r="D981" s="51" t="str">
        <x:f>IF(973&gt;$H$4,"",IF(INDEX('Fleet dates'!$D$9:$D$1008,$I981-8)="","",INDEX('Fleet dates'!$D$9:$D$1008,$I981-8)))</x:f>
      </x:c>
      <x:c r="E981" s="51" t="str">
        <x:f>IF(973&gt;$H$4,"",IF(INDEX('Fleet dates'!$E$9:$E$1008,$I981-8)="","",INDEX('Fleet dates'!$E$9:$E$1008,$I981-8)))</x:f>
      </x:c>
      <x:c r="F981" s="51" t="str">
        <x:f>IF(973&gt;$H$4,"",IF(INDEX('Fleet dates'!$F$9:$F$1008,$I981-8)="","",INDEX('Fleet dates'!$F$9:$F$1008,$I981-8)))</x:f>
      </x:c>
      <x:c r="G981" s="50" t="str">
        <x:f>IF(973&gt;$H$4,"",IF(INDEX('Fleet dates'!$G$9:$G$1008,$I981-8)="","",INDEX('Fleet dates'!$G$9:$G$1008,$I981-8)))</x:f>
      </x:c>
      <x:c r="H981" s="50" t="str">
        <x:f>IF(973&gt;$H$4,"",IF(INDEX('Fleet dates'!$I$9:$I$1008,$I981-8)="","",INDEX('Fleet dates'!$I$9:$I$1008,$I981-8)))</x:f>
      </x:c>
      <x:c r="I981" t="str">
        <x:f>IF(973&gt;$H$4,"",MATCH(973,'Fleet dates'!$N$9:$N$1008,0)+8)</x:f>
      </x:c>
    </x:row>
    <x:row r="982" ht="36" customHeight="1">
      <x:c r="A982" s="50" t="str">
        <x:f>IF(974&gt;$H$4,"",IF(INDEX('Fleet dates'!$A$9:$A$1008,$I982-8)="","",INDEX('Fleet dates'!$A$9:$A$1008,$I982-8)))</x:f>
      </x:c>
      <x:c r="B982" s="50" t="str">
        <x:f>IF(974&gt;$H$4,"",IF(INDEX('Fleet dates'!$B$9:$B$1008,$I982-8)="","",INDEX('Fleet dates'!$B$9:$B$1008,$I982-8)))</x:f>
      </x:c>
      <x:c r="C982" s="51" t="str">
        <x:f>IF(974&gt;$H$4,"",IF(INDEX('Fleet dates'!$C$9:$C$1008,$I982-8)="","",INDEX('Fleet dates'!$C$9:$C$1008,$I982-8)))</x:f>
      </x:c>
      <x:c r="D982" s="51" t="str">
        <x:f>IF(974&gt;$H$4,"",IF(INDEX('Fleet dates'!$D$9:$D$1008,$I982-8)="","",INDEX('Fleet dates'!$D$9:$D$1008,$I982-8)))</x:f>
      </x:c>
      <x:c r="E982" s="51" t="str">
        <x:f>IF(974&gt;$H$4,"",IF(INDEX('Fleet dates'!$E$9:$E$1008,$I982-8)="","",INDEX('Fleet dates'!$E$9:$E$1008,$I982-8)))</x:f>
      </x:c>
      <x:c r="F982" s="51" t="str">
        <x:f>IF(974&gt;$H$4,"",IF(INDEX('Fleet dates'!$F$9:$F$1008,$I982-8)="","",INDEX('Fleet dates'!$F$9:$F$1008,$I982-8)))</x:f>
      </x:c>
      <x:c r="G982" s="50" t="str">
        <x:f>IF(974&gt;$H$4,"",IF(INDEX('Fleet dates'!$G$9:$G$1008,$I982-8)="","",INDEX('Fleet dates'!$G$9:$G$1008,$I982-8)))</x:f>
      </x:c>
      <x:c r="H982" s="50" t="str">
        <x:f>IF(974&gt;$H$4,"",IF(INDEX('Fleet dates'!$I$9:$I$1008,$I982-8)="","",INDEX('Fleet dates'!$I$9:$I$1008,$I982-8)))</x:f>
      </x:c>
      <x:c r="I982" t="str">
        <x:f>IF(974&gt;$H$4,"",MATCH(974,'Fleet dates'!$N$9:$N$1008,0)+8)</x:f>
      </x:c>
    </x:row>
    <x:row r="983" ht="36" customHeight="1">
      <x:c r="A983" s="50" t="str">
        <x:f>IF(975&gt;$H$4,"",IF(INDEX('Fleet dates'!$A$9:$A$1008,$I983-8)="","",INDEX('Fleet dates'!$A$9:$A$1008,$I983-8)))</x:f>
      </x:c>
      <x:c r="B983" s="50" t="str">
        <x:f>IF(975&gt;$H$4,"",IF(INDEX('Fleet dates'!$B$9:$B$1008,$I983-8)="","",INDEX('Fleet dates'!$B$9:$B$1008,$I983-8)))</x:f>
      </x:c>
      <x:c r="C983" s="51" t="str">
        <x:f>IF(975&gt;$H$4,"",IF(INDEX('Fleet dates'!$C$9:$C$1008,$I983-8)="","",INDEX('Fleet dates'!$C$9:$C$1008,$I983-8)))</x:f>
      </x:c>
      <x:c r="D983" s="51" t="str">
        <x:f>IF(975&gt;$H$4,"",IF(INDEX('Fleet dates'!$D$9:$D$1008,$I983-8)="","",INDEX('Fleet dates'!$D$9:$D$1008,$I983-8)))</x:f>
      </x:c>
      <x:c r="E983" s="51" t="str">
        <x:f>IF(975&gt;$H$4,"",IF(INDEX('Fleet dates'!$E$9:$E$1008,$I983-8)="","",INDEX('Fleet dates'!$E$9:$E$1008,$I983-8)))</x:f>
      </x:c>
      <x:c r="F983" s="51" t="str">
        <x:f>IF(975&gt;$H$4,"",IF(INDEX('Fleet dates'!$F$9:$F$1008,$I983-8)="","",INDEX('Fleet dates'!$F$9:$F$1008,$I983-8)))</x:f>
      </x:c>
      <x:c r="G983" s="50" t="str">
        <x:f>IF(975&gt;$H$4,"",IF(INDEX('Fleet dates'!$G$9:$G$1008,$I983-8)="","",INDEX('Fleet dates'!$G$9:$G$1008,$I983-8)))</x:f>
      </x:c>
      <x:c r="H983" s="50" t="str">
        <x:f>IF(975&gt;$H$4,"",IF(INDEX('Fleet dates'!$I$9:$I$1008,$I983-8)="","",INDEX('Fleet dates'!$I$9:$I$1008,$I983-8)))</x:f>
      </x:c>
      <x:c r="I983" t="str">
        <x:f>IF(975&gt;$H$4,"",MATCH(975,'Fleet dates'!$N$9:$N$1008,0)+8)</x:f>
      </x:c>
    </x:row>
    <x:row r="984" ht="36" customHeight="1">
      <x:c r="A984" s="50" t="str">
        <x:f>IF(976&gt;$H$4,"",IF(INDEX('Fleet dates'!$A$9:$A$1008,$I984-8)="","",INDEX('Fleet dates'!$A$9:$A$1008,$I984-8)))</x:f>
      </x:c>
      <x:c r="B984" s="50" t="str">
        <x:f>IF(976&gt;$H$4,"",IF(INDEX('Fleet dates'!$B$9:$B$1008,$I984-8)="","",INDEX('Fleet dates'!$B$9:$B$1008,$I984-8)))</x:f>
      </x:c>
      <x:c r="C984" s="51" t="str">
        <x:f>IF(976&gt;$H$4,"",IF(INDEX('Fleet dates'!$C$9:$C$1008,$I984-8)="","",INDEX('Fleet dates'!$C$9:$C$1008,$I984-8)))</x:f>
      </x:c>
      <x:c r="D984" s="51" t="str">
        <x:f>IF(976&gt;$H$4,"",IF(INDEX('Fleet dates'!$D$9:$D$1008,$I984-8)="","",INDEX('Fleet dates'!$D$9:$D$1008,$I984-8)))</x:f>
      </x:c>
      <x:c r="E984" s="51" t="str">
        <x:f>IF(976&gt;$H$4,"",IF(INDEX('Fleet dates'!$E$9:$E$1008,$I984-8)="","",INDEX('Fleet dates'!$E$9:$E$1008,$I984-8)))</x:f>
      </x:c>
      <x:c r="F984" s="51" t="str">
        <x:f>IF(976&gt;$H$4,"",IF(INDEX('Fleet dates'!$F$9:$F$1008,$I984-8)="","",INDEX('Fleet dates'!$F$9:$F$1008,$I984-8)))</x:f>
      </x:c>
      <x:c r="G984" s="50" t="str">
        <x:f>IF(976&gt;$H$4,"",IF(INDEX('Fleet dates'!$G$9:$G$1008,$I984-8)="","",INDEX('Fleet dates'!$G$9:$G$1008,$I984-8)))</x:f>
      </x:c>
      <x:c r="H984" s="50" t="str">
        <x:f>IF(976&gt;$H$4,"",IF(INDEX('Fleet dates'!$I$9:$I$1008,$I984-8)="","",INDEX('Fleet dates'!$I$9:$I$1008,$I984-8)))</x:f>
      </x:c>
      <x:c r="I984" t="str">
        <x:f>IF(976&gt;$H$4,"",MATCH(976,'Fleet dates'!$N$9:$N$1008,0)+8)</x:f>
      </x:c>
    </x:row>
    <x:row r="985" ht="36" customHeight="1">
      <x:c r="A985" s="50" t="str">
        <x:f>IF(977&gt;$H$4,"",IF(INDEX('Fleet dates'!$A$9:$A$1008,$I985-8)="","",INDEX('Fleet dates'!$A$9:$A$1008,$I985-8)))</x:f>
      </x:c>
      <x:c r="B985" s="50" t="str">
        <x:f>IF(977&gt;$H$4,"",IF(INDEX('Fleet dates'!$B$9:$B$1008,$I985-8)="","",INDEX('Fleet dates'!$B$9:$B$1008,$I985-8)))</x:f>
      </x:c>
      <x:c r="C985" s="51" t="str">
        <x:f>IF(977&gt;$H$4,"",IF(INDEX('Fleet dates'!$C$9:$C$1008,$I985-8)="","",INDEX('Fleet dates'!$C$9:$C$1008,$I985-8)))</x:f>
      </x:c>
      <x:c r="D985" s="51" t="str">
        <x:f>IF(977&gt;$H$4,"",IF(INDEX('Fleet dates'!$D$9:$D$1008,$I985-8)="","",INDEX('Fleet dates'!$D$9:$D$1008,$I985-8)))</x:f>
      </x:c>
      <x:c r="E985" s="51" t="str">
        <x:f>IF(977&gt;$H$4,"",IF(INDEX('Fleet dates'!$E$9:$E$1008,$I985-8)="","",INDEX('Fleet dates'!$E$9:$E$1008,$I985-8)))</x:f>
      </x:c>
      <x:c r="F985" s="51" t="str">
        <x:f>IF(977&gt;$H$4,"",IF(INDEX('Fleet dates'!$F$9:$F$1008,$I985-8)="","",INDEX('Fleet dates'!$F$9:$F$1008,$I985-8)))</x:f>
      </x:c>
      <x:c r="G985" s="50" t="str">
        <x:f>IF(977&gt;$H$4,"",IF(INDEX('Fleet dates'!$G$9:$G$1008,$I985-8)="","",INDEX('Fleet dates'!$G$9:$G$1008,$I985-8)))</x:f>
      </x:c>
      <x:c r="H985" s="50" t="str">
        <x:f>IF(977&gt;$H$4,"",IF(INDEX('Fleet dates'!$I$9:$I$1008,$I985-8)="","",INDEX('Fleet dates'!$I$9:$I$1008,$I985-8)))</x:f>
      </x:c>
      <x:c r="I985" t="str">
        <x:f>IF(977&gt;$H$4,"",MATCH(977,'Fleet dates'!$N$9:$N$1008,0)+8)</x:f>
      </x:c>
    </x:row>
    <x:row r="986" ht="36" customHeight="1">
      <x:c r="A986" s="50" t="str">
        <x:f>IF(978&gt;$H$4,"",IF(INDEX('Fleet dates'!$A$9:$A$1008,$I986-8)="","",INDEX('Fleet dates'!$A$9:$A$1008,$I986-8)))</x:f>
      </x:c>
      <x:c r="B986" s="50" t="str">
        <x:f>IF(978&gt;$H$4,"",IF(INDEX('Fleet dates'!$B$9:$B$1008,$I986-8)="","",INDEX('Fleet dates'!$B$9:$B$1008,$I986-8)))</x:f>
      </x:c>
      <x:c r="C986" s="51" t="str">
        <x:f>IF(978&gt;$H$4,"",IF(INDEX('Fleet dates'!$C$9:$C$1008,$I986-8)="","",INDEX('Fleet dates'!$C$9:$C$1008,$I986-8)))</x:f>
      </x:c>
      <x:c r="D986" s="51" t="str">
        <x:f>IF(978&gt;$H$4,"",IF(INDEX('Fleet dates'!$D$9:$D$1008,$I986-8)="","",INDEX('Fleet dates'!$D$9:$D$1008,$I986-8)))</x:f>
      </x:c>
      <x:c r="E986" s="51" t="str">
        <x:f>IF(978&gt;$H$4,"",IF(INDEX('Fleet dates'!$E$9:$E$1008,$I986-8)="","",INDEX('Fleet dates'!$E$9:$E$1008,$I986-8)))</x:f>
      </x:c>
      <x:c r="F986" s="51" t="str">
        <x:f>IF(978&gt;$H$4,"",IF(INDEX('Fleet dates'!$F$9:$F$1008,$I986-8)="","",INDEX('Fleet dates'!$F$9:$F$1008,$I986-8)))</x:f>
      </x:c>
      <x:c r="G986" s="50" t="str">
        <x:f>IF(978&gt;$H$4,"",IF(INDEX('Fleet dates'!$G$9:$G$1008,$I986-8)="","",INDEX('Fleet dates'!$G$9:$G$1008,$I986-8)))</x:f>
      </x:c>
      <x:c r="H986" s="50" t="str">
        <x:f>IF(978&gt;$H$4,"",IF(INDEX('Fleet dates'!$I$9:$I$1008,$I986-8)="","",INDEX('Fleet dates'!$I$9:$I$1008,$I986-8)))</x:f>
      </x:c>
      <x:c r="I986" t="str">
        <x:f>IF(978&gt;$H$4,"",MATCH(978,'Fleet dates'!$N$9:$N$1008,0)+8)</x:f>
      </x:c>
    </x:row>
    <x:row r="987" ht="36" customHeight="1">
      <x:c r="A987" s="50" t="str">
        <x:f>IF(979&gt;$H$4,"",IF(INDEX('Fleet dates'!$A$9:$A$1008,$I987-8)="","",INDEX('Fleet dates'!$A$9:$A$1008,$I987-8)))</x:f>
      </x:c>
      <x:c r="B987" s="50" t="str">
        <x:f>IF(979&gt;$H$4,"",IF(INDEX('Fleet dates'!$B$9:$B$1008,$I987-8)="","",INDEX('Fleet dates'!$B$9:$B$1008,$I987-8)))</x:f>
      </x:c>
      <x:c r="C987" s="51" t="str">
        <x:f>IF(979&gt;$H$4,"",IF(INDEX('Fleet dates'!$C$9:$C$1008,$I987-8)="","",INDEX('Fleet dates'!$C$9:$C$1008,$I987-8)))</x:f>
      </x:c>
      <x:c r="D987" s="51" t="str">
        <x:f>IF(979&gt;$H$4,"",IF(INDEX('Fleet dates'!$D$9:$D$1008,$I987-8)="","",INDEX('Fleet dates'!$D$9:$D$1008,$I987-8)))</x:f>
      </x:c>
      <x:c r="E987" s="51" t="str">
        <x:f>IF(979&gt;$H$4,"",IF(INDEX('Fleet dates'!$E$9:$E$1008,$I987-8)="","",INDEX('Fleet dates'!$E$9:$E$1008,$I987-8)))</x:f>
      </x:c>
      <x:c r="F987" s="51" t="str">
        <x:f>IF(979&gt;$H$4,"",IF(INDEX('Fleet dates'!$F$9:$F$1008,$I987-8)="","",INDEX('Fleet dates'!$F$9:$F$1008,$I987-8)))</x:f>
      </x:c>
      <x:c r="G987" s="50" t="str">
        <x:f>IF(979&gt;$H$4,"",IF(INDEX('Fleet dates'!$G$9:$G$1008,$I987-8)="","",INDEX('Fleet dates'!$G$9:$G$1008,$I987-8)))</x:f>
      </x:c>
      <x:c r="H987" s="50" t="str">
        <x:f>IF(979&gt;$H$4,"",IF(INDEX('Fleet dates'!$I$9:$I$1008,$I987-8)="","",INDEX('Fleet dates'!$I$9:$I$1008,$I987-8)))</x:f>
      </x:c>
      <x:c r="I987" t="str">
        <x:f>IF(979&gt;$H$4,"",MATCH(979,'Fleet dates'!$N$9:$N$1008,0)+8)</x:f>
      </x:c>
    </x:row>
    <x:row r="988" ht="36" customHeight="1">
      <x:c r="A988" s="50" t="str">
        <x:f>IF(980&gt;$H$4,"",IF(INDEX('Fleet dates'!$A$9:$A$1008,$I988-8)="","",INDEX('Fleet dates'!$A$9:$A$1008,$I988-8)))</x:f>
      </x:c>
      <x:c r="B988" s="50" t="str">
        <x:f>IF(980&gt;$H$4,"",IF(INDEX('Fleet dates'!$B$9:$B$1008,$I988-8)="","",INDEX('Fleet dates'!$B$9:$B$1008,$I988-8)))</x:f>
      </x:c>
      <x:c r="C988" s="51" t="str">
        <x:f>IF(980&gt;$H$4,"",IF(INDEX('Fleet dates'!$C$9:$C$1008,$I988-8)="","",INDEX('Fleet dates'!$C$9:$C$1008,$I988-8)))</x:f>
      </x:c>
      <x:c r="D988" s="51" t="str">
        <x:f>IF(980&gt;$H$4,"",IF(INDEX('Fleet dates'!$D$9:$D$1008,$I988-8)="","",INDEX('Fleet dates'!$D$9:$D$1008,$I988-8)))</x:f>
      </x:c>
      <x:c r="E988" s="51" t="str">
        <x:f>IF(980&gt;$H$4,"",IF(INDEX('Fleet dates'!$E$9:$E$1008,$I988-8)="","",INDEX('Fleet dates'!$E$9:$E$1008,$I988-8)))</x:f>
      </x:c>
      <x:c r="F988" s="51" t="str">
        <x:f>IF(980&gt;$H$4,"",IF(INDEX('Fleet dates'!$F$9:$F$1008,$I988-8)="","",INDEX('Fleet dates'!$F$9:$F$1008,$I988-8)))</x:f>
      </x:c>
      <x:c r="G988" s="50" t="str">
        <x:f>IF(980&gt;$H$4,"",IF(INDEX('Fleet dates'!$G$9:$G$1008,$I988-8)="","",INDEX('Fleet dates'!$G$9:$G$1008,$I988-8)))</x:f>
      </x:c>
      <x:c r="H988" s="50" t="str">
        <x:f>IF(980&gt;$H$4,"",IF(INDEX('Fleet dates'!$I$9:$I$1008,$I988-8)="","",INDEX('Fleet dates'!$I$9:$I$1008,$I988-8)))</x:f>
      </x:c>
      <x:c r="I988" t="str">
        <x:f>IF(980&gt;$H$4,"",MATCH(980,'Fleet dates'!$N$9:$N$1008,0)+8)</x:f>
      </x:c>
    </x:row>
    <x:row r="989" ht="36" customHeight="1">
      <x:c r="A989" s="50" t="str">
        <x:f>IF(981&gt;$H$4,"",IF(INDEX('Fleet dates'!$A$9:$A$1008,$I989-8)="","",INDEX('Fleet dates'!$A$9:$A$1008,$I989-8)))</x:f>
      </x:c>
      <x:c r="B989" s="50" t="str">
        <x:f>IF(981&gt;$H$4,"",IF(INDEX('Fleet dates'!$B$9:$B$1008,$I989-8)="","",INDEX('Fleet dates'!$B$9:$B$1008,$I989-8)))</x:f>
      </x:c>
      <x:c r="C989" s="51" t="str">
        <x:f>IF(981&gt;$H$4,"",IF(INDEX('Fleet dates'!$C$9:$C$1008,$I989-8)="","",INDEX('Fleet dates'!$C$9:$C$1008,$I989-8)))</x:f>
      </x:c>
      <x:c r="D989" s="51" t="str">
        <x:f>IF(981&gt;$H$4,"",IF(INDEX('Fleet dates'!$D$9:$D$1008,$I989-8)="","",INDEX('Fleet dates'!$D$9:$D$1008,$I989-8)))</x:f>
      </x:c>
      <x:c r="E989" s="51" t="str">
        <x:f>IF(981&gt;$H$4,"",IF(INDEX('Fleet dates'!$E$9:$E$1008,$I989-8)="","",INDEX('Fleet dates'!$E$9:$E$1008,$I989-8)))</x:f>
      </x:c>
      <x:c r="F989" s="51" t="str">
        <x:f>IF(981&gt;$H$4,"",IF(INDEX('Fleet dates'!$F$9:$F$1008,$I989-8)="","",INDEX('Fleet dates'!$F$9:$F$1008,$I989-8)))</x:f>
      </x:c>
      <x:c r="G989" s="50" t="str">
        <x:f>IF(981&gt;$H$4,"",IF(INDEX('Fleet dates'!$G$9:$G$1008,$I989-8)="","",INDEX('Fleet dates'!$G$9:$G$1008,$I989-8)))</x:f>
      </x:c>
      <x:c r="H989" s="50" t="str">
        <x:f>IF(981&gt;$H$4,"",IF(INDEX('Fleet dates'!$I$9:$I$1008,$I989-8)="","",INDEX('Fleet dates'!$I$9:$I$1008,$I989-8)))</x:f>
      </x:c>
      <x:c r="I989" t="str">
        <x:f>IF(981&gt;$H$4,"",MATCH(981,'Fleet dates'!$N$9:$N$1008,0)+8)</x:f>
      </x:c>
    </x:row>
    <x:row r="990" ht="36" customHeight="1">
      <x:c r="A990" s="50" t="str">
        <x:f>IF(982&gt;$H$4,"",IF(INDEX('Fleet dates'!$A$9:$A$1008,$I990-8)="","",INDEX('Fleet dates'!$A$9:$A$1008,$I990-8)))</x:f>
      </x:c>
      <x:c r="B990" s="50" t="str">
        <x:f>IF(982&gt;$H$4,"",IF(INDEX('Fleet dates'!$B$9:$B$1008,$I990-8)="","",INDEX('Fleet dates'!$B$9:$B$1008,$I990-8)))</x:f>
      </x:c>
      <x:c r="C990" s="51" t="str">
        <x:f>IF(982&gt;$H$4,"",IF(INDEX('Fleet dates'!$C$9:$C$1008,$I990-8)="","",INDEX('Fleet dates'!$C$9:$C$1008,$I990-8)))</x:f>
      </x:c>
      <x:c r="D990" s="51" t="str">
        <x:f>IF(982&gt;$H$4,"",IF(INDEX('Fleet dates'!$D$9:$D$1008,$I990-8)="","",INDEX('Fleet dates'!$D$9:$D$1008,$I990-8)))</x:f>
      </x:c>
      <x:c r="E990" s="51" t="str">
        <x:f>IF(982&gt;$H$4,"",IF(INDEX('Fleet dates'!$E$9:$E$1008,$I990-8)="","",INDEX('Fleet dates'!$E$9:$E$1008,$I990-8)))</x:f>
      </x:c>
      <x:c r="F990" s="51" t="str">
        <x:f>IF(982&gt;$H$4,"",IF(INDEX('Fleet dates'!$F$9:$F$1008,$I990-8)="","",INDEX('Fleet dates'!$F$9:$F$1008,$I990-8)))</x:f>
      </x:c>
      <x:c r="G990" s="50" t="str">
        <x:f>IF(982&gt;$H$4,"",IF(INDEX('Fleet dates'!$G$9:$G$1008,$I990-8)="","",INDEX('Fleet dates'!$G$9:$G$1008,$I990-8)))</x:f>
      </x:c>
      <x:c r="H990" s="50" t="str">
        <x:f>IF(982&gt;$H$4,"",IF(INDEX('Fleet dates'!$I$9:$I$1008,$I990-8)="","",INDEX('Fleet dates'!$I$9:$I$1008,$I990-8)))</x:f>
      </x:c>
      <x:c r="I990" t="str">
        <x:f>IF(982&gt;$H$4,"",MATCH(982,'Fleet dates'!$N$9:$N$1008,0)+8)</x:f>
      </x:c>
    </x:row>
    <x:row r="991" ht="36" customHeight="1">
      <x:c r="A991" s="50" t="str">
        <x:f>IF(983&gt;$H$4,"",IF(INDEX('Fleet dates'!$A$9:$A$1008,$I991-8)="","",INDEX('Fleet dates'!$A$9:$A$1008,$I991-8)))</x:f>
      </x:c>
      <x:c r="B991" s="50" t="str">
        <x:f>IF(983&gt;$H$4,"",IF(INDEX('Fleet dates'!$B$9:$B$1008,$I991-8)="","",INDEX('Fleet dates'!$B$9:$B$1008,$I991-8)))</x:f>
      </x:c>
      <x:c r="C991" s="51" t="str">
        <x:f>IF(983&gt;$H$4,"",IF(INDEX('Fleet dates'!$C$9:$C$1008,$I991-8)="","",INDEX('Fleet dates'!$C$9:$C$1008,$I991-8)))</x:f>
      </x:c>
      <x:c r="D991" s="51" t="str">
        <x:f>IF(983&gt;$H$4,"",IF(INDEX('Fleet dates'!$D$9:$D$1008,$I991-8)="","",INDEX('Fleet dates'!$D$9:$D$1008,$I991-8)))</x:f>
      </x:c>
      <x:c r="E991" s="51" t="str">
        <x:f>IF(983&gt;$H$4,"",IF(INDEX('Fleet dates'!$E$9:$E$1008,$I991-8)="","",INDEX('Fleet dates'!$E$9:$E$1008,$I991-8)))</x:f>
      </x:c>
      <x:c r="F991" s="51" t="str">
        <x:f>IF(983&gt;$H$4,"",IF(INDEX('Fleet dates'!$F$9:$F$1008,$I991-8)="","",INDEX('Fleet dates'!$F$9:$F$1008,$I991-8)))</x:f>
      </x:c>
      <x:c r="G991" s="50" t="str">
        <x:f>IF(983&gt;$H$4,"",IF(INDEX('Fleet dates'!$G$9:$G$1008,$I991-8)="","",INDEX('Fleet dates'!$G$9:$G$1008,$I991-8)))</x:f>
      </x:c>
      <x:c r="H991" s="50" t="str">
        <x:f>IF(983&gt;$H$4,"",IF(INDEX('Fleet dates'!$I$9:$I$1008,$I991-8)="","",INDEX('Fleet dates'!$I$9:$I$1008,$I991-8)))</x:f>
      </x:c>
      <x:c r="I991" t="str">
        <x:f>IF(983&gt;$H$4,"",MATCH(983,'Fleet dates'!$N$9:$N$1008,0)+8)</x:f>
      </x:c>
    </x:row>
    <x:row r="992" ht="36" customHeight="1">
      <x:c r="A992" s="50" t="str">
        <x:f>IF(984&gt;$H$4,"",IF(INDEX('Fleet dates'!$A$9:$A$1008,$I992-8)="","",INDEX('Fleet dates'!$A$9:$A$1008,$I992-8)))</x:f>
      </x:c>
      <x:c r="B992" s="50" t="str">
        <x:f>IF(984&gt;$H$4,"",IF(INDEX('Fleet dates'!$B$9:$B$1008,$I992-8)="","",INDEX('Fleet dates'!$B$9:$B$1008,$I992-8)))</x:f>
      </x:c>
      <x:c r="C992" s="51" t="str">
        <x:f>IF(984&gt;$H$4,"",IF(INDEX('Fleet dates'!$C$9:$C$1008,$I992-8)="","",INDEX('Fleet dates'!$C$9:$C$1008,$I992-8)))</x:f>
      </x:c>
      <x:c r="D992" s="51" t="str">
        <x:f>IF(984&gt;$H$4,"",IF(INDEX('Fleet dates'!$D$9:$D$1008,$I992-8)="","",INDEX('Fleet dates'!$D$9:$D$1008,$I992-8)))</x:f>
      </x:c>
      <x:c r="E992" s="51" t="str">
        <x:f>IF(984&gt;$H$4,"",IF(INDEX('Fleet dates'!$E$9:$E$1008,$I992-8)="","",INDEX('Fleet dates'!$E$9:$E$1008,$I992-8)))</x:f>
      </x:c>
      <x:c r="F992" s="51" t="str">
        <x:f>IF(984&gt;$H$4,"",IF(INDEX('Fleet dates'!$F$9:$F$1008,$I992-8)="","",INDEX('Fleet dates'!$F$9:$F$1008,$I992-8)))</x:f>
      </x:c>
      <x:c r="G992" s="50" t="str">
        <x:f>IF(984&gt;$H$4,"",IF(INDEX('Fleet dates'!$G$9:$G$1008,$I992-8)="","",INDEX('Fleet dates'!$G$9:$G$1008,$I992-8)))</x:f>
      </x:c>
      <x:c r="H992" s="50" t="str">
        <x:f>IF(984&gt;$H$4,"",IF(INDEX('Fleet dates'!$I$9:$I$1008,$I992-8)="","",INDEX('Fleet dates'!$I$9:$I$1008,$I992-8)))</x:f>
      </x:c>
      <x:c r="I992" t="str">
        <x:f>IF(984&gt;$H$4,"",MATCH(984,'Fleet dates'!$N$9:$N$1008,0)+8)</x:f>
      </x:c>
    </x:row>
    <x:row r="993" ht="36" customHeight="1">
      <x:c r="A993" s="50" t="str">
        <x:f>IF(985&gt;$H$4,"",IF(INDEX('Fleet dates'!$A$9:$A$1008,$I993-8)="","",INDEX('Fleet dates'!$A$9:$A$1008,$I993-8)))</x:f>
      </x:c>
      <x:c r="B993" s="50" t="str">
        <x:f>IF(985&gt;$H$4,"",IF(INDEX('Fleet dates'!$B$9:$B$1008,$I993-8)="","",INDEX('Fleet dates'!$B$9:$B$1008,$I993-8)))</x:f>
      </x:c>
      <x:c r="C993" s="51" t="str">
        <x:f>IF(985&gt;$H$4,"",IF(INDEX('Fleet dates'!$C$9:$C$1008,$I993-8)="","",INDEX('Fleet dates'!$C$9:$C$1008,$I993-8)))</x:f>
      </x:c>
      <x:c r="D993" s="51" t="str">
        <x:f>IF(985&gt;$H$4,"",IF(INDEX('Fleet dates'!$D$9:$D$1008,$I993-8)="","",INDEX('Fleet dates'!$D$9:$D$1008,$I993-8)))</x:f>
      </x:c>
      <x:c r="E993" s="51" t="str">
        <x:f>IF(985&gt;$H$4,"",IF(INDEX('Fleet dates'!$E$9:$E$1008,$I993-8)="","",INDEX('Fleet dates'!$E$9:$E$1008,$I993-8)))</x:f>
      </x:c>
      <x:c r="F993" s="51" t="str">
        <x:f>IF(985&gt;$H$4,"",IF(INDEX('Fleet dates'!$F$9:$F$1008,$I993-8)="","",INDEX('Fleet dates'!$F$9:$F$1008,$I993-8)))</x:f>
      </x:c>
      <x:c r="G993" s="50" t="str">
        <x:f>IF(985&gt;$H$4,"",IF(INDEX('Fleet dates'!$G$9:$G$1008,$I993-8)="","",INDEX('Fleet dates'!$G$9:$G$1008,$I993-8)))</x:f>
      </x:c>
      <x:c r="H993" s="50" t="str">
        <x:f>IF(985&gt;$H$4,"",IF(INDEX('Fleet dates'!$I$9:$I$1008,$I993-8)="","",INDEX('Fleet dates'!$I$9:$I$1008,$I993-8)))</x:f>
      </x:c>
      <x:c r="I993" t="str">
        <x:f>IF(985&gt;$H$4,"",MATCH(985,'Fleet dates'!$N$9:$N$1008,0)+8)</x:f>
      </x:c>
    </x:row>
    <x:row r="994" ht="36" customHeight="1">
      <x:c r="A994" s="50" t="str">
        <x:f>IF(986&gt;$H$4,"",IF(INDEX('Fleet dates'!$A$9:$A$1008,$I994-8)="","",INDEX('Fleet dates'!$A$9:$A$1008,$I994-8)))</x:f>
      </x:c>
      <x:c r="B994" s="50" t="str">
        <x:f>IF(986&gt;$H$4,"",IF(INDEX('Fleet dates'!$B$9:$B$1008,$I994-8)="","",INDEX('Fleet dates'!$B$9:$B$1008,$I994-8)))</x:f>
      </x:c>
      <x:c r="C994" s="51" t="str">
        <x:f>IF(986&gt;$H$4,"",IF(INDEX('Fleet dates'!$C$9:$C$1008,$I994-8)="","",INDEX('Fleet dates'!$C$9:$C$1008,$I994-8)))</x:f>
      </x:c>
      <x:c r="D994" s="51" t="str">
        <x:f>IF(986&gt;$H$4,"",IF(INDEX('Fleet dates'!$D$9:$D$1008,$I994-8)="","",INDEX('Fleet dates'!$D$9:$D$1008,$I994-8)))</x:f>
      </x:c>
      <x:c r="E994" s="51" t="str">
        <x:f>IF(986&gt;$H$4,"",IF(INDEX('Fleet dates'!$E$9:$E$1008,$I994-8)="","",INDEX('Fleet dates'!$E$9:$E$1008,$I994-8)))</x:f>
      </x:c>
      <x:c r="F994" s="51" t="str">
        <x:f>IF(986&gt;$H$4,"",IF(INDEX('Fleet dates'!$F$9:$F$1008,$I994-8)="","",INDEX('Fleet dates'!$F$9:$F$1008,$I994-8)))</x:f>
      </x:c>
      <x:c r="G994" s="50" t="str">
        <x:f>IF(986&gt;$H$4,"",IF(INDEX('Fleet dates'!$G$9:$G$1008,$I994-8)="","",INDEX('Fleet dates'!$G$9:$G$1008,$I994-8)))</x:f>
      </x:c>
      <x:c r="H994" s="50" t="str">
        <x:f>IF(986&gt;$H$4,"",IF(INDEX('Fleet dates'!$I$9:$I$1008,$I994-8)="","",INDEX('Fleet dates'!$I$9:$I$1008,$I994-8)))</x:f>
      </x:c>
      <x:c r="I994" t="str">
        <x:f>IF(986&gt;$H$4,"",MATCH(986,'Fleet dates'!$N$9:$N$1008,0)+8)</x:f>
      </x:c>
    </x:row>
    <x:row r="995" ht="36" customHeight="1">
      <x:c r="A995" s="50" t="str">
        <x:f>IF(987&gt;$H$4,"",IF(INDEX('Fleet dates'!$A$9:$A$1008,$I995-8)="","",INDEX('Fleet dates'!$A$9:$A$1008,$I995-8)))</x:f>
      </x:c>
      <x:c r="B995" s="50" t="str">
        <x:f>IF(987&gt;$H$4,"",IF(INDEX('Fleet dates'!$B$9:$B$1008,$I995-8)="","",INDEX('Fleet dates'!$B$9:$B$1008,$I995-8)))</x:f>
      </x:c>
      <x:c r="C995" s="51" t="str">
        <x:f>IF(987&gt;$H$4,"",IF(INDEX('Fleet dates'!$C$9:$C$1008,$I995-8)="","",INDEX('Fleet dates'!$C$9:$C$1008,$I995-8)))</x:f>
      </x:c>
      <x:c r="D995" s="51" t="str">
        <x:f>IF(987&gt;$H$4,"",IF(INDEX('Fleet dates'!$D$9:$D$1008,$I995-8)="","",INDEX('Fleet dates'!$D$9:$D$1008,$I995-8)))</x:f>
      </x:c>
      <x:c r="E995" s="51" t="str">
        <x:f>IF(987&gt;$H$4,"",IF(INDEX('Fleet dates'!$E$9:$E$1008,$I995-8)="","",INDEX('Fleet dates'!$E$9:$E$1008,$I995-8)))</x:f>
      </x:c>
      <x:c r="F995" s="51" t="str">
        <x:f>IF(987&gt;$H$4,"",IF(INDEX('Fleet dates'!$F$9:$F$1008,$I995-8)="","",INDEX('Fleet dates'!$F$9:$F$1008,$I995-8)))</x:f>
      </x:c>
      <x:c r="G995" s="50" t="str">
        <x:f>IF(987&gt;$H$4,"",IF(INDEX('Fleet dates'!$G$9:$G$1008,$I995-8)="","",INDEX('Fleet dates'!$G$9:$G$1008,$I995-8)))</x:f>
      </x:c>
      <x:c r="H995" s="50" t="str">
        <x:f>IF(987&gt;$H$4,"",IF(INDEX('Fleet dates'!$I$9:$I$1008,$I995-8)="","",INDEX('Fleet dates'!$I$9:$I$1008,$I995-8)))</x:f>
      </x:c>
      <x:c r="I995" t="str">
        <x:f>IF(987&gt;$H$4,"",MATCH(987,'Fleet dates'!$N$9:$N$1008,0)+8)</x:f>
      </x:c>
    </x:row>
    <x:row r="996" ht="36" customHeight="1">
      <x:c r="A996" s="50" t="str">
        <x:f>IF(988&gt;$H$4,"",IF(INDEX('Fleet dates'!$A$9:$A$1008,$I996-8)="","",INDEX('Fleet dates'!$A$9:$A$1008,$I996-8)))</x:f>
      </x:c>
      <x:c r="B996" s="50" t="str">
        <x:f>IF(988&gt;$H$4,"",IF(INDEX('Fleet dates'!$B$9:$B$1008,$I996-8)="","",INDEX('Fleet dates'!$B$9:$B$1008,$I996-8)))</x:f>
      </x:c>
      <x:c r="C996" s="51" t="str">
        <x:f>IF(988&gt;$H$4,"",IF(INDEX('Fleet dates'!$C$9:$C$1008,$I996-8)="","",INDEX('Fleet dates'!$C$9:$C$1008,$I996-8)))</x:f>
      </x:c>
      <x:c r="D996" s="51" t="str">
        <x:f>IF(988&gt;$H$4,"",IF(INDEX('Fleet dates'!$D$9:$D$1008,$I996-8)="","",INDEX('Fleet dates'!$D$9:$D$1008,$I996-8)))</x:f>
      </x:c>
      <x:c r="E996" s="51" t="str">
        <x:f>IF(988&gt;$H$4,"",IF(INDEX('Fleet dates'!$E$9:$E$1008,$I996-8)="","",INDEX('Fleet dates'!$E$9:$E$1008,$I996-8)))</x:f>
      </x:c>
      <x:c r="F996" s="51" t="str">
        <x:f>IF(988&gt;$H$4,"",IF(INDEX('Fleet dates'!$F$9:$F$1008,$I996-8)="","",INDEX('Fleet dates'!$F$9:$F$1008,$I996-8)))</x:f>
      </x:c>
      <x:c r="G996" s="50" t="str">
        <x:f>IF(988&gt;$H$4,"",IF(INDEX('Fleet dates'!$G$9:$G$1008,$I996-8)="","",INDEX('Fleet dates'!$G$9:$G$1008,$I996-8)))</x:f>
      </x:c>
      <x:c r="H996" s="50" t="str">
        <x:f>IF(988&gt;$H$4,"",IF(INDEX('Fleet dates'!$I$9:$I$1008,$I996-8)="","",INDEX('Fleet dates'!$I$9:$I$1008,$I996-8)))</x:f>
      </x:c>
      <x:c r="I996" t="str">
        <x:f>IF(988&gt;$H$4,"",MATCH(988,'Fleet dates'!$N$9:$N$1008,0)+8)</x:f>
      </x:c>
    </x:row>
    <x:row r="997" ht="36" customHeight="1">
      <x:c r="A997" s="50" t="str">
        <x:f>IF(989&gt;$H$4,"",IF(INDEX('Fleet dates'!$A$9:$A$1008,$I997-8)="","",INDEX('Fleet dates'!$A$9:$A$1008,$I997-8)))</x:f>
      </x:c>
      <x:c r="B997" s="50" t="str">
        <x:f>IF(989&gt;$H$4,"",IF(INDEX('Fleet dates'!$B$9:$B$1008,$I997-8)="","",INDEX('Fleet dates'!$B$9:$B$1008,$I997-8)))</x:f>
      </x:c>
      <x:c r="C997" s="51" t="str">
        <x:f>IF(989&gt;$H$4,"",IF(INDEX('Fleet dates'!$C$9:$C$1008,$I997-8)="","",INDEX('Fleet dates'!$C$9:$C$1008,$I997-8)))</x:f>
      </x:c>
      <x:c r="D997" s="51" t="str">
        <x:f>IF(989&gt;$H$4,"",IF(INDEX('Fleet dates'!$D$9:$D$1008,$I997-8)="","",INDEX('Fleet dates'!$D$9:$D$1008,$I997-8)))</x:f>
      </x:c>
      <x:c r="E997" s="51" t="str">
        <x:f>IF(989&gt;$H$4,"",IF(INDEX('Fleet dates'!$E$9:$E$1008,$I997-8)="","",INDEX('Fleet dates'!$E$9:$E$1008,$I997-8)))</x:f>
      </x:c>
      <x:c r="F997" s="51" t="str">
        <x:f>IF(989&gt;$H$4,"",IF(INDEX('Fleet dates'!$F$9:$F$1008,$I997-8)="","",INDEX('Fleet dates'!$F$9:$F$1008,$I997-8)))</x:f>
      </x:c>
      <x:c r="G997" s="50" t="str">
        <x:f>IF(989&gt;$H$4,"",IF(INDEX('Fleet dates'!$G$9:$G$1008,$I997-8)="","",INDEX('Fleet dates'!$G$9:$G$1008,$I997-8)))</x:f>
      </x:c>
      <x:c r="H997" s="50" t="str">
        <x:f>IF(989&gt;$H$4,"",IF(INDEX('Fleet dates'!$I$9:$I$1008,$I997-8)="","",INDEX('Fleet dates'!$I$9:$I$1008,$I997-8)))</x:f>
      </x:c>
      <x:c r="I997" t="str">
        <x:f>IF(989&gt;$H$4,"",MATCH(989,'Fleet dates'!$N$9:$N$1008,0)+8)</x:f>
      </x:c>
    </x:row>
    <x:row r="998" ht="36" customHeight="1">
      <x:c r="A998" s="50" t="str">
        <x:f>IF(990&gt;$H$4,"",IF(INDEX('Fleet dates'!$A$9:$A$1008,$I998-8)="","",INDEX('Fleet dates'!$A$9:$A$1008,$I998-8)))</x:f>
      </x:c>
      <x:c r="B998" s="50" t="str">
        <x:f>IF(990&gt;$H$4,"",IF(INDEX('Fleet dates'!$B$9:$B$1008,$I998-8)="","",INDEX('Fleet dates'!$B$9:$B$1008,$I998-8)))</x:f>
      </x:c>
      <x:c r="C998" s="51" t="str">
        <x:f>IF(990&gt;$H$4,"",IF(INDEX('Fleet dates'!$C$9:$C$1008,$I998-8)="","",INDEX('Fleet dates'!$C$9:$C$1008,$I998-8)))</x:f>
      </x:c>
      <x:c r="D998" s="51" t="str">
        <x:f>IF(990&gt;$H$4,"",IF(INDEX('Fleet dates'!$D$9:$D$1008,$I998-8)="","",INDEX('Fleet dates'!$D$9:$D$1008,$I998-8)))</x:f>
      </x:c>
      <x:c r="E998" s="51" t="str">
        <x:f>IF(990&gt;$H$4,"",IF(INDEX('Fleet dates'!$E$9:$E$1008,$I998-8)="","",INDEX('Fleet dates'!$E$9:$E$1008,$I998-8)))</x:f>
      </x:c>
      <x:c r="F998" s="51" t="str">
        <x:f>IF(990&gt;$H$4,"",IF(INDEX('Fleet dates'!$F$9:$F$1008,$I998-8)="","",INDEX('Fleet dates'!$F$9:$F$1008,$I998-8)))</x:f>
      </x:c>
      <x:c r="G998" s="50" t="str">
        <x:f>IF(990&gt;$H$4,"",IF(INDEX('Fleet dates'!$G$9:$G$1008,$I998-8)="","",INDEX('Fleet dates'!$G$9:$G$1008,$I998-8)))</x:f>
      </x:c>
      <x:c r="H998" s="50" t="str">
        <x:f>IF(990&gt;$H$4,"",IF(INDEX('Fleet dates'!$I$9:$I$1008,$I998-8)="","",INDEX('Fleet dates'!$I$9:$I$1008,$I998-8)))</x:f>
      </x:c>
      <x:c r="I998" t="str">
        <x:f>IF(990&gt;$H$4,"",MATCH(990,'Fleet dates'!$N$9:$N$1008,0)+8)</x:f>
      </x:c>
    </x:row>
    <x:row r="999" ht="36" customHeight="1">
      <x:c r="A999" s="50" t="str">
        <x:f>IF(991&gt;$H$4,"",IF(INDEX('Fleet dates'!$A$9:$A$1008,$I999-8)="","",INDEX('Fleet dates'!$A$9:$A$1008,$I999-8)))</x:f>
      </x:c>
      <x:c r="B999" s="50" t="str">
        <x:f>IF(991&gt;$H$4,"",IF(INDEX('Fleet dates'!$B$9:$B$1008,$I999-8)="","",INDEX('Fleet dates'!$B$9:$B$1008,$I999-8)))</x:f>
      </x:c>
      <x:c r="C999" s="51" t="str">
        <x:f>IF(991&gt;$H$4,"",IF(INDEX('Fleet dates'!$C$9:$C$1008,$I999-8)="","",INDEX('Fleet dates'!$C$9:$C$1008,$I999-8)))</x:f>
      </x:c>
      <x:c r="D999" s="51" t="str">
        <x:f>IF(991&gt;$H$4,"",IF(INDEX('Fleet dates'!$D$9:$D$1008,$I999-8)="","",INDEX('Fleet dates'!$D$9:$D$1008,$I999-8)))</x:f>
      </x:c>
      <x:c r="E999" s="51" t="str">
        <x:f>IF(991&gt;$H$4,"",IF(INDEX('Fleet dates'!$E$9:$E$1008,$I999-8)="","",INDEX('Fleet dates'!$E$9:$E$1008,$I999-8)))</x:f>
      </x:c>
      <x:c r="F999" s="51" t="str">
        <x:f>IF(991&gt;$H$4,"",IF(INDEX('Fleet dates'!$F$9:$F$1008,$I999-8)="","",INDEX('Fleet dates'!$F$9:$F$1008,$I999-8)))</x:f>
      </x:c>
      <x:c r="G999" s="50" t="str">
        <x:f>IF(991&gt;$H$4,"",IF(INDEX('Fleet dates'!$G$9:$G$1008,$I999-8)="","",INDEX('Fleet dates'!$G$9:$G$1008,$I999-8)))</x:f>
      </x:c>
      <x:c r="H999" s="50" t="str">
        <x:f>IF(991&gt;$H$4,"",IF(INDEX('Fleet dates'!$I$9:$I$1008,$I999-8)="","",INDEX('Fleet dates'!$I$9:$I$1008,$I999-8)))</x:f>
      </x:c>
      <x:c r="I999" t="str">
        <x:f>IF(991&gt;$H$4,"",MATCH(991,'Fleet dates'!$N$9:$N$1008,0)+8)</x:f>
      </x:c>
    </x:row>
    <x:row r="1000" ht="36" customHeight="1">
      <x:c r="A1000" s="50" t="str">
        <x:f>IF(992&gt;$H$4,"",IF(INDEX('Fleet dates'!$A$9:$A$1008,$I1000-8)="","",INDEX('Fleet dates'!$A$9:$A$1008,$I1000-8)))</x:f>
      </x:c>
      <x:c r="B1000" s="50" t="str">
        <x:f>IF(992&gt;$H$4,"",IF(INDEX('Fleet dates'!$B$9:$B$1008,$I1000-8)="","",INDEX('Fleet dates'!$B$9:$B$1008,$I1000-8)))</x:f>
      </x:c>
      <x:c r="C1000" s="51" t="str">
        <x:f>IF(992&gt;$H$4,"",IF(INDEX('Fleet dates'!$C$9:$C$1008,$I1000-8)="","",INDEX('Fleet dates'!$C$9:$C$1008,$I1000-8)))</x:f>
      </x:c>
      <x:c r="D1000" s="51" t="str">
        <x:f>IF(992&gt;$H$4,"",IF(INDEX('Fleet dates'!$D$9:$D$1008,$I1000-8)="","",INDEX('Fleet dates'!$D$9:$D$1008,$I1000-8)))</x:f>
      </x:c>
      <x:c r="E1000" s="51" t="str">
        <x:f>IF(992&gt;$H$4,"",IF(INDEX('Fleet dates'!$E$9:$E$1008,$I1000-8)="","",INDEX('Fleet dates'!$E$9:$E$1008,$I1000-8)))</x:f>
      </x:c>
      <x:c r="F1000" s="51" t="str">
        <x:f>IF(992&gt;$H$4,"",IF(INDEX('Fleet dates'!$F$9:$F$1008,$I1000-8)="","",INDEX('Fleet dates'!$F$9:$F$1008,$I1000-8)))</x:f>
      </x:c>
      <x:c r="G1000" s="50" t="str">
        <x:f>IF(992&gt;$H$4,"",IF(INDEX('Fleet dates'!$G$9:$G$1008,$I1000-8)="","",INDEX('Fleet dates'!$G$9:$G$1008,$I1000-8)))</x:f>
      </x:c>
      <x:c r="H1000" s="50" t="str">
        <x:f>IF(992&gt;$H$4,"",IF(INDEX('Fleet dates'!$I$9:$I$1008,$I1000-8)="","",INDEX('Fleet dates'!$I$9:$I$1008,$I1000-8)))</x:f>
      </x:c>
      <x:c r="I1000" t="str">
        <x:f>IF(992&gt;$H$4,"",MATCH(992,'Fleet dates'!$N$9:$N$1008,0)+8)</x:f>
      </x:c>
    </x:row>
    <x:row r="1001" ht="36" customHeight="1">
      <x:c r="A1001" s="50" t="str">
        <x:f>IF(993&gt;$H$4,"",IF(INDEX('Fleet dates'!$A$9:$A$1008,$I1001-8)="","",INDEX('Fleet dates'!$A$9:$A$1008,$I1001-8)))</x:f>
      </x:c>
      <x:c r="B1001" s="50" t="str">
        <x:f>IF(993&gt;$H$4,"",IF(INDEX('Fleet dates'!$B$9:$B$1008,$I1001-8)="","",INDEX('Fleet dates'!$B$9:$B$1008,$I1001-8)))</x:f>
      </x:c>
      <x:c r="C1001" s="51" t="str">
        <x:f>IF(993&gt;$H$4,"",IF(INDEX('Fleet dates'!$C$9:$C$1008,$I1001-8)="","",INDEX('Fleet dates'!$C$9:$C$1008,$I1001-8)))</x:f>
      </x:c>
      <x:c r="D1001" s="51" t="str">
        <x:f>IF(993&gt;$H$4,"",IF(INDEX('Fleet dates'!$D$9:$D$1008,$I1001-8)="","",INDEX('Fleet dates'!$D$9:$D$1008,$I1001-8)))</x:f>
      </x:c>
      <x:c r="E1001" s="51" t="str">
        <x:f>IF(993&gt;$H$4,"",IF(INDEX('Fleet dates'!$E$9:$E$1008,$I1001-8)="","",INDEX('Fleet dates'!$E$9:$E$1008,$I1001-8)))</x:f>
      </x:c>
      <x:c r="F1001" s="51" t="str">
        <x:f>IF(993&gt;$H$4,"",IF(INDEX('Fleet dates'!$F$9:$F$1008,$I1001-8)="","",INDEX('Fleet dates'!$F$9:$F$1008,$I1001-8)))</x:f>
      </x:c>
      <x:c r="G1001" s="50" t="str">
        <x:f>IF(993&gt;$H$4,"",IF(INDEX('Fleet dates'!$G$9:$G$1008,$I1001-8)="","",INDEX('Fleet dates'!$G$9:$G$1008,$I1001-8)))</x:f>
      </x:c>
      <x:c r="H1001" s="50" t="str">
        <x:f>IF(993&gt;$H$4,"",IF(INDEX('Fleet dates'!$I$9:$I$1008,$I1001-8)="","",INDEX('Fleet dates'!$I$9:$I$1008,$I1001-8)))</x:f>
      </x:c>
      <x:c r="I1001" t="str">
        <x:f>IF(993&gt;$H$4,"",MATCH(993,'Fleet dates'!$N$9:$N$1008,0)+8)</x:f>
      </x:c>
    </x:row>
    <x:row r="1002" ht="36" customHeight="1">
      <x:c r="A1002" s="50" t="str">
        <x:f>IF(994&gt;$H$4,"",IF(INDEX('Fleet dates'!$A$9:$A$1008,$I1002-8)="","",INDEX('Fleet dates'!$A$9:$A$1008,$I1002-8)))</x:f>
      </x:c>
      <x:c r="B1002" s="50" t="str">
        <x:f>IF(994&gt;$H$4,"",IF(INDEX('Fleet dates'!$B$9:$B$1008,$I1002-8)="","",INDEX('Fleet dates'!$B$9:$B$1008,$I1002-8)))</x:f>
      </x:c>
      <x:c r="C1002" s="51" t="str">
        <x:f>IF(994&gt;$H$4,"",IF(INDEX('Fleet dates'!$C$9:$C$1008,$I1002-8)="","",INDEX('Fleet dates'!$C$9:$C$1008,$I1002-8)))</x:f>
      </x:c>
      <x:c r="D1002" s="51" t="str">
        <x:f>IF(994&gt;$H$4,"",IF(INDEX('Fleet dates'!$D$9:$D$1008,$I1002-8)="","",INDEX('Fleet dates'!$D$9:$D$1008,$I1002-8)))</x:f>
      </x:c>
      <x:c r="E1002" s="51" t="str">
        <x:f>IF(994&gt;$H$4,"",IF(INDEX('Fleet dates'!$E$9:$E$1008,$I1002-8)="","",INDEX('Fleet dates'!$E$9:$E$1008,$I1002-8)))</x:f>
      </x:c>
      <x:c r="F1002" s="51" t="str">
        <x:f>IF(994&gt;$H$4,"",IF(INDEX('Fleet dates'!$F$9:$F$1008,$I1002-8)="","",INDEX('Fleet dates'!$F$9:$F$1008,$I1002-8)))</x:f>
      </x:c>
      <x:c r="G1002" s="50" t="str">
        <x:f>IF(994&gt;$H$4,"",IF(INDEX('Fleet dates'!$G$9:$G$1008,$I1002-8)="","",INDEX('Fleet dates'!$G$9:$G$1008,$I1002-8)))</x:f>
      </x:c>
      <x:c r="H1002" s="50" t="str">
        <x:f>IF(994&gt;$H$4,"",IF(INDEX('Fleet dates'!$I$9:$I$1008,$I1002-8)="","",INDEX('Fleet dates'!$I$9:$I$1008,$I1002-8)))</x:f>
      </x:c>
      <x:c r="I1002" t="str">
        <x:f>IF(994&gt;$H$4,"",MATCH(994,'Fleet dates'!$N$9:$N$1008,0)+8)</x:f>
      </x:c>
    </x:row>
    <x:row r="1003" ht="36" customHeight="1">
      <x:c r="A1003" s="50" t="str">
        <x:f>IF(995&gt;$H$4,"",IF(INDEX('Fleet dates'!$A$9:$A$1008,$I1003-8)="","",INDEX('Fleet dates'!$A$9:$A$1008,$I1003-8)))</x:f>
      </x:c>
      <x:c r="B1003" s="50" t="str">
        <x:f>IF(995&gt;$H$4,"",IF(INDEX('Fleet dates'!$B$9:$B$1008,$I1003-8)="","",INDEX('Fleet dates'!$B$9:$B$1008,$I1003-8)))</x:f>
      </x:c>
      <x:c r="C1003" s="51" t="str">
        <x:f>IF(995&gt;$H$4,"",IF(INDEX('Fleet dates'!$C$9:$C$1008,$I1003-8)="","",INDEX('Fleet dates'!$C$9:$C$1008,$I1003-8)))</x:f>
      </x:c>
      <x:c r="D1003" s="51" t="str">
        <x:f>IF(995&gt;$H$4,"",IF(INDEX('Fleet dates'!$D$9:$D$1008,$I1003-8)="","",INDEX('Fleet dates'!$D$9:$D$1008,$I1003-8)))</x:f>
      </x:c>
      <x:c r="E1003" s="51" t="str">
        <x:f>IF(995&gt;$H$4,"",IF(INDEX('Fleet dates'!$E$9:$E$1008,$I1003-8)="","",INDEX('Fleet dates'!$E$9:$E$1008,$I1003-8)))</x:f>
      </x:c>
      <x:c r="F1003" s="51" t="str">
        <x:f>IF(995&gt;$H$4,"",IF(INDEX('Fleet dates'!$F$9:$F$1008,$I1003-8)="","",INDEX('Fleet dates'!$F$9:$F$1008,$I1003-8)))</x:f>
      </x:c>
      <x:c r="G1003" s="50" t="str">
        <x:f>IF(995&gt;$H$4,"",IF(INDEX('Fleet dates'!$G$9:$G$1008,$I1003-8)="","",INDEX('Fleet dates'!$G$9:$G$1008,$I1003-8)))</x:f>
      </x:c>
      <x:c r="H1003" s="50" t="str">
        <x:f>IF(995&gt;$H$4,"",IF(INDEX('Fleet dates'!$I$9:$I$1008,$I1003-8)="","",INDEX('Fleet dates'!$I$9:$I$1008,$I1003-8)))</x:f>
      </x:c>
      <x:c r="I1003" t="str">
        <x:f>IF(995&gt;$H$4,"",MATCH(995,'Fleet dates'!$N$9:$N$1008,0)+8)</x:f>
      </x:c>
    </x:row>
    <x:row r="1004" ht="36" customHeight="1">
      <x:c r="A1004" s="50" t="str">
        <x:f>IF(996&gt;$H$4,"",IF(INDEX('Fleet dates'!$A$9:$A$1008,$I1004-8)="","",INDEX('Fleet dates'!$A$9:$A$1008,$I1004-8)))</x:f>
      </x:c>
      <x:c r="B1004" s="50" t="str">
        <x:f>IF(996&gt;$H$4,"",IF(INDEX('Fleet dates'!$B$9:$B$1008,$I1004-8)="","",INDEX('Fleet dates'!$B$9:$B$1008,$I1004-8)))</x:f>
      </x:c>
      <x:c r="C1004" s="51" t="str">
        <x:f>IF(996&gt;$H$4,"",IF(INDEX('Fleet dates'!$C$9:$C$1008,$I1004-8)="","",INDEX('Fleet dates'!$C$9:$C$1008,$I1004-8)))</x:f>
      </x:c>
      <x:c r="D1004" s="51" t="str">
        <x:f>IF(996&gt;$H$4,"",IF(INDEX('Fleet dates'!$D$9:$D$1008,$I1004-8)="","",INDEX('Fleet dates'!$D$9:$D$1008,$I1004-8)))</x:f>
      </x:c>
      <x:c r="E1004" s="51" t="str">
        <x:f>IF(996&gt;$H$4,"",IF(INDEX('Fleet dates'!$E$9:$E$1008,$I1004-8)="","",INDEX('Fleet dates'!$E$9:$E$1008,$I1004-8)))</x:f>
      </x:c>
      <x:c r="F1004" s="51" t="str">
        <x:f>IF(996&gt;$H$4,"",IF(INDEX('Fleet dates'!$F$9:$F$1008,$I1004-8)="","",INDEX('Fleet dates'!$F$9:$F$1008,$I1004-8)))</x:f>
      </x:c>
      <x:c r="G1004" s="50" t="str">
        <x:f>IF(996&gt;$H$4,"",IF(INDEX('Fleet dates'!$G$9:$G$1008,$I1004-8)="","",INDEX('Fleet dates'!$G$9:$G$1008,$I1004-8)))</x:f>
      </x:c>
      <x:c r="H1004" s="50" t="str">
        <x:f>IF(996&gt;$H$4,"",IF(INDEX('Fleet dates'!$I$9:$I$1008,$I1004-8)="","",INDEX('Fleet dates'!$I$9:$I$1008,$I1004-8)))</x:f>
      </x:c>
      <x:c r="I1004" t="str">
        <x:f>IF(996&gt;$H$4,"",MATCH(996,'Fleet dates'!$N$9:$N$1008,0)+8)</x:f>
      </x:c>
    </x:row>
    <x:row r="1005" ht="36" customHeight="1">
      <x:c r="A1005" s="50" t="str">
        <x:f>IF(997&gt;$H$4,"",IF(INDEX('Fleet dates'!$A$9:$A$1008,$I1005-8)="","",INDEX('Fleet dates'!$A$9:$A$1008,$I1005-8)))</x:f>
      </x:c>
      <x:c r="B1005" s="50" t="str">
        <x:f>IF(997&gt;$H$4,"",IF(INDEX('Fleet dates'!$B$9:$B$1008,$I1005-8)="","",INDEX('Fleet dates'!$B$9:$B$1008,$I1005-8)))</x:f>
      </x:c>
      <x:c r="C1005" s="51" t="str">
        <x:f>IF(997&gt;$H$4,"",IF(INDEX('Fleet dates'!$C$9:$C$1008,$I1005-8)="","",INDEX('Fleet dates'!$C$9:$C$1008,$I1005-8)))</x:f>
      </x:c>
      <x:c r="D1005" s="51" t="str">
        <x:f>IF(997&gt;$H$4,"",IF(INDEX('Fleet dates'!$D$9:$D$1008,$I1005-8)="","",INDEX('Fleet dates'!$D$9:$D$1008,$I1005-8)))</x:f>
      </x:c>
      <x:c r="E1005" s="51" t="str">
        <x:f>IF(997&gt;$H$4,"",IF(INDEX('Fleet dates'!$E$9:$E$1008,$I1005-8)="","",INDEX('Fleet dates'!$E$9:$E$1008,$I1005-8)))</x:f>
      </x:c>
      <x:c r="F1005" s="51" t="str">
        <x:f>IF(997&gt;$H$4,"",IF(INDEX('Fleet dates'!$F$9:$F$1008,$I1005-8)="","",INDEX('Fleet dates'!$F$9:$F$1008,$I1005-8)))</x:f>
      </x:c>
      <x:c r="G1005" s="50" t="str">
        <x:f>IF(997&gt;$H$4,"",IF(INDEX('Fleet dates'!$G$9:$G$1008,$I1005-8)="","",INDEX('Fleet dates'!$G$9:$G$1008,$I1005-8)))</x:f>
      </x:c>
      <x:c r="H1005" s="50" t="str">
        <x:f>IF(997&gt;$H$4,"",IF(INDEX('Fleet dates'!$I$9:$I$1008,$I1005-8)="","",INDEX('Fleet dates'!$I$9:$I$1008,$I1005-8)))</x:f>
      </x:c>
      <x:c r="I1005" t="str">
        <x:f>IF(997&gt;$H$4,"",MATCH(997,'Fleet dates'!$N$9:$N$1008,0)+8)</x:f>
      </x:c>
    </x:row>
    <x:row r="1006" ht="36" customHeight="1">
      <x:c r="A1006" s="50" t="str">
        <x:f>IF(998&gt;$H$4,"",IF(INDEX('Fleet dates'!$A$9:$A$1008,$I1006-8)="","",INDEX('Fleet dates'!$A$9:$A$1008,$I1006-8)))</x:f>
      </x:c>
      <x:c r="B1006" s="50" t="str">
        <x:f>IF(998&gt;$H$4,"",IF(INDEX('Fleet dates'!$B$9:$B$1008,$I1006-8)="","",INDEX('Fleet dates'!$B$9:$B$1008,$I1006-8)))</x:f>
      </x:c>
      <x:c r="C1006" s="51" t="str">
        <x:f>IF(998&gt;$H$4,"",IF(INDEX('Fleet dates'!$C$9:$C$1008,$I1006-8)="","",INDEX('Fleet dates'!$C$9:$C$1008,$I1006-8)))</x:f>
      </x:c>
      <x:c r="D1006" s="51" t="str">
        <x:f>IF(998&gt;$H$4,"",IF(INDEX('Fleet dates'!$D$9:$D$1008,$I1006-8)="","",INDEX('Fleet dates'!$D$9:$D$1008,$I1006-8)))</x:f>
      </x:c>
      <x:c r="E1006" s="51" t="str">
        <x:f>IF(998&gt;$H$4,"",IF(INDEX('Fleet dates'!$E$9:$E$1008,$I1006-8)="","",INDEX('Fleet dates'!$E$9:$E$1008,$I1006-8)))</x:f>
      </x:c>
      <x:c r="F1006" s="51" t="str">
        <x:f>IF(998&gt;$H$4,"",IF(INDEX('Fleet dates'!$F$9:$F$1008,$I1006-8)="","",INDEX('Fleet dates'!$F$9:$F$1008,$I1006-8)))</x:f>
      </x:c>
      <x:c r="G1006" s="50" t="str">
        <x:f>IF(998&gt;$H$4,"",IF(INDEX('Fleet dates'!$G$9:$G$1008,$I1006-8)="","",INDEX('Fleet dates'!$G$9:$G$1008,$I1006-8)))</x:f>
      </x:c>
      <x:c r="H1006" s="50" t="str">
        <x:f>IF(998&gt;$H$4,"",IF(INDEX('Fleet dates'!$I$9:$I$1008,$I1006-8)="","",INDEX('Fleet dates'!$I$9:$I$1008,$I1006-8)))</x:f>
      </x:c>
      <x:c r="I1006" t="str">
        <x:f>IF(998&gt;$H$4,"",MATCH(998,'Fleet dates'!$N$9:$N$1008,0)+8)</x:f>
      </x:c>
    </x:row>
    <x:row r="1007" ht="36" customHeight="1">
      <x:c r="A1007" s="50" t="str">
        <x:f>IF(999&gt;$H$4,"",IF(INDEX('Fleet dates'!$A$9:$A$1008,$I1007-8)="","",INDEX('Fleet dates'!$A$9:$A$1008,$I1007-8)))</x:f>
      </x:c>
      <x:c r="B1007" s="50" t="str">
        <x:f>IF(999&gt;$H$4,"",IF(INDEX('Fleet dates'!$B$9:$B$1008,$I1007-8)="","",INDEX('Fleet dates'!$B$9:$B$1008,$I1007-8)))</x:f>
      </x:c>
      <x:c r="C1007" s="51" t="str">
        <x:f>IF(999&gt;$H$4,"",IF(INDEX('Fleet dates'!$C$9:$C$1008,$I1007-8)="","",INDEX('Fleet dates'!$C$9:$C$1008,$I1007-8)))</x:f>
      </x:c>
      <x:c r="D1007" s="51" t="str">
        <x:f>IF(999&gt;$H$4,"",IF(INDEX('Fleet dates'!$D$9:$D$1008,$I1007-8)="","",INDEX('Fleet dates'!$D$9:$D$1008,$I1007-8)))</x:f>
      </x:c>
      <x:c r="E1007" s="51" t="str">
        <x:f>IF(999&gt;$H$4,"",IF(INDEX('Fleet dates'!$E$9:$E$1008,$I1007-8)="","",INDEX('Fleet dates'!$E$9:$E$1008,$I1007-8)))</x:f>
      </x:c>
      <x:c r="F1007" s="51" t="str">
        <x:f>IF(999&gt;$H$4,"",IF(INDEX('Fleet dates'!$F$9:$F$1008,$I1007-8)="","",INDEX('Fleet dates'!$F$9:$F$1008,$I1007-8)))</x:f>
      </x:c>
      <x:c r="G1007" s="50" t="str">
        <x:f>IF(999&gt;$H$4,"",IF(INDEX('Fleet dates'!$G$9:$G$1008,$I1007-8)="","",INDEX('Fleet dates'!$G$9:$G$1008,$I1007-8)))</x:f>
      </x:c>
      <x:c r="H1007" s="50" t="str">
        <x:f>IF(999&gt;$H$4,"",IF(INDEX('Fleet dates'!$I$9:$I$1008,$I1007-8)="","",INDEX('Fleet dates'!$I$9:$I$1008,$I1007-8)))</x:f>
      </x:c>
      <x:c r="I1007" t="str">
        <x:f>IF(999&gt;$H$4,"",MATCH(999,'Fleet dates'!$N$9:$N$1008,0)+8)</x:f>
      </x:c>
    </x:row>
    <x:row r="1008" ht="36" customHeight="1">
      <x:c r="A1008" s="50" t="str">
        <x:f>IF(1000&gt;$H$4,"",IF(INDEX('Fleet dates'!$A$9:$A$1008,$I1008-8)="","",INDEX('Fleet dates'!$A$9:$A$1008,$I1008-8)))</x:f>
      </x:c>
      <x:c r="B1008" s="50" t="str">
        <x:f>IF(1000&gt;$H$4,"",IF(INDEX('Fleet dates'!$B$9:$B$1008,$I1008-8)="","",INDEX('Fleet dates'!$B$9:$B$1008,$I1008-8)))</x:f>
      </x:c>
      <x:c r="C1008" s="51" t="str">
        <x:f>IF(1000&gt;$H$4,"",IF(INDEX('Fleet dates'!$C$9:$C$1008,$I1008-8)="","",INDEX('Fleet dates'!$C$9:$C$1008,$I1008-8)))</x:f>
      </x:c>
      <x:c r="D1008" s="51" t="str">
        <x:f>IF(1000&gt;$H$4,"",IF(INDEX('Fleet dates'!$D$9:$D$1008,$I1008-8)="","",INDEX('Fleet dates'!$D$9:$D$1008,$I1008-8)))</x:f>
      </x:c>
      <x:c r="E1008" s="51" t="str">
        <x:f>IF(1000&gt;$H$4,"",IF(INDEX('Fleet dates'!$E$9:$E$1008,$I1008-8)="","",INDEX('Fleet dates'!$E$9:$E$1008,$I1008-8)))</x:f>
      </x:c>
      <x:c r="F1008" s="51" t="str">
        <x:f>IF(1000&gt;$H$4,"",IF(INDEX('Fleet dates'!$F$9:$F$1008,$I1008-8)="","",INDEX('Fleet dates'!$F$9:$F$1008,$I1008-8)))</x:f>
      </x:c>
      <x:c r="G1008" s="50" t="str">
        <x:f>IF(1000&gt;$H$4,"",IF(INDEX('Fleet dates'!$G$9:$G$1008,$I1008-8)="","",INDEX('Fleet dates'!$G$9:$G$1008,$I1008-8)))</x:f>
      </x:c>
      <x:c r="H1008" s="50" t="str">
        <x:f>IF(1000&gt;$H$4,"",IF(INDEX('Fleet dates'!$I$9:$I$1008,$I1008-8)="","",INDEX('Fleet dates'!$I$9:$I$1008,$I1008-8)))</x:f>
      </x:c>
      <x:c r="I1008" t="str">
        <x:f>IF(1000&gt;$H$4,"",MATCH(1000,'Fleet dates'!$N$9:$N$1008,0)+8)</x:f>
      </x:c>
    </x:row>
  </x:sheetData>
  <x:sheetProtection sheet="1" objects="1" scenarios="1" autoFilter="0" selectLockedCells="0" selectUnlockedCells="0"/>
  <x:mergeCells>
    <x:mergeCell ref="B1:H2"/>
    <x:mergeCell ref="A4:G4"/>
    <x:mergeCell ref="A5:H5"/>
    <x:mergeCell ref="A6:H6"/>
  </x:mergeCells>
  <x:pageMargins left="0.7" right="0.7" top="0.75" bottom="0.75" header="0.3" footer="0.3"/>
  <x:hyperlinks>
    <x:hyperlink ref="A6" location="'Summary'!A8" tooltip="Back to Summary"/>
  </x:hyperlinks>
  <x:drawing ns1:id="R414e6c60f5544382"/>
</x:worksheet>
</file>